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3.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4.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5.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mc:AlternateContent xmlns:mc="http://schemas.openxmlformats.org/markup-compatibility/2006">
    <mc:Choice Requires="x15">
      <x15ac:absPath xmlns:x15ac="http://schemas.microsoft.com/office/spreadsheetml/2010/11/ac" url="C:\Users\ktakahashi\Box\SEE\Projects\19-068 NSTAR ERBIA\Synapse Work\R&amp;B Model\Current Models\"/>
    </mc:Choice>
  </mc:AlternateContent>
  <xr:revisionPtr revIDLastSave="0" documentId="13_ncr:1_{2DC3BA1D-3862-4FBE-926A-947F4B22B10A}" xr6:coauthVersionLast="45" xr6:coauthVersionMax="45" xr10:uidLastSave="{00000000-0000-0000-0000-000000000000}"/>
  <bookViews>
    <workbookView xWindow="-28920" yWindow="-120" windowWidth="29040" windowHeight="15840" tabRatio="844" firstSheet="1" activeTab="7" xr2:uid="{00000000-000D-0000-FFFF-FFFF00000000}"/>
  </bookViews>
  <sheets>
    <sheet name="Instructions" sheetId="83" r:id="rId1"/>
    <sheet name="Overview" sheetId="12" r:id="rId2"/>
    <sheet name="Utility rates" sheetId="63" r:id="rId3"/>
    <sheet name="Lookups" sheetId="8" r:id="rId4"/>
    <sheet name="EE Inputs" sheetId="1" r:id="rId5"/>
    <sheet name="R&amp;B Inputs" sheetId="2" r:id="rId6"/>
    <sheet name="Multi-Year Inputs" sheetId="77" r:id="rId7"/>
    <sheet name="Yr1" sheetId="126" r:id="rId8"/>
    <sheet name="Yr2" sheetId="120" r:id="rId9"/>
    <sheet name="Yr3" sheetId="124" r:id="rId10"/>
    <sheet name="YrAll" sheetId="125" r:id="rId11"/>
    <sheet name="Output Summary" sheetId="30" r:id="rId12"/>
    <sheet name="Rates_Res" sheetId="67" r:id="rId13"/>
    <sheet name="Rates_LI" sheetId="119" r:id="rId14"/>
    <sheet name="Rates_Small" sheetId="118" r:id="rId15"/>
    <sheet name="Rates_Large" sheetId="117" r:id="rId16"/>
    <sheet name="Bills_Res" sheetId="82" r:id="rId17"/>
    <sheet name="Bills_LI" sheetId="93" r:id="rId18"/>
    <sheet name="Bills_Small" sheetId="94" r:id="rId19"/>
    <sheet name="Bills_Large" sheetId="95" r:id="rId20"/>
  </sheets>
  <definedNames>
    <definedName name="_xlnm._FilterDatabase" localSheetId="4" hidden="1">'EE Inputs'!$C$8:$AA$32</definedName>
    <definedName name="_xlnm._FilterDatabase" localSheetId="3" hidden="1">Lookups!$E$1:$E$12</definedName>
    <definedName name="_xlnm._FilterDatabase" localSheetId="15" hidden="1">Rates_Large!$BV$5:$DE$5</definedName>
    <definedName name="_xlnm._FilterDatabase" localSheetId="13" hidden="1">Rates_LI!$BV$5:$DE$5</definedName>
    <definedName name="_xlnm._FilterDatabase" localSheetId="12" hidden="1">Rates_Res!$BV$5:$DE$5</definedName>
    <definedName name="_xlnm._FilterDatabase" localSheetId="14" hidden="1">Rates_Small!$BV$5:$DE$5</definedName>
    <definedName name="_xlnm._FilterDatabase" localSheetId="2" hidden="1">'Utility rates'!$B$5:$N$301</definedName>
    <definedName name="_xlnm._FilterDatabase" localSheetId="7" hidden="1">'Yr1'!$A$8:$BT$346</definedName>
    <definedName name="_xlnm._FilterDatabase" localSheetId="8" hidden="1">'Yr2'!$A$8:$BT$346</definedName>
    <definedName name="_xlnm._FilterDatabase" localSheetId="9" hidden="1">'Yr3'!$A$8:$BT$346</definedName>
    <definedName name="_xlnm._FilterDatabase" localSheetId="10" hidden="1">YrAll!$A$8:$BT$346</definedName>
    <definedName name="_xlnm.Print_Area" localSheetId="19">Bills_Large!$B$2:$CZ$53</definedName>
    <definedName name="_xlnm.Print_Area" localSheetId="17">Bills_LI!$B$2:$CZ$53</definedName>
    <definedName name="_xlnm.Print_Area" localSheetId="16">Bills_Res!$B$2:$CZ$53</definedName>
    <definedName name="_xlnm.Print_Area" localSheetId="18">Bills_Small!$B$2:$CZ$53</definedName>
    <definedName name="_xlnm.Print_Area" localSheetId="4">'EE Inputs'!$B$2:$X$68</definedName>
    <definedName name="_xlnm.Print_Area" localSheetId="0">Instructions!$B$2:$X$29</definedName>
    <definedName name="_xlnm.Print_Area" localSheetId="3">Lookups!$B$2:$H$35</definedName>
    <definedName name="_xlnm.Print_Area" localSheetId="11">'Output Summary'!$B$2:$L$71</definedName>
    <definedName name="_xlnm.Print_Area" localSheetId="1">Overview!$B$2:$E$49</definedName>
    <definedName name="_xlnm.Print_Area" localSheetId="5">'R&amp;B Inputs'!$B$2:$W$86</definedName>
    <definedName name="_xlnm.Print_Area" localSheetId="15">Rates_Large!$B$2:$BQ$59</definedName>
    <definedName name="_xlnm.Print_Area" localSheetId="13">Rates_LI!$B$2:$BQ$59</definedName>
    <definedName name="_xlnm.Print_Area" localSheetId="12">Rates_Res!$B$2:$BQ$59</definedName>
    <definedName name="_xlnm.Print_Area" localSheetId="14">Rates_Small!$B$2:$BQ$59</definedName>
    <definedName name="_xlnm.Print_Area" localSheetId="2">'Utility rates'!$D$5:$H$121</definedName>
    <definedName name="_xlnm.Print_Area" localSheetId="7">'Yr1'!$B$2:$BS$87</definedName>
    <definedName name="_xlnm.Print_Area" localSheetId="8">'Yr2'!$B$2:$BS$87</definedName>
    <definedName name="_xlnm.Print_Area" localSheetId="9">'Yr3'!$B$2:$BS$87</definedName>
    <definedName name="_xlnm.Print_Area" localSheetId="10">YrAll!$B$2:$BS$87</definedName>
    <definedName name="_xlnm.Print_Titles" localSheetId="19">Bills_Large!$2:$4</definedName>
    <definedName name="_xlnm.Print_Titles" localSheetId="17">Bills_LI!$2:$4</definedName>
    <definedName name="_xlnm.Print_Titles" localSheetId="16">Bills_Res!$2:$4</definedName>
    <definedName name="_xlnm.Print_Titles" localSheetId="18">Bills_Small!$2:$4</definedName>
    <definedName name="_xlnm.Print_Titles" localSheetId="3">Lookups!$2:$3</definedName>
    <definedName name="_xlnm.Print_Titles" localSheetId="5">'R&amp;B Inputs'!$B:$F,'R&amp;B Inputs'!$2:$5</definedName>
    <definedName name="_xlnm.Print_Titles" localSheetId="15">Rates_Large!$2:$5</definedName>
    <definedName name="_xlnm.Print_Titles" localSheetId="13">Rates_LI!$2:$5</definedName>
    <definedName name="_xlnm.Print_Titles" localSheetId="12">Rates_Res!$2:$5</definedName>
    <definedName name="_xlnm.Print_Titles" localSheetId="14">Rates_Small!$2:$5</definedName>
    <definedName name="_xlnm.Print_Titles" localSheetId="2">'Utility rates'!$D:$H,'Utility rates'!#REF!</definedName>
    <definedName name="_xlnm.Print_Titles" localSheetId="7">'Yr1'!$B:$F,'Yr1'!$2:$8</definedName>
    <definedName name="_xlnm.Print_Titles" localSheetId="8">'Yr2'!$B:$F,'Yr2'!$2:$8</definedName>
    <definedName name="_xlnm.Print_Titles" localSheetId="9">'Yr3'!$B:$F,'Yr3'!$2:$8</definedName>
    <definedName name="_xlnm.Print_Titles" localSheetId="10">YrAll!$B:$F,YrAll!$2:$8</definedName>
    <definedName name="Year1">Lookups!$E$8</definedName>
    <definedName name="Year2">Lookups!$E$9</definedName>
    <definedName name="Year3">Lookups!$E$10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P340" i="125" l="1"/>
  <c r="BP331" i="125"/>
  <c r="BP330" i="125"/>
  <c r="BP329" i="125"/>
  <c r="BP328" i="125"/>
  <c r="BP340" i="124"/>
  <c r="BP331" i="124"/>
  <c r="BP330" i="124"/>
  <c r="BP329" i="124"/>
  <c r="BP328" i="124"/>
  <c r="BP340" i="120"/>
  <c r="BP331" i="120"/>
  <c r="BP330" i="120"/>
  <c r="BP329" i="120"/>
  <c r="BP328" i="120"/>
  <c r="BP340" i="126"/>
  <c r="BP331" i="126"/>
  <c r="BP330" i="126"/>
  <c r="BP329" i="126"/>
  <c r="BP328" i="126"/>
  <c r="AJ340" i="126"/>
  <c r="AJ331" i="126"/>
  <c r="AJ330" i="126"/>
  <c r="AJ329" i="126"/>
  <c r="AJ328" i="126"/>
  <c r="AJ340" i="120"/>
  <c r="AJ331" i="120"/>
  <c r="AJ330" i="120"/>
  <c r="AJ329" i="120"/>
  <c r="AJ328" i="120"/>
  <c r="AJ340" i="124"/>
  <c r="AJ331" i="124"/>
  <c r="AJ330" i="124"/>
  <c r="AJ329" i="124"/>
  <c r="AJ328" i="124"/>
  <c r="AJ340" i="125"/>
  <c r="AJ331" i="125"/>
  <c r="AJ330" i="125"/>
  <c r="AJ329" i="125"/>
  <c r="AJ328" i="125"/>
  <c r="DN34" i="95" l="1"/>
  <c r="DN29" i="95"/>
  <c r="DN6" i="95"/>
  <c r="DN8" i="95" s="1"/>
  <c r="DG56" i="95"/>
  <c r="DG55" i="95"/>
  <c r="DG56" i="94"/>
  <c r="DG55" i="94"/>
  <c r="DN34" i="94"/>
  <c r="DN29" i="94"/>
  <c r="DN6" i="94"/>
  <c r="DN8" i="94" s="1"/>
  <c r="DN34" i="93"/>
  <c r="DN29" i="93"/>
  <c r="DN6" i="93"/>
  <c r="DN8" i="93" s="1"/>
  <c r="DG56" i="93"/>
  <c r="DG55" i="93"/>
  <c r="DN8" i="82"/>
  <c r="DG56" i="82"/>
  <c r="DG55" i="82"/>
  <c r="DE52" i="117"/>
  <c r="DE50" i="117"/>
  <c r="DE48" i="117"/>
  <c r="DE42" i="117"/>
  <c r="DF19" i="117"/>
  <c r="DG9" i="117"/>
  <c r="DE29" i="117" s="1"/>
  <c r="DB74" i="117"/>
  <c r="DB73" i="117"/>
  <c r="CZ72" i="117"/>
  <c r="CY72" i="117"/>
  <c r="CX72" i="117"/>
  <c r="CW72" i="117"/>
  <c r="CV72" i="117"/>
  <c r="CU72" i="117"/>
  <c r="CT72" i="117"/>
  <c r="CS72" i="117"/>
  <c r="CR72" i="117"/>
  <c r="CQ72" i="117"/>
  <c r="CP72" i="117"/>
  <c r="CO72" i="117"/>
  <c r="CN72" i="117"/>
  <c r="CM72" i="117"/>
  <c r="CL72" i="117"/>
  <c r="CK72" i="117"/>
  <c r="CJ72" i="117"/>
  <c r="CI72" i="117"/>
  <c r="CH72" i="117"/>
  <c r="CG72" i="117"/>
  <c r="CF72" i="117"/>
  <c r="CE72" i="117"/>
  <c r="CD72" i="117"/>
  <c r="CC72" i="117"/>
  <c r="CB72" i="117"/>
  <c r="CA72" i="117"/>
  <c r="BZ72" i="117"/>
  <c r="CZ71" i="117"/>
  <c r="CY71" i="117"/>
  <c r="CX71" i="117"/>
  <c r="CW71" i="117"/>
  <c r="CV71" i="117"/>
  <c r="CU71" i="117"/>
  <c r="CT71" i="117"/>
  <c r="CS71" i="117"/>
  <c r="CR71" i="117"/>
  <c r="CQ71" i="117"/>
  <c r="CP71" i="117"/>
  <c r="CO71" i="117"/>
  <c r="CN71" i="117"/>
  <c r="CM71" i="117"/>
  <c r="CL71" i="117"/>
  <c r="CK71" i="117"/>
  <c r="CJ71" i="117"/>
  <c r="CI71" i="117"/>
  <c r="CH71" i="117"/>
  <c r="CG71" i="117"/>
  <c r="CF71" i="117"/>
  <c r="CE71" i="117"/>
  <c r="CD71" i="117"/>
  <c r="CC71" i="117"/>
  <c r="CB71" i="117"/>
  <c r="CA71" i="117"/>
  <c r="BZ71" i="117"/>
  <c r="DE52" i="118"/>
  <c r="DE50" i="118"/>
  <c r="DE48" i="118"/>
  <c r="DE42" i="118"/>
  <c r="DF19" i="118"/>
  <c r="DG9" i="118"/>
  <c r="DE29" i="118" s="1"/>
  <c r="DB74" i="118"/>
  <c r="DB73" i="118"/>
  <c r="CZ72" i="118"/>
  <c r="CY72" i="118"/>
  <c r="CX72" i="118"/>
  <c r="CW72" i="118"/>
  <c r="CV72" i="118"/>
  <c r="CU72" i="118"/>
  <c r="CT72" i="118"/>
  <c r="CS72" i="118"/>
  <c r="CR72" i="118"/>
  <c r="CQ72" i="118"/>
  <c r="CP72" i="118"/>
  <c r="CO72" i="118"/>
  <c r="CN72" i="118"/>
  <c r="CM72" i="118"/>
  <c r="CL72" i="118"/>
  <c r="CK72" i="118"/>
  <c r="CJ72" i="118"/>
  <c r="CI72" i="118"/>
  <c r="CH72" i="118"/>
  <c r="CG72" i="118"/>
  <c r="CF72" i="118"/>
  <c r="CE72" i="118"/>
  <c r="CD72" i="118"/>
  <c r="CC72" i="118"/>
  <c r="CB72" i="118"/>
  <c r="CA72" i="118"/>
  <c r="BZ72" i="118"/>
  <c r="CZ71" i="118"/>
  <c r="CY71" i="118"/>
  <c r="CX71" i="118"/>
  <c r="CW71" i="118"/>
  <c r="CV71" i="118"/>
  <c r="CU71" i="118"/>
  <c r="CT71" i="118"/>
  <c r="CS71" i="118"/>
  <c r="CR71" i="118"/>
  <c r="CQ71" i="118"/>
  <c r="CP71" i="118"/>
  <c r="CO71" i="118"/>
  <c r="CN71" i="118"/>
  <c r="CM71" i="118"/>
  <c r="CL71" i="118"/>
  <c r="CK71" i="118"/>
  <c r="CJ71" i="118"/>
  <c r="CI71" i="118"/>
  <c r="CH71" i="118"/>
  <c r="CG71" i="118"/>
  <c r="CF71" i="118"/>
  <c r="CE71" i="118"/>
  <c r="CD71" i="118"/>
  <c r="CC71" i="118"/>
  <c r="CB71" i="118"/>
  <c r="CA71" i="118"/>
  <c r="BZ71" i="118"/>
  <c r="BZ71" i="119"/>
  <c r="BZ72" i="119"/>
  <c r="CR71" i="119"/>
  <c r="CS71" i="119"/>
  <c r="CT71" i="119"/>
  <c r="CU71" i="119"/>
  <c r="CV71" i="119"/>
  <c r="CW71" i="119"/>
  <c r="CX71" i="119"/>
  <c r="CY71" i="119"/>
  <c r="CZ71" i="119"/>
  <c r="CR72" i="119"/>
  <c r="CS72" i="119"/>
  <c r="CT72" i="119"/>
  <c r="CU72" i="119"/>
  <c r="CV72" i="119"/>
  <c r="CW72" i="119"/>
  <c r="CX72" i="119"/>
  <c r="CY72" i="119"/>
  <c r="CZ72" i="119"/>
  <c r="DB74" i="119"/>
  <c r="DB73" i="119"/>
  <c r="DE52" i="119"/>
  <c r="DE50" i="119"/>
  <c r="DE48" i="119"/>
  <c r="DE42" i="119"/>
  <c r="DF19" i="119"/>
  <c r="DG9" i="119"/>
  <c r="DE17" i="119" s="1"/>
  <c r="CQ72" i="119"/>
  <c r="CP72" i="119"/>
  <c r="CO72" i="119"/>
  <c r="CN72" i="119"/>
  <c r="CM72" i="119"/>
  <c r="CL72" i="119"/>
  <c r="CK72" i="119"/>
  <c r="CJ72" i="119"/>
  <c r="CI72" i="119"/>
  <c r="CH72" i="119"/>
  <c r="CG72" i="119"/>
  <c r="CF72" i="119"/>
  <c r="CE72" i="119"/>
  <c r="CD72" i="119"/>
  <c r="CC72" i="119"/>
  <c r="CB72" i="119"/>
  <c r="CA72" i="119"/>
  <c r="CQ71" i="119"/>
  <c r="CP71" i="119"/>
  <c r="CO71" i="119"/>
  <c r="CN71" i="119"/>
  <c r="CM71" i="119"/>
  <c r="CL71" i="119"/>
  <c r="CK71" i="119"/>
  <c r="CJ71" i="119"/>
  <c r="CI71" i="119"/>
  <c r="CH71" i="119"/>
  <c r="CG71" i="119"/>
  <c r="CF71" i="119"/>
  <c r="CE71" i="119"/>
  <c r="CD71" i="119"/>
  <c r="CC71" i="119"/>
  <c r="CB71" i="119"/>
  <c r="CA71" i="119"/>
  <c r="CP72" i="67"/>
  <c r="CQ72" i="67"/>
  <c r="CR72" i="67"/>
  <c r="CS72" i="67"/>
  <c r="CT72" i="67"/>
  <c r="CU72" i="67"/>
  <c r="CV72" i="67"/>
  <c r="CW72" i="67"/>
  <c r="CX72" i="67"/>
  <c r="CY72" i="67"/>
  <c r="CZ72" i="67"/>
  <c r="DN9" i="95" l="1"/>
  <c r="DN25" i="95"/>
  <c r="DN9" i="94"/>
  <c r="DN25" i="94"/>
  <c r="DN9" i="93"/>
  <c r="DN25" i="93"/>
  <c r="DE31" i="117"/>
  <c r="DE49" i="117"/>
  <c r="DE17" i="117"/>
  <c r="DE23" i="117"/>
  <c r="DE9" i="117"/>
  <c r="DE10" i="117" s="1"/>
  <c r="DE11" i="117" s="1"/>
  <c r="DE12" i="117" s="1"/>
  <c r="DE31" i="118"/>
  <c r="DE49" i="118"/>
  <c r="DE17" i="118"/>
  <c r="DE23" i="118"/>
  <c r="DE9" i="118"/>
  <c r="DE10" i="118" s="1"/>
  <c r="DE11" i="118" s="1"/>
  <c r="DE12" i="118" s="1"/>
  <c r="DE18" i="119"/>
  <c r="DE37" i="119"/>
  <c r="DE29" i="119"/>
  <c r="DE23" i="119"/>
  <c r="DE9" i="119"/>
  <c r="DE10" i="119" s="1"/>
  <c r="DE11" i="119" s="1"/>
  <c r="DE12" i="119" s="1"/>
  <c r="DN26" i="95" l="1"/>
  <c r="DN10" i="95"/>
  <c r="DN26" i="94"/>
  <c r="DN10" i="94"/>
  <c r="DN10" i="93"/>
  <c r="DN26" i="93"/>
  <c r="DE24" i="117"/>
  <c r="DE25" i="117" s="1"/>
  <c r="DE43" i="117"/>
  <c r="DE18" i="117"/>
  <c r="DE37" i="117"/>
  <c r="DE51" i="117"/>
  <c r="DE33" i="117"/>
  <c r="DE53" i="117" s="1"/>
  <c r="DE33" i="118"/>
  <c r="DE53" i="118" s="1"/>
  <c r="DE51" i="118"/>
  <c r="DE43" i="118"/>
  <c r="DE24" i="118"/>
  <c r="DE25" i="118" s="1"/>
  <c r="DE18" i="118"/>
  <c r="DE37" i="118"/>
  <c r="DE19" i="119"/>
  <c r="DE38" i="119"/>
  <c r="DE24" i="119"/>
  <c r="DE25" i="119" s="1"/>
  <c r="DE43" i="119"/>
  <c r="DE49" i="119"/>
  <c r="DE31" i="119"/>
  <c r="DN27" i="95" l="1"/>
  <c r="DN11" i="95"/>
  <c r="DN27" i="94"/>
  <c r="DN11" i="94"/>
  <c r="DN27" i="93"/>
  <c r="DN11" i="93"/>
  <c r="DE19" i="117"/>
  <c r="DE38" i="117"/>
  <c r="DE45" i="117"/>
  <c r="DE26" i="117"/>
  <c r="DE19" i="118"/>
  <c r="DE38" i="118"/>
  <c r="DE45" i="118"/>
  <c r="DE26" i="118"/>
  <c r="DE33" i="119"/>
  <c r="DE53" i="119" s="1"/>
  <c r="DE51" i="119"/>
  <c r="DE26" i="119"/>
  <c r="DE45" i="119"/>
  <c r="DE39" i="119"/>
  <c r="DE20" i="119"/>
  <c r="DN13" i="95" l="1"/>
  <c r="DN28" i="95"/>
  <c r="DN28" i="94"/>
  <c r="DN13" i="94"/>
  <c r="DN28" i="93"/>
  <c r="DN13" i="93"/>
  <c r="DE39" i="117"/>
  <c r="DE20" i="117"/>
  <c r="DE27" i="117"/>
  <c r="DE47" i="117" s="1"/>
  <c r="DE46" i="117"/>
  <c r="DE20" i="118"/>
  <c r="DE39" i="118"/>
  <c r="DE27" i="118"/>
  <c r="DE47" i="118" s="1"/>
  <c r="DE46" i="118"/>
  <c r="DE21" i="119"/>
  <c r="DE41" i="119" s="1"/>
  <c r="DE40" i="119"/>
  <c r="DE27" i="119"/>
  <c r="DE47" i="119" s="1"/>
  <c r="DE46" i="119"/>
  <c r="DN30" i="95" l="1"/>
  <c r="DN14" i="95"/>
  <c r="DN18" i="95"/>
  <c r="DN30" i="94"/>
  <c r="DN18" i="94"/>
  <c r="DN14" i="94"/>
  <c r="DN30" i="93"/>
  <c r="DN18" i="93"/>
  <c r="DN14" i="93"/>
  <c r="DE21" i="117"/>
  <c r="DE41" i="117" s="1"/>
  <c r="DE40" i="117"/>
  <c r="DE21" i="118"/>
  <c r="DE41" i="118" s="1"/>
  <c r="DE40" i="118"/>
  <c r="DN19" i="95" l="1"/>
  <c r="DN35" i="95"/>
  <c r="DN15" i="95"/>
  <c r="DN31" i="95"/>
  <c r="DN15" i="94"/>
  <c r="DN31" i="94"/>
  <c r="DN19" i="94"/>
  <c r="DN35" i="94"/>
  <c r="DN15" i="93"/>
  <c r="DN31" i="93"/>
  <c r="DN19" i="93"/>
  <c r="DN35" i="93"/>
  <c r="DN32" i="95" l="1"/>
  <c r="DN16" i="95"/>
  <c r="DN33" i="95" s="1"/>
  <c r="DN36" i="95"/>
  <c r="DN20" i="95"/>
  <c r="DN36" i="94"/>
  <c r="DN20" i="94"/>
  <c r="DN16" i="94"/>
  <c r="DN33" i="94" s="1"/>
  <c r="DN32" i="94"/>
  <c r="DN36" i="93"/>
  <c r="DN20" i="93"/>
  <c r="DN16" i="93"/>
  <c r="DN33" i="93" s="1"/>
  <c r="DN32" i="93"/>
  <c r="DN21" i="95" l="1"/>
  <c r="DN38" i="95" s="1"/>
  <c r="DN37" i="95"/>
  <c r="DN37" i="94"/>
  <c r="DN21" i="94"/>
  <c r="DN38" i="94" s="1"/>
  <c r="DN37" i="93"/>
  <c r="DN21" i="93"/>
  <c r="DN38" i="93" s="1"/>
  <c r="DB74" i="67" l="1"/>
  <c r="DB73" i="67"/>
  <c r="CA72" i="67"/>
  <c r="CB72" i="67"/>
  <c r="CC72" i="67"/>
  <c r="CD72" i="67"/>
  <c r="CE72" i="67"/>
  <c r="CF72" i="67"/>
  <c r="CG72" i="67"/>
  <c r="CH72" i="67"/>
  <c r="CI72" i="67"/>
  <c r="CJ72" i="67"/>
  <c r="CK72" i="67"/>
  <c r="CL72" i="67"/>
  <c r="CM72" i="67"/>
  <c r="CN72" i="67"/>
  <c r="CO72" i="67"/>
  <c r="CA71" i="67"/>
  <c r="CB71" i="67"/>
  <c r="CC71" i="67"/>
  <c r="CD71" i="67"/>
  <c r="CE71" i="67"/>
  <c r="CF71" i="67"/>
  <c r="CG71" i="67"/>
  <c r="CH71" i="67"/>
  <c r="CI71" i="67"/>
  <c r="CJ71" i="67"/>
  <c r="CK71" i="67"/>
  <c r="CL71" i="67"/>
  <c r="CM71" i="67"/>
  <c r="CN71" i="67"/>
  <c r="CO71" i="67"/>
  <c r="CP71" i="67"/>
  <c r="CQ71" i="67"/>
  <c r="CR71" i="67"/>
  <c r="CS71" i="67"/>
  <c r="CT71" i="67"/>
  <c r="CU71" i="67"/>
  <c r="CV71" i="67"/>
  <c r="CW71" i="67"/>
  <c r="CX71" i="67"/>
  <c r="CY71" i="67"/>
  <c r="CZ71" i="67"/>
  <c r="DA71" i="67"/>
  <c r="BZ72" i="67"/>
  <c r="BZ71" i="67"/>
  <c r="DE29" i="67"/>
  <c r="DE23" i="67"/>
  <c r="DE17" i="67"/>
  <c r="DE9" i="67"/>
  <c r="T33" i="30"/>
  <c r="S22" i="30"/>
  <c r="S19" i="30"/>
  <c r="S6" i="30"/>
  <c r="L81" i="30"/>
  <c r="H81" i="30"/>
  <c r="L79" i="30"/>
  <c r="K79" i="30"/>
  <c r="J79" i="30"/>
  <c r="I79" i="30"/>
  <c r="H79" i="30"/>
  <c r="G79" i="30"/>
  <c r="F79" i="30"/>
  <c r="E79" i="30"/>
  <c r="AN279" i="120"/>
  <c r="G66" i="126"/>
  <c r="G42" i="126"/>
  <c r="AH345" i="126"/>
  <c r="D344" i="126"/>
  <c r="D345" i="126" s="1"/>
  <c r="D346" i="126" s="1"/>
  <c r="D339" i="126"/>
  <c r="D340" i="126" s="1"/>
  <c r="D337" i="126"/>
  <c r="BS335" i="126"/>
  <c r="BS334" i="126"/>
  <c r="BS333" i="126"/>
  <c r="D333" i="126"/>
  <c r="BS330" i="126"/>
  <c r="B330" i="126"/>
  <c r="B332" i="126" s="1"/>
  <c r="B335" i="126" s="1"/>
  <c r="B337" i="126" s="1"/>
  <c r="BS329" i="126"/>
  <c r="BS328" i="126"/>
  <c r="D328" i="126"/>
  <c r="C328" i="126"/>
  <c r="C330" i="126" s="1"/>
  <c r="C332" i="126" s="1"/>
  <c r="C335" i="126" s="1"/>
  <c r="C337" i="126" s="1"/>
  <c r="B328" i="126"/>
  <c r="B329" i="126" s="1"/>
  <c r="B331" i="126" s="1"/>
  <c r="B333" i="126" s="1"/>
  <c r="D327" i="126"/>
  <c r="C327" i="126"/>
  <c r="B327" i="126"/>
  <c r="B326" i="126"/>
  <c r="E321" i="126"/>
  <c r="E320" i="126"/>
  <c r="E319" i="126"/>
  <c r="D319" i="126"/>
  <c r="D320" i="126" s="1"/>
  <c r="D321" i="126" s="1"/>
  <c r="D322" i="126" s="1"/>
  <c r="E318" i="126"/>
  <c r="D314" i="126"/>
  <c r="D315" i="126" s="1"/>
  <c r="D316" i="126" s="1"/>
  <c r="D317" i="126" s="1"/>
  <c r="D318" i="126" s="1"/>
  <c r="E312" i="126"/>
  <c r="E311" i="126"/>
  <c r="D310" i="126"/>
  <c r="D311" i="126" s="1"/>
  <c r="D312" i="126" s="1"/>
  <c r="D309" i="126"/>
  <c r="E307" i="126"/>
  <c r="D307" i="126"/>
  <c r="E306" i="126"/>
  <c r="D306" i="126"/>
  <c r="D305" i="126"/>
  <c r="D302" i="126"/>
  <c r="D303" i="126" s="1"/>
  <c r="BS301" i="126"/>
  <c r="D301" i="126"/>
  <c r="D300" i="126"/>
  <c r="C300" i="126"/>
  <c r="C301" i="126" s="1"/>
  <c r="C302" i="126" s="1"/>
  <c r="C303" i="126" s="1"/>
  <c r="C304" i="126" s="1"/>
  <c r="C305" i="126" s="1"/>
  <c r="C306" i="126" s="1"/>
  <c r="C307" i="126" s="1"/>
  <c r="C308" i="126" s="1"/>
  <c r="C309" i="126" s="1"/>
  <c r="C310" i="126" s="1"/>
  <c r="C311" i="126" s="1"/>
  <c r="C312" i="126" s="1"/>
  <c r="C313" i="126" s="1"/>
  <c r="C314" i="126" s="1"/>
  <c r="C315" i="126" s="1"/>
  <c r="C316" i="126" s="1"/>
  <c r="C317" i="126" s="1"/>
  <c r="C318" i="126" s="1"/>
  <c r="C319" i="126" s="1"/>
  <c r="C320" i="126" s="1"/>
  <c r="C321" i="126" s="1"/>
  <c r="C322" i="126" s="1"/>
  <c r="D296" i="126"/>
  <c r="D297" i="126" s="1"/>
  <c r="D292" i="126"/>
  <c r="D294" i="126" s="1"/>
  <c r="D293" i="126" s="1"/>
  <c r="D290" i="126"/>
  <c r="D291" i="126" s="1"/>
  <c r="D289" i="126"/>
  <c r="D287" i="126"/>
  <c r="D286" i="126"/>
  <c r="BS283" i="126"/>
  <c r="BS282" i="126"/>
  <c r="D282" i="126"/>
  <c r="BS281" i="126"/>
  <c r="D281" i="126"/>
  <c r="D283" i="126" s="1"/>
  <c r="D284" i="126" s="1"/>
  <c r="BS278" i="126"/>
  <c r="BS277" i="126"/>
  <c r="BS276" i="126"/>
  <c r="BS275" i="126"/>
  <c r="D275" i="126"/>
  <c r="D274" i="126"/>
  <c r="C274" i="126"/>
  <c r="C275" i="126" s="1"/>
  <c r="D270" i="126"/>
  <c r="D269" i="126"/>
  <c r="D271" i="126" s="1"/>
  <c r="BS267" i="126"/>
  <c r="BS266" i="126"/>
  <c r="D266" i="126"/>
  <c r="D267" i="126" s="1"/>
  <c r="BS264" i="126"/>
  <c r="D263" i="126"/>
  <c r="BS262" i="126"/>
  <c r="D262" i="126"/>
  <c r="D264" i="126" s="1"/>
  <c r="BS260" i="126"/>
  <c r="BS259" i="126"/>
  <c r="BS258" i="126"/>
  <c r="D258" i="126"/>
  <c r="D259" i="126" s="1"/>
  <c r="D257" i="126"/>
  <c r="C257" i="126"/>
  <c r="C258" i="126" s="1"/>
  <c r="E252" i="126"/>
  <c r="D252" i="126"/>
  <c r="C252" i="126"/>
  <c r="C253" i="126" s="1"/>
  <c r="C254" i="126" s="1"/>
  <c r="C255" i="126" s="1"/>
  <c r="C248" i="126"/>
  <c r="C249" i="126" s="1"/>
  <c r="C250" i="126" s="1"/>
  <c r="B246" i="126"/>
  <c r="B247" i="126" s="1"/>
  <c r="B248" i="126" s="1"/>
  <c r="B249" i="126" s="1"/>
  <c r="B250" i="126" s="1"/>
  <c r="B251" i="126" s="1"/>
  <c r="B252" i="126" s="1"/>
  <c r="B253" i="126" s="1"/>
  <c r="B254" i="126" s="1"/>
  <c r="B255" i="126" s="1"/>
  <c r="B256" i="126" s="1"/>
  <c r="B257" i="126" s="1"/>
  <c r="B258" i="126" s="1"/>
  <c r="E242" i="126"/>
  <c r="E241" i="126"/>
  <c r="E240" i="126"/>
  <c r="E239" i="126"/>
  <c r="D236" i="126"/>
  <c r="D237" i="126" s="1"/>
  <c r="D238" i="126" s="1"/>
  <c r="D239" i="126" s="1"/>
  <c r="D240" i="126" s="1"/>
  <c r="D241" i="126" s="1"/>
  <c r="D242" i="126" s="1"/>
  <c r="D243" i="126" s="1"/>
  <c r="D235" i="126"/>
  <c r="C234" i="126"/>
  <c r="C235" i="126" s="1"/>
  <c r="C236" i="126" s="1"/>
  <c r="C237" i="126" s="1"/>
  <c r="C238" i="126" s="1"/>
  <c r="C239" i="126" s="1"/>
  <c r="C240" i="126" s="1"/>
  <c r="C241" i="126" s="1"/>
  <c r="C242" i="126" s="1"/>
  <c r="C243" i="126" s="1"/>
  <c r="E233" i="126"/>
  <c r="D233" i="126"/>
  <c r="E232" i="126"/>
  <c r="D231" i="126"/>
  <c r="D232" i="126" s="1"/>
  <c r="D230" i="126"/>
  <c r="E228" i="126"/>
  <c r="E227" i="126"/>
  <c r="D226" i="126"/>
  <c r="D227" i="126" s="1"/>
  <c r="D228" i="126" s="1"/>
  <c r="BS222" i="126"/>
  <c r="C222" i="126"/>
  <c r="C223" i="126" s="1"/>
  <c r="C224" i="126" s="1"/>
  <c r="C225" i="126" s="1"/>
  <c r="C226" i="126" s="1"/>
  <c r="C227" i="126" s="1"/>
  <c r="C228" i="126" s="1"/>
  <c r="C229" i="126" s="1"/>
  <c r="C230" i="126" s="1"/>
  <c r="C231" i="126" s="1"/>
  <c r="C232" i="126" s="1"/>
  <c r="C233" i="126" s="1"/>
  <c r="D221" i="126"/>
  <c r="D222" i="126" s="1"/>
  <c r="D223" i="126" s="1"/>
  <c r="D224" i="126" s="1"/>
  <c r="C221" i="126"/>
  <c r="D218" i="126"/>
  <c r="D217" i="126"/>
  <c r="D210" i="126"/>
  <c r="D211" i="126" s="1"/>
  <c r="D212" i="126" s="1"/>
  <c r="D213" i="126" s="1"/>
  <c r="D215" i="126" s="1"/>
  <c r="D214" i="126" s="1"/>
  <c r="D207" i="126"/>
  <c r="D208" i="126" s="1"/>
  <c r="BS204" i="126"/>
  <c r="BS203" i="126"/>
  <c r="D203" i="126"/>
  <c r="BS202" i="126"/>
  <c r="D202" i="126"/>
  <c r="D204" i="126" s="1"/>
  <c r="D205" i="126" s="1"/>
  <c r="BS199" i="126"/>
  <c r="BS198" i="126"/>
  <c r="C198" i="126"/>
  <c r="C200" i="126" s="1"/>
  <c r="C199" i="126" s="1"/>
  <c r="C201" i="126" s="1"/>
  <c r="C202" i="126" s="1"/>
  <c r="BS197" i="126"/>
  <c r="BS196" i="126"/>
  <c r="C196" i="126"/>
  <c r="C197" i="126" s="1"/>
  <c r="D195" i="126"/>
  <c r="D196" i="126" s="1"/>
  <c r="C195" i="126"/>
  <c r="D192" i="126"/>
  <c r="D190" i="126"/>
  <c r="D191" i="126" s="1"/>
  <c r="BS188" i="126"/>
  <c r="BS187" i="126"/>
  <c r="D187" i="126"/>
  <c r="D188" i="126" s="1"/>
  <c r="BS185" i="126"/>
  <c r="BS183" i="126"/>
  <c r="D183" i="126"/>
  <c r="D185" i="126" s="1"/>
  <c r="BS181" i="126"/>
  <c r="BS180" i="126"/>
  <c r="BS179" i="126"/>
  <c r="D179" i="126"/>
  <c r="D180" i="126" s="1"/>
  <c r="D178" i="126"/>
  <c r="C178" i="126"/>
  <c r="C179" i="126" s="1"/>
  <c r="E173" i="126"/>
  <c r="D173" i="126"/>
  <c r="C173" i="126"/>
  <c r="C174" i="126" s="1"/>
  <c r="C175" i="126" s="1"/>
  <c r="C176" i="126" s="1"/>
  <c r="C169" i="126"/>
  <c r="C170" i="126" s="1"/>
  <c r="C171" i="126" s="1"/>
  <c r="B168" i="126"/>
  <c r="B169" i="126" s="1"/>
  <c r="B170" i="126" s="1"/>
  <c r="B171" i="126" s="1"/>
  <c r="B172" i="126" s="1"/>
  <c r="B173" i="126" s="1"/>
  <c r="B174" i="126" s="1"/>
  <c r="B175" i="126" s="1"/>
  <c r="B176" i="126" s="1"/>
  <c r="B177" i="126" s="1"/>
  <c r="B178" i="126" s="1"/>
  <c r="B179" i="126" s="1"/>
  <c r="B167" i="126"/>
  <c r="E163" i="126"/>
  <c r="E162" i="126"/>
  <c r="E161" i="126"/>
  <c r="E160" i="126"/>
  <c r="D158" i="126"/>
  <c r="D159" i="126" s="1"/>
  <c r="D160" i="126" s="1"/>
  <c r="D161" i="126" s="1"/>
  <c r="D162" i="126" s="1"/>
  <c r="D163" i="126" s="1"/>
  <c r="D164" i="126" s="1"/>
  <c r="D156" i="126"/>
  <c r="D157" i="126" s="1"/>
  <c r="E154" i="126"/>
  <c r="E153" i="126"/>
  <c r="D151" i="126"/>
  <c r="D152" i="126" s="1"/>
  <c r="D153" i="126" s="1"/>
  <c r="D154" i="126" s="1"/>
  <c r="E149" i="126"/>
  <c r="E148" i="126"/>
  <c r="D147" i="126"/>
  <c r="D148" i="126" s="1"/>
  <c r="D149" i="126" s="1"/>
  <c r="BS143" i="126"/>
  <c r="C143" i="126"/>
  <c r="C144" i="126" s="1"/>
  <c r="C145" i="126" s="1"/>
  <c r="C146" i="126" s="1"/>
  <c r="C147" i="126" s="1"/>
  <c r="C148" i="126" s="1"/>
  <c r="C149" i="126" s="1"/>
  <c r="C150" i="126" s="1"/>
  <c r="C151" i="126" s="1"/>
  <c r="C152" i="126" s="1"/>
  <c r="C153" i="126" s="1"/>
  <c r="C154" i="126" s="1"/>
  <c r="C155" i="126" s="1"/>
  <c r="C156" i="126" s="1"/>
  <c r="C157" i="126" s="1"/>
  <c r="C158" i="126" s="1"/>
  <c r="C159" i="126" s="1"/>
  <c r="C160" i="126" s="1"/>
  <c r="C161" i="126" s="1"/>
  <c r="C162" i="126" s="1"/>
  <c r="C163" i="126" s="1"/>
  <c r="C164" i="126" s="1"/>
  <c r="D142" i="126"/>
  <c r="D143" i="126" s="1"/>
  <c r="D144" i="126" s="1"/>
  <c r="D145" i="126" s="1"/>
  <c r="C142" i="126"/>
  <c r="D138" i="126"/>
  <c r="D139" i="126" s="1"/>
  <c r="D131" i="126"/>
  <c r="D132" i="126" s="1"/>
  <c r="D133" i="126" s="1"/>
  <c r="D134" i="126" s="1"/>
  <c r="D136" i="126" s="1"/>
  <c r="D135" i="126" s="1"/>
  <c r="D128" i="126"/>
  <c r="D129" i="126" s="1"/>
  <c r="BS125" i="126"/>
  <c r="BS124" i="126"/>
  <c r="D124" i="126"/>
  <c r="BS123" i="126"/>
  <c r="D123" i="126"/>
  <c r="D125" i="126" s="1"/>
  <c r="D126" i="126" s="1"/>
  <c r="BS120" i="126"/>
  <c r="BS119" i="126"/>
  <c r="C119" i="126"/>
  <c r="C121" i="126" s="1"/>
  <c r="C120" i="126" s="1"/>
  <c r="C122" i="126" s="1"/>
  <c r="C123" i="126" s="1"/>
  <c r="BS118" i="126"/>
  <c r="BS117" i="126"/>
  <c r="C117" i="126"/>
  <c r="C118" i="126" s="1"/>
  <c r="D116" i="126"/>
  <c r="D117" i="126" s="1"/>
  <c r="C116" i="126"/>
  <c r="D111" i="126"/>
  <c r="D112" i="126" s="1"/>
  <c r="BS109" i="126"/>
  <c r="BS108" i="126"/>
  <c r="D108" i="126"/>
  <c r="D109" i="126" s="1"/>
  <c r="BS106" i="126"/>
  <c r="D106" i="126"/>
  <c r="D105" i="126"/>
  <c r="BS104" i="126"/>
  <c r="D104" i="126"/>
  <c r="BS102" i="126"/>
  <c r="BS101" i="126"/>
  <c r="BS100" i="126"/>
  <c r="D99" i="126"/>
  <c r="D100" i="126" s="1"/>
  <c r="C99" i="126"/>
  <c r="C100" i="126" s="1"/>
  <c r="E94" i="126"/>
  <c r="D94" i="126"/>
  <c r="C94" i="126"/>
  <c r="C95" i="126" s="1"/>
  <c r="C96" i="126" s="1"/>
  <c r="C97" i="126" s="1"/>
  <c r="C90" i="126"/>
  <c r="C91" i="126" s="1"/>
  <c r="C92" i="126" s="1"/>
  <c r="B88" i="126"/>
  <c r="B89" i="126" s="1"/>
  <c r="B90" i="126" s="1"/>
  <c r="B91" i="126" s="1"/>
  <c r="B92" i="126" s="1"/>
  <c r="B93" i="126" s="1"/>
  <c r="B94" i="126" s="1"/>
  <c r="B95" i="126" s="1"/>
  <c r="B96" i="126" s="1"/>
  <c r="B97" i="126" s="1"/>
  <c r="B98" i="126" s="1"/>
  <c r="B99" i="126" s="1"/>
  <c r="B100" i="126" s="1"/>
  <c r="AH84" i="126"/>
  <c r="E84" i="126"/>
  <c r="E83" i="126"/>
  <c r="AH82" i="126"/>
  <c r="E82" i="126"/>
  <c r="D82" i="126"/>
  <c r="D83" i="126" s="1"/>
  <c r="D84" i="126" s="1"/>
  <c r="D85" i="126" s="1"/>
  <c r="E81" i="126"/>
  <c r="AH80" i="126"/>
  <c r="AH78" i="126"/>
  <c r="D77" i="126"/>
  <c r="D78" i="126" s="1"/>
  <c r="D79" i="126" s="1"/>
  <c r="D80" i="126" s="1"/>
  <c r="D81" i="126" s="1"/>
  <c r="E75" i="126"/>
  <c r="E74" i="126"/>
  <c r="D73" i="126"/>
  <c r="D74" i="126" s="1"/>
  <c r="D75" i="126" s="1"/>
  <c r="D72" i="126"/>
  <c r="E70" i="126"/>
  <c r="E69" i="126"/>
  <c r="D68" i="126"/>
  <c r="D69" i="126" s="1"/>
  <c r="D70" i="126" s="1"/>
  <c r="BS64" i="126"/>
  <c r="D64" i="126"/>
  <c r="D65" i="126" s="1"/>
  <c r="D66" i="126" s="1"/>
  <c r="C64" i="126"/>
  <c r="C65" i="126" s="1"/>
  <c r="C66" i="126" s="1"/>
  <c r="C67" i="126" s="1"/>
  <c r="C68" i="126" s="1"/>
  <c r="C69" i="126" s="1"/>
  <c r="C70" i="126" s="1"/>
  <c r="C71" i="126" s="1"/>
  <c r="C72" i="126" s="1"/>
  <c r="C73" i="126" s="1"/>
  <c r="C74" i="126" s="1"/>
  <c r="C75" i="126" s="1"/>
  <c r="C76" i="126" s="1"/>
  <c r="C77" i="126" s="1"/>
  <c r="C78" i="126" s="1"/>
  <c r="C79" i="126" s="1"/>
  <c r="C80" i="126" s="1"/>
  <c r="C81" i="126" s="1"/>
  <c r="C82" i="126" s="1"/>
  <c r="C83" i="126" s="1"/>
  <c r="C84" i="126" s="1"/>
  <c r="C85" i="126" s="1"/>
  <c r="D63" i="126"/>
  <c r="C63" i="126"/>
  <c r="D60" i="126"/>
  <c r="D59" i="126"/>
  <c r="D54" i="126"/>
  <c r="D55" i="126" s="1"/>
  <c r="D57" i="126" s="1"/>
  <c r="D56" i="126" s="1"/>
  <c r="D52" i="126"/>
  <c r="D53" i="126" s="1"/>
  <c r="D49" i="126"/>
  <c r="D50" i="126" s="1"/>
  <c r="BS46" i="126"/>
  <c r="BS45" i="126"/>
  <c r="BS44" i="126"/>
  <c r="D44" i="126"/>
  <c r="D45" i="126" s="1"/>
  <c r="BS41" i="126"/>
  <c r="D41" i="126"/>
  <c r="BS40" i="126"/>
  <c r="BS39" i="126"/>
  <c r="D39" i="126"/>
  <c r="BS38" i="126"/>
  <c r="D37" i="126"/>
  <c r="D38" i="126" s="1"/>
  <c r="D40" i="126" s="1"/>
  <c r="D42" i="126" s="1"/>
  <c r="C37" i="126"/>
  <c r="C38" i="126" s="1"/>
  <c r="D33" i="126"/>
  <c r="D32" i="126"/>
  <c r="D34" i="126" s="1"/>
  <c r="BS30" i="126"/>
  <c r="BS29" i="126"/>
  <c r="D29" i="126"/>
  <c r="D30" i="126" s="1"/>
  <c r="BS27" i="126"/>
  <c r="BS25" i="126"/>
  <c r="D25" i="126"/>
  <c r="D27" i="126" s="1"/>
  <c r="BS23" i="126"/>
  <c r="BS22" i="126"/>
  <c r="BS21" i="126"/>
  <c r="D21" i="126"/>
  <c r="D22" i="126" s="1"/>
  <c r="D20" i="126"/>
  <c r="C20" i="126"/>
  <c r="C21" i="126" s="1"/>
  <c r="E15" i="126"/>
  <c r="D15" i="126"/>
  <c r="C15" i="126"/>
  <c r="C16" i="126" s="1"/>
  <c r="C17" i="126" s="1"/>
  <c r="C18" i="126" s="1"/>
  <c r="C11" i="126"/>
  <c r="C12" i="126" s="1"/>
  <c r="C13" i="126" s="1"/>
  <c r="B10" i="126"/>
  <c r="B11" i="126" s="1"/>
  <c r="B12" i="126" s="1"/>
  <c r="B13" i="126" s="1"/>
  <c r="B14" i="126" s="1"/>
  <c r="B15" i="126" s="1"/>
  <c r="B16" i="126" s="1"/>
  <c r="B17" i="126" s="1"/>
  <c r="B18" i="126" s="1"/>
  <c r="B19" i="126" s="1"/>
  <c r="B20" i="126" s="1"/>
  <c r="B21" i="126" s="1"/>
  <c r="B9" i="126"/>
  <c r="AM7" i="126"/>
  <c r="AN7" i="126" s="1"/>
  <c r="AO7" i="126" s="1"/>
  <c r="AP7" i="126" s="1"/>
  <c r="AQ7" i="126" s="1"/>
  <c r="AR7" i="126" s="1"/>
  <c r="AS7" i="126" s="1"/>
  <c r="AT7" i="126" s="1"/>
  <c r="AU7" i="126" s="1"/>
  <c r="AV7" i="126" s="1"/>
  <c r="AW7" i="126" s="1"/>
  <c r="AX7" i="126" s="1"/>
  <c r="AY7" i="126" s="1"/>
  <c r="AZ7" i="126" s="1"/>
  <c r="BA7" i="126" s="1"/>
  <c r="BB7" i="126" s="1"/>
  <c r="BC7" i="126" s="1"/>
  <c r="BD7" i="126" s="1"/>
  <c r="BE7" i="126" s="1"/>
  <c r="BF7" i="126" s="1"/>
  <c r="BG7" i="126" s="1"/>
  <c r="BH7" i="126" s="1"/>
  <c r="BI7" i="126" s="1"/>
  <c r="BJ7" i="126" s="1"/>
  <c r="BK7" i="126" s="1"/>
  <c r="BL7" i="126" s="1"/>
  <c r="BM7" i="126" s="1"/>
  <c r="G7" i="126"/>
  <c r="H7" i="126" s="1"/>
  <c r="I7" i="126" s="1"/>
  <c r="J7" i="126" s="1"/>
  <c r="K7" i="126" s="1"/>
  <c r="L7" i="126" s="1"/>
  <c r="M7" i="126" s="1"/>
  <c r="N7" i="126" s="1"/>
  <c r="O7" i="126" s="1"/>
  <c r="P7" i="126" s="1"/>
  <c r="Q7" i="126" s="1"/>
  <c r="R7" i="126" s="1"/>
  <c r="S7" i="126" s="1"/>
  <c r="T7" i="126" s="1"/>
  <c r="U7" i="126" s="1"/>
  <c r="V7" i="126" s="1"/>
  <c r="W7" i="126" s="1"/>
  <c r="X7" i="126" s="1"/>
  <c r="Y7" i="126" s="1"/>
  <c r="Z7" i="126" s="1"/>
  <c r="AA7" i="126" s="1"/>
  <c r="AB7" i="126" s="1"/>
  <c r="AC7" i="126" s="1"/>
  <c r="AD7" i="126" s="1"/>
  <c r="AE7" i="126" s="1"/>
  <c r="AF7" i="126" s="1"/>
  <c r="AG7" i="126" s="1"/>
  <c r="AM6" i="126"/>
  <c r="G6" i="126"/>
  <c r="B3" i="126"/>
  <c r="AH345" i="125"/>
  <c r="D345" i="125"/>
  <c r="D346" i="125" s="1"/>
  <c r="D344" i="125"/>
  <c r="D339" i="125"/>
  <c r="D337" i="125"/>
  <c r="BS335" i="125"/>
  <c r="BS334" i="125"/>
  <c r="D334" i="125"/>
  <c r="BS333" i="125"/>
  <c r="D333" i="125"/>
  <c r="D335" i="125" s="1"/>
  <c r="BS330" i="125"/>
  <c r="BS329" i="125"/>
  <c r="BS328" i="125"/>
  <c r="D327" i="125"/>
  <c r="D328" i="125" s="1"/>
  <c r="C327" i="125"/>
  <c r="C328" i="125" s="1"/>
  <c r="C330" i="125" s="1"/>
  <c r="C332" i="125" s="1"/>
  <c r="C335" i="125" s="1"/>
  <c r="C337" i="125" s="1"/>
  <c r="B327" i="125"/>
  <c r="B328" i="125" s="1"/>
  <c r="B326" i="125"/>
  <c r="E321" i="125"/>
  <c r="E320" i="125"/>
  <c r="E319" i="125"/>
  <c r="E318" i="125"/>
  <c r="D314" i="125"/>
  <c r="D315" i="125" s="1"/>
  <c r="D316" i="125" s="1"/>
  <c r="D317" i="125" s="1"/>
  <c r="D318" i="125" s="1"/>
  <c r="D319" i="125" s="1"/>
  <c r="D320" i="125" s="1"/>
  <c r="D321" i="125" s="1"/>
  <c r="D322" i="125" s="1"/>
  <c r="E312" i="125"/>
  <c r="E311" i="125"/>
  <c r="D309" i="125"/>
  <c r="D310" i="125" s="1"/>
  <c r="D311" i="125" s="1"/>
  <c r="D312" i="125" s="1"/>
  <c r="E307" i="125"/>
  <c r="E306" i="125"/>
  <c r="D305" i="125"/>
  <c r="D306" i="125" s="1"/>
  <c r="D307" i="125" s="1"/>
  <c r="BS301" i="125"/>
  <c r="D301" i="125"/>
  <c r="D302" i="125" s="1"/>
  <c r="D303" i="125" s="1"/>
  <c r="D300" i="125"/>
  <c r="C300" i="125"/>
  <c r="C301" i="125" s="1"/>
  <c r="C302" i="125" s="1"/>
  <c r="C303" i="125" s="1"/>
  <c r="C304" i="125" s="1"/>
  <c r="C305" i="125" s="1"/>
  <c r="C306" i="125" s="1"/>
  <c r="C307" i="125" s="1"/>
  <c r="C308" i="125" s="1"/>
  <c r="C309" i="125" s="1"/>
  <c r="C310" i="125" s="1"/>
  <c r="C311" i="125" s="1"/>
  <c r="C312" i="125" s="1"/>
  <c r="C313" i="125" s="1"/>
  <c r="C314" i="125" s="1"/>
  <c r="C315" i="125" s="1"/>
  <c r="C316" i="125" s="1"/>
  <c r="C317" i="125" s="1"/>
  <c r="C318" i="125" s="1"/>
  <c r="C319" i="125" s="1"/>
  <c r="C320" i="125" s="1"/>
  <c r="C321" i="125" s="1"/>
  <c r="C322" i="125" s="1"/>
  <c r="D297" i="125"/>
  <c r="D296" i="125"/>
  <c r="D290" i="125"/>
  <c r="D291" i="125" s="1"/>
  <c r="D292" i="125" s="1"/>
  <c r="D294" i="125" s="1"/>
  <c r="D293" i="125" s="1"/>
  <c r="D289" i="125"/>
  <c r="D287" i="125"/>
  <c r="D286" i="125"/>
  <c r="D284" i="125"/>
  <c r="BS283" i="125"/>
  <c r="BS282" i="125"/>
  <c r="D282" i="125"/>
  <c r="BS281" i="125"/>
  <c r="D281" i="125"/>
  <c r="D283" i="125" s="1"/>
  <c r="BS278" i="125"/>
  <c r="BS277" i="125"/>
  <c r="BS276" i="125"/>
  <c r="BS275" i="125"/>
  <c r="D275" i="125"/>
  <c r="D277" i="125" s="1"/>
  <c r="D279" i="125" s="1"/>
  <c r="D278" i="125" s="1"/>
  <c r="D274" i="125"/>
  <c r="C274" i="125"/>
  <c r="C275" i="125" s="1"/>
  <c r="D269" i="125"/>
  <c r="D270" i="125" s="1"/>
  <c r="BS267" i="125"/>
  <c r="BS266" i="125"/>
  <c r="D266" i="125"/>
  <c r="D267" i="125" s="1"/>
  <c r="BS264" i="125"/>
  <c r="D264" i="125"/>
  <c r="D263" i="125"/>
  <c r="BS262" i="125"/>
  <c r="D262" i="125"/>
  <c r="BS260" i="125"/>
  <c r="BS259" i="125"/>
  <c r="D259" i="125"/>
  <c r="BS258" i="125"/>
  <c r="D258" i="125"/>
  <c r="D260" i="125" s="1"/>
  <c r="D257" i="125"/>
  <c r="C257" i="125"/>
  <c r="C258" i="125" s="1"/>
  <c r="C260" i="125" s="1"/>
  <c r="C261" i="125" s="1"/>
  <c r="C262" i="125" s="1"/>
  <c r="E252" i="125"/>
  <c r="D252" i="125"/>
  <c r="C252" i="125"/>
  <c r="C253" i="125" s="1"/>
  <c r="C254" i="125" s="1"/>
  <c r="C255" i="125" s="1"/>
  <c r="C248" i="125"/>
  <c r="C249" i="125" s="1"/>
  <c r="C250" i="125" s="1"/>
  <c r="B247" i="125"/>
  <c r="B248" i="125" s="1"/>
  <c r="B249" i="125" s="1"/>
  <c r="B250" i="125" s="1"/>
  <c r="B251" i="125" s="1"/>
  <c r="B252" i="125" s="1"/>
  <c r="B253" i="125" s="1"/>
  <c r="B254" i="125" s="1"/>
  <c r="B255" i="125" s="1"/>
  <c r="B256" i="125" s="1"/>
  <c r="B257" i="125" s="1"/>
  <c r="B258" i="125" s="1"/>
  <c r="B246" i="125"/>
  <c r="D243" i="125"/>
  <c r="E242" i="125"/>
  <c r="E241" i="125"/>
  <c r="E240" i="125"/>
  <c r="E239" i="125"/>
  <c r="D235" i="125"/>
  <c r="D236" i="125" s="1"/>
  <c r="D237" i="125" s="1"/>
  <c r="D238" i="125" s="1"/>
  <c r="D239" i="125" s="1"/>
  <c r="D240" i="125" s="1"/>
  <c r="D241" i="125" s="1"/>
  <c r="D242" i="125" s="1"/>
  <c r="E233" i="125"/>
  <c r="E232" i="125"/>
  <c r="D231" i="125"/>
  <c r="D232" i="125" s="1"/>
  <c r="D233" i="125" s="1"/>
  <c r="D230" i="125"/>
  <c r="E228" i="125"/>
  <c r="E227" i="125"/>
  <c r="D226" i="125"/>
  <c r="D227" i="125" s="1"/>
  <c r="D228" i="125" s="1"/>
  <c r="BS222" i="125"/>
  <c r="C222" i="125"/>
  <c r="C223" i="125" s="1"/>
  <c r="C224" i="125" s="1"/>
  <c r="C225" i="125" s="1"/>
  <c r="C226" i="125" s="1"/>
  <c r="C227" i="125" s="1"/>
  <c r="C228" i="125" s="1"/>
  <c r="C229" i="125" s="1"/>
  <c r="C230" i="125" s="1"/>
  <c r="C231" i="125" s="1"/>
  <c r="C232" i="125" s="1"/>
  <c r="C233" i="125" s="1"/>
  <c r="C234" i="125" s="1"/>
  <c r="C235" i="125" s="1"/>
  <c r="C236" i="125" s="1"/>
  <c r="C237" i="125" s="1"/>
  <c r="C238" i="125" s="1"/>
  <c r="C239" i="125" s="1"/>
  <c r="C240" i="125" s="1"/>
  <c r="C241" i="125" s="1"/>
  <c r="C242" i="125" s="1"/>
  <c r="C243" i="125" s="1"/>
  <c r="D221" i="125"/>
  <c r="D222" i="125" s="1"/>
  <c r="D223" i="125" s="1"/>
  <c r="D224" i="125" s="1"/>
  <c r="C221" i="125"/>
  <c r="D218" i="125"/>
  <c r="D217" i="125"/>
  <c r="D213" i="125"/>
  <c r="D215" i="125" s="1"/>
  <c r="D214" i="125" s="1"/>
  <c r="D210" i="125"/>
  <c r="D211" i="125" s="1"/>
  <c r="D212" i="125" s="1"/>
  <c r="D207" i="125"/>
  <c r="D208" i="125" s="1"/>
  <c r="BS204" i="125"/>
  <c r="BS203" i="125"/>
  <c r="BS202" i="125"/>
  <c r="D202" i="125"/>
  <c r="BS199" i="125"/>
  <c r="BS198" i="125"/>
  <c r="BS197" i="125"/>
  <c r="BS196" i="125"/>
  <c r="C196" i="125"/>
  <c r="C197" i="125" s="1"/>
  <c r="D195" i="125"/>
  <c r="D196" i="125" s="1"/>
  <c r="C195" i="125"/>
  <c r="D192" i="125"/>
  <c r="D190" i="125"/>
  <c r="D191" i="125" s="1"/>
  <c r="BS188" i="125"/>
  <c r="BS187" i="125"/>
  <c r="D187" i="125"/>
  <c r="D188" i="125" s="1"/>
  <c r="BS185" i="125"/>
  <c r="D184" i="125"/>
  <c r="BS183" i="125"/>
  <c r="D183" i="125"/>
  <c r="D185" i="125" s="1"/>
  <c r="BS181" i="125"/>
  <c r="BS180" i="125"/>
  <c r="D180" i="125"/>
  <c r="BS179" i="125"/>
  <c r="D178" i="125"/>
  <c r="D179" i="125" s="1"/>
  <c r="D181" i="125" s="1"/>
  <c r="C178" i="125"/>
  <c r="C179" i="125" s="1"/>
  <c r="E173" i="125"/>
  <c r="D173" i="125"/>
  <c r="C173" i="125"/>
  <c r="C174" i="125" s="1"/>
  <c r="C175" i="125" s="1"/>
  <c r="C176" i="125" s="1"/>
  <c r="C169" i="125"/>
  <c r="C170" i="125" s="1"/>
  <c r="C171" i="125" s="1"/>
  <c r="B168" i="125"/>
  <c r="B169" i="125" s="1"/>
  <c r="B170" i="125" s="1"/>
  <c r="B171" i="125" s="1"/>
  <c r="B172" i="125" s="1"/>
  <c r="B173" i="125" s="1"/>
  <c r="B174" i="125" s="1"/>
  <c r="B175" i="125" s="1"/>
  <c r="B176" i="125" s="1"/>
  <c r="B177" i="125" s="1"/>
  <c r="B178" i="125" s="1"/>
  <c r="B179" i="125" s="1"/>
  <c r="B167" i="125"/>
  <c r="E163" i="125"/>
  <c r="E162" i="125"/>
  <c r="E161" i="125"/>
  <c r="E160" i="125"/>
  <c r="D156" i="125"/>
  <c r="D157" i="125" s="1"/>
  <c r="D158" i="125" s="1"/>
  <c r="D159" i="125" s="1"/>
  <c r="D160" i="125" s="1"/>
  <c r="D161" i="125" s="1"/>
  <c r="D162" i="125" s="1"/>
  <c r="D163" i="125" s="1"/>
  <c r="D164" i="125" s="1"/>
  <c r="E154" i="125"/>
  <c r="E153" i="125"/>
  <c r="D151" i="125"/>
  <c r="D152" i="125" s="1"/>
  <c r="D153" i="125" s="1"/>
  <c r="D154" i="125" s="1"/>
  <c r="E149" i="125"/>
  <c r="E148" i="125"/>
  <c r="D147" i="125"/>
  <c r="D148" i="125" s="1"/>
  <c r="D149" i="125" s="1"/>
  <c r="C145" i="125"/>
  <c r="C146" i="125" s="1"/>
  <c r="C147" i="125" s="1"/>
  <c r="C148" i="125" s="1"/>
  <c r="C149" i="125" s="1"/>
  <c r="C150" i="125" s="1"/>
  <c r="C151" i="125" s="1"/>
  <c r="C152" i="125" s="1"/>
  <c r="C153" i="125" s="1"/>
  <c r="C154" i="125" s="1"/>
  <c r="C155" i="125" s="1"/>
  <c r="C156" i="125" s="1"/>
  <c r="C157" i="125" s="1"/>
  <c r="C158" i="125" s="1"/>
  <c r="C159" i="125" s="1"/>
  <c r="C160" i="125" s="1"/>
  <c r="C161" i="125" s="1"/>
  <c r="C162" i="125" s="1"/>
  <c r="C163" i="125" s="1"/>
  <c r="C164" i="125" s="1"/>
  <c r="BS143" i="125"/>
  <c r="D142" i="125"/>
  <c r="D143" i="125" s="1"/>
  <c r="D144" i="125" s="1"/>
  <c r="D145" i="125" s="1"/>
  <c r="C142" i="125"/>
  <c r="C143" i="125" s="1"/>
  <c r="C144" i="125" s="1"/>
  <c r="D138" i="125"/>
  <c r="D139" i="125" s="1"/>
  <c r="D132" i="125"/>
  <c r="D133" i="125" s="1"/>
  <c r="D134" i="125" s="1"/>
  <c r="D136" i="125" s="1"/>
  <c r="D135" i="125" s="1"/>
  <c r="D131" i="125"/>
  <c r="D128" i="125"/>
  <c r="D129" i="125" s="1"/>
  <c r="BS125" i="125"/>
  <c r="D125" i="125"/>
  <c r="D126" i="125" s="1"/>
  <c r="BS124" i="125"/>
  <c r="BS123" i="125"/>
  <c r="D123" i="125"/>
  <c r="D124" i="125" s="1"/>
  <c r="BS120" i="125"/>
  <c r="BS119" i="125"/>
  <c r="C119" i="125"/>
  <c r="C121" i="125" s="1"/>
  <c r="C120" i="125" s="1"/>
  <c r="C122" i="125" s="1"/>
  <c r="C123" i="125" s="1"/>
  <c r="BS118" i="125"/>
  <c r="BS117" i="125"/>
  <c r="C117" i="125"/>
  <c r="C118" i="125" s="1"/>
  <c r="D116" i="125"/>
  <c r="D117" i="125" s="1"/>
  <c r="C116" i="125"/>
  <c r="D111" i="125"/>
  <c r="D112" i="125" s="1"/>
  <c r="BS109" i="125"/>
  <c r="BS108" i="125"/>
  <c r="D108" i="125"/>
  <c r="D109" i="125" s="1"/>
  <c r="BS106" i="125"/>
  <c r="BS104" i="125"/>
  <c r="D104" i="125"/>
  <c r="D105" i="125" s="1"/>
  <c r="BS102" i="125"/>
  <c r="BS101" i="125"/>
  <c r="BS100" i="125"/>
  <c r="D99" i="125"/>
  <c r="D100" i="125" s="1"/>
  <c r="C99" i="125"/>
  <c r="C100" i="125" s="1"/>
  <c r="C95" i="125"/>
  <c r="C96" i="125" s="1"/>
  <c r="C97" i="125" s="1"/>
  <c r="E94" i="125"/>
  <c r="D94" i="125"/>
  <c r="C94" i="125"/>
  <c r="C91" i="125"/>
  <c r="C92" i="125" s="1"/>
  <c r="C90" i="125"/>
  <c r="B88" i="125"/>
  <c r="B89" i="125" s="1"/>
  <c r="B90" i="125" s="1"/>
  <c r="B91" i="125" s="1"/>
  <c r="B92" i="125" s="1"/>
  <c r="B93" i="125" s="1"/>
  <c r="B94" i="125" s="1"/>
  <c r="B95" i="125" s="1"/>
  <c r="B96" i="125" s="1"/>
  <c r="B97" i="125" s="1"/>
  <c r="B98" i="125" s="1"/>
  <c r="B99" i="125" s="1"/>
  <c r="B100" i="125" s="1"/>
  <c r="AH84" i="125"/>
  <c r="E84" i="125"/>
  <c r="E83" i="125"/>
  <c r="C83" i="125"/>
  <c r="C84" i="125" s="1"/>
  <c r="C85" i="125" s="1"/>
  <c r="AH82" i="125"/>
  <c r="E82" i="125"/>
  <c r="E81" i="125"/>
  <c r="AH80" i="125"/>
  <c r="AH78" i="125"/>
  <c r="D77" i="125"/>
  <c r="D78" i="125" s="1"/>
  <c r="D79" i="125" s="1"/>
  <c r="D80" i="125" s="1"/>
  <c r="D81" i="125" s="1"/>
  <c r="D82" i="125" s="1"/>
  <c r="D83" i="125" s="1"/>
  <c r="D84" i="125" s="1"/>
  <c r="D85" i="125" s="1"/>
  <c r="E75" i="125"/>
  <c r="E74" i="125"/>
  <c r="D72" i="125"/>
  <c r="D73" i="125" s="1"/>
  <c r="D74" i="125" s="1"/>
  <c r="D75" i="125" s="1"/>
  <c r="E70" i="125"/>
  <c r="E69" i="125"/>
  <c r="D68" i="125"/>
  <c r="D69" i="125" s="1"/>
  <c r="D70" i="125" s="1"/>
  <c r="BS64" i="125"/>
  <c r="C64" i="125"/>
  <c r="C65" i="125" s="1"/>
  <c r="C66" i="125" s="1"/>
  <c r="C67" i="125" s="1"/>
  <c r="C68" i="125" s="1"/>
  <c r="C69" i="125" s="1"/>
  <c r="C70" i="125" s="1"/>
  <c r="C71" i="125" s="1"/>
  <c r="C72" i="125" s="1"/>
  <c r="C73" i="125" s="1"/>
  <c r="C74" i="125" s="1"/>
  <c r="C75" i="125" s="1"/>
  <c r="C76" i="125" s="1"/>
  <c r="C77" i="125" s="1"/>
  <c r="C78" i="125" s="1"/>
  <c r="C79" i="125" s="1"/>
  <c r="C80" i="125" s="1"/>
  <c r="C81" i="125" s="1"/>
  <c r="C82" i="125" s="1"/>
  <c r="D63" i="125"/>
  <c r="D64" i="125" s="1"/>
  <c r="D65" i="125" s="1"/>
  <c r="D66" i="125" s="1"/>
  <c r="C63" i="125"/>
  <c r="D60" i="125"/>
  <c r="D59" i="125"/>
  <c r="D52" i="125"/>
  <c r="D53" i="125" s="1"/>
  <c r="D54" i="125" s="1"/>
  <c r="D55" i="125" s="1"/>
  <c r="D57" i="125" s="1"/>
  <c r="D56" i="125" s="1"/>
  <c r="D49" i="125"/>
  <c r="D50" i="125" s="1"/>
  <c r="BS46" i="125"/>
  <c r="BS45" i="125"/>
  <c r="BS44" i="125"/>
  <c r="D44" i="125"/>
  <c r="D45" i="125" s="1"/>
  <c r="BS41" i="125"/>
  <c r="BS40" i="125"/>
  <c r="BS39" i="125"/>
  <c r="BS38" i="125"/>
  <c r="D37" i="125"/>
  <c r="D38" i="125" s="1"/>
  <c r="C37" i="125"/>
  <c r="C38" i="125" s="1"/>
  <c r="D33" i="125"/>
  <c r="D32" i="125"/>
  <c r="D34" i="125" s="1"/>
  <c r="BS30" i="125"/>
  <c r="BS29" i="125"/>
  <c r="D29" i="125"/>
  <c r="D30" i="125" s="1"/>
  <c r="BS27" i="125"/>
  <c r="BS25" i="125"/>
  <c r="D25" i="125"/>
  <c r="D27" i="125" s="1"/>
  <c r="BS23" i="125"/>
  <c r="BS22" i="125"/>
  <c r="BS21" i="125"/>
  <c r="D21" i="125"/>
  <c r="D22" i="125" s="1"/>
  <c r="C21" i="125"/>
  <c r="D20" i="125"/>
  <c r="C20" i="125"/>
  <c r="E15" i="125"/>
  <c r="D15" i="125"/>
  <c r="C15" i="125"/>
  <c r="C16" i="125" s="1"/>
  <c r="C17" i="125" s="1"/>
  <c r="C18" i="125" s="1"/>
  <c r="C11" i="125"/>
  <c r="C12" i="125" s="1"/>
  <c r="C13" i="125" s="1"/>
  <c r="B9" i="125"/>
  <c r="B10" i="125" s="1"/>
  <c r="B11" i="125" s="1"/>
  <c r="B12" i="125" s="1"/>
  <c r="B13" i="125" s="1"/>
  <c r="B14" i="125" s="1"/>
  <c r="B15" i="125" s="1"/>
  <c r="B16" i="125" s="1"/>
  <c r="B17" i="125" s="1"/>
  <c r="B18" i="125" s="1"/>
  <c r="B19" i="125" s="1"/>
  <c r="B20" i="125" s="1"/>
  <c r="B21" i="125" s="1"/>
  <c r="AR7" i="125"/>
  <c r="AS7" i="125" s="1"/>
  <c r="AT7" i="125" s="1"/>
  <c r="AU7" i="125" s="1"/>
  <c r="AV7" i="125" s="1"/>
  <c r="AW7" i="125" s="1"/>
  <c r="AX7" i="125" s="1"/>
  <c r="AY7" i="125" s="1"/>
  <c r="AZ7" i="125" s="1"/>
  <c r="BA7" i="125" s="1"/>
  <c r="BB7" i="125" s="1"/>
  <c r="BC7" i="125" s="1"/>
  <c r="BD7" i="125" s="1"/>
  <c r="BE7" i="125" s="1"/>
  <c r="BF7" i="125" s="1"/>
  <c r="BG7" i="125" s="1"/>
  <c r="BH7" i="125" s="1"/>
  <c r="BI7" i="125" s="1"/>
  <c r="BJ7" i="125" s="1"/>
  <c r="BK7" i="125" s="1"/>
  <c r="BL7" i="125" s="1"/>
  <c r="BM7" i="125" s="1"/>
  <c r="AM7" i="125"/>
  <c r="AN7" i="125" s="1"/>
  <c r="AO7" i="125" s="1"/>
  <c r="AP7" i="125" s="1"/>
  <c r="AQ7" i="125" s="1"/>
  <c r="G7" i="125"/>
  <c r="H7" i="125" s="1"/>
  <c r="I7" i="125" s="1"/>
  <c r="J7" i="125" s="1"/>
  <c r="K7" i="125" s="1"/>
  <c r="L7" i="125" s="1"/>
  <c r="M7" i="125" s="1"/>
  <c r="N7" i="125" s="1"/>
  <c r="O7" i="125" s="1"/>
  <c r="P7" i="125" s="1"/>
  <c r="Q7" i="125" s="1"/>
  <c r="R7" i="125" s="1"/>
  <c r="S7" i="125" s="1"/>
  <c r="T7" i="125" s="1"/>
  <c r="U7" i="125" s="1"/>
  <c r="V7" i="125" s="1"/>
  <c r="W7" i="125" s="1"/>
  <c r="X7" i="125" s="1"/>
  <c r="Y7" i="125" s="1"/>
  <c r="Z7" i="125" s="1"/>
  <c r="AA7" i="125" s="1"/>
  <c r="AB7" i="125" s="1"/>
  <c r="AC7" i="125" s="1"/>
  <c r="AD7" i="125" s="1"/>
  <c r="AE7" i="125" s="1"/>
  <c r="AF7" i="125" s="1"/>
  <c r="AG7" i="125" s="1"/>
  <c r="AM6" i="125"/>
  <c r="G6" i="125"/>
  <c r="B3" i="125"/>
  <c r="AH345" i="124"/>
  <c r="D344" i="124"/>
  <c r="D345" i="124" s="1"/>
  <c r="D346" i="124" s="1"/>
  <c r="D339" i="124"/>
  <c r="D337" i="124"/>
  <c r="BS335" i="124"/>
  <c r="BS334" i="124"/>
  <c r="BS333" i="124"/>
  <c r="D333" i="124"/>
  <c r="BS330" i="124"/>
  <c r="C330" i="124"/>
  <c r="C332" i="124" s="1"/>
  <c r="C335" i="124" s="1"/>
  <c r="C337" i="124" s="1"/>
  <c r="BS329" i="124"/>
  <c r="BS328" i="124"/>
  <c r="C328" i="124"/>
  <c r="C329" i="124" s="1"/>
  <c r="C331" i="124" s="1"/>
  <c r="C333" i="124" s="1"/>
  <c r="D327" i="124"/>
  <c r="D328" i="124" s="1"/>
  <c r="C327" i="124"/>
  <c r="B326" i="124"/>
  <c r="B327" i="124" s="1"/>
  <c r="B328" i="124" s="1"/>
  <c r="B329" i="124" s="1"/>
  <c r="B331" i="124" s="1"/>
  <c r="B333" i="124" s="1"/>
  <c r="E321" i="124"/>
  <c r="E320" i="124"/>
  <c r="E319" i="124"/>
  <c r="E318" i="124"/>
  <c r="D314" i="124"/>
  <c r="D315" i="124" s="1"/>
  <c r="D316" i="124" s="1"/>
  <c r="D317" i="124" s="1"/>
  <c r="D318" i="124" s="1"/>
  <c r="D319" i="124" s="1"/>
  <c r="D320" i="124" s="1"/>
  <c r="D321" i="124" s="1"/>
  <c r="D322" i="124" s="1"/>
  <c r="E312" i="124"/>
  <c r="E311" i="124"/>
  <c r="D309" i="124"/>
  <c r="D310" i="124" s="1"/>
  <c r="D311" i="124" s="1"/>
  <c r="D312" i="124" s="1"/>
  <c r="E307" i="124"/>
  <c r="E306" i="124"/>
  <c r="D305" i="124"/>
  <c r="D306" i="124" s="1"/>
  <c r="D307" i="124" s="1"/>
  <c r="BS301" i="124"/>
  <c r="D301" i="124"/>
  <c r="D302" i="124" s="1"/>
  <c r="D303" i="124" s="1"/>
  <c r="C301" i="124"/>
  <c r="C302" i="124" s="1"/>
  <c r="C303" i="124" s="1"/>
  <c r="C304" i="124" s="1"/>
  <c r="C305" i="124" s="1"/>
  <c r="C306" i="124" s="1"/>
  <c r="C307" i="124" s="1"/>
  <c r="C308" i="124" s="1"/>
  <c r="C309" i="124" s="1"/>
  <c r="C310" i="124" s="1"/>
  <c r="C311" i="124" s="1"/>
  <c r="C312" i="124" s="1"/>
  <c r="C313" i="124" s="1"/>
  <c r="C314" i="124" s="1"/>
  <c r="C315" i="124" s="1"/>
  <c r="C316" i="124" s="1"/>
  <c r="C317" i="124" s="1"/>
  <c r="C318" i="124" s="1"/>
  <c r="C319" i="124" s="1"/>
  <c r="C320" i="124" s="1"/>
  <c r="C321" i="124" s="1"/>
  <c r="C322" i="124" s="1"/>
  <c r="D300" i="124"/>
  <c r="C300" i="124"/>
  <c r="D297" i="124"/>
  <c r="D296" i="124"/>
  <c r="D290" i="124"/>
  <c r="D291" i="124" s="1"/>
  <c r="D292" i="124" s="1"/>
  <c r="D294" i="124" s="1"/>
  <c r="D293" i="124" s="1"/>
  <c r="D289" i="124"/>
  <c r="D287" i="124"/>
  <c r="D286" i="124"/>
  <c r="C285" i="124"/>
  <c r="C286" i="124" s="1"/>
  <c r="C287" i="124" s="1"/>
  <c r="C288" i="124" s="1"/>
  <c r="C289" i="124" s="1"/>
  <c r="C290" i="124" s="1"/>
  <c r="C291" i="124" s="1"/>
  <c r="C292" i="124" s="1"/>
  <c r="C294" i="124" s="1"/>
  <c r="C293" i="124" s="1"/>
  <c r="C295" i="124" s="1"/>
  <c r="C296" i="124" s="1"/>
  <c r="C297" i="124" s="1"/>
  <c r="C298" i="124" s="1"/>
  <c r="BS283" i="124"/>
  <c r="BS282" i="124"/>
  <c r="D282" i="124"/>
  <c r="BS281" i="124"/>
  <c r="D281" i="124"/>
  <c r="D283" i="124" s="1"/>
  <c r="D284" i="124" s="1"/>
  <c r="C279" i="124"/>
  <c r="C278" i="124" s="1"/>
  <c r="C280" i="124" s="1"/>
  <c r="C281" i="124" s="1"/>
  <c r="C283" i="124" s="1"/>
  <c r="C284" i="124" s="1"/>
  <c r="BS278" i="124"/>
  <c r="BS277" i="124"/>
  <c r="C277" i="124"/>
  <c r="BS276" i="124"/>
  <c r="C276" i="124"/>
  <c r="BS275" i="124"/>
  <c r="C275" i="124"/>
  <c r="D274" i="124"/>
  <c r="D275" i="124" s="1"/>
  <c r="D276" i="124" s="1"/>
  <c r="C274" i="124"/>
  <c r="D270" i="124"/>
  <c r="D269" i="124"/>
  <c r="D271" i="124" s="1"/>
  <c r="BS267" i="124"/>
  <c r="BS266" i="124"/>
  <c r="D266" i="124"/>
  <c r="D267" i="124" s="1"/>
  <c r="BS264" i="124"/>
  <c r="D264" i="124"/>
  <c r="D263" i="124"/>
  <c r="BS262" i="124"/>
  <c r="D262" i="124"/>
  <c r="BS260" i="124"/>
  <c r="BS259" i="124"/>
  <c r="D259" i="124"/>
  <c r="BS258" i="124"/>
  <c r="D257" i="124"/>
  <c r="D258" i="124" s="1"/>
  <c r="D260" i="124" s="1"/>
  <c r="C257" i="124"/>
  <c r="C258" i="124" s="1"/>
  <c r="E252" i="124"/>
  <c r="D252" i="124"/>
  <c r="C252" i="124"/>
  <c r="C253" i="124" s="1"/>
  <c r="C254" i="124" s="1"/>
  <c r="C255" i="124" s="1"/>
  <c r="C248" i="124"/>
  <c r="C249" i="124" s="1"/>
  <c r="C250" i="124" s="1"/>
  <c r="B246" i="124"/>
  <c r="B247" i="124" s="1"/>
  <c r="B248" i="124" s="1"/>
  <c r="B249" i="124" s="1"/>
  <c r="B250" i="124" s="1"/>
  <c r="B251" i="124" s="1"/>
  <c r="B252" i="124" s="1"/>
  <c r="B253" i="124" s="1"/>
  <c r="B254" i="124" s="1"/>
  <c r="B255" i="124" s="1"/>
  <c r="B256" i="124" s="1"/>
  <c r="B257" i="124" s="1"/>
  <c r="B258" i="124" s="1"/>
  <c r="E242" i="124"/>
  <c r="E241" i="124"/>
  <c r="E240" i="124"/>
  <c r="E239" i="124"/>
  <c r="D236" i="124"/>
  <c r="D237" i="124" s="1"/>
  <c r="D238" i="124" s="1"/>
  <c r="D239" i="124" s="1"/>
  <c r="D240" i="124" s="1"/>
  <c r="D241" i="124" s="1"/>
  <c r="D242" i="124" s="1"/>
  <c r="D243" i="124" s="1"/>
  <c r="D235" i="124"/>
  <c r="E233" i="124"/>
  <c r="E232" i="124"/>
  <c r="D231" i="124"/>
  <c r="D232" i="124" s="1"/>
  <c r="D233" i="124" s="1"/>
  <c r="D230" i="124"/>
  <c r="E228" i="124"/>
  <c r="E227" i="124"/>
  <c r="C227" i="124"/>
  <c r="C228" i="124" s="1"/>
  <c r="C229" i="124" s="1"/>
  <c r="C230" i="124" s="1"/>
  <c r="C231" i="124" s="1"/>
  <c r="C232" i="124" s="1"/>
  <c r="C233" i="124" s="1"/>
  <c r="C234" i="124" s="1"/>
  <c r="C235" i="124" s="1"/>
  <c r="C236" i="124" s="1"/>
  <c r="C237" i="124" s="1"/>
  <c r="C238" i="124" s="1"/>
  <c r="C239" i="124" s="1"/>
  <c r="C240" i="124" s="1"/>
  <c r="C241" i="124" s="1"/>
  <c r="C242" i="124" s="1"/>
  <c r="C243" i="124" s="1"/>
  <c r="D226" i="124"/>
  <c r="D227" i="124" s="1"/>
  <c r="D228" i="124" s="1"/>
  <c r="C223" i="124"/>
  <c r="C224" i="124" s="1"/>
  <c r="C225" i="124" s="1"/>
  <c r="C226" i="124" s="1"/>
  <c r="BS222" i="124"/>
  <c r="C222" i="124"/>
  <c r="D221" i="124"/>
  <c r="D222" i="124" s="1"/>
  <c r="D223" i="124" s="1"/>
  <c r="D224" i="124" s="1"/>
  <c r="C221" i="124"/>
  <c r="D217" i="124"/>
  <c r="D218" i="124" s="1"/>
  <c r="D212" i="124"/>
  <c r="D213" i="124" s="1"/>
  <c r="D215" i="124" s="1"/>
  <c r="D214" i="124" s="1"/>
  <c r="D210" i="124"/>
  <c r="D211" i="124" s="1"/>
  <c r="D207" i="124"/>
  <c r="D208" i="124" s="1"/>
  <c r="BS204" i="124"/>
  <c r="BS203" i="124"/>
  <c r="D203" i="124"/>
  <c r="BS202" i="124"/>
  <c r="D202" i="124"/>
  <c r="D204" i="124" s="1"/>
  <c r="D205" i="124" s="1"/>
  <c r="BS199" i="124"/>
  <c r="BS198" i="124"/>
  <c r="BS197" i="124"/>
  <c r="BS196" i="124"/>
  <c r="D195" i="124"/>
  <c r="D196" i="124" s="1"/>
  <c r="C195" i="124"/>
  <c r="C196" i="124" s="1"/>
  <c r="D190" i="124"/>
  <c r="BS188" i="124"/>
  <c r="BS187" i="124"/>
  <c r="D187" i="124"/>
  <c r="D188" i="124" s="1"/>
  <c r="BS185" i="124"/>
  <c r="D185" i="124"/>
  <c r="BS183" i="124"/>
  <c r="D183" i="124"/>
  <c r="D184" i="124" s="1"/>
  <c r="BS181" i="124"/>
  <c r="BS180" i="124"/>
  <c r="D180" i="124"/>
  <c r="BS179" i="124"/>
  <c r="D179" i="124"/>
  <c r="D181" i="124" s="1"/>
  <c r="C179" i="124"/>
  <c r="D178" i="124"/>
  <c r="C178" i="124"/>
  <c r="C175" i="124"/>
  <c r="C176" i="124" s="1"/>
  <c r="E173" i="124"/>
  <c r="D173" i="124"/>
  <c r="C173" i="124"/>
  <c r="C174" i="124" s="1"/>
  <c r="C169" i="124"/>
  <c r="C170" i="124" s="1"/>
  <c r="C171" i="124" s="1"/>
  <c r="B167" i="124"/>
  <c r="B168" i="124" s="1"/>
  <c r="B169" i="124" s="1"/>
  <c r="B170" i="124" s="1"/>
  <c r="B171" i="124" s="1"/>
  <c r="B172" i="124" s="1"/>
  <c r="B173" i="124" s="1"/>
  <c r="B174" i="124" s="1"/>
  <c r="B175" i="124" s="1"/>
  <c r="B176" i="124" s="1"/>
  <c r="B177" i="124" s="1"/>
  <c r="B178" i="124" s="1"/>
  <c r="B179" i="124" s="1"/>
  <c r="E163" i="124"/>
  <c r="E162" i="124"/>
  <c r="E161" i="124"/>
  <c r="E160" i="124"/>
  <c r="D156" i="124"/>
  <c r="D157" i="124" s="1"/>
  <c r="D158" i="124" s="1"/>
  <c r="D159" i="124" s="1"/>
  <c r="D160" i="124" s="1"/>
  <c r="D161" i="124" s="1"/>
  <c r="D162" i="124" s="1"/>
  <c r="D163" i="124" s="1"/>
  <c r="D164" i="124" s="1"/>
  <c r="E154" i="124"/>
  <c r="E153" i="124"/>
  <c r="D151" i="124"/>
  <c r="D152" i="124" s="1"/>
  <c r="D153" i="124" s="1"/>
  <c r="D154" i="124" s="1"/>
  <c r="E149" i="124"/>
  <c r="E148" i="124"/>
  <c r="D148" i="124"/>
  <c r="D149" i="124" s="1"/>
  <c r="D147" i="124"/>
  <c r="BS143" i="124"/>
  <c r="D142" i="124"/>
  <c r="D143" i="124" s="1"/>
  <c r="D144" i="124" s="1"/>
  <c r="D145" i="124" s="1"/>
  <c r="C142" i="124"/>
  <c r="C143" i="124" s="1"/>
  <c r="C144" i="124" s="1"/>
  <c r="C145" i="124" s="1"/>
  <c r="C146" i="124" s="1"/>
  <c r="C147" i="124" s="1"/>
  <c r="C148" i="124" s="1"/>
  <c r="C149" i="124" s="1"/>
  <c r="C150" i="124" s="1"/>
  <c r="C151" i="124" s="1"/>
  <c r="C152" i="124" s="1"/>
  <c r="C153" i="124" s="1"/>
  <c r="C154" i="124" s="1"/>
  <c r="C155" i="124" s="1"/>
  <c r="C156" i="124" s="1"/>
  <c r="C157" i="124" s="1"/>
  <c r="C158" i="124" s="1"/>
  <c r="C159" i="124" s="1"/>
  <c r="C160" i="124" s="1"/>
  <c r="C161" i="124" s="1"/>
  <c r="C162" i="124" s="1"/>
  <c r="C163" i="124" s="1"/>
  <c r="C164" i="124" s="1"/>
  <c r="D138" i="124"/>
  <c r="D139" i="124" s="1"/>
  <c r="D132" i="124"/>
  <c r="D133" i="124" s="1"/>
  <c r="D134" i="124" s="1"/>
  <c r="D136" i="124" s="1"/>
  <c r="D135" i="124" s="1"/>
  <c r="D131" i="124"/>
  <c r="D129" i="124"/>
  <c r="D128" i="124"/>
  <c r="BS125" i="124"/>
  <c r="BS124" i="124"/>
  <c r="D124" i="124"/>
  <c r="BS123" i="124"/>
  <c r="D123" i="124"/>
  <c r="D125" i="124" s="1"/>
  <c r="D126" i="124" s="1"/>
  <c r="BS120" i="124"/>
  <c r="BS119" i="124"/>
  <c r="D119" i="124"/>
  <c r="D121" i="124" s="1"/>
  <c r="D120" i="124" s="1"/>
  <c r="BS118" i="124"/>
  <c r="BS117" i="124"/>
  <c r="D117" i="124"/>
  <c r="D118" i="124" s="1"/>
  <c r="D116" i="124"/>
  <c r="C116" i="124"/>
  <c r="C117" i="124" s="1"/>
  <c r="D111" i="124"/>
  <c r="BS109" i="124"/>
  <c r="BS108" i="124"/>
  <c r="D108" i="124"/>
  <c r="D109" i="124" s="1"/>
  <c r="BS106" i="124"/>
  <c r="BS104" i="124"/>
  <c r="D104" i="124"/>
  <c r="D105" i="124" s="1"/>
  <c r="BS102" i="124"/>
  <c r="BS101" i="124"/>
  <c r="BS100" i="124"/>
  <c r="D99" i="124"/>
  <c r="D100" i="124" s="1"/>
  <c r="C99" i="124"/>
  <c r="C100" i="124" s="1"/>
  <c r="C95" i="124"/>
  <c r="C96" i="124" s="1"/>
  <c r="C97" i="124" s="1"/>
  <c r="E94" i="124"/>
  <c r="D94" i="124"/>
  <c r="C94" i="124"/>
  <c r="C90" i="124"/>
  <c r="C91" i="124" s="1"/>
  <c r="C92" i="124" s="1"/>
  <c r="B88" i="124"/>
  <c r="B89" i="124" s="1"/>
  <c r="B90" i="124" s="1"/>
  <c r="B91" i="124" s="1"/>
  <c r="B92" i="124" s="1"/>
  <c r="B93" i="124" s="1"/>
  <c r="B94" i="124" s="1"/>
  <c r="B95" i="124" s="1"/>
  <c r="B96" i="124" s="1"/>
  <c r="B97" i="124" s="1"/>
  <c r="B98" i="124" s="1"/>
  <c r="B99" i="124" s="1"/>
  <c r="B100" i="124" s="1"/>
  <c r="AH84" i="124"/>
  <c r="E84" i="124"/>
  <c r="E83" i="124"/>
  <c r="AH82" i="124"/>
  <c r="E82" i="124"/>
  <c r="E81" i="124"/>
  <c r="AH80" i="124"/>
  <c r="AH78" i="124"/>
  <c r="D77" i="124"/>
  <c r="D78" i="124" s="1"/>
  <c r="D79" i="124" s="1"/>
  <c r="D80" i="124" s="1"/>
  <c r="D81" i="124" s="1"/>
  <c r="D82" i="124" s="1"/>
  <c r="D83" i="124" s="1"/>
  <c r="D84" i="124" s="1"/>
  <c r="D85" i="124" s="1"/>
  <c r="E75" i="124"/>
  <c r="E74" i="124"/>
  <c r="D73" i="124"/>
  <c r="D74" i="124" s="1"/>
  <c r="D75" i="124" s="1"/>
  <c r="D72" i="124"/>
  <c r="E70" i="124"/>
  <c r="E69" i="124"/>
  <c r="D69" i="124"/>
  <c r="D70" i="124" s="1"/>
  <c r="D68" i="124"/>
  <c r="BS64" i="124"/>
  <c r="D64" i="124"/>
  <c r="D65" i="124" s="1"/>
  <c r="D66" i="124" s="1"/>
  <c r="C64" i="124"/>
  <c r="C65" i="124" s="1"/>
  <c r="C66" i="124" s="1"/>
  <c r="C67" i="124" s="1"/>
  <c r="C68" i="124" s="1"/>
  <c r="C69" i="124" s="1"/>
  <c r="C70" i="124" s="1"/>
  <c r="C71" i="124" s="1"/>
  <c r="C72" i="124" s="1"/>
  <c r="C73" i="124" s="1"/>
  <c r="C74" i="124" s="1"/>
  <c r="C75" i="124" s="1"/>
  <c r="C76" i="124" s="1"/>
  <c r="C77" i="124" s="1"/>
  <c r="C78" i="124" s="1"/>
  <c r="C79" i="124" s="1"/>
  <c r="C80" i="124" s="1"/>
  <c r="C81" i="124" s="1"/>
  <c r="C82" i="124" s="1"/>
  <c r="C83" i="124" s="1"/>
  <c r="C84" i="124" s="1"/>
  <c r="C85" i="124" s="1"/>
  <c r="D63" i="124"/>
  <c r="C63" i="124"/>
  <c r="D60" i="124"/>
  <c r="D59" i="124"/>
  <c r="D53" i="124"/>
  <c r="D54" i="124" s="1"/>
  <c r="D55" i="124" s="1"/>
  <c r="D57" i="124" s="1"/>
  <c r="D56" i="124" s="1"/>
  <c r="D52" i="124"/>
  <c r="D49" i="124"/>
  <c r="D50" i="124" s="1"/>
  <c r="BS46" i="124"/>
  <c r="BS45" i="124"/>
  <c r="BS44" i="124"/>
  <c r="D44" i="124"/>
  <c r="D46" i="124" s="1"/>
  <c r="D47" i="124" s="1"/>
  <c r="BS41" i="124"/>
  <c r="BS40" i="124"/>
  <c r="BS39" i="124"/>
  <c r="BS38" i="124"/>
  <c r="C38" i="124"/>
  <c r="C39" i="124" s="1"/>
  <c r="D37" i="124"/>
  <c r="D38" i="124" s="1"/>
  <c r="C37" i="124"/>
  <c r="D34" i="124"/>
  <c r="D32" i="124"/>
  <c r="D33" i="124" s="1"/>
  <c r="BS30" i="124"/>
  <c r="BS29" i="124"/>
  <c r="D29" i="124"/>
  <c r="D30" i="124" s="1"/>
  <c r="BS27" i="124"/>
  <c r="BS25" i="124"/>
  <c r="D25" i="124"/>
  <c r="D26" i="124" s="1"/>
  <c r="BS23" i="124"/>
  <c r="BS22" i="124"/>
  <c r="C22" i="124"/>
  <c r="BS21" i="124"/>
  <c r="C21" i="124"/>
  <c r="C23" i="124" s="1"/>
  <c r="C24" i="124" s="1"/>
  <c r="C25" i="124" s="1"/>
  <c r="D20" i="124"/>
  <c r="D21" i="124" s="1"/>
  <c r="C20" i="124"/>
  <c r="B20" i="124"/>
  <c r="B21" i="124" s="1"/>
  <c r="E15" i="124"/>
  <c r="D15" i="124"/>
  <c r="C15" i="124"/>
  <c r="C16" i="124" s="1"/>
  <c r="C17" i="124" s="1"/>
  <c r="C18" i="124" s="1"/>
  <c r="C11" i="124"/>
  <c r="C12" i="124" s="1"/>
  <c r="C13" i="124" s="1"/>
  <c r="B9" i="124"/>
  <c r="B10" i="124" s="1"/>
  <c r="B11" i="124" s="1"/>
  <c r="B12" i="124" s="1"/>
  <c r="B13" i="124" s="1"/>
  <c r="B14" i="124" s="1"/>
  <c r="B15" i="124" s="1"/>
  <c r="B16" i="124" s="1"/>
  <c r="B17" i="124" s="1"/>
  <c r="B18" i="124" s="1"/>
  <c r="B19" i="124" s="1"/>
  <c r="AM7" i="124"/>
  <c r="AN7" i="124" s="1"/>
  <c r="AO7" i="124" s="1"/>
  <c r="AP7" i="124" s="1"/>
  <c r="AQ7" i="124" s="1"/>
  <c r="AR7" i="124" s="1"/>
  <c r="AS7" i="124" s="1"/>
  <c r="AT7" i="124" s="1"/>
  <c r="AU7" i="124" s="1"/>
  <c r="AV7" i="124" s="1"/>
  <c r="AW7" i="124" s="1"/>
  <c r="AX7" i="124" s="1"/>
  <c r="AY7" i="124" s="1"/>
  <c r="AZ7" i="124" s="1"/>
  <c r="BA7" i="124" s="1"/>
  <c r="BB7" i="124" s="1"/>
  <c r="BC7" i="124" s="1"/>
  <c r="BD7" i="124" s="1"/>
  <c r="BE7" i="124" s="1"/>
  <c r="BF7" i="124" s="1"/>
  <c r="BG7" i="124" s="1"/>
  <c r="BH7" i="124" s="1"/>
  <c r="BI7" i="124" s="1"/>
  <c r="BJ7" i="124" s="1"/>
  <c r="BK7" i="124" s="1"/>
  <c r="BL7" i="124" s="1"/>
  <c r="BM7" i="124" s="1"/>
  <c r="G7" i="124"/>
  <c r="H7" i="124" s="1"/>
  <c r="I7" i="124" s="1"/>
  <c r="J7" i="124" s="1"/>
  <c r="K7" i="124" s="1"/>
  <c r="L7" i="124" s="1"/>
  <c r="M7" i="124" s="1"/>
  <c r="N7" i="124" s="1"/>
  <c r="O7" i="124" s="1"/>
  <c r="P7" i="124" s="1"/>
  <c r="Q7" i="124" s="1"/>
  <c r="R7" i="124" s="1"/>
  <c r="S7" i="124" s="1"/>
  <c r="T7" i="124" s="1"/>
  <c r="U7" i="124" s="1"/>
  <c r="V7" i="124" s="1"/>
  <c r="W7" i="124" s="1"/>
  <c r="X7" i="124" s="1"/>
  <c r="Y7" i="124" s="1"/>
  <c r="Z7" i="124" s="1"/>
  <c r="AA7" i="124" s="1"/>
  <c r="AB7" i="124" s="1"/>
  <c r="AC7" i="124" s="1"/>
  <c r="AD7" i="124" s="1"/>
  <c r="AE7" i="124" s="1"/>
  <c r="AF7" i="124" s="1"/>
  <c r="AG7" i="124" s="1"/>
  <c r="AM6" i="124"/>
  <c r="G6" i="124"/>
  <c r="B3" i="124"/>
  <c r="AH345" i="120"/>
  <c r="D344" i="120"/>
  <c r="D345" i="120" s="1"/>
  <c r="D346" i="120" s="1"/>
  <c r="D341" i="120"/>
  <c r="D342" i="120" s="1"/>
  <c r="D339" i="120"/>
  <c r="D340" i="120" s="1"/>
  <c r="D337" i="120"/>
  <c r="BS335" i="120"/>
  <c r="BS334" i="120"/>
  <c r="BS333" i="120"/>
  <c r="D333" i="120"/>
  <c r="D335" i="120" s="1"/>
  <c r="BS330" i="120"/>
  <c r="D330" i="120"/>
  <c r="BS329" i="120"/>
  <c r="BS328" i="120"/>
  <c r="D328" i="120"/>
  <c r="C328" i="120"/>
  <c r="C329" i="120" s="1"/>
  <c r="C331" i="120" s="1"/>
  <c r="C333" i="120" s="1"/>
  <c r="B328" i="120"/>
  <c r="B330" i="120" s="1"/>
  <c r="B332" i="120" s="1"/>
  <c r="B335" i="120" s="1"/>
  <c r="B337" i="120" s="1"/>
  <c r="D327" i="120"/>
  <c r="C327" i="120"/>
  <c r="B326" i="120"/>
  <c r="B327" i="120" s="1"/>
  <c r="E321" i="120"/>
  <c r="E320" i="120"/>
  <c r="E319" i="120"/>
  <c r="E318" i="120"/>
  <c r="D314" i="120"/>
  <c r="D315" i="120" s="1"/>
  <c r="D316" i="120" s="1"/>
  <c r="D317" i="120" s="1"/>
  <c r="D318" i="120" s="1"/>
  <c r="D319" i="120" s="1"/>
  <c r="D320" i="120" s="1"/>
  <c r="D321" i="120" s="1"/>
  <c r="D322" i="120" s="1"/>
  <c r="E312" i="120"/>
  <c r="E311" i="120"/>
  <c r="D310" i="120"/>
  <c r="D311" i="120" s="1"/>
  <c r="D312" i="120" s="1"/>
  <c r="D309" i="120"/>
  <c r="E307" i="120"/>
  <c r="C307" i="120"/>
  <c r="C308" i="120" s="1"/>
  <c r="C309" i="120" s="1"/>
  <c r="C310" i="120" s="1"/>
  <c r="C311" i="120" s="1"/>
  <c r="C312" i="120" s="1"/>
  <c r="C313" i="120" s="1"/>
  <c r="C314" i="120" s="1"/>
  <c r="C315" i="120" s="1"/>
  <c r="C316" i="120" s="1"/>
  <c r="C317" i="120" s="1"/>
  <c r="C318" i="120" s="1"/>
  <c r="C319" i="120" s="1"/>
  <c r="C320" i="120" s="1"/>
  <c r="C321" i="120" s="1"/>
  <c r="C322" i="120" s="1"/>
  <c r="E306" i="120"/>
  <c r="D305" i="120"/>
  <c r="D306" i="120" s="1"/>
  <c r="D307" i="120" s="1"/>
  <c r="BS301" i="120"/>
  <c r="D301" i="120"/>
  <c r="D302" i="120" s="1"/>
  <c r="D303" i="120" s="1"/>
  <c r="C301" i="120"/>
  <c r="C302" i="120" s="1"/>
  <c r="C303" i="120" s="1"/>
  <c r="C304" i="120" s="1"/>
  <c r="C305" i="120" s="1"/>
  <c r="C306" i="120" s="1"/>
  <c r="D300" i="120"/>
  <c r="C300" i="120"/>
  <c r="D297" i="120"/>
  <c r="D296" i="120"/>
  <c r="D289" i="120"/>
  <c r="D290" i="120" s="1"/>
  <c r="D291" i="120" s="1"/>
  <c r="D292" i="120" s="1"/>
  <c r="D294" i="120" s="1"/>
  <c r="D293" i="120" s="1"/>
  <c r="D286" i="120"/>
  <c r="D287" i="120" s="1"/>
  <c r="BS283" i="120"/>
  <c r="BS282" i="120"/>
  <c r="D282" i="120"/>
  <c r="BS281" i="120"/>
  <c r="D281" i="120"/>
  <c r="D283" i="120" s="1"/>
  <c r="D284" i="120" s="1"/>
  <c r="BS278" i="120"/>
  <c r="BS277" i="120"/>
  <c r="C277" i="120"/>
  <c r="C279" i="120" s="1"/>
  <c r="C278" i="120" s="1"/>
  <c r="C280" i="120" s="1"/>
  <c r="C281" i="120" s="1"/>
  <c r="BS276" i="120"/>
  <c r="C276" i="120"/>
  <c r="BS275" i="120"/>
  <c r="D275" i="120"/>
  <c r="D277" i="120" s="1"/>
  <c r="D279" i="120" s="1"/>
  <c r="D278" i="120" s="1"/>
  <c r="C275" i="120"/>
  <c r="D274" i="120"/>
  <c r="C274" i="120"/>
  <c r="D269" i="120"/>
  <c r="BS267" i="120"/>
  <c r="D267" i="120"/>
  <c r="BS266" i="120"/>
  <c r="D266" i="120"/>
  <c r="BS264" i="120"/>
  <c r="D264" i="120"/>
  <c r="BS262" i="120"/>
  <c r="D262" i="120"/>
  <c r="D263" i="120" s="1"/>
  <c r="BS260" i="120"/>
  <c r="BS259" i="120"/>
  <c r="BS258" i="120"/>
  <c r="C258" i="120"/>
  <c r="D257" i="120"/>
  <c r="D258" i="120" s="1"/>
  <c r="D260" i="120" s="1"/>
  <c r="C257" i="120"/>
  <c r="C254" i="120"/>
  <c r="C255" i="120" s="1"/>
  <c r="C253" i="120"/>
  <c r="E252" i="120"/>
  <c r="D252" i="120"/>
  <c r="C252" i="120"/>
  <c r="C248" i="120"/>
  <c r="C249" i="120" s="1"/>
  <c r="C250" i="120" s="1"/>
  <c r="B247" i="120"/>
  <c r="B248" i="120" s="1"/>
  <c r="B246" i="120"/>
  <c r="E242" i="120"/>
  <c r="E241" i="120"/>
  <c r="E240" i="120"/>
  <c r="E239" i="120"/>
  <c r="D236" i="120"/>
  <c r="D237" i="120" s="1"/>
  <c r="D238" i="120" s="1"/>
  <c r="D239" i="120" s="1"/>
  <c r="D240" i="120" s="1"/>
  <c r="D241" i="120" s="1"/>
  <c r="D242" i="120" s="1"/>
  <c r="D243" i="120" s="1"/>
  <c r="D235" i="120"/>
  <c r="E233" i="120"/>
  <c r="E232" i="120"/>
  <c r="D230" i="120"/>
  <c r="D231" i="120" s="1"/>
  <c r="D232" i="120" s="1"/>
  <c r="D233" i="120" s="1"/>
  <c r="E228" i="120"/>
  <c r="D228" i="120"/>
  <c r="E227" i="120"/>
  <c r="D227" i="120"/>
  <c r="D226" i="120"/>
  <c r="BS222" i="120"/>
  <c r="C222" i="120"/>
  <c r="C223" i="120" s="1"/>
  <c r="C224" i="120" s="1"/>
  <c r="C225" i="120" s="1"/>
  <c r="C226" i="120" s="1"/>
  <c r="C227" i="120" s="1"/>
  <c r="C228" i="120" s="1"/>
  <c r="C229" i="120" s="1"/>
  <c r="C230" i="120" s="1"/>
  <c r="C231" i="120" s="1"/>
  <c r="C232" i="120" s="1"/>
  <c r="C233" i="120" s="1"/>
  <c r="C234" i="120" s="1"/>
  <c r="C235" i="120" s="1"/>
  <c r="C236" i="120" s="1"/>
  <c r="C237" i="120" s="1"/>
  <c r="C238" i="120" s="1"/>
  <c r="C239" i="120" s="1"/>
  <c r="C240" i="120" s="1"/>
  <c r="C241" i="120" s="1"/>
  <c r="C242" i="120" s="1"/>
  <c r="C243" i="120" s="1"/>
  <c r="D221" i="120"/>
  <c r="D222" i="120" s="1"/>
  <c r="D223" i="120" s="1"/>
  <c r="D224" i="120" s="1"/>
  <c r="C221" i="120"/>
  <c r="D218" i="120"/>
  <c r="D217" i="120"/>
  <c r="D215" i="120"/>
  <c r="D214" i="120" s="1"/>
  <c r="D211" i="120"/>
  <c r="D212" i="120" s="1"/>
  <c r="D213" i="120" s="1"/>
  <c r="D210" i="120"/>
  <c r="D208" i="120"/>
  <c r="D207" i="120"/>
  <c r="BS204" i="120"/>
  <c r="BS203" i="120"/>
  <c r="D203" i="120"/>
  <c r="BS202" i="120"/>
  <c r="D202" i="120"/>
  <c r="D204" i="120" s="1"/>
  <c r="D205" i="120" s="1"/>
  <c r="BS199" i="120"/>
  <c r="BS198" i="120"/>
  <c r="BS197" i="120"/>
  <c r="BS196" i="120"/>
  <c r="C196" i="120"/>
  <c r="D195" i="120"/>
  <c r="D196" i="120" s="1"/>
  <c r="C195" i="120"/>
  <c r="D190" i="120"/>
  <c r="D191" i="120" s="1"/>
  <c r="BS188" i="120"/>
  <c r="BS187" i="120"/>
  <c r="D187" i="120"/>
  <c r="D188" i="120" s="1"/>
  <c r="BS185" i="120"/>
  <c r="D185" i="120"/>
  <c r="D184" i="120"/>
  <c r="BS183" i="120"/>
  <c r="D183" i="120"/>
  <c r="BS181" i="120"/>
  <c r="BS180" i="120"/>
  <c r="C180" i="120"/>
  <c r="BS179" i="120"/>
  <c r="C179" i="120"/>
  <c r="C181" i="120" s="1"/>
  <c r="C182" i="120" s="1"/>
  <c r="C183" i="120" s="1"/>
  <c r="D178" i="120"/>
  <c r="D179" i="120" s="1"/>
  <c r="C178" i="120"/>
  <c r="E173" i="120"/>
  <c r="D173" i="120"/>
  <c r="C173" i="120"/>
  <c r="C174" i="120" s="1"/>
  <c r="C175" i="120" s="1"/>
  <c r="C176" i="120" s="1"/>
  <c r="C169" i="120"/>
  <c r="C170" i="120" s="1"/>
  <c r="C171" i="120" s="1"/>
  <c r="B169" i="120"/>
  <c r="B167" i="120"/>
  <c r="B168" i="120" s="1"/>
  <c r="E163" i="120"/>
  <c r="E162" i="120"/>
  <c r="E161" i="120"/>
  <c r="E160" i="120"/>
  <c r="D156" i="120"/>
  <c r="D157" i="120" s="1"/>
  <c r="D158" i="120" s="1"/>
  <c r="D159" i="120" s="1"/>
  <c r="D160" i="120" s="1"/>
  <c r="D161" i="120" s="1"/>
  <c r="D162" i="120" s="1"/>
  <c r="D163" i="120" s="1"/>
  <c r="D164" i="120" s="1"/>
  <c r="E154" i="120"/>
  <c r="E153" i="120"/>
  <c r="D153" i="120"/>
  <c r="D154" i="120" s="1"/>
  <c r="D152" i="120"/>
  <c r="D151" i="120"/>
  <c r="E149" i="120"/>
  <c r="E148" i="120"/>
  <c r="D148" i="120"/>
  <c r="D149" i="120" s="1"/>
  <c r="D147" i="120"/>
  <c r="C147" i="120"/>
  <c r="C148" i="120" s="1"/>
  <c r="C149" i="120" s="1"/>
  <c r="C150" i="120" s="1"/>
  <c r="C151" i="120" s="1"/>
  <c r="C152" i="120" s="1"/>
  <c r="C153" i="120" s="1"/>
  <c r="C154" i="120" s="1"/>
  <c r="C155" i="120" s="1"/>
  <c r="C156" i="120" s="1"/>
  <c r="C157" i="120" s="1"/>
  <c r="C158" i="120" s="1"/>
  <c r="C159" i="120" s="1"/>
  <c r="C160" i="120" s="1"/>
  <c r="C161" i="120" s="1"/>
  <c r="C162" i="120" s="1"/>
  <c r="C163" i="120" s="1"/>
  <c r="C164" i="120" s="1"/>
  <c r="C144" i="120"/>
  <c r="C145" i="120" s="1"/>
  <c r="C146" i="120" s="1"/>
  <c r="BS143" i="120"/>
  <c r="D143" i="120"/>
  <c r="D144" i="120" s="1"/>
  <c r="D145" i="120" s="1"/>
  <c r="C143" i="120"/>
  <c r="D142" i="120"/>
  <c r="C142" i="120"/>
  <c r="D139" i="120"/>
  <c r="D138" i="120"/>
  <c r="D131" i="120"/>
  <c r="D132" i="120" s="1"/>
  <c r="D133" i="120" s="1"/>
  <c r="D134" i="120" s="1"/>
  <c r="D136" i="120" s="1"/>
  <c r="D135" i="120" s="1"/>
  <c r="D128" i="120"/>
  <c r="D129" i="120" s="1"/>
  <c r="BS125" i="120"/>
  <c r="BS124" i="120"/>
  <c r="D124" i="120"/>
  <c r="BS123" i="120"/>
  <c r="D123" i="120"/>
  <c r="D125" i="120" s="1"/>
  <c r="D126" i="120" s="1"/>
  <c r="BS120" i="120"/>
  <c r="BS119" i="120"/>
  <c r="BS118" i="120"/>
  <c r="BS117" i="120"/>
  <c r="D116" i="120"/>
  <c r="D117" i="120" s="1"/>
  <c r="C116" i="120"/>
  <c r="C117" i="120" s="1"/>
  <c r="D111" i="120"/>
  <c r="D113" i="120" s="1"/>
  <c r="BS109" i="120"/>
  <c r="BS108" i="120"/>
  <c r="D108" i="120"/>
  <c r="D109" i="120" s="1"/>
  <c r="BS106" i="120"/>
  <c r="D105" i="120"/>
  <c r="BS104" i="120"/>
  <c r="D104" i="120"/>
  <c r="D106" i="120" s="1"/>
  <c r="BS102" i="120"/>
  <c r="BS101" i="120"/>
  <c r="D101" i="120"/>
  <c r="BS100" i="120"/>
  <c r="D100" i="120"/>
  <c r="D102" i="120" s="1"/>
  <c r="D99" i="120"/>
  <c r="C99" i="120"/>
  <c r="C100" i="120" s="1"/>
  <c r="E94" i="120"/>
  <c r="D94" i="120"/>
  <c r="C94" i="120"/>
  <c r="C95" i="120" s="1"/>
  <c r="C96" i="120" s="1"/>
  <c r="C97" i="120" s="1"/>
  <c r="C90" i="120"/>
  <c r="C91" i="120" s="1"/>
  <c r="C92" i="120" s="1"/>
  <c r="B89" i="120"/>
  <c r="B90" i="120" s="1"/>
  <c r="B88" i="120"/>
  <c r="AH84" i="120"/>
  <c r="E84" i="120"/>
  <c r="E83" i="120"/>
  <c r="AH82" i="120"/>
  <c r="E82" i="120"/>
  <c r="E81" i="120"/>
  <c r="D81" i="120"/>
  <c r="D82" i="120" s="1"/>
  <c r="D83" i="120" s="1"/>
  <c r="D84" i="120" s="1"/>
  <c r="D85" i="120" s="1"/>
  <c r="AH80" i="120"/>
  <c r="AH78" i="120"/>
  <c r="D77" i="120"/>
  <c r="D78" i="120" s="1"/>
  <c r="D79" i="120" s="1"/>
  <c r="D80" i="120" s="1"/>
  <c r="E75" i="120"/>
  <c r="E74" i="120"/>
  <c r="D72" i="120"/>
  <c r="D73" i="120" s="1"/>
  <c r="D74" i="120" s="1"/>
  <c r="D75" i="120" s="1"/>
  <c r="E70" i="120"/>
  <c r="E69" i="120"/>
  <c r="D69" i="120"/>
  <c r="D70" i="120" s="1"/>
  <c r="D68" i="120"/>
  <c r="C67" i="120"/>
  <c r="C68" i="120" s="1"/>
  <c r="C69" i="120" s="1"/>
  <c r="C70" i="120" s="1"/>
  <c r="C71" i="120" s="1"/>
  <c r="C72" i="120" s="1"/>
  <c r="C73" i="120" s="1"/>
  <c r="C74" i="120" s="1"/>
  <c r="C75" i="120" s="1"/>
  <c r="C76" i="120" s="1"/>
  <c r="C77" i="120" s="1"/>
  <c r="C78" i="120" s="1"/>
  <c r="C79" i="120" s="1"/>
  <c r="C80" i="120" s="1"/>
  <c r="C81" i="120" s="1"/>
  <c r="C82" i="120" s="1"/>
  <c r="C83" i="120" s="1"/>
  <c r="C84" i="120" s="1"/>
  <c r="C85" i="120" s="1"/>
  <c r="BS64" i="120"/>
  <c r="C64" i="120"/>
  <c r="C65" i="120" s="1"/>
  <c r="C66" i="120" s="1"/>
  <c r="D63" i="120"/>
  <c r="D64" i="120" s="1"/>
  <c r="D65" i="120" s="1"/>
  <c r="D66" i="120" s="1"/>
  <c r="C63" i="120"/>
  <c r="D60" i="120"/>
  <c r="D59" i="120"/>
  <c r="D52" i="120"/>
  <c r="D53" i="120" s="1"/>
  <c r="D54" i="120" s="1"/>
  <c r="D55" i="120" s="1"/>
  <c r="D57" i="120" s="1"/>
  <c r="D56" i="120" s="1"/>
  <c r="D49" i="120"/>
  <c r="D50" i="120" s="1"/>
  <c r="BS46" i="120"/>
  <c r="BS45" i="120"/>
  <c r="C45" i="120"/>
  <c r="BS44" i="120"/>
  <c r="D44" i="120"/>
  <c r="D46" i="120" s="1"/>
  <c r="D47" i="120" s="1"/>
  <c r="BS41" i="120"/>
  <c r="BS40" i="120"/>
  <c r="D40" i="120"/>
  <c r="D42" i="120" s="1"/>
  <c r="D41" i="120" s="1"/>
  <c r="BS39" i="120"/>
  <c r="BS38" i="120"/>
  <c r="D38" i="120"/>
  <c r="D39" i="120" s="1"/>
  <c r="C38" i="120"/>
  <c r="C40" i="120" s="1"/>
  <c r="C42" i="120" s="1"/>
  <c r="C41" i="120" s="1"/>
  <c r="C43" i="120" s="1"/>
  <c r="C44" i="120" s="1"/>
  <c r="C46" i="120" s="1"/>
  <c r="C47" i="120" s="1"/>
  <c r="C48" i="120" s="1"/>
  <c r="C49" i="120" s="1"/>
  <c r="C50" i="120" s="1"/>
  <c r="C51" i="120" s="1"/>
  <c r="C52" i="120" s="1"/>
  <c r="C53" i="120" s="1"/>
  <c r="C54" i="120" s="1"/>
  <c r="C55" i="120" s="1"/>
  <c r="C57" i="120" s="1"/>
  <c r="C56" i="120" s="1"/>
  <c r="C58" i="120" s="1"/>
  <c r="C59" i="120" s="1"/>
  <c r="C60" i="120" s="1"/>
  <c r="C61" i="120" s="1"/>
  <c r="D37" i="120"/>
  <c r="C37" i="120"/>
  <c r="D34" i="120"/>
  <c r="D32" i="120"/>
  <c r="D33" i="120" s="1"/>
  <c r="BS30" i="120"/>
  <c r="BS29" i="120"/>
  <c r="D29" i="120"/>
  <c r="D30" i="120" s="1"/>
  <c r="BS27" i="120"/>
  <c r="BS25" i="120"/>
  <c r="D25" i="120"/>
  <c r="BS23" i="120"/>
  <c r="BS22" i="120"/>
  <c r="D22" i="120"/>
  <c r="BS21" i="120"/>
  <c r="D20" i="120"/>
  <c r="D21" i="120" s="1"/>
  <c r="D23" i="120" s="1"/>
  <c r="C20" i="120"/>
  <c r="C21" i="120" s="1"/>
  <c r="E15" i="120"/>
  <c r="D15" i="120"/>
  <c r="C15" i="120"/>
  <c r="C16" i="120" s="1"/>
  <c r="C17" i="120" s="1"/>
  <c r="C18" i="120" s="1"/>
  <c r="C11" i="120"/>
  <c r="C12" i="120" s="1"/>
  <c r="C13" i="120" s="1"/>
  <c r="B10" i="120"/>
  <c r="B11" i="120" s="1"/>
  <c r="B9" i="120"/>
  <c r="AM7" i="120"/>
  <c r="AN7" i="120" s="1"/>
  <c r="AO7" i="120" s="1"/>
  <c r="G7" i="120"/>
  <c r="H7" i="120" s="1"/>
  <c r="I7" i="120" s="1"/>
  <c r="AM6" i="120"/>
  <c r="G6" i="120"/>
  <c r="B3" i="120"/>
  <c r="B23" i="126" l="1"/>
  <c r="B24" i="126" s="1"/>
  <c r="B25" i="126" s="1"/>
  <c r="B22" i="126"/>
  <c r="C23" i="126"/>
  <c r="C24" i="126" s="1"/>
  <c r="C25" i="126" s="1"/>
  <c r="C22" i="126"/>
  <c r="B102" i="126"/>
  <c r="B103" i="126" s="1"/>
  <c r="B104" i="126" s="1"/>
  <c r="B101" i="126"/>
  <c r="D23" i="126"/>
  <c r="C39" i="126"/>
  <c r="C40" i="126"/>
  <c r="C42" i="126" s="1"/>
  <c r="C41" i="126" s="1"/>
  <c r="C43" i="126" s="1"/>
  <c r="C44" i="126" s="1"/>
  <c r="D46" i="126"/>
  <c r="D47" i="126" s="1"/>
  <c r="D26" i="126"/>
  <c r="C125" i="126"/>
  <c r="C126" i="126" s="1"/>
  <c r="C127" i="126" s="1"/>
  <c r="C128" i="126" s="1"/>
  <c r="C129" i="126" s="1"/>
  <c r="C130" i="126" s="1"/>
  <c r="C131" i="126" s="1"/>
  <c r="C132" i="126" s="1"/>
  <c r="C133" i="126" s="1"/>
  <c r="C134" i="126" s="1"/>
  <c r="C136" i="126" s="1"/>
  <c r="C135" i="126" s="1"/>
  <c r="C137" i="126" s="1"/>
  <c r="C138" i="126" s="1"/>
  <c r="C139" i="126" s="1"/>
  <c r="C140" i="126" s="1"/>
  <c r="C124" i="126"/>
  <c r="C102" i="126"/>
  <c r="C103" i="126" s="1"/>
  <c r="C104" i="126" s="1"/>
  <c r="C101" i="126"/>
  <c r="D102" i="126"/>
  <c r="D101" i="126"/>
  <c r="D113" i="126"/>
  <c r="D118" i="126"/>
  <c r="D119" i="126"/>
  <c r="D121" i="126" s="1"/>
  <c r="D120" i="126" s="1"/>
  <c r="B181" i="126"/>
  <c r="B182" i="126" s="1"/>
  <c r="B183" i="126" s="1"/>
  <c r="B180" i="126"/>
  <c r="C181" i="126"/>
  <c r="C182" i="126" s="1"/>
  <c r="C183" i="126" s="1"/>
  <c r="C180" i="126"/>
  <c r="D181" i="126"/>
  <c r="C204" i="126"/>
  <c r="C205" i="126" s="1"/>
  <c r="C206" i="126" s="1"/>
  <c r="C207" i="126" s="1"/>
  <c r="C208" i="126" s="1"/>
  <c r="C209" i="126" s="1"/>
  <c r="C210" i="126" s="1"/>
  <c r="C211" i="126" s="1"/>
  <c r="C212" i="126" s="1"/>
  <c r="C213" i="126" s="1"/>
  <c r="C215" i="126" s="1"/>
  <c r="C214" i="126" s="1"/>
  <c r="C216" i="126" s="1"/>
  <c r="C217" i="126" s="1"/>
  <c r="C218" i="126" s="1"/>
  <c r="C219" i="126" s="1"/>
  <c r="C203" i="126"/>
  <c r="D184" i="126"/>
  <c r="D197" i="126"/>
  <c r="D198" i="126"/>
  <c r="D200" i="126" s="1"/>
  <c r="D199" i="126" s="1"/>
  <c r="B260" i="126"/>
  <c r="B261" i="126" s="1"/>
  <c r="B262" i="126" s="1"/>
  <c r="B259" i="126"/>
  <c r="D276" i="126"/>
  <c r="D277" i="126"/>
  <c r="D279" i="126" s="1"/>
  <c r="D278" i="126" s="1"/>
  <c r="C260" i="126"/>
  <c r="C261" i="126" s="1"/>
  <c r="C262" i="126" s="1"/>
  <c r="C259" i="126"/>
  <c r="D260" i="126"/>
  <c r="C276" i="126"/>
  <c r="C277" i="126"/>
  <c r="C279" i="126" s="1"/>
  <c r="C278" i="126" s="1"/>
  <c r="C280" i="126" s="1"/>
  <c r="C281" i="126" s="1"/>
  <c r="D329" i="126"/>
  <c r="D330" i="126"/>
  <c r="B336" i="126"/>
  <c r="B338" i="126" s="1"/>
  <c r="B339" i="126" s="1"/>
  <c r="B334" i="126"/>
  <c r="D334" i="126"/>
  <c r="D335" i="126"/>
  <c r="C329" i="126"/>
  <c r="C331" i="126" s="1"/>
  <c r="C333" i="126" s="1"/>
  <c r="D341" i="126"/>
  <c r="D342" i="126" s="1"/>
  <c r="B23" i="125"/>
  <c r="B24" i="125" s="1"/>
  <c r="B25" i="125" s="1"/>
  <c r="B22" i="125"/>
  <c r="C22" i="125"/>
  <c r="C23" i="125"/>
  <c r="C24" i="125" s="1"/>
  <c r="C25" i="125" s="1"/>
  <c r="C40" i="125"/>
  <c r="C42" i="125" s="1"/>
  <c r="C41" i="125" s="1"/>
  <c r="C43" i="125" s="1"/>
  <c r="C44" i="125" s="1"/>
  <c r="C39" i="125"/>
  <c r="D40" i="125"/>
  <c r="D42" i="125" s="1"/>
  <c r="D41" i="125" s="1"/>
  <c r="D39" i="125"/>
  <c r="D46" i="125"/>
  <c r="D47" i="125" s="1"/>
  <c r="D23" i="125"/>
  <c r="D26" i="125"/>
  <c r="B101" i="125"/>
  <c r="B102" i="125"/>
  <c r="B103" i="125" s="1"/>
  <c r="B104" i="125" s="1"/>
  <c r="C125" i="125"/>
  <c r="C126" i="125" s="1"/>
  <c r="C127" i="125" s="1"/>
  <c r="C128" i="125" s="1"/>
  <c r="C129" i="125" s="1"/>
  <c r="C130" i="125" s="1"/>
  <c r="C131" i="125" s="1"/>
  <c r="C132" i="125" s="1"/>
  <c r="C133" i="125" s="1"/>
  <c r="C134" i="125" s="1"/>
  <c r="C136" i="125" s="1"/>
  <c r="C135" i="125" s="1"/>
  <c r="C137" i="125" s="1"/>
  <c r="C138" i="125" s="1"/>
  <c r="C139" i="125" s="1"/>
  <c r="C140" i="125" s="1"/>
  <c r="C124" i="125"/>
  <c r="C101" i="125"/>
  <c r="C102" i="125"/>
  <c r="C103" i="125" s="1"/>
  <c r="C104" i="125" s="1"/>
  <c r="D106" i="125"/>
  <c r="D102" i="125"/>
  <c r="D101" i="125"/>
  <c r="D113" i="125"/>
  <c r="D118" i="125"/>
  <c r="D119" i="125"/>
  <c r="D121" i="125" s="1"/>
  <c r="D120" i="125" s="1"/>
  <c r="B181" i="125"/>
  <c r="B182" i="125" s="1"/>
  <c r="B183" i="125" s="1"/>
  <c r="B180" i="125"/>
  <c r="C181" i="125"/>
  <c r="C182" i="125" s="1"/>
  <c r="C183" i="125" s="1"/>
  <c r="C180" i="125"/>
  <c r="C198" i="125"/>
  <c r="C200" i="125" s="1"/>
  <c r="C199" i="125" s="1"/>
  <c r="C201" i="125" s="1"/>
  <c r="C202" i="125" s="1"/>
  <c r="D203" i="125"/>
  <c r="D204" i="125"/>
  <c r="D205" i="125" s="1"/>
  <c r="D197" i="125"/>
  <c r="D198" i="125"/>
  <c r="D200" i="125" s="1"/>
  <c r="D199" i="125" s="1"/>
  <c r="C263" i="125"/>
  <c r="C264" i="125"/>
  <c r="C265" i="125" s="1"/>
  <c r="C266" i="125" s="1"/>
  <c r="B259" i="125"/>
  <c r="B260" i="125"/>
  <c r="B261" i="125" s="1"/>
  <c r="B262" i="125" s="1"/>
  <c r="C276" i="125"/>
  <c r="C277" i="125"/>
  <c r="C279" i="125" s="1"/>
  <c r="C278" i="125" s="1"/>
  <c r="C280" i="125" s="1"/>
  <c r="C281" i="125" s="1"/>
  <c r="C259" i="125"/>
  <c r="D271" i="125"/>
  <c r="D276" i="125"/>
  <c r="B329" i="125"/>
  <c r="B331" i="125" s="1"/>
  <c r="B333" i="125" s="1"/>
  <c r="B330" i="125"/>
  <c r="B332" i="125" s="1"/>
  <c r="B335" i="125" s="1"/>
  <c r="B337" i="125" s="1"/>
  <c r="D329" i="125"/>
  <c r="D330" i="125"/>
  <c r="C329" i="125"/>
  <c r="C331" i="125" s="1"/>
  <c r="C333" i="125" s="1"/>
  <c r="D340" i="125"/>
  <c r="D341" i="125"/>
  <c r="D342" i="125" s="1"/>
  <c r="C26" i="124"/>
  <c r="C27" i="124"/>
  <c r="C28" i="124" s="1"/>
  <c r="C29" i="124" s="1"/>
  <c r="B22" i="124"/>
  <c r="B23" i="124"/>
  <c r="B24" i="124" s="1"/>
  <c r="B25" i="124" s="1"/>
  <c r="B101" i="124"/>
  <c r="B102" i="124"/>
  <c r="B103" i="124" s="1"/>
  <c r="B104" i="124" s="1"/>
  <c r="D39" i="124"/>
  <c r="D40" i="124"/>
  <c r="D42" i="124" s="1"/>
  <c r="D41" i="124" s="1"/>
  <c r="D23" i="124"/>
  <c r="D22" i="124"/>
  <c r="C40" i="124"/>
  <c r="C42" i="124" s="1"/>
  <c r="C41" i="124" s="1"/>
  <c r="C43" i="124" s="1"/>
  <c r="C44" i="124" s="1"/>
  <c r="D27" i="124"/>
  <c r="D45" i="124"/>
  <c r="C101" i="124"/>
  <c r="C102" i="124"/>
  <c r="C103" i="124" s="1"/>
  <c r="C104" i="124" s="1"/>
  <c r="D102" i="124"/>
  <c r="D101" i="124"/>
  <c r="C119" i="124"/>
  <c r="C121" i="124" s="1"/>
  <c r="C120" i="124" s="1"/>
  <c r="C122" i="124" s="1"/>
  <c r="C123" i="124" s="1"/>
  <c r="C118" i="124"/>
  <c r="D113" i="124"/>
  <c r="D112" i="124"/>
  <c r="D106" i="124"/>
  <c r="B180" i="124"/>
  <c r="B181" i="124"/>
  <c r="B182" i="124" s="1"/>
  <c r="B183" i="124" s="1"/>
  <c r="C180" i="124"/>
  <c r="C181" i="124"/>
  <c r="C182" i="124" s="1"/>
  <c r="C183" i="124" s="1"/>
  <c r="C198" i="124"/>
  <c r="C200" i="124" s="1"/>
  <c r="C199" i="124" s="1"/>
  <c r="C201" i="124" s="1"/>
  <c r="C202" i="124" s="1"/>
  <c r="C197" i="124"/>
  <c r="D198" i="124"/>
  <c r="D200" i="124" s="1"/>
  <c r="D199" i="124" s="1"/>
  <c r="D197" i="124"/>
  <c r="D192" i="124"/>
  <c r="D191" i="124"/>
  <c r="B260" i="124"/>
  <c r="B261" i="124" s="1"/>
  <c r="B262" i="124" s="1"/>
  <c r="B259" i="124"/>
  <c r="C260" i="124"/>
  <c r="C261" i="124" s="1"/>
  <c r="C262" i="124" s="1"/>
  <c r="C259" i="124"/>
  <c r="C282" i="124"/>
  <c r="D277" i="124"/>
  <c r="D279" i="124" s="1"/>
  <c r="D278" i="124" s="1"/>
  <c r="D334" i="124"/>
  <c r="D335" i="124"/>
  <c r="B336" i="124"/>
  <c r="B338" i="124" s="1"/>
  <c r="B339" i="124" s="1"/>
  <c r="B334" i="124"/>
  <c r="C336" i="124"/>
  <c r="C338" i="124" s="1"/>
  <c r="C339" i="124" s="1"/>
  <c r="C334" i="124"/>
  <c r="B330" i="124"/>
  <c r="B332" i="124" s="1"/>
  <c r="B335" i="124" s="1"/>
  <c r="B337" i="124" s="1"/>
  <c r="D330" i="124"/>
  <c r="D329" i="124"/>
  <c r="D340" i="124"/>
  <c r="D341" i="124"/>
  <c r="D342" i="124" s="1"/>
  <c r="AP7" i="120"/>
  <c r="AQ7" i="120" s="1"/>
  <c r="J7" i="120"/>
  <c r="C22" i="120"/>
  <c r="C23" i="120"/>
  <c r="C24" i="120" s="1"/>
  <c r="C25" i="120" s="1"/>
  <c r="B12" i="120"/>
  <c r="B13" i="120" s="1"/>
  <c r="B14" i="120" s="1"/>
  <c r="B15" i="120" s="1"/>
  <c r="D26" i="120"/>
  <c r="D27" i="120"/>
  <c r="D45" i="120"/>
  <c r="D119" i="120"/>
  <c r="D121" i="120" s="1"/>
  <c r="D120" i="120" s="1"/>
  <c r="D118" i="120"/>
  <c r="C39" i="120"/>
  <c r="C102" i="120"/>
  <c r="C103" i="120" s="1"/>
  <c r="C104" i="120" s="1"/>
  <c r="C101" i="120"/>
  <c r="B91" i="120"/>
  <c r="B92" i="120" s="1"/>
  <c r="B93" i="120" s="1"/>
  <c r="B94" i="120" s="1"/>
  <c r="C118" i="120"/>
  <c r="C119" i="120"/>
  <c r="C121" i="120" s="1"/>
  <c r="C120" i="120" s="1"/>
  <c r="C122" i="120" s="1"/>
  <c r="C123" i="120" s="1"/>
  <c r="D112" i="120"/>
  <c r="C185" i="120"/>
  <c r="C186" i="120" s="1"/>
  <c r="C187" i="120" s="1"/>
  <c r="C184" i="120"/>
  <c r="D197" i="120"/>
  <c r="D198" i="120"/>
  <c r="D200" i="120" s="1"/>
  <c r="D199" i="120" s="1"/>
  <c r="B170" i="120"/>
  <c r="B171" i="120" s="1"/>
  <c r="B172" i="120" s="1"/>
  <c r="B173" i="120" s="1"/>
  <c r="C197" i="120"/>
  <c r="C198" i="120"/>
  <c r="C200" i="120" s="1"/>
  <c r="C199" i="120" s="1"/>
  <c r="C201" i="120" s="1"/>
  <c r="C202" i="120" s="1"/>
  <c r="D181" i="120"/>
  <c r="D180" i="120"/>
  <c r="D192" i="120"/>
  <c r="B249" i="120"/>
  <c r="B250" i="120" s="1"/>
  <c r="B251" i="120" s="1"/>
  <c r="B252" i="120" s="1"/>
  <c r="C259" i="120"/>
  <c r="C260" i="120"/>
  <c r="C261" i="120" s="1"/>
  <c r="C262" i="120" s="1"/>
  <c r="C283" i="120"/>
  <c r="C284" i="120" s="1"/>
  <c r="C285" i="120" s="1"/>
  <c r="C286" i="120" s="1"/>
  <c r="C287" i="120" s="1"/>
  <c r="C288" i="120" s="1"/>
  <c r="C289" i="120" s="1"/>
  <c r="C290" i="120" s="1"/>
  <c r="C291" i="120" s="1"/>
  <c r="C292" i="120" s="1"/>
  <c r="C294" i="120" s="1"/>
  <c r="C293" i="120" s="1"/>
  <c r="C295" i="120" s="1"/>
  <c r="C296" i="120" s="1"/>
  <c r="C297" i="120" s="1"/>
  <c r="C298" i="120" s="1"/>
  <c r="C282" i="120"/>
  <c r="D271" i="120"/>
  <c r="D270" i="120"/>
  <c r="D259" i="120"/>
  <c r="D276" i="120"/>
  <c r="C336" i="120"/>
  <c r="C338" i="120" s="1"/>
  <c r="C339" i="120" s="1"/>
  <c r="C334" i="120"/>
  <c r="B329" i="120"/>
  <c r="B331" i="120" s="1"/>
  <c r="B333" i="120" s="1"/>
  <c r="C330" i="120"/>
  <c r="C332" i="120" s="1"/>
  <c r="C335" i="120" s="1"/>
  <c r="C337" i="120" s="1"/>
  <c r="D329" i="120"/>
  <c r="D334" i="120"/>
  <c r="D331" i="126" l="1"/>
  <c r="C282" i="126"/>
  <c r="C283" i="126"/>
  <c r="C284" i="126" s="1"/>
  <c r="C285" i="126" s="1"/>
  <c r="C286" i="126" s="1"/>
  <c r="C287" i="126" s="1"/>
  <c r="C288" i="126" s="1"/>
  <c r="C289" i="126" s="1"/>
  <c r="C290" i="126" s="1"/>
  <c r="C291" i="126" s="1"/>
  <c r="C292" i="126" s="1"/>
  <c r="C294" i="126" s="1"/>
  <c r="C293" i="126" s="1"/>
  <c r="C295" i="126" s="1"/>
  <c r="C296" i="126" s="1"/>
  <c r="C297" i="126" s="1"/>
  <c r="C298" i="126" s="1"/>
  <c r="B264" i="126"/>
  <c r="B265" i="126" s="1"/>
  <c r="B266" i="126" s="1"/>
  <c r="B263" i="126"/>
  <c r="C185" i="126"/>
  <c r="C186" i="126" s="1"/>
  <c r="C187" i="126" s="1"/>
  <c r="C184" i="126"/>
  <c r="C45" i="126"/>
  <c r="C46" i="126"/>
  <c r="C47" i="126" s="1"/>
  <c r="C48" i="126" s="1"/>
  <c r="C49" i="126" s="1"/>
  <c r="C50" i="126" s="1"/>
  <c r="C51" i="126" s="1"/>
  <c r="C52" i="126" s="1"/>
  <c r="C53" i="126" s="1"/>
  <c r="C54" i="126" s="1"/>
  <c r="C55" i="126" s="1"/>
  <c r="C57" i="126" s="1"/>
  <c r="C56" i="126" s="1"/>
  <c r="C58" i="126" s="1"/>
  <c r="C59" i="126" s="1"/>
  <c r="C60" i="126" s="1"/>
  <c r="C61" i="126" s="1"/>
  <c r="C105" i="126"/>
  <c r="C106" i="126"/>
  <c r="C107" i="126" s="1"/>
  <c r="C108" i="126" s="1"/>
  <c r="B184" i="126"/>
  <c r="B185" i="126"/>
  <c r="B186" i="126" s="1"/>
  <c r="B187" i="126" s="1"/>
  <c r="B105" i="126"/>
  <c r="B106" i="126"/>
  <c r="B107" i="126" s="1"/>
  <c r="B108" i="126" s="1"/>
  <c r="C334" i="126"/>
  <c r="C336" i="126"/>
  <c r="C338" i="126" s="1"/>
  <c r="C339" i="126" s="1"/>
  <c r="B341" i="126"/>
  <c r="B343" i="126" s="1"/>
  <c r="B345" i="126" s="1"/>
  <c r="B340" i="126"/>
  <c r="B342" i="126" s="1"/>
  <c r="B344" i="126" s="1"/>
  <c r="B346" i="126" s="1"/>
  <c r="C264" i="126"/>
  <c r="C265" i="126" s="1"/>
  <c r="C266" i="126" s="1"/>
  <c r="C263" i="126"/>
  <c r="C27" i="126"/>
  <c r="C28" i="126" s="1"/>
  <c r="C29" i="126" s="1"/>
  <c r="C26" i="126"/>
  <c r="B27" i="126"/>
  <c r="B28" i="126" s="1"/>
  <c r="B29" i="126" s="1"/>
  <c r="B26" i="126"/>
  <c r="B264" i="125"/>
  <c r="B265" i="125" s="1"/>
  <c r="B266" i="125" s="1"/>
  <c r="B263" i="125"/>
  <c r="D331" i="125"/>
  <c r="B336" i="125"/>
  <c r="B338" i="125" s="1"/>
  <c r="B339" i="125" s="1"/>
  <c r="B334" i="125"/>
  <c r="C268" i="125"/>
  <c r="C269" i="125" s="1"/>
  <c r="C267" i="125"/>
  <c r="C184" i="125"/>
  <c r="C185" i="125"/>
  <c r="C186" i="125" s="1"/>
  <c r="C187" i="125" s="1"/>
  <c r="C336" i="125"/>
  <c r="C338" i="125" s="1"/>
  <c r="C339" i="125" s="1"/>
  <c r="C334" i="125"/>
  <c r="C105" i="125"/>
  <c r="C106" i="125"/>
  <c r="C107" i="125" s="1"/>
  <c r="C108" i="125" s="1"/>
  <c r="C203" i="125"/>
  <c r="C204" i="125"/>
  <c r="C205" i="125" s="1"/>
  <c r="C206" i="125" s="1"/>
  <c r="C207" i="125" s="1"/>
  <c r="C208" i="125" s="1"/>
  <c r="C209" i="125" s="1"/>
  <c r="C210" i="125" s="1"/>
  <c r="C211" i="125" s="1"/>
  <c r="C212" i="125" s="1"/>
  <c r="C213" i="125" s="1"/>
  <c r="C215" i="125" s="1"/>
  <c r="C214" i="125" s="1"/>
  <c r="C216" i="125" s="1"/>
  <c r="C217" i="125" s="1"/>
  <c r="C218" i="125" s="1"/>
  <c r="C219" i="125" s="1"/>
  <c r="B184" i="125"/>
  <c r="B185" i="125"/>
  <c r="B186" i="125" s="1"/>
  <c r="B187" i="125" s="1"/>
  <c r="C45" i="125"/>
  <c r="C46" i="125"/>
  <c r="C47" i="125" s="1"/>
  <c r="C48" i="125" s="1"/>
  <c r="C49" i="125" s="1"/>
  <c r="C50" i="125" s="1"/>
  <c r="C51" i="125" s="1"/>
  <c r="C52" i="125" s="1"/>
  <c r="C53" i="125" s="1"/>
  <c r="C54" i="125" s="1"/>
  <c r="C55" i="125" s="1"/>
  <c r="C57" i="125" s="1"/>
  <c r="C56" i="125" s="1"/>
  <c r="C58" i="125" s="1"/>
  <c r="C59" i="125" s="1"/>
  <c r="C60" i="125" s="1"/>
  <c r="C61" i="125" s="1"/>
  <c r="B27" i="125"/>
  <c r="B28" i="125" s="1"/>
  <c r="B29" i="125" s="1"/>
  <c r="B26" i="125"/>
  <c r="C27" i="125"/>
  <c r="C28" i="125" s="1"/>
  <c r="C29" i="125" s="1"/>
  <c r="C26" i="125"/>
  <c r="C282" i="125"/>
  <c r="C283" i="125"/>
  <c r="C284" i="125" s="1"/>
  <c r="C285" i="125" s="1"/>
  <c r="C286" i="125" s="1"/>
  <c r="C287" i="125" s="1"/>
  <c r="C288" i="125" s="1"/>
  <c r="C289" i="125" s="1"/>
  <c r="C290" i="125" s="1"/>
  <c r="C291" i="125" s="1"/>
  <c r="C292" i="125" s="1"/>
  <c r="C294" i="125" s="1"/>
  <c r="C293" i="125" s="1"/>
  <c r="C295" i="125" s="1"/>
  <c r="C296" i="125" s="1"/>
  <c r="C297" i="125" s="1"/>
  <c r="C298" i="125" s="1"/>
  <c r="B106" i="125"/>
  <c r="B107" i="125" s="1"/>
  <c r="B108" i="125" s="1"/>
  <c r="B105" i="125"/>
  <c r="B185" i="124"/>
  <c r="B186" i="124" s="1"/>
  <c r="B187" i="124" s="1"/>
  <c r="B184" i="124"/>
  <c r="C105" i="124"/>
  <c r="C106" i="124"/>
  <c r="C107" i="124" s="1"/>
  <c r="C108" i="124" s="1"/>
  <c r="B264" i="124"/>
  <c r="B265" i="124" s="1"/>
  <c r="B266" i="124" s="1"/>
  <c r="B263" i="124"/>
  <c r="B341" i="124"/>
  <c r="B343" i="124" s="1"/>
  <c r="B345" i="124" s="1"/>
  <c r="B340" i="124"/>
  <c r="B342" i="124" s="1"/>
  <c r="B344" i="124" s="1"/>
  <c r="B346" i="124" s="1"/>
  <c r="B106" i="124"/>
  <c r="B107" i="124" s="1"/>
  <c r="B108" i="124" s="1"/>
  <c r="B105" i="124"/>
  <c r="B26" i="124"/>
  <c r="B27" i="124"/>
  <c r="B28" i="124" s="1"/>
  <c r="B29" i="124" s="1"/>
  <c r="C46" i="124"/>
  <c r="C47" i="124" s="1"/>
  <c r="C48" i="124" s="1"/>
  <c r="C49" i="124" s="1"/>
  <c r="C50" i="124" s="1"/>
  <c r="C51" i="124" s="1"/>
  <c r="C52" i="124" s="1"/>
  <c r="C53" i="124" s="1"/>
  <c r="C54" i="124" s="1"/>
  <c r="C55" i="124" s="1"/>
  <c r="C57" i="124" s="1"/>
  <c r="C56" i="124" s="1"/>
  <c r="C58" i="124" s="1"/>
  <c r="C59" i="124" s="1"/>
  <c r="C60" i="124" s="1"/>
  <c r="C61" i="124" s="1"/>
  <c r="C45" i="124"/>
  <c r="C263" i="124"/>
  <c r="C264" i="124"/>
  <c r="C265" i="124" s="1"/>
  <c r="C266" i="124" s="1"/>
  <c r="C203" i="124"/>
  <c r="C204" i="124"/>
  <c r="C205" i="124" s="1"/>
  <c r="C206" i="124" s="1"/>
  <c r="C207" i="124" s="1"/>
  <c r="C208" i="124" s="1"/>
  <c r="C209" i="124" s="1"/>
  <c r="C210" i="124" s="1"/>
  <c r="C211" i="124" s="1"/>
  <c r="C212" i="124" s="1"/>
  <c r="C213" i="124" s="1"/>
  <c r="C215" i="124" s="1"/>
  <c r="C214" i="124" s="1"/>
  <c r="C216" i="124" s="1"/>
  <c r="C217" i="124" s="1"/>
  <c r="C218" i="124" s="1"/>
  <c r="C219" i="124" s="1"/>
  <c r="C31" i="124"/>
  <c r="C32" i="124" s="1"/>
  <c r="C30" i="124"/>
  <c r="D331" i="124"/>
  <c r="C340" i="124"/>
  <c r="C342" i="124" s="1"/>
  <c r="C344" i="124" s="1"/>
  <c r="C346" i="124" s="1"/>
  <c r="C341" i="124"/>
  <c r="C343" i="124" s="1"/>
  <c r="C345" i="124" s="1"/>
  <c r="C185" i="124"/>
  <c r="C186" i="124" s="1"/>
  <c r="C187" i="124" s="1"/>
  <c r="C184" i="124"/>
  <c r="C124" i="124"/>
  <c r="C125" i="124"/>
  <c r="C126" i="124" s="1"/>
  <c r="C127" i="124" s="1"/>
  <c r="C128" i="124" s="1"/>
  <c r="C129" i="124" s="1"/>
  <c r="C130" i="124" s="1"/>
  <c r="C131" i="124" s="1"/>
  <c r="C132" i="124" s="1"/>
  <c r="C133" i="124" s="1"/>
  <c r="C134" i="124" s="1"/>
  <c r="C136" i="124" s="1"/>
  <c r="C135" i="124" s="1"/>
  <c r="C137" i="124" s="1"/>
  <c r="C138" i="124" s="1"/>
  <c r="C139" i="124" s="1"/>
  <c r="C140" i="124" s="1"/>
  <c r="C341" i="120"/>
  <c r="C343" i="120" s="1"/>
  <c r="C345" i="120" s="1"/>
  <c r="C340" i="120"/>
  <c r="C342" i="120" s="1"/>
  <c r="C344" i="120" s="1"/>
  <c r="C346" i="120" s="1"/>
  <c r="C188" i="120"/>
  <c r="C189" i="120"/>
  <c r="C190" i="120" s="1"/>
  <c r="C263" i="120"/>
  <c r="C264" i="120"/>
  <c r="C265" i="120" s="1"/>
  <c r="C266" i="120" s="1"/>
  <c r="D331" i="120"/>
  <c r="B334" i="120"/>
  <c r="B336" i="120"/>
  <c r="B338" i="120" s="1"/>
  <c r="B339" i="120" s="1"/>
  <c r="C204" i="120"/>
  <c r="C205" i="120" s="1"/>
  <c r="C206" i="120" s="1"/>
  <c r="C207" i="120" s="1"/>
  <c r="C208" i="120" s="1"/>
  <c r="C209" i="120" s="1"/>
  <c r="C210" i="120" s="1"/>
  <c r="C211" i="120" s="1"/>
  <c r="C212" i="120" s="1"/>
  <c r="C213" i="120" s="1"/>
  <c r="C215" i="120" s="1"/>
  <c r="C214" i="120" s="1"/>
  <c r="C216" i="120" s="1"/>
  <c r="C217" i="120" s="1"/>
  <c r="C218" i="120" s="1"/>
  <c r="C219" i="120" s="1"/>
  <c r="C203" i="120"/>
  <c r="C124" i="120"/>
  <c r="C125" i="120"/>
  <c r="C126" i="120" s="1"/>
  <c r="C127" i="120" s="1"/>
  <c r="C128" i="120" s="1"/>
  <c r="C129" i="120" s="1"/>
  <c r="C130" i="120" s="1"/>
  <c r="C131" i="120" s="1"/>
  <c r="C132" i="120" s="1"/>
  <c r="C133" i="120" s="1"/>
  <c r="C134" i="120" s="1"/>
  <c r="C136" i="120" s="1"/>
  <c r="C135" i="120" s="1"/>
  <c r="C137" i="120" s="1"/>
  <c r="C138" i="120" s="1"/>
  <c r="C139" i="120" s="1"/>
  <c r="C140" i="120" s="1"/>
  <c r="B95" i="120"/>
  <c r="B96" i="120" s="1"/>
  <c r="B97" i="120" s="1"/>
  <c r="B98" i="120" s="1"/>
  <c r="B99" i="120" s="1"/>
  <c r="B100" i="120" s="1"/>
  <c r="K7" i="120"/>
  <c r="C105" i="120"/>
  <c r="C106" i="120"/>
  <c r="C107" i="120" s="1"/>
  <c r="C108" i="120" s="1"/>
  <c r="B16" i="120"/>
  <c r="B17" i="120" s="1"/>
  <c r="B18" i="120" s="1"/>
  <c r="B19" i="120" s="1"/>
  <c r="B20" i="120" s="1"/>
  <c r="B21" i="120" s="1"/>
  <c r="C26" i="120"/>
  <c r="C27" i="120"/>
  <c r="C28" i="120" s="1"/>
  <c r="C29" i="120" s="1"/>
  <c r="AR7" i="120"/>
  <c r="B253" i="120"/>
  <c r="B254" i="120" s="1"/>
  <c r="B255" i="120" s="1"/>
  <c r="B256" i="120" s="1"/>
  <c r="B257" i="120" s="1"/>
  <c r="B258" i="120" s="1"/>
  <c r="B174" i="120"/>
  <c r="B175" i="120" s="1"/>
  <c r="B176" i="120" s="1"/>
  <c r="B177" i="120" s="1"/>
  <c r="B178" i="120" s="1"/>
  <c r="B179" i="120" s="1"/>
  <c r="B110" i="126" l="1"/>
  <c r="B111" i="126" s="1"/>
  <c r="B109" i="126"/>
  <c r="B189" i="126"/>
  <c r="B190" i="126" s="1"/>
  <c r="B188" i="126"/>
  <c r="C188" i="126"/>
  <c r="C189" i="126"/>
  <c r="C190" i="126" s="1"/>
  <c r="C30" i="126"/>
  <c r="C31" i="126"/>
  <c r="C32" i="126" s="1"/>
  <c r="C340" i="126"/>
  <c r="C342" i="126" s="1"/>
  <c r="C344" i="126" s="1"/>
  <c r="C346" i="126" s="1"/>
  <c r="C341" i="126"/>
  <c r="C343" i="126" s="1"/>
  <c r="C345" i="126" s="1"/>
  <c r="C109" i="126"/>
  <c r="C110" i="126"/>
  <c r="C111" i="126" s="1"/>
  <c r="B267" i="126"/>
  <c r="B268" i="126"/>
  <c r="B269" i="126" s="1"/>
  <c r="C267" i="126"/>
  <c r="C268" i="126"/>
  <c r="C269" i="126" s="1"/>
  <c r="B30" i="126"/>
  <c r="B31" i="126"/>
  <c r="B32" i="126" s="1"/>
  <c r="B268" i="125"/>
  <c r="B269" i="125" s="1"/>
  <c r="B267" i="125"/>
  <c r="C341" i="125"/>
  <c r="C343" i="125" s="1"/>
  <c r="C345" i="125" s="1"/>
  <c r="C340" i="125"/>
  <c r="C342" i="125" s="1"/>
  <c r="C344" i="125" s="1"/>
  <c r="C346" i="125" s="1"/>
  <c r="B30" i="125"/>
  <c r="B31" i="125"/>
  <c r="B32" i="125" s="1"/>
  <c r="C188" i="125"/>
  <c r="C189" i="125"/>
  <c r="C190" i="125" s="1"/>
  <c r="B110" i="125"/>
  <c r="B111" i="125" s="1"/>
  <c r="B109" i="125"/>
  <c r="C110" i="125"/>
  <c r="C111" i="125" s="1"/>
  <c r="C109" i="125"/>
  <c r="B189" i="125"/>
  <c r="B190" i="125" s="1"/>
  <c r="B188" i="125"/>
  <c r="C30" i="125"/>
  <c r="C31" i="125"/>
  <c r="C32" i="125" s="1"/>
  <c r="C271" i="125"/>
  <c r="C272" i="125" s="1"/>
  <c r="C270" i="125"/>
  <c r="B341" i="125"/>
  <c r="B343" i="125" s="1"/>
  <c r="B345" i="125" s="1"/>
  <c r="B340" i="125"/>
  <c r="B342" i="125" s="1"/>
  <c r="B344" i="125" s="1"/>
  <c r="B346" i="125" s="1"/>
  <c r="C189" i="124"/>
  <c r="C190" i="124" s="1"/>
  <c r="C188" i="124"/>
  <c r="C34" i="124"/>
  <c r="C35" i="124" s="1"/>
  <c r="C33" i="124"/>
  <c r="B31" i="124"/>
  <c r="B32" i="124" s="1"/>
  <c r="B30" i="124"/>
  <c r="C110" i="124"/>
  <c r="C111" i="124" s="1"/>
  <c r="C109" i="124"/>
  <c r="B110" i="124"/>
  <c r="B111" i="124" s="1"/>
  <c r="B109" i="124"/>
  <c r="C267" i="124"/>
  <c r="C268" i="124"/>
  <c r="C269" i="124" s="1"/>
  <c r="B189" i="124"/>
  <c r="B190" i="124" s="1"/>
  <c r="B188" i="124"/>
  <c r="B268" i="124"/>
  <c r="B269" i="124" s="1"/>
  <c r="B267" i="124"/>
  <c r="B341" i="120"/>
  <c r="B343" i="120" s="1"/>
  <c r="B345" i="120" s="1"/>
  <c r="B340" i="120"/>
  <c r="B342" i="120" s="1"/>
  <c r="B344" i="120" s="1"/>
  <c r="B346" i="120" s="1"/>
  <c r="C268" i="120"/>
  <c r="C269" i="120" s="1"/>
  <c r="C267" i="120"/>
  <c r="C31" i="120"/>
  <c r="C32" i="120" s="1"/>
  <c r="C30" i="120"/>
  <c r="B102" i="120"/>
  <c r="B103" i="120" s="1"/>
  <c r="B104" i="120" s="1"/>
  <c r="B101" i="120"/>
  <c r="B22" i="120"/>
  <c r="B23" i="120"/>
  <c r="B24" i="120" s="1"/>
  <c r="B25" i="120" s="1"/>
  <c r="B259" i="120"/>
  <c r="B260" i="120"/>
  <c r="B261" i="120" s="1"/>
  <c r="B262" i="120" s="1"/>
  <c r="C109" i="120"/>
  <c r="C110" i="120"/>
  <c r="C111" i="120" s="1"/>
  <c r="C191" i="120"/>
  <c r="C192" i="120"/>
  <c r="C193" i="120" s="1"/>
  <c r="AS7" i="120"/>
  <c r="B180" i="120"/>
  <c r="B181" i="120"/>
  <c r="B182" i="120" s="1"/>
  <c r="B183" i="120" s="1"/>
  <c r="L7" i="120"/>
  <c r="B33" i="126" l="1"/>
  <c r="B34" i="126"/>
  <c r="B35" i="126" s="1"/>
  <c r="B36" i="126" s="1"/>
  <c r="B37" i="126" s="1"/>
  <c r="B38" i="126" s="1"/>
  <c r="B113" i="126"/>
  <c r="B114" i="126" s="1"/>
  <c r="B115" i="126" s="1"/>
  <c r="B116" i="126" s="1"/>
  <c r="B117" i="126" s="1"/>
  <c r="B112" i="126"/>
  <c r="C270" i="126"/>
  <c r="C271" i="126"/>
  <c r="C272" i="126" s="1"/>
  <c r="C33" i="126"/>
  <c r="C34" i="126"/>
  <c r="C35" i="126" s="1"/>
  <c r="C191" i="126"/>
  <c r="C192" i="126"/>
  <c r="C193" i="126" s="1"/>
  <c r="B270" i="126"/>
  <c r="B271" i="126"/>
  <c r="B272" i="126" s="1"/>
  <c r="B273" i="126" s="1"/>
  <c r="B274" i="126" s="1"/>
  <c r="B275" i="126" s="1"/>
  <c r="C112" i="126"/>
  <c r="C113" i="126"/>
  <c r="C114" i="126" s="1"/>
  <c r="B192" i="126"/>
  <c r="B193" i="126" s="1"/>
  <c r="B194" i="126" s="1"/>
  <c r="B195" i="126" s="1"/>
  <c r="B196" i="126" s="1"/>
  <c r="B191" i="126"/>
  <c r="B113" i="125"/>
  <c r="B114" i="125" s="1"/>
  <c r="B115" i="125" s="1"/>
  <c r="B116" i="125" s="1"/>
  <c r="B117" i="125" s="1"/>
  <c r="B112" i="125"/>
  <c r="C34" i="125"/>
  <c r="C35" i="125" s="1"/>
  <c r="C33" i="125"/>
  <c r="C191" i="125"/>
  <c r="C192" i="125"/>
  <c r="C193" i="125" s="1"/>
  <c r="C113" i="125"/>
  <c r="C114" i="125" s="1"/>
  <c r="C112" i="125"/>
  <c r="B192" i="125"/>
  <c r="B193" i="125" s="1"/>
  <c r="B194" i="125" s="1"/>
  <c r="B195" i="125" s="1"/>
  <c r="B196" i="125" s="1"/>
  <c r="B191" i="125"/>
  <c r="B271" i="125"/>
  <c r="B272" i="125" s="1"/>
  <c r="B273" i="125" s="1"/>
  <c r="B274" i="125" s="1"/>
  <c r="B275" i="125" s="1"/>
  <c r="B270" i="125"/>
  <c r="B33" i="125"/>
  <c r="B34" i="125"/>
  <c r="B35" i="125" s="1"/>
  <c r="B36" i="125" s="1"/>
  <c r="B37" i="125" s="1"/>
  <c r="B38" i="125" s="1"/>
  <c r="B270" i="124"/>
  <c r="B271" i="124"/>
  <c r="B272" i="124" s="1"/>
  <c r="B273" i="124" s="1"/>
  <c r="B274" i="124" s="1"/>
  <c r="B275" i="124" s="1"/>
  <c r="C113" i="124"/>
  <c r="C114" i="124" s="1"/>
  <c r="C112" i="124"/>
  <c r="C192" i="124"/>
  <c r="C193" i="124" s="1"/>
  <c r="C191" i="124"/>
  <c r="B113" i="124"/>
  <c r="B114" i="124" s="1"/>
  <c r="B115" i="124" s="1"/>
  <c r="B116" i="124" s="1"/>
  <c r="B117" i="124" s="1"/>
  <c r="B112" i="124"/>
  <c r="B191" i="124"/>
  <c r="B192" i="124"/>
  <c r="B193" i="124" s="1"/>
  <c r="B194" i="124" s="1"/>
  <c r="B195" i="124" s="1"/>
  <c r="B196" i="124" s="1"/>
  <c r="B34" i="124"/>
  <c r="B35" i="124" s="1"/>
  <c r="B36" i="124" s="1"/>
  <c r="B37" i="124" s="1"/>
  <c r="B38" i="124" s="1"/>
  <c r="B33" i="124"/>
  <c r="C271" i="124"/>
  <c r="C272" i="124" s="1"/>
  <c r="C270" i="124"/>
  <c r="C271" i="120"/>
  <c r="C272" i="120" s="1"/>
  <c r="C270" i="120"/>
  <c r="AT7" i="120"/>
  <c r="B27" i="120"/>
  <c r="B28" i="120" s="1"/>
  <c r="B29" i="120" s="1"/>
  <c r="B26" i="120"/>
  <c r="C112" i="120"/>
  <c r="C113" i="120"/>
  <c r="C114" i="120" s="1"/>
  <c r="B105" i="120"/>
  <c r="B106" i="120"/>
  <c r="B107" i="120" s="1"/>
  <c r="B108" i="120" s="1"/>
  <c r="B264" i="120"/>
  <c r="B265" i="120" s="1"/>
  <c r="B266" i="120" s="1"/>
  <c r="B263" i="120"/>
  <c r="C34" i="120"/>
  <c r="C35" i="120" s="1"/>
  <c r="C33" i="120"/>
  <c r="B185" i="120"/>
  <c r="B186" i="120" s="1"/>
  <c r="B187" i="120" s="1"/>
  <c r="B184" i="120"/>
  <c r="M7" i="120"/>
  <c r="B197" i="126" l="1"/>
  <c r="B198" i="126"/>
  <c r="B200" i="126" s="1"/>
  <c r="B199" i="126" s="1"/>
  <c r="B201" i="126" s="1"/>
  <c r="B202" i="126" s="1"/>
  <c r="B276" i="126"/>
  <c r="B277" i="126"/>
  <c r="B279" i="126" s="1"/>
  <c r="B278" i="126" s="1"/>
  <c r="B280" i="126" s="1"/>
  <c r="B281" i="126" s="1"/>
  <c r="B39" i="126"/>
  <c r="B40" i="126"/>
  <c r="B42" i="126" s="1"/>
  <c r="B41" i="126" s="1"/>
  <c r="B43" i="126" s="1"/>
  <c r="B44" i="126" s="1"/>
  <c r="B119" i="126"/>
  <c r="B121" i="126" s="1"/>
  <c r="B120" i="126" s="1"/>
  <c r="B122" i="126" s="1"/>
  <c r="B123" i="126" s="1"/>
  <c r="B118" i="126"/>
  <c r="B39" i="125"/>
  <c r="B40" i="125"/>
  <c r="B42" i="125" s="1"/>
  <c r="B41" i="125" s="1"/>
  <c r="B43" i="125" s="1"/>
  <c r="B44" i="125" s="1"/>
  <c r="B277" i="125"/>
  <c r="B279" i="125" s="1"/>
  <c r="B278" i="125" s="1"/>
  <c r="B280" i="125" s="1"/>
  <c r="B281" i="125" s="1"/>
  <c r="B276" i="125"/>
  <c r="B197" i="125"/>
  <c r="B198" i="125"/>
  <c r="B200" i="125" s="1"/>
  <c r="B199" i="125" s="1"/>
  <c r="B201" i="125" s="1"/>
  <c r="B202" i="125" s="1"/>
  <c r="B119" i="125"/>
  <c r="B121" i="125" s="1"/>
  <c r="B120" i="125" s="1"/>
  <c r="B122" i="125" s="1"/>
  <c r="B123" i="125" s="1"/>
  <c r="B118" i="125"/>
  <c r="B198" i="124"/>
  <c r="B200" i="124" s="1"/>
  <c r="B199" i="124" s="1"/>
  <c r="B201" i="124" s="1"/>
  <c r="B202" i="124" s="1"/>
  <c r="B197" i="124"/>
  <c r="B119" i="124"/>
  <c r="B121" i="124" s="1"/>
  <c r="B120" i="124" s="1"/>
  <c r="B122" i="124" s="1"/>
  <c r="B123" i="124" s="1"/>
  <c r="B118" i="124"/>
  <c r="B276" i="124"/>
  <c r="B277" i="124"/>
  <c r="B279" i="124" s="1"/>
  <c r="B278" i="124" s="1"/>
  <c r="B280" i="124" s="1"/>
  <c r="B281" i="124" s="1"/>
  <c r="B40" i="124"/>
  <c r="B42" i="124" s="1"/>
  <c r="B41" i="124" s="1"/>
  <c r="B43" i="124" s="1"/>
  <c r="B44" i="124" s="1"/>
  <c r="B39" i="124"/>
  <c r="B188" i="120"/>
  <c r="B189" i="120"/>
  <c r="B190" i="120" s="1"/>
  <c r="B31" i="120"/>
  <c r="B32" i="120" s="1"/>
  <c r="B30" i="120"/>
  <c r="AU7" i="120"/>
  <c r="B268" i="120"/>
  <c r="B269" i="120" s="1"/>
  <c r="B267" i="120"/>
  <c r="N7" i="120"/>
  <c r="B110" i="120"/>
  <c r="B111" i="120" s="1"/>
  <c r="B109" i="120"/>
  <c r="B125" i="126" l="1"/>
  <c r="B126" i="126" s="1"/>
  <c r="B127" i="126" s="1"/>
  <c r="B128" i="126" s="1"/>
  <c r="B129" i="126" s="1"/>
  <c r="B130" i="126" s="1"/>
  <c r="B131" i="126" s="1"/>
  <c r="B132" i="126" s="1"/>
  <c r="B133" i="126" s="1"/>
  <c r="B134" i="126" s="1"/>
  <c r="B136" i="126" s="1"/>
  <c r="B135" i="126" s="1"/>
  <c r="B137" i="126" s="1"/>
  <c r="B138" i="126" s="1"/>
  <c r="B139" i="126" s="1"/>
  <c r="B140" i="126" s="1"/>
  <c r="B141" i="126" s="1"/>
  <c r="B142" i="126" s="1"/>
  <c r="B143" i="126" s="1"/>
  <c r="B144" i="126" s="1"/>
  <c r="B145" i="126" s="1"/>
  <c r="B146" i="126" s="1"/>
  <c r="B147" i="126" s="1"/>
  <c r="B148" i="126" s="1"/>
  <c r="B149" i="126" s="1"/>
  <c r="B150" i="126" s="1"/>
  <c r="B151" i="126" s="1"/>
  <c r="B152" i="126" s="1"/>
  <c r="B153" i="126" s="1"/>
  <c r="B154" i="126" s="1"/>
  <c r="B155" i="126" s="1"/>
  <c r="B156" i="126" s="1"/>
  <c r="B157" i="126" s="1"/>
  <c r="B158" i="126" s="1"/>
  <c r="B159" i="126" s="1"/>
  <c r="B160" i="126" s="1"/>
  <c r="B161" i="126" s="1"/>
  <c r="B162" i="126" s="1"/>
  <c r="B163" i="126" s="1"/>
  <c r="B164" i="126" s="1"/>
  <c r="B124" i="126"/>
  <c r="B46" i="126"/>
  <c r="B47" i="126" s="1"/>
  <c r="B48" i="126" s="1"/>
  <c r="B49" i="126" s="1"/>
  <c r="B50" i="126" s="1"/>
  <c r="B51" i="126" s="1"/>
  <c r="B52" i="126" s="1"/>
  <c r="B53" i="126" s="1"/>
  <c r="B54" i="126" s="1"/>
  <c r="B55" i="126" s="1"/>
  <c r="B57" i="126" s="1"/>
  <c r="B56" i="126" s="1"/>
  <c r="B58" i="126" s="1"/>
  <c r="B59" i="126" s="1"/>
  <c r="B60" i="126" s="1"/>
  <c r="B61" i="126" s="1"/>
  <c r="B62" i="126" s="1"/>
  <c r="B63" i="126" s="1"/>
  <c r="B64" i="126" s="1"/>
  <c r="B65" i="126" s="1"/>
  <c r="B66" i="126" s="1"/>
  <c r="B67" i="126" s="1"/>
  <c r="B68" i="126" s="1"/>
  <c r="B69" i="126" s="1"/>
  <c r="B70" i="126" s="1"/>
  <c r="B71" i="126" s="1"/>
  <c r="B72" i="126" s="1"/>
  <c r="B73" i="126" s="1"/>
  <c r="B74" i="126" s="1"/>
  <c r="B75" i="126" s="1"/>
  <c r="B76" i="126" s="1"/>
  <c r="B77" i="126" s="1"/>
  <c r="B78" i="126" s="1"/>
  <c r="B79" i="126" s="1"/>
  <c r="B80" i="126" s="1"/>
  <c r="B81" i="126" s="1"/>
  <c r="B82" i="126" s="1"/>
  <c r="B83" i="126" s="1"/>
  <c r="B84" i="126" s="1"/>
  <c r="B85" i="126" s="1"/>
  <c r="B45" i="126"/>
  <c r="B282" i="126"/>
  <c r="B283" i="126"/>
  <c r="B284" i="126" s="1"/>
  <c r="B285" i="126" s="1"/>
  <c r="B286" i="126" s="1"/>
  <c r="B287" i="126" s="1"/>
  <c r="B288" i="126" s="1"/>
  <c r="B289" i="126" s="1"/>
  <c r="B290" i="126" s="1"/>
  <c r="B291" i="126" s="1"/>
  <c r="B292" i="126" s="1"/>
  <c r="B294" i="126" s="1"/>
  <c r="B293" i="126" s="1"/>
  <c r="B295" i="126" s="1"/>
  <c r="B296" i="126" s="1"/>
  <c r="B297" i="126" s="1"/>
  <c r="B298" i="126" s="1"/>
  <c r="B299" i="126" s="1"/>
  <c r="B300" i="126" s="1"/>
  <c r="B301" i="126" s="1"/>
  <c r="B302" i="126" s="1"/>
  <c r="B303" i="126" s="1"/>
  <c r="B304" i="126" s="1"/>
  <c r="B305" i="126" s="1"/>
  <c r="B306" i="126" s="1"/>
  <c r="B307" i="126" s="1"/>
  <c r="B308" i="126" s="1"/>
  <c r="B309" i="126" s="1"/>
  <c r="B310" i="126" s="1"/>
  <c r="B311" i="126" s="1"/>
  <c r="B312" i="126" s="1"/>
  <c r="B313" i="126" s="1"/>
  <c r="B314" i="126" s="1"/>
  <c r="B315" i="126" s="1"/>
  <c r="B316" i="126" s="1"/>
  <c r="B317" i="126" s="1"/>
  <c r="B318" i="126" s="1"/>
  <c r="B319" i="126" s="1"/>
  <c r="B320" i="126" s="1"/>
  <c r="B321" i="126" s="1"/>
  <c r="B322" i="126" s="1"/>
  <c r="B204" i="126"/>
  <c r="B205" i="126" s="1"/>
  <c r="B206" i="126" s="1"/>
  <c r="B207" i="126" s="1"/>
  <c r="B208" i="126" s="1"/>
  <c r="B209" i="126" s="1"/>
  <c r="B210" i="126" s="1"/>
  <c r="B211" i="126" s="1"/>
  <c r="B212" i="126" s="1"/>
  <c r="B213" i="126" s="1"/>
  <c r="B215" i="126" s="1"/>
  <c r="B214" i="126" s="1"/>
  <c r="B216" i="126" s="1"/>
  <c r="B217" i="126" s="1"/>
  <c r="B218" i="126" s="1"/>
  <c r="B219" i="126" s="1"/>
  <c r="B220" i="126" s="1"/>
  <c r="B221" i="126" s="1"/>
  <c r="B222" i="126" s="1"/>
  <c r="B223" i="126" s="1"/>
  <c r="B224" i="126" s="1"/>
  <c r="B225" i="126" s="1"/>
  <c r="B226" i="126" s="1"/>
  <c r="B227" i="126" s="1"/>
  <c r="B228" i="126" s="1"/>
  <c r="B229" i="126" s="1"/>
  <c r="B230" i="126" s="1"/>
  <c r="B231" i="126" s="1"/>
  <c r="B232" i="126" s="1"/>
  <c r="B233" i="126" s="1"/>
  <c r="B234" i="126" s="1"/>
  <c r="B235" i="126" s="1"/>
  <c r="B236" i="126" s="1"/>
  <c r="B237" i="126" s="1"/>
  <c r="B238" i="126" s="1"/>
  <c r="B239" i="126" s="1"/>
  <c r="B240" i="126" s="1"/>
  <c r="B241" i="126" s="1"/>
  <c r="B242" i="126" s="1"/>
  <c r="B243" i="126" s="1"/>
  <c r="B203" i="126"/>
  <c r="B125" i="125"/>
  <c r="B126" i="125" s="1"/>
  <c r="B127" i="125" s="1"/>
  <c r="B128" i="125" s="1"/>
  <c r="B129" i="125" s="1"/>
  <c r="B130" i="125" s="1"/>
  <c r="B131" i="125" s="1"/>
  <c r="B132" i="125" s="1"/>
  <c r="B133" i="125" s="1"/>
  <c r="B134" i="125" s="1"/>
  <c r="B136" i="125" s="1"/>
  <c r="B135" i="125" s="1"/>
  <c r="B137" i="125" s="1"/>
  <c r="B138" i="125" s="1"/>
  <c r="B139" i="125" s="1"/>
  <c r="B140" i="125" s="1"/>
  <c r="B141" i="125" s="1"/>
  <c r="B142" i="125" s="1"/>
  <c r="B143" i="125" s="1"/>
  <c r="B144" i="125" s="1"/>
  <c r="B145" i="125" s="1"/>
  <c r="B146" i="125" s="1"/>
  <c r="B147" i="125" s="1"/>
  <c r="B148" i="125" s="1"/>
  <c r="B149" i="125" s="1"/>
  <c r="B150" i="125" s="1"/>
  <c r="B151" i="125" s="1"/>
  <c r="B152" i="125" s="1"/>
  <c r="B153" i="125" s="1"/>
  <c r="B154" i="125" s="1"/>
  <c r="B155" i="125" s="1"/>
  <c r="B156" i="125" s="1"/>
  <c r="B157" i="125" s="1"/>
  <c r="B158" i="125" s="1"/>
  <c r="B159" i="125" s="1"/>
  <c r="B160" i="125" s="1"/>
  <c r="B161" i="125" s="1"/>
  <c r="B162" i="125" s="1"/>
  <c r="B163" i="125" s="1"/>
  <c r="B164" i="125" s="1"/>
  <c r="B124" i="125"/>
  <c r="B203" i="125"/>
  <c r="B204" i="125"/>
  <c r="B205" i="125" s="1"/>
  <c r="B206" i="125" s="1"/>
  <c r="B207" i="125" s="1"/>
  <c r="B208" i="125" s="1"/>
  <c r="B209" i="125" s="1"/>
  <c r="B210" i="125" s="1"/>
  <c r="B211" i="125" s="1"/>
  <c r="B212" i="125" s="1"/>
  <c r="B213" i="125" s="1"/>
  <c r="B215" i="125" s="1"/>
  <c r="B214" i="125" s="1"/>
  <c r="B216" i="125" s="1"/>
  <c r="B217" i="125" s="1"/>
  <c r="B218" i="125" s="1"/>
  <c r="B219" i="125" s="1"/>
  <c r="B220" i="125" s="1"/>
  <c r="B221" i="125" s="1"/>
  <c r="B222" i="125" s="1"/>
  <c r="B223" i="125" s="1"/>
  <c r="B224" i="125" s="1"/>
  <c r="B225" i="125" s="1"/>
  <c r="B226" i="125" s="1"/>
  <c r="B227" i="125" s="1"/>
  <c r="B228" i="125" s="1"/>
  <c r="B229" i="125" s="1"/>
  <c r="B230" i="125" s="1"/>
  <c r="B231" i="125" s="1"/>
  <c r="B232" i="125" s="1"/>
  <c r="B233" i="125" s="1"/>
  <c r="B234" i="125" s="1"/>
  <c r="B235" i="125" s="1"/>
  <c r="B236" i="125" s="1"/>
  <c r="B237" i="125" s="1"/>
  <c r="B238" i="125" s="1"/>
  <c r="B239" i="125" s="1"/>
  <c r="B240" i="125" s="1"/>
  <c r="B241" i="125" s="1"/>
  <c r="B242" i="125" s="1"/>
  <c r="B243" i="125" s="1"/>
  <c r="B283" i="125"/>
  <c r="B284" i="125" s="1"/>
  <c r="B285" i="125" s="1"/>
  <c r="B286" i="125" s="1"/>
  <c r="B287" i="125" s="1"/>
  <c r="B288" i="125" s="1"/>
  <c r="B289" i="125" s="1"/>
  <c r="B290" i="125" s="1"/>
  <c r="B291" i="125" s="1"/>
  <c r="B292" i="125" s="1"/>
  <c r="B294" i="125" s="1"/>
  <c r="B293" i="125" s="1"/>
  <c r="B295" i="125" s="1"/>
  <c r="B296" i="125" s="1"/>
  <c r="B297" i="125" s="1"/>
  <c r="B298" i="125" s="1"/>
  <c r="B299" i="125" s="1"/>
  <c r="B300" i="125" s="1"/>
  <c r="B301" i="125" s="1"/>
  <c r="B302" i="125" s="1"/>
  <c r="B303" i="125" s="1"/>
  <c r="B304" i="125" s="1"/>
  <c r="B305" i="125" s="1"/>
  <c r="B306" i="125" s="1"/>
  <c r="B307" i="125" s="1"/>
  <c r="B308" i="125" s="1"/>
  <c r="B309" i="125" s="1"/>
  <c r="B310" i="125" s="1"/>
  <c r="B311" i="125" s="1"/>
  <c r="B312" i="125" s="1"/>
  <c r="B313" i="125" s="1"/>
  <c r="B314" i="125" s="1"/>
  <c r="B315" i="125" s="1"/>
  <c r="B316" i="125" s="1"/>
  <c r="B317" i="125" s="1"/>
  <c r="B318" i="125" s="1"/>
  <c r="B319" i="125" s="1"/>
  <c r="B320" i="125" s="1"/>
  <c r="B321" i="125" s="1"/>
  <c r="B322" i="125" s="1"/>
  <c r="B282" i="125"/>
  <c r="B45" i="125"/>
  <c r="B46" i="125"/>
  <c r="B47" i="125" s="1"/>
  <c r="B48" i="125" s="1"/>
  <c r="B49" i="125" s="1"/>
  <c r="B50" i="125" s="1"/>
  <c r="B51" i="125" s="1"/>
  <c r="B52" i="125" s="1"/>
  <c r="B53" i="125" s="1"/>
  <c r="B54" i="125" s="1"/>
  <c r="B55" i="125" s="1"/>
  <c r="B57" i="125" s="1"/>
  <c r="B56" i="125" s="1"/>
  <c r="B58" i="125" s="1"/>
  <c r="B59" i="125" s="1"/>
  <c r="B60" i="125" s="1"/>
  <c r="B61" i="125" s="1"/>
  <c r="B62" i="125" s="1"/>
  <c r="B63" i="125" s="1"/>
  <c r="B64" i="125" s="1"/>
  <c r="B65" i="125" s="1"/>
  <c r="B66" i="125" s="1"/>
  <c r="B67" i="125" s="1"/>
  <c r="B68" i="125" s="1"/>
  <c r="B69" i="125" s="1"/>
  <c r="B70" i="125" s="1"/>
  <c r="B71" i="125" s="1"/>
  <c r="B72" i="125" s="1"/>
  <c r="B73" i="125" s="1"/>
  <c r="B74" i="125" s="1"/>
  <c r="B75" i="125" s="1"/>
  <c r="B76" i="125" s="1"/>
  <c r="B77" i="125" s="1"/>
  <c r="B78" i="125" s="1"/>
  <c r="B79" i="125" s="1"/>
  <c r="B80" i="125" s="1"/>
  <c r="B81" i="125" s="1"/>
  <c r="B82" i="125" s="1"/>
  <c r="B83" i="125" s="1"/>
  <c r="B84" i="125" s="1"/>
  <c r="B85" i="125" s="1"/>
  <c r="B203" i="124"/>
  <c r="B204" i="124"/>
  <c r="B205" i="124" s="1"/>
  <c r="B206" i="124" s="1"/>
  <c r="B207" i="124" s="1"/>
  <c r="B208" i="124" s="1"/>
  <c r="B209" i="124" s="1"/>
  <c r="B210" i="124" s="1"/>
  <c r="B211" i="124" s="1"/>
  <c r="B212" i="124" s="1"/>
  <c r="B213" i="124" s="1"/>
  <c r="B215" i="124" s="1"/>
  <c r="B214" i="124" s="1"/>
  <c r="B216" i="124" s="1"/>
  <c r="B217" i="124" s="1"/>
  <c r="B218" i="124" s="1"/>
  <c r="B219" i="124" s="1"/>
  <c r="B220" i="124" s="1"/>
  <c r="B221" i="124" s="1"/>
  <c r="B222" i="124" s="1"/>
  <c r="B223" i="124" s="1"/>
  <c r="B224" i="124" s="1"/>
  <c r="B225" i="124" s="1"/>
  <c r="B226" i="124" s="1"/>
  <c r="B227" i="124" s="1"/>
  <c r="B228" i="124" s="1"/>
  <c r="B229" i="124" s="1"/>
  <c r="B230" i="124" s="1"/>
  <c r="B231" i="124" s="1"/>
  <c r="B232" i="124" s="1"/>
  <c r="B233" i="124" s="1"/>
  <c r="B234" i="124" s="1"/>
  <c r="B235" i="124" s="1"/>
  <c r="B236" i="124" s="1"/>
  <c r="B237" i="124" s="1"/>
  <c r="B238" i="124" s="1"/>
  <c r="B239" i="124" s="1"/>
  <c r="B240" i="124" s="1"/>
  <c r="B241" i="124" s="1"/>
  <c r="B242" i="124" s="1"/>
  <c r="B243" i="124" s="1"/>
  <c r="B46" i="124"/>
  <c r="B47" i="124" s="1"/>
  <c r="B48" i="124" s="1"/>
  <c r="B49" i="124" s="1"/>
  <c r="B50" i="124" s="1"/>
  <c r="B51" i="124" s="1"/>
  <c r="B52" i="124" s="1"/>
  <c r="B53" i="124" s="1"/>
  <c r="B54" i="124" s="1"/>
  <c r="B55" i="124" s="1"/>
  <c r="B57" i="124" s="1"/>
  <c r="B56" i="124" s="1"/>
  <c r="B58" i="124" s="1"/>
  <c r="B59" i="124" s="1"/>
  <c r="B60" i="124" s="1"/>
  <c r="B61" i="124" s="1"/>
  <c r="B62" i="124" s="1"/>
  <c r="B63" i="124" s="1"/>
  <c r="B64" i="124" s="1"/>
  <c r="B65" i="124" s="1"/>
  <c r="B66" i="124" s="1"/>
  <c r="B67" i="124" s="1"/>
  <c r="B68" i="124" s="1"/>
  <c r="B69" i="124" s="1"/>
  <c r="B70" i="124" s="1"/>
  <c r="B71" i="124" s="1"/>
  <c r="B72" i="124" s="1"/>
  <c r="B73" i="124" s="1"/>
  <c r="B74" i="124" s="1"/>
  <c r="B75" i="124" s="1"/>
  <c r="B76" i="124" s="1"/>
  <c r="B77" i="124" s="1"/>
  <c r="B78" i="124" s="1"/>
  <c r="B79" i="124" s="1"/>
  <c r="B80" i="124" s="1"/>
  <c r="B81" i="124" s="1"/>
  <c r="B82" i="124" s="1"/>
  <c r="B83" i="124" s="1"/>
  <c r="B84" i="124" s="1"/>
  <c r="B85" i="124" s="1"/>
  <c r="B45" i="124"/>
  <c r="B125" i="124"/>
  <c r="B126" i="124" s="1"/>
  <c r="B127" i="124" s="1"/>
  <c r="B128" i="124" s="1"/>
  <c r="B129" i="124" s="1"/>
  <c r="B130" i="124" s="1"/>
  <c r="B131" i="124" s="1"/>
  <c r="B132" i="124" s="1"/>
  <c r="B133" i="124" s="1"/>
  <c r="B134" i="124" s="1"/>
  <c r="B136" i="124" s="1"/>
  <c r="B135" i="124" s="1"/>
  <c r="B137" i="124" s="1"/>
  <c r="B138" i="124" s="1"/>
  <c r="B139" i="124" s="1"/>
  <c r="B140" i="124" s="1"/>
  <c r="B141" i="124" s="1"/>
  <c r="B142" i="124" s="1"/>
  <c r="B143" i="124" s="1"/>
  <c r="B144" i="124" s="1"/>
  <c r="B145" i="124" s="1"/>
  <c r="B146" i="124" s="1"/>
  <c r="B147" i="124" s="1"/>
  <c r="B148" i="124" s="1"/>
  <c r="B149" i="124" s="1"/>
  <c r="B150" i="124" s="1"/>
  <c r="B151" i="124" s="1"/>
  <c r="B152" i="124" s="1"/>
  <c r="B153" i="124" s="1"/>
  <c r="B154" i="124" s="1"/>
  <c r="B155" i="124" s="1"/>
  <c r="B156" i="124" s="1"/>
  <c r="B157" i="124" s="1"/>
  <c r="B158" i="124" s="1"/>
  <c r="B159" i="124" s="1"/>
  <c r="B160" i="124" s="1"/>
  <c r="B161" i="124" s="1"/>
  <c r="B162" i="124" s="1"/>
  <c r="B163" i="124" s="1"/>
  <c r="B164" i="124" s="1"/>
  <c r="B124" i="124"/>
  <c r="B282" i="124"/>
  <c r="B283" i="124"/>
  <c r="B284" i="124" s="1"/>
  <c r="B285" i="124" s="1"/>
  <c r="B286" i="124" s="1"/>
  <c r="B287" i="124" s="1"/>
  <c r="B288" i="124" s="1"/>
  <c r="B289" i="124" s="1"/>
  <c r="B290" i="124" s="1"/>
  <c r="B291" i="124" s="1"/>
  <c r="B292" i="124" s="1"/>
  <c r="B294" i="124" s="1"/>
  <c r="B293" i="124" s="1"/>
  <c r="B295" i="124" s="1"/>
  <c r="B296" i="124" s="1"/>
  <c r="B297" i="124" s="1"/>
  <c r="B298" i="124" s="1"/>
  <c r="B299" i="124" s="1"/>
  <c r="B300" i="124" s="1"/>
  <c r="B301" i="124" s="1"/>
  <c r="B302" i="124" s="1"/>
  <c r="B303" i="124" s="1"/>
  <c r="B304" i="124" s="1"/>
  <c r="B305" i="124" s="1"/>
  <c r="B306" i="124" s="1"/>
  <c r="B307" i="124" s="1"/>
  <c r="B308" i="124" s="1"/>
  <c r="B309" i="124" s="1"/>
  <c r="B310" i="124" s="1"/>
  <c r="B311" i="124" s="1"/>
  <c r="B312" i="124" s="1"/>
  <c r="B313" i="124" s="1"/>
  <c r="B314" i="124" s="1"/>
  <c r="B315" i="124" s="1"/>
  <c r="B316" i="124" s="1"/>
  <c r="B317" i="124" s="1"/>
  <c r="B318" i="124" s="1"/>
  <c r="B319" i="124" s="1"/>
  <c r="B320" i="124" s="1"/>
  <c r="B321" i="124" s="1"/>
  <c r="B322" i="124" s="1"/>
  <c r="O7" i="120"/>
  <c r="B271" i="120"/>
  <c r="B272" i="120" s="1"/>
  <c r="B273" i="120" s="1"/>
  <c r="B274" i="120" s="1"/>
  <c r="B275" i="120" s="1"/>
  <c r="B270" i="120"/>
  <c r="AV7" i="120"/>
  <c r="B34" i="120"/>
  <c r="B35" i="120" s="1"/>
  <c r="B36" i="120" s="1"/>
  <c r="B37" i="120" s="1"/>
  <c r="B38" i="120" s="1"/>
  <c r="B33" i="120"/>
  <c r="B191" i="120"/>
  <c r="B192" i="120"/>
  <c r="B193" i="120" s="1"/>
  <c r="B194" i="120" s="1"/>
  <c r="B195" i="120" s="1"/>
  <c r="B196" i="120" s="1"/>
  <c r="B113" i="120"/>
  <c r="B114" i="120" s="1"/>
  <c r="B115" i="120" s="1"/>
  <c r="B116" i="120" s="1"/>
  <c r="B117" i="120" s="1"/>
  <c r="B112" i="120"/>
  <c r="B40" i="120" l="1"/>
  <c r="B39" i="120"/>
  <c r="AW7" i="120"/>
  <c r="B197" i="120"/>
  <c r="B198" i="120"/>
  <c r="B277" i="120"/>
  <c r="B276" i="120"/>
  <c r="B118" i="120"/>
  <c r="B119" i="120"/>
  <c r="P7" i="120"/>
  <c r="B42" i="120" l="1"/>
  <c r="B41" i="120" s="1"/>
  <c r="B43" i="120" s="1"/>
  <c r="B44" i="120" s="1"/>
  <c r="B121" i="120"/>
  <c r="B120" i="120" s="1"/>
  <c r="B122" i="120" s="1"/>
  <c r="B123" i="120" s="1"/>
  <c r="B200" i="120"/>
  <c r="B199" i="120" s="1"/>
  <c r="B201" i="120" s="1"/>
  <c r="B202" i="120" s="1"/>
  <c r="B279" i="120"/>
  <c r="B278" i="120" s="1"/>
  <c r="B280" i="120" s="1"/>
  <c r="B281" i="120" s="1"/>
  <c r="AX7" i="120"/>
  <c r="Q7" i="120"/>
  <c r="B45" i="120" l="1"/>
  <c r="B46" i="120"/>
  <c r="B47" i="120" s="1"/>
  <c r="B48" i="120" s="1"/>
  <c r="B49" i="120" s="1"/>
  <c r="B50" i="120" s="1"/>
  <c r="B51" i="120" s="1"/>
  <c r="B52" i="120" s="1"/>
  <c r="B53" i="120" s="1"/>
  <c r="B54" i="120" s="1"/>
  <c r="B55" i="120" s="1"/>
  <c r="B57" i="120" s="1"/>
  <c r="B56" i="120" s="1"/>
  <c r="B58" i="120" s="1"/>
  <c r="B59" i="120" s="1"/>
  <c r="B60" i="120" s="1"/>
  <c r="B61" i="120" s="1"/>
  <c r="B62" i="120" s="1"/>
  <c r="B63" i="120" s="1"/>
  <c r="B64" i="120" s="1"/>
  <c r="B283" i="120"/>
  <c r="B284" i="120" s="1"/>
  <c r="B285" i="120" s="1"/>
  <c r="B286" i="120" s="1"/>
  <c r="B287" i="120" s="1"/>
  <c r="B288" i="120" s="1"/>
  <c r="B289" i="120" s="1"/>
  <c r="B290" i="120" s="1"/>
  <c r="B291" i="120" s="1"/>
  <c r="B292" i="120" s="1"/>
  <c r="B294" i="120" s="1"/>
  <c r="B293" i="120" s="1"/>
  <c r="B295" i="120" s="1"/>
  <c r="B296" i="120" s="1"/>
  <c r="B297" i="120" s="1"/>
  <c r="B298" i="120" s="1"/>
  <c r="B299" i="120" s="1"/>
  <c r="B300" i="120" s="1"/>
  <c r="B301" i="120" s="1"/>
  <c r="B282" i="120"/>
  <c r="B125" i="120"/>
  <c r="B126" i="120" s="1"/>
  <c r="B127" i="120" s="1"/>
  <c r="B128" i="120" s="1"/>
  <c r="B129" i="120" s="1"/>
  <c r="B130" i="120" s="1"/>
  <c r="B131" i="120" s="1"/>
  <c r="B132" i="120" s="1"/>
  <c r="B133" i="120" s="1"/>
  <c r="B134" i="120" s="1"/>
  <c r="B136" i="120" s="1"/>
  <c r="B135" i="120" s="1"/>
  <c r="B137" i="120" s="1"/>
  <c r="B138" i="120" s="1"/>
  <c r="B139" i="120" s="1"/>
  <c r="B140" i="120" s="1"/>
  <c r="B141" i="120" s="1"/>
  <c r="B142" i="120" s="1"/>
  <c r="B143" i="120" s="1"/>
  <c r="B124" i="120"/>
  <c r="B204" i="120"/>
  <c r="B205" i="120" s="1"/>
  <c r="B206" i="120" s="1"/>
  <c r="B207" i="120" s="1"/>
  <c r="B208" i="120" s="1"/>
  <c r="B209" i="120" s="1"/>
  <c r="B210" i="120" s="1"/>
  <c r="B211" i="120" s="1"/>
  <c r="B212" i="120" s="1"/>
  <c r="B213" i="120" s="1"/>
  <c r="B215" i="120" s="1"/>
  <c r="B214" i="120" s="1"/>
  <c r="B216" i="120" s="1"/>
  <c r="B217" i="120" s="1"/>
  <c r="B218" i="120" s="1"/>
  <c r="B219" i="120" s="1"/>
  <c r="B220" i="120" s="1"/>
  <c r="B221" i="120" s="1"/>
  <c r="B222" i="120" s="1"/>
  <c r="B203" i="120"/>
  <c r="R7" i="120"/>
  <c r="AY7" i="120"/>
  <c r="B223" i="120" l="1"/>
  <c r="AZ7" i="120"/>
  <c r="B302" i="120"/>
  <c r="B65" i="120"/>
  <c r="S7" i="120"/>
  <c r="B144" i="120"/>
  <c r="BA7" i="120" l="1"/>
  <c r="T7" i="120"/>
  <c r="B224" i="120"/>
  <c r="B225" i="120" s="1"/>
  <c r="B226" i="120" s="1"/>
  <c r="B227" i="120" s="1"/>
  <c r="B228" i="120" s="1"/>
  <c r="B229" i="120" s="1"/>
  <c r="B230" i="120" s="1"/>
  <c r="B231" i="120" s="1"/>
  <c r="B232" i="120" s="1"/>
  <c r="B233" i="120" s="1"/>
  <c r="B234" i="120" s="1"/>
  <c r="B235" i="120" s="1"/>
  <c r="B236" i="120" s="1"/>
  <c r="B237" i="120" s="1"/>
  <c r="B238" i="120" s="1"/>
  <c r="B239" i="120" s="1"/>
  <c r="B240" i="120" s="1"/>
  <c r="B241" i="120" s="1"/>
  <c r="B242" i="120" s="1"/>
  <c r="B243" i="120" s="1"/>
  <c r="B66" i="120"/>
  <c r="B67" i="120" s="1"/>
  <c r="B68" i="120" s="1"/>
  <c r="B69" i="120" s="1"/>
  <c r="B70" i="120" s="1"/>
  <c r="B71" i="120" s="1"/>
  <c r="B72" i="120" s="1"/>
  <c r="B73" i="120" s="1"/>
  <c r="B74" i="120" s="1"/>
  <c r="B75" i="120" s="1"/>
  <c r="B76" i="120" s="1"/>
  <c r="B77" i="120" s="1"/>
  <c r="B78" i="120" s="1"/>
  <c r="B79" i="120" s="1"/>
  <c r="B80" i="120" s="1"/>
  <c r="B81" i="120" s="1"/>
  <c r="B82" i="120" s="1"/>
  <c r="B83" i="120" s="1"/>
  <c r="B84" i="120" s="1"/>
  <c r="B85" i="120" s="1"/>
  <c r="B303" i="120"/>
  <c r="B304" i="120" s="1"/>
  <c r="B305" i="120" s="1"/>
  <c r="B306" i="120" s="1"/>
  <c r="B307" i="120" s="1"/>
  <c r="B308" i="120" s="1"/>
  <c r="B309" i="120" s="1"/>
  <c r="B310" i="120" s="1"/>
  <c r="B311" i="120" s="1"/>
  <c r="B312" i="120" s="1"/>
  <c r="B313" i="120" s="1"/>
  <c r="B314" i="120" s="1"/>
  <c r="B315" i="120" s="1"/>
  <c r="B316" i="120" s="1"/>
  <c r="B317" i="120" s="1"/>
  <c r="B318" i="120" s="1"/>
  <c r="B319" i="120" s="1"/>
  <c r="B320" i="120" s="1"/>
  <c r="B321" i="120" s="1"/>
  <c r="B322" i="120" s="1"/>
  <c r="B145" i="120"/>
  <c r="B146" i="120" s="1"/>
  <c r="B147" i="120" s="1"/>
  <c r="B148" i="120" s="1"/>
  <c r="B149" i="120" s="1"/>
  <c r="B150" i="120" s="1"/>
  <c r="B151" i="120" s="1"/>
  <c r="B152" i="120" s="1"/>
  <c r="B153" i="120" s="1"/>
  <c r="B154" i="120" s="1"/>
  <c r="B155" i="120" s="1"/>
  <c r="B156" i="120" s="1"/>
  <c r="B157" i="120" s="1"/>
  <c r="B158" i="120" s="1"/>
  <c r="B159" i="120" s="1"/>
  <c r="B160" i="120" s="1"/>
  <c r="B161" i="120" s="1"/>
  <c r="B162" i="120" s="1"/>
  <c r="B163" i="120" s="1"/>
  <c r="B164" i="120" s="1"/>
  <c r="U7" i="120" l="1"/>
  <c r="BB7" i="120"/>
  <c r="V7" i="120" l="1"/>
  <c r="BC7" i="120"/>
  <c r="BD7" i="120" l="1"/>
  <c r="W7" i="120"/>
  <c r="X7" i="120" l="1"/>
  <c r="BE7" i="120"/>
  <c r="Y7" i="120" l="1"/>
  <c r="BF7" i="120"/>
  <c r="Z7" i="120" l="1"/>
  <c r="BG7" i="120"/>
  <c r="AA7" i="120" l="1"/>
  <c r="BH7" i="120"/>
  <c r="AB7" i="120" l="1"/>
  <c r="BI7" i="120"/>
  <c r="BJ7" i="120" l="1"/>
  <c r="AC7" i="120"/>
  <c r="AD7" i="120" l="1"/>
  <c r="BK7" i="120"/>
  <c r="BL7" i="120" l="1"/>
  <c r="AE7" i="120"/>
  <c r="BM7" i="120" l="1"/>
  <c r="AF7" i="120"/>
  <c r="AG7" i="120" l="1"/>
  <c r="BX72" i="119" l="1"/>
  <c r="BX71" i="119"/>
  <c r="BV55" i="119"/>
  <c r="AK39" i="119"/>
  <c r="C39" i="119"/>
  <c r="BV35" i="119"/>
  <c r="AK23" i="119"/>
  <c r="C23" i="119"/>
  <c r="BV15" i="119"/>
  <c r="BV7" i="119"/>
  <c r="AK7" i="119"/>
  <c r="C7" i="119"/>
  <c r="B3" i="119"/>
  <c r="BX72" i="118"/>
  <c r="BX71" i="118"/>
  <c r="BV55" i="118"/>
  <c r="AK39" i="118"/>
  <c r="C39" i="118"/>
  <c r="BV35" i="118"/>
  <c r="AK23" i="118"/>
  <c r="C23" i="118"/>
  <c r="BV15" i="118"/>
  <c r="BV7" i="118"/>
  <c r="AK7" i="118"/>
  <c r="C7" i="118"/>
  <c r="B3" i="118"/>
  <c r="BX72" i="117"/>
  <c r="BX71" i="117"/>
  <c r="BV55" i="117"/>
  <c r="AK39" i="117"/>
  <c r="C39" i="117"/>
  <c r="BV35" i="117"/>
  <c r="AK23" i="117"/>
  <c r="C23" i="117"/>
  <c r="BV15" i="117"/>
  <c r="BV7" i="117"/>
  <c r="AK7" i="117"/>
  <c r="C7" i="117"/>
  <c r="B3" i="117"/>
  <c r="W10" i="1" l="1"/>
  <c r="W11" i="1"/>
  <c r="W12" i="1"/>
  <c r="W13" i="1"/>
  <c r="W14" i="1"/>
  <c r="W15" i="1"/>
  <c r="W16" i="1"/>
  <c r="W17" i="1"/>
  <c r="W18" i="1"/>
  <c r="W19" i="1"/>
  <c r="W20" i="1"/>
  <c r="W21" i="1"/>
  <c r="W22" i="1"/>
  <c r="W23" i="1"/>
  <c r="W24" i="1"/>
  <c r="W25" i="1"/>
  <c r="W26" i="1"/>
  <c r="W27" i="1"/>
  <c r="W28" i="1"/>
  <c r="W29" i="1"/>
  <c r="W30" i="1"/>
  <c r="W31" i="1"/>
  <c r="W32" i="1"/>
  <c r="W9" i="1"/>
  <c r="DE48" i="67" l="1"/>
  <c r="DE50" i="67"/>
  <c r="DE52" i="67"/>
  <c r="DE56" i="95" l="1"/>
  <c r="DE55" i="95"/>
  <c r="DE50" i="95"/>
  <c r="DE49" i="95"/>
  <c r="DE45" i="95"/>
  <c r="DE44" i="95"/>
  <c r="DC40" i="95"/>
  <c r="C39" i="95"/>
  <c r="AK39" i="95" s="1"/>
  <c r="DE38" i="95"/>
  <c r="DE37" i="95"/>
  <c r="DE33" i="95"/>
  <c r="DE32" i="95"/>
  <c r="DE28" i="95"/>
  <c r="DE27" i="95"/>
  <c r="DC23" i="95"/>
  <c r="BS23" i="95"/>
  <c r="C23" i="95"/>
  <c r="AK23" i="95" s="1"/>
  <c r="DE21" i="95"/>
  <c r="DE20" i="95"/>
  <c r="DE16" i="95"/>
  <c r="DE15" i="95"/>
  <c r="DE11" i="95"/>
  <c r="DE10" i="95"/>
  <c r="BS7" i="95"/>
  <c r="C7" i="95"/>
  <c r="AK7" i="95" s="1"/>
  <c r="DC6" i="95"/>
  <c r="DG5" i="95"/>
  <c r="B3" i="95"/>
  <c r="DE56" i="94"/>
  <c r="DE55" i="94"/>
  <c r="DE50" i="94"/>
  <c r="DE49" i="94"/>
  <c r="DE45" i="94"/>
  <c r="DE44" i="94"/>
  <c r="DC40" i="94"/>
  <c r="C39" i="94"/>
  <c r="AK39" i="94" s="1"/>
  <c r="DE38" i="94"/>
  <c r="DE37" i="94"/>
  <c r="DE33" i="94"/>
  <c r="DE32" i="94"/>
  <c r="DE28" i="94"/>
  <c r="DE27" i="94"/>
  <c r="DC23" i="94"/>
  <c r="BS23" i="94"/>
  <c r="C23" i="94"/>
  <c r="AK23" i="94" s="1"/>
  <c r="DE21" i="94"/>
  <c r="DE20" i="94"/>
  <c r="DE16" i="94"/>
  <c r="DE15" i="94"/>
  <c r="DE11" i="94"/>
  <c r="DE10" i="94"/>
  <c r="BS7" i="94"/>
  <c r="C7" i="94"/>
  <c r="AK7" i="94" s="1"/>
  <c r="DC6" i="94"/>
  <c r="DG5" i="94"/>
  <c r="B3" i="94"/>
  <c r="DE56" i="93"/>
  <c r="DE55" i="93"/>
  <c r="DE50" i="93"/>
  <c r="DE49" i="93"/>
  <c r="DE45" i="93"/>
  <c r="DE44" i="93"/>
  <c r="DC40" i="93"/>
  <c r="C39" i="93"/>
  <c r="AK39" i="93" s="1"/>
  <c r="DE38" i="93"/>
  <c r="DE37" i="93"/>
  <c r="DE33" i="93"/>
  <c r="DE32" i="93"/>
  <c r="DE28" i="93"/>
  <c r="DE27" i="93"/>
  <c r="DC23" i="93"/>
  <c r="BS23" i="93"/>
  <c r="C23" i="93"/>
  <c r="AK23" i="93" s="1"/>
  <c r="DE21" i="93"/>
  <c r="DE20" i="93"/>
  <c r="DE16" i="93"/>
  <c r="DE15" i="93"/>
  <c r="DE11" i="93"/>
  <c r="DE10" i="93"/>
  <c r="BS7" i="93"/>
  <c r="C7" i="93"/>
  <c r="AK7" i="93" s="1"/>
  <c r="DC6" i="93"/>
  <c r="DG5" i="93"/>
  <c r="B3" i="93"/>
  <c r="DH5" i="95" l="1"/>
  <c r="DI5" i="95" s="1"/>
  <c r="DH5" i="94"/>
  <c r="DI5" i="94" s="1"/>
  <c r="DH5" i="93"/>
  <c r="DI5" i="93" s="1"/>
  <c r="C39" i="82" l="1"/>
  <c r="AK39" i="82" s="1"/>
  <c r="BS23" i="82"/>
  <c r="C23" i="82"/>
  <c r="AK23" i="82" s="1"/>
  <c r="BS7" i="82"/>
  <c r="C7" i="82"/>
  <c r="AK7" i="82" s="1"/>
  <c r="DG5" i="82" l="1"/>
  <c r="DH5" i="82" s="1"/>
  <c r="DI5" i="82" s="1"/>
  <c r="C70" i="30" l="1"/>
  <c r="C68" i="30"/>
  <c r="C56" i="30"/>
  <c r="C54" i="30"/>
  <c r="C42" i="30"/>
  <c r="C40" i="30"/>
  <c r="C28" i="30"/>
  <c r="C26" i="30"/>
  <c r="I115" i="63" l="1"/>
  <c r="I41" i="63"/>
  <c r="I78" i="63" s="1"/>
  <c r="K78" i="63"/>
  <c r="K77" i="63"/>
  <c r="K149" i="63" l="1"/>
  <c r="I112" i="63"/>
  <c r="I149" i="63" s="1"/>
  <c r="I75" i="63"/>
  <c r="J75" i="63"/>
  <c r="K75" i="63"/>
  <c r="I38" i="63"/>
  <c r="I74" i="63"/>
  <c r="I144" i="63" l="1"/>
  <c r="I70" i="63"/>
  <c r="K52" i="63" l="1"/>
  <c r="K51" i="63"/>
  <c r="I52" i="63"/>
  <c r="I297" i="63" l="1"/>
  <c r="I260" i="63"/>
  <c r="I223" i="63"/>
  <c r="K200" i="63"/>
  <c r="I200" i="63"/>
  <c r="Y48" i="2" l="1"/>
  <c r="F291" i="63"/>
  <c r="F254" i="63"/>
  <c r="F217" i="63"/>
  <c r="F180" i="63"/>
  <c r="F143" i="63"/>
  <c r="F106" i="63"/>
  <c r="F69" i="63"/>
  <c r="F32" i="63"/>
  <c r="F300" i="63"/>
  <c r="F301" i="63"/>
  <c r="F299" i="63"/>
  <c r="F297" i="63"/>
  <c r="F298" i="63"/>
  <c r="F296" i="63"/>
  <c r="F263" i="63"/>
  <c r="F264" i="63"/>
  <c r="F262" i="63"/>
  <c r="F260" i="63"/>
  <c r="F261" i="63"/>
  <c r="F259" i="63"/>
  <c r="F226" i="63"/>
  <c r="F227" i="63"/>
  <c r="F225" i="63"/>
  <c r="F223" i="63"/>
  <c r="F224" i="63"/>
  <c r="F222" i="63"/>
  <c r="F189" i="63"/>
  <c r="F190" i="63"/>
  <c r="F188" i="63"/>
  <c r="F186" i="63"/>
  <c r="F187" i="63"/>
  <c r="F185" i="63"/>
  <c r="F152" i="63"/>
  <c r="F153" i="63"/>
  <c r="F151" i="63"/>
  <c r="F149" i="63"/>
  <c r="F150" i="63"/>
  <c r="F148" i="63"/>
  <c r="F115" i="63"/>
  <c r="F116" i="63"/>
  <c r="F114" i="63"/>
  <c r="F112" i="63"/>
  <c r="F113" i="63"/>
  <c r="F111" i="63"/>
  <c r="F78" i="63"/>
  <c r="F79" i="63"/>
  <c r="F77" i="63"/>
  <c r="F75" i="63"/>
  <c r="F76" i="63"/>
  <c r="F74" i="63"/>
  <c r="F41" i="63"/>
  <c r="F42" i="63"/>
  <c r="F40" i="63"/>
  <c r="F38" i="63"/>
  <c r="F39" i="63"/>
  <c r="F37" i="63"/>
  <c r="Y65" i="2"/>
  <c r="Y66" i="2"/>
  <c r="Y64" i="2"/>
  <c r="Y61" i="2"/>
  <c r="Y62" i="2"/>
  <c r="Y60" i="2"/>
  <c r="C206" i="63"/>
  <c r="C207" i="63"/>
  <c r="C208" i="63"/>
  <c r="C209" i="63"/>
  <c r="C210" i="63"/>
  <c r="C243" i="63"/>
  <c r="C244" i="63"/>
  <c r="C245" i="63"/>
  <c r="C246" i="63"/>
  <c r="C247" i="63"/>
  <c r="C280" i="63"/>
  <c r="C281" i="63"/>
  <c r="C282" i="63"/>
  <c r="C283" i="63"/>
  <c r="C284" i="63"/>
  <c r="B284" i="63"/>
  <c r="B283" i="63"/>
  <c r="B282" i="63"/>
  <c r="L282" i="63" s="1"/>
  <c r="B281" i="63"/>
  <c r="B280" i="63"/>
  <c r="B279" i="63"/>
  <c r="B278" i="63"/>
  <c r="B277" i="63"/>
  <c r="B276" i="63"/>
  <c r="B275" i="63"/>
  <c r="B247" i="63"/>
  <c r="B246" i="63"/>
  <c r="B245" i="63"/>
  <c r="B244" i="63"/>
  <c r="B243" i="63"/>
  <c r="B242" i="63"/>
  <c r="B241" i="63"/>
  <c r="B240" i="63"/>
  <c r="B239" i="63"/>
  <c r="B238" i="63"/>
  <c r="B210" i="63"/>
  <c r="B209" i="63"/>
  <c r="B208" i="63"/>
  <c r="B207" i="63"/>
  <c r="B206" i="63"/>
  <c r="B205" i="63"/>
  <c r="B204" i="63"/>
  <c r="B203" i="63"/>
  <c r="B202" i="63"/>
  <c r="B201" i="63"/>
  <c r="B173" i="63"/>
  <c r="B172" i="63"/>
  <c r="B171" i="63"/>
  <c r="B170" i="63"/>
  <c r="B169" i="63"/>
  <c r="B168" i="63"/>
  <c r="C132" i="63"/>
  <c r="C133" i="63"/>
  <c r="C134" i="63"/>
  <c r="C135" i="63"/>
  <c r="C136" i="63"/>
  <c r="C95" i="63"/>
  <c r="C96" i="63"/>
  <c r="C97" i="63"/>
  <c r="C98" i="63"/>
  <c r="C99" i="63"/>
  <c r="C57" i="63"/>
  <c r="C58" i="63"/>
  <c r="C59" i="63"/>
  <c r="C60" i="63"/>
  <c r="C61" i="63"/>
  <c r="C62" i="63"/>
  <c r="C173" i="63"/>
  <c r="C172" i="63"/>
  <c r="C171" i="63"/>
  <c r="C170" i="63"/>
  <c r="C169" i="63"/>
  <c r="B136" i="63"/>
  <c r="B135" i="63"/>
  <c r="B134" i="63"/>
  <c r="B133" i="63"/>
  <c r="B132" i="63"/>
  <c r="B99" i="63"/>
  <c r="B98" i="63"/>
  <c r="B97" i="63"/>
  <c r="B96" i="63"/>
  <c r="B95" i="63"/>
  <c r="B62" i="63"/>
  <c r="B61" i="63"/>
  <c r="B60" i="63"/>
  <c r="B59" i="63"/>
  <c r="B58" i="63"/>
  <c r="C25" i="63"/>
  <c r="B25" i="63"/>
  <c r="C24" i="63"/>
  <c r="B24" i="63"/>
  <c r="C23" i="63"/>
  <c r="B23" i="63"/>
  <c r="C22" i="63"/>
  <c r="B22" i="63"/>
  <c r="C21" i="63"/>
  <c r="B21" i="63"/>
  <c r="Y33" i="2"/>
  <c r="Y32" i="2"/>
  <c r="Y31" i="2"/>
  <c r="Y39" i="2"/>
  <c r="Y38" i="2"/>
  <c r="Y37" i="2"/>
  <c r="Y40" i="2"/>
  <c r="Y41" i="2"/>
  <c r="Y34" i="2"/>
  <c r="Y35" i="2"/>
  <c r="L283" i="63" l="1"/>
  <c r="L281" i="63"/>
  <c r="L284" i="63"/>
  <c r="L280" i="63"/>
  <c r="L247" i="63"/>
  <c r="L209" i="63"/>
  <c r="L172" i="63"/>
  <c r="L246" i="63"/>
  <c r="L208" i="63"/>
  <c r="L210" i="63"/>
  <c r="L244" i="63"/>
  <c r="L207" i="63"/>
  <c r="L243" i="63"/>
  <c r="L245" i="63"/>
  <c r="L173" i="63"/>
  <c r="L206" i="63"/>
  <c r="L132" i="63"/>
  <c r="L136" i="63"/>
  <c r="L170" i="63"/>
  <c r="L61" i="63"/>
  <c r="L95" i="63"/>
  <c r="L97" i="63"/>
  <c r="L169" i="63"/>
  <c r="L171" i="63"/>
  <c r="L98" i="63"/>
  <c r="L134" i="63"/>
  <c r="L133" i="63"/>
  <c r="L135" i="63"/>
  <c r="L99" i="63"/>
  <c r="L24" i="63"/>
  <c r="L62" i="63"/>
  <c r="L96" i="63"/>
  <c r="L59" i="63"/>
  <c r="L22" i="63"/>
  <c r="L25" i="63"/>
  <c r="L58" i="63"/>
  <c r="L60" i="63"/>
  <c r="L21" i="63"/>
  <c r="L23" i="63"/>
  <c r="C270" i="63"/>
  <c r="C233" i="63"/>
  <c r="C196" i="63"/>
  <c r="C159" i="63"/>
  <c r="F270" i="63"/>
  <c r="F269" i="63"/>
  <c r="F234" i="63"/>
  <c r="F233" i="63"/>
  <c r="F232" i="63"/>
  <c r="F197" i="63"/>
  <c r="F196" i="63"/>
  <c r="F195" i="63"/>
  <c r="F160" i="63"/>
  <c r="F159" i="63"/>
  <c r="B271" i="63"/>
  <c r="B270" i="63"/>
  <c r="B269" i="63"/>
  <c r="B234" i="63"/>
  <c r="B233" i="63"/>
  <c r="B232" i="63"/>
  <c r="B197" i="63"/>
  <c r="B196" i="63"/>
  <c r="B195" i="63"/>
  <c r="B160" i="63"/>
  <c r="B159" i="63"/>
  <c r="C122" i="63"/>
  <c r="C85" i="63"/>
  <c r="C48" i="63"/>
  <c r="C11" i="63"/>
  <c r="F122" i="63"/>
  <c r="F121" i="63"/>
  <c r="F86" i="63"/>
  <c r="F85" i="63"/>
  <c r="F84" i="63"/>
  <c r="F49" i="63"/>
  <c r="F48" i="63"/>
  <c r="F47" i="63"/>
  <c r="F12" i="63"/>
  <c r="F11" i="63"/>
  <c r="B122" i="63"/>
  <c r="B121" i="63"/>
  <c r="B86" i="63"/>
  <c r="B85" i="63"/>
  <c r="B84" i="63"/>
  <c r="B49" i="63"/>
  <c r="B48" i="63"/>
  <c r="B47" i="63"/>
  <c r="B12" i="63"/>
  <c r="B11" i="63"/>
  <c r="L11" i="63" s="1"/>
  <c r="Y21" i="2"/>
  <c r="I186" i="63"/>
  <c r="Y46" i="2"/>
  <c r="Y45" i="2"/>
  <c r="Y56" i="2"/>
  <c r="Y57" i="2"/>
  <c r="Y58" i="2"/>
  <c r="Y55" i="2"/>
  <c r="Y51" i="2"/>
  <c r="Y52" i="2"/>
  <c r="Y53" i="2"/>
  <c r="Y50" i="2"/>
  <c r="C78" i="63"/>
  <c r="C115" i="63"/>
  <c r="B152" i="63"/>
  <c r="C152" i="63"/>
  <c r="B176" i="63"/>
  <c r="B177" i="63"/>
  <c r="B178" i="63"/>
  <c r="B189" i="63"/>
  <c r="C189" i="63"/>
  <c r="C200" i="63"/>
  <c r="B226" i="63"/>
  <c r="C226" i="63"/>
  <c r="B263" i="63"/>
  <c r="C263" i="63"/>
  <c r="B300" i="63"/>
  <c r="C300" i="63"/>
  <c r="B115" i="63"/>
  <c r="B78" i="63"/>
  <c r="B41" i="63"/>
  <c r="C41" i="63"/>
  <c r="B75" i="63"/>
  <c r="C75" i="63"/>
  <c r="B77" i="63"/>
  <c r="C77" i="63"/>
  <c r="B74" i="63"/>
  <c r="C74" i="63"/>
  <c r="B76" i="63"/>
  <c r="C76" i="63"/>
  <c r="B112" i="63"/>
  <c r="C112" i="63"/>
  <c r="B149" i="63"/>
  <c r="C149" i="63"/>
  <c r="B187" i="63"/>
  <c r="B186" i="63"/>
  <c r="B223" i="63"/>
  <c r="C223" i="63"/>
  <c r="B260" i="63"/>
  <c r="C260" i="63"/>
  <c r="B297" i="63"/>
  <c r="C297" i="63"/>
  <c r="C186" i="63"/>
  <c r="B38" i="63"/>
  <c r="C38" i="63"/>
  <c r="C69" i="63"/>
  <c r="C70" i="63"/>
  <c r="C71" i="63"/>
  <c r="C72" i="63"/>
  <c r="C73" i="63"/>
  <c r="C107" i="63"/>
  <c r="C108" i="63"/>
  <c r="C109" i="63"/>
  <c r="C110" i="63"/>
  <c r="C111" i="63"/>
  <c r="C142" i="63"/>
  <c r="C143" i="63"/>
  <c r="C144" i="63"/>
  <c r="C145" i="63"/>
  <c r="C146" i="63"/>
  <c r="C147" i="63"/>
  <c r="C148" i="63"/>
  <c r="B148" i="63"/>
  <c r="B150" i="63"/>
  <c r="C150" i="63"/>
  <c r="B151" i="63"/>
  <c r="C151" i="63"/>
  <c r="B153" i="63"/>
  <c r="C153" i="63"/>
  <c r="B180" i="63"/>
  <c r="C180" i="63"/>
  <c r="B181" i="63"/>
  <c r="C181" i="63"/>
  <c r="B182" i="63"/>
  <c r="C182" i="63"/>
  <c r="B183" i="63"/>
  <c r="C183" i="63"/>
  <c r="B184" i="63"/>
  <c r="C184" i="63"/>
  <c r="B185" i="63"/>
  <c r="C185" i="63"/>
  <c r="B217" i="63"/>
  <c r="C217" i="63"/>
  <c r="B218" i="63"/>
  <c r="C218" i="63"/>
  <c r="B219" i="63"/>
  <c r="C219" i="63"/>
  <c r="B220" i="63"/>
  <c r="C220" i="63"/>
  <c r="B221" i="63"/>
  <c r="C221" i="63"/>
  <c r="B222" i="63"/>
  <c r="C222" i="63"/>
  <c r="B224" i="63"/>
  <c r="C224" i="63"/>
  <c r="B225" i="63"/>
  <c r="C225" i="63"/>
  <c r="B227" i="63"/>
  <c r="C227" i="63"/>
  <c r="B188" i="63"/>
  <c r="B190" i="63"/>
  <c r="B213" i="63"/>
  <c r="B214" i="63"/>
  <c r="B215" i="63"/>
  <c r="B216" i="63"/>
  <c r="B255" i="63"/>
  <c r="C255" i="63"/>
  <c r="B256" i="63"/>
  <c r="C256" i="63"/>
  <c r="B257" i="63"/>
  <c r="C257" i="63"/>
  <c r="B258" i="63"/>
  <c r="C258" i="63"/>
  <c r="B292" i="63"/>
  <c r="C292" i="63"/>
  <c r="B293" i="63"/>
  <c r="C293" i="63"/>
  <c r="B294" i="63"/>
  <c r="C294" i="63"/>
  <c r="B295" i="63"/>
  <c r="C295" i="63"/>
  <c r="B147" i="63"/>
  <c r="B146" i="63"/>
  <c r="B145" i="63"/>
  <c r="B144" i="63"/>
  <c r="B110" i="63"/>
  <c r="B109" i="63"/>
  <c r="B108" i="63"/>
  <c r="B107" i="63"/>
  <c r="B73" i="63"/>
  <c r="B72" i="63"/>
  <c r="B71" i="63"/>
  <c r="B70" i="63"/>
  <c r="B33" i="63"/>
  <c r="C33" i="63"/>
  <c r="B34" i="63"/>
  <c r="C34" i="63"/>
  <c r="B35" i="63"/>
  <c r="C35" i="63"/>
  <c r="B36" i="63"/>
  <c r="C36" i="63"/>
  <c r="C64" i="63"/>
  <c r="C65" i="63"/>
  <c r="F7" i="63"/>
  <c r="F8" i="63"/>
  <c r="F9" i="63"/>
  <c r="F10" i="63"/>
  <c r="F13" i="63"/>
  <c r="F14" i="63"/>
  <c r="F15" i="63"/>
  <c r="F43" i="63"/>
  <c r="F44" i="63"/>
  <c r="F45" i="63"/>
  <c r="F46" i="63"/>
  <c r="F50" i="63"/>
  <c r="F51" i="63"/>
  <c r="F52" i="63"/>
  <c r="F80" i="63"/>
  <c r="F81" i="63"/>
  <c r="F82" i="63"/>
  <c r="F83" i="63"/>
  <c r="F87" i="63"/>
  <c r="F88" i="63"/>
  <c r="F89" i="63"/>
  <c r="F117" i="63"/>
  <c r="F118" i="63"/>
  <c r="F119" i="63"/>
  <c r="F120" i="63"/>
  <c r="F123" i="63"/>
  <c r="F124" i="63"/>
  <c r="F125" i="63"/>
  <c r="F126" i="63"/>
  <c r="F154" i="63"/>
  <c r="F155" i="63"/>
  <c r="F156" i="63"/>
  <c r="F157" i="63"/>
  <c r="F158" i="63"/>
  <c r="F161" i="63"/>
  <c r="F162" i="63"/>
  <c r="F163" i="63"/>
  <c r="F191" i="63"/>
  <c r="F192" i="63"/>
  <c r="F193" i="63"/>
  <c r="F194" i="63"/>
  <c r="F198" i="63"/>
  <c r="F199" i="63"/>
  <c r="F200" i="63"/>
  <c r="F228" i="63"/>
  <c r="F229" i="63"/>
  <c r="F230" i="63"/>
  <c r="F231" i="63"/>
  <c r="F235" i="63"/>
  <c r="F236" i="63"/>
  <c r="F237" i="63"/>
  <c r="F265" i="63"/>
  <c r="F266" i="63"/>
  <c r="F267" i="63"/>
  <c r="F268" i="63"/>
  <c r="F271" i="63"/>
  <c r="F272" i="63"/>
  <c r="F273" i="63"/>
  <c r="F274" i="63"/>
  <c r="F6" i="63"/>
  <c r="L217" i="63" l="1"/>
  <c r="L180" i="63"/>
  <c r="L112" i="63"/>
  <c r="L74" i="63"/>
  <c r="L75" i="63"/>
  <c r="L115" i="63"/>
  <c r="L149" i="63"/>
  <c r="L76" i="63"/>
  <c r="L77" i="63"/>
  <c r="L41" i="63"/>
  <c r="L189" i="63"/>
  <c r="L227" i="63"/>
  <c r="L224" i="63"/>
  <c r="L185" i="63"/>
  <c r="L151" i="63"/>
  <c r="L186" i="63"/>
  <c r="L297" i="63"/>
  <c r="L260" i="63"/>
  <c r="L223" i="63"/>
  <c r="L300" i="63"/>
  <c r="L263" i="63"/>
  <c r="L226" i="63"/>
  <c r="L152" i="63"/>
  <c r="L78" i="63"/>
  <c r="L225" i="63"/>
  <c r="L222" i="63"/>
  <c r="L153" i="63"/>
  <c r="L150" i="63"/>
  <c r="L148" i="63"/>
  <c r="L38" i="63"/>
  <c r="L196" i="63"/>
  <c r="L270" i="63"/>
  <c r="L108" i="63"/>
  <c r="L233" i="63"/>
  <c r="L48" i="63"/>
  <c r="L122" i="63"/>
  <c r="L73" i="63"/>
  <c r="L256" i="63"/>
  <c r="L221" i="63"/>
  <c r="L144" i="63"/>
  <c r="L107" i="63"/>
  <c r="L71" i="63"/>
  <c r="L159" i="63"/>
  <c r="L36" i="63"/>
  <c r="L34" i="63"/>
  <c r="L295" i="63"/>
  <c r="L293" i="63"/>
  <c r="L257" i="63"/>
  <c r="L255" i="63"/>
  <c r="L220" i="63"/>
  <c r="L218" i="63"/>
  <c r="L184" i="63"/>
  <c r="L182" i="63"/>
  <c r="L147" i="63"/>
  <c r="L110" i="63"/>
  <c r="L70" i="63"/>
  <c r="L146" i="63"/>
  <c r="L109" i="63"/>
  <c r="L85" i="63"/>
  <c r="L35" i="63"/>
  <c r="L33" i="63"/>
  <c r="L294" i="63"/>
  <c r="L292" i="63"/>
  <c r="L258" i="63"/>
  <c r="L219" i="63"/>
  <c r="L183" i="63"/>
  <c r="L181" i="63"/>
  <c r="L145" i="63"/>
  <c r="L72" i="63"/>
  <c r="C52" i="63"/>
  <c r="C89" i="63"/>
  <c r="C126" i="63"/>
  <c r="B163" i="63"/>
  <c r="B274" i="63"/>
  <c r="B273" i="63"/>
  <c r="B237" i="63"/>
  <c r="B236" i="63"/>
  <c r="B200" i="63"/>
  <c r="L200" i="63" s="1"/>
  <c r="C274" i="63"/>
  <c r="C237" i="63"/>
  <c r="C163" i="63"/>
  <c r="B126" i="63"/>
  <c r="B89" i="63"/>
  <c r="B52" i="63"/>
  <c r="B15" i="63"/>
  <c r="C15" i="63"/>
  <c r="I273" i="63"/>
  <c r="I236" i="63"/>
  <c r="I162" i="63"/>
  <c r="I14" i="63"/>
  <c r="Y28" i="2"/>
  <c r="L274" i="63" l="1"/>
  <c r="L52" i="63"/>
  <c r="L15" i="63"/>
  <c r="L163" i="63"/>
  <c r="L126" i="63"/>
  <c r="L237" i="63"/>
  <c r="L89" i="63"/>
  <c r="DE50" i="82" l="1"/>
  <c r="DE49" i="82"/>
  <c r="DE45" i="82"/>
  <c r="DE44" i="82"/>
  <c r="DE38" i="82"/>
  <c r="DE37" i="82"/>
  <c r="DE33" i="82"/>
  <c r="DE32" i="82"/>
  <c r="DE28" i="82"/>
  <c r="DE27" i="82"/>
  <c r="DN29" i="82" l="1"/>
  <c r="DN34" i="82"/>
  <c r="DE21" i="82"/>
  <c r="DE20" i="82"/>
  <c r="DE16" i="82"/>
  <c r="DE15" i="82"/>
  <c r="DE11" i="82"/>
  <c r="DE10" i="82"/>
  <c r="DE56" i="82"/>
  <c r="DE55" i="82"/>
  <c r="DC40" i="82"/>
  <c r="DC23" i="82"/>
  <c r="DC6" i="82"/>
  <c r="B3" i="82"/>
  <c r="O14" i="1"/>
  <c r="O18" i="1" s="1"/>
  <c r="P14" i="1"/>
  <c r="P18" i="1" s="1"/>
  <c r="O15" i="1"/>
  <c r="O19" i="1" s="1"/>
  <c r="P15" i="1"/>
  <c r="P19" i="1" s="1"/>
  <c r="O16" i="1"/>
  <c r="O20" i="1" s="1"/>
  <c r="P16" i="1"/>
  <c r="P20" i="1" s="1"/>
  <c r="P13" i="1"/>
  <c r="P17" i="1" s="1"/>
  <c r="O13" i="1"/>
  <c r="O17" i="1" s="1"/>
  <c r="P7" i="1" l="1"/>
  <c r="R7" i="1" s="1"/>
  <c r="T7" i="1" s="1"/>
  <c r="O7" i="1"/>
  <c r="Q7" i="1" s="1"/>
  <c r="S7" i="1" s="1"/>
  <c r="DN6" i="82" l="1"/>
  <c r="DN25" i="82" s="1"/>
  <c r="S7" i="30"/>
  <c r="DN9" i="82" l="1"/>
  <c r="DN10" i="82" s="1"/>
  <c r="DN11" i="82" s="1"/>
  <c r="DN26" i="82" l="1"/>
  <c r="DN27" i="82"/>
  <c r="U18" i="2"/>
  <c r="Q18" i="2"/>
  <c r="M18" i="2"/>
  <c r="U10" i="2"/>
  <c r="Q10" i="2"/>
  <c r="M10" i="2"/>
  <c r="E4" i="77"/>
  <c r="R24" i="1"/>
  <c r="Q24" i="1"/>
  <c r="R22" i="1"/>
  <c r="Q22" i="1"/>
  <c r="R21" i="1"/>
  <c r="Q21" i="1"/>
  <c r="P24" i="1"/>
  <c r="O24" i="1"/>
  <c r="P23" i="1"/>
  <c r="P22" i="1"/>
  <c r="O22" i="1"/>
  <c r="P21" i="1"/>
  <c r="O21" i="1"/>
  <c r="F4" i="77" l="1"/>
  <c r="DN13" i="82"/>
  <c r="DN28" i="82"/>
  <c r="Q27" i="1"/>
  <c r="Q31" i="1"/>
  <c r="R27" i="1"/>
  <c r="R31" i="1"/>
  <c r="Q23" i="1"/>
  <c r="R23" i="1"/>
  <c r="O27" i="1"/>
  <c r="O31" i="1"/>
  <c r="O23" i="1"/>
  <c r="K82" i="30"/>
  <c r="J82" i="30"/>
  <c r="I82" i="30"/>
  <c r="G82" i="30"/>
  <c r="F82" i="30"/>
  <c r="E82" i="30"/>
  <c r="E81" i="30"/>
  <c r="I81" i="30" s="1"/>
  <c r="C33" i="30"/>
  <c r="C47" i="30" s="1"/>
  <c r="C61" i="30" s="1"/>
  <c r="C32" i="30"/>
  <c r="C46" i="30" s="1"/>
  <c r="C60" i="30" s="1"/>
  <c r="S23" i="30"/>
  <c r="I15" i="30"/>
  <c r="E15" i="30"/>
  <c r="S20" i="30" l="1"/>
  <c r="S34" i="30" s="1"/>
  <c r="S48" i="30" s="1"/>
  <c r="S62" i="30" s="1"/>
  <c r="S33" i="30"/>
  <c r="S37" i="30"/>
  <c r="S51" i="30" s="1"/>
  <c r="S65" i="30" s="1"/>
  <c r="S24" i="30"/>
  <c r="G4" i="77"/>
  <c r="DN30" i="82"/>
  <c r="DN18" i="82"/>
  <c r="DN14" i="82"/>
  <c r="R26" i="1"/>
  <c r="R30" i="1"/>
  <c r="R29" i="1"/>
  <c r="R25" i="1"/>
  <c r="Q28" i="1"/>
  <c r="Q32" i="1"/>
  <c r="R28" i="1"/>
  <c r="R32" i="1"/>
  <c r="Q26" i="1"/>
  <c r="Q30" i="1"/>
  <c r="Q25" i="1"/>
  <c r="Q29" i="1"/>
  <c r="O25" i="1"/>
  <c r="O29" i="1"/>
  <c r="P25" i="1"/>
  <c r="P29" i="1"/>
  <c r="O28" i="1"/>
  <c r="O32" i="1"/>
  <c r="P28" i="1"/>
  <c r="P32" i="1"/>
  <c r="O26" i="1"/>
  <c r="O30" i="1"/>
  <c r="P26" i="1"/>
  <c r="P30" i="1"/>
  <c r="P27" i="1"/>
  <c r="P31" i="1"/>
  <c r="S25" i="30" l="1"/>
  <c r="S38" i="30"/>
  <c r="S52" i="30" s="1"/>
  <c r="S66" i="30" s="1"/>
  <c r="H4" i="77"/>
  <c r="DN15" i="82"/>
  <c r="DN31" i="82"/>
  <c r="DN19" i="82"/>
  <c r="DN35" i="82"/>
  <c r="S26" i="30" l="1"/>
  <c r="S39" i="30"/>
  <c r="S53" i="30" s="1"/>
  <c r="S67" i="30" s="1"/>
  <c r="I4" i="77"/>
  <c r="DN16" i="82"/>
  <c r="DN32" i="82"/>
  <c r="DN36" i="82"/>
  <c r="DN20" i="82"/>
  <c r="I84" i="63"/>
  <c r="S27" i="30" l="1"/>
  <c r="S40" i="30"/>
  <c r="S54" i="30" s="1"/>
  <c r="S68" i="30" s="1"/>
  <c r="DN33" i="82"/>
  <c r="J4" i="77"/>
  <c r="DN21" i="82"/>
  <c r="DN37" i="82"/>
  <c r="S28" i="30" l="1"/>
  <c r="S41" i="30"/>
  <c r="S55" i="30" s="1"/>
  <c r="S69" i="30" s="1"/>
  <c r="K4" i="77"/>
  <c r="DN38" i="82"/>
  <c r="S29" i="30" l="1"/>
  <c r="S43" i="30" s="1"/>
  <c r="S57" i="30" s="1"/>
  <c r="S71" i="30" s="1"/>
  <c r="S42" i="30"/>
  <c r="S56" i="30" s="1"/>
  <c r="S70" i="30" s="1"/>
  <c r="L4" i="77"/>
  <c r="I151" i="63"/>
  <c r="I152" i="63" s="1"/>
  <c r="I77" i="63"/>
  <c r="M4" i="77" l="1"/>
  <c r="I296" i="63"/>
  <c r="I259" i="63"/>
  <c r="I222" i="63"/>
  <c r="I185" i="63"/>
  <c r="N4" i="77" l="1"/>
  <c r="K199" i="63"/>
  <c r="I199" i="63"/>
  <c r="I111" i="63"/>
  <c r="I37" i="63"/>
  <c r="O4" i="77" l="1"/>
  <c r="K148" i="63"/>
  <c r="I148" i="63"/>
  <c r="J74" i="63"/>
  <c r="K74" i="63"/>
  <c r="P4" i="77" l="1"/>
  <c r="I266" i="63"/>
  <c r="I229" i="63"/>
  <c r="AK7" i="67"/>
  <c r="Q4" i="77" l="1"/>
  <c r="B37" i="63"/>
  <c r="C37" i="63"/>
  <c r="B39" i="63"/>
  <c r="C39" i="63"/>
  <c r="B40" i="63"/>
  <c r="C40" i="63"/>
  <c r="B111" i="63"/>
  <c r="L111" i="63" s="1"/>
  <c r="B113" i="63"/>
  <c r="C113" i="63"/>
  <c r="B143" i="63"/>
  <c r="L143" i="63" s="1"/>
  <c r="C187" i="63"/>
  <c r="L187" i="63" s="1"/>
  <c r="C188" i="63"/>
  <c r="L188" i="63" s="1"/>
  <c r="B259" i="63"/>
  <c r="C259" i="63"/>
  <c r="L259" i="63" s="1"/>
  <c r="B261" i="63"/>
  <c r="C261" i="63"/>
  <c r="B296" i="63"/>
  <c r="C296" i="63"/>
  <c r="L296" i="63" s="1"/>
  <c r="B298" i="63"/>
  <c r="C298" i="63"/>
  <c r="B254" i="63"/>
  <c r="C254" i="63"/>
  <c r="B262" i="63"/>
  <c r="C262" i="63"/>
  <c r="B114" i="63"/>
  <c r="C114" i="63"/>
  <c r="L114" i="63" s="1"/>
  <c r="B65" i="63"/>
  <c r="L65" i="63" s="1"/>
  <c r="B66" i="63"/>
  <c r="C66" i="63"/>
  <c r="C42" i="63"/>
  <c r="B42" i="63"/>
  <c r="L254" i="63" l="1"/>
  <c r="L40" i="63"/>
  <c r="L37" i="63"/>
  <c r="L113" i="63"/>
  <c r="L42" i="63"/>
  <c r="L262" i="63"/>
  <c r="L298" i="63"/>
  <c r="L261" i="63"/>
  <c r="L39" i="63"/>
  <c r="R4" i="77"/>
  <c r="L66" i="63"/>
  <c r="C301" i="63"/>
  <c r="C299" i="63"/>
  <c r="C291" i="63"/>
  <c r="C290" i="63"/>
  <c r="C289" i="63"/>
  <c r="C288" i="63"/>
  <c r="C287" i="63"/>
  <c r="C286" i="63"/>
  <c r="C285" i="63"/>
  <c r="C279" i="63"/>
  <c r="C278" i="63"/>
  <c r="C277" i="63"/>
  <c r="C276" i="63"/>
  <c r="C275" i="63"/>
  <c r="L275" i="63" s="1"/>
  <c r="C273" i="63"/>
  <c r="L273" i="63" s="1"/>
  <c r="C272" i="63"/>
  <c r="C271" i="63"/>
  <c r="C269" i="63"/>
  <c r="L269" i="63" s="1"/>
  <c r="C268" i="63"/>
  <c r="C267" i="63"/>
  <c r="C266" i="63"/>
  <c r="C265" i="63"/>
  <c r="C141" i="63"/>
  <c r="C140" i="63"/>
  <c r="C139" i="63"/>
  <c r="C138" i="63"/>
  <c r="C137" i="63"/>
  <c r="C131" i="63"/>
  <c r="C130" i="63"/>
  <c r="C129" i="63"/>
  <c r="C128" i="63"/>
  <c r="C127" i="63"/>
  <c r="C125" i="63"/>
  <c r="C124" i="63"/>
  <c r="C123" i="63"/>
  <c r="C121" i="63"/>
  <c r="L121" i="63" s="1"/>
  <c r="C120" i="63"/>
  <c r="C119" i="63"/>
  <c r="C118" i="63"/>
  <c r="C117" i="63"/>
  <c r="C264" i="63"/>
  <c r="C253" i="63"/>
  <c r="C252" i="63"/>
  <c r="C251" i="63"/>
  <c r="C250" i="63"/>
  <c r="C249" i="63"/>
  <c r="C248" i="63"/>
  <c r="C242" i="63"/>
  <c r="L242" i="63" s="1"/>
  <c r="C241" i="63"/>
  <c r="L241" i="63" s="1"/>
  <c r="C240" i="63"/>
  <c r="L240" i="63" s="1"/>
  <c r="C239" i="63"/>
  <c r="L239" i="63" s="1"/>
  <c r="C238" i="63"/>
  <c r="L238" i="63" s="1"/>
  <c r="C236" i="63"/>
  <c r="L236" i="63" s="1"/>
  <c r="C235" i="63"/>
  <c r="C234" i="63"/>
  <c r="L234" i="63" s="1"/>
  <c r="C232" i="63"/>
  <c r="L232" i="63" s="1"/>
  <c r="C231" i="63"/>
  <c r="C230" i="63"/>
  <c r="C229" i="63"/>
  <c r="C228" i="63"/>
  <c r="C116" i="63"/>
  <c r="C106" i="63"/>
  <c r="C105" i="63"/>
  <c r="C104" i="63"/>
  <c r="C103" i="63"/>
  <c r="C102" i="63"/>
  <c r="C101" i="63"/>
  <c r="C100" i="63"/>
  <c r="C94" i="63"/>
  <c r="C93" i="63"/>
  <c r="C92" i="63"/>
  <c r="C91" i="63"/>
  <c r="C90" i="63"/>
  <c r="C88" i="63"/>
  <c r="C87" i="63"/>
  <c r="C86" i="63"/>
  <c r="L86" i="63" s="1"/>
  <c r="C84" i="63"/>
  <c r="L84" i="63" s="1"/>
  <c r="C83" i="63"/>
  <c r="C82" i="63"/>
  <c r="C81" i="63"/>
  <c r="C80" i="63"/>
  <c r="C216" i="63"/>
  <c r="L216" i="63" s="1"/>
  <c r="C215" i="63"/>
  <c r="L215" i="63" s="1"/>
  <c r="C214" i="63"/>
  <c r="L214" i="63" s="1"/>
  <c r="C213" i="63"/>
  <c r="L213" i="63" s="1"/>
  <c r="C212" i="63"/>
  <c r="C211" i="63"/>
  <c r="C205" i="63"/>
  <c r="L205" i="63" s="1"/>
  <c r="C204" i="63"/>
  <c r="L204" i="63" s="1"/>
  <c r="C203" i="63"/>
  <c r="L203" i="63" s="1"/>
  <c r="C202" i="63"/>
  <c r="L202" i="63" s="1"/>
  <c r="C201" i="63"/>
  <c r="L201" i="63" s="1"/>
  <c r="C199" i="63"/>
  <c r="C198" i="63"/>
  <c r="C197" i="63"/>
  <c r="L197" i="63" s="1"/>
  <c r="C195" i="63"/>
  <c r="L195" i="63" s="1"/>
  <c r="C194" i="63"/>
  <c r="C193" i="63"/>
  <c r="C192" i="63"/>
  <c r="C191" i="63"/>
  <c r="C79" i="63"/>
  <c r="C68" i="63"/>
  <c r="C67" i="63"/>
  <c r="C63" i="63"/>
  <c r="C56" i="63"/>
  <c r="C55" i="63"/>
  <c r="C54" i="63"/>
  <c r="C53" i="63"/>
  <c r="C51" i="63"/>
  <c r="C50" i="63"/>
  <c r="C49" i="63"/>
  <c r="L49" i="63" s="1"/>
  <c r="C47" i="63"/>
  <c r="L47" i="63" s="1"/>
  <c r="C46" i="63"/>
  <c r="C45" i="63"/>
  <c r="C44" i="63"/>
  <c r="C43" i="63"/>
  <c r="C190" i="63"/>
  <c r="L190" i="63" s="1"/>
  <c r="C179" i="63"/>
  <c r="C178" i="63"/>
  <c r="L178" i="63" s="1"/>
  <c r="C177" i="63"/>
  <c r="L177" i="63" s="1"/>
  <c r="C176" i="63"/>
  <c r="L176" i="63" s="1"/>
  <c r="C175" i="63"/>
  <c r="C174" i="63"/>
  <c r="C168" i="63"/>
  <c r="C167" i="63"/>
  <c r="C166" i="63"/>
  <c r="C165" i="63"/>
  <c r="C164" i="63"/>
  <c r="C162" i="63"/>
  <c r="C161" i="63"/>
  <c r="C160" i="63"/>
  <c r="L160" i="63" s="1"/>
  <c r="C158" i="63"/>
  <c r="C157" i="63"/>
  <c r="C156" i="63"/>
  <c r="C155" i="63"/>
  <c r="C154" i="63"/>
  <c r="C32" i="63"/>
  <c r="C31" i="63"/>
  <c r="C30" i="63"/>
  <c r="C29" i="63"/>
  <c r="C28" i="63"/>
  <c r="C27" i="63"/>
  <c r="C26" i="63"/>
  <c r="C20" i="63"/>
  <c r="C19" i="63"/>
  <c r="C18" i="63"/>
  <c r="C17" i="63"/>
  <c r="C16" i="63"/>
  <c r="C14" i="63"/>
  <c r="C13" i="63"/>
  <c r="C12" i="63"/>
  <c r="L12" i="63" s="1"/>
  <c r="C10" i="63"/>
  <c r="C9" i="63"/>
  <c r="C8" i="63"/>
  <c r="C7" i="63"/>
  <c r="C6" i="63"/>
  <c r="B155" i="63"/>
  <c r="B156" i="63"/>
  <c r="B157" i="63"/>
  <c r="B158" i="63"/>
  <c r="B161" i="63"/>
  <c r="B162" i="63"/>
  <c r="B164" i="63"/>
  <c r="B165" i="63"/>
  <c r="B166" i="63"/>
  <c r="B167" i="63"/>
  <c r="B174" i="63"/>
  <c r="B175" i="63"/>
  <c r="B179" i="63"/>
  <c r="B191" i="63"/>
  <c r="B192" i="63"/>
  <c r="B193" i="63"/>
  <c r="B194" i="63"/>
  <c r="B198" i="63"/>
  <c r="B199" i="63"/>
  <c r="B211" i="63"/>
  <c r="B212" i="63"/>
  <c r="B228" i="63"/>
  <c r="B229" i="63"/>
  <c r="B230" i="63"/>
  <c r="B231" i="63"/>
  <c r="B235" i="63"/>
  <c r="B248" i="63"/>
  <c r="B249" i="63"/>
  <c r="B250" i="63"/>
  <c r="B251" i="63"/>
  <c r="B252" i="63"/>
  <c r="B253" i="63"/>
  <c r="B264" i="63"/>
  <c r="B265" i="63"/>
  <c r="B266" i="63"/>
  <c r="B267" i="63"/>
  <c r="B268" i="63"/>
  <c r="B272" i="63"/>
  <c r="B285" i="63"/>
  <c r="B286" i="63"/>
  <c r="B287" i="63"/>
  <c r="B288" i="63"/>
  <c r="B289" i="63"/>
  <c r="B290" i="63"/>
  <c r="B291" i="63"/>
  <c r="B299" i="63"/>
  <c r="B301" i="63"/>
  <c r="B154" i="63"/>
  <c r="B7" i="63"/>
  <c r="B8" i="63"/>
  <c r="B9" i="63"/>
  <c r="B10" i="63"/>
  <c r="B13" i="63"/>
  <c r="B14" i="63"/>
  <c r="B16" i="63"/>
  <c r="B17" i="63"/>
  <c r="B18" i="63"/>
  <c r="B19" i="63"/>
  <c r="B20" i="63"/>
  <c r="B26" i="63"/>
  <c r="B27" i="63"/>
  <c r="B28" i="63"/>
  <c r="B29" i="63"/>
  <c r="B30" i="63"/>
  <c r="B31" i="63"/>
  <c r="B32" i="63"/>
  <c r="B43" i="63"/>
  <c r="B44" i="63"/>
  <c r="B45" i="63"/>
  <c r="B46" i="63"/>
  <c r="B50" i="63"/>
  <c r="B51" i="63"/>
  <c r="B53" i="63"/>
  <c r="B54" i="63"/>
  <c r="B55" i="63"/>
  <c r="B56" i="63"/>
  <c r="B57" i="63"/>
  <c r="B63" i="63"/>
  <c r="B64" i="63"/>
  <c r="L64" i="63" s="1"/>
  <c r="B67" i="63"/>
  <c r="B68" i="63"/>
  <c r="B69" i="63"/>
  <c r="L69" i="63" s="1"/>
  <c r="B79" i="63"/>
  <c r="B80" i="63"/>
  <c r="B81" i="63"/>
  <c r="B82" i="63"/>
  <c r="B83" i="63"/>
  <c r="B87" i="63"/>
  <c r="B88" i="63"/>
  <c r="B90" i="63"/>
  <c r="B91" i="63"/>
  <c r="B92" i="63"/>
  <c r="B93" i="63"/>
  <c r="B94" i="63"/>
  <c r="B100" i="63"/>
  <c r="B101" i="63"/>
  <c r="B102" i="63"/>
  <c r="B103" i="63"/>
  <c r="B104" i="63"/>
  <c r="B105" i="63"/>
  <c r="B106" i="63"/>
  <c r="B116" i="63"/>
  <c r="B117" i="63"/>
  <c r="B118" i="63"/>
  <c r="B119" i="63"/>
  <c r="B120" i="63"/>
  <c r="B123" i="63"/>
  <c r="B124" i="63"/>
  <c r="B125" i="63"/>
  <c r="B127" i="63"/>
  <c r="B128" i="63"/>
  <c r="B129" i="63"/>
  <c r="B130" i="63"/>
  <c r="B131" i="63"/>
  <c r="B137" i="63"/>
  <c r="B138" i="63"/>
  <c r="B139" i="63"/>
  <c r="B140" i="63"/>
  <c r="B141" i="63"/>
  <c r="B142" i="63"/>
  <c r="L142" i="63" s="1"/>
  <c r="B6" i="63"/>
  <c r="Y8" i="2"/>
  <c r="I51" i="63"/>
  <c r="L32" i="63" l="1"/>
  <c r="L291" i="63"/>
  <c r="L106" i="63"/>
  <c r="L17" i="63"/>
  <c r="L165" i="63"/>
  <c r="L299" i="63"/>
  <c r="L79" i="63"/>
  <c r="L116" i="63"/>
  <c r="L264" i="63"/>
  <c r="L301" i="63"/>
  <c r="L91" i="63"/>
  <c r="L277" i="63"/>
  <c r="L166" i="63"/>
  <c r="L55" i="63"/>
  <c r="L92" i="63"/>
  <c r="L128" i="63"/>
  <c r="L54" i="63"/>
  <c r="L127" i="63"/>
  <c r="L131" i="63"/>
  <c r="L18" i="63"/>
  <c r="L278" i="63"/>
  <c r="L14" i="63"/>
  <c r="L19" i="63"/>
  <c r="L28" i="63"/>
  <c r="L167" i="63"/>
  <c r="L56" i="63"/>
  <c r="L93" i="63"/>
  <c r="L129" i="63"/>
  <c r="L279" i="63"/>
  <c r="L16" i="63"/>
  <c r="L20" i="63"/>
  <c r="L158" i="63"/>
  <c r="L164" i="63"/>
  <c r="L168" i="63"/>
  <c r="L53" i="63"/>
  <c r="L57" i="63"/>
  <c r="L90" i="63"/>
  <c r="L94" i="63"/>
  <c r="L130" i="63"/>
  <c r="L276" i="63"/>
  <c r="S4" i="77"/>
  <c r="L9" i="63"/>
  <c r="L157" i="63"/>
  <c r="L162" i="63"/>
  <c r="L46" i="63"/>
  <c r="L51" i="63"/>
  <c r="L68" i="63"/>
  <c r="L193" i="63"/>
  <c r="L198" i="63"/>
  <c r="L83" i="63"/>
  <c r="L88" i="63"/>
  <c r="L102" i="63"/>
  <c r="L230" i="63"/>
  <c r="L235" i="63"/>
  <c r="L249" i="63"/>
  <c r="L253" i="63"/>
  <c r="L119" i="63"/>
  <c r="L124" i="63"/>
  <c r="L138" i="63"/>
  <c r="L265" i="63"/>
  <c r="L288" i="63"/>
  <c r="L212" i="63"/>
  <c r="L6" i="63"/>
  <c r="L10" i="63"/>
  <c r="L29" i="63"/>
  <c r="L154" i="63"/>
  <c r="L43" i="63"/>
  <c r="L194" i="63"/>
  <c r="L199" i="63"/>
  <c r="L80" i="63"/>
  <c r="L103" i="63"/>
  <c r="L231" i="63"/>
  <c r="L250" i="63"/>
  <c r="L120" i="63"/>
  <c r="L125" i="63"/>
  <c r="L139" i="63"/>
  <c r="L266" i="63"/>
  <c r="L271" i="63"/>
  <c r="L285" i="63"/>
  <c r="L289" i="63"/>
  <c r="L7" i="63"/>
  <c r="L26" i="63"/>
  <c r="L30" i="63"/>
  <c r="L155" i="63"/>
  <c r="L174" i="63"/>
  <c r="L44" i="63"/>
  <c r="L63" i="63"/>
  <c r="L191" i="63"/>
  <c r="L81" i="63"/>
  <c r="L100" i="63"/>
  <c r="L104" i="63"/>
  <c r="L228" i="63"/>
  <c r="L251" i="63"/>
  <c r="L117" i="63"/>
  <c r="L140" i="63"/>
  <c r="L267" i="63"/>
  <c r="L272" i="63"/>
  <c r="L286" i="63"/>
  <c r="L290" i="63"/>
  <c r="L8" i="63"/>
  <c r="L13" i="63"/>
  <c r="L27" i="63"/>
  <c r="L31" i="63"/>
  <c r="L156" i="63"/>
  <c r="L161" i="63"/>
  <c r="L175" i="63"/>
  <c r="L179" i="63"/>
  <c r="L45" i="63"/>
  <c r="L50" i="63"/>
  <c r="L67" i="63"/>
  <c r="L192" i="63"/>
  <c r="L211" i="63"/>
  <c r="L82" i="63"/>
  <c r="L87" i="63"/>
  <c r="L101" i="63"/>
  <c r="L105" i="63"/>
  <c r="L229" i="63"/>
  <c r="L248" i="63"/>
  <c r="L252" i="63"/>
  <c r="L118" i="63"/>
  <c r="L123" i="63"/>
  <c r="L137" i="63"/>
  <c r="L141" i="63"/>
  <c r="L268" i="63"/>
  <c r="L287" i="63"/>
  <c r="I38" i="2" l="1"/>
  <c r="Q37" i="2"/>
  <c r="U37" i="2"/>
  <c r="I37" i="2"/>
  <c r="M38" i="2"/>
  <c r="U38" i="2"/>
  <c r="Q38" i="2"/>
  <c r="M37" i="2"/>
  <c r="U41" i="2"/>
  <c r="U40" i="2"/>
  <c r="Q40" i="2"/>
  <c r="I41" i="2"/>
  <c r="I40" i="2"/>
  <c r="M40" i="2"/>
  <c r="Q41" i="2"/>
  <c r="Q39" i="2"/>
  <c r="M41" i="2"/>
  <c r="M39" i="2"/>
  <c r="I39" i="2"/>
  <c r="U39" i="2"/>
  <c r="T4" i="77"/>
  <c r="Q21" i="2"/>
  <c r="U21" i="2"/>
  <c r="I21" i="2"/>
  <c r="M21" i="2"/>
  <c r="DF19" i="67"/>
  <c r="U4" i="77" l="1"/>
  <c r="E9" i="8"/>
  <c r="V4" i="77" l="1"/>
  <c r="F81" i="30"/>
  <c r="J81" i="30" s="1"/>
  <c r="E10" i="8"/>
  <c r="AM8" i="126" s="1"/>
  <c r="AM302" i="126" l="1"/>
  <c r="AM301" i="126"/>
  <c r="AM277" i="126"/>
  <c r="AM275" i="126"/>
  <c r="AM278" i="126"/>
  <c r="AM293" i="126" s="1"/>
  <c r="AM276" i="126"/>
  <c r="AM259" i="126" s="1"/>
  <c r="AM248" i="126"/>
  <c r="AM252" i="126"/>
  <c r="AM198" i="126"/>
  <c r="AM196" i="126"/>
  <c r="AM223" i="126"/>
  <c r="AM222" i="126"/>
  <c r="AM197" i="126"/>
  <c r="AM180" i="126" s="1"/>
  <c r="AM199" i="126"/>
  <c r="AM214" i="126" s="1"/>
  <c r="AM169" i="126"/>
  <c r="AM173" i="126"/>
  <c r="AM144" i="126"/>
  <c r="AM119" i="126"/>
  <c r="AM117" i="126"/>
  <c r="AM143" i="126"/>
  <c r="AM120" i="126"/>
  <c r="AM135" i="126" s="1"/>
  <c r="AM94" i="126"/>
  <c r="AM118" i="126"/>
  <c r="AM64" i="126"/>
  <c r="AM41" i="126"/>
  <c r="AM56" i="126" s="1"/>
  <c r="AM39" i="126"/>
  <c r="AM65" i="126"/>
  <c r="AM90" i="126"/>
  <c r="AM40" i="126"/>
  <c r="AM38" i="126"/>
  <c r="AM15" i="126"/>
  <c r="AM11" i="126"/>
  <c r="G8" i="126"/>
  <c r="AM8" i="125"/>
  <c r="AN8" i="126"/>
  <c r="H8" i="126"/>
  <c r="AM302" i="125"/>
  <c r="AM301" i="125"/>
  <c r="AM223" i="125"/>
  <c r="AM222" i="125"/>
  <c r="AM143" i="125"/>
  <c r="AM144" i="125"/>
  <c r="AM65" i="125"/>
  <c r="AM64" i="125"/>
  <c r="G8" i="125"/>
  <c r="H8" i="125"/>
  <c r="AN8" i="125"/>
  <c r="G8" i="124"/>
  <c r="AM8" i="124"/>
  <c r="C6" i="95"/>
  <c r="C6" i="94"/>
  <c r="C6" i="93"/>
  <c r="C6" i="82"/>
  <c r="G8" i="120"/>
  <c r="AM8" i="120"/>
  <c r="BS46" i="95"/>
  <c r="DJ5" i="95"/>
  <c r="BS46" i="94"/>
  <c r="DJ5" i="94"/>
  <c r="BS46" i="93"/>
  <c r="DJ5" i="93"/>
  <c r="BS46" i="82"/>
  <c r="W4" i="77"/>
  <c r="DJ5" i="82"/>
  <c r="D40" i="8"/>
  <c r="G81" i="30"/>
  <c r="K81" i="30" s="1"/>
  <c r="H16" i="30"/>
  <c r="L16" i="30" s="1"/>
  <c r="G14" i="8"/>
  <c r="F14" i="8"/>
  <c r="E14" i="8"/>
  <c r="F17" i="8"/>
  <c r="G17" i="8"/>
  <c r="E17" i="8"/>
  <c r="BH286" i="126" l="1"/>
  <c r="BH292" i="126" s="1"/>
  <c r="AZ286" i="126"/>
  <c r="AZ292" i="126" s="1"/>
  <c r="AR286" i="126"/>
  <c r="AR292" i="126" s="1"/>
  <c r="AF286" i="126"/>
  <c r="AF292" i="126" s="1"/>
  <c r="X286" i="126"/>
  <c r="X292" i="126" s="1"/>
  <c r="P286" i="126"/>
  <c r="P292" i="126" s="1"/>
  <c r="BG286" i="126"/>
  <c r="BG292" i="126" s="1"/>
  <c r="AY286" i="126"/>
  <c r="AY292" i="126" s="1"/>
  <c r="AQ286" i="126"/>
  <c r="AQ292" i="126" s="1"/>
  <c r="AE286" i="126"/>
  <c r="AE292" i="126" s="1"/>
  <c r="W286" i="126"/>
  <c r="W292" i="126" s="1"/>
  <c r="O286" i="126"/>
  <c r="O292" i="126" s="1"/>
  <c r="G286" i="126"/>
  <c r="G292" i="126" s="1"/>
  <c r="BF286" i="126"/>
  <c r="BF292" i="126" s="1"/>
  <c r="AX286" i="126"/>
  <c r="AX292" i="126" s="1"/>
  <c r="AP286" i="126"/>
  <c r="AP292" i="126" s="1"/>
  <c r="AD286" i="126"/>
  <c r="AD292" i="126" s="1"/>
  <c r="V286" i="126"/>
  <c r="V292" i="126" s="1"/>
  <c r="N286" i="126"/>
  <c r="N292" i="126" s="1"/>
  <c r="BL286" i="126"/>
  <c r="BL292" i="126" s="1"/>
  <c r="BD286" i="126"/>
  <c r="BD292" i="126" s="1"/>
  <c r="AV286" i="126"/>
  <c r="AV292" i="126" s="1"/>
  <c r="AB286" i="126"/>
  <c r="AB292" i="126" s="1"/>
  <c r="T286" i="126"/>
  <c r="T292" i="126" s="1"/>
  <c r="L286" i="126"/>
  <c r="L292" i="126" s="1"/>
  <c r="BK286" i="126"/>
  <c r="BK292" i="126" s="1"/>
  <c r="BC286" i="126"/>
  <c r="BC292" i="126" s="1"/>
  <c r="AU286" i="126"/>
  <c r="AU292" i="126" s="1"/>
  <c r="AM286" i="126"/>
  <c r="AM292" i="126" s="1"/>
  <c r="AA286" i="126"/>
  <c r="AA292" i="126" s="1"/>
  <c r="S286" i="126"/>
  <c r="S292" i="126" s="1"/>
  <c r="K286" i="126"/>
  <c r="K292" i="126" s="1"/>
  <c r="AW286" i="126"/>
  <c r="AW292" i="126" s="1"/>
  <c r="Y286" i="126"/>
  <c r="Y292" i="126" s="1"/>
  <c r="AT286" i="126"/>
  <c r="AT292" i="126" s="1"/>
  <c r="U286" i="126"/>
  <c r="U292" i="126" s="1"/>
  <c r="BM286" i="126"/>
  <c r="BM292" i="126" s="1"/>
  <c r="AS286" i="126"/>
  <c r="AS292" i="126" s="1"/>
  <c r="R286" i="126"/>
  <c r="R292" i="126" s="1"/>
  <c r="BJ266" i="126"/>
  <c r="BB266" i="126"/>
  <c r="AT266" i="126"/>
  <c r="Z266" i="126"/>
  <c r="R266" i="126"/>
  <c r="J266" i="126"/>
  <c r="BJ286" i="126"/>
  <c r="BJ292" i="126" s="1"/>
  <c r="AO286" i="126"/>
  <c r="AO292" i="126" s="1"/>
  <c r="Q286" i="126"/>
  <c r="Q292" i="126" s="1"/>
  <c r="BI266" i="126"/>
  <c r="BA266" i="126"/>
  <c r="AS266" i="126"/>
  <c r="AG266" i="126"/>
  <c r="Y266" i="126"/>
  <c r="Q266" i="126"/>
  <c r="I266" i="126"/>
  <c r="BI286" i="126"/>
  <c r="BI292" i="126" s="1"/>
  <c r="M286" i="126"/>
  <c r="M292" i="126" s="1"/>
  <c r="BH266" i="126"/>
  <c r="AZ266" i="126"/>
  <c r="AR266" i="126"/>
  <c r="AF266" i="126"/>
  <c r="X266" i="126"/>
  <c r="P266" i="126"/>
  <c r="BE286" i="126"/>
  <c r="BE292" i="126" s="1"/>
  <c r="AG286" i="126"/>
  <c r="AG292" i="126" s="1"/>
  <c r="J286" i="126"/>
  <c r="J292" i="126" s="1"/>
  <c r="BB286" i="126"/>
  <c r="BB292" i="126" s="1"/>
  <c r="AC286" i="126"/>
  <c r="AC292" i="126" s="1"/>
  <c r="I286" i="126"/>
  <c r="I292" i="126" s="1"/>
  <c r="BF266" i="126"/>
  <c r="AX266" i="126"/>
  <c r="AP266" i="126"/>
  <c r="AD266" i="126"/>
  <c r="V266" i="126"/>
  <c r="N266" i="126"/>
  <c r="BA286" i="126"/>
  <c r="BA292" i="126" s="1"/>
  <c r="BD266" i="126"/>
  <c r="T266" i="126"/>
  <c r="G249" i="126"/>
  <c r="G263" i="126" s="1"/>
  <c r="Z286" i="126"/>
  <c r="Z292" i="126" s="1"/>
  <c r="BC266" i="126"/>
  <c r="S266" i="126"/>
  <c r="AY266" i="126"/>
  <c r="AE266" i="126"/>
  <c r="O266" i="126"/>
  <c r="BM266" i="126"/>
  <c r="AW266" i="126"/>
  <c r="AC266" i="126"/>
  <c r="M266" i="126"/>
  <c r="BK266" i="126"/>
  <c r="AU266" i="126"/>
  <c r="AA266" i="126"/>
  <c r="K266" i="126"/>
  <c r="BG266" i="126"/>
  <c r="AQ266" i="126"/>
  <c r="W266" i="126"/>
  <c r="AM249" i="126"/>
  <c r="AM253" i="126" s="1"/>
  <c r="L266" i="126"/>
  <c r="BL266" i="126"/>
  <c r="BE266" i="126"/>
  <c r="AV266" i="126"/>
  <c r="AO266" i="126"/>
  <c r="AB266" i="126"/>
  <c r="BM207" i="126"/>
  <c r="BM213" i="126" s="1"/>
  <c r="BE207" i="126"/>
  <c r="BE213" i="126" s="1"/>
  <c r="AW207" i="126"/>
  <c r="AW213" i="126" s="1"/>
  <c r="AO207" i="126"/>
  <c r="AO213" i="126" s="1"/>
  <c r="AC207" i="126"/>
  <c r="AC213" i="126" s="1"/>
  <c r="U207" i="126"/>
  <c r="U213" i="126" s="1"/>
  <c r="M207" i="126"/>
  <c r="M213" i="126" s="1"/>
  <c r="BL207" i="126"/>
  <c r="BL213" i="126" s="1"/>
  <c r="BD207" i="126"/>
  <c r="BD213" i="126" s="1"/>
  <c r="AV207" i="126"/>
  <c r="AV213" i="126" s="1"/>
  <c r="AB207" i="126"/>
  <c r="AB213" i="126" s="1"/>
  <c r="T207" i="126"/>
  <c r="T213" i="126" s="1"/>
  <c r="L207" i="126"/>
  <c r="L213" i="126" s="1"/>
  <c r="BK207" i="126"/>
  <c r="BK213" i="126" s="1"/>
  <c r="BC207" i="126"/>
  <c r="BC213" i="126" s="1"/>
  <c r="AU207" i="126"/>
  <c r="AU213" i="126" s="1"/>
  <c r="AM207" i="126"/>
  <c r="AM213" i="126" s="1"/>
  <c r="AA207" i="126"/>
  <c r="AA213" i="126" s="1"/>
  <c r="S207" i="126"/>
  <c r="S213" i="126" s="1"/>
  <c r="K207" i="126"/>
  <c r="K213" i="126" s="1"/>
  <c r="BJ207" i="126"/>
  <c r="BJ213" i="126" s="1"/>
  <c r="BB207" i="126"/>
  <c r="BB213" i="126" s="1"/>
  <c r="AT207" i="126"/>
  <c r="AT213" i="126" s="1"/>
  <c r="Z207" i="126"/>
  <c r="Z213" i="126" s="1"/>
  <c r="R207" i="126"/>
  <c r="R213" i="126" s="1"/>
  <c r="J207" i="126"/>
  <c r="J213" i="126" s="1"/>
  <c r="U266" i="126"/>
  <c r="BH207" i="126"/>
  <c r="BH213" i="126" s="1"/>
  <c r="AZ207" i="126"/>
  <c r="AZ213" i="126" s="1"/>
  <c r="AR207" i="126"/>
  <c r="AR213" i="126" s="1"/>
  <c r="AF207" i="126"/>
  <c r="AF213" i="126" s="1"/>
  <c r="X207" i="126"/>
  <c r="X213" i="126" s="1"/>
  <c r="P207" i="126"/>
  <c r="P213" i="126" s="1"/>
  <c r="AX207" i="126"/>
  <c r="AX213" i="126" s="1"/>
  <c r="W207" i="126"/>
  <c r="W213" i="126" s="1"/>
  <c r="BK187" i="126"/>
  <c r="BC187" i="126"/>
  <c r="AU187" i="126"/>
  <c r="AA187" i="126"/>
  <c r="S187" i="126"/>
  <c r="K187" i="126"/>
  <c r="AS207" i="126"/>
  <c r="AS213" i="126" s="1"/>
  <c r="V207" i="126"/>
  <c r="V213" i="126" s="1"/>
  <c r="BJ187" i="126"/>
  <c r="BB187" i="126"/>
  <c r="AT187" i="126"/>
  <c r="Z187" i="126"/>
  <c r="R187" i="126"/>
  <c r="J187" i="126"/>
  <c r="G170" i="126"/>
  <c r="G227" i="126" s="1" a="1"/>
  <c r="G227" i="126" s="1"/>
  <c r="AQ207" i="126"/>
  <c r="AQ213" i="126" s="1"/>
  <c r="Q207" i="126"/>
  <c r="Q213" i="126" s="1"/>
  <c r="BI187" i="126"/>
  <c r="BA187" i="126"/>
  <c r="AS187" i="126"/>
  <c r="AG187" i="126"/>
  <c r="Y187" i="126"/>
  <c r="Q187" i="126"/>
  <c r="I187" i="126"/>
  <c r="BI207" i="126"/>
  <c r="BI213" i="126" s="1"/>
  <c r="AP207" i="126"/>
  <c r="AP213" i="126" s="1"/>
  <c r="O207" i="126"/>
  <c r="O213" i="126" s="1"/>
  <c r="BH187" i="126"/>
  <c r="AZ187" i="126"/>
  <c r="AR187" i="126"/>
  <c r="AF187" i="126"/>
  <c r="X187" i="126"/>
  <c r="P187" i="126"/>
  <c r="BG207" i="126"/>
  <c r="BG213" i="126" s="1"/>
  <c r="AG207" i="126"/>
  <c r="AG213" i="126" s="1"/>
  <c r="N207" i="126"/>
  <c r="N213" i="126" s="1"/>
  <c r="BG187" i="126"/>
  <c r="AY187" i="126"/>
  <c r="AQ187" i="126"/>
  <c r="AE187" i="126"/>
  <c r="W187" i="126"/>
  <c r="O187" i="126"/>
  <c r="BF207" i="126"/>
  <c r="BF213" i="126" s="1"/>
  <c r="AE207" i="126"/>
  <c r="AE213" i="126" s="1"/>
  <c r="I207" i="126"/>
  <c r="I213" i="126" s="1"/>
  <c r="BF187" i="126"/>
  <c r="AX187" i="126"/>
  <c r="AP187" i="126"/>
  <c r="AD187" i="126"/>
  <c r="V187" i="126"/>
  <c r="N187" i="126"/>
  <c r="BA207" i="126"/>
  <c r="BA213" i="126" s="1"/>
  <c r="AD207" i="126"/>
  <c r="AD213" i="126" s="1"/>
  <c r="G207" i="126"/>
  <c r="G213" i="126" s="1"/>
  <c r="BM187" i="126"/>
  <c r="BE187" i="126"/>
  <c r="AW187" i="126"/>
  <c r="AO187" i="126"/>
  <c r="AC187" i="126"/>
  <c r="U187" i="126"/>
  <c r="M187" i="126"/>
  <c r="AM170" i="126"/>
  <c r="AM174" i="126" s="1"/>
  <c r="BL187" i="126"/>
  <c r="BD187" i="126"/>
  <c r="AV187" i="126"/>
  <c r="AB187" i="126"/>
  <c r="AY207" i="126"/>
  <c r="AY213" i="126" s="1"/>
  <c r="T187" i="126"/>
  <c r="Y207" i="126"/>
  <c r="Y213" i="126" s="1"/>
  <c r="L187" i="126"/>
  <c r="BF128" i="126"/>
  <c r="BF134" i="126" s="1"/>
  <c r="AX128" i="126"/>
  <c r="AX134" i="126" s="1"/>
  <c r="AP128" i="126"/>
  <c r="AP134" i="126" s="1"/>
  <c r="AD128" i="126"/>
  <c r="AD134" i="126" s="1"/>
  <c r="V128" i="126"/>
  <c r="V134" i="126" s="1"/>
  <c r="N128" i="126"/>
  <c r="N134" i="126" s="1"/>
  <c r="BM128" i="126"/>
  <c r="BM134" i="126" s="1"/>
  <c r="BE128" i="126"/>
  <c r="BE134" i="126" s="1"/>
  <c r="AW128" i="126"/>
  <c r="AW134" i="126" s="1"/>
  <c r="AO128" i="126"/>
  <c r="AO134" i="126" s="1"/>
  <c r="AC128" i="126"/>
  <c r="AC134" i="126" s="1"/>
  <c r="U128" i="126"/>
  <c r="U134" i="126" s="1"/>
  <c r="M128" i="126"/>
  <c r="M134" i="126" s="1"/>
  <c r="BL108" i="126"/>
  <c r="BD108" i="126"/>
  <c r="AV108" i="126"/>
  <c r="AB108" i="126"/>
  <c r="T108" i="126"/>
  <c r="L108" i="126"/>
  <c r="BL128" i="126"/>
  <c r="BL134" i="126" s="1"/>
  <c r="BD128" i="126"/>
  <c r="BD134" i="126" s="1"/>
  <c r="AV128" i="126"/>
  <c r="AV134" i="126" s="1"/>
  <c r="AB128" i="126"/>
  <c r="AB134" i="126" s="1"/>
  <c r="T128" i="126"/>
  <c r="T134" i="126" s="1"/>
  <c r="L128" i="126"/>
  <c r="L134" i="126" s="1"/>
  <c r="BK108" i="126"/>
  <c r="BC108" i="126"/>
  <c r="AU108" i="126"/>
  <c r="AA108" i="126"/>
  <c r="S108" i="126"/>
  <c r="K108" i="126"/>
  <c r="BK128" i="126"/>
  <c r="BK134" i="126" s="1"/>
  <c r="BC128" i="126"/>
  <c r="BC134" i="126" s="1"/>
  <c r="AU128" i="126"/>
  <c r="AU134" i="126" s="1"/>
  <c r="AM128" i="126"/>
  <c r="AM134" i="126" s="1"/>
  <c r="AA128" i="126"/>
  <c r="AA134" i="126" s="1"/>
  <c r="S128" i="126"/>
  <c r="S134" i="126" s="1"/>
  <c r="K128" i="126"/>
  <c r="K134" i="126" s="1"/>
  <c r="BJ108" i="126"/>
  <c r="BB108" i="126"/>
  <c r="AT108" i="126"/>
  <c r="Z108" i="126"/>
  <c r="R108" i="126"/>
  <c r="J108" i="126"/>
  <c r="BJ128" i="126"/>
  <c r="BJ134" i="126" s="1"/>
  <c r="BB128" i="126"/>
  <c r="BB134" i="126" s="1"/>
  <c r="AT128" i="126"/>
  <c r="AT134" i="126" s="1"/>
  <c r="Z128" i="126"/>
  <c r="Z134" i="126" s="1"/>
  <c r="R128" i="126"/>
  <c r="R134" i="126" s="1"/>
  <c r="J128" i="126"/>
  <c r="J134" i="126" s="1"/>
  <c r="BI108" i="126"/>
  <c r="BA108" i="126"/>
  <c r="AS108" i="126"/>
  <c r="AG108" i="126"/>
  <c r="Y108" i="126"/>
  <c r="Q108" i="126"/>
  <c r="I108" i="126"/>
  <c r="BI128" i="126"/>
  <c r="BI134" i="126" s="1"/>
  <c r="BA128" i="126"/>
  <c r="BA134" i="126" s="1"/>
  <c r="AS128" i="126"/>
  <c r="AS134" i="126" s="1"/>
  <c r="AG128" i="126"/>
  <c r="AG134" i="126" s="1"/>
  <c r="Y128" i="126"/>
  <c r="Y134" i="126" s="1"/>
  <c r="Q128" i="126"/>
  <c r="Q134" i="126" s="1"/>
  <c r="I128" i="126"/>
  <c r="I134" i="126" s="1"/>
  <c r="BH128" i="126"/>
  <c r="BH134" i="126" s="1"/>
  <c r="AZ128" i="126"/>
  <c r="AZ134" i="126" s="1"/>
  <c r="AR128" i="126"/>
  <c r="AR134" i="126" s="1"/>
  <c r="AF128" i="126"/>
  <c r="AF134" i="126" s="1"/>
  <c r="X128" i="126"/>
  <c r="X134" i="126" s="1"/>
  <c r="P128" i="126"/>
  <c r="P134" i="126" s="1"/>
  <c r="BG108" i="126"/>
  <c r="AY108" i="126"/>
  <c r="AQ108" i="126"/>
  <c r="AE108" i="126"/>
  <c r="W108" i="126"/>
  <c r="O108" i="126"/>
  <c r="BG128" i="126"/>
  <c r="BG134" i="126" s="1"/>
  <c r="BM108" i="126"/>
  <c r="AP108" i="126"/>
  <c r="P108" i="126"/>
  <c r="AY128" i="126"/>
  <c r="AY134" i="126" s="1"/>
  <c r="BH108" i="126"/>
  <c r="AO108" i="126"/>
  <c r="N108" i="126"/>
  <c r="AQ128" i="126"/>
  <c r="AQ134" i="126" s="1"/>
  <c r="BF108" i="126"/>
  <c r="AF108" i="126"/>
  <c r="M108" i="126"/>
  <c r="G91" i="126"/>
  <c r="G149" i="126" s="1" a="1"/>
  <c r="G149" i="126" s="1"/>
  <c r="AE128" i="126"/>
  <c r="AE134" i="126" s="1"/>
  <c r="BE108" i="126"/>
  <c r="AD108" i="126"/>
  <c r="W128" i="126"/>
  <c r="W134" i="126" s="1"/>
  <c r="AZ108" i="126"/>
  <c r="AC108" i="126"/>
  <c r="O128" i="126"/>
  <c r="O134" i="126" s="1"/>
  <c r="AX108" i="126"/>
  <c r="X108" i="126"/>
  <c r="G128" i="126"/>
  <c r="G134" i="126" s="1"/>
  <c r="AW108" i="126"/>
  <c r="V108" i="126"/>
  <c r="BK49" i="126"/>
  <c r="BK55" i="126" s="1"/>
  <c r="BC49" i="126"/>
  <c r="BC55" i="126" s="1"/>
  <c r="AU49" i="126"/>
  <c r="AU55" i="126" s="1"/>
  <c r="AM49" i="126"/>
  <c r="AM55" i="126" s="1"/>
  <c r="AA49" i="126"/>
  <c r="AA55" i="126" s="1"/>
  <c r="S49" i="126"/>
  <c r="S55" i="126" s="1"/>
  <c r="K49" i="126"/>
  <c r="K55" i="126" s="1"/>
  <c r="BJ29" i="126"/>
  <c r="BB29" i="126"/>
  <c r="AT29" i="126"/>
  <c r="Z29" i="126"/>
  <c r="R29" i="126"/>
  <c r="J29" i="126"/>
  <c r="BJ49" i="126"/>
  <c r="BJ55" i="126" s="1"/>
  <c r="BB49" i="126"/>
  <c r="BB55" i="126" s="1"/>
  <c r="AT49" i="126"/>
  <c r="AT55" i="126" s="1"/>
  <c r="Z49" i="126"/>
  <c r="Z55" i="126" s="1"/>
  <c r="R49" i="126"/>
  <c r="R55" i="126" s="1"/>
  <c r="J49" i="126"/>
  <c r="J55" i="126" s="1"/>
  <c r="BI29" i="126"/>
  <c r="BA29" i="126"/>
  <c r="AS29" i="126"/>
  <c r="AG29" i="126"/>
  <c r="Y29" i="126"/>
  <c r="Q29" i="126"/>
  <c r="I29" i="126"/>
  <c r="BI49" i="126"/>
  <c r="BI55" i="126" s="1"/>
  <c r="BA49" i="126"/>
  <c r="BA55" i="126" s="1"/>
  <c r="AS49" i="126"/>
  <c r="AS55" i="126" s="1"/>
  <c r="AG49" i="126"/>
  <c r="AG55" i="126" s="1"/>
  <c r="Y49" i="126"/>
  <c r="Y55" i="126" s="1"/>
  <c r="Q49" i="126"/>
  <c r="Q55" i="126" s="1"/>
  <c r="I49" i="126"/>
  <c r="I55" i="126" s="1"/>
  <c r="BH29" i="126"/>
  <c r="AZ29" i="126"/>
  <c r="AR29" i="126"/>
  <c r="AF29" i="126"/>
  <c r="X29" i="126"/>
  <c r="P29" i="126"/>
  <c r="BH49" i="126"/>
  <c r="BH55" i="126" s="1"/>
  <c r="AZ49" i="126"/>
  <c r="AZ55" i="126" s="1"/>
  <c r="AR49" i="126"/>
  <c r="AR55" i="126" s="1"/>
  <c r="AF49" i="126"/>
  <c r="AF55" i="126" s="1"/>
  <c r="X49" i="126"/>
  <c r="X55" i="126" s="1"/>
  <c r="P49" i="126"/>
  <c r="P55" i="126" s="1"/>
  <c r="BG29" i="126"/>
  <c r="AY29" i="126"/>
  <c r="AQ29" i="126"/>
  <c r="AE29" i="126"/>
  <c r="W29" i="126"/>
  <c r="O29" i="126"/>
  <c r="BG49" i="126"/>
  <c r="BG55" i="126" s="1"/>
  <c r="AY49" i="126"/>
  <c r="AY55" i="126" s="1"/>
  <c r="AQ49" i="126"/>
  <c r="AQ55" i="126" s="1"/>
  <c r="AE49" i="126"/>
  <c r="AE55" i="126" s="1"/>
  <c r="W49" i="126"/>
  <c r="W55" i="126" s="1"/>
  <c r="O49" i="126"/>
  <c r="O55" i="126" s="1"/>
  <c r="G49" i="126"/>
  <c r="G55" i="126" s="1"/>
  <c r="BF29" i="126"/>
  <c r="AX29" i="126"/>
  <c r="AP29" i="126"/>
  <c r="AD29" i="126"/>
  <c r="V29" i="126"/>
  <c r="N29" i="126"/>
  <c r="BF49" i="126"/>
  <c r="BF55" i="126" s="1"/>
  <c r="AX49" i="126"/>
  <c r="AX55" i="126" s="1"/>
  <c r="AP49" i="126"/>
  <c r="AP55" i="126" s="1"/>
  <c r="AD49" i="126"/>
  <c r="AD55" i="126" s="1"/>
  <c r="V49" i="126"/>
  <c r="V55" i="126" s="1"/>
  <c r="N49" i="126"/>
  <c r="N55" i="126" s="1"/>
  <c r="BM29" i="126"/>
  <c r="BE29" i="126"/>
  <c r="AW29" i="126"/>
  <c r="AO29" i="126"/>
  <c r="AC29" i="126"/>
  <c r="U29" i="126"/>
  <c r="M29" i="126"/>
  <c r="AR108" i="126"/>
  <c r="BM49" i="126"/>
  <c r="BM55" i="126" s="1"/>
  <c r="BE49" i="126"/>
  <c r="BE55" i="126" s="1"/>
  <c r="AW49" i="126"/>
  <c r="AW55" i="126" s="1"/>
  <c r="AO49" i="126"/>
  <c r="AO55" i="126" s="1"/>
  <c r="AC49" i="126"/>
  <c r="AC55" i="126" s="1"/>
  <c r="U49" i="126"/>
  <c r="U55" i="126" s="1"/>
  <c r="M49" i="126"/>
  <c r="M55" i="126" s="1"/>
  <c r="BL29" i="126"/>
  <c r="BD29" i="126"/>
  <c r="AV29" i="126"/>
  <c r="AB29" i="126"/>
  <c r="T29" i="126"/>
  <c r="L29" i="126"/>
  <c r="S29" i="126"/>
  <c r="AB49" i="126"/>
  <c r="AB55" i="126" s="1"/>
  <c r="K29" i="126"/>
  <c r="AM91" i="126"/>
  <c r="AM148" i="126" s="1" a="1"/>
  <c r="AM148" i="126" s="1"/>
  <c r="T49" i="126"/>
  <c r="T55" i="126" s="1"/>
  <c r="G12" i="126"/>
  <c r="G27" i="126" s="1"/>
  <c r="AM12" i="126"/>
  <c r="AM26" i="126" s="1"/>
  <c r="L49" i="126"/>
  <c r="L55" i="126" s="1"/>
  <c r="BK29" i="126"/>
  <c r="BC29" i="126"/>
  <c r="AA29" i="126"/>
  <c r="U108" i="126"/>
  <c r="BL49" i="126"/>
  <c r="BL55" i="126" s="1"/>
  <c r="AU29" i="126"/>
  <c r="AV49" i="126"/>
  <c r="AV55" i="126" s="1"/>
  <c r="BD49" i="126"/>
  <c r="BD55" i="126" s="1"/>
  <c r="AM101" i="126"/>
  <c r="AM21" i="126"/>
  <c r="AM42" i="126"/>
  <c r="AM66" i="126" s="1"/>
  <c r="AM270" i="126"/>
  <c r="AM23" i="126"/>
  <c r="AM191" i="126"/>
  <c r="H302" i="126"/>
  <c r="H301" i="126"/>
  <c r="H222" i="126"/>
  <c r="H223" i="126"/>
  <c r="H143" i="126"/>
  <c r="H144" i="126"/>
  <c r="H64" i="126"/>
  <c r="H65" i="126"/>
  <c r="I8" i="126"/>
  <c r="AM279" i="126"/>
  <c r="AM303" i="126" s="1"/>
  <c r="AM258" i="126"/>
  <c r="AN302" i="126"/>
  <c r="AN301" i="126"/>
  <c r="AN223" i="126"/>
  <c r="AN222" i="126"/>
  <c r="AN143" i="126"/>
  <c r="AN144" i="126"/>
  <c r="AN65" i="126"/>
  <c r="AO8" i="126"/>
  <c r="AN64" i="126"/>
  <c r="AM121" i="126"/>
  <c r="AM145" i="126" s="1"/>
  <c r="AM100" i="126"/>
  <c r="AM260" i="126"/>
  <c r="AM22" i="126"/>
  <c r="AM102" i="126"/>
  <c r="AM200" i="126"/>
  <c r="AM224" i="126" s="1"/>
  <c r="AM179" i="126"/>
  <c r="G302" i="126"/>
  <c r="G301" i="126"/>
  <c r="G278" i="126"/>
  <c r="G293" i="126" s="1"/>
  <c r="G276" i="126"/>
  <c r="G277" i="126"/>
  <c r="G275" i="126"/>
  <c r="G248" i="126"/>
  <c r="G252" i="126"/>
  <c r="G222" i="126"/>
  <c r="G199" i="126"/>
  <c r="G214" i="126" s="1"/>
  <c r="G197" i="126"/>
  <c r="G180" i="126" s="1"/>
  <c r="G223" i="126"/>
  <c r="G169" i="126"/>
  <c r="G196" i="126"/>
  <c r="G198" i="126"/>
  <c r="G173" i="126"/>
  <c r="G120" i="126"/>
  <c r="G135" i="126" s="1"/>
  <c r="G118" i="126"/>
  <c r="G101" i="126" s="1"/>
  <c r="G144" i="126"/>
  <c r="G143" i="126"/>
  <c r="G119" i="126"/>
  <c r="G90" i="126"/>
  <c r="G117" i="126"/>
  <c r="G94" i="126"/>
  <c r="G65" i="126"/>
  <c r="G40" i="126"/>
  <c r="G38" i="126"/>
  <c r="G64" i="126"/>
  <c r="G41" i="126"/>
  <c r="G56" i="126" s="1"/>
  <c r="G39" i="126"/>
  <c r="G22" i="126" s="1"/>
  <c r="G11" i="126"/>
  <c r="G15" i="126"/>
  <c r="AM181" i="126"/>
  <c r="AN301" i="125"/>
  <c r="AN302" i="125"/>
  <c r="AN223" i="125"/>
  <c r="AN222" i="125"/>
  <c r="AN144" i="125"/>
  <c r="AN143" i="125"/>
  <c r="AN65" i="125"/>
  <c r="AO8" i="125"/>
  <c r="AN64" i="125"/>
  <c r="H302" i="125"/>
  <c r="H301" i="125"/>
  <c r="H223" i="125"/>
  <c r="H222" i="125"/>
  <c r="H143" i="125"/>
  <c r="H144" i="125"/>
  <c r="H64" i="125"/>
  <c r="I8" i="125"/>
  <c r="H65" i="125"/>
  <c r="G301" i="125"/>
  <c r="G302" i="125"/>
  <c r="G223" i="125"/>
  <c r="G222" i="125"/>
  <c r="G143" i="125"/>
  <c r="G144" i="125"/>
  <c r="G65" i="125"/>
  <c r="G64" i="125"/>
  <c r="AM301" i="124"/>
  <c r="AM277" i="124"/>
  <c r="AM302" i="124"/>
  <c r="AM275" i="124"/>
  <c r="AM276" i="124"/>
  <c r="AM252" i="124"/>
  <c r="AM278" i="124"/>
  <c r="AM293" i="124" s="1"/>
  <c r="AM248" i="124"/>
  <c r="AM223" i="124"/>
  <c r="AM222" i="124"/>
  <c r="AM197" i="124"/>
  <c r="AM173" i="124"/>
  <c r="AM198" i="124"/>
  <c r="AM199" i="124"/>
  <c r="AM214" i="124" s="1"/>
  <c r="AM196" i="124"/>
  <c r="AM144" i="124"/>
  <c r="AM143" i="124"/>
  <c r="AM169" i="124"/>
  <c r="AM119" i="124"/>
  <c r="AM117" i="124"/>
  <c r="AM90" i="124"/>
  <c r="AM64" i="124"/>
  <c r="AM118" i="124"/>
  <c r="AM94" i="124"/>
  <c r="AM120" i="124"/>
  <c r="AM135" i="124" s="1"/>
  <c r="AM65" i="124"/>
  <c r="AM11" i="124"/>
  <c r="AM40" i="124"/>
  <c r="AM38" i="124"/>
  <c r="AM15" i="124"/>
  <c r="AM41" i="124"/>
  <c r="AM56" i="124" s="1"/>
  <c r="AM39" i="124"/>
  <c r="G301" i="124"/>
  <c r="G302" i="124"/>
  <c r="G278" i="124"/>
  <c r="G293" i="124" s="1"/>
  <c r="G276" i="124"/>
  <c r="G275" i="124"/>
  <c r="G252" i="124"/>
  <c r="G277" i="124"/>
  <c r="G248" i="124"/>
  <c r="G222" i="124"/>
  <c r="G196" i="124"/>
  <c r="G223" i="124"/>
  <c r="G197" i="124"/>
  <c r="G198" i="124"/>
  <c r="G173" i="124"/>
  <c r="G143" i="124"/>
  <c r="G169" i="124"/>
  <c r="G144" i="124"/>
  <c r="G120" i="124"/>
  <c r="G135" i="124" s="1"/>
  <c r="G118" i="124"/>
  <c r="G199" i="124"/>
  <c r="G214" i="124" s="1"/>
  <c r="G65" i="124"/>
  <c r="G117" i="124"/>
  <c r="G90" i="124"/>
  <c r="G64" i="124"/>
  <c r="G119" i="124"/>
  <c r="G94" i="124"/>
  <c r="G41" i="124"/>
  <c r="G56" i="124" s="1"/>
  <c r="G39" i="124"/>
  <c r="G11" i="124"/>
  <c r="G40" i="124"/>
  <c r="G38" i="124"/>
  <c r="G15" i="124"/>
  <c r="BM286" i="124"/>
  <c r="BM292" i="124" s="1"/>
  <c r="BE286" i="124"/>
  <c r="BE292" i="124" s="1"/>
  <c r="AW286" i="124"/>
  <c r="AW292" i="124" s="1"/>
  <c r="AC286" i="124"/>
  <c r="AC292" i="124" s="1"/>
  <c r="U286" i="124"/>
  <c r="U292" i="124" s="1"/>
  <c r="M286" i="124"/>
  <c r="M292" i="124" s="1"/>
  <c r="BL286" i="124"/>
  <c r="BL292" i="124" s="1"/>
  <c r="BD286" i="124"/>
  <c r="BD292" i="124" s="1"/>
  <c r="AV286" i="124"/>
  <c r="AV292" i="124" s="1"/>
  <c r="AB286" i="124"/>
  <c r="AB292" i="124" s="1"/>
  <c r="T286" i="124"/>
  <c r="T292" i="124" s="1"/>
  <c r="L286" i="124"/>
  <c r="L292" i="124" s="1"/>
  <c r="BJ286" i="124"/>
  <c r="BJ292" i="124" s="1"/>
  <c r="BB286" i="124"/>
  <c r="BB292" i="124" s="1"/>
  <c r="AT286" i="124"/>
  <c r="AT292" i="124" s="1"/>
  <c r="Z286" i="124"/>
  <c r="Z292" i="124" s="1"/>
  <c r="R286" i="124"/>
  <c r="R292" i="124" s="1"/>
  <c r="J286" i="124"/>
  <c r="J292" i="124" s="1"/>
  <c r="BH286" i="124"/>
  <c r="BH292" i="124" s="1"/>
  <c r="AU286" i="124"/>
  <c r="AU292" i="124" s="1"/>
  <c r="AE286" i="124"/>
  <c r="AE292" i="124" s="1"/>
  <c r="Q286" i="124"/>
  <c r="Q292" i="124" s="1"/>
  <c r="BC286" i="124"/>
  <c r="BC292" i="124" s="1"/>
  <c r="AQ286" i="124"/>
  <c r="AQ292" i="124" s="1"/>
  <c r="Y286" i="124"/>
  <c r="Y292" i="124" s="1"/>
  <c r="N286" i="124"/>
  <c r="N292" i="124" s="1"/>
  <c r="BL266" i="124"/>
  <c r="BD266" i="124"/>
  <c r="AV266" i="124"/>
  <c r="AB266" i="124"/>
  <c r="T266" i="124"/>
  <c r="L266" i="124"/>
  <c r="BA286" i="124"/>
  <c r="BA292" i="124" s="1"/>
  <c r="AP286" i="124"/>
  <c r="AP292" i="124" s="1"/>
  <c r="X286" i="124"/>
  <c r="X292" i="124" s="1"/>
  <c r="K286" i="124"/>
  <c r="K292" i="124" s="1"/>
  <c r="AZ286" i="124"/>
  <c r="AZ292" i="124" s="1"/>
  <c r="AM286" i="124"/>
  <c r="AM292" i="124" s="1"/>
  <c r="W286" i="124"/>
  <c r="W292" i="124" s="1"/>
  <c r="BJ266" i="124"/>
  <c r="BB266" i="124"/>
  <c r="AT266" i="124"/>
  <c r="Z266" i="124"/>
  <c r="R266" i="124"/>
  <c r="J266" i="124"/>
  <c r="BK286" i="124"/>
  <c r="BK292" i="124" s="1"/>
  <c r="AY286" i="124"/>
  <c r="AY292" i="124" s="1"/>
  <c r="AG286" i="124"/>
  <c r="AG292" i="124" s="1"/>
  <c r="V286" i="124"/>
  <c r="V292" i="124" s="1"/>
  <c r="BI266" i="124"/>
  <c r="BA266" i="124"/>
  <c r="AS266" i="124"/>
  <c r="AG266" i="124"/>
  <c r="Y266" i="124"/>
  <c r="Q266" i="124"/>
  <c r="AD286" i="124"/>
  <c r="AD292" i="124" s="1"/>
  <c r="BH266" i="124"/>
  <c r="AW266" i="124"/>
  <c r="AE266" i="124"/>
  <c r="S266" i="124"/>
  <c r="BI286" i="124"/>
  <c r="BI292" i="124" s="1"/>
  <c r="AA286" i="124"/>
  <c r="AA292" i="124" s="1"/>
  <c r="BG266" i="124"/>
  <c r="AU266" i="124"/>
  <c r="AD266" i="124"/>
  <c r="P266" i="124"/>
  <c r="BG286" i="124"/>
  <c r="BG292" i="124" s="1"/>
  <c r="S286" i="124"/>
  <c r="S292" i="124" s="1"/>
  <c r="BF266" i="124"/>
  <c r="AR266" i="124"/>
  <c r="AC266" i="124"/>
  <c r="O266" i="124"/>
  <c r="BF286" i="124"/>
  <c r="BF292" i="124" s="1"/>
  <c r="P286" i="124"/>
  <c r="P292" i="124" s="1"/>
  <c r="BE266" i="124"/>
  <c r="AQ266" i="124"/>
  <c r="AA266" i="124"/>
  <c r="N266" i="124"/>
  <c r="AX286" i="124"/>
  <c r="AX292" i="124" s="1"/>
  <c r="O286" i="124"/>
  <c r="O292" i="124" s="1"/>
  <c r="BC266" i="124"/>
  <c r="AP266" i="124"/>
  <c r="X266" i="124"/>
  <c r="M266" i="124"/>
  <c r="AS286" i="124"/>
  <c r="AS292" i="124" s="1"/>
  <c r="G286" i="124"/>
  <c r="G292" i="124" s="1"/>
  <c r="AZ266" i="124"/>
  <c r="W266" i="124"/>
  <c r="K266" i="124"/>
  <c r="AR286" i="124"/>
  <c r="AR292" i="124" s="1"/>
  <c r="BM266" i="124"/>
  <c r="AY266" i="124"/>
  <c r="AM266" i="124"/>
  <c r="V266" i="124"/>
  <c r="AF266" i="124"/>
  <c r="AM249" i="124"/>
  <c r="AM306" i="124" s="1" a="1"/>
  <c r="AM306" i="124" s="1"/>
  <c r="G266" i="124"/>
  <c r="AF286" i="124"/>
  <c r="AF292" i="124" s="1"/>
  <c r="BK266" i="124"/>
  <c r="BJ207" i="124"/>
  <c r="BJ213" i="124" s="1"/>
  <c r="BB207" i="124"/>
  <c r="BB213" i="124" s="1"/>
  <c r="AT207" i="124"/>
  <c r="AT213" i="124" s="1"/>
  <c r="Z207" i="124"/>
  <c r="Z213" i="124" s="1"/>
  <c r="R207" i="124"/>
  <c r="R213" i="124" s="1"/>
  <c r="J207" i="124"/>
  <c r="J213" i="124" s="1"/>
  <c r="BI207" i="124"/>
  <c r="BI213" i="124" s="1"/>
  <c r="BA207" i="124"/>
  <c r="BA213" i="124" s="1"/>
  <c r="AS207" i="124"/>
  <c r="AS213" i="124" s="1"/>
  <c r="AG207" i="124"/>
  <c r="AG213" i="124" s="1"/>
  <c r="Y207" i="124"/>
  <c r="Y213" i="124" s="1"/>
  <c r="Q207" i="124"/>
  <c r="Q213" i="124" s="1"/>
  <c r="BH207" i="124"/>
  <c r="BH213" i="124" s="1"/>
  <c r="AZ207" i="124"/>
  <c r="AZ213" i="124" s="1"/>
  <c r="AR207" i="124"/>
  <c r="AR213" i="124" s="1"/>
  <c r="AF207" i="124"/>
  <c r="AF213" i="124" s="1"/>
  <c r="X207" i="124"/>
  <c r="X213" i="124" s="1"/>
  <c r="P207" i="124"/>
  <c r="P213" i="124" s="1"/>
  <c r="BG207" i="124"/>
  <c r="BG213" i="124" s="1"/>
  <c r="AY207" i="124"/>
  <c r="AY213" i="124" s="1"/>
  <c r="AQ207" i="124"/>
  <c r="AQ213" i="124" s="1"/>
  <c r="AE207" i="124"/>
  <c r="AE213" i="124" s="1"/>
  <c r="W207" i="124"/>
  <c r="W213" i="124" s="1"/>
  <c r="O207" i="124"/>
  <c r="O213" i="124" s="1"/>
  <c r="G207" i="124"/>
  <c r="G213" i="124" s="1"/>
  <c r="BF207" i="124"/>
  <c r="BF213" i="124" s="1"/>
  <c r="AX207" i="124"/>
  <c r="AX213" i="124" s="1"/>
  <c r="AP207" i="124"/>
  <c r="AP213" i="124" s="1"/>
  <c r="AD207" i="124"/>
  <c r="AD213" i="124" s="1"/>
  <c r="V207" i="124"/>
  <c r="V213" i="124" s="1"/>
  <c r="N207" i="124"/>
  <c r="N213" i="124" s="1"/>
  <c r="AX266" i="124"/>
  <c r="G249" i="124"/>
  <c r="G306" i="124" s="1" a="1"/>
  <c r="G306" i="124" s="1"/>
  <c r="BM207" i="124"/>
  <c r="BM213" i="124" s="1"/>
  <c r="BE207" i="124"/>
  <c r="BE213" i="124" s="1"/>
  <c r="AW207" i="124"/>
  <c r="AW213" i="124" s="1"/>
  <c r="AC207" i="124"/>
  <c r="AC213" i="124" s="1"/>
  <c r="U207" i="124"/>
  <c r="U213" i="124" s="1"/>
  <c r="M207" i="124"/>
  <c r="M213" i="124" s="1"/>
  <c r="AU207" i="124"/>
  <c r="AU213" i="124" s="1"/>
  <c r="K207" i="124"/>
  <c r="K213" i="124" s="1"/>
  <c r="BG187" i="124"/>
  <c r="AY187" i="124"/>
  <c r="AQ187" i="124"/>
  <c r="AE187" i="124"/>
  <c r="W187" i="124"/>
  <c r="O187" i="124"/>
  <c r="G187" i="124"/>
  <c r="BF187" i="124"/>
  <c r="AX187" i="124"/>
  <c r="AP187" i="124"/>
  <c r="AD187" i="124"/>
  <c r="V187" i="124"/>
  <c r="N187" i="124"/>
  <c r="AM207" i="124"/>
  <c r="AM213" i="124" s="1"/>
  <c r="BM187" i="124"/>
  <c r="BE187" i="124"/>
  <c r="AW187" i="124"/>
  <c r="AC187" i="124"/>
  <c r="U187" i="124"/>
  <c r="M187" i="124"/>
  <c r="BL207" i="124"/>
  <c r="BL213" i="124" s="1"/>
  <c r="AB207" i="124"/>
  <c r="AB213" i="124" s="1"/>
  <c r="BK207" i="124"/>
  <c r="BK213" i="124" s="1"/>
  <c r="AA207" i="124"/>
  <c r="AA213" i="124" s="1"/>
  <c r="BD207" i="124"/>
  <c r="BD213" i="124" s="1"/>
  <c r="T207" i="124"/>
  <c r="T213" i="124" s="1"/>
  <c r="BJ187" i="124"/>
  <c r="BB187" i="124"/>
  <c r="AT187" i="124"/>
  <c r="Z187" i="124"/>
  <c r="R187" i="124"/>
  <c r="J187" i="124"/>
  <c r="BC187" i="124"/>
  <c r="AM187" i="124"/>
  <c r="S187" i="124"/>
  <c r="BC207" i="124"/>
  <c r="BC213" i="124" s="1"/>
  <c r="BA187" i="124"/>
  <c r="AG187" i="124"/>
  <c r="Q187" i="124"/>
  <c r="AV207" i="124"/>
  <c r="AV213" i="124" s="1"/>
  <c r="AZ187" i="124"/>
  <c r="AF187" i="124"/>
  <c r="P187" i="124"/>
  <c r="U266" i="124"/>
  <c r="S207" i="124"/>
  <c r="S213" i="124" s="1"/>
  <c r="BL187" i="124"/>
  <c r="AV187" i="124"/>
  <c r="AB187" i="124"/>
  <c r="L187" i="124"/>
  <c r="L207" i="124"/>
  <c r="L213" i="124" s="1"/>
  <c r="BK187" i="124"/>
  <c r="AU187" i="124"/>
  <c r="AA187" i="124"/>
  <c r="K187" i="124"/>
  <c r="BI187" i="124"/>
  <c r="AS187" i="124"/>
  <c r="Y187" i="124"/>
  <c r="BH187" i="124"/>
  <c r="G170" i="124"/>
  <c r="G174" i="124" s="1"/>
  <c r="BD187" i="124"/>
  <c r="BH128" i="124"/>
  <c r="BH134" i="124" s="1"/>
  <c r="AZ128" i="124"/>
  <c r="AZ134" i="124" s="1"/>
  <c r="AR128" i="124"/>
  <c r="AR134" i="124" s="1"/>
  <c r="AF128" i="124"/>
  <c r="AF134" i="124" s="1"/>
  <c r="X128" i="124"/>
  <c r="X134" i="124" s="1"/>
  <c r="P128" i="124"/>
  <c r="P134" i="124" s="1"/>
  <c r="AR187" i="124"/>
  <c r="AM170" i="124"/>
  <c r="AM174" i="124" s="1"/>
  <c r="BF128" i="124"/>
  <c r="BF134" i="124" s="1"/>
  <c r="AX128" i="124"/>
  <c r="AX134" i="124" s="1"/>
  <c r="AP128" i="124"/>
  <c r="AP134" i="124" s="1"/>
  <c r="AD128" i="124"/>
  <c r="AD134" i="124" s="1"/>
  <c r="V128" i="124"/>
  <c r="V134" i="124" s="1"/>
  <c r="N128" i="124"/>
  <c r="N134" i="124" s="1"/>
  <c r="X187" i="124"/>
  <c r="BM128" i="124"/>
  <c r="BM134" i="124" s="1"/>
  <c r="BE128" i="124"/>
  <c r="BE134" i="124" s="1"/>
  <c r="AW128" i="124"/>
  <c r="AW134" i="124" s="1"/>
  <c r="AC128" i="124"/>
  <c r="AC134" i="124" s="1"/>
  <c r="U128" i="124"/>
  <c r="U134" i="124" s="1"/>
  <c r="M128" i="124"/>
  <c r="M134" i="124" s="1"/>
  <c r="T187" i="124"/>
  <c r="BL128" i="124"/>
  <c r="BL134" i="124" s="1"/>
  <c r="BD128" i="124"/>
  <c r="BD134" i="124" s="1"/>
  <c r="AV128" i="124"/>
  <c r="AV134" i="124" s="1"/>
  <c r="AB128" i="124"/>
  <c r="AB134" i="124" s="1"/>
  <c r="T128" i="124"/>
  <c r="T134" i="124" s="1"/>
  <c r="L128" i="124"/>
  <c r="L134" i="124" s="1"/>
  <c r="BI128" i="124"/>
  <c r="BI134" i="124" s="1"/>
  <c r="AS128" i="124"/>
  <c r="AS134" i="124" s="1"/>
  <c r="Y128" i="124"/>
  <c r="Y134" i="124" s="1"/>
  <c r="BF108" i="124"/>
  <c r="AX108" i="124"/>
  <c r="AP108" i="124"/>
  <c r="AD108" i="124"/>
  <c r="V108" i="124"/>
  <c r="N108" i="124"/>
  <c r="BG128" i="124"/>
  <c r="BG134" i="124" s="1"/>
  <c r="AQ128" i="124"/>
  <c r="AQ134" i="124" s="1"/>
  <c r="W128" i="124"/>
  <c r="W134" i="124" s="1"/>
  <c r="G128" i="124"/>
  <c r="G134" i="124" s="1"/>
  <c r="BM108" i="124"/>
  <c r="BE108" i="124"/>
  <c r="AW108" i="124"/>
  <c r="AC108" i="124"/>
  <c r="U108" i="124"/>
  <c r="M108" i="124"/>
  <c r="BC128" i="124"/>
  <c r="BC134" i="124" s="1"/>
  <c r="AM128" i="124"/>
  <c r="AM134" i="124" s="1"/>
  <c r="S128" i="124"/>
  <c r="S134" i="124" s="1"/>
  <c r="BL108" i="124"/>
  <c r="BD108" i="124"/>
  <c r="AV108" i="124"/>
  <c r="AB108" i="124"/>
  <c r="T108" i="124"/>
  <c r="L108" i="124"/>
  <c r="BB128" i="124"/>
  <c r="BB134" i="124" s="1"/>
  <c r="R128" i="124"/>
  <c r="R134" i="124" s="1"/>
  <c r="BK108" i="124"/>
  <c r="BC108" i="124"/>
  <c r="AU108" i="124"/>
  <c r="AM108" i="124"/>
  <c r="AA108" i="124"/>
  <c r="S108" i="124"/>
  <c r="K108" i="124"/>
  <c r="BA128" i="124"/>
  <c r="BA134" i="124" s="1"/>
  <c r="AG128" i="124"/>
  <c r="AG134" i="124" s="1"/>
  <c r="Q128" i="124"/>
  <c r="Q134" i="124" s="1"/>
  <c r="BJ108" i="124"/>
  <c r="BB108" i="124"/>
  <c r="AT108" i="124"/>
  <c r="Z108" i="124"/>
  <c r="R108" i="124"/>
  <c r="J108" i="124"/>
  <c r="AY128" i="124"/>
  <c r="AY134" i="124" s="1"/>
  <c r="J128" i="124"/>
  <c r="J134" i="124" s="1"/>
  <c r="BA108" i="124"/>
  <c r="AE108" i="124"/>
  <c r="AM91" i="124"/>
  <c r="AM149" i="124" s="1" a="1"/>
  <c r="AM149" i="124" s="1"/>
  <c r="BK49" i="124"/>
  <c r="BK55" i="124" s="1"/>
  <c r="BC49" i="124"/>
  <c r="BC55" i="124" s="1"/>
  <c r="AU49" i="124"/>
  <c r="AU55" i="124" s="1"/>
  <c r="AM49" i="124"/>
  <c r="AM55" i="124" s="1"/>
  <c r="AA49" i="124"/>
  <c r="AA55" i="124" s="1"/>
  <c r="S49" i="124"/>
  <c r="S55" i="124" s="1"/>
  <c r="K49" i="124"/>
  <c r="K55" i="124" s="1"/>
  <c r="AU128" i="124"/>
  <c r="AU134" i="124" s="1"/>
  <c r="AZ108" i="124"/>
  <c r="Y108" i="124"/>
  <c r="G108" i="124"/>
  <c r="BJ49" i="124"/>
  <c r="BJ55" i="124" s="1"/>
  <c r="BB49" i="124"/>
  <c r="BB55" i="124" s="1"/>
  <c r="AT49" i="124"/>
  <c r="AT55" i="124" s="1"/>
  <c r="Z49" i="124"/>
  <c r="Z55" i="124" s="1"/>
  <c r="R49" i="124"/>
  <c r="R55" i="124" s="1"/>
  <c r="J49" i="124"/>
  <c r="J55" i="124" s="1"/>
  <c r="AT128" i="124"/>
  <c r="AT134" i="124" s="1"/>
  <c r="AY108" i="124"/>
  <c r="X108" i="124"/>
  <c r="AE128" i="124"/>
  <c r="AE134" i="124" s="1"/>
  <c r="AS108" i="124"/>
  <c r="W108" i="124"/>
  <c r="G91" i="124"/>
  <c r="G149" i="124" s="1" a="1"/>
  <c r="G149" i="124" s="1"/>
  <c r="BH49" i="124"/>
  <c r="BH55" i="124" s="1"/>
  <c r="AZ49" i="124"/>
  <c r="AZ55" i="124" s="1"/>
  <c r="AR49" i="124"/>
  <c r="AR55" i="124" s="1"/>
  <c r="AF49" i="124"/>
  <c r="AF55" i="124" s="1"/>
  <c r="X49" i="124"/>
  <c r="X55" i="124" s="1"/>
  <c r="P49" i="124"/>
  <c r="P55" i="124" s="1"/>
  <c r="AA128" i="124"/>
  <c r="AA134" i="124" s="1"/>
  <c r="AR108" i="124"/>
  <c r="Q108" i="124"/>
  <c r="BG49" i="124"/>
  <c r="BG55" i="124" s="1"/>
  <c r="AY49" i="124"/>
  <c r="AY55" i="124" s="1"/>
  <c r="AQ49" i="124"/>
  <c r="AQ55" i="124" s="1"/>
  <c r="AE49" i="124"/>
  <c r="AE55" i="124" s="1"/>
  <c r="W49" i="124"/>
  <c r="W55" i="124" s="1"/>
  <c r="O49" i="124"/>
  <c r="O55" i="124" s="1"/>
  <c r="G49" i="124"/>
  <c r="G55" i="124" s="1"/>
  <c r="Z128" i="124"/>
  <c r="Z134" i="124" s="1"/>
  <c r="BI108" i="124"/>
  <c r="AQ108" i="124"/>
  <c r="P108" i="124"/>
  <c r="BK128" i="124"/>
  <c r="BK134" i="124" s="1"/>
  <c r="O128" i="124"/>
  <c r="O134" i="124" s="1"/>
  <c r="BH108" i="124"/>
  <c r="AG108" i="124"/>
  <c r="O108" i="124"/>
  <c r="AF108" i="124"/>
  <c r="BF49" i="124"/>
  <c r="BF55" i="124" s="1"/>
  <c r="AP49" i="124"/>
  <c r="AP55" i="124" s="1"/>
  <c r="V49" i="124"/>
  <c r="V55" i="124" s="1"/>
  <c r="BM29" i="124"/>
  <c r="BE29" i="124"/>
  <c r="AW29" i="124"/>
  <c r="AC29" i="124"/>
  <c r="U29" i="124"/>
  <c r="M29" i="124"/>
  <c r="AM12" i="124"/>
  <c r="AM16" i="124" s="1"/>
  <c r="AT266" i="120"/>
  <c r="BB266" i="120"/>
  <c r="BJ266" i="120"/>
  <c r="AT286" i="120"/>
  <c r="AT292" i="120" s="1"/>
  <c r="BB286" i="120"/>
  <c r="BB292" i="120" s="1"/>
  <c r="BJ286" i="120"/>
  <c r="BJ292" i="120" s="1"/>
  <c r="AO187" i="120"/>
  <c r="AW187" i="120"/>
  <c r="BE187" i="120"/>
  <c r="BM187" i="120"/>
  <c r="AO207" i="120"/>
  <c r="AO213" i="120" s="1"/>
  <c r="BE49" i="124"/>
  <c r="BE55" i="124" s="1"/>
  <c r="U49" i="124"/>
  <c r="U55" i="124" s="1"/>
  <c r="BL29" i="124"/>
  <c r="BD29" i="124"/>
  <c r="AV29" i="124"/>
  <c r="AB29" i="124"/>
  <c r="T29" i="124"/>
  <c r="L29" i="124"/>
  <c r="AU266" i="120"/>
  <c r="BC266" i="120"/>
  <c r="BK266" i="120"/>
  <c r="AU286" i="120"/>
  <c r="AU292" i="120" s="1"/>
  <c r="BC286" i="120"/>
  <c r="BC292" i="120" s="1"/>
  <c r="BK286" i="120"/>
  <c r="BK292" i="120" s="1"/>
  <c r="AP187" i="120"/>
  <c r="AX187" i="120"/>
  <c r="BF187" i="120"/>
  <c r="AP207" i="120"/>
  <c r="AP213" i="120" s="1"/>
  <c r="BD49" i="124"/>
  <c r="BD55" i="124" s="1"/>
  <c r="T49" i="124"/>
  <c r="T55" i="124" s="1"/>
  <c r="BK29" i="124"/>
  <c r="BC29" i="124"/>
  <c r="AU29" i="124"/>
  <c r="AM29" i="124"/>
  <c r="AA29" i="124"/>
  <c r="S29" i="124"/>
  <c r="K29" i="124"/>
  <c r="AV266" i="120"/>
  <c r="BD266" i="120"/>
  <c r="BL266" i="120"/>
  <c r="AV286" i="120"/>
  <c r="AV292" i="120" s="1"/>
  <c r="BD286" i="120"/>
  <c r="BD292" i="120" s="1"/>
  <c r="BL286" i="120"/>
  <c r="BL292" i="120" s="1"/>
  <c r="AM266" i="120"/>
  <c r="AQ187" i="120"/>
  <c r="AY187" i="120"/>
  <c r="BG187" i="120"/>
  <c r="AQ207" i="120"/>
  <c r="AQ213" i="120" s="1"/>
  <c r="BA49" i="124"/>
  <c r="BA55" i="124" s="1"/>
  <c r="AG49" i="124"/>
  <c r="AG55" i="124" s="1"/>
  <c r="Q49" i="124"/>
  <c r="Q55" i="124" s="1"/>
  <c r="BJ29" i="124"/>
  <c r="BB29" i="124"/>
  <c r="AT29" i="124"/>
  <c r="Z29" i="124"/>
  <c r="R29" i="124"/>
  <c r="J29" i="124"/>
  <c r="G12" i="124"/>
  <c r="G69" i="124" s="1" a="1"/>
  <c r="G69" i="124" s="1"/>
  <c r="AO266" i="120"/>
  <c r="AW266" i="120"/>
  <c r="BE266" i="120"/>
  <c r="BM266" i="120"/>
  <c r="AO286" i="120"/>
  <c r="AO292" i="120" s="1"/>
  <c r="AW286" i="120"/>
  <c r="AW292" i="120" s="1"/>
  <c r="BE286" i="120"/>
  <c r="BE292" i="120" s="1"/>
  <c r="BM286" i="120"/>
  <c r="BM292" i="120" s="1"/>
  <c r="AR187" i="120"/>
  <c r="AZ187" i="120"/>
  <c r="BH187" i="120"/>
  <c r="AX49" i="124"/>
  <c r="AX55" i="124" s="1"/>
  <c r="AD49" i="124"/>
  <c r="AD55" i="124" s="1"/>
  <c r="N49" i="124"/>
  <c r="N55" i="124" s="1"/>
  <c r="BI29" i="124"/>
  <c r="BA29" i="124"/>
  <c r="AS29" i="124"/>
  <c r="AG29" i="124"/>
  <c r="Y29" i="124"/>
  <c r="Q29" i="124"/>
  <c r="AP266" i="120"/>
  <c r="AX266" i="120"/>
  <c r="BF266" i="120"/>
  <c r="AP286" i="120"/>
  <c r="AP292" i="120" s="1"/>
  <c r="AX286" i="120"/>
  <c r="AX292" i="120" s="1"/>
  <c r="BF286" i="120"/>
  <c r="BF292" i="120" s="1"/>
  <c r="AM286" i="120"/>
  <c r="AM292" i="120" s="1"/>
  <c r="AS187" i="120"/>
  <c r="BA187" i="120"/>
  <c r="BI187" i="120"/>
  <c r="AS207" i="120"/>
  <c r="AS213" i="120" s="1"/>
  <c r="BM49" i="124"/>
  <c r="BM55" i="124" s="1"/>
  <c r="AW49" i="124"/>
  <c r="AW55" i="124" s="1"/>
  <c r="AC49" i="124"/>
  <c r="AC55" i="124" s="1"/>
  <c r="M49" i="124"/>
  <c r="M55" i="124" s="1"/>
  <c r="BH29" i="124"/>
  <c r="AZ29" i="124"/>
  <c r="AR29" i="124"/>
  <c r="AF29" i="124"/>
  <c r="X29" i="124"/>
  <c r="P29" i="124"/>
  <c r="AQ266" i="120"/>
  <c r="AY266" i="120"/>
  <c r="BG266" i="120"/>
  <c r="AQ286" i="120"/>
  <c r="AQ292" i="120" s="1"/>
  <c r="AY286" i="120"/>
  <c r="AY292" i="120" s="1"/>
  <c r="BG286" i="120"/>
  <c r="BG292" i="120" s="1"/>
  <c r="AT187" i="120"/>
  <c r="BB187" i="120"/>
  <c r="BJ187" i="120"/>
  <c r="AT207" i="120"/>
  <c r="AT213" i="120" s="1"/>
  <c r="BJ128" i="124"/>
  <c r="BJ134" i="124" s="1"/>
  <c r="BL49" i="124"/>
  <c r="BL55" i="124" s="1"/>
  <c r="AV49" i="124"/>
  <c r="AV55" i="124" s="1"/>
  <c r="AB49" i="124"/>
  <c r="AB55" i="124" s="1"/>
  <c r="L49" i="124"/>
  <c r="L55" i="124" s="1"/>
  <c r="BG29" i="124"/>
  <c r="AY29" i="124"/>
  <c r="AQ29" i="124"/>
  <c r="AE29" i="124"/>
  <c r="W29" i="124"/>
  <c r="O29" i="124"/>
  <c r="G29" i="124"/>
  <c r="AR266" i="120"/>
  <c r="AZ266" i="120"/>
  <c r="BH266" i="120"/>
  <c r="AR286" i="120"/>
  <c r="AR292" i="120" s="1"/>
  <c r="AZ286" i="120"/>
  <c r="AZ292" i="120" s="1"/>
  <c r="BH286" i="120"/>
  <c r="BH292" i="120" s="1"/>
  <c r="AM249" i="120"/>
  <c r="AM253" i="120" s="1"/>
  <c r="AU187" i="120"/>
  <c r="BC187" i="120"/>
  <c r="BK187" i="120"/>
  <c r="BD187" i="120"/>
  <c r="BA207" i="120"/>
  <c r="BA213" i="120" s="1"/>
  <c r="BI207" i="120"/>
  <c r="BI213" i="120" s="1"/>
  <c r="AM207" i="120"/>
  <c r="AM213" i="120" s="1"/>
  <c r="BI286" i="120"/>
  <c r="BI292" i="120" s="1"/>
  <c r="AY207" i="120"/>
  <c r="AY213" i="120" s="1"/>
  <c r="AM187" i="120"/>
  <c r="AZ207" i="120"/>
  <c r="AZ213" i="120" s="1"/>
  <c r="BF29" i="124"/>
  <c r="BL187" i="120"/>
  <c r="AR207" i="120"/>
  <c r="AR213" i="120" s="1"/>
  <c r="BB207" i="120"/>
  <c r="BB213" i="120" s="1"/>
  <c r="BJ207" i="120"/>
  <c r="BJ213" i="120" s="1"/>
  <c r="AM108" i="120"/>
  <c r="BG207" i="120"/>
  <c r="BG213" i="120" s="1"/>
  <c r="BG108" i="124"/>
  <c r="K128" i="124"/>
  <c r="K134" i="124" s="1"/>
  <c r="BI49" i="124"/>
  <c r="BI55" i="124" s="1"/>
  <c r="AX29" i="124"/>
  <c r="AU207" i="120"/>
  <c r="AU213" i="120" s="1"/>
  <c r="BC207" i="120"/>
  <c r="BC213" i="120" s="1"/>
  <c r="BK207" i="120"/>
  <c r="BK213" i="120" s="1"/>
  <c r="AM170" i="120"/>
  <c r="AM174" i="120" s="1"/>
  <c r="AS49" i="124"/>
  <c r="AS55" i="124" s="1"/>
  <c r="AP29" i="124"/>
  <c r="AS266" i="120"/>
  <c r="AV207" i="120"/>
  <c r="AV213" i="120" s="1"/>
  <c r="BD207" i="120"/>
  <c r="BD213" i="120" s="1"/>
  <c r="BL207" i="120"/>
  <c r="BL213" i="120" s="1"/>
  <c r="AM128" i="120"/>
  <c r="AM134" i="120" s="1"/>
  <c r="BH207" i="120"/>
  <c r="BH213" i="120" s="1"/>
  <c r="Y49" i="124"/>
  <c r="Y55" i="124" s="1"/>
  <c r="AD29" i="124"/>
  <c r="BA266" i="120"/>
  <c r="AS286" i="120"/>
  <c r="AS292" i="120" s="1"/>
  <c r="AW207" i="120"/>
  <c r="AW213" i="120" s="1"/>
  <c r="BE207" i="120"/>
  <c r="BE213" i="120" s="1"/>
  <c r="BM207" i="120"/>
  <c r="BM213" i="120" s="1"/>
  <c r="AV187" i="120"/>
  <c r="V29" i="124"/>
  <c r="BI266" i="120"/>
  <c r="BA286" i="120"/>
  <c r="BA292" i="120" s="1"/>
  <c r="AX207" i="120"/>
  <c r="AX213" i="120" s="1"/>
  <c r="BF207" i="120"/>
  <c r="BF213" i="120" s="1"/>
  <c r="AM91" i="120"/>
  <c r="AM149" i="120" s="1" a="1"/>
  <c r="AM149" i="120" s="1"/>
  <c r="N29" i="124"/>
  <c r="AM276" i="120"/>
  <c r="AM259" i="120" s="1"/>
  <c r="AM270" i="120" s="1"/>
  <c r="AM302" i="120"/>
  <c r="AM275" i="120"/>
  <c r="AM301" i="120"/>
  <c r="AM252" i="120"/>
  <c r="AM278" i="120"/>
  <c r="AM293" i="120" s="1"/>
  <c r="AM277" i="120"/>
  <c r="AM144" i="120"/>
  <c r="AM117" i="120"/>
  <c r="AM119" i="120"/>
  <c r="AM102" i="120" s="1"/>
  <c r="AM248" i="120"/>
  <c r="AM173" i="120"/>
  <c r="AM143" i="120"/>
  <c r="AM90" i="120"/>
  <c r="AM118" i="120"/>
  <c r="AM199" i="120"/>
  <c r="AM214" i="120" s="1"/>
  <c r="AM198" i="120"/>
  <c r="AM169" i="120"/>
  <c r="AM223" i="120"/>
  <c r="AM197" i="120"/>
  <c r="AM180" i="120" s="1"/>
  <c r="AM191" i="120" s="1"/>
  <c r="AM94" i="120"/>
  <c r="AM222" i="120"/>
  <c r="AM196" i="120"/>
  <c r="AM120" i="120"/>
  <c r="AM135" i="120" s="1"/>
  <c r="H8" i="124"/>
  <c r="AN8" i="124"/>
  <c r="H8" i="120"/>
  <c r="G277" i="120"/>
  <c r="G248" i="120"/>
  <c r="G198" i="120"/>
  <c r="G169" i="120"/>
  <c r="G117" i="120"/>
  <c r="G38" i="120"/>
  <c r="G120" i="120"/>
  <c r="G40" i="120"/>
  <c r="G276" i="120"/>
  <c r="G197" i="120"/>
  <c r="G252" i="120"/>
  <c r="G119" i="120"/>
  <c r="G275" i="120"/>
  <c r="G196" i="120"/>
  <c r="G41" i="120"/>
  <c r="G144" i="120"/>
  <c r="G94" i="120"/>
  <c r="G65" i="120"/>
  <c r="G302" i="120"/>
  <c r="G223" i="120"/>
  <c r="G173" i="120"/>
  <c r="G90" i="120"/>
  <c r="G143" i="120"/>
  <c r="G64" i="120"/>
  <c r="G15" i="120"/>
  <c r="G301" i="120"/>
  <c r="G222" i="120"/>
  <c r="G278" i="120"/>
  <c r="G118" i="120"/>
  <c r="G11" i="120"/>
  <c r="G199" i="120"/>
  <c r="G39" i="120"/>
  <c r="AU108" i="120"/>
  <c r="BC108" i="120"/>
  <c r="BK108" i="120"/>
  <c r="AO128" i="120"/>
  <c r="AO134" i="120" s="1"/>
  <c r="AW128" i="120"/>
  <c r="AW134" i="120" s="1"/>
  <c r="AV108" i="120"/>
  <c r="BD108" i="120"/>
  <c r="BL108" i="120"/>
  <c r="AP128" i="120"/>
  <c r="AP134" i="120" s="1"/>
  <c r="AX128" i="120"/>
  <c r="AX134" i="120" s="1"/>
  <c r="BF128" i="120"/>
  <c r="BF134" i="120" s="1"/>
  <c r="AO108" i="120"/>
  <c r="AW108" i="120"/>
  <c r="BE108" i="120"/>
  <c r="BM108" i="120"/>
  <c r="AQ128" i="120"/>
  <c r="AQ134" i="120" s="1"/>
  <c r="AY128" i="120"/>
  <c r="AY134" i="120" s="1"/>
  <c r="BG128" i="120"/>
  <c r="BG134" i="120" s="1"/>
  <c r="AP108" i="120"/>
  <c r="AX108" i="120"/>
  <c r="BF108" i="120"/>
  <c r="AR128" i="120"/>
  <c r="AR134" i="120" s="1"/>
  <c r="AZ128" i="120"/>
  <c r="AZ134" i="120" s="1"/>
  <c r="BH128" i="120"/>
  <c r="BH134" i="120" s="1"/>
  <c r="AQ108" i="120"/>
  <c r="AY108" i="120"/>
  <c r="BG108" i="120"/>
  <c r="AS128" i="120"/>
  <c r="AS134" i="120" s="1"/>
  <c r="BA128" i="120"/>
  <c r="BA134" i="120" s="1"/>
  <c r="AS108" i="120"/>
  <c r="BA108" i="120"/>
  <c r="BI108" i="120"/>
  <c r="AU128" i="120"/>
  <c r="AU134" i="120" s="1"/>
  <c r="BC128" i="120"/>
  <c r="BC134" i="120" s="1"/>
  <c r="BK128" i="120"/>
  <c r="BK134" i="120" s="1"/>
  <c r="BJ108" i="120"/>
  <c r="BD128" i="120"/>
  <c r="BD134" i="120" s="1"/>
  <c r="BM128" i="120"/>
  <c r="BM134" i="120" s="1"/>
  <c r="BE128" i="120"/>
  <c r="BE134" i="120" s="1"/>
  <c r="AT128" i="120"/>
  <c r="AT134" i="120" s="1"/>
  <c r="BI128" i="120"/>
  <c r="BI134" i="120" s="1"/>
  <c r="AR108" i="120"/>
  <c r="BJ128" i="120"/>
  <c r="BJ134" i="120" s="1"/>
  <c r="BB128" i="120"/>
  <c r="BB134" i="120" s="1"/>
  <c r="AT108" i="120"/>
  <c r="BL128" i="120"/>
  <c r="BL134" i="120" s="1"/>
  <c r="AZ108" i="120"/>
  <c r="BH108" i="120"/>
  <c r="BB108" i="120"/>
  <c r="AV128" i="120"/>
  <c r="AV134" i="120" s="1"/>
  <c r="AN8" i="120"/>
  <c r="AM40" i="120"/>
  <c r="AM11" i="120"/>
  <c r="AM39" i="120"/>
  <c r="AM38" i="120"/>
  <c r="AM65" i="120"/>
  <c r="AM41" i="120"/>
  <c r="AM64" i="120"/>
  <c r="AM15" i="120"/>
  <c r="AA286" i="120"/>
  <c r="AA292" i="120" s="1"/>
  <c r="S286" i="120"/>
  <c r="S292" i="120" s="1"/>
  <c r="K286" i="120"/>
  <c r="K292" i="120" s="1"/>
  <c r="Z286" i="120"/>
  <c r="Z292" i="120" s="1"/>
  <c r="R286" i="120"/>
  <c r="R292" i="120" s="1"/>
  <c r="J286" i="120"/>
  <c r="J292" i="120" s="1"/>
  <c r="AG286" i="120"/>
  <c r="AG292" i="120" s="1"/>
  <c r="Y286" i="120"/>
  <c r="Y292" i="120" s="1"/>
  <c r="Q286" i="120"/>
  <c r="Q292" i="120" s="1"/>
  <c r="I286" i="120"/>
  <c r="I292" i="120" s="1"/>
  <c r="AE286" i="120"/>
  <c r="AE292" i="120" s="1"/>
  <c r="W286" i="120"/>
  <c r="W292" i="120" s="1"/>
  <c r="O286" i="120"/>
  <c r="O292" i="120" s="1"/>
  <c r="V286" i="120"/>
  <c r="V292" i="120" s="1"/>
  <c r="U286" i="120"/>
  <c r="U292" i="120" s="1"/>
  <c r="T286" i="120"/>
  <c r="T292" i="120" s="1"/>
  <c r="AF286" i="120"/>
  <c r="AF292" i="120" s="1"/>
  <c r="P286" i="120"/>
  <c r="P292" i="120" s="1"/>
  <c r="AD286" i="120"/>
  <c r="AD292" i="120" s="1"/>
  <c r="N286" i="120"/>
  <c r="N292" i="120" s="1"/>
  <c r="AC286" i="120"/>
  <c r="AC292" i="120" s="1"/>
  <c r="M286" i="120"/>
  <c r="M292" i="120" s="1"/>
  <c r="AE266" i="120"/>
  <c r="W266" i="120"/>
  <c r="O266" i="120"/>
  <c r="AD266" i="120"/>
  <c r="V266" i="120"/>
  <c r="N266" i="120"/>
  <c r="AB286" i="120"/>
  <c r="AB292" i="120" s="1"/>
  <c r="AC266" i="120"/>
  <c r="U266" i="120"/>
  <c r="M266" i="120"/>
  <c r="X286" i="120"/>
  <c r="X292" i="120" s="1"/>
  <c r="AB266" i="120"/>
  <c r="T266" i="120"/>
  <c r="L266" i="120"/>
  <c r="L286" i="120"/>
  <c r="L292" i="120" s="1"/>
  <c r="AA266" i="120"/>
  <c r="S266" i="120"/>
  <c r="K266" i="120"/>
  <c r="AG266" i="120"/>
  <c r="Y266" i="120"/>
  <c r="Q266" i="120"/>
  <c r="I266" i="120"/>
  <c r="J266" i="120"/>
  <c r="AF266" i="120"/>
  <c r="Z266" i="120"/>
  <c r="X266" i="120"/>
  <c r="AF207" i="120"/>
  <c r="AF213" i="120" s="1"/>
  <c r="X207" i="120"/>
  <c r="X213" i="120" s="1"/>
  <c r="P207" i="120"/>
  <c r="P213" i="120" s="1"/>
  <c r="AE207" i="120"/>
  <c r="AE213" i="120" s="1"/>
  <c r="W207" i="120"/>
  <c r="W213" i="120" s="1"/>
  <c r="O207" i="120"/>
  <c r="O213" i="120" s="1"/>
  <c r="AD207" i="120"/>
  <c r="AD213" i="120" s="1"/>
  <c r="V207" i="120"/>
  <c r="V213" i="120" s="1"/>
  <c r="N207" i="120"/>
  <c r="N213" i="120" s="1"/>
  <c r="P266" i="120"/>
  <c r="AB207" i="120"/>
  <c r="AB213" i="120" s="1"/>
  <c r="T207" i="120"/>
  <c r="T213" i="120" s="1"/>
  <c r="L207" i="120"/>
  <c r="L213" i="120" s="1"/>
  <c r="AG207" i="120"/>
  <c r="AG213" i="120" s="1"/>
  <c r="Q207" i="120"/>
  <c r="Q213" i="120" s="1"/>
  <c r="AC207" i="120"/>
  <c r="AC213" i="120" s="1"/>
  <c r="M207" i="120"/>
  <c r="M213" i="120" s="1"/>
  <c r="AA207" i="120"/>
  <c r="AA213" i="120" s="1"/>
  <c r="K207" i="120"/>
  <c r="K213" i="120" s="1"/>
  <c r="AA187" i="120"/>
  <c r="S187" i="120"/>
  <c r="K187" i="120"/>
  <c r="Z207" i="120"/>
  <c r="Z213" i="120" s="1"/>
  <c r="J207" i="120"/>
  <c r="J213" i="120" s="1"/>
  <c r="Z187" i="120"/>
  <c r="R187" i="120"/>
  <c r="J187" i="120"/>
  <c r="Y207" i="120"/>
  <c r="Y213" i="120" s="1"/>
  <c r="I207" i="120"/>
  <c r="I213" i="120" s="1"/>
  <c r="AG187" i="120"/>
  <c r="Y187" i="120"/>
  <c r="Q187" i="120"/>
  <c r="I187" i="120"/>
  <c r="S207" i="120"/>
  <c r="S213" i="120" s="1"/>
  <c r="AE187" i="120"/>
  <c r="W187" i="120"/>
  <c r="O187" i="120"/>
  <c r="V187" i="120"/>
  <c r="U207" i="120"/>
  <c r="U213" i="120" s="1"/>
  <c r="U187" i="120"/>
  <c r="R207" i="120"/>
  <c r="R213" i="120" s="1"/>
  <c r="T187" i="120"/>
  <c r="AF187" i="120"/>
  <c r="P187" i="120"/>
  <c r="AD187" i="120"/>
  <c r="N187" i="120"/>
  <c r="R266" i="120"/>
  <c r="AB187" i="120"/>
  <c r="L187" i="120"/>
  <c r="AC187" i="120"/>
  <c r="X187" i="120"/>
  <c r="AA128" i="120"/>
  <c r="AA134" i="120" s="1"/>
  <c r="S128" i="120"/>
  <c r="S134" i="120" s="1"/>
  <c r="K128" i="120"/>
  <c r="K134" i="120" s="1"/>
  <c r="Z128" i="120"/>
  <c r="Z134" i="120" s="1"/>
  <c r="R128" i="120"/>
  <c r="R134" i="120" s="1"/>
  <c r="J128" i="120"/>
  <c r="J134" i="120" s="1"/>
  <c r="AG128" i="120"/>
  <c r="AG134" i="120" s="1"/>
  <c r="Y128" i="120"/>
  <c r="Y134" i="120" s="1"/>
  <c r="Q128" i="120"/>
  <c r="Q134" i="120" s="1"/>
  <c r="I128" i="120"/>
  <c r="I134" i="120" s="1"/>
  <c r="AF128" i="120"/>
  <c r="AF134" i="120" s="1"/>
  <c r="X128" i="120"/>
  <c r="X134" i="120" s="1"/>
  <c r="P128" i="120"/>
  <c r="P134" i="120" s="1"/>
  <c r="AE128" i="120"/>
  <c r="AE134" i="120" s="1"/>
  <c r="W128" i="120"/>
  <c r="W134" i="120" s="1"/>
  <c r="O128" i="120"/>
  <c r="O134" i="120" s="1"/>
  <c r="M187" i="120"/>
  <c r="AC128" i="120"/>
  <c r="AC134" i="120" s="1"/>
  <c r="U128" i="120"/>
  <c r="U134" i="120" s="1"/>
  <c r="M128" i="120"/>
  <c r="M134" i="120" s="1"/>
  <c r="AB128" i="120"/>
  <c r="AB134" i="120" s="1"/>
  <c r="AB108" i="120"/>
  <c r="T108" i="120"/>
  <c r="L108" i="120"/>
  <c r="V128" i="120"/>
  <c r="V134" i="120" s="1"/>
  <c r="AA108" i="120"/>
  <c r="S108" i="120"/>
  <c r="K108" i="120"/>
  <c r="T128" i="120"/>
  <c r="T134" i="120" s="1"/>
  <c r="Z108" i="120"/>
  <c r="R108" i="120"/>
  <c r="J108" i="120"/>
  <c r="N128" i="120"/>
  <c r="N134" i="120" s="1"/>
  <c r="AG108" i="120"/>
  <c r="Y108" i="120"/>
  <c r="Q108" i="120"/>
  <c r="I108" i="120"/>
  <c r="L128" i="120"/>
  <c r="L134" i="120" s="1"/>
  <c r="AF108" i="120"/>
  <c r="X108" i="120"/>
  <c r="P108" i="120"/>
  <c r="AD108" i="120"/>
  <c r="V108" i="120"/>
  <c r="N108" i="120"/>
  <c r="BG49" i="120"/>
  <c r="BG55" i="120" s="1"/>
  <c r="AY49" i="120"/>
  <c r="AY55" i="120" s="1"/>
  <c r="AQ49" i="120"/>
  <c r="AQ55" i="120" s="1"/>
  <c r="AE49" i="120"/>
  <c r="AE55" i="120" s="1"/>
  <c r="W49" i="120"/>
  <c r="W55" i="120" s="1"/>
  <c r="O49" i="120"/>
  <c r="O55" i="120" s="1"/>
  <c r="BF29" i="120"/>
  <c r="AX29" i="120"/>
  <c r="AP29" i="120"/>
  <c r="AD29" i="120"/>
  <c r="V29" i="120"/>
  <c r="N29" i="120"/>
  <c r="AE108" i="120"/>
  <c r="BF49" i="120"/>
  <c r="BF55" i="120" s="1"/>
  <c r="AX49" i="120"/>
  <c r="AX55" i="120" s="1"/>
  <c r="AP49" i="120"/>
  <c r="AP55" i="120" s="1"/>
  <c r="AD49" i="120"/>
  <c r="AD55" i="120" s="1"/>
  <c r="V49" i="120"/>
  <c r="V55" i="120" s="1"/>
  <c r="N49" i="120"/>
  <c r="N55" i="120" s="1"/>
  <c r="BM29" i="120"/>
  <c r="BE29" i="120"/>
  <c r="AW29" i="120"/>
  <c r="AO29" i="120"/>
  <c r="AC29" i="120"/>
  <c r="U29" i="120"/>
  <c r="M29" i="120"/>
  <c r="AC108" i="120"/>
  <c r="BM49" i="120"/>
  <c r="BM55" i="120" s="1"/>
  <c r="BE49" i="120"/>
  <c r="BE55" i="120" s="1"/>
  <c r="AW49" i="120"/>
  <c r="AW55" i="120" s="1"/>
  <c r="AO49" i="120"/>
  <c r="AO55" i="120" s="1"/>
  <c r="AC49" i="120"/>
  <c r="AC55" i="120" s="1"/>
  <c r="U49" i="120"/>
  <c r="U55" i="120" s="1"/>
  <c r="M49" i="120"/>
  <c r="M55" i="120" s="1"/>
  <c r="BL29" i="120"/>
  <c r="BD29" i="120"/>
  <c r="AV29" i="120"/>
  <c r="AB29" i="120"/>
  <c r="T29" i="120"/>
  <c r="L29" i="120"/>
  <c r="W108" i="120"/>
  <c r="BL49" i="120"/>
  <c r="BL55" i="120" s="1"/>
  <c r="BD49" i="120"/>
  <c r="BD55" i="120" s="1"/>
  <c r="AV49" i="120"/>
  <c r="AV55" i="120" s="1"/>
  <c r="AB49" i="120"/>
  <c r="AB55" i="120" s="1"/>
  <c r="T49" i="120"/>
  <c r="T55" i="120" s="1"/>
  <c r="L49" i="120"/>
  <c r="L55" i="120" s="1"/>
  <c r="BK29" i="120"/>
  <c r="BC29" i="120"/>
  <c r="AU29" i="120"/>
  <c r="AA29" i="120"/>
  <c r="S29" i="120"/>
  <c r="K29" i="120"/>
  <c r="U108" i="120"/>
  <c r="BK49" i="120"/>
  <c r="BK55" i="120" s="1"/>
  <c r="BC49" i="120"/>
  <c r="BC55" i="120" s="1"/>
  <c r="AU49" i="120"/>
  <c r="AU55" i="120" s="1"/>
  <c r="AA49" i="120"/>
  <c r="AA55" i="120" s="1"/>
  <c r="S49" i="120"/>
  <c r="S55" i="120" s="1"/>
  <c r="K49" i="120"/>
  <c r="K55" i="120" s="1"/>
  <c r="BJ29" i="120"/>
  <c r="BB29" i="120"/>
  <c r="AT29" i="120"/>
  <c r="Z29" i="120"/>
  <c r="R29" i="120"/>
  <c r="J29" i="120"/>
  <c r="M108" i="120"/>
  <c r="BI49" i="120"/>
  <c r="BI55" i="120" s="1"/>
  <c r="BA49" i="120"/>
  <c r="BA55" i="120" s="1"/>
  <c r="AS49" i="120"/>
  <c r="AS55" i="120" s="1"/>
  <c r="AG49" i="120"/>
  <c r="AG55" i="120" s="1"/>
  <c r="Y49" i="120"/>
  <c r="Y55" i="120" s="1"/>
  <c r="Q49" i="120"/>
  <c r="Q55" i="120" s="1"/>
  <c r="I49" i="120"/>
  <c r="I55" i="120" s="1"/>
  <c r="BH29" i="120"/>
  <c r="AZ29" i="120"/>
  <c r="AR29" i="120"/>
  <c r="AF29" i="120"/>
  <c r="X29" i="120"/>
  <c r="P29" i="120"/>
  <c r="AS29" i="120"/>
  <c r="I29" i="120"/>
  <c r="AF49" i="120"/>
  <c r="AF55" i="120" s="1"/>
  <c r="AQ29" i="120"/>
  <c r="BJ49" i="120"/>
  <c r="BJ55" i="120" s="1"/>
  <c r="Z49" i="120"/>
  <c r="Z55" i="120" s="1"/>
  <c r="AG29" i="120"/>
  <c r="BH49" i="120"/>
  <c r="BH55" i="120" s="1"/>
  <c r="X49" i="120"/>
  <c r="X55" i="120" s="1"/>
  <c r="AE29" i="120"/>
  <c r="P49" i="120"/>
  <c r="P55" i="120" s="1"/>
  <c r="BB49" i="120"/>
  <c r="BB55" i="120" s="1"/>
  <c r="R49" i="120"/>
  <c r="R55" i="120" s="1"/>
  <c r="BI29" i="120"/>
  <c r="Y29" i="120"/>
  <c r="AZ49" i="120"/>
  <c r="AZ55" i="120" s="1"/>
  <c r="AD128" i="120"/>
  <c r="AD134" i="120" s="1"/>
  <c r="AT49" i="120"/>
  <c r="AT55" i="120" s="1"/>
  <c r="J49" i="120"/>
  <c r="J55" i="120" s="1"/>
  <c r="BA29" i="120"/>
  <c r="Q29" i="120"/>
  <c r="O108" i="120"/>
  <c r="AR49" i="120"/>
  <c r="AR55" i="120" s="1"/>
  <c r="BG29" i="120"/>
  <c r="AY29" i="120"/>
  <c r="W29" i="120"/>
  <c r="O29" i="120"/>
  <c r="X4" i="77"/>
  <c r="D42" i="1"/>
  <c r="AA337" i="126" l="1"/>
  <c r="S337" i="126"/>
  <c r="AU337" i="126"/>
  <c r="AX337" i="126"/>
  <c r="BG337" i="126"/>
  <c r="Q337" i="126"/>
  <c r="BB337" i="126"/>
  <c r="N337" i="126"/>
  <c r="G184" i="126"/>
  <c r="G183" i="126" s="1"/>
  <c r="X337" i="126"/>
  <c r="G228" i="126" a="1"/>
  <c r="G228" i="126" s="1"/>
  <c r="G185" i="126"/>
  <c r="AM27" i="126"/>
  <c r="G95" i="126"/>
  <c r="G147" i="126" s="1"/>
  <c r="BC337" i="126"/>
  <c r="K337" i="126"/>
  <c r="V337" i="126"/>
  <c r="BJ337" i="126"/>
  <c r="G185" i="124"/>
  <c r="G16" i="126"/>
  <c r="P337" i="126"/>
  <c r="BK337" i="126"/>
  <c r="M337" i="126"/>
  <c r="L337" i="126"/>
  <c r="BA337" i="126"/>
  <c r="T337" i="126"/>
  <c r="AO337" i="126"/>
  <c r="O337" i="126"/>
  <c r="AZ337" i="126"/>
  <c r="AV337" i="126"/>
  <c r="AW337" i="126"/>
  <c r="W337" i="126"/>
  <c r="BH337" i="126"/>
  <c r="I337" i="126"/>
  <c r="AM226" i="126"/>
  <c r="AM175" i="126"/>
  <c r="AM187" i="126" s="1"/>
  <c r="AM25" i="126"/>
  <c r="AM34" i="126" s="1"/>
  <c r="AM32" i="126"/>
  <c r="AM328" i="126"/>
  <c r="BD337" i="126"/>
  <c r="BE337" i="126"/>
  <c r="AE337" i="126"/>
  <c r="Y337" i="126"/>
  <c r="AM306" i="120" a="1"/>
  <c r="AM306" i="120" s="1"/>
  <c r="G17" i="126"/>
  <c r="G29" i="126" s="1"/>
  <c r="AO302" i="126"/>
  <c r="AO301" i="126"/>
  <c r="AO223" i="126"/>
  <c r="AO222" i="126"/>
  <c r="AO144" i="126"/>
  <c r="AO143" i="126"/>
  <c r="AO65" i="126"/>
  <c r="AO64" i="126"/>
  <c r="AP8" i="126"/>
  <c r="AM330" i="126"/>
  <c r="AM112" i="126"/>
  <c r="BL337" i="126"/>
  <c r="BM337" i="126"/>
  <c r="G26" i="126"/>
  <c r="AD337" i="126"/>
  <c r="AQ337" i="126"/>
  <c r="AG337" i="126"/>
  <c r="AM105" i="126"/>
  <c r="AM111" i="126" s="1"/>
  <c r="G262" i="126"/>
  <c r="G121" i="126"/>
  <c r="G100" i="126"/>
  <c r="G181" i="126"/>
  <c r="AM33" i="126"/>
  <c r="AM329" i="126"/>
  <c r="AM16" i="126"/>
  <c r="AP337" i="126"/>
  <c r="AY337" i="126"/>
  <c r="AM70" i="126" a="1"/>
  <c r="AM70" i="126" s="1"/>
  <c r="AS337" i="126"/>
  <c r="J337" i="126"/>
  <c r="AM106" i="126"/>
  <c r="G33" i="126"/>
  <c r="G200" i="126"/>
  <c r="G224" i="126" s="1"/>
  <c r="G179" i="126"/>
  <c r="G279" i="126"/>
  <c r="G258" i="126"/>
  <c r="R337" i="126"/>
  <c r="G70" i="126" a="1"/>
  <c r="G70" i="126" s="1"/>
  <c r="G106" i="126"/>
  <c r="AM254" i="120"/>
  <c r="AM290" i="120" s="1"/>
  <c r="G102" i="126"/>
  <c r="G260" i="126"/>
  <c r="U337" i="126"/>
  <c r="BF337" i="126"/>
  <c r="BI337" i="126"/>
  <c r="Z337" i="126"/>
  <c r="AM149" i="126" a="1"/>
  <c r="AM149" i="126" s="1"/>
  <c r="AM228" i="126" a="1"/>
  <c r="AM228" i="126" s="1"/>
  <c r="AM184" i="126"/>
  <c r="AM190" i="126" s="1"/>
  <c r="AM227" i="126" a="1"/>
  <c r="AM227" i="126" s="1"/>
  <c r="G145" i="126"/>
  <c r="G259" i="126"/>
  <c r="AB337" i="126"/>
  <c r="AM95" i="126"/>
  <c r="AC337" i="126"/>
  <c r="AF337" i="126"/>
  <c r="AM69" i="126" a="1"/>
  <c r="AM69" i="126" s="1"/>
  <c r="AT337" i="126"/>
  <c r="G69" i="126" a="1"/>
  <c r="G69" i="126" s="1"/>
  <c r="AM305" i="126"/>
  <c r="AM254" i="126"/>
  <c r="AM266" i="126" s="1"/>
  <c r="BB337" i="124"/>
  <c r="G21" i="126"/>
  <c r="G191" i="126"/>
  <c r="I302" i="126"/>
  <c r="I301" i="126"/>
  <c r="I222" i="126"/>
  <c r="I223" i="126"/>
  <c r="I143" i="126"/>
  <c r="I144" i="126"/>
  <c r="I64" i="126"/>
  <c r="I65" i="126"/>
  <c r="J8" i="126"/>
  <c r="G68" i="126"/>
  <c r="AR337" i="126"/>
  <c r="G105" i="126"/>
  <c r="G148" i="126" a="1"/>
  <c r="G148" i="126" s="1"/>
  <c r="AM185" i="126"/>
  <c r="G23" i="126"/>
  <c r="G112" i="126"/>
  <c r="G303" i="126"/>
  <c r="G174" i="126"/>
  <c r="G175" i="126" s="1"/>
  <c r="G187" i="126" s="1"/>
  <c r="AM264" i="126"/>
  <c r="G264" i="126"/>
  <c r="AM263" i="126"/>
  <c r="AM307" i="126" a="1"/>
  <c r="AM307" i="126" s="1"/>
  <c r="G307" i="126" a="1"/>
  <c r="G307" i="126" s="1"/>
  <c r="G253" i="126"/>
  <c r="G254" i="126" s="1"/>
  <c r="G266" i="126" s="1"/>
  <c r="AM306" i="126" a="1"/>
  <c r="AM306" i="126" s="1"/>
  <c r="G306" i="126" a="1"/>
  <c r="G306" i="126" s="1"/>
  <c r="AG337" i="124"/>
  <c r="P337" i="124"/>
  <c r="AA337" i="124"/>
  <c r="AF337" i="124"/>
  <c r="AM26" i="124"/>
  <c r="AM25" i="124" s="1"/>
  <c r="W337" i="124"/>
  <c r="AZ337" i="124"/>
  <c r="AX337" i="124"/>
  <c r="AE337" i="124"/>
  <c r="BH337" i="124"/>
  <c r="G27" i="124"/>
  <c r="R337" i="124"/>
  <c r="BC337" i="124"/>
  <c r="AM307" i="120" a="1"/>
  <c r="AM307" i="120" s="1"/>
  <c r="V337" i="124"/>
  <c r="X337" i="124"/>
  <c r="N337" i="124"/>
  <c r="G26" i="124"/>
  <c r="G25" i="124" s="1"/>
  <c r="BF337" i="124"/>
  <c r="AY337" i="124"/>
  <c r="AT337" i="124"/>
  <c r="S337" i="124"/>
  <c r="I301" i="125"/>
  <c r="I302" i="125"/>
  <c r="I223" i="125"/>
  <c r="I222" i="125"/>
  <c r="I143" i="125"/>
  <c r="I144" i="125"/>
  <c r="I65" i="125"/>
  <c r="I64" i="125"/>
  <c r="J8" i="125"/>
  <c r="AM181" i="120"/>
  <c r="O337" i="124"/>
  <c r="AR337" i="124"/>
  <c r="AM101" i="124"/>
  <c r="AO301" i="125"/>
  <c r="AO302" i="125"/>
  <c r="AO223" i="125"/>
  <c r="AO222" i="125"/>
  <c r="AO144" i="125"/>
  <c r="AO143" i="125"/>
  <c r="AO65" i="125"/>
  <c r="AO64" i="125"/>
  <c r="AP8" i="125"/>
  <c r="J337" i="124"/>
  <c r="AU337" i="124"/>
  <c r="T337" i="124"/>
  <c r="AM228" i="120" a="1"/>
  <c r="AM228" i="120" s="1"/>
  <c r="AD337" i="124"/>
  <c r="AP337" i="124"/>
  <c r="AQ337" i="124"/>
  <c r="Q337" i="124"/>
  <c r="Z337" i="124"/>
  <c r="BK337" i="124"/>
  <c r="G22" i="124"/>
  <c r="G180" i="124"/>
  <c r="AM184" i="120"/>
  <c r="AM183" i="120" s="1"/>
  <c r="AM227" i="120" a="1"/>
  <c r="AM227" i="120" s="1"/>
  <c r="AM106" i="120"/>
  <c r="G16" i="124"/>
  <c r="G17" i="124" s="1"/>
  <c r="AM253" i="124"/>
  <c r="AM254" i="124" s="1"/>
  <c r="BG337" i="124"/>
  <c r="AM175" i="120"/>
  <c r="AM211" i="120" s="1"/>
  <c r="AM105" i="120"/>
  <c r="AM104" i="120" s="1"/>
  <c r="AM148" i="120" a="1"/>
  <c r="AM148" i="120" s="1"/>
  <c r="G101" i="124"/>
  <c r="AM95" i="120"/>
  <c r="AM147" i="120" s="1"/>
  <c r="AM185" i="120"/>
  <c r="BA337" i="124"/>
  <c r="AN301" i="124"/>
  <c r="AN302" i="124"/>
  <c r="AN223" i="124"/>
  <c r="AN144" i="124"/>
  <c r="AN222" i="124"/>
  <c r="AN143" i="124"/>
  <c r="AN65" i="124"/>
  <c r="AO8" i="124"/>
  <c r="AN64" i="124"/>
  <c r="H302" i="124"/>
  <c r="H301" i="124"/>
  <c r="H222" i="124"/>
  <c r="H223" i="124"/>
  <c r="H143" i="124"/>
  <c r="H144" i="124"/>
  <c r="H64" i="124"/>
  <c r="H65" i="124"/>
  <c r="I8" i="124"/>
  <c r="AM100" i="120"/>
  <c r="AM111" i="120" s="1"/>
  <c r="AM121" i="120"/>
  <c r="AN301" i="120"/>
  <c r="AN302" i="120"/>
  <c r="AN222" i="120"/>
  <c r="AN144" i="120"/>
  <c r="AN143" i="120"/>
  <c r="AN223" i="120"/>
  <c r="AM68" i="124"/>
  <c r="AM258" i="120"/>
  <c r="AM279" i="120"/>
  <c r="AM303" i="120" s="1"/>
  <c r="AM305" i="120"/>
  <c r="AM337" i="124"/>
  <c r="L337" i="124"/>
  <c r="AC337" i="124"/>
  <c r="G148" i="124" a="1"/>
  <c r="G148" i="124" s="1"/>
  <c r="G226" i="124"/>
  <c r="AM227" i="124" a="1"/>
  <c r="AM227" i="124" s="1"/>
  <c r="AM185" i="124"/>
  <c r="AM228" i="124" a="1"/>
  <c r="AM228" i="124" s="1"/>
  <c r="AS337" i="124"/>
  <c r="G95" i="124"/>
  <c r="G96" i="124" s="1"/>
  <c r="AM70" i="124" a="1"/>
  <c r="AM70" i="124" s="1"/>
  <c r="AM105" i="124"/>
  <c r="AM226" i="124"/>
  <c r="AM148" i="124" a="1"/>
  <c r="AM148" i="124" s="1"/>
  <c r="G337" i="124"/>
  <c r="BJ337" i="124"/>
  <c r="AB337" i="124"/>
  <c r="AM27" i="124"/>
  <c r="AW337" i="124"/>
  <c r="G70" i="124" a="1"/>
  <c r="G70" i="124" s="1"/>
  <c r="AM95" i="124"/>
  <c r="AM96" i="124" s="1"/>
  <c r="G105" i="124"/>
  <c r="BI337" i="124"/>
  <c r="BE337" i="124"/>
  <c r="G106" i="124"/>
  <c r="AM184" i="124"/>
  <c r="AM179" i="120"/>
  <c r="AM200" i="120"/>
  <c r="AM224" i="120" s="1"/>
  <c r="AM101" i="120"/>
  <c r="AM112" i="120" s="1"/>
  <c r="AM260" i="120"/>
  <c r="AM264" i="120"/>
  <c r="AM263" i="120"/>
  <c r="AM226" i="120"/>
  <c r="AV337" i="124"/>
  <c r="BM337" i="124"/>
  <c r="AM69" i="124" a="1"/>
  <c r="AM69" i="124" s="1"/>
  <c r="K337" i="124"/>
  <c r="BD337" i="124"/>
  <c r="AM106" i="124"/>
  <c r="G227" i="124" a="1"/>
  <c r="G227" i="124" s="1"/>
  <c r="G228" i="124" a="1"/>
  <c r="G228" i="124" s="1"/>
  <c r="G184" i="124"/>
  <c r="AM145" i="120"/>
  <c r="BL337" i="124"/>
  <c r="M337" i="124"/>
  <c r="Y337" i="124"/>
  <c r="U337" i="124"/>
  <c r="AM263" i="124"/>
  <c r="AM307" i="124" a="1"/>
  <c r="AM307" i="124" s="1"/>
  <c r="AM22" i="124"/>
  <c r="G21" i="124"/>
  <c r="G42" i="124"/>
  <c r="G66" i="124" s="1"/>
  <c r="G260" i="124"/>
  <c r="AM112" i="124"/>
  <c r="AM200" i="124"/>
  <c r="AM224" i="124" s="1"/>
  <c r="AM179" i="124"/>
  <c r="AM264" i="124"/>
  <c r="G264" i="124"/>
  <c r="G23" i="124"/>
  <c r="G121" i="124"/>
  <c r="G145" i="124" s="1"/>
  <c r="G100" i="124"/>
  <c r="G175" i="124"/>
  <c r="AM17" i="124"/>
  <c r="AM66" i="124"/>
  <c r="G263" i="124"/>
  <c r="G181" i="124"/>
  <c r="G279" i="124"/>
  <c r="G258" i="124"/>
  <c r="AM42" i="124"/>
  <c r="AM21" i="124"/>
  <c r="AM181" i="124"/>
  <c r="AM259" i="124"/>
  <c r="G307" i="124" a="1"/>
  <c r="G307" i="124" s="1"/>
  <c r="G33" i="124"/>
  <c r="G191" i="124"/>
  <c r="G259" i="124"/>
  <c r="AM23" i="124"/>
  <c r="AM121" i="124"/>
  <c r="AM145" i="124" s="1"/>
  <c r="AM100" i="124"/>
  <c r="AM175" i="124"/>
  <c r="AM279" i="124"/>
  <c r="AM303" i="124" s="1"/>
  <c r="AM258" i="124"/>
  <c r="G112" i="124"/>
  <c r="AM102" i="124"/>
  <c r="AM180" i="124"/>
  <c r="G253" i="124"/>
  <c r="G200" i="124"/>
  <c r="G224" i="124" s="1"/>
  <c r="G179" i="124"/>
  <c r="AM260" i="124"/>
  <c r="G102" i="124"/>
  <c r="G303" i="124"/>
  <c r="AO8" i="120"/>
  <c r="AN64" i="120"/>
  <c r="AN65" i="120"/>
  <c r="I8" i="120"/>
  <c r="H301" i="120"/>
  <c r="H222" i="120"/>
  <c r="H143" i="120"/>
  <c r="H65" i="120"/>
  <c r="H302" i="120"/>
  <c r="H223" i="120"/>
  <c r="H144" i="120"/>
  <c r="H64" i="120"/>
  <c r="Y337" i="120"/>
  <c r="BI337" i="120"/>
  <c r="BG337" i="120"/>
  <c r="AE337" i="120"/>
  <c r="T337" i="120"/>
  <c r="AS337" i="120"/>
  <c r="W337" i="120"/>
  <c r="AQ337" i="120"/>
  <c r="AB337" i="120"/>
  <c r="AX337" i="120"/>
  <c r="AG337" i="120"/>
  <c r="X337" i="120"/>
  <c r="AV337" i="120"/>
  <c r="BC337" i="120"/>
  <c r="AY337" i="120"/>
  <c r="BK337" i="120"/>
  <c r="I337" i="120"/>
  <c r="Q337" i="120"/>
  <c r="J337" i="120"/>
  <c r="AR337" i="120"/>
  <c r="BB337" i="120"/>
  <c r="S337" i="120"/>
  <c r="L337" i="120"/>
  <c r="AO337" i="120"/>
  <c r="N337" i="120"/>
  <c r="P337" i="120"/>
  <c r="BJ337" i="120"/>
  <c r="AA337" i="120"/>
  <c r="AW337" i="120"/>
  <c r="V337" i="120"/>
  <c r="BE337" i="120"/>
  <c r="AD337" i="120"/>
  <c r="AF337" i="120"/>
  <c r="AU337" i="120"/>
  <c r="BM337" i="120"/>
  <c r="AP337" i="120"/>
  <c r="AZ337" i="120"/>
  <c r="R337" i="120"/>
  <c r="BD337" i="120"/>
  <c r="M337" i="120"/>
  <c r="BF337" i="120"/>
  <c r="O337" i="120"/>
  <c r="BA337" i="120"/>
  <c r="BH337" i="120"/>
  <c r="Z337" i="120"/>
  <c r="BL337" i="120"/>
  <c r="U337" i="120"/>
  <c r="AT337" i="120"/>
  <c r="K337" i="120"/>
  <c r="AC337" i="120"/>
  <c r="Y4" i="77"/>
  <c r="D41" i="1"/>
  <c r="D40" i="1"/>
  <c r="C39" i="1"/>
  <c r="G96" i="126" l="1"/>
  <c r="G108" i="126" s="1"/>
  <c r="AM283" i="120"/>
  <c r="AM291" i="120" s="1"/>
  <c r="G68" i="124"/>
  <c r="G44" i="124"/>
  <c r="AM44" i="124"/>
  <c r="AM211" i="126"/>
  <c r="AM204" i="120"/>
  <c r="AM212" i="120" s="1"/>
  <c r="AM202" i="120"/>
  <c r="G337" i="126"/>
  <c r="G204" i="126"/>
  <c r="G212" i="126" s="1"/>
  <c r="G203" i="126"/>
  <c r="G282" i="126"/>
  <c r="G202" i="126"/>
  <c r="G132" i="126"/>
  <c r="G53" i="126"/>
  <c r="G330" i="126"/>
  <c r="G111" i="126"/>
  <c r="AP301" i="126"/>
  <c r="AP302" i="126"/>
  <c r="AP223" i="126"/>
  <c r="AP222" i="126"/>
  <c r="AP144" i="126"/>
  <c r="AP143" i="126"/>
  <c r="AP65" i="126"/>
  <c r="AP64" i="126"/>
  <c r="AQ8" i="126"/>
  <c r="AM305" i="124"/>
  <c r="AM210" i="126"/>
  <c r="AM208" i="126"/>
  <c r="AM188" i="126" s="1"/>
  <c r="AM147" i="126"/>
  <c r="AM96" i="126"/>
  <c r="AM203" i="126"/>
  <c r="AM183" i="126"/>
  <c r="G271" i="126"/>
  <c r="G269" i="126"/>
  <c r="AM331" i="126"/>
  <c r="AM290" i="126"/>
  <c r="AM68" i="126"/>
  <c r="AM17" i="126"/>
  <c r="G281" i="126"/>
  <c r="AM282" i="126"/>
  <c r="AM262" i="126"/>
  <c r="G211" i="126"/>
  <c r="G190" i="126"/>
  <c r="AM340" i="126"/>
  <c r="G283" i="126"/>
  <c r="G291" i="126" s="1"/>
  <c r="AM204" i="126"/>
  <c r="AM212" i="126" s="1"/>
  <c r="G32" i="126"/>
  <c r="G328" i="126"/>
  <c r="G305" i="126"/>
  <c r="AM283" i="126"/>
  <c r="AM291" i="126" s="1"/>
  <c r="G270" i="126"/>
  <c r="G329" i="126"/>
  <c r="G45" i="126"/>
  <c r="G25" i="126"/>
  <c r="G46" i="126"/>
  <c r="G226" i="126"/>
  <c r="G124" i="126"/>
  <c r="G104" i="126"/>
  <c r="J302" i="126"/>
  <c r="J301" i="126"/>
  <c r="J222" i="126"/>
  <c r="J223" i="126"/>
  <c r="J143" i="126"/>
  <c r="J144" i="126"/>
  <c r="J64" i="126"/>
  <c r="J65" i="126"/>
  <c r="K8" i="126"/>
  <c r="G125" i="126"/>
  <c r="G133" i="126" s="1"/>
  <c r="G192" i="126"/>
  <c r="AM104" i="126"/>
  <c r="AM269" i="126"/>
  <c r="AM44" i="126"/>
  <c r="AM96" i="120"/>
  <c r="AM132" i="120" s="1"/>
  <c r="AM203" i="120"/>
  <c r="AM190" i="120"/>
  <c r="AM210" i="120" s="1"/>
  <c r="J302" i="125"/>
  <c r="J301" i="125"/>
  <c r="J223" i="125"/>
  <c r="J222" i="125"/>
  <c r="J144" i="125"/>
  <c r="J143" i="125"/>
  <c r="J65" i="125"/>
  <c r="J64" i="125"/>
  <c r="K8" i="125"/>
  <c r="AP302" i="125"/>
  <c r="AP301" i="125"/>
  <c r="AP223" i="125"/>
  <c r="AP222" i="125"/>
  <c r="AP144" i="125"/>
  <c r="AP64" i="125"/>
  <c r="AP143" i="125"/>
  <c r="AP65" i="125"/>
  <c r="AQ8" i="125"/>
  <c r="AM269" i="124"/>
  <c r="G270" i="124"/>
  <c r="G262" i="124"/>
  <c r="G271" i="124" s="1"/>
  <c r="G111" i="124"/>
  <c r="AM282" i="124"/>
  <c r="AM262" i="124"/>
  <c r="AM271" i="124" s="1"/>
  <c r="AM46" i="124"/>
  <c r="AM54" i="124" s="1"/>
  <c r="AM203" i="124"/>
  <c r="AM183" i="124"/>
  <c r="AM192" i="124" s="1"/>
  <c r="G45" i="124"/>
  <c r="AM204" i="124"/>
  <c r="AM212" i="124" s="1"/>
  <c r="G305" i="124"/>
  <c r="G211" i="124"/>
  <c r="AM32" i="124"/>
  <c r="AM328" i="124"/>
  <c r="G34" i="124"/>
  <c r="G330" i="124"/>
  <c r="AM132" i="124"/>
  <c r="G203" i="124"/>
  <c r="G183" i="124"/>
  <c r="G192" i="124" s="1"/>
  <c r="G125" i="124"/>
  <c r="G133" i="124" s="1"/>
  <c r="AM191" i="124"/>
  <c r="G329" i="124"/>
  <c r="G32" i="124"/>
  <c r="G328" i="124"/>
  <c r="AM282" i="120"/>
  <c r="AM262" i="120"/>
  <c r="AM281" i="120" s="1"/>
  <c r="G124" i="124"/>
  <c r="G104" i="124"/>
  <c r="G113" i="124" s="1"/>
  <c r="AM124" i="124"/>
  <c r="AM104" i="124"/>
  <c r="AM113" i="124" s="1"/>
  <c r="AM111" i="124"/>
  <c r="G269" i="124"/>
  <c r="AM269" i="120"/>
  <c r="G53" i="124"/>
  <c r="G254" i="124"/>
  <c r="G283" i="124" s="1"/>
  <c r="G291" i="124" s="1"/>
  <c r="AM283" i="124"/>
  <c r="AM291" i="124" s="1"/>
  <c r="AM125" i="124"/>
  <c r="AM133" i="124" s="1"/>
  <c r="AM147" i="124"/>
  <c r="AM45" i="124"/>
  <c r="G147" i="124"/>
  <c r="AO301" i="124"/>
  <c r="AO302" i="124"/>
  <c r="AO223" i="124"/>
  <c r="AO222" i="124"/>
  <c r="AO144" i="124"/>
  <c r="AO143" i="124"/>
  <c r="AO65" i="124"/>
  <c r="AO64" i="124"/>
  <c r="AP8" i="124"/>
  <c r="G190" i="124"/>
  <c r="AM34" i="124"/>
  <c r="AM330" i="124"/>
  <c r="AM113" i="120"/>
  <c r="AM192" i="120"/>
  <c r="I301" i="124"/>
  <c r="I302" i="124"/>
  <c r="I222" i="124"/>
  <c r="I223" i="124"/>
  <c r="I143" i="124"/>
  <c r="I144" i="124"/>
  <c r="I64" i="124"/>
  <c r="I65" i="124"/>
  <c r="J8" i="124"/>
  <c r="AO301" i="120"/>
  <c r="AO302" i="120"/>
  <c r="AO144" i="120"/>
  <c r="AO223" i="120"/>
  <c r="AO222" i="120"/>
  <c r="AO143" i="120"/>
  <c r="G132" i="124"/>
  <c r="AM270" i="124"/>
  <c r="AM190" i="124"/>
  <c r="AM33" i="124"/>
  <c r="AM329" i="124"/>
  <c r="G46" i="124"/>
  <c r="G204" i="124"/>
  <c r="G212" i="124" s="1"/>
  <c r="AP8" i="120"/>
  <c r="AO64" i="120"/>
  <c r="AO65" i="120"/>
  <c r="J8" i="120"/>
  <c r="I64" i="120"/>
  <c r="I301" i="120"/>
  <c r="I222" i="120"/>
  <c r="I143" i="120"/>
  <c r="I65" i="120"/>
  <c r="I302" i="120"/>
  <c r="I223" i="120"/>
  <c r="I144" i="120"/>
  <c r="Z4" i="77"/>
  <c r="C45" i="1"/>
  <c r="B35" i="1"/>
  <c r="C21" i="1"/>
  <c r="AM208" i="120" l="1"/>
  <c r="AM188" i="120" s="1"/>
  <c r="AM215" i="120"/>
  <c r="AM218" i="120" s="1"/>
  <c r="AM205" i="120"/>
  <c r="G334" i="126"/>
  <c r="AM52" i="126"/>
  <c r="AM29" i="126"/>
  <c r="AM132" i="126"/>
  <c r="AM108" i="126"/>
  <c r="AM125" i="120"/>
  <c r="AM133" i="120" s="1"/>
  <c r="AM123" i="120"/>
  <c r="AM131" i="120"/>
  <c r="AM124" i="120"/>
  <c r="AM50" i="126"/>
  <c r="AM30" i="126" s="1"/>
  <c r="AM131" i="126"/>
  <c r="AM124" i="126"/>
  <c r="AM129" i="126"/>
  <c r="AM109" i="126" s="1"/>
  <c r="G205" i="126"/>
  <c r="AM125" i="126"/>
  <c r="AM133" i="126" s="1"/>
  <c r="AM53" i="126"/>
  <c r="AM281" i="126"/>
  <c r="AM284" i="126" s="1"/>
  <c r="AM271" i="126"/>
  <c r="AM215" i="126"/>
  <c r="AQ301" i="126"/>
  <c r="AQ302" i="126"/>
  <c r="AQ223" i="126"/>
  <c r="AQ222" i="126"/>
  <c r="AQ144" i="126"/>
  <c r="AQ143" i="126"/>
  <c r="AQ65" i="126"/>
  <c r="AQ64" i="126"/>
  <c r="AR8" i="126"/>
  <c r="G331" i="126"/>
  <c r="G123" i="126"/>
  <c r="G126" i="126" s="1"/>
  <c r="AM129" i="120"/>
  <c r="AM109" i="120" s="1"/>
  <c r="AM287" i="126"/>
  <c r="AM267" i="126" s="1"/>
  <c r="AM289" i="126"/>
  <c r="AM294" i="126" s="1"/>
  <c r="G208" i="126"/>
  <c r="G188" i="126" s="1"/>
  <c r="G210" i="126"/>
  <c r="G215" i="126" s="1"/>
  <c r="G231" i="126" s="1"/>
  <c r="AM123" i="126"/>
  <c r="AM113" i="126"/>
  <c r="G335" i="126"/>
  <c r="G54" i="126"/>
  <c r="G340" i="126"/>
  <c r="G50" i="126"/>
  <c r="G30" i="126" s="1"/>
  <c r="G52" i="126"/>
  <c r="G129" i="126"/>
  <c r="G109" i="126" s="1"/>
  <c r="G131" i="126"/>
  <c r="G136" i="126" s="1"/>
  <c r="G44" i="126"/>
  <c r="G47" i="126" s="1"/>
  <c r="G113" i="126"/>
  <c r="G289" i="126"/>
  <c r="G287" i="126"/>
  <c r="G267" i="126" s="1"/>
  <c r="G290" i="126"/>
  <c r="G284" i="126"/>
  <c r="K301" i="126"/>
  <c r="K302" i="126"/>
  <c r="K223" i="126"/>
  <c r="K222" i="126"/>
  <c r="K143" i="126"/>
  <c r="K144" i="126"/>
  <c r="K64" i="126"/>
  <c r="K65" i="126"/>
  <c r="L8" i="126"/>
  <c r="AM46" i="126"/>
  <c r="AM45" i="126"/>
  <c r="AM202" i="126"/>
  <c r="AM205" i="126" s="1"/>
  <c r="AM192" i="126"/>
  <c r="G34" i="126"/>
  <c r="K301" i="125"/>
  <c r="K302" i="125"/>
  <c r="K223" i="125"/>
  <c r="K222" i="125"/>
  <c r="K144" i="125"/>
  <c r="K143" i="125"/>
  <c r="K64" i="125"/>
  <c r="K65" i="125"/>
  <c r="L8" i="125"/>
  <c r="AQ302" i="125"/>
  <c r="AQ301" i="125"/>
  <c r="AQ223" i="125"/>
  <c r="AQ222" i="125"/>
  <c r="AQ143" i="125"/>
  <c r="AQ144" i="125"/>
  <c r="AR8" i="125"/>
  <c r="AQ64" i="125"/>
  <c r="AQ65" i="125"/>
  <c r="AM271" i="120"/>
  <c r="AM335" i="124"/>
  <c r="AM334" i="124"/>
  <c r="AM339" i="124" s="1"/>
  <c r="AM208" i="124"/>
  <c r="AM188" i="124" s="1"/>
  <c r="AM210" i="124"/>
  <c r="AM284" i="120"/>
  <c r="G281" i="124"/>
  <c r="AM289" i="120"/>
  <c r="AM294" i="120" s="1"/>
  <c r="AM287" i="120"/>
  <c r="AM267" i="120" s="1"/>
  <c r="G340" i="124"/>
  <c r="AM52" i="124"/>
  <c r="AM50" i="124"/>
  <c r="AM30" i="124" s="1"/>
  <c r="AM123" i="124"/>
  <c r="AM126" i="124" s="1"/>
  <c r="G331" i="124"/>
  <c r="G282" i="124"/>
  <c r="G334" i="124" s="1"/>
  <c r="G335" i="124"/>
  <c r="G54" i="124"/>
  <c r="AM290" i="124"/>
  <c r="AM211" i="124"/>
  <c r="AM281" i="124"/>
  <c r="AM284" i="124" s="1"/>
  <c r="AM340" i="124"/>
  <c r="AP302" i="124"/>
  <c r="AP301" i="124"/>
  <c r="AP223" i="124"/>
  <c r="AP222" i="124"/>
  <c r="AP144" i="124"/>
  <c r="AP143" i="124"/>
  <c r="AP65" i="124"/>
  <c r="AP64" i="124"/>
  <c r="AQ8" i="124"/>
  <c r="G50" i="124"/>
  <c r="G30" i="124" s="1"/>
  <c r="G52" i="124"/>
  <c r="AM53" i="124"/>
  <c r="AP301" i="120"/>
  <c r="AP144" i="120"/>
  <c r="AP223" i="120"/>
  <c r="AP143" i="120"/>
  <c r="AP302" i="120"/>
  <c r="AP222" i="120"/>
  <c r="J301" i="124"/>
  <c r="J302" i="124"/>
  <c r="J222" i="124"/>
  <c r="J223" i="124"/>
  <c r="J144" i="124"/>
  <c r="J143" i="124"/>
  <c r="J64" i="124"/>
  <c r="J65" i="124"/>
  <c r="K8" i="124"/>
  <c r="G208" i="124"/>
  <c r="G188" i="124" s="1"/>
  <c r="G210" i="124"/>
  <c r="G215" i="124" s="1"/>
  <c r="G287" i="124"/>
  <c r="G267" i="124" s="1"/>
  <c r="G289" i="124"/>
  <c r="G123" i="124"/>
  <c r="G126" i="124" s="1"/>
  <c r="G47" i="124"/>
  <c r="AM202" i="124"/>
  <c r="AM205" i="124" s="1"/>
  <c r="G290" i="124"/>
  <c r="AM129" i="124"/>
  <c r="AM109" i="124" s="1"/>
  <c r="AM131" i="124"/>
  <c r="AM136" i="124" s="1"/>
  <c r="AM152" i="124" s="1"/>
  <c r="G202" i="124"/>
  <c r="G205" i="124" s="1"/>
  <c r="AM331" i="124"/>
  <c r="G129" i="124"/>
  <c r="G109" i="124" s="1"/>
  <c r="G131" i="124"/>
  <c r="G136" i="124" s="1"/>
  <c r="AM289" i="124"/>
  <c r="AM287" i="124"/>
  <c r="AM267" i="124" s="1"/>
  <c r="AM47" i="124"/>
  <c r="AQ8" i="120"/>
  <c r="AP64" i="120"/>
  <c r="AP65" i="120"/>
  <c r="K8" i="120"/>
  <c r="J223" i="120"/>
  <c r="J64" i="120"/>
  <c r="J144" i="120"/>
  <c r="J301" i="120"/>
  <c r="J222" i="120"/>
  <c r="J143" i="120"/>
  <c r="J65" i="120"/>
  <c r="J302" i="120"/>
  <c r="AA4" i="77"/>
  <c r="AM334" i="126" l="1"/>
  <c r="AM339" i="126" s="1"/>
  <c r="G339" i="126"/>
  <c r="AM232" i="120"/>
  <c r="AM239" i="120" s="1"/>
  <c r="AM231" i="120"/>
  <c r="AM238" i="120" s="1"/>
  <c r="AM230" i="120"/>
  <c r="AM236" i="120" s="1"/>
  <c r="AM233" i="120"/>
  <c r="AM241" i="120" s="1"/>
  <c r="AM217" i="120"/>
  <c r="AM126" i="120"/>
  <c r="AM136" i="120"/>
  <c r="AM153" i="120" s="1"/>
  <c r="G57" i="124"/>
  <c r="G60" i="124" s="1"/>
  <c r="G57" i="126"/>
  <c r="G60" i="126" s="1"/>
  <c r="AM337" i="126"/>
  <c r="G294" i="126"/>
  <c r="G296" i="126" s="1"/>
  <c r="AM136" i="126"/>
  <c r="AM152" i="126" s="1"/>
  <c r="AM158" i="126" s="1"/>
  <c r="G238" i="126"/>
  <c r="G237" i="126"/>
  <c r="L302" i="126"/>
  <c r="L301" i="126"/>
  <c r="L223" i="126"/>
  <c r="L222" i="126"/>
  <c r="L144" i="126"/>
  <c r="L143" i="126"/>
  <c r="L65" i="126"/>
  <c r="L64" i="126"/>
  <c r="M8" i="126"/>
  <c r="AM47" i="126"/>
  <c r="AR302" i="126"/>
  <c r="AR301" i="126"/>
  <c r="AR222" i="126"/>
  <c r="AR223" i="126"/>
  <c r="AR143" i="126"/>
  <c r="AR144" i="126"/>
  <c r="AR65" i="126"/>
  <c r="AR64" i="126"/>
  <c r="AS8" i="126"/>
  <c r="AM218" i="126"/>
  <c r="AM217" i="126"/>
  <c r="AM230" i="126"/>
  <c r="AM232" i="126"/>
  <c r="AM233" i="126"/>
  <c r="AM231" i="126"/>
  <c r="G139" i="126"/>
  <c r="G138" i="126"/>
  <c r="G151" i="126"/>
  <c r="G154" i="126"/>
  <c r="G152" i="126"/>
  <c r="G153" i="126"/>
  <c r="AM296" i="126"/>
  <c r="AM297" i="126"/>
  <c r="AM309" i="126"/>
  <c r="AM310" i="126"/>
  <c r="AM312" i="126"/>
  <c r="AM311" i="126"/>
  <c r="AM54" i="126"/>
  <c r="AM57" i="126" s="1"/>
  <c r="AM335" i="126"/>
  <c r="AM126" i="126"/>
  <c r="AM333" i="126"/>
  <c r="G333" i="126"/>
  <c r="G217" i="126"/>
  <c r="G218" i="126"/>
  <c r="G230" i="126"/>
  <c r="G232" i="126"/>
  <c r="G233" i="126"/>
  <c r="AR301" i="125"/>
  <c r="AR302" i="125"/>
  <c r="AR223" i="125"/>
  <c r="AR222" i="125"/>
  <c r="AR143" i="125"/>
  <c r="AR144" i="125"/>
  <c r="AR64" i="125"/>
  <c r="AS8" i="125"/>
  <c r="AR65" i="125"/>
  <c r="L301" i="125"/>
  <c r="L302" i="125"/>
  <c r="L222" i="125"/>
  <c r="L223" i="125"/>
  <c r="L144" i="125"/>
  <c r="L143" i="125"/>
  <c r="L65" i="125"/>
  <c r="L64" i="125"/>
  <c r="M8" i="125"/>
  <c r="AM215" i="124"/>
  <c r="AM232" i="124" s="1"/>
  <c r="G294" i="124"/>
  <c r="G312" i="124" s="1"/>
  <c r="AM159" i="124"/>
  <c r="AM158" i="124"/>
  <c r="AQ302" i="120"/>
  <c r="AQ301" i="120"/>
  <c r="AQ223" i="120"/>
  <c r="AQ143" i="120"/>
  <c r="AQ144" i="120"/>
  <c r="AQ222" i="120"/>
  <c r="AM242" i="120"/>
  <c r="AM57" i="124"/>
  <c r="G284" i="124"/>
  <c r="AM333" i="124"/>
  <c r="G218" i="124"/>
  <c r="G217" i="124"/>
  <c r="G230" i="124"/>
  <c r="G232" i="124"/>
  <c r="G233" i="124"/>
  <c r="G231" i="124"/>
  <c r="K302" i="124"/>
  <c r="K301" i="124"/>
  <c r="K223" i="124"/>
  <c r="K222" i="124"/>
  <c r="K144" i="124"/>
  <c r="K143" i="124"/>
  <c r="K64" i="124"/>
  <c r="K65" i="124"/>
  <c r="L8" i="124"/>
  <c r="AM294" i="124"/>
  <c r="G139" i="124"/>
  <c r="G138" i="124"/>
  <c r="G151" i="124"/>
  <c r="G153" i="124"/>
  <c r="G154" i="124"/>
  <c r="G152" i="124"/>
  <c r="AM297" i="120"/>
  <c r="AM296" i="120"/>
  <c r="AM311" i="120"/>
  <c r="AM312" i="120"/>
  <c r="AM309" i="120"/>
  <c r="AM310" i="120"/>
  <c r="AM138" i="124"/>
  <c r="AM139" i="124"/>
  <c r="AM154" i="124"/>
  <c r="AM151" i="124"/>
  <c r="AM153" i="124"/>
  <c r="AQ302" i="124"/>
  <c r="AQ301" i="124"/>
  <c r="AQ223" i="124"/>
  <c r="AQ222" i="124"/>
  <c r="AQ143" i="124"/>
  <c r="AQ65" i="124"/>
  <c r="AQ144" i="124"/>
  <c r="AQ64" i="124"/>
  <c r="AR8" i="124"/>
  <c r="G339" i="124"/>
  <c r="L8" i="120"/>
  <c r="K144" i="120"/>
  <c r="K64" i="120"/>
  <c r="K301" i="120"/>
  <c r="K222" i="120"/>
  <c r="K143" i="120"/>
  <c r="K65" i="120"/>
  <c r="K302" i="120"/>
  <c r="K223" i="120"/>
  <c r="AR8" i="120"/>
  <c r="AQ64" i="120"/>
  <c r="AQ65" i="120"/>
  <c r="AB4" i="77"/>
  <c r="E47" i="1"/>
  <c r="E48" i="1"/>
  <c r="E49" i="1"/>
  <c r="E46" i="1"/>
  <c r="AM139" i="126" l="1"/>
  <c r="AM240" i="120"/>
  <c r="AM237" i="120"/>
  <c r="G59" i="124"/>
  <c r="AM235" i="120"/>
  <c r="G311" i="126"/>
  <c r="G318" i="126" s="1"/>
  <c r="G297" i="126"/>
  <c r="G73" i="124"/>
  <c r="G80" i="124" s="1"/>
  <c r="G75" i="124"/>
  <c r="G84" i="124" s="1"/>
  <c r="G74" i="124"/>
  <c r="G82" i="124" s="1"/>
  <c r="AM152" i="120"/>
  <c r="AM158" i="120" s="1"/>
  <c r="AM154" i="120"/>
  <c r="AM163" i="120" s="1"/>
  <c r="AM138" i="120"/>
  <c r="AM139" i="120"/>
  <c r="G72" i="124"/>
  <c r="G77" i="124" s="1"/>
  <c r="AM154" i="126"/>
  <c r="AM163" i="126" s="1"/>
  <c r="AM151" i="120"/>
  <c r="AM157" i="120" s="1"/>
  <c r="AM151" i="126"/>
  <c r="AM157" i="126" s="1"/>
  <c r="AM153" i="126"/>
  <c r="AM161" i="126" s="1"/>
  <c r="G72" i="126"/>
  <c r="G78" i="126" s="1"/>
  <c r="G59" i="126"/>
  <c r="G296" i="124"/>
  <c r="G297" i="124"/>
  <c r="G309" i="124"/>
  <c r="G315" i="124" s="1"/>
  <c r="G74" i="126"/>
  <c r="G82" i="126" s="1"/>
  <c r="AM138" i="126"/>
  <c r="G312" i="126"/>
  <c r="G321" i="126" s="1"/>
  <c r="G75" i="126"/>
  <c r="G84" i="126" s="1"/>
  <c r="G310" i="126"/>
  <c r="G317" i="126" s="1"/>
  <c r="G309" i="126"/>
  <c r="G314" i="126" s="1"/>
  <c r="AM159" i="126"/>
  <c r="G73" i="126"/>
  <c r="G80" i="126" s="1"/>
  <c r="AM321" i="126"/>
  <c r="AM320" i="126"/>
  <c r="G162" i="126"/>
  <c r="G163" i="126"/>
  <c r="AM317" i="126"/>
  <c r="AM316" i="126"/>
  <c r="G157" i="126"/>
  <c r="G156" i="126"/>
  <c r="M301" i="126"/>
  <c r="M302" i="126"/>
  <c r="M223" i="126"/>
  <c r="M222" i="126"/>
  <c r="M144" i="126"/>
  <c r="M143" i="126"/>
  <c r="M65" i="126"/>
  <c r="M64" i="126"/>
  <c r="N8" i="126"/>
  <c r="AM314" i="126"/>
  <c r="AM315" i="126"/>
  <c r="AM237" i="126"/>
  <c r="AM238" i="126"/>
  <c r="AS302" i="126"/>
  <c r="AS301" i="126"/>
  <c r="AS222" i="126"/>
  <c r="AS223" i="126"/>
  <c r="AS143" i="126"/>
  <c r="AS144" i="126"/>
  <c r="AS64" i="126"/>
  <c r="AT8" i="126"/>
  <c r="AS65" i="126"/>
  <c r="AM60" i="126"/>
  <c r="AM59" i="126"/>
  <c r="AM72" i="126"/>
  <c r="AM75" i="126"/>
  <c r="AM74" i="126"/>
  <c r="AM73" i="126"/>
  <c r="AM242" i="126"/>
  <c r="AM241" i="126"/>
  <c r="AM239" i="126"/>
  <c r="AM240" i="126"/>
  <c r="G241" i="126"/>
  <c r="G242" i="126"/>
  <c r="G341" i="126"/>
  <c r="AM235" i="126"/>
  <c r="AM236" i="126"/>
  <c r="G310" i="124"/>
  <c r="G316" i="124" s="1"/>
  <c r="G240" i="126"/>
  <c r="G239" i="126"/>
  <c r="G160" i="126"/>
  <c r="G161" i="126"/>
  <c r="G236" i="126"/>
  <c r="G235" i="126"/>
  <c r="AM341" i="126"/>
  <c r="AM319" i="126"/>
  <c r="AM318" i="126"/>
  <c r="G159" i="126"/>
  <c r="G158" i="126"/>
  <c r="AM231" i="124"/>
  <c r="AM238" i="124" s="1"/>
  <c r="AM218" i="124"/>
  <c r="G311" i="124"/>
  <c r="G319" i="124" s="1"/>
  <c r="AM230" i="124"/>
  <c r="AM236" i="124" s="1"/>
  <c r="AM217" i="124"/>
  <c r="AS302" i="125"/>
  <c r="AS301" i="125"/>
  <c r="AS223" i="125"/>
  <c r="AS222" i="125"/>
  <c r="AS143" i="125"/>
  <c r="AS144" i="125"/>
  <c r="AS64" i="125"/>
  <c r="AS65" i="125"/>
  <c r="AT8" i="125"/>
  <c r="AM233" i="124"/>
  <c r="AM241" i="124" s="1"/>
  <c r="M302" i="125"/>
  <c r="M301" i="125"/>
  <c r="M222" i="125"/>
  <c r="M223" i="125"/>
  <c r="M144" i="125"/>
  <c r="M143" i="125"/>
  <c r="M65" i="125"/>
  <c r="M64" i="125"/>
  <c r="N8" i="125"/>
  <c r="AM297" i="124"/>
  <c r="AM296" i="124"/>
  <c r="AM311" i="124"/>
  <c r="AM312" i="124"/>
  <c r="AM310" i="124"/>
  <c r="AM309" i="124"/>
  <c r="G320" i="124"/>
  <c r="G321" i="124"/>
  <c r="G333" i="124" s="1"/>
  <c r="AM160" i="124"/>
  <c r="AM161" i="124"/>
  <c r="AM316" i="120"/>
  <c r="AM317" i="120"/>
  <c r="G159" i="124"/>
  <c r="G158" i="124"/>
  <c r="G238" i="124"/>
  <c r="G237" i="124"/>
  <c r="AM341" i="124"/>
  <c r="AM157" i="124"/>
  <c r="AM156" i="124"/>
  <c r="AM315" i="120"/>
  <c r="AM314" i="120"/>
  <c r="G163" i="124"/>
  <c r="G162" i="124"/>
  <c r="AM163" i="124"/>
  <c r="AM162" i="124"/>
  <c r="AM320" i="120"/>
  <c r="AM321" i="120"/>
  <c r="G160" i="124"/>
  <c r="G161" i="124"/>
  <c r="G242" i="124"/>
  <c r="G241" i="124"/>
  <c r="AM161" i="120"/>
  <c r="AM160" i="120"/>
  <c r="AM319" i="120"/>
  <c r="AM318" i="120"/>
  <c r="G157" i="124"/>
  <c r="G156" i="124"/>
  <c r="L301" i="124"/>
  <c r="L302" i="124"/>
  <c r="L223" i="124"/>
  <c r="L222" i="124"/>
  <c r="L144" i="124"/>
  <c r="L143" i="124"/>
  <c r="L65" i="124"/>
  <c r="L64" i="124"/>
  <c r="M8" i="124"/>
  <c r="G239" i="124"/>
  <c r="G240" i="124"/>
  <c r="AM60" i="124"/>
  <c r="AM59" i="124"/>
  <c r="AM72" i="124"/>
  <c r="AM74" i="124"/>
  <c r="AM75" i="124"/>
  <c r="AM73" i="124"/>
  <c r="G236" i="124"/>
  <c r="G235" i="124"/>
  <c r="AM239" i="124"/>
  <c r="AM240" i="124"/>
  <c r="AR302" i="120"/>
  <c r="AR143" i="120"/>
  <c r="AR222" i="120"/>
  <c r="AR223" i="120"/>
  <c r="AR301" i="120"/>
  <c r="AR144" i="120"/>
  <c r="AR301" i="124"/>
  <c r="AR302" i="124"/>
  <c r="AR223" i="124"/>
  <c r="AR222" i="124"/>
  <c r="AR143" i="124"/>
  <c r="AR144" i="124"/>
  <c r="AR65" i="124"/>
  <c r="AR64" i="124"/>
  <c r="AS8" i="124"/>
  <c r="M8" i="120"/>
  <c r="L65" i="120"/>
  <c r="L301" i="120"/>
  <c r="L222" i="120"/>
  <c r="L64" i="120"/>
  <c r="L143" i="120"/>
  <c r="L144" i="120"/>
  <c r="L302" i="120"/>
  <c r="L223" i="120"/>
  <c r="AS8" i="120"/>
  <c r="AR65" i="120"/>
  <c r="AR64" i="120"/>
  <c r="AC4" i="77"/>
  <c r="D37" i="8"/>
  <c r="BZ6" i="119" s="1"/>
  <c r="AM342" i="126" l="1"/>
  <c r="AM345" i="126" s="1"/>
  <c r="AM159" i="120"/>
  <c r="G319" i="126"/>
  <c r="G81" i="124"/>
  <c r="G83" i="124"/>
  <c r="G78" i="124"/>
  <c r="AM156" i="126"/>
  <c r="G79" i="124"/>
  <c r="G81" i="126"/>
  <c r="AM162" i="120"/>
  <c r="AM162" i="126"/>
  <c r="AM237" i="124"/>
  <c r="AM156" i="120"/>
  <c r="G77" i="126"/>
  <c r="G83" i="126"/>
  <c r="AM160" i="126"/>
  <c r="G315" i="126"/>
  <c r="G318" i="124"/>
  <c r="G316" i="126"/>
  <c r="G317" i="124"/>
  <c r="G314" i="124"/>
  <c r="G320" i="126"/>
  <c r="G79" i="126"/>
  <c r="AM235" i="124"/>
  <c r="AM82" i="126"/>
  <c r="AM81" i="126"/>
  <c r="AM83" i="126"/>
  <c r="AM84" i="126"/>
  <c r="AM77" i="126"/>
  <c r="AM78" i="126"/>
  <c r="AM80" i="126"/>
  <c r="AM79" i="126"/>
  <c r="AM344" i="126"/>
  <c r="N301" i="126"/>
  <c r="N302" i="126"/>
  <c r="N223" i="126"/>
  <c r="N222" i="126"/>
  <c r="N144" i="126"/>
  <c r="N143" i="126"/>
  <c r="N65" i="126"/>
  <c r="N64" i="126"/>
  <c r="O8" i="126"/>
  <c r="G342" i="126"/>
  <c r="AT302" i="126"/>
  <c r="AT301" i="126"/>
  <c r="AT222" i="126"/>
  <c r="AT223" i="126"/>
  <c r="AT143" i="126"/>
  <c r="AT144" i="126"/>
  <c r="AT64" i="126"/>
  <c r="AT65" i="126"/>
  <c r="AU8" i="126"/>
  <c r="AM242" i="124"/>
  <c r="AT302" i="125"/>
  <c r="AT301" i="125"/>
  <c r="AT222" i="125"/>
  <c r="AT223" i="125"/>
  <c r="AT144" i="125"/>
  <c r="AT143" i="125"/>
  <c r="AT65" i="125"/>
  <c r="AT64" i="125"/>
  <c r="AU8" i="125"/>
  <c r="N301" i="125"/>
  <c r="N302" i="125"/>
  <c r="N222" i="125"/>
  <c r="N223" i="125"/>
  <c r="N143" i="125"/>
  <c r="N144" i="125"/>
  <c r="N64" i="125"/>
  <c r="O8" i="125"/>
  <c r="N65" i="125"/>
  <c r="AS302" i="124"/>
  <c r="AS301" i="124"/>
  <c r="AS223" i="124"/>
  <c r="AS222" i="124"/>
  <c r="AS143" i="124"/>
  <c r="AS144" i="124"/>
  <c r="AS64" i="124"/>
  <c r="AT8" i="124"/>
  <c r="AS65" i="124"/>
  <c r="AM321" i="124"/>
  <c r="AM320" i="124"/>
  <c r="M302" i="124"/>
  <c r="M301" i="124"/>
  <c r="M223" i="124"/>
  <c r="M222" i="124"/>
  <c r="M144" i="124"/>
  <c r="M143" i="124"/>
  <c r="M65" i="124"/>
  <c r="M64" i="124"/>
  <c r="N8" i="124"/>
  <c r="AM319" i="124"/>
  <c r="AM318" i="124"/>
  <c r="AS301" i="120"/>
  <c r="AS302" i="120"/>
  <c r="AS222" i="120"/>
  <c r="AS143" i="120"/>
  <c r="AS223" i="120"/>
  <c r="AS144" i="120"/>
  <c r="AM79" i="124"/>
  <c r="AM80" i="124"/>
  <c r="AM83" i="124"/>
  <c r="AM84" i="124"/>
  <c r="G341" i="124"/>
  <c r="AM77" i="124"/>
  <c r="AM78" i="124"/>
  <c r="AM82" i="124"/>
  <c r="AM81" i="124"/>
  <c r="AM342" i="124"/>
  <c r="AM314" i="124"/>
  <c r="AM315" i="124"/>
  <c r="AM316" i="124"/>
  <c r="AM317" i="124"/>
  <c r="AT8" i="120"/>
  <c r="AS65" i="120"/>
  <c r="AS64" i="120"/>
  <c r="N8" i="120"/>
  <c r="M302" i="120"/>
  <c r="M223" i="120"/>
  <c r="M144" i="120"/>
  <c r="M65" i="120"/>
  <c r="M64" i="120"/>
  <c r="M143" i="120"/>
  <c r="M301" i="120"/>
  <c r="M222" i="120"/>
  <c r="CA6" i="119"/>
  <c r="BZ6" i="117"/>
  <c r="CA6" i="117" s="1"/>
  <c r="BZ6" i="118"/>
  <c r="BZ6" i="67"/>
  <c r="E16" i="30"/>
  <c r="I16" i="30" s="1"/>
  <c r="AD4" i="77"/>
  <c r="O302" i="126" l="1"/>
  <c r="O301" i="126"/>
  <c r="O222" i="126"/>
  <c r="O223" i="126"/>
  <c r="O143" i="126"/>
  <c r="O144" i="126"/>
  <c r="O65" i="126"/>
  <c r="O64" i="126"/>
  <c r="P8" i="126"/>
  <c r="AU302" i="126"/>
  <c r="AU301" i="126"/>
  <c r="AU223" i="126"/>
  <c r="AU222" i="126"/>
  <c r="AU144" i="126"/>
  <c r="AU143" i="126"/>
  <c r="AU64" i="126"/>
  <c r="AU65" i="126"/>
  <c r="AV8" i="126"/>
  <c r="G345" i="126"/>
  <c r="G344" i="126"/>
  <c r="AU302" i="125"/>
  <c r="AU301" i="125"/>
  <c r="AU223" i="125"/>
  <c r="AU222" i="125"/>
  <c r="AU143" i="125"/>
  <c r="AU144" i="125"/>
  <c r="AU65" i="125"/>
  <c r="AU64" i="125"/>
  <c r="AV8" i="125"/>
  <c r="O301" i="125"/>
  <c r="O302" i="125"/>
  <c r="O222" i="125"/>
  <c r="O223" i="125"/>
  <c r="O143" i="125"/>
  <c r="O144" i="125"/>
  <c r="O64" i="125"/>
  <c r="P8" i="125"/>
  <c r="O65" i="125"/>
  <c r="AT301" i="120"/>
  <c r="AT302" i="120"/>
  <c r="AT222" i="120"/>
  <c r="AT143" i="120"/>
  <c r="AT223" i="120"/>
  <c r="AT144" i="120"/>
  <c r="N302" i="124"/>
  <c r="N301" i="124"/>
  <c r="N223" i="124"/>
  <c r="N222" i="124"/>
  <c r="N143" i="124"/>
  <c r="N144" i="124"/>
  <c r="N65" i="124"/>
  <c r="N64" i="124"/>
  <c r="O8" i="124"/>
  <c r="AT301" i="124"/>
  <c r="AT302" i="124"/>
  <c r="AT223" i="124"/>
  <c r="AT222" i="124"/>
  <c r="AT144" i="124"/>
  <c r="AT64" i="124"/>
  <c r="AT143" i="124"/>
  <c r="AT65" i="124"/>
  <c r="AU8" i="124"/>
  <c r="AM344" i="124"/>
  <c r="AM345" i="124"/>
  <c r="G342" i="124"/>
  <c r="AU8" i="120"/>
  <c r="AT64" i="120"/>
  <c r="AT65" i="120"/>
  <c r="O8" i="120"/>
  <c r="N302" i="120"/>
  <c r="N223" i="120"/>
  <c r="N144" i="120"/>
  <c r="N64" i="120"/>
  <c r="N301" i="120"/>
  <c r="N222" i="120"/>
  <c r="N143" i="120"/>
  <c r="N65" i="120"/>
  <c r="CB6" i="119"/>
  <c r="CA6" i="118"/>
  <c r="CB6" i="117"/>
  <c r="AE4" i="77"/>
  <c r="AP286" i="125"/>
  <c r="AP207" i="125"/>
  <c r="AP187" i="125"/>
  <c r="AP49" i="125"/>
  <c r="AP29" i="125"/>
  <c r="AP128" i="125"/>
  <c r="AP108" i="125"/>
  <c r="AP266" i="125"/>
  <c r="AV302" i="126" l="1"/>
  <c r="AV301" i="126"/>
  <c r="AV223" i="126"/>
  <c r="AV222" i="126"/>
  <c r="AV143" i="126"/>
  <c r="AV144" i="126"/>
  <c r="AV65" i="126"/>
  <c r="AW8" i="126"/>
  <c r="AV64" i="126"/>
  <c r="P302" i="126"/>
  <c r="P301" i="126"/>
  <c r="P222" i="126"/>
  <c r="P223" i="126"/>
  <c r="P143" i="126"/>
  <c r="P144" i="126"/>
  <c r="P64" i="126"/>
  <c r="P65" i="126"/>
  <c r="Q8" i="126"/>
  <c r="AP337" i="125"/>
  <c r="AP55" i="125"/>
  <c r="AP292" i="125"/>
  <c r="AP134" i="125"/>
  <c r="AP213" i="125"/>
  <c r="P302" i="125"/>
  <c r="P301" i="125"/>
  <c r="P223" i="125"/>
  <c r="P222" i="125"/>
  <c r="P143" i="125"/>
  <c r="P144" i="125"/>
  <c r="P64" i="125"/>
  <c r="P65" i="125"/>
  <c r="Q8" i="125"/>
  <c r="AV301" i="125"/>
  <c r="AV302" i="125"/>
  <c r="AV223" i="125"/>
  <c r="AV222" i="125"/>
  <c r="AV144" i="125"/>
  <c r="AV143" i="125"/>
  <c r="AV64" i="125"/>
  <c r="AV65" i="125"/>
  <c r="AW8" i="125"/>
  <c r="AU301" i="120"/>
  <c r="AU302" i="120"/>
  <c r="AU222" i="120"/>
  <c r="AU143" i="120"/>
  <c r="AU223" i="120"/>
  <c r="AU144" i="120"/>
  <c r="G345" i="124"/>
  <c r="G344" i="124"/>
  <c r="O301" i="124"/>
  <c r="O302" i="124"/>
  <c r="O222" i="124"/>
  <c r="O223" i="124"/>
  <c r="O143" i="124"/>
  <c r="O144" i="124"/>
  <c r="O65" i="124"/>
  <c r="O64" i="124"/>
  <c r="P8" i="124"/>
  <c r="AU302" i="124"/>
  <c r="AU301" i="124"/>
  <c r="AU223" i="124"/>
  <c r="AU222" i="124"/>
  <c r="AU144" i="124"/>
  <c r="AU143" i="124"/>
  <c r="AU64" i="124"/>
  <c r="AU65" i="124"/>
  <c r="AV8" i="124"/>
  <c r="AV8" i="120"/>
  <c r="AU64" i="120"/>
  <c r="AU65" i="120"/>
  <c r="P8" i="120"/>
  <c r="O301" i="120"/>
  <c r="O222" i="120"/>
  <c r="O143" i="120"/>
  <c r="O65" i="120"/>
  <c r="O302" i="120"/>
  <c r="O223" i="120"/>
  <c r="O144" i="120"/>
  <c r="O64" i="120"/>
  <c r="CC6" i="119"/>
  <c r="CB6" i="118"/>
  <c r="CC6" i="117"/>
  <c r="AQ128" i="125"/>
  <c r="AQ286" i="125"/>
  <c r="AQ187" i="125"/>
  <c r="AQ207" i="125"/>
  <c r="AQ266" i="125"/>
  <c r="AQ29" i="125"/>
  <c r="AQ49" i="125"/>
  <c r="AQ108" i="125"/>
  <c r="AW302" i="126" l="1"/>
  <c r="AW301" i="126"/>
  <c r="AW223" i="126"/>
  <c r="AW222" i="126"/>
  <c r="AW144" i="126"/>
  <c r="AW143" i="126"/>
  <c r="AW65" i="126"/>
  <c r="AW64" i="126"/>
  <c r="AX8" i="126"/>
  <c r="Q302" i="126"/>
  <c r="Q301" i="126"/>
  <c r="Q222" i="126"/>
  <c r="Q223" i="126"/>
  <c r="Q143" i="126"/>
  <c r="Q144" i="126"/>
  <c r="Q64" i="126"/>
  <c r="Q65" i="126"/>
  <c r="R8" i="126"/>
  <c r="AQ213" i="125"/>
  <c r="AQ292" i="125"/>
  <c r="AQ134" i="125"/>
  <c r="AQ55" i="125"/>
  <c r="AQ337" i="125"/>
  <c r="Q301" i="125"/>
  <c r="Q302" i="125"/>
  <c r="Q223" i="125"/>
  <c r="Q222" i="125"/>
  <c r="Q143" i="125"/>
  <c r="Q144" i="125"/>
  <c r="Q65" i="125"/>
  <c r="Q64" i="125"/>
  <c r="R8" i="125"/>
  <c r="AW302" i="125"/>
  <c r="AW301" i="125"/>
  <c r="AW222" i="125"/>
  <c r="AW223" i="125"/>
  <c r="AW144" i="125"/>
  <c r="AW143" i="125"/>
  <c r="AW65" i="125"/>
  <c r="AW64" i="125"/>
  <c r="AX8" i="125"/>
  <c r="AV301" i="120"/>
  <c r="AV302" i="120"/>
  <c r="AV144" i="120"/>
  <c r="AV222" i="120"/>
  <c r="AV143" i="120"/>
  <c r="AV223" i="120"/>
  <c r="P302" i="124"/>
  <c r="P301" i="124"/>
  <c r="P222" i="124"/>
  <c r="P223" i="124"/>
  <c r="P143" i="124"/>
  <c r="P144" i="124"/>
  <c r="P64" i="124"/>
  <c r="Q8" i="124"/>
  <c r="P65" i="124"/>
  <c r="AV301" i="124"/>
  <c r="AV302" i="124"/>
  <c r="AV223" i="124"/>
  <c r="AV222" i="124"/>
  <c r="AV144" i="124"/>
  <c r="AV143" i="124"/>
  <c r="AV65" i="124"/>
  <c r="AW8" i="124"/>
  <c r="AV64" i="124"/>
  <c r="AW8" i="120"/>
  <c r="AV64" i="120"/>
  <c r="AV65" i="120"/>
  <c r="Q8" i="120"/>
  <c r="P301" i="120"/>
  <c r="P222" i="120"/>
  <c r="P143" i="120"/>
  <c r="P65" i="120"/>
  <c r="P302" i="120"/>
  <c r="P223" i="120"/>
  <c r="P144" i="120"/>
  <c r="P64" i="120"/>
  <c r="CD6" i="119"/>
  <c r="CC6" i="118"/>
  <c r="CD6" i="117"/>
  <c r="AR187" i="125"/>
  <c r="AR108" i="125"/>
  <c r="AR266" i="125"/>
  <c r="AR29" i="125"/>
  <c r="AR128" i="125"/>
  <c r="AR49" i="125"/>
  <c r="AR286" i="125"/>
  <c r="AR207" i="125"/>
  <c r="R302" i="126" l="1"/>
  <c r="R301" i="126"/>
  <c r="R222" i="126"/>
  <c r="R223" i="126"/>
  <c r="R143" i="126"/>
  <c r="R144" i="126"/>
  <c r="R64" i="126"/>
  <c r="R65" i="126"/>
  <c r="S8" i="126"/>
  <c r="AX302" i="126"/>
  <c r="AX301" i="126"/>
  <c r="AX223" i="126"/>
  <c r="AX222" i="126"/>
  <c r="AX144" i="126"/>
  <c r="AX143" i="126"/>
  <c r="AX65" i="126"/>
  <c r="AX64" i="126"/>
  <c r="AY8" i="126"/>
  <c r="AR337" i="125"/>
  <c r="AR213" i="125"/>
  <c r="AR292" i="125"/>
  <c r="AR134" i="125"/>
  <c r="AR55" i="125"/>
  <c r="R302" i="125"/>
  <c r="R301" i="125"/>
  <c r="R223" i="125"/>
  <c r="R222" i="125"/>
  <c r="R144" i="125"/>
  <c r="R143" i="125"/>
  <c r="R65" i="125"/>
  <c r="R64" i="125"/>
  <c r="S8" i="125"/>
  <c r="AX302" i="125"/>
  <c r="AX301" i="125"/>
  <c r="AX222" i="125"/>
  <c r="AX223" i="125"/>
  <c r="AX144" i="125"/>
  <c r="AX143" i="125"/>
  <c r="AX64" i="125"/>
  <c r="AX65" i="125"/>
  <c r="AY8" i="125"/>
  <c r="AW301" i="120"/>
  <c r="AW302" i="120"/>
  <c r="AW144" i="120"/>
  <c r="AW222" i="120"/>
  <c r="AW223" i="120"/>
  <c r="AW143" i="120"/>
  <c r="AW301" i="124"/>
  <c r="AW302" i="124"/>
  <c r="AW223" i="124"/>
  <c r="AW222" i="124"/>
  <c r="AW144" i="124"/>
  <c r="AW143" i="124"/>
  <c r="AW65" i="124"/>
  <c r="AW64" i="124"/>
  <c r="AX8" i="124"/>
  <c r="Q301" i="124"/>
  <c r="Q302" i="124"/>
  <c r="Q222" i="124"/>
  <c r="Q223" i="124"/>
  <c r="Q143" i="124"/>
  <c r="Q144" i="124"/>
  <c r="Q64" i="124"/>
  <c r="Q65" i="124"/>
  <c r="R8" i="124"/>
  <c r="R8" i="120"/>
  <c r="Q64" i="120"/>
  <c r="Q301" i="120"/>
  <c r="Q222" i="120"/>
  <c r="Q143" i="120"/>
  <c r="Q65" i="120"/>
  <c r="Q302" i="120"/>
  <c r="Q223" i="120"/>
  <c r="Q144" i="120"/>
  <c r="AX8" i="120"/>
  <c r="AW64" i="120"/>
  <c r="AW65" i="120"/>
  <c r="CE6" i="119"/>
  <c r="CD6" i="118"/>
  <c r="CE6" i="117"/>
  <c r="C39" i="67"/>
  <c r="AK39" i="67"/>
  <c r="AK23" i="67"/>
  <c r="C23" i="67"/>
  <c r="C7" i="67"/>
  <c r="AS207" i="125"/>
  <c r="AS286" i="125"/>
  <c r="AS49" i="125"/>
  <c r="AS187" i="125"/>
  <c r="AS128" i="125"/>
  <c r="AS29" i="125"/>
  <c r="AS108" i="125"/>
  <c r="AS266" i="125"/>
  <c r="S302" i="126" l="1"/>
  <c r="S301" i="126"/>
  <c r="S223" i="126"/>
  <c r="S222" i="126"/>
  <c r="S143" i="126"/>
  <c r="S144" i="126"/>
  <c r="S64" i="126"/>
  <c r="S65" i="126"/>
  <c r="T8" i="126"/>
  <c r="AY301" i="126"/>
  <c r="AY302" i="126"/>
  <c r="AY223" i="126"/>
  <c r="AY222" i="126"/>
  <c r="AY144" i="126"/>
  <c r="AY143" i="126"/>
  <c r="AY65" i="126"/>
  <c r="AY64" i="126"/>
  <c r="AZ8" i="126"/>
  <c r="AS134" i="125"/>
  <c r="AS55" i="125"/>
  <c r="AS213" i="125"/>
  <c r="AS292" i="125"/>
  <c r="AS337" i="125"/>
  <c r="AY301" i="125"/>
  <c r="AY302" i="125"/>
  <c r="AY222" i="125"/>
  <c r="AY223" i="125"/>
  <c r="AY143" i="125"/>
  <c r="AY144" i="125"/>
  <c r="AY64" i="125"/>
  <c r="AZ8" i="125"/>
  <c r="AY65" i="125"/>
  <c r="S301" i="125"/>
  <c r="S302" i="125"/>
  <c r="S223" i="125"/>
  <c r="S222" i="125"/>
  <c r="S144" i="125"/>
  <c r="S143" i="125"/>
  <c r="S65" i="125"/>
  <c r="T8" i="125"/>
  <c r="S64" i="125"/>
  <c r="AX302" i="124"/>
  <c r="AX301" i="124"/>
  <c r="AX223" i="124"/>
  <c r="AX222" i="124"/>
  <c r="AX144" i="124"/>
  <c r="AX143" i="124"/>
  <c r="AX65" i="124"/>
  <c r="AX64" i="124"/>
  <c r="AY8" i="124"/>
  <c r="AX301" i="120"/>
  <c r="AX144" i="120"/>
  <c r="AX223" i="120"/>
  <c r="AX302" i="120"/>
  <c r="AX143" i="120"/>
  <c r="AX222" i="120"/>
  <c r="R301" i="124"/>
  <c r="R302" i="124"/>
  <c r="R222" i="124"/>
  <c r="R223" i="124"/>
  <c r="R144" i="124"/>
  <c r="R143" i="124"/>
  <c r="R64" i="124"/>
  <c r="R65" i="124"/>
  <c r="S8" i="124"/>
  <c r="S8" i="120"/>
  <c r="R64" i="120"/>
  <c r="R223" i="120"/>
  <c r="R302" i="120"/>
  <c r="R301" i="120"/>
  <c r="R222" i="120"/>
  <c r="R143" i="120"/>
  <c r="R65" i="120"/>
  <c r="R144" i="120"/>
  <c r="AY8" i="120"/>
  <c r="AX65" i="120"/>
  <c r="AX64" i="120"/>
  <c r="CF6" i="119"/>
  <c r="CE6" i="118"/>
  <c r="CF6" i="117"/>
  <c r="AT187" i="125"/>
  <c r="AT49" i="125"/>
  <c r="AT108" i="125"/>
  <c r="AT266" i="125"/>
  <c r="AT286" i="125"/>
  <c r="AT29" i="125"/>
  <c r="AT207" i="125"/>
  <c r="AT128" i="125"/>
  <c r="T302" i="126" l="1"/>
  <c r="T301" i="126"/>
  <c r="T223" i="126"/>
  <c r="T222" i="126"/>
  <c r="T144" i="126"/>
  <c r="T143" i="126"/>
  <c r="T65" i="126"/>
  <c r="T64" i="126"/>
  <c r="U8" i="126"/>
  <c r="AZ301" i="126"/>
  <c r="AZ302" i="126"/>
  <c r="AZ222" i="126"/>
  <c r="AZ223" i="126"/>
  <c r="AZ143" i="126"/>
  <c r="AZ144" i="126"/>
  <c r="AZ65" i="126"/>
  <c r="AZ64" i="126"/>
  <c r="BA8" i="126"/>
  <c r="AT292" i="125"/>
  <c r="AT134" i="125"/>
  <c r="AT213" i="125"/>
  <c r="AT55" i="125"/>
  <c r="AT337" i="125"/>
  <c r="T301" i="125"/>
  <c r="T302" i="125"/>
  <c r="T222" i="125"/>
  <c r="T223" i="125"/>
  <c r="T144" i="125"/>
  <c r="T143" i="125"/>
  <c r="T65" i="125"/>
  <c r="U8" i="125"/>
  <c r="T64" i="125"/>
  <c r="AZ301" i="125"/>
  <c r="AZ302" i="125"/>
  <c r="AZ222" i="125"/>
  <c r="AZ223" i="125"/>
  <c r="AZ143" i="125"/>
  <c r="AZ144" i="125"/>
  <c r="AZ64" i="125"/>
  <c r="BA8" i="125"/>
  <c r="AZ65" i="125"/>
  <c r="AY302" i="124"/>
  <c r="AY301" i="124"/>
  <c r="AY223" i="124"/>
  <c r="AY222" i="124"/>
  <c r="AY143" i="124"/>
  <c r="AY144" i="124"/>
  <c r="AY65" i="124"/>
  <c r="AY64" i="124"/>
  <c r="AZ8" i="124"/>
  <c r="AY302" i="120"/>
  <c r="AY301" i="120"/>
  <c r="AY223" i="120"/>
  <c r="AY144" i="120"/>
  <c r="AY222" i="120"/>
  <c r="AY143" i="120"/>
  <c r="S302" i="124"/>
  <c r="S301" i="124"/>
  <c r="S223" i="124"/>
  <c r="S222" i="124"/>
  <c r="S144" i="124"/>
  <c r="S143" i="124"/>
  <c r="S64" i="124"/>
  <c r="S65" i="124"/>
  <c r="T8" i="124"/>
  <c r="AZ8" i="120"/>
  <c r="AY64" i="120"/>
  <c r="AY65" i="120"/>
  <c r="T8" i="120"/>
  <c r="S64" i="120"/>
  <c r="S144" i="120"/>
  <c r="S301" i="120"/>
  <c r="S222" i="120"/>
  <c r="S143" i="120"/>
  <c r="S65" i="120"/>
  <c r="S302" i="120"/>
  <c r="S223" i="120"/>
  <c r="CG6" i="119"/>
  <c r="CF6" i="118"/>
  <c r="CG6" i="117"/>
  <c r="DG9" i="67"/>
  <c r="BV55" i="67"/>
  <c r="DE42" i="67"/>
  <c r="BV35" i="67"/>
  <c r="BV15" i="67"/>
  <c r="BV7" i="67"/>
  <c r="BX72" i="67"/>
  <c r="BX71" i="67"/>
  <c r="B3" i="67"/>
  <c r="AU128" i="125"/>
  <c r="AU187" i="125"/>
  <c r="AU207" i="125"/>
  <c r="AU266" i="125"/>
  <c r="AU49" i="125"/>
  <c r="AU29" i="125"/>
  <c r="AU286" i="125"/>
  <c r="AU108" i="125"/>
  <c r="BA301" i="126" l="1"/>
  <c r="BA302" i="126"/>
  <c r="BA222" i="126"/>
  <c r="BA223" i="126"/>
  <c r="BA143" i="126"/>
  <c r="BA144" i="126"/>
  <c r="BA64" i="126"/>
  <c r="BB8" i="126"/>
  <c r="BA65" i="126"/>
  <c r="U302" i="126"/>
  <c r="U301" i="126"/>
  <c r="U223" i="126"/>
  <c r="U222" i="126"/>
  <c r="U144" i="126"/>
  <c r="U143" i="126"/>
  <c r="U65" i="126"/>
  <c r="U64" i="126"/>
  <c r="V8" i="126"/>
  <c r="AU213" i="125"/>
  <c r="AU337" i="125"/>
  <c r="AU292" i="125"/>
  <c r="AU134" i="125"/>
  <c r="AU55" i="125"/>
  <c r="U302" i="125"/>
  <c r="U301" i="125"/>
  <c r="U223" i="125"/>
  <c r="U222" i="125"/>
  <c r="U144" i="125"/>
  <c r="U143" i="125"/>
  <c r="U64" i="125"/>
  <c r="U65" i="125"/>
  <c r="V8" i="125"/>
  <c r="BA302" i="125"/>
  <c r="BA301" i="125"/>
  <c r="BA223" i="125"/>
  <c r="BA222" i="125"/>
  <c r="BA143" i="125"/>
  <c r="BA144" i="125"/>
  <c r="BA64" i="125"/>
  <c r="BA65" i="125"/>
  <c r="BB8" i="125"/>
  <c r="AZ302" i="120"/>
  <c r="AZ143" i="120"/>
  <c r="AZ223" i="120"/>
  <c r="AZ222" i="120"/>
  <c r="AZ144" i="120"/>
  <c r="AZ301" i="120"/>
  <c r="AZ301" i="124"/>
  <c r="AZ302" i="124"/>
  <c r="AZ222" i="124"/>
  <c r="AZ223" i="124"/>
  <c r="AZ143" i="124"/>
  <c r="AZ144" i="124"/>
  <c r="AZ65" i="124"/>
  <c r="AZ64" i="124"/>
  <c r="BA8" i="124"/>
  <c r="T301" i="124"/>
  <c r="T302" i="124"/>
  <c r="T223" i="124"/>
  <c r="T222" i="124"/>
  <c r="T144" i="124"/>
  <c r="T143" i="124"/>
  <c r="T65" i="124"/>
  <c r="T64" i="124"/>
  <c r="U8" i="124"/>
  <c r="U8" i="120"/>
  <c r="T143" i="120"/>
  <c r="T64" i="120"/>
  <c r="T301" i="120"/>
  <c r="T65" i="120"/>
  <c r="T222" i="120"/>
  <c r="T144" i="120"/>
  <c r="T302" i="120"/>
  <c r="T223" i="120"/>
  <c r="BA8" i="120"/>
  <c r="AZ65" i="120"/>
  <c r="AZ64" i="120"/>
  <c r="CH6" i="119"/>
  <c r="CG6" i="118"/>
  <c r="CH6" i="117"/>
  <c r="DE31" i="67"/>
  <c r="DE49" i="67"/>
  <c r="DE18" i="67"/>
  <c r="DE19" i="67" s="1"/>
  <c r="DE20" i="67" s="1"/>
  <c r="DE21" i="67" s="1"/>
  <c r="DE24" i="67"/>
  <c r="DE25" i="67" s="1"/>
  <c r="DE10" i="67"/>
  <c r="AV49" i="125"/>
  <c r="AV29" i="125"/>
  <c r="AV108" i="125"/>
  <c r="AV187" i="125"/>
  <c r="AV266" i="125"/>
  <c r="AV207" i="125"/>
  <c r="AV128" i="125"/>
  <c r="AV286" i="125"/>
  <c r="DE51" i="67" l="1"/>
  <c r="DE33" i="67"/>
  <c r="DE53" i="67" s="1"/>
  <c r="BB302" i="126"/>
  <c r="BB301" i="126"/>
  <c r="BB222" i="126"/>
  <c r="BB223" i="126"/>
  <c r="BB143" i="126"/>
  <c r="BB144" i="126"/>
  <c r="BB64" i="126"/>
  <c r="BB65" i="126"/>
  <c r="BC8" i="126"/>
  <c r="V302" i="126"/>
  <c r="V301" i="126"/>
  <c r="V223" i="126"/>
  <c r="V144" i="126"/>
  <c r="V143" i="126"/>
  <c r="V222" i="126"/>
  <c r="V65" i="126"/>
  <c r="V64" i="126"/>
  <c r="W8" i="126"/>
  <c r="AV213" i="125"/>
  <c r="AV134" i="125"/>
  <c r="AV292" i="125"/>
  <c r="AV337" i="125"/>
  <c r="AV55" i="125"/>
  <c r="BB302" i="125"/>
  <c r="BB301" i="125"/>
  <c r="BB222" i="125"/>
  <c r="BB223" i="125"/>
  <c r="BB144" i="125"/>
  <c r="BB143" i="125"/>
  <c r="BB65" i="125"/>
  <c r="BC8" i="125"/>
  <c r="BB64" i="125"/>
  <c r="V302" i="125"/>
  <c r="V301" i="125"/>
  <c r="V222" i="125"/>
  <c r="V223" i="125"/>
  <c r="V143" i="125"/>
  <c r="V144" i="125"/>
  <c r="V64" i="125"/>
  <c r="W8" i="125"/>
  <c r="V65" i="125"/>
  <c r="U302" i="124"/>
  <c r="U301" i="124"/>
  <c r="U223" i="124"/>
  <c r="U222" i="124"/>
  <c r="U144" i="124"/>
  <c r="U143" i="124"/>
  <c r="U65" i="124"/>
  <c r="U64" i="124"/>
  <c r="V8" i="124"/>
  <c r="BA302" i="124"/>
  <c r="BA301" i="124"/>
  <c r="BA222" i="124"/>
  <c r="BA223" i="124"/>
  <c r="BA143" i="124"/>
  <c r="BA144" i="124"/>
  <c r="BA64" i="124"/>
  <c r="BA65" i="124"/>
  <c r="BB8" i="124"/>
  <c r="BA301" i="120"/>
  <c r="BA302" i="120"/>
  <c r="BA222" i="120"/>
  <c r="BA143" i="120"/>
  <c r="BA223" i="120"/>
  <c r="BA144" i="120"/>
  <c r="BB8" i="120"/>
  <c r="BA65" i="120"/>
  <c r="BA64" i="120"/>
  <c r="V8" i="120"/>
  <c r="U302" i="120"/>
  <c r="U223" i="120"/>
  <c r="U144" i="120"/>
  <c r="U143" i="120"/>
  <c r="U65" i="120"/>
  <c r="U64" i="120"/>
  <c r="U301" i="120"/>
  <c r="U222" i="120"/>
  <c r="CI6" i="119"/>
  <c r="CH6" i="118"/>
  <c r="CI6" i="117"/>
  <c r="DE11" i="67"/>
  <c r="DE12" i="67" s="1"/>
  <c r="DE43" i="67"/>
  <c r="DE37" i="67"/>
  <c r="DE38" i="67"/>
  <c r="AW108" i="125"/>
  <c r="AW128" i="125"/>
  <c r="AW187" i="125"/>
  <c r="AW49" i="125"/>
  <c r="AW286" i="125"/>
  <c r="AW207" i="125"/>
  <c r="AW266" i="125"/>
  <c r="AW29" i="125"/>
  <c r="BC302" i="126" l="1"/>
  <c r="BC301" i="126"/>
  <c r="BC223" i="126"/>
  <c r="BC222" i="126"/>
  <c r="BC144" i="126"/>
  <c r="BC143" i="126"/>
  <c r="BC64" i="126"/>
  <c r="BC65" i="126"/>
  <c r="BD8" i="126"/>
  <c r="W302" i="126"/>
  <c r="W301" i="126"/>
  <c r="W222" i="126"/>
  <c r="W223" i="126"/>
  <c r="W144" i="126"/>
  <c r="W65" i="126"/>
  <c r="W64" i="126"/>
  <c r="W143" i="126"/>
  <c r="X8" i="126"/>
  <c r="AW337" i="125"/>
  <c r="AW55" i="125"/>
  <c r="AW292" i="125"/>
  <c r="AW213" i="125"/>
  <c r="AW134" i="125"/>
  <c r="BC301" i="125"/>
  <c r="BC302" i="125"/>
  <c r="BC222" i="125"/>
  <c r="BC223" i="125"/>
  <c r="BC143" i="125"/>
  <c r="BC144" i="125"/>
  <c r="BC65" i="125"/>
  <c r="BC64" i="125"/>
  <c r="BD8" i="125"/>
  <c r="W302" i="125"/>
  <c r="W301" i="125"/>
  <c r="W222" i="125"/>
  <c r="W223" i="125"/>
  <c r="W143" i="125"/>
  <c r="W144" i="125"/>
  <c r="X8" i="125"/>
  <c r="W64" i="125"/>
  <c r="W65" i="125"/>
  <c r="BB301" i="120"/>
  <c r="BB302" i="120"/>
  <c r="BB222" i="120"/>
  <c r="BB143" i="120"/>
  <c r="BB223" i="120"/>
  <c r="BB144" i="120"/>
  <c r="V302" i="124"/>
  <c r="V301" i="124"/>
  <c r="V223" i="124"/>
  <c r="V222" i="124"/>
  <c r="V143" i="124"/>
  <c r="V144" i="124"/>
  <c r="V65" i="124"/>
  <c r="V64" i="124"/>
  <c r="W8" i="124"/>
  <c r="BB301" i="124"/>
  <c r="BB302" i="124"/>
  <c r="BB222" i="124"/>
  <c r="BB223" i="124"/>
  <c r="BB144" i="124"/>
  <c r="BB64" i="124"/>
  <c r="BB143" i="124"/>
  <c r="BB65" i="124"/>
  <c r="BC8" i="124"/>
  <c r="W8" i="120"/>
  <c r="V301" i="120"/>
  <c r="V302" i="120"/>
  <c r="V223" i="120"/>
  <c r="V144" i="120"/>
  <c r="V64" i="120"/>
  <c r="V222" i="120"/>
  <c r="V143" i="120"/>
  <c r="V65" i="120"/>
  <c r="BC8" i="120"/>
  <c r="BB65" i="120"/>
  <c r="BB64" i="120"/>
  <c r="CJ6" i="119"/>
  <c r="CI6" i="118"/>
  <c r="CJ6" i="117"/>
  <c r="DE39" i="67"/>
  <c r="L78" i="30"/>
  <c r="K78" i="30"/>
  <c r="J78" i="30"/>
  <c r="I78" i="30"/>
  <c r="B59" i="30"/>
  <c r="B45" i="30"/>
  <c r="B31" i="30"/>
  <c r="B17" i="30"/>
  <c r="B3" i="30"/>
  <c r="Y27" i="2"/>
  <c r="Y23" i="2"/>
  <c r="Y22" i="2"/>
  <c r="Y20" i="2"/>
  <c r="Y14" i="2"/>
  <c r="Y13" i="2"/>
  <c r="Y12" i="2"/>
  <c r="V4" i="2"/>
  <c r="R4" i="2"/>
  <c r="N4" i="2"/>
  <c r="J4" i="2"/>
  <c r="D57" i="1"/>
  <c r="D56" i="1"/>
  <c r="D55" i="1"/>
  <c r="D54" i="1"/>
  <c r="D53" i="1"/>
  <c r="D52" i="1"/>
  <c r="D51" i="1"/>
  <c r="D50" i="1"/>
  <c r="E53" i="1"/>
  <c r="E57" i="1" s="1"/>
  <c r="D49" i="1"/>
  <c r="E52" i="1"/>
  <c r="E56" i="1" s="1"/>
  <c r="D48" i="1"/>
  <c r="E51" i="1"/>
  <c r="E55" i="1" s="1"/>
  <c r="D47" i="1"/>
  <c r="E50" i="1"/>
  <c r="E54" i="1" s="1"/>
  <c r="D46" i="1"/>
  <c r="C63" i="1"/>
  <c r="C62" i="1"/>
  <c r="D32" i="1"/>
  <c r="D31" i="1"/>
  <c r="D30" i="1"/>
  <c r="D29" i="1"/>
  <c r="E28" i="1"/>
  <c r="E32" i="1" s="1"/>
  <c r="D28" i="1"/>
  <c r="E27" i="1"/>
  <c r="E31" i="1" s="1"/>
  <c r="D27" i="1"/>
  <c r="E26" i="1"/>
  <c r="E30" i="1" s="1"/>
  <c r="D26" i="1"/>
  <c r="E25" i="1"/>
  <c r="E29" i="1" s="1"/>
  <c r="D25" i="1"/>
  <c r="D24" i="1"/>
  <c r="D23" i="1"/>
  <c r="D22" i="1"/>
  <c r="D21" i="1"/>
  <c r="BC170" i="126" s="1"/>
  <c r="D20" i="1"/>
  <c r="D19" i="1"/>
  <c r="D18" i="1"/>
  <c r="D17" i="1"/>
  <c r="E16" i="1"/>
  <c r="E20" i="1" s="1"/>
  <c r="D16" i="1"/>
  <c r="E15" i="1"/>
  <c r="E19" i="1" s="1"/>
  <c r="D15" i="1"/>
  <c r="E14" i="1"/>
  <c r="E18" i="1" s="1"/>
  <c r="D14" i="1"/>
  <c r="E13" i="1"/>
  <c r="E17" i="1" s="1"/>
  <c r="D13" i="1"/>
  <c r="G28" i="1"/>
  <c r="L28" i="1" s="1"/>
  <c r="D12" i="1"/>
  <c r="D11" i="1"/>
  <c r="G30" i="1"/>
  <c r="L30" i="1" s="1"/>
  <c r="D10" i="1"/>
  <c r="D9" i="1"/>
  <c r="C9" i="1"/>
  <c r="C37" i="1"/>
  <c r="D39" i="8"/>
  <c r="G16" i="30" s="1"/>
  <c r="K16" i="30" s="1"/>
  <c r="D38" i="8"/>
  <c r="F16" i="30" s="1"/>
  <c r="J16" i="30" s="1"/>
  <c r="AX207" i="125"/>
  <c r="AX108" i="125"/>
  <c r="AX286" i="125"/>
  <c r="AX128" i="125"/>
  <c r="AX49" i="125"/>
  <c r="AX187" i="125"/>
  <c r="AX266" i="125"/>
  <c r="AX29" i="125"/>
  <c r="BC228" i="126" l="1" a="1"/>
  <c r="BC228" i="126" s="1"/>
  <c r="BC227" i="126" a="1"/>
  <c r="BC227" i="126" s="1"/>
  <c r="BC184" i="126"/>
  <c r="BC174" i="126"/>
  <c r="BC185" i="126"/>
  <c r="X302" i="126"/>
  <c r="X301" i="126"/>
  <c r="X222" i="126"/>
  <c r="X223" i="126"/>
  <c r="X143" i="126"/>
  <c r="X144" i="126"/>
  <c r="X64" i="126"/>
  <c r="Y8" i="126"/>
  <c r="X65" i="126"/>
  <c r="X249" i="126"/>
  <c r="X12" i="126"/>
  <c r="X91" i="126"/>
  <c r="X170" i="126"/>
  <c r="BC12" i="126"/>
  <c r="AN249" i="126"/>
  <c r="AN207" i="126"/>
  <c r="AN286" i="126"/>
  <c r="AN128" i="126"/>
  <c r="AN91" i="126"/>
  <c r="AN12" i="126"/>
  <c r="AN170" i="126"/>
  <c r="AN49" i="126"/>
  <c r="AO170" i="126"/>
  <c r="AO91" i="126"/>
  <c r="AO12" i="126"/>
  <c r="AO249" i="126"/>
  <c r="AP249" i="126"/>
  <c r="AP12" i="126"/>
  <c r="AP91" i="126"/>
  <c r="AP170" i="126"/>
  <c r="AQ249" i="126"/>
  <c r="AQ91" i="126"/>
  <c r="AQ170" i="126"/>
  <c r="AQ12" i="126"/>
  <c r="AR249" i="126"/>
  <c r="AR12" i="126"/>
  <c r="AR91" i="126"/>
  <c r="AR170" i="126"/>
  <c r="AS249" i="126"/>
  <c r="AS91" i="126"/>
  <c r="AS170" i="126"/>
  <c r="AS12" i="126"/>
  <c r="AT249" i="126"/>
  <c r="AT12" i="126"/>
  <c r="AT91" i="126"/>
  <c r="AT170" i="126"/>
  <c r="AU249" i="126"/>
  <c r="AU170" i="126"/>
  <c r="AU91" i="126"/>
  <c r="AU12" i="126"/>
  <c r="AV170" i="126"/>
  <c r="AV91" i="126"/>
  <c r="AV12" i="126"/>
  <c r="AV249" i="126"/>
  <c r="AW170" i="126"/>
  <c r="AW91" i="126"/>
  <c r="AW12" i="126"/>
  <c r="AW249" i="126"/>
  <c r="AX249" i="126"/>
  <c r="AX12" i="126"/>
  <c r="AX91" i="126"/>
  <c r="AX170" i="126"/>
  <c r="AY91" i="126"/>
  <c r="AY12" i="126"/>
  <c r="AY170" i="126"/>
  <c r="AY249" i="126"/>
  <c r="AZ170" i="126"/>
  <c r="AZ249" i="126"/>
  <c r="AZ12" i="126"/>
  <c r="AZ91" i="126"/>
  <c r="BA249" i="126"/>
  <c r="BA91" i="126"/>
  <c r="BA170" i="126"/>
  <c r="BA12" i="126"/>
  <c r="BB249" i="126"/>
  <c r="BB12" i="126"/>
  <c r="BB91" i="126"/>
  <c r="BB170" i="126"/>
  <c r="H286" i="126"/>
  <c r="H249" i="126"/>
  <c r="H207" i="126"/>
  <c r="H12" i="126"/>
  <c r="H49" i="126"/>
  <c r="H91" i="126"/>
  <c r="H170" i="126"/>
  <c r="H128" i="126"/>
  <c r="I249" i="126"/>
  <c r="I170" i="126"/>
  <c r="I12" i="126"/>
  <c r="I91" i="126"/>
  <c r="J249" i="126"/>
  <c r="J12" i="126"/>
  <c r="J170" i="126"/>
  <c r="J91" i="126"/>
  <c r="K249" i="126"/>
  <c r="K91" i="126"/>
  <c r="K12" i="126"/>
  <c r="K170" i="126"/>
  <c r="L91" i="126"/>
  <c r="L12" i="126"/>
  <c r="L170" i="126"/>
  <c r="L249" i="126"/>
  <c r="M249" i="126"/>
  <c r="M12" i="126"/>
  <c r="M91" i="126"/>
  <c r="M170" i="126"/>
  <c r="N170" i="126"/>
  <c r="N249" i="126"/>
  <c r="N91" i="126"/>
  <c r="N12" i="126"/>
  <c r="O249" i="126"/>
  <c r="O170" i="126"/>
  <c r="O91" i="126"/>
  <c r="O12" i="126"/>
  <c r="P91" i="126"/>
  <c r="P170" i="126"/>
  <c r="P249" i="126"/>
  <c r="P12" i="126"/>
  <c r="Q170" i="126"/>
  <c r="Q249" i="126"/>
  <c r="Q12" i="126"/>
  <c r="Q91" i="126"/>
  <c r="R170" i="126"/>
  <c r="R91" i="126"/>
  <c r="R249" i="126"/>
  <c r="R12" i="126"/>
  <c r="S249" i="126"/>
  <c r="S91" i="126"/>
  <c r="S12" i="126"/>
  <c r="S170" i="126"/>
  <c r="T249" i="126"/>
  <c r="T170" i="126"/>
  <c r="T91" i="126"/>
  <c r="T12" i="126"/>
  <c r="U91" i="126"/>
  <c r="U170" i="126"/>
  <c r="U249" i="126"/>
  <c r="U12" i="126"/>
  <c r="V249" i="126"/>
  <c r="V91" i="126"/>
  <c r="V170" i="126"/>
  <c r="V12" i="126"/>
  <c r="W91" i="126"/>
  <c r="BC91" i="126"/>
  <c r="W12" i="126"/>
  <c r="BC249" i="126"/>
  <c r="W170" i="126"/>
  <c r="W249" i="126"/>
  <c r="BD302" i="126"/>
  <c r="BD301" i="126"/>
  <c r="BD223" i="126"/>
  <c r="BD222" i="126"/>
  <c r="BD143" i="126"/>
  <c r="BD144" i="126"/>
  <c r="BD65" i="126"/>
  <c r="BE8" i="126"/>
  <c r="BD64" i="126"/>
  <c r="BD249" i="126"/>
  <c r="BD170" i="126"/>
  <c r="BD91" i="126"/>
  <c r="BD12" i="126"/>
  <c r="AX134" i="125"/>
  <c r="AX213" i="125"/>
  <c r="AX55" i="125"/>
  <c r="AX337" i="125"/>
  <c r="AX292" i="125"/>
  <c r="I49" i="124"/>
  <c r="I55" i="124" s="1"/>
  <c r="I128" i="124"/>
  <c r="I134" i="124" s="1"/>
  <c r="I286" i="124"/>
  <c r="I292" i="124" s="1"/>
  <c r="I207" i="124"/>
  <c r="I213" i="124" s="1"/>
  <c r="V249" i="124"/>
  <c r="V306" i="124" s="1" a="1"/>
  <c r="V306" i="124" s="1"/>
  <c r="X302" i="125"/>
  <c r="X301" i="125"/>
  <c r="X223" i="125"/>
  <c r="X222" i="125"/>
  <c r="X143" i="125"/>
  <c r="X144" i="125"/>
  <c r="X64" i="125"/>
  <c r="X65" i="125"/>
  <c r="Y8" i="125"/>
  <c r="AO286" i="124"/>
  <c r="AO128" i="124"/>
  <c r="AO49" i="124"/>
  <c r="AO207" i="124"/>
  <c r="V12" i="124"/>
  <c r="V26" i="124" s="1"/>
  <c r="BB170" i="124"/>
  <c r="BB228" i="124" s="1" a="1"/>
  <c r="BB228" i="124" s="1"/>
  <c r="BB91" i="124"/>
  <c r="BB95" i="124" s="1"/>
  <c r="BD301" i="125"/>
  <c r="BD302" i="125"/>
  <c r="BD223" i="125"/>
  <c r="BD222" i="125"/>
  <c r="BD144" i="125"/>
  <c r="BD143" i="125"/>
  <c r="BD65" i="125"/>
  <c r="BE8" i="125"/>
  <c r="BD64" i="125"/>
  <c r="BC301" i="120"/>
  <c r="BC302" i="120"/>
  <c r="BC222" i="120"/>
  <c r="BC143" i="120"/>
  <c r="BC223" i="120"/>
  <c r="BC144" i="120"/>
  <c r="BC170" i="120"/>
  <c r="BC249" i="120"/>
  <c r="H286" i="124"/>
  <c r="H207" i="124"/>
  <c r="H49" i="124"/>
  <c r="H128" i="124"/>
  <c r="H91" i="124"/>
  <c r="H249" i="124"/>
  <c r="H12" i="124"/>
  <c r="H170" i="124"/>
  <c r="I249" i="124"/>
  <c r="I12" i="124"/>
  <c r="I170" i="124"/>
  <c r="I91" i="124"/>
  <c r="J249" i="124"/>
  <c r="J170" i="124"/>
  <c r="J12" i="124"/>
  <c r="J91" i="124"/>
  <c r="K249" i="124"/>
  <c r="K170" i="124"/>
  <c r="K91" i="124"/>
  <c r="K12" i="124"/>
  <c r="L91" i="124"/>
  <c r="L12" i="124"/>
  <c r="L170" i="124"/>
  <c r="L249" i="124"/>
  <c r="M249" i="124"/>
  <c r="M12" i="124"/>
  <c r="M91" i="124"/>
  <c r="M170" i="124"/>
  <c r="N170" i="124"/>
  <c r="N12" i="124"/>
  <c r="N91" i="124"/>
  <c r="N249" i="124"/>
  <c r="O249" i="124"/>
  <c r="O170" i="124"/>
  <c r="O91" i="124"/>
  <c r="O12" i="124"/>
  <c r="P249" i="124"/>
  <c r="P12" i="124"/>
  <c r="P170" i="124"/>
  <c r="P91" i="124"/>
  <c r="Q91" i="124"/>
  <c r="Q12" i="124"/>
  <c r="Q170" i="124"/>
  <c r="Q249" i="124"/>
  <c r="R249" i="124"/>
  <c r="R91" i="124"/>
  <c r="R12" i="124"/>
  <c r="R170" i="124"/>
  <c r="S249" i="124"/>
  <c r="S91" i="124"/>
  <c r="S170" i="124"/>
  <c r="S12" i="124"/>
  <c r="T170" i="124"/>
  <c r="T91" i="124"/>
  <c r="T12" i="124"/>
  <c r="T249" i="124"/>
  <c r="U249" i="124"/>
  <c r="U91" i="124"/>
  <c r="U170" i="124"/>
  <c r="U12" i="124"/>
  <c r="V91" i="124"/>
  <c r="AN286" i="124"/>
  <c r="AN207" i="124"/>
  <c r="AN49" i="124"/>
  <c r="AN128" i="124"/>
  <c r="AN286" i="120"/>
  <c r="AN207" i="120"/>
  <c r="AN249" i="124"/>
  <c r="AN91" i="124"/>
  <c r="AN170" i="124"/>
  <c r="AN249" i="120"/>
  <c r="AN170" i="120"/>
  <c r="AN12" i="124"/>
  <c r="AO170" i="124"/>
  <c r="AO249" i="124"/>
  <c r="AO91" i="124"/>
  <c r="AO170" i="120"/>
  <c r="AO12" i="124"/>
  <c r="AO249" i="120"/>
  <c r="AP170" i="120"/>
  <c r="AP249" i="124"/>
  <c r="AP249" i="120"/>
  <c r="AP170" i="124"/>
  <c r="AP12" i="124"/>
  <c r="AP91" i="124"/>
  <c r="AQ170" i="120"/>
  <c r="AQ249" i="124"/>
  <c r="AQ91" i="124"/>
  <c r="AQ12" i="124"/>
  <c r="AQ170" i="124"/>
  <c r="AQ249" i="120"/>
  <c r="AR91" i="124"/>
  <c r="AR249" i="124"/>
  <c r="AR170" i="124"/>
  <c r="AR170" i="120"/>
  <c r="AR12" i="124"/>
  <c r="AR249" i="120"/>
  <c r="AS170" i="120"/>
  <c r="AS249" i="124"/>
  <c r="AS249" i="120"/>
  <c r="AS12" i="124"/>
  <c r="AS170" i="124"/>
  <c r="AS91" i="124"/>
  <c r="AT170" i="120"/>
  <c r="AT249" i="120"/>
  <c r="AT249" i="124"/>
  <c r="AT170" i="124"/>
  <c r="AT91" i="124"/>
  <c r="AT12" i="124"/>
  <c r="AU91" i="124"/>
  <c r="AU12" i="124"/>
  <c r="AU170" i="120"/>
  <c r="AU249" i="120"/>
  <c r="AU249" i="124"/>
  <c r="AU170" i="124"/>
  <c r="AV249" i="120"/>
  <c r="AV170" i="120"/>
  <c r="AV249" i="124"/>
  <c r="AV170" i="124"/>
  <c r="AV91" i="124"/>
  <c r="AV12" i="124"/>
  <c r="AW91" i="124"/>
  <c r="AW12" i="124"/>
  <c r="AW170" i="124"/>
  <c r="AW170" i="120"/>
  <c r="AW249" i="120"/>
  <c r="AW249" i="124"/>
  <c r="AX249" i="124"/>
  <c r="AX12" i="124"/>
  <c r="AX91" i="124"/>
  <c r="AX170" i="124"/>
  <c r="AX170" i="120"/>
  <c r="AX249" i="120"/>
  <c r="AY249" i="124"/>
  <c r="AY170" i="124"/>
  <c r="AY170" i="120"/>
  <c r="AY91" i="124"/>
  <c r="AY12" i="124"/>
  <c r="AY249" i="120"/>
  <c r="AZ170" i="120"/>
  <c r="AZ249" i="124"/>
  <c r="AZ12" i="124"/>
  <c r="AZ91" i="124"/>
  <c r="AZ249" i="120"/>
  <c r="AZ170" i="124"/>
  <c r="BA91" i="124"/>
  <c r="BA249" i="124"/>
  <c r="BA249" i="120"/>
  <c r="BA12" i="124"/>
  <c r="BA170" i="120"/>
  <c r="BA170" i="124"/>
  <c r="BB12" i="124"/>
  <c r="BC301" i="124"/>
  <c r="BC302" i="124"/>
  <c r="BC223" i="124"/>
  <c r="BC222" i="124"/>
  <c r="BC144" i="124"/>
  <c r="BC143" i="124"/>
  <c r="BC64" i="124"/>
  <c r="BC65" i="124"/>
  <c r="BD8" i="124"/>
  <c r="BC249" i="124"/>
  <c r="BC91" i="124"/>
  <c r="BC12" i="124"/>
  <c r="BC170" i="124"/>
  <c r="W301" i="124"/>
  <c r="W302" i="124"/>
  <c r="W222" i="124"/>
  <c r="W223" i="124"/>
  <c r="W143" i="124"/>
  <c r="W144" i="124"/>
  <c r="W65" i="124"/>
  <c r="W64" i="124"/>
  <c r="X8" i="124"/>
  <c r="W249" i="124"/>
  <c r="W170" i="124"/>
  <c r="W91" i="124"/>
  <c r="W12" i="124"/>
  <c r="BB249" i="120"/>
  <c r="BB170" i="120"/>
  <c r="BB249" i="124"/>
  <c r="V170" i="124"/>
  <c r="AN128" i="120"/>
  <c r="AN91" i="120"/>
  <c r="AO91" i="120"/>
  <c r="AP91" i="120"/>
  <c r="AQ91" i="120"/>
  <c r="AR91" i="120"/>
  <c r="AS91" i="120"/>
  <c r="AT91" i="120"/>
  <c r="AU91" i="120"/>
  <c r="AV91" i="120"/>
  <c r="AW91" i="120"/>
  <c r="AX91" i="120"/>
  <c r="AY91" i="120"/>
  <c r="AZ91" i="120"/>
  <c r="BA91" i="120"/>
  <c r="X8" i="120"/>
  <c r="W301" i="120"/>
  <c r="W222" i="120"/>
  <c r="W143" i="120"/>
  <c r="W65" i="120"/>
  <c r="W64" i="120"/>
  <c r="W302" i="120"/>
  <c r="W223" i="120"/>
  <c r="W144" i="120"/>
  <c r="BB91" i="120"/>
  <c r="BD8" i="120"/>
  <c r="BD12" i="120" s="1"/>
  <c r="BC64" i="120"/>
  <c r="BC65" i="120"/>
  <c r="BC91" i="120"/>
  <c r="H128" i="120"/>
  <c r="H134" i="120" s="1"/>
  <c r="H49" i="120"/>
  <c r="H55" i="120" s="1"/>
  <c r="H207" i="120"/>
  <c r="H213" i="120" s="1"/>
  <c r="H286" i="120"/>
  <c r="H292" i="120" s="1"/>
  <c r="AN49" i="120"/>
  <c r="AM12" i="120"/>
  <c r="AZ12" i="120"/>
  <c r="AR12" i="120"/>
  <c r="AO12" i="120"/>
  <c r="BB12" i="120"/>
  <c r="AT12" i="120"/>
  <c r="AM49" i="120"/>
  <c r="AP12" i="120"/>
  <c r="AQ12" i="120"/>
  <c r="AV12" i="120"/>
  <c r="BC12" i="120"/>
  <c r="BA12" i="120"/>
  <c r="AN12" i="120"/>
  <c r="AU12" i="120"/>
  <c r="AS12" i="120"/>
  <c r="AW12" i="120"/>
  <c r="AX12" i="120"/>
  <c r="AY12" i="120"/>
  <c r="X249" i="120"/>
  <c r="V249" i="120"/>
  <c r="J170" i="120"/>
  <c r="P170" i="120"/>
  <c r="W170" i="120"/>
  <c r="P249" i="120"/>
  <c r="N249" i="120"/>
  <c r="G207" i="120"/>
  <c r="H170" i="120"/>
  <c r="O170" i="120"/>
  <c r="G286" i="120"/>
  <c r="H249" i="120"/>
  <c r="O249" i="120"/>
  <c r="G170" i="120"/>
  <c r="W249" i="120"/>
  <c r="T249" i="120"/>
  <c r="G249" i="120"/>
  <c r="U249" i="120"/>
  <c r="S249" i="120"/>
  <c r="R249" i="120"/>
  <c r="Q249" i="120"/>
  <c r="K249" i="120"/>
  <c r="J249" i="120"/>
  <c r="I249" i="120"/>
  <c r="M249" i="120"/>
  <c r="L249" i="120"/>
  <c r="R170" i="120"/>
  <c r="X170" i="120"/>
  <c r="Q91" i="120"/>
  <c r="I12" i="120"/>
  <c r="L12" i="120"/>
  <c r="I170" i="120"/>
  <c r="I91" i="120"/>
  <c r="W91" i="120"/>
  <c r="U91" i="120"/>
  <c r="S91" i="120"/>
  <c r="S12" i="120"/>
  <c r="X12" i="120"/>
  <c r="T170" i="120"/>
  <c r="U170" i="120"/>
  <c r="O91" i="120"/>
  <c r="M91" i="120"/>
  <c r="K91" i="120"/>
  <c r="K12" i="120"/>
  <c r="R12" i="120"/>
  <c r="P12" i="120"/>
  <c r="L170" i="120"/>
  <c r="G91" i="120"/>
  <c r="G49" i="120"/>
  <c r="J12" i="120"/>
  <c r="H12" i="120"/>
  <c r="V170" i="120"/>
  <c r="G128" i="120"/>
  <c r="X91" i="120"/>
  <c r="V91" i="120"/>
  <c r="W12" i="120"/>
  <c r="T91" i="120"/>
  <c r="N170" i="120"/>
  <c r="Q170" i="120"/>
  <c r="K170" i="120"/>
  <c r="P91" i="120"/>
  <c r="N91" i="120"/>
  <c r="L91" i="120"/>
  <c r="O12" i="120"/>
  <c r="H91" i="120"/>
  <c r="G12" i="120"/>
  <c r="U12" i="120"/>
  <c r="M170" i="120"/>
  <c r="S170" i="120"/>
  <c r="J91" i="120"/>
  <c r="Q12" i="120"/>
  <c r="M12" i="120"/>
  <c r="T12" i="120"/>
  <c r="R91" i="120"/>
  <c r="V12" i="120"/>
  <c r="N12" i="120"/>
  <c r="CK6" i="119"/>
  <c r="CJ6" i="118"/>
  <c r="CK6" i="117"/>
  <c r="DH55" i="82"/>
  <c r="DI55" i="82" s="1"/>
  <c r="DJ55" i="82" s="1"/>
  <c r="V37" i="2"/>
  <c r="V38" i="2"/>
  <c r="J38" i="2"/>
  <c r="J37" i="2"/>
  <c r="N37" i="2"/>
  <c r="N38" i="2"/>
  <c r="R37" i="2"/>
  <c r="R38" i="2"/>
  <c r="R21" i="2"/>
  <c r="R39" i="2"/>
  <c r="R41" i="2"/>
  <c r="R40" i="2"/>
  <c r="V21" i="2"/>
  <c r="V39" i="2"/>
  <c r="V41" i="2"/>
  <c r="V40" i="2"/>
  <c r="N21" i="2"/>
  <c r="N39" i="2"/>
  <c r="N40" i="2"/>
  <c r="N41" i="2"/>
  <c r="J41" i="2"/>
  <c r="J40" i="2"/>
  <c r="J39" i="2"/>
  <c r="J21" i="2"/>
  <c r="DH56" i="82"/>
  <c r="DI56" i="82" s="1"/>
  <c r="DJ56" i="82" s="1"/>
  <c r="O4" i="2"/>
  <c r="K4" i="2"/>
  <c r="S4" i="2"/>
  <c r="W4" i="2"/>
  <c r="DE26" i="67"/>
  <c r="DE27" i="67" s="1"/>
  <c r="G21" i="1"/>
  <c r="G31" i="1"/>
  <c r="L31" i="1" s="1"/>
  <c r="I30" i="1"/>
  <c r="I28" i="1"/>
  <c r="V11" i="1"/>
  <c r="V9" i="1"/>
  <c r="C24" i="1"/>
  <c r="C17" i="1"/>
  <c r="C18" i="1"/>
  <c r="C19" i="1"/>
  <c r="C20" i="1"/>
  <c r="C23" i="1"/>
  <c r="C25" i="1"/>
  <c r="C26" i="1"/>
  <c r="C27" i="1"/>
  <c r="C28" i="1"/>
  <c r="C22" i="1"/>
  <c r="C10" i="1"/>
  <c r="C11" i="1"/>
  <c r="C12" i="1"/>
  <c r="C13" i="1"/>
  <c r="C14" i="1"/>
  <c r="C15" i="1"/>
  <c r="C16" i="1"/>
  <c r="C29" i="1"/>
  <c r="C30" i="1"/>
  <c r="C31" i="1"/>
  <c r="C32" i="1"/>
  <c r="G24" i="1"/>
  <c r="L24" i="1" s="1"/>
  <c r="G26" i="1"/>
  <c r="L26" i="1" s="1"/>
  <c r="G32" i="1"/>
  <c r="L32" i="1" s="1"/>
  <c r="G22" i="1"/>
  <c r="L22" i="1" s="1"/>
  <c r="H30" i="1"/>
  <c r="H28" i="1"/>
  <c r="V12" i="1"/>
  <c r="G23" i="1"/>
  <c r="L23" i="1" s="1"/>
  <c r="V10" i="1"/>
  <c r="DE45" i="67"/>
  <c r="DE40" i="67"/>
  <c r="DE41" i="67"/>
  <c r="S36" i="30"/>
  <c r="S50" i="30" s="1"/>
  <c r="AR170" i="125"/>
  <c r="AM249" i="125"/>
  <c r="AP170" i="125"/>
  <c r="AS91" i="125"/>
  <c r="AY49" i="125"/>
  <c r="AS12" i="125"/>
  <c r="AM91" i="125"/>
  <c r="AY12" i="125"/>
  <c r="AO91" i="125"/>
  <c r="AR91" i="125"/>
  <c r="BZ13" i="67" a="1"/>
  <c r="AX249" i="125"/>
  <c r="AQ170" i="125"/>
  <c r="AV12" i="125"/>
  <c r="AY207" i="125"/>
  <c r="AX12" i="125"/>
  <c r="AN207" i="125"/>
  <c r="AN170" i="125"/>
  <c r="AO207" i="125"/>
  <c r="AY29" i="125"/>
  <c r="G91" i="125"/>
  <c r="AS249" i="125"/>
  <c r="AR12" i="125"/>
  <c r="AO49" i="125"/>
  <c r="AN286" i="125"/>
  <c r="AM207" i="125"/>
  <c r="G170" i="125"/>
  <c r="AT12" i="125"/>
  <c r="AO170" i="125"/>
  <c r="AY128" i="125"/>
  <c r="G49" i="125"/>
  <c r="AW91" i="125"/>
  <c r="AY91" i="125"/>
  <c r="AY286" i="125"/>
  <c r="G12" i="125"/>
  <c r="AM170" i="125"/>
  <c r="AY170" i="125"/>
  <c r="AQ249" i="125"/>
  <c r="AS170" i="125"/>
  <c r="AY108" i="125"/>
  <c r="AP91" i="125"/>
  <c r="AO286" i="125"/>
  <c r="AU170" i="125"/>
  <c r="AV91" i="125"/>
  <c r="AW170" i="125"/>
  <c r="AU91" i="125"/>
  <c r="AN49" i="125"/>
  <c r="AN249" i="125"/>
  <c r="AV249" i="125"/>
  <c r="AM128" i="125"/>
  <c r="AO128" i="125"/>
  <c r="AM286" i="125"/>
  <c r="AW249" i="125"/>
  <c r="AU249" i="125"/>
  <c r="AX91" i="125"/>
  <c r="BZ44" i="67" a="1"/>
  <c r="AN128" i="125"/>
  <c r="AN12" i="125"/>
  <c r="AY266" i="125"/>
  <c r="AQ91" i="125"/>
  <c r="AO12" i="125"/>
  <c r="AY187" i="125"/>
  <c r="AT249" i="125"/>
  <c r="G249" i="125"/>
  <c r="AR249" i="125"/>
  <c r="AN91" i="125"/>
  <c r="AQ12" i="125"/>
  <c r="AP249" i="125"/>
  <c r="AW12" i="125"/>
  <c r="AO249" i="125"/>
  <c r="AV170" i="125"/>
  <c r="AP12" i="125"/>
  <c r="AX170" i="125"/>
  <c r="AT91" i="125"/>
  <c r="AT170" i="125"/>
  <c r="AU12" i="125"/>
  <c r="AM49" i="125"/>
  <c r="AM12" i="125"/>
  <c r="AY249" i="125"/>
  <c r="BB149" i="124" l="1" a="1"/>
  <c r="BB149" i="124" s="1"/>
  <c r="BB105" i="124"/>
  <c r="BB148" i="124" a="1"/>
  <c r="BB148" i="124" s="1"/>
  <c r="BB106" i="124"/>
  <c r="V253" i="124"/>
  <c r="BE302" i="126"/>
  <c r="BE301" i="126"/>
  <c r="BE223" i="126"/>
  <c r="BE222" i="126"/>
  <c r="BE144" i="126"/>
  <c r="BE143" i="126"/>
  <c r="BE65" i="126"/>
  <c r="BE64" i="126"/>
  <c r="BF8" i="126"/>
  <c r="BE249" i="126"/>
  <c r="BE170" i="126"/>
  <c r="BE91" i="126"/>
  <c r="BE12" i="126"/>
  <c r="V106" i="126"/>
  <c r="V148" i="126" a="1"/>
  <c r="V148" i="126" s="1"/>
  <c r="V149" i="126" a="1"/>
  <c r="V149" i="126" s="1"/>
  <c r="V95" i="126"/>
  <c r="V105" i="126"/>
  <c r="T228" i="126" a="1"/>
  <c r="T228" i="126" s="1"/>
  <c r="T184" i="126"/>
  <c r="T227" i="126" a="1"/>
  <c r="T227" i="126" s="1"/>
  <c r="T185" i="126"/>
  <c r="T174" i="126"/>
  <c r="R105" i="126"/>
  <c r="R148" i="126" a="1"/>
  <c r="R148" i="126" s="1"/>
  <c r="R95" i="126"/>
  <c r="R149" i="126" a="1"/>
  <c r="R149" i="126" s="1"/>
  <c r="R106" i="126"/>
  <c r="P227" i="126" a="1"/>
  <c r="P227" i="126" s="1"/>
  <c r="P185" i="126"/>
  <c r="P228" i="126" a="1"/>
  <c r="P228" i="126" s="1"/>
  <c r="P174" i="126"/>
  <c r="P184" i="126"/>
  <c r="N307" i="126" a="1"/>
  <c r="N307" i="126" s="1"/>
  <c r="N263" i="126"/>
  <c r="N306" i="126" a="1"/>
  <c r="N306" i="126" s="1"/>
  <c r="N253" i="126"/>
  <c r="N264" i="126"/>
  <c r="L70" i="126" a="1"/>
  <c r="L70" i="126" s="1"/>
  <c r="L16" i="126"/>
  <c r="L69" i="126" a="1"/>
  <c r="L69" i="126" s="1"/>
  <c r="L27" i="126"/>
  <c r="L26" i="126"/>
  <c r="J69" i="126" a="1"/>
  <c r="J69" i="126" s="1"/>
  <c r="J27" i="126"/>
  <c r="J70" i="126" a="1"/>
  <c r="J70" i="126" s="1"/>
  <c r="J26" i="126"/>
  <c r="J16" i="126"/>
  <c r="H106" i="126"/>
  <c r="H95" i="126"/>
  <c r="H105" i="126"/>
  <c r="H148" i="126" a="1"/>
  <c r="H148" i="126" s="1"/>
  <c r="H149" i="126" a="1"/>
  <c r="H149" i="126" s="1"/>
  <c r="BB26" i="126"/>
  <c r="BB16" i="126"/>
  <c r="BB69" i="126" a="1"/>
  <c r="BB69" i="126" s="1"/>
  <c r="BB70" i="126" a="1"/>
  <c r="BB70" i="126" s="1"/>
  <c r="BB27" i="126"/>
  <c r="AZ307" i="126" a="1"/>
  <c r="AZ307" i="126" s="1"/>
  <c r="AZ253" i="126"/>
  <c r="AZ264" i="126"/>
  <c r="AZ263" i="126"/>
  <c r="AZ306" i="126" a="1"/>
  <c r="AZ306" i="126" s="1"/>
  <c r="AX16" i="126"/>
  <c r="AX69" i="126" a="1"/>
  <c r="AX69" i="126" s="1"/>
  <c r="AX26" i="126"/>
  <c r="AX27" i="126"/>
  <c r="AX70" i="126" a="1"/>
  <c r="AX70" i="126" s="1"/>
  <c r="AV95" i="126"/>
  <c r="AV149" i="126" a="1"/>
  <c r="AV149" i="126" s="1"/>
  <c r="AV148" i="126" a="1"/>
  <c r="AV148" i="126" s="1"/>
  <c r="AV105" i="126"/>
  <c r="AV106" i="126"/>
  <c r="AT70" i="126" a="1"/>
  <c r="AT70" i="126" s="1"/>
  <c r="AT26" i="126"/>
  <c r="AT16" i="126"/>
  <c r="AT69" i="126" a="1"/>
  <c r="AT69" i="126" s="1"/>
  <c r="AT27" i="126"/>
  <c r="AR27" i="126"/>
  <c r="AR69" i="126" a="1"/>
  <c r="AR69" i="126" s="1"/>
  <c r="AR70" i="126" a="1"/>
  <c r="AR70" i="126" s="1"/>
  <c r="AR26" i="126"/>
  <c r="AR16" i="126"/>
  <c r="AP27" i="126"/>
  <c r="AP70" i="126" a="1"/>
  <c r="AP70" i="126" s="1"/>
  <c r="AP16" i="126"/>
  <c r="AP69" i="126" a="1"/>
  <c r="AP69" i="126" s="1"/>
  <c r="AP26" i="126"/>
  <c r="AN16" i="126"/>
  <c r="AN69" i="126" a="1"/>
  <c r="AN69" i="126" s="1"/>
  <c r="AN26" i="126"/>
  <c r="AN27" i="126"/>
  <c r="AN70" i="126" a="1"/>
  <c r="AN70" i="126" s="1"/>
  <c r="BC70" i="126" a="1"/>
  <c r="BC70" i="126" s="1"/>
  <c r="BC16" i="126"/>
  <c r="BC26" i="126"/>
  <c r="BC69" i="126" a="1"/>
  <c r="BC69" i="126" s="1"/>
  <c r="BC27" i="126"/>
  <c r="X27" i="126"/>
  <c r="X69" i="126" a="1"/>
  <c r="X69" i="126" s="1"/>
  <c r="X70" i="126" a="1"/>
  <c r="X70" i="126" s="1"/>
  <c r="X26" i="126"/>
  <c r="X16" i="126"/>
  <c r="W264" i="126"/>
  <c r="W306" i="126" a="1"/>
  <c r="W306" i="126" s="1"/>
  <c r="W263" i="126"/>
  <c r="W307" i="126" a="1"/>
  <c r="W307" i="126" s="1"/>
  <c r="W253" i="126"/>
  <c r="V307" i="126" a="1"/>
  <c r="V307" i="126" s="1"/>
  <c r="V263" i="126"/>
  <c r="V253" i="126"/>
  <c r="V306" i="126" a="1"/>
  <c r="V306" i="126" s="1"/>
  <c r="V264" i="126"/>
  <c r="T264" i="126"/>
  <c r="T307" i="126" a="1"/>
  <c r="T307" i="126" s="1"/>
  <c r="T263" i="126"/>
  <c r="T253" i="126"/>
  <c r="T306" i="126" a="1"/>
  <c r="T306" i="126" s="1"/>
  <c r="R184" i="126"/>
  <c r="R227" i="126" a="1"/>
  <c r="R227" i="126" s="1"/>
  <c r="R228" i="126" a="1"/>
  <c r="R228" i="126" s="1"/>
  <c r="R174" i="126"/>
  <c r="R185" i="126"/>
  <c r="P149" i="126" a="1"/>
  <c r="P149" i="126" s="1"/>
  <c r="P148" i="126" a="1"/>
  <c r="P148" i="126" s="1"/>
  <c r="P106" i="126"/>
  <c r="P95" i="126"/>
  <c r="P105" i="126"/>
  <c r="N185" i="126"/>
  <c r="N227" i="126" a="1"/>
  <c r="N227" i="126" s="1"/>
  <c r="N228" i="126" a="1"/>
  <c r="N228" i="126" s="1"/>
  <c r="N174" i="126"/>
  <c r="N184" i="126"/>
  <c r="L148" i="126" a="1"/>
  <c r="L148" i="126" s="1"/>
  <c r="L95" i="126"/>
  <c r="L149" i="126" a="1"/>
  <c r="L149" i="126" s="1"/>
  <c r="L106" i="126"/>
  <c r="L105" i="126"/>
  <c r="J306" i="126" a="1"/>
  <c r="J306" i="126" s="1"/>
  <c r="J253" i="126"/>
  <c r="J307" i="126" a="1"/>
  <c r="J307" i="126" s="1"/>
  <c r="J263" i="126"/>
  <c r="J264" i="126"/>
  <c r="H55" i="126"/>
  <c r="AJ55" i="126" s="1"/>
  <c r="AJ49" i="126"/>
  <c r="BB263" i="126"/>
  <c r="BB307" i="126" a="1"/>
  <c r="BB307" i="126" s="1"/>
  <c r="BB264" i="126"/>
  <c r="BB253" i="126"/>
  <c r="BB306" i="126" a="1"/>
  <c r="BB306" i="126" s="1"/>
  <c r="AZ174" i="126"/>
  <c r="AZ228" i="126" a="1"/>
  <c r="AZ228" i="126" s="1"/>
  <c r="AZ227" i="126" a="1"/>
  <c r="AZ227" i="126" s="1"/>
  <c r="AZ185" i="126"/>
  <c r="AZ184" i="126"/>
  <c r="AX263" i="126"/>
  <c r="AX307" i="126" a="1"/>
  <c r="AX307" i="126" s="1"/>
  <c r="AX264" i="126"/>
  <c r="AX306" i="126" a="1"/>
  <c r="AX306" i="126" s="1"/>
  <c r="AX253" i="126"/>
  <c r="AV184" i="126"/>
  <c r="AV228" i="126" a="1"/>
  <c r="AV228" i="126" s="1"/>
  <c r="AV227" i="126" a="1"/>
  <c r="AV227" i="126" s="1"/>
  <c r="AV174" i="126"/>
  <c r="AV185" i="126"/>
  <c r="AT306" i="126" a="1"/>
  <c r="AT306" i="126" s="1"/>
  <c r="AT263" i="126"/>
  <c r="AT307" i="126" a="1"/>
  <c r="AT307" i="126" s="1"/>
  <c r="AT264" i="126"/>
  <c r="AT253" i="126"/>
  <c r="AR263" i="126"/>
  <c r="AR306" i="126" a="1"/>
  <c r="AR306" i="126" s="1"/>
  <c r="AR253" i="126"/>
  <c r="AR307" i="126" a="1"/>
  <c r="AR307" i="126" s="1"/>
  <c r="AR264" i="126"/>
  <c r="AP253" i="126"/>
  <c r="AP263" i="126"/>
  <c r="AP306" i="126" a="1"/>
  <c r="AP306" i="126" s="1"/>
  <c r="AP307" i="126" a="1"/>
  <c r="AP307" i="126" s="1"/>
  <c r="AP264" i="126"/>
  <c r="AN106" i="126"/>
  <c r="AN95" i="126"/>
  <c r="AN105" i="126"/>
  <c r="AN149" i="126" a="1"/>
  <c r="AN149" i="126" s="1"/>
  <c r="AN148" i="126" a="1"/>
  <c r="AN148" i="126" s="1"/>
  <c r="X307" i="126" a="1"/>
  <c r="X307" i="126" s="1"/>
  <c r="X263" i="126"/>
  <c r="X253" i="126"/>
  <c r="X306" i="126" a="1"/>
  <c r="X306" i="126" s="1"/>
  <c r="X264" i="126"/>
  <c r="BD70" i="126" a="1"/>
  <c r="BD70" i="126" s="1"/>
  <c r="BD26" i="126"/>
  <c r="BD27" i="126"/>
  <c r="BD69" i="126" a="1"/>
  <c r="BD69" i="126" s="1"/>
  <c r="BD16" i="126"/>
  <c r="U27" i="126"/>
  <c r="U26" i="126"/>
  <c r="U16" i="126"/>
  <c r="U69" i="126" a="1"/>
  <c r="U69" i="126" s="1"/>
  <c r="U70" i="126" a="1"/>
  <c r="U70" i="126" s="1"/>
  <c r="S227" i="126" a="1"/>
  <c r="S227" i="126" s="1"/>
  <c r="S228" i="126" a="1"/>
  <c r="S228" i="126" s="1"/>
  <c r="S184" i="126"/>
  <c r="S185" i="126"/>
  <c r="S174" i="126"/>
  <c r="Q105" i="126"/>
  <c r="Q148" i="126" a="1"/>
  <c r="Q148" i="126" s="1"/>
  <c r="Q95" i="126"/>
  <c r="Q149" i="126" a="1"/>
  <c r="Q149" i="126" s="1"/>
  <c r="Q106" i="126"/>
  <c r="O69" i="126" a="1"/>
  <c r="O69" i="126" s="1"/>
  <c r="O16" i="126"/>
  <c r="O70" i="126" a="1"/>
  <c r="O70" i="126" s="1"/>
  <c r="O26" i="126"/>
  <c r="O27" i="126"/>
  <c r="M227" i="126" a="1"/>
  <c r="M227" i="126" s="1"/>
  <c r="M228" i="126" a="1"/>
  <c r="M228" i="126" s="1"/>
  <c r="M174" i="126"/>
  <c r="M184" i="126"/>
  <c r="M185" i="126"/>
  <c r="K184" i="126"/>
  <c r="K228" i="126" a="1"/>
  <c r="K228" i="126" s="1"/>
  <c r="K227" i="126" a="1"/>
  <c r="K227" i="126" s="1"/>
  <c r="K185" i="126"/>
  <c r="K174" i="126"/>
  <c r="I106" i="126"/>
  <c r="I149" i="126" a="1"/>
  <c r="I149" i="126" s="1"/>
  <c r="I105" i="126"/>
  <c r="I148" i="126" a="1"/>
  <c r="I148" i="126" s="1"/>
  <c r="I95" i="126"/>
  <c r="H26" i="126"/>
  <c r="H16" i="126"/>
  <c r="H70" i="126" a="1"/>
  <c r="H70" i="126" s="1"/>
  <c r="H27" i="126"/>
  <c r="H69" i="126" a="1"/>
  <c r="H69" i="126" s="1"/>
  <c r="BA27" i="126"/>
  <c r="BA26" i="126"/>
  <c r="BA69" i="126" a="1"/>
  <c r="BA69" i="126" s="1"/>
  <c r="BA70" i="126" a="1"/>
  <c r="BA70" i="126" s="1"/>
  <c r="BA16" i="126"/>
  <c r="AY264" i="126"/>
  <c r="AY306" i="126" a="1"/>
  <c r="AY306" i="126" s="1"/>
  <c r="AY263" i="126"/>
  <c r="AY253" i="126"/>
  <c r="AY307" i="126" a="1"/>
  <c r="AY307" i="126" s="1"/>
  <c r="AW306" i="126" a="1"/>
  <c r="AW306" i="126" s="1"/>
  <c r="AW253" i="126"/>
  <c r="AW307" i="126" a="1"/>
  <c r="AW307" i="126" s="1"/>
  <c r="AW263" i="126"/>
  <c r="AW264" i="126"/>
  <c r="AU69" i="126" a="1"/>
  <c r="AU69" i="126" s="1"/>
  <c r="AU70" i="126" a="1"/>
  <c r="AU70" i="126" s="1"/>
  <c r="AU26" i="126"/>
  <c r="AU27" i="126"/>
  <c r="AU16" i="126"/>
  <c r="AS16" i="126"/>
  <c r="AS27" i="126"/>
  <c r="AS70" i="126" a="1"/>
  <c r="AS70" i="126" s="1"/>
  <c r="AS26" i="126"/>
  <c r="AS69" i="126" a="1"/>
  <c r="AS69" i="126" s="1"/>
  <c r="AQ69" i="126" a="1"/>
  <c r="AQ69" i="126" s="1"/>
  <c r="AQ26" i="126"/>
  <c r="AQ27" i="126"/>
  <c r="AQ70" i="126" a="1"/>
  <c r="AQ70" i="126" s="1"/>
  <c r="AQ16" i="126"/>
  <c r="AO263" i="126"/>
  <c r="AO306" i="126" a="1"/>
  <c r="AO306" i="126" s="1"/>
  <c r="AO264" i="126"/>
  <c r="AO307" i="126" a="1"/>
  <c r="AO307" i="126" s="1"/>
  <c r="AO253" i="126"/>
  <c r="AN134" i="126"/>
  <c r="BP134" i="126" s="1"/>
  <c r="BP128" i="126"/>
  <c r="BD106" i="126"/>
  <c r="BD149" i="126" a="1"/>
  <c r="BD149" i="126" s="1"/>
  <c r="BD105" i="126"/>
  <c r="BD148" i="126" a="1"/>
  <c r="BD148" i="126" s="1"/>
  <c r="BD95" i="126"/>
  <c r="W70" i="126" a="1"/>
  <c r="W70" i="126" s="1"/>
  <c r="W26" i="126"/>
  <c r="W69" i="126" a="1"/>
  <c r="W69" i="126" s="1"/>
  <c r="W27" i="126"/>
  <c r="W16" i="126"/>
  <c r="U307" i="126" a="1"/>
  <c r="U307" i="126" s="1"/>
  <c r="U263" i="126"/>
  <c r="U306" i="126" a="1"/>
  <c r="U306" i="126" s="1"/>
  <c r="U264" i="126"/>
  <c r="U253" i="126"/>
  <c r="S16" i="126"/>
  <c r="S70" i="126" a="1"/>
  <c r="S70" i="126" s="1"/>
  <c r="S26" i="126"/>
  <c r="S27" i="126"/>
  <c r="S69" i="126" a="1"/>
  <c r="S69" i="126" s="1"/>
  <c r="Q26" i="126"/>
  <c r="Q69" i="126" a="1"/>
  <c r="Q69" i="126" s="1"/>
  <c r="Q16" i="126"/>
  <c r="Q70" i="126" a="1"/>
  <c r="Q70" i="126" s="1"/>
  <c r="Q27" i="126"/>
  <c r="O148" i="126" a="1"/>
  <c r="O148" i="126" s="1"/>
  <c r="O106" i="126"/>
  <c r="O149" i="126" a="1"/>
  <c r="O149" i="126" s="1"/>
  <c r="O105" i="126"/>
  <c r="O95" i="126"/>
  <c r="M149" i="126" a="1"/>
  <c r="M149" i="126" s="1"/>
  <c r="M95" i="126"/>
  <c r="M106" i="126"/>
  <c r="M148" i="126" a="1"/>
  <c r="M148" i="126" s="1"/>
  <c r="M105" i="126"/>
  <c r="K69" i="126" a="1"/>
  <c r="K69" i="126" s="1"/>
  <c r="K16" i="126"/>
  <c r="K70" i="126" a="1"/>
  <c r="K70" i="126" s="1"/>
  <c r="K26" i="126"/>
  <c r="K27" i="126"/>
  <c r="I70" i="126" a="1"/>
  <c r="I70" i="126" s="1"/>
  <c r="I27" i="126"/>
  <c r="I26" i="126"/>
  <c r="I16" i="126"/>
  <c r="I69" i="126" a="1"/>
  <c r="I69" i="126" s="1"/>
  <c r="H213" i="126"/>
  <c r="AJ213" i="126" s="1"/>
  <c r="AJ207" i="126"/>
  <c r="BA227" i="126" a="1"/>
  <c r="BA227" i="126" s="1"/>
  <c r="BA185" i="126"/>
  <c r="BA228" i="126" a="1"/>
  <c r="BA228" i="126" s="1"/>
  <c r="BA174" i="126"/>
  <c r="BA184" i="126"/>
  <c r="AY228" i="126" a="1"/>
  <c r="AY228" i="126" s="1"/>
  <c r="AY227" i="126" a="1"/>
  <c r="AY227" i="126" s="1"/>
  <c r="AY185" i="126"/>
  <c r="AY174" i="126"/>
  <c r="AY184" i="126"/>
  <c r="AW70" i="126" a="1"/>
  <c r="AW70" i="126" s="1"/>
  <c r="AW27" i="126"/>
  <c r="AW26" i="126"/>
  <c r="AW16" i="126"/>
  <c r="AW69" i="126" a="1"/>
  <c r="AW69" i="126" s="1"/>
  <c r="AU149" i="126" a="1"/>
  <c r="AU149" i="126" s="1"/>
  <c r="AU106" i="126"/>
  <c r="AU105" i="126"/>
  <c r="AU148" i="126" a="1"/>
  <c r="AU148" i="126" s="1"/>
  <c r="AU95" i="126"/>
  <c r="AS227" i="126" a="1"/>
  <c r="AS227" i="126" s="1"/>
  <c r="AS228" i="126" a="1"/>
  <c r="AS228" i="126" s="1"/>
  <c r="AS185" i="126"/>
  <c r="AS184" i="126"/>
  <c r="AS174" i="126"/>
  <c r="AQ185" i="126"/>
  <c r="AQ228" i="126" a="1"/>
  <c r="AQ228" i="126" s="1"/>
  <c r="AQ174" i="126"/>
  <c r="AQ227" i="126" a="1"/>
  <c r="AQ227" i="126" s="1"/>
  <c r="AQ184" i="126"/>
  <c r="AO69" i="126" a="1"/>
  <c r="AO69" i="126" s="1"/>
  <c r="AO70" i="126" a="1"/>
  <c r="AO70" i="126" s="1"/>
  <c r="AO27" i="126"/>
  <c r="AO26" i="126"/>
  <c r="AO16" i="126"/>
  <c r="AN292" i="126"/>
  <c r="BP292" i="126" s="1"/>
  <c r="BP286" i="126"/>
  <c r="BD184" i="126"/>
  <c r="BD228" i="126" a="1"/>
  <c r="BD228" i="126" s="1"/>
  <c r="BD227" i="126" a="1"/>
  <c r="BD227" i="126" s="1"/>
  <c r="BD174" i="126"/>
  <c r="BD185" i="126"/>
  <c r="BC95" i="126"/>
  <c r="BC148" i="126" a="1"/>
  <c r="BC148" i="126" s="1"/>
  <c r="BC105" i="126"/>
  <c r="BC106" i="126"/>
  <c r="BC149" i="126" a="1"/>
  <c r="BC149" i="126" s="1"/>
  <c r="U227" i="126" a="1"/>
  <c r="U227" i="126" s="1"/>
  <c r="U228" i="126" a="1"/>
  <c r="U228" i="126" s="1"/>
  <c r="U184" i="126"/>
  <c r="U185" i="126"/>
  <c r="U174" i="126"/>
  <c r="S148" i="126" a="1"/>
  <c r="S148" i="126" s="1"/>
  <c r="S105" i="126"/>
  <c r="S149" i="126" a="1"/>
  <c r="S149" i="126" s="1"/>
  <c r="S106" i="126"/>
  <c r="S95" i="126"/>
  <c r="Q253" i="126"/>
  <c r="Q307" i="126" a="1"/>
  <c r="Q307" i="126" s="1"/>
  <c r="Q263" i="126"/>
  <c r="Q264" i="126"/>
  <c r="Q306" i="126" a="1"/>
  <c r="Q306" i="126" s="1"/>
  <c r="O228" i="126" a="1"/>
  <c r="O228" i="126" s="1"/>
  <c r="O185" i="126"/>
  <c r="O227" i="126" a="1"/>
  <c r="O227" i="126" s="1"/>
  <c r="O174" i="126"/>
  <c r="O184" i="126"/>
  <c r="M27" i="126"/>
  <c r="M26" i="126"/>
  <c r="M16" i="126"/>
  <c r="M69" i="126" a="1"/>
  <c r="M69" i="126" s="1"/>
  <c r="M70" i="126" a="1"/>
  <c r="M70" i="126" s="1"/>
  <c r="K105" i="126"/>
  <c r="K106" i="126"/>
  <c r="K149" i="126" a="1"/>
  <c r="K149" i="126" s="1"/>
  <c r="K95" i="126"/>
  <c r="K148" i="126" a="1"/>
  <c r="K148" i="126" s="1"/>
  <c r="I227" i="126" a="1"/>
  <c r="I227" i="126" s="1"/>
  <c r="I185" i="126"/>
  <c r="I228" i="126" a="1"/>
  <c r="I228" i="126" s="1"/>
  <c r="I174" i="126"/>
  <c r="I184" i="126"/>
  <c r="H264" i="126"/>
  <c r="H306" i="126" a="1"/>
  <c r="H306" i="126" s="1"/>
  <c r="H307" i="126" a="1"/>
  <c r="H307" i="126" s="1"/>
  <c r="H253" i="126"/>
  <c r="H263" i="126"/>
  <c r="BA95" i="126"/>
  <c r="BA106" i="126"/>
  <c r="BA149" i="126" a="1"/>
  <c r="BA149" i="126" s="1"/>
  <c r="BA148" i="126" a="1"/>
  <c r="BA148" i="126" s="1"/>
  <c r="BA105" i="126"/>
  <c r="AY26" i="126"/>
  <c r="AY70" i="126" a="1"/>
  <c r="AY70" i="126" s="1"/>
  <c r="AY27" i="126"/>
  <c r="AY16" i="126"/>
  <c r="AY69" i="126" a="1"/>
  <c r="AY69" i="126" s="1"/>
  <c r="AW106" i="126"/>
  <c r="AW105" i="126"/>
  <c r="AW149" i="126" a="1"/>
  <c r="AW149" i="126" s="1"/>
  <c r="AW148" i="126" a="1"/>
  <c r="AW148" i="126" s="1"/>
  <c r="AW95" i="126"/>
  <c r="AU228" i="126" a="1"/>
  <c r="AU228" i="126" s="1"/>
  <c r="AU184" i="126"/>
  <c r="AU227" i="126" a="1"/>
  <c r="AU227" i="126" s="1"/>
  <c r="AU185" i="126"/>
  <c r="AU174" i="126"/>
  <c r="AS149" i="126" a="1"/>
  <c r="AS149" i="126" s="1"/>
  <c r="AS148" i="126" a="1"/>
  <c r="AS148" i="126" s="1"/>
  <c r="AS95" i="126"/>
  <c r="AS106" i="126"/>
  <c r="AS105" i="126"/>
  <c r="AQ106" i="126"/>
  <c r="AQ105" i="126"/>
  <c r="AQ149" i="126" a="1"/>
  <c r="AQ149" i="126" s="1"/>
  <c r="AQ95" i="126"/>
  <c r="AQ148" i="126" a="1"/>
  <c r="AQ148" i="126" s="1"/>
  <c r="AO149" i="126" a="1"/>
  <c r="AO149" i="126" s="1"/>
  <c r="AO106" i="126"/>
  <c r="AO105" i="126"/>
  <c r="AO95" i="126"/>
  <c r="AO148" i="126" a="1"/>
  <c r="AO148" i="126" s="1"/>
  <c r="AN213" i="126"/>
  <c r="BP213" i="126" s="1"/>
  <c r="BP207" i="126"/>
  <c r="Y302" i="126"/>
  <c r="Y301" i="126"/>
  <c r="Y222" i="126"/>
  <c r="Y223" i="126"/>
  <c r="Y143" i="126"/>
  <c r="Y144" i="126"/>
  <c r="Y64" i="126"/>
  <c r="Y65" i="126"/>
  <c r="Z8" i="126"/>
  <c r="Y249" i="126"/>
  <c r="Y170" i="126"/>
  <c r="Y12" i="126"/>
  <c r="Y91" i="126"/>
  <c r="BD253" i="126"/>
  <c r="BD307" i="126" a="1"/>
  <c r="BD307" i="126" s="1"/>
  <c r="BD264" i="126"/>
  <c r="BD263" i="126"/>
  <c r="BD306" i="126" a="1"/>
  <c r="BD306" i="126" s="1"/>
  <c r="BC263" i="126"/>
  <c r="BC307" i="126" a="1"/>
  <c r="BC307" i="126" s="1"/>
  <c r="BC264" i="126"/>
  <c r="BC306" i="126" a="1"/>
  <c r="BC306" i="126" s="1"/>
  <c r="BC253" i="126"/>
  <c r="W106" i="126"/>
  <c r="W95" i="126"/>
  <c r="W149" i="126" a="1"/>
  <c r="W149" i="126" s="1"/>
  <c r="W148" i="126" a="1"/>
  <c r="W148" i="126" s="1"/>
  <c r="W105" i="126"/>
  <c r="U95" i="126"/>
  <c r="U148" i="126" a="1"/>
  <c r="U148" i="126" s="1"/>
  <c r="U106" i="126"/>
  <c r="U149" i="126" a="1"/>
  <c r="U149" i="126" s="1"/>
  <c r="U105" i="126"/>
  <c r="S307" i="126" a="1"/>
  <c r="S307" i="126" s="1"/>
  <c r="S253" i="126"/>
  <c r="S306" i="126" a="1"/>
  <c r="S306" i="126" s="1"/>
  <c r="S263" i="126"/>
  <c r="S264" i="126"/>
  <c r="Q184" i="126"/>
  <c r="Q227" i="126" a="1"/>
  <c r="Q227" i="126" s="1"/>
  <c r="Q228" i="126" a="1"/>
  <c r="Q228" i="126" s="1"/>
  <c r="Q185" i="126"/>
  <c r="Q174" i="126"/>
  <c r="O253" i="126"/>
  <c r="O307" i="126" a="1"/>
  <c r="O307" i="126" s="1"/>
  <c r="O264" i="126"/>
  <c r="O306" i="126" a="1"/>
  <c r="O306" i="126" s="1"/>
  <c r="O263" i="126"/>
  <c r="M263" i="126"/>
  <c r="M307" i="126" a="1"/>
  <c r="M307" i="126" s="1"/>
  <c r="M253" i="126"/>
  <c r="M264" i="126"/>
  <c r="M306" i="126" a="1"/>
  <c r="M306" i="126" s="1"/>
  <c r="K306" i="126" a="1"/>
  <c r="K306" i="126" s="1"/>
  <c r="K263" i="126"/>
  <c r="K253" i="126"/>
  <c r="K307" i="126" a="1"/>
  <c r="K307" i="126" s="1"/>
  <c r="K264" i="126"/>
  <c r="I306" i="126" a="1"/>
  <c r="I306" i="126" s="1"/>
  <c r="I307" i="126" a="1"/>
  <c r="I307" i="126" s="1"/>
  <c r="I253" i="126"/>
  <c r="I264" i="126"/>
  <c r="I263" i="126"/>
  <c r="H292" i="126"/>
  <c r="AJ292" i="126" s="1"/>
  <c r="AJ286" i="126"/>
  <c r="BA306" i="126" a="1"/>
  <c r="BA306" i="126" s="1"/>
  <c r="BA263" i="126"/>
  <c r="BA264" i="126"/>
  <c r="BA307" i="126" a="1"/>
  <c r="BA307" i="126" s="1"/>
  <c r="BA253" i="126"/>
  <c r="AY149" i="126" a="1"/>
  <c r="AY149" i="126" s="1"/>
  <c r="AY95" i="126"/>
  <c r="AY105" i="126"/>
  <c r="AY148" i="126" a="1"/>
  <c r="AY148" i="126" s="1"/>
  <c r="AY106" i="126"/>
  <c r="AW228" i="126" a="1"/>
  <c r="AW228" i="126" s="1"/>
  <c r="AW227" i="126" a="1"/>
  <c r="AW227" i="126" s="1"/>
  <c r="AW174" i="126"/>
  <c r="AW185" i="126"/>
  <c r="AW184" i="126"/>
  <c r="AU307" i="126" a="1"/>
  <c r="AU307" i="126" s="1"/>
  <c r="AU263" i="126"/>
  <c r="AU264" i="126"/>
  <c r="AU253" i="126"/>
  <c r="AU306" i="126" a="1"/>
  <c r="AU306" i="126" s="1"/>
  <c r="AS306" i="126" a="1"/>
  <c r="AS306" i="126" s="1"/>
  <c r="AS263" i="126"/>
  <c r="AS307" i="126" a="1"/>
  <c r="AS307" i="126" s="1"/>
  <c r="AS253" i="126"/>
  <c r="AS264" i="126"/>
  <c r="AQ307" i="126" a="1"/>
  <c r="AQ307" i="126" s="1"/>
  <c r="AQ306" i="126" a="1"/>
  <c r="AQ306" i="126" s="1"/>
  <c r="AQ264" i="126"/>
  <c r="AQ263" i="126"/>
  <c r="AQ253" i="126"/>
  <c r="AO227" i="126" a="1"/>
  <c r="AO227" i="126" s="1"/>
  <c r="AO228" i="126" a="1"/>
  <c r="AO228" i="126" s="1"/>
  <c r="AO184" i="126"/>
  <c r="AO185" i="126"/>
  <c r="AO174" i="126"/>
  <c r="AN263" i="126"/>
  <c r="AN306" i="126" a="1"/>
  <c r="AN306" i="126" s="1"/>
  <c r="AN253" i="126"/>
  <c r="AN307" i="126" a="1"/>
  <c r="AN307" i="126" s="1"/>
  <c r="AN264" i="126"/>
  <c r="BC183" i="126"/>
  <c r="V70" i="126" a="1"/>
  <c r="V70" i="126" s="1"/>
  <c r="V26" i="126"/>
  <c r="V27" i="126"/>
  <c r="V69" i="126" a="1"/>
  <c r="V69" i="126" s="1"/>
  <c r="V16" i="126"/>
  <c r="T26" i="126"/>
  <c r="T16" i="126"/>
  <c r="T69" i="126" a="1"/>
  <c r="T69" i="126" s="1"/>
  <c r="T27" i="126"/>
  <c r="T70" i="126" a="1"/>
  <c r="T70" i="126" s="1"/>
  <c r="R70" i="126" a="1"/>
  <c r="R70" i="126" s="1"/>
  <c r="R27" i="126"/>
  <c r="R26" i="126"/>
  <c r="R16" i="126"/>
  <c r="R69" i="126" a="1"/>
  <c r="R69" i="126" s="1"/>
  <c r="P27" i="126"/>
  <c r="P69" i="126" a="1"/>
  <c r="P69" i="126" s="1"/>
  <c r="P26" i="126"/>
  <c r="P70" i="126" a="1"/>
  <c r="P70" i="126" s="1"/>
  <c r="P16" i="126"/>
  <c r="N26" i="126"/>
  <c r="N70" i="126" a="1"/>
  <c r="N70" i="126" s="1"/>
  <c r="N27" i="126"/>
  <c r="N16" i="126"/>
  <c r="N69" i="126" a="1"/>
  <c r="N69" i="126" s="1"/>
  <c r="L306" i="126" a="1"/>
  <c r="L306" i="126" s="1"/>
  <c r="L264" i="126"/>
  <c r="L263" i="126"/>
  <c r="L307" i="126" a="1"/>
  <c r="L307" i="126" s="1"/>
  <c r="L253" i="126"/>
  <c r="J106" i="126"/>
  <c r="J149" i="126" a="1"/>
  <c r="J149" i="126" s="1"/>
  <c r="J105" i="126"/>
  <c r="J148" i="126" a="1"/>
  <c r="J148" i="126" s="1"/>
  <c r="J95" i="126"/>
  <c r="H134" i="126"/>
  <c r="AJ134" i="126" s="1"/>
  <c r="AJ128" i="126"/>
  <c r="BB228" i="126" a="1"/>
  <c r="BB228" i="126" s="1"/>
  <c r="BB227" i="126" a="1"/>
  <c r="BB227" i="126" s="1"/>
  <c r="BB184" i="126"/>
  <c r="BB185" i="126"/>
  <c r="BB174" i="126"/>
  <c r="AZ149" i="126" a="1"/>
  <c r="AZ149" i="126" s="1"/>
  <c r="AZ106" i="126"/>
  <c r="AZ95" i="126"/>
  <c r="AZ148" i="126" a="1"/>
  <c r="AZ148" i="126" s="1"/>
  <c r="AZ105" i="126"/>
  <c r="AX228" i="126" a="1"/>
  <c r="AX228" i="126" s="1"/>
  <c r="AX227" i="126" a="1"/>
  <c r="AX227" i="126" s="1"/>
  <c r="AX174" i="126"/>
  <c r="AX185" i="126"/>
  <c r="AX184" i="126"/>
  <c r="AV306" i="126" a="1"/>
  <c r="AV306" i="126" s="1"/>
  <c r="AV307" i="126" a="1"/>
  <c r="AV307" i="126" s="1"/>
  <c r="AV253" i="126"/>
  <c r="AV264" i="126"/>
  <c r="AV263" i="126"/>
  <c r="AT228" i="126" a="1"/>
  <c r="AT228" i="126" s="1"/>
  <c r="AT227" i="126" a="1"/>
  <c r="AT227" i="126" s="1"/>
  <c r="AT184" i="126"/>
  <c r="AT185" i="126"/>
  <c r="AT174" i="126"/>
  <c r="AR174" i="126"/>
  <c r="AR228" i="126" a="1"/>
  <c r="AR228" i="126" s="1"/>
  <c r="AR227" i="126" a="1"/>
  <c r="AR227" i="126" s="1"/>
  <c r="AR185" i="126"/>
  <c r="AR184" i="126"/>
  <c r="AP228" i="126" a="1"/>
  <c r="AP228" i="126" s="1"/>
  <c r="AP185" i="126"/>
  <c r="AP227" i="126" a="1"/>
  <c r="AP227" i="126" s="1"/>
  <c r="AP174" i="126"/>
  <c r="AP184" i="126"/>
  <c r="AN55" i="126"/>
  <c r="BP55" i="126" s="1"/>
  <c r="BP49" i="126"/>
  <c r="X228" i="126" a="1"/>
  <c r="X228" i="126" s="1"/>
  <c r="X174" i="126"/>
  <c r="X227" i="126" a="1"/>
  <c r="X227" i="126" s="1"/>
  <c r="X185" i="126"/>
  <c r="X184" i="126"/>
  <c r="W227" i="126" a="1"/>
  <c r="W227" i="126" s="1"/>
  <c r="W174" i="126"/>
  <c r="W228" i="126" a="1"/>
  <c r="W228" i="126" s="1"/>
  <c r="W185" i="126"/>
  <c r="W184" i="126"/>
  <c r="V227" i="126" a="1"/>
  <c r="V227" i="126" s="1"/>
  <c r="V228" i="126" a="1"/>
  <c r="V228" i="126" s="1"/>
  <c r="V174" i="126"/>
  <c r="V184" i="126"/>
  <c r="V185" i="126"/>
  <c r="T106" i="126"/>
  <c r="T149" i="126" a="1"/>
  <c r="T149" i="126" s="1"/>
  <c r="T95" i="126"/>
  <c r="T148" i="126" a="1"/>
  <c r="T148" i="126" s="1"/>
  <c r="T105" i="126"/>
  <c r="R263" i="126"/>
  <c r="R264" i="126"/>
  <c r="R307" i="126" a="1"/>
  <c r="R307" i="126" s="1"/>
  <c r="R253" i="126"/>
  <c r="R306" i="126" a="1"/>
  <c r="R306" i="126" s="1"/>
  <c r="P306" i="126" a="1"/>
  <c r="P306" i="126" s="1"/>
  <c r="P264" i="126"/>
  <c r="P263" i="126"/>
  <c r="P307" i="126" a="1"/>
  <c r="P307" i="126" s="1"/>
  <c r="P253" i="126"/>
  <c r="N149" i="126" a="1"/>
  <c r="N149" i="126" s="1"/>
  <c r="N106" i="126"/>
  <c r="N148" i="126" a="1"/>
  <c r="N148" i="126" s="1"/>
  <c r="N105" i="126"/>
  <c r="N95" i="126"/>
  <c r="L227" i="126" a="1"/>
  <c r="L227" i="126" s="1"/>
  <c r="L228" i="126" a="1"/>
  <c r="L228" i="126" s="1"/>
  <c r="L184" i="126"/>
  <c r="L185" i="126"/>
  <c r="L174" i="126"/>
  <c r="J228" i="126" a="1"/>
  <c r="J228" i="126" s="1"/>
  <c r="J227" i="126" a="1"/>
  <c r="J227" i="126" s="1"/>
  <c r="J184" i="126"/>
  <c r="J185" i="126"/>
  <c r="J174" i="126"/>
  <c r="H185" i="126"/>
  <c r="H227" i="126" a="1"/>
  <c r="H227" i="126" s="1"/>
  <c r="H228" i="126" a="1"/>
  <c r="H228" i="126" s="1"/>
  <c r="H174" i="126"/>
  <c r="H184" i="126"/>
  <c r="BB95" i="126"/>
  <c r="BB148" i="126" a="1"/>
  <c r="BB148" i="126" s="1"/>
  <c r="BB106" i="126"/>
  <c r="BB105" i="126"/>
  <c r="BB149" i="126" a="1"/>
  <c r="BB149" i="126" s="1"/>
  <c r="AZ69" i="126" a="1"/>
  <c r="AZ69" i="126" s="1"/>
  <c r="AZ70" i="126" a="1"/>
  <c r="AZ70" i="126" s="1"/>
  <c r="AZ26" i="126"/>
  <c r="AZ16" i="126"/>
  <c r="AZ27" i="126"/>
  <c r="AX149" i="126" a="1"/>
  <c r="AX149" i="126" s="1"/>
  <c r="AX95" i="126"/>
  <c r="AX106" i="126"/>
  <c r="AX148" i="126" a="1"/>
  <c r="AX148" i="126" s="1"/>
  <c r="AX105" i="126"/>
  <c r="AV16" i="126"/>
  <c r="AV69" i="126" a="1"/>
  <c r="AV69" i="126" s="1"/>
  <c r="AV70" i="126" a="1"/>
  <c r="AV70" i="126" s="1"/>
  <c r="AV27" i="126"/>
  <c r="AV26" i="126"/>
  <c r="AT149" i="126" a="1"/>
  <c r="AT149" i="126" s="1"/>
  <c r="AT95" i="126"/>
  <c r="AT106" i="126"/>
  <c r="AT148" i="126" a="1"/>
  <c r="AT148" i="126" s="1"/>
  <c r="AT105" i="126"/>
  <c r="AR106" i="126"/>
  <c r="AR95" i="126"/>
  <c r="AR149" i="126" a="1"/>
  <c r="AR149" i="126" s="1"/>
  <c r="AR148" i="126" a="1"/>
  <c r="AR148" i="126" s="1"/>
  <c r="AR105" i="126"/>
  <c r="AP149" i="126" a="1"/>
  <c r="AP149" i="126" s="1"/>
  <c r="AP106" i="126"/>
  <c r="AP95" i="126"/>
  <c r="AP105" i="126"/>
  <c r="AP148" i="126" a="1"/>
  <c r="AP148" i="126" s="1"/>
  <c r="AN227" i="126" a="1"/>
  <c r="AN227" i="126" s="1"/>
  <c r="AN184" i="126"/>
  <c r="AN228" i="126" a="1"/>
  <c r="AN228" i="126" s="1"/>
  <c r="AN174" i="126"/>
  <c r="AN185" i="126"/>
  <c r="X106" i="126"/>
  <c r="X95" i="126"/>
  <c r="X105" i="126"/>
  <c r="X149" i="126" a="1"/>
  <c r="X149" i="126" s="1"/>
  <c r="X148" i="126" a="1"/>
  <c r="X148" i="126" s="1"/>
  <c r="AM292" i="125"/>
  <c r="AY337" i="125"/>
  <c r="AM213" i="125"/>
  <c r="AO213" i="125"/>
  <c r="AY134" i="125"/>
  <c r="AO292" i="125"/>
  <c r="AY55" i="125"/>
  <c r="G55" i="125"/>
  <c r="AM55" i="125"/>
  <c r="AO55" i="125"/>
  <c r="AY213" i="125"/>
  <c r="AY292" i="125"/>
  <c r="AM134" i="125"/>
  <c r="AO134" i="125"/>
  <c r="AO213" i="124"/>
  <c r="V69" i="124" a="1"/>
  <c r="V69" i="124" s="1"/>
  <c r="AO292" i="124"/>
  <c r="V16" i="124"/>
  <c r="AO55" i="124"/>
  <c r="AO134" i="124"/>
  <c r="V263" i="124"/>
  <c r="V262" i="124" s="1"/>
  <c r="V70" i="124" a="1"/>
  <c r="V70" i="124" s="1"/>
  <c r="V307" i="124" a="1"/>
  <c r="V307" i="124" s="1"/>
  <c r="V264" i="124"/>
  <c r="BB174" i="124"/>
  <c r="V27" i="124"/>
  <c r="BB185" i="124"/>
  <c r="Y301" i="125"/>
  <c r="Y302" i="125"/>
  <c r="Y223" i="125"/>
  <c r="Y222" i="125"/>
  <c r="Y143" i="125"/>
  <c r="Y144" i="125"/>
  <c r="Y65" i="125"/>
  <c r="Y64" i="125"/>
  <c r="Z8" i="125"/>
  <c r="AN55" i="125"/>
  <c r="BE302" i="125"/>
  <c r="BE301" i="125"/>
  <c r="BE223" i="125"/>
  <c r="BE222" i="125"/>
  <c r="BE144" i="125"/>
  <c r="BE143" i="125"/>
  <c r="BE65" i="125"/>
  <c r="BE64" i="125"/>
  <c r="BF8" i="125"/>
  <c r="AN213" i="125"/>
  <c r="BB184" i="124"/>
  <c r="BB183" i="124" s="1"/>
  <c r="AN134" i="125"/>
  <c r="BB227" i="124" a="1"/>
  <c r="BB227" i="124" s="1"/>
  <c r="AN292" i="125"/>
  <c r="BB306" i="124" a="1"/>
  <c r="BB306" i="124" s="1"/>
  <c r="BB307" i="124" a="1"/>
  <c r="BB307" i="124" s="1"/>
  <c r="BB253" i="124"/>
  <c r="BB264" i="124"/>
  <c r="BB263" i="124"/>
  <c r="BC106" i="124"/>
  <c r="BC148" i="124" a="1"/>
  <c r="BC148" i="124" s="1"/>
  <c r="BC95" i="124"/>
  <c r="BC105" i="124"/>
  <c r="BC149" i="124" a="1"/>
  <c r="BC149" i="124" s="1"/>
  <c r="BA306" i="120" a="1"/>
  <c r="BA306" i="120" s="1"/>
  <c r="BA307" i="120" a="1"/>
  <c r="BA307" i="120" s="1"/>
  <c r="BA253" i="120"/>
  <c r="BA264" i="120"/>
  <c r="BA263" i="120"/>
  <c r="BA262" i="120" s="1"/>
  <c r="AZ174" i="120"/>
  <c r="AZ228" i="120" a="1"/>
  <c r="AZ228" i="120" s="1"/>
  <c r="AZ184" i="120"/>
  <c r="AZ185" i="120"/>
  <c r="AZ227" i="120" a="1"/>
  <c r="AZ227" i="120" s="1"/>
  <c r="AX174" i="120"/>
  <c r="AX227" i="120" a="1"/>
  <c r="AX227" i="120" s="1"/>
  <c r="AX228" i="120" a="1"/>
  <c r="AX228" i="120" s="1"/>
  <c r="AX184" i="120"/>
  <c r="AX185" i="120"/>
  <c r="AW185" i="124"/>
  <c r="AW228" i="124" a="1"/>
  <c r="AW228" i="124" s="1"/>
  <c r="AW227" i="124" a="1"/>
  <c r="AW227" i="124" s="1"/>
  <c r="AW184" i="124"/>
  <c r="AW174" i="124"/>
  <c r="AV253" i="120"/>
  <c r="AV306" i="120" a="1"/>
  <c r="AV306" i="120" s="1"/>
  <c r="AV263" i="120"/>
  <c r="AV264" i="120"/>
  <c r="AV307" i="120" a="1"/>
  <c r="AV307" i="120" s="1"/>
  <c r="AT149" i="124" a="1"/>
  <c r="AT149" i="124" s="1"/>
  <c r="AT95" i="124"/>
  <c r="AT148" i="124" a="1"/>
  <c r="AT148" i="124" s="1"/>
  <c r="AT105" i="124"/>
  <c r="AT106" i="124"/>
  <c r="AS306" i="120" a="1"/>
  <c r="AS306" i="120" s="1"/>
  <c r="AS307" i="120" a="1"/>
  <c r="AS307" i="120" s="1"/>
  <c r="AS264" i="120"/>
  <c r="AS253" i="120"/>
  <c r="AS263" i="120"/>
  <c r="AS262" i="120" s="1"/>
  <c r="AR149" i="124" a="1"/>
  <c r="AR149" i="124" s="1"/>
  <c r="AR95" i="124"/>
  <c r="AR105" i="124"/>
  <c r="AR106" i="124"/>
  <c r="AR148" i="124" a="1"/>
  <c r="AR148" i="124" s="1"/>
  <c r="AP70" i="124" a="1"/>
  <c r="AP70" i="124" s="1"/>
  <c r="AP26" i="124"/>
  <c r="AP27" i="124"/>
  <c r="AP69" i="124" a="1"/>
  <c r="AP69" i="124" s="1"/>
  <c r="AP16" i="124"/>
  <c r="AO149" i="124" a="1"/>
  <c r="AO149" i="124" s="1"/>
  <c r="AO106" i="124"/>
  <c r="AO105" i="124"/>
  <c r="AO95" i="124"/>
  <c r="AO148" i="124" a="1"/>
  <c r="AO148" i="124" s="1"/>
  <c r="AN264" i="124"/>
  <c r="AN253" i="124"/>
  <c r="AN307" i="124" a="1"/>
  <c r="AN307" i="124" s="1"/>
  <c r="AN306" i="124" a="1"/>
  <c r="AN306" i="124" s="1"/>
  <c r="AN263" i="124"/>
  <c r="V106" i="124"/>
  <c r="V148" i="124" a="1"/>
  <c r="V148" i="124" s="1"/>
  <c r="V105" i="124"/>
  <c r="V95" i="124"/>
  <c r="V149" i="124" a="1"/>
  <c r="V149" i="124" s="1"/>
  <c r="U95" i="124"/>
  <c r="U148" i="124" a="1"/>
  <c r="U148" i="124" s="1"/>
  <c r="U106" i="124"/>
  <c r="U149" i="124" a="1"/>
  <c r="U149" i="124" s="1"/>
  <c r="U105" i="124"/>
  <c r="S105" i="124"/>
  <c r="S148" i="124" a="1"/>
  <c r="S148" i="124" s="1"/>
  <c r="S106" i="124"/>
  <c r="S149" i="124" a="1"/>
  <c r="S149" i="124" s="1"/>
  <c r="S95" i="124"/>
  <c r="Q27" i="124"/>
  <c r="Q69" i="124" a="1"/>
  <c r="Q69" i="124" s="1"/>
  <c r="Q26" i="124"/>
  <c r="Q16" i="124"/>
  <c r="Q70" i="124" a="1"/>
  <c r="Q70" i="124" s="1"/>
  <c r="O228" i="124" a="1"/>
  <c r="O228" i="124" s="1"/>
  <c r="O227" i="124" a="1"/>
  <c r="O227" i="124" s="1"/>
  <c r="O184" i="124"/>
  <c r="O185" i="124"/>
  <c r="O174" i="124"/>
  <c r="M70" i="124" a="1"/>
  <c r="M70" i="124" s="1"/>
  <c r="M16" i="124"/>
  <c r="M26" i="124"/>
  <c r="M27" i="124"/>
  <c r="M69" i="124" a="1"/>
  <c r="M69" i="124" s="1"/>
  <c r="K228" i="124" a="1"/>
  <c r="K228" i="124" s="1"/>
  <c r="K184" i="124"/>
  <c r="K185" i="124"/>
  <c r="K227" i="124" a="1"/>
  <c r="K227" i="124" s="1"/>
  <c r="K174" i="124"/>
  <c r="I70" i="124" a="1"/>
  <c r="I70" i="124" s="1"/>
  <c r="I27" i="124"/>
  <c r="I26" i="124"/>
  <c r="I69" i="124" a="1"/>
  <c r="I69" i="124" s="1"/>
  <c r="I16" i="124"/>
  <c r="H213" i="124"/>
  <c r="AJ213" i="124" s="1"/>
  <c r="AJ207" i="124"/>
  <c r="BB185" i="120"/>
  <c r="BB228" i="120" a="1"/>
  <c r="BB228" i="120" s="1"/>
  <c r="BB184" i="120"/>
  <c r="BB174" i="120"/>
  <c r="BB227" i="120" a="1"/>
  <c r="BB227" i="120" s="1"/>
  <c r="BC306" i="124" a="1"/>
  <c r="BC306" i="124" s="1"/>
  <c r="BC307" i="124" a="1"/>
  <c r="BC307" i="124" s="1"/>
  <c r="BC264" i="124"/>
  <c r="BC253" i="124"/>
  <c r="BC263" i="124"/>
  <c r="BA253" i="124"/>
  <c r="BA306" i="124" a="1"/>
  <c r="BA306" i="124" s="1"/>
  <c r="BA307" i="124" a="1"/>
  <c r="BA307" i="124" s="1"/>
  <c r="BA263" i="124"/>
  <c r="BA264" i="124"/>
  <c r="AY253" i="120"/>
  <c r="AY306" i="120" a="1"/>
  <c r="AY306" i="120" s="1"/>
  <c r="AY264" i="120"/>
  <c r="AY263" i="120"/>
  <c r="AY262" i="120" s="1"/>
  <c r="AY307" i="120" a="1"/>
  <c r="AY307" i="120" s="1"/>
  <c r="AX228" i="124" a="1"/>
  <c r="AX228" i="124" s="1"/>
  <c r="AX227" i="124" a="1"/>
  <c r="AX227" i="124" s="1"/>
  <c r="AX184" i="124"/>
  <c r="AX174" i="124"/>
  <c r="AX185" i="124"/>
  <c r="AW26" i="124"/>
  <c r="AW27" i="124"/>
  <c r="AW69" i="124" a="1"/>
  <c r="AW69" i="124" s="1"/>
  <c r="AW70" i="124" a="1"/>
  <c r="AW70" i="124" s="1"/>
  <c r="AW16" i="124"/>
  <c r="AU227" i="124" a="1"/>
  <c r="AU227" i="124" s="1"/>
  <c r="AU185" i="124"/>
  <c r="AU228" i="124" a="1"/>
  <c r="AU228" i="124" s="1"/>
  <c r="AU184" i="124"/>
  <c r="AU174" i="124"/>
  <c r="AT228" i="124" a="1"/>
  <c r="AT228" i="124" s="1"/>
  <c r="AT227" i="124" a="1"/>
  <c r="AT227" i="124" s="1"/>
  <c r="AT184" i="124"/>
  <c r="AT174" i="124"/>
  <c r="AT185" i="124"/>
  <c r="AS307" i="124" a="1"/>
  <c r="AS307" i="124" s="1"/>
  <c r="AS253" i="124"/>
  <c r="AS264" i="124"/>
  <c r="AS263" i="124"/>
  <c r="AS306" i="124" a="1"/>
  <c r="AS306" i="124" s="1"/>
  <c r="AQ306" i="120" a="1"/>
  <c r="AQ306" i="120" s="1"/>
  <c r="AQ264" i="120"/>
  <c r="AQ307" i="120" a="1"/>
  <c r="AQ307" i="120" s="1"/>
  <c r="AQ253" i="120"/>
  <c r="AQ263" i="120"/>
  <c r="AQ262" i="120" s="1"/>
  <c r="AP227" i="124" a="1"/>
  <c r="AP227" i="124" s="1"/>
  <c r="AP228" i="124" a="1"/>
  <c r="AP228" i="124" s="1"/>
  <c r="AP185" i="124"/>
  <c r="AP174" i="124"/>
  <c r="AP184" i="124"/>
  <c r="AO306" i="124" a="1"/>
  <c r="AO306" i="124" s="1"/>
  <c r="AO307" i="124" a="1"/>
  <c r="AO307" i="124" s="1"/>
  <c r="AO263" i="124"/>
  <c r="AO264" i="124"/>
  <c r="AO253" i="124"/>
  <c r="AN213" i="120"/>
  <c r="BP213" i="120" s="1"/>
  <c r="U306" i="124" a="1"/>
  <c r="U306" i="124" s="1"/>
  <c r="U307" i="124" a="1"/>
  <c r="U307" i="124" s="1"/>
  <c r="U264" i="124"/>
  <c r="U263" i="124"/>
  <c r="U253" i="124"/>
  <c r="S264" i="124"/>
  <c r="S307" i="124" a="1"/>
  <c r="S307" i="124" s="1"/>
  <c r="S263" i="124"/>
  <c r="S253" i="124"/>
  <c r="S306" i="124" a="1"/>
  <c r="S306" i="124" s="1"/>
  <c r="Q148" i="124" a="1"/>
  <c r="Q148" i="124" s="1"/>
  <c r="Q105" i="124"/>
  <c r="Q149" i="124" a="1"/>
  <c r="Q149" i="124" s="1"/>
  <c r="Q106" i="124"/>
  <c r="Q95" i="124"/>
  <c r="O307" i="124" a="1"/>
  <c r="O307" i="124" s="1"/>
  <c r="O253" i="124"/>
  <c r="O263" i="124"/>
  <c r="O264" i="124"/>
  <c r="O306" i="124" a="1"/>
  <c r="O306" i="124" s="1"/>
  <c r="M263" i="124"/>
  <c r="M253" i="124"/>
  <c r="M264" i="124"/>
  <c r="M307" i="124" a="1"/>
  <c r="M307" i="124" s="1"/>
  <c r="M306" i="124" a="1"/>
  <c r="M306" i="124" s="1"/>
  <c r="K306" i="124" a="1"/>
  <c r="K306" i="124" s="1"/>
  <c r="K263" i="124"/>
  <c r="K264" i="124"/>
  <c r="K307" i="124" a="1"/>
  <c r="K307" i="124" s="1"/>
  <c r="K253" i="124"/>
  <c r="I263" i="124"/>
  <c r="I307" i="124" a="1"/>
  <c r="I307" i="124" s="1"/>
  <c r="I253" i="124"/>
  <c r="I306" i="124" a="1"/>
  <c r="I306" i="124" s="1"/>
  <c r="I264" i="124"/>
  <c r="H292" i="124"/>
  <c r="AJ292" i="124" s="1"/>
  <c r="AJ286" i="124"/>
  <c r="BA106" i="124"/>
  <c r="BA95" i="124"/>
  <c r="BA148" i="124" a="1"/>
  <c r="BA148" i="124" s="1"/>
  <c r="BA149" i="124" a="1"/>
  <c r="BA149" i="124" s="1"/>
  <c r="BA105" i="124"/>
  <c r="AY69" i="124" a="1"/>
  <c r="AY69" i="124" s="1"/>
  <c r="AY70" i="124" a="1"/>
  <c r="AY70" i="124" s="1"/>
  <c r="AY27" i="124"/>
  <c r="AY16" i="124"/>
  <c r="AY26" i="124"/>
  <c r="AX106" i="124"/>
  <c r="AX148" i="124" a="1"/>
  <c r="AX148" i="124" s="1"/>
  <c r="AX149" i="124" a="1"/>
  <c r="AX149" i="124" s="1"/>
  <c r="AX105" i="124"/>
  <c r="AX95" i="124"/>
  <c r="AW105" i="124"/>
  <c r="AW148" i="124" a="1"/>
  <c r="AW148" i="124" s="1"/>
  <c r="AW95" i="124"/>
  <c r="AW149" i="124" a="1"/>
  <c r="AW149" i="124" s="1"/>
  <c r="AW106" i="124"/>
  <c r="AU264" i="124"/>
  <c r="AU306" i="124" a="1"/>
  <c r="AU306" i="124" s="1"/>
  <c r="AU253" i="124"/>
  <c r="AU307" i="124" a="1"/>
  <c r="AU307" i="124" s="1"/>
  <c r="AU263" i="124"/>
  <c r="AT263" i="124"/>
  <c r="AT306" i="124" a="1"/>
  <c r="AT306" i="124" s="1"/>
  <c r="AT307" i="124" a="1"/>
  <c r="AT307" i="124" s="1"/>
  <c r="AT253" i="124"/>
  <c r="AT264" i="124"/>
  <c r="AS185" i="120"/>
  <c r="AS228" i="120" a="1"/>
  <c r="AS228" i="120" s="1"/>
  <c r="AS174" i="120"/>
  <c r="AS227" i="120" a="1"/>
  <c r="AS227" i="120" s="1"/>
  <c r="AS184" i="120"/>
  <c r="AS183" i="120" s="1"/>
  <c r="AQ227" i="124" a="1"/>
  <c r="AQ227" i="124" s="1"/>
  <c r="AQ184" i="124"/>
  <c r="AQ228" i="124" a="1"/>
  <c r="AQ228" i="124" s="1"/>
  <c r="AQ185" i="124"/>
  <c r="AQ174" i="124"/>
  <c r="AP306" i="120" a="1"/>
  <c r="AP306" i="120" s="1"/>
  <c r="AP264" i="120"/>
  <c r="AP263" i="120"/>
  <c r="AP253" i="120"/>
  <c r="AP307" i="120" a="1"/>
  <c r="AP307" i="120" s="1"/>
  <c r="AO185" i="124"/>
  <c r="AO228" i="124" a="1"/>
  <c r="AO228" i="124" s="1"/>
  <c r="AO227" i="124" a="1"/>
  <c r="AO227" i="124" s="1"/>
  <c r="AO174" i="124"/>
  <c r="AO184" i="124"/>
  <c r="AN292" i="120"/>
  <c r="BP292" i="120" s="1"/>
  <c r="T264" i="124"/>
  <c r="T306" i="124" a="1"/>
  <c r="T306" i="124" s="1"/>
  <c r="T263" i="124"/>
  <c r="T307" i="124" a="1"/>
  <c r="T307" i="124" s="1"/>
  <c r="T253" i="124"/>
  <c r="R228" i="124" a="1"/>
  <c r="R228" i="124" s="1"/>
  <c r="R227" i="124" a="1"/>
  <c r="R227" i="124" s="1"/>
  <c r="R184" i="124"/>
  <c r="R185" i="124"/>
  <c r="R174" i="124"/>
  <c r="P106" i="124"/>
  <c r="P148" i="124" a="1"/>
  <c r="P148" i="124" s="1"/>
  <c r="P95" i="124"/>
  <c r="P105" i="124"/>
  <c r="P149" i="124" a="1"/>
  <c r="P149" i="124" s="1"/>
  <c r="N306" i="124" a="1"/>
  <c r="N306" i="124" s="1"/>
  <c r="N307" i="124" a="1"/>
  <c r="N307" i="124" s="1"/>
  <c r="N263" i="124"/>
  <c r="N264" i="124"/>
  <c r="N253" i="124"/>
  <c r="L263" i="124"/>
  <c r="L253" i="124"/>
  <c r="L306" i="124" a="1"/>
  <c r="L306" i="124" s="1"/>
  <c r="L307" i="124" a="1"/>
  <c r="L307" i="124" s="1"/>
  <c r="L264" i="124"/>
  <c r="J106" i="124"/>
  <c r="J105" i="124"/>
  <c r="J148" i="124" a="1"/>
  <c r="J148" i="124" s="1"/>
  <c r="J149" i="124" a="1"/>
  <c r="J149" i="124" s="1"/>
  <c r="J95" i="124"/>
  <c r="H185" i="124"/>
  <c r="H184" i="124"/>
  <c r="H228" i="124" a="1"/>
  <c r="H228" i="124" s="1"/>
  <c r="H227" i="124" a="1"/>
  <c r="H227" i="124" s="1"/>
  <c r="H174" i="124"/>
  <c r="BB104" i="124"/>
  <c r="BB263" i="120"/>
  <c r="BB307" i="120" a="1"/>
  <c r="BB307" i="120" s="1"/>
  <c r="BB253" i="120"/>
  <c r="BB264" i="120"/>
  <c r="BB306" i="120" a="1"/>
  <c r="BB306" i="120" s="1"/>
  <c r="X302" i="124"/>
  <c r="X301" i="124"/>
  <c r="X222" i="124"/>
  <c r="X223" i="124"/>
  <c r="X143" i="124"/>
  <c r="X144" i="124"/>
  <c r="X64" i="124"/>
  <c r="Y8" i="124"/>
  <c r="X65" i="124"/>
  <c r="X249" i="124"/>
  <c r="X12" i="124"/>
  <c r="X170" i="124"/>
  <c r="X91" i="124"/>
  <c r="BB27" i="124"/>
  <c r="BB26" i="124"/>
  <c r="BB69" i="124" a="1"/>
  <c r="BB69" i="124" s="1"/>
  <c r="BB16" i="124"/>
  <c r="BB70" i="124" a="1"/>
  <c r="BB70" i="124" s="1"/>
  <c r="AZ228" i="124" a="1"/>
  <c r="AZ228" i="124" s="1"/>
  <c r="AZ227" i="124" a="1"/>
  <c r="AZ227" i="124" s="1"/>
  <c r="AZ184" i="124"/>
  <c r="AZ185" i="124"/>
  <c r="AZ174" i="124"/>
  <c r="AY105" i="124"/>
  <c r="AY95" i="124"/>
  <c r="AY148" i="124" a="1"/>
  <c r="AY148" i="124" s="1"/>
  <c r="AY106" i="124"/>
  <c r="AY149" i="124" a="1"/>
  <c r="AY149" i="124" s="1"/>
  <c r="AX70" i="124" a="1"/>
  <c r="AX70" i="124" s="1"/>
  <c r="AX26" i="124"/>
  <c r="AX27" i="124"/>
  <c r="AX69" i="124" a="1"/>
  <c r="AX69" i="124" s="1"/>
  <c r="AX16" i="124"/>
  <c r="AV69" i="124" a="1"/>
  <c r="AV69" i="124" s="1"/>
  <c r="AV16" i="124"/>
  <c r="AV70" i="124" a="1"/>
  <c r="AV70" i="124" s="1"/>
  <c r="AV26" i="124"/>
  <c r="AV27" i="124"/>
  <c r="AU264" i="120"/>
  <c r="AU306" i="120" a="1"/>
  <c r="AU306" i="120" s="1"/>
  <c r="AU263" i="120"/>
  <c r="AU253" i="120"/>
  <c r="AU307" i="120" a="1"/>
  <c r="AU307" i="120" s="1"/>
  <c r="AT253" i="120"/>
  <c r="AT306" i="120" a="1"/>
  <c r="AT306" i="120" s="1"/>
  <c r="AT264" i="120"/>
  <c r="AT263" i="120"/>
  <c r="AT307" i="120" a="1"/>
  <c r="AT307" i="120" s="1"/>
  <c r="AR307" i="120" a="1"/>
  <c r="AR307" i="120" s="1"/>
  <c r="AR306" i="120" a="1"/>
  <c r="AR306" i="120" s="1"/>
  <c r="AR253" i="120"/>
  <c r="AR264" i="120"/>
  <c r="AR263" i="120"/>
  <c r="AQ16" i="124"/>
  <c r="AQ26" i="124"/>
  <c r="AQ69" i="124" a="1"/>
  <c r="AQ69" i="124" s="1"/>
  <c r="AQ70" i="124" a="1"/>
  <c r="AQ70" i="124" s="1"/>
  <c r="AQ27" i="124"/>
  <c r="AP253" i="124"/>
  <c r="AP306" i="124" a="1"/>
  <c r="AP306" i="124" s="1"/>
  <c r="AP307" i="124" a="1"/>
  <c r="AP307" i="124" s="1"/>
  <c r="AP263" i="124"/>
  <c r="AP264" i="124"/>
  <c r="AN27" i="124"/>
  <c r="AN69" i="124" a="1"/>
  <c r="AN69" i="124" s="1"/>
  <c r="AN26" i="124"/>
  <c r="AN70" i="124" a="1"/>
  <c r="AN70" i="124" s="1"/>
  <c r="AN16" i="124"/>
  <c r="AN134" i="124"/>
  <c r="BP128" i="124"/>
  <c r="T69" i="124" a="1"/>
  <c r="T69" i="124" s="1"/>
  <c r="T27" i="124"/>
  <c r="T70" i="124" a="1"/>
  <c r="T70" i="124" s="1"/>
  <c r="T26" i="124"/>
  <c r="T16" i="124"/>
  <c r="R16" i="124"/>
  <c r="R70" i="124" a="1"/>
  <c r="R70" i="124" s="1"/>
  <c r="R27" i="124"/>
  <c r="R26" i="124"/>
  <c r="R69" i="124" a="1"/>
  <c r="R69" i="124" s="1"/>
  <c r="P228" i="124" a="1"/>
  <c r="P228" i="124" s="1"/>
  <c r="P185" i="124"/>
  <c r="P184" i="124"/>
  <c r="P227" i="124" a="1"/>
  <c r="P227" i="124" s="1"/>
  <c r="P174" i="124"/>
  <c r="N148" i="124" a="1"/>
  <c r="N148" i="124" s="1"/>
  <c r="N105" i="124"/>
  <c r="N95" i="124"/>
  <c r="N106" i="124"/>
  <c r="N149" i="124" a="1"/>
  <c r="N149" i="124" s="1"/>
  <c r="L228" i="124" a="1"/>
  <c r="L228" i="124" s="1"/>
  <c r="L227" i="124" a="1"/>
  <c r="L227" i="124" s="1"/>
  <c r="L185" i="124"/>
  <c r="L184" i="124"/>
  <c r="L174" i="124"/>
  <c r="J69" i="124" a="1"/>
  <c r="J69" i="124" s="1"/>
  <c r="J16" i="124"/>
  <c r="J70" i="124" a="1"/>
  <c r="J70" i="124" s="1"/>
  <c r="J27" i="124"/>
  <c r="J26" i="124"/>
  <c r="H27" i="124"/>
  <c r="H26" i="124"/>
  <c r="H69" i="124" a="1"/>
  <c r="H69" i="124" s="1"/>
  <c r="H70" i="124" a="1"/>
  <c r="H70" i="124" s="1"/>
  <c r="H16" i="124"/>
  <c r="W70" i="124" a="1"/>
  <c r="W70" i="124" s="1"/>
  <c r="W26" i="124"/>
  <c r="W16" i="124"/>
  <c r="W69" i="124" a="1"/>
  <c r="W69" i="124" s="1"/>
  <c r="W27" i="124"/>
  <c r="AZ253" i="120"/>
  <c r="AZ306" i="120" a="1"/>
  <c r="AZ306" i="120" s="1"/>
  <c r="AZ264" i="120"/>
  <c r="AZ263" i="120"/>
  <c r="AZ307" i="120" a="1"/>
  <c r="AZ307" i="120" s="1"/>
  <c r="AY174" i="120"/>
  <c r="AY184" i="120"/>
  <c r="AY183" i="120" s="1"/>
  <c r="AY185" i="120"/>
  <c r="AY227" i="120" a="1"/>
  <c r="AY227" i="120" s="1"/>
  <c r="AY228" i="120" a="1"/>
  <c r="AY228" i="120" s="1"/>
  <c r="AX263" i="124"/>
  <c r="AX307" i="124" a="1"/>
  <c r="AX307" i="124" s="1"/>
  <c r="AX253" i="124"/>
  <c r="AX264" i="124"/>
  <c r="AX306" i="124" a="1"/>
  <c r="AX306" i="124" s="1"/>
  <c r="AV149" i="124" a="1"/>
  <c r="AV149" i="124" s="1"/>
  <c r="AV106" i="124"/>
  <c r="AV105" i="124"/>
  <c r="AV95" i="124"/>
  <c r="AV148" i="124" a="1"/>
  <c r="AV148" i="124" s="1"/>
  <c r="AU228" i="120" a="1"/>
  <c r="AU228" i="120" s="1"/>
  <c r="AU185" i="120"/>
  <c r="AU227" i="120" a="1"/>
  <c r="AU227" i="120" s="1"/>
  <c r="AU184" i="120"/>
  <c r="AU174" i="120"/>
  <c r="AT228" i="120" a="1"/>
  <c r="AT228" i="120" s="1"/>
  <c r="AT185" i="120"/>
  <c r="AT227" i="120" a="1"/>
  <c r="AT227" i="120" s="1"/>
  <c r="AT174" i="120"/>
  <c r="AT184" i="120"/>
  <c r="AT183" i="120" s="1"/>
  <c r="AR16" i="124"/>
  <c r="AR69" i="124" a="1"/>
  <c r="AR69" i="124" s="1"/>
  <c r="AR70" i="124" a="1"/>
  <c r="AR70" i="124" s="1"/>
  <c r="AR27" i="124"/>
  <c r="AR26" i="124"/>
  <c r="AQ149" i="124" a="1"/>
  <c r="AQ149" i="124" s="1"/>
  <c r="AQ105" i="124"/>
  <c r="AQ106" i="124"/>
  <c r="AQ95" i="124"/>
  <c r="AQ148" i="124" a="1"/>
  <c r="AQ148" i="124" s="1"/>
  <c r="AP174" i="120"/>
  <c r="AP228" i="120" a="1"/>
  <c r="AP228" i="120" s="1"/>
  <c r="AP227" i="120" a="1"/>
  <c r="AP227" i="120" s="1"/>
  <c r="AP185" i="120"/>
  <c r="AP184" i="120"/>
  <c r="AN174" i="120"/>
  <c r="AN228" i="120" a="1"/>
  <c r="AN228" i="120" s="1"/>
  <c r="AN184" i="120"/>
  <c r="AN185" i="120"/>
  <c r="AN227" i="120" a="1"/>
  <c r="AN227" i="120" s="1"/>
  <c r="AN55" i="124"/>
  <c r="BP49" i="124"/>
  <c r="T148" i="124" a="1"/>
  <c r="T148" i="124" s="1"/>
  <c r="T149" i="124" a="1"/>
  <c r="T149" i="124" s="1"/>
  <c r="T106" i="124"/>
  <c r="T105" i="124"/>
  <c r="T95" i="124"/>
  <c r="R106" i="124"/>
  <c r="R148" i="124" a="1"/>
  <c r="R148" i="124" s="1"/>
  <c r="R149" i="124" a="1"/>
  <c r="R149" i="124" s="1"/>
  <c r="R95" i="124"/>
  <c r="R105" i="124"/>
  <c r="P27" i="124"/>
  <c r="P69" i="124" a="1"/>
  <c r="P69" i="124" s="1"/>
  <c r="P26" i="124"/>
  <c r="P70" i="124" a="1"/>
  <c r="P70" i="124" s="1"/>
  <c r="P16" i="124"/>
  <c r="N69" i="124" a="1"/>
  <c r="N69" i="124" s="1"/>
  <c r="N16" i="124"/>
  <c r="N70" i="124" a="1"/>
  <c r="N70" i="124" s="1"/>
  <c r="N26" i="124"/>
  <c r="N27" i="124"/>
  <c r="L26" i="124"/>
  <c r="L69" i="124" a="1"/>
  <c r="L69" i="124" s="1"/>
  <c r="L16" i="124"/>
  <c r="L70" i="124" a="1"/>
  <c r="L70" i="124" s="1"/>
  <c r="L27" i="124"/>
  <c r="J227" i="124" a="1"/>
  <c r="J227" i="124" s="1"/>
  <c r="J228" i="124" a="1"/>
  <c r="J228" i="124" s="1"/>
  <c r="J185" i="124"/>
  <c r="J184" i="124"/>
  <c r="J174" i="124"/>
  <c r="H307" i="124" a="1"/>
  <c r="H307" i="124" s="1"/>
  <c r="H264" i="124"/>
  <c r="H253" i="124"/>
  <c r="H306" i="124" a="1"/>
  <c r="H306" i="124" s="1"/>
  <c r="H263" i="124"/>
  <c r="BC264" i="120"/>
  <c r="BC307" i="120" a="1"/>
  <c r="BC307" i="120" s="1"/>
  <c r="BC306" i="120" a="1"/>
  <c r="BC306" i="120" s="1"/>
  <c r="BC263" i="120"/>
  <c r="BC253" i="120"/>
  <c r="BD301" i="120"/>
  <c r="BD302" i="120"/>
  <c r="BD144" i="120"/>
  <c r="BD222" i="120"/>
  <c r="BD143" i="120"/>
  <c r="BD223" i="120"/>
  <c r="BD170" i="120"/>
  <c r="BD249" i="120"/>
  <c r="W148" i="124" a="1"/>
  <c r="W148" i="124" s="1"/>
  <c r="W105" i="124"/>
  <c r="W106" i="124"/>
  <c r="W95" i="124"/>
  <c r="W149" i="124" a="1"/>
  <c r="W149" i="124" s="1"/>
  <c r="BD301" i="124"/>
  <c r="BD302" i="124"/>
  <c r="BD223" i="124"/>
  <c r="BD222" i="124"/>
  <c r="BD144" i="124"/>
  <c r="BD143" i="124"/>
  <c r="BD65" i="124"/>
  <c r="BE8" i="124"/>
  <c r="BD64" i="124"/>
  <c r="BD249" i="124"/>
  <c r="BD170" i="124"/>
  <c r="BD91" i="124"/>
  <c r="BD12" i="124"/>
  <c r="BA227" i="124" a="1"/>
  <c r="BA227" i="124" s="1"/>
  <c r="BA174" i="124"/>
  <c r="BA184" i="124"/>
  <c r="BA185" i="124"/>
  <c r="BA228" i="124" a="1"/>
  <c r="BA228" i="124" s="1"/>
  <c r="AZ95" i="124"/>
  <c r="AZ148" i="124" a="1"/>
  <c r="AZ148" i="124" s="1"/>
  <c r="AZ106" i="124"/>
  <c r="AZ105" i="124"/>
  <c r="AZ149" i="124" a="1"/>
  <c r="AZ149" i="124" s="1"/>
  <c r="AY228" i="124" a="1"/>
  <c r="AY228" i="124" s="1"/>
  <c r="AY184" i="124"/>
  <c r="AY227" i="124" a="1"/>
  <c r="AY227" i="124" s="1"/>
  <c r="AY174" i="124"/>
  <c r="AY185" i="124"/>
  <c r="AW263" i="124"/>
  <c r="AW306" i="124" a="1"/>
  <c r="AW306" i="124" s="1"/>
  <c r="AW253" i="124"/>
  <c r="AW264" i="124"/>
  <c r="AW307" i="124" a="1"/>
  <c r="AW307" i="124" s="1"/>
  <c r="AV185" i="124"/>
  <c r="AV228" i="124" a="1"/>
  <c r="AV228" i="124" s="1"/>
  <c r="AV227" i="124" a="1"/>
  <c r="AV227" i="124" s="1"/>
  <c r="AV184" i="124"/>
  <c r="AV174" i="124"/>
  <c r="AU69" i="124" a="1"/>
  <c r="AU69" i="124" s="1"/>
  <c r="AU70" i="124" a="1"/>
  <c r="AU70" i="124" s="1"/>
  <c r="AU27" i="124"/>
  <c r="AU26" i="124"/>
  <c r="AU16" i="124"/>
  <c r="AS149" i="124" a="1"/>
  <c r="AS149" i="124" s="1"/>
  <c r="AS106" i="124"/>
  <c r="AS95" i="124"/>
  <c r="AS105" i="124"/>
  <c r="AS148" i="124" a="1"/>
  <c r="AS148" i="124" s="1"/>
  <c r="AR185" i="120"/>
  <c r="AR227" i="120" a="1"/>
  <c r="AR227" i="120" s="1"/>
  <c r="AR228" i="120" a="1"/>
  <c r="AR228" i="120" s="1"/>
  <c r="AR174" i="120"/>
  <c r="AR184" i="120"/>
  <c r="AQ264" i="124"/>
  <c r="AQ263" i="124"/>
  <c r="AQ306" i="124" a="1"/>
  <c r="AQ306" i="124" s="1"/>
  <c r="AQ253" i="124"/>
  <c r="AQ307" i="124" a="1"/>
  <c r="AQ307" i="124" s="1"/>
  <c r="AO307" i="120" a="1"/>
  <c r="AO307" i="120" s="1"/>
  <c r="AO306" i="120" a="1"/>
  <c r="AO306" i="120" s="1"/>
  <c r="AO263" i="120"/>
  <c r="AO253" i="120"/>
  <c r="AO264" i="120"/>
  <c r="AN253" i="120"/>
  <c r="AN264" i="120"/>
  <c r="AN307" i="120" a="1"/>
  <c r="AN307" i="120" s="1"/>
  <c r="AN263" i="120"/>
  <c r="AN262" i="120" s="1"/>
  <c r="AN306" i="120" a="1"/>
  <c r="AN306" i="120" s="1"/>
  <c r="AN213" i="124"/>
  <c r="BP207" i="124"/>
  <c r="T227" i="124" a="1"/>
  <c r="T227" i="124" s="1"/>
  <c r="T228" i="124" a="1"/>
  <c r="T228" i="124" s="1"/>
  <c r="T185" i="124"/>
  <c r="T184" i="124"/>
  <c r="T174" i="124"/>
  <c r="R264" i="124"/>
  <c r="R306" i="124" a="1"/>
  <c r="R306" i="124" s="1"/>
  <c r="R263" i="124"/>
  <c r="R307" i="124" a="1"/>
  <c r="R307" i="124" s="1"/>
  <c r="R253" i="124"/>
  <c r="P263" i="124"/>
  <c r="P264" i="124"/>
  <c r="P253" i="124"/>
  <c r="P306" i="124" a="1"/>
  <c r="P306" i="124" s="1"/>
  <c r="P307" i="124" a="1"/>
  <c r="P307" i="124" s="1"/>
  <c r="N228" i="124" a="1"/>
  <c r="N228" i="124" s="1"/>
  <c r="N184" i="124"/>
  <c r="N227" i="124" a="1"/>
  <c r="N227" i="124" s="1"/>
  <c r="N185" i="124"/>
  <c r="N174" i="124"/>
  <c r="L148" i="124" a="1"/>
  <c r="L148" i="124" s="1"/>
  <c r="L95" i="124"/>
  <c r="L106" i="124"/>
  <c r="L105" i="124"/>
  <c r="L149" i="124" a="1"/>
  <c r="L149" i="124" s="1"/>
  <c r="J264" i="124"/>
  <c r="J306" i="124" a="1"/>
  <c r="J306" i="124" s="1"/>
  <c r="J263" i="124"/>
  <c r="J307" i="124" a="1"/>
  <c r="J307" i="124" s="1"/>
  <c r="J253" i="124"/>
  <c r="H149" i="124" a="1"/>
  <c r="H149" i="124" s="1"/>
  <c r="H106" i="124"/>
  <c r="H105" i="124"/>
  <c r="H95" i="124"/>
  <c r="H148" i="124" a="1"/>
  <c r="H148" i="124" s="1"/>
  <c r="BC185" i="120"/>
  <c r="BC227" i="120" a="1"/>
  <c r="BC227" i="120" s="1"/>
  <c r="BC174" i="120"/>
  <c r="BC184" i="120"/>
  <c r="BC228" i="120" a="1"/>
  <c r="BC228" i="120" s="1"/>
  <c r="V25" i="124"/>
  <c r="W228" i="124" a="1"/>
  <c r="W228" i="124" s="1"/>
  <c r="W227" i="124" a="1"/>
  <c r="W227" i="124" s="1"/>
  <c r="W184" i="124"/>
  <c r="W185" i="124"/>
  <c r="W174" i="124"/>
  <c r="BC228" i="124" a="1"/>
  <c r="BC228" i="124" s="1"/>
  <c r="BC184" i="124"/>
  <c r="BC227" i="124" a="1"/>
  <c r="BC227" i="124" s="1"/>
  <c r="BC185" i="124"/>
  <c r="BC174" i="124"/>
  <c r="BA184" i="120"/>
  <c r="BA183" i="120" s="1"/>
  <c r="BA185" i="120"/>
  <c r="BA174" i="120"/>
  <c r="BA227" i="120" a="1"/>
  <c r="BA227" i="120" s="1"/>
  <c r="BA228" i="120" a="1"/>
  <c r="BA228" i="120" s="1"/>
  <c r="AZ69" i="124" a="1"/>
  <c r="AZ69" i="124" s="1"/>
  <c r="AZ16" i="124"/>
  <c r="AZ70" i="124" a="1"/>
  <c r="AZ70" i="124" s="1"/>
  <c r="AZ27" i="124"/>
  <c r="AZ26" i="124"/>
  <c r="AY264" i="124"/>
  <c r="AY306" i="124" a="1"/>
  <c r="AY306" i="124" s="1"/>
  <c r="AY263" i="124"/>
  <c r="AY307" i="124" a="1"/>
  <c r="AY307" i="124" s="1"/>
  <c r="AY253" i="124"/>
  <c r="AW263" i="120"/>
  <c r="AW306" i="120" a="1"/>
  <c r="AW306" i="120" s="1"/>
  <c r="AW264" i="120"/>
  <c r="AW307" i="120" a="1"/>
  <c r="AW307" i="120" s="1"/>
  <c r="AW253" i="120"/>
  <c r="AV306" i="124" a="1"/>
  <c r="AV306" i="124" s="1"/>
  <c r="AV253" i="124"/>
  <c r="AV307" i="124" a="1"/>
  <c r="AV307" i="124" s="1"/>
  <c r="AV263" i="124"/>
  <c r="AV264" i="124"/>
  <c r="AU106" i="124"/>
  <c r="AU148" i="124" a="1"/>
  <c r="AU148" i="124" s="1"/>
  <c r="AU95" i="124"/>
  <c r="AU105" i="124"/>
  <c r="AU149" i="124" a="1"/>
  <c r="AU149" i="124" s="1"/>
  <c r="AS228" i="124" a="1"/>
  <c r="AS228" i="124" s="1"/>
  <c r="AS227" i="124" a="1"/>
  <c r="AS227" i="124" s="1"/>
  <c r="AS174" i="124"/>
  <c r="AS185" i="124"/>
  <c r="AS184" i="124"/>
  <c r="AR228" i="124" a="1"/>
  <c r="AR228" i="124" s="1"/>
  <c r="AR227" i="124" a="1"/>
  <c r="AR227" i="124" s="1"/>
  <c r="AR184" i="124"/>
  <c r="AR185" i="124"/>
  <c r="AR174" i="124"/>
  <c r="AQ184" i="120"/>
  <c r="AQ183" i="120" s="1"/>
  <c r="AQ228" i="120" a="1"/>
  <c r="AQ228" i="120" s="1"/>
  <c r="AQ174" i="120"/>
  <c r="AQ185" i="120"/>
  <c r="AQ227" i="120" a="1"/>
  <c r="AQ227" i="120" s="1"/>
  <c r="AO26" i="124"/>
  <c r="AO27" i="124"/>
  <c r="AO69" i="124" a="1"/>
  <c r="AO69" i="124" s="1"/>
  <c r="AO16" i="124"/>
  <c r="AO70" i="124" a="1"/>
  <c r="AO70" i="124" s="1"/>
  <c r="AN227" i="124" a="1"/>
  <c r="AN227" i="124" s="1"/>
  <c r="AN185" i="124"/>
  <c r="AN228" i="124" a="1"/>
  <c r="AN228" i="124" s="1"/>
  <c r="AN184" i="124"/>
  <c r="AN174" i="124"/>
  <c r="AN292" i="124"/>
  <c r="BP292" i="124" s="1"/>
  <c r="BP286" i="124"/>
  <c r="U16" i="124"/>
  <c r="U69" i="124" a="1"/>
  <c r="U69" i="124" s="1"/>
  <c r="U26" i="124"/>
  <c r="U27" i="124"/>
  <c r="U70" i="124" a="1"/>
  <c r="U70" i="124" s="1"/>
  <c r="S69" i="124" a="1"/>
  <c r="S69" i="124" s="1"/>
  <c r="S70" i="124" a="1"/>
  <c r="S70" i="124" s="1"/>
  <c r="S16" i="124"/>
  <c r="S27" i="124"/>
  <c r="S26" i="124"/>
  <c r="Q253" i="124"/>
  <c r="Q306" i="124" a="1"/>
  <c r="Q306" i="124" s="1"/>
  <c r="Q264" i="124"/>
  <c r="Q263" i="124"/>
  <c r="Q307" i="124" a="1"/>
  <c r="Q307" i="124" s="1"/>
  <c r="O27" i="124"/>
  <c r="O69" i="124" a="1"/>
  <c r="O69" i="124" s="1"/>
  <c r="O70" i="124" a="1"/>
  <c r="O70" i="124" s="1"/>
  <c r="O16" i="124"/>
  <c r="O26" i="124"/>
  <c r="M228" i="124" a="1"/>
  <c r="M228" i="124" s="1"/>
  <c r="M185" i="124"/>
  <c r="M184" i="124"/>
  <c r="M227" i="124" a="1"/>
  <c r="M227" i="124" s="1"/>
  <c r="M174" i="124"/>
  <c r="K27" i="124"/>
  <c r="K26" i="124"/>
  <c r="K69" i="124" a="1"/>
  <c r="K69" i="124" s="1"/>
  <c r="K16" i="124"/>
  <c r="K70" i="124" a="1"/>
  <c r="K70" i="124" s="1"/>
  <c r="I149" i="124" a="1"/>
  <c r="I149" i="124" s="1"/>
  <c r="I95" i="124"/>
  <c r="I148" i="124" a="1"/>
  <c r="I148" i="124" s="1"/>
  <c r="I106" i="124"/>
  <c r="I105" i="124"/>
  <c r="H134" i="124"/>
  <c r="AJ134" i="124" s="1"/>
  <c r="AJ128" i="124"/>
  <c r="V228" i="124" a="1"/>
  <c r="V228" i="124" s="1"/>
  <c r="V184" i="124"/>
  <c r="V227" i="124" a="1"/>
  <c r="V227" i="124" s="1"/>
  <c r="V185" i="124"/>
  <c r="V174" i="124"/>
  <c r="W307" i="124" a="1"/>
  <c r="W307" i="124" s="1"/>
  <c r="W264" i="124"/>
  <c r="W306" i="124" a="1"/>
  <c r="W306" i="124" s="1"/>
  <c r="W263" i="124"/>
  <c r="W253" i="124"/>
  <c r="BC70" i="124" a="1"/>
  <c r="BC70" i="124" s="1"/>
  <c r="BC27" i="124"/>
  <c r="BC26" i="124"/>
  <c r="BC16" i="124"/>
  <c r="BC69" i="124" a="1"/>
  <c r="BC69" i="124" s="1"/>
  <c r="BA26" i="124"/>
  <c r="BA16" i="124"/>
  <c r="BA69" i="124" a="1"/>
  <c r="BA69" i="124" s="1"/>
  <c r="BA70" i="124" a="1"/>
  <c r="BA70" i="124" s="1"/>
  <c r="BA27" i="124"/>
  <c r="AZ307" i="124" a="1"/>
  <c r="AZ307" i="124" s="1"/>
  <c r="AZ306" i="124" a="1"/>
  <c r="AZ306" i="124" s="1"/>
  <c r="AZ263" i="124"/>
  <c r="AZ264" i="124"/>
  <c r="AZ253" i="124"/>
  <c r="AX253" i="120"/>
  <c r="AX263" i="120"/>
  <c r="AX264" i="120"/>
  <c r="AX307" i="120" a="1"/>
  <c r="AX307" i="120" s="1"/>
  <c r="AX306" i="120" a="1"/>
  <c r="AX306" i="120" s="1"/>
  <c r="AW174" i="120"/>
  <c r="AW227" i="120" a="1"/>
  <c r="AW227" i="120" s="1"/>
  <c r="AW185" i="120"/>
  <c r="AW228" i="120" a="1"/>
  <c r="AW228" i="120" s="1"/>
  <c r="AW184" i="120"/>
  <c r="AV174" i="120"/>
  <c r="AV184" i="120"/>
  <c r="AV228" i="120" a="1"/>
  <c r="AV228" i="120" s="1"/>
  <c r="AV185" i="120"/>
  <c r="AV227" i="120" a="1"/>
  <c r="AV227" i="120" s="1"/>
  <c r="AT70" i="124" a="1"/>
  <c r="AT70" i="124" s="1"/>
  <c r="AT27" i="124"/>
  <c r="AT26" i="124"/>
  <c r="AT69" i="124" a="1"/>
  <c r="AT69" i="124" s="1"/>
  <c r="AT16" i="124"/>
  <c r="AS26" i="124"/>
  <c r="AS16" i="124"/>
  <c r="AS69" i="124" a="1"/>
  <c r="AS69" i="124" s="1"/>
  <c r="AS27" i="124"/>
  <c r="AS70" i="124" a="1"/>
  <c r="AS70" i="124" s="1"/>
  <c r="AR307" i="124" a="1"/>
  <c r="AR307" i="124" s="1"/>
  <c r="AR306" i="124" a="1"/>
  <c r="AR306" i="124" s="1"/>
  <c r="AR263" i="124"/>
  <c r="AR264" i="124"/>
  <c r="AR253" i="124"/>
  <c r="AP105" i="124"/>
  <c r="AP95" i="124"/>
  <c r="AP149" i="124" a="1"/>
  <c r="AP149" i="124" s="1"/>
  <c r="AP148" i="124" a="1"/>
  <c r="AP148" i="124" s="1"/>
  <c r="AP106" i="124"/>
  <c r="AO174" i="120"/>
  <c r="AO228" i="120" a="1"/>
  <c r="AO228" i="120" s="1"/>
  <c r="AO184" i="120"/>
  <c r="AO227" i="120" a="1"/>
  <c r="AO227" i="120" s="1"/>
  <c r="AO185" i="120"/>
  <c r="AN148" i="124" a="1"/>
  <c r="AN148" i="124" s="1"/>
  <c r="AN149" i="124" a="1"/>
  <c r="AN149" i="124" s="1"/>
  <c r="AN95" i="124"/>
  <c r="AN106" i="124"/>
  <c r="AN105" i="124"/>
  <c r="U185" i="124"/>
  <c r="U227" i="124" a="1"/>
  <c r="U227" i="124" s="1"/>
  <c r="U228" i="124" a="1"/>
  <c r="U228" i="124" s="1"/>
  <c r="U174" i="124"/>
  <c r="U184" i="124"/>
  <c r="S185" i="124"/>
  <c r="S227" i="124" a="1"/>
  <c r="S227" i="124" s="1"/>
  <c r="S228" i="124" a="1"/>
  <c r="S228" i="124" s="1"/>
  <c r="S184" i="124"/>
  <c r="S174" i="124"/>
  <c r="Q228" i="124" a="1"/>
  <c r="Q228" i="124" s="1"/>
  <c r="Q227" i="124" a="1"/>
  <c r="Q227" i="124" s="1"/>
  <c r="Q185" i="124"/>
  <c r="Q184" i="124"/>
  <c r="Q174" i="124"/>
  <c r="O105" i="124"/>
  <c r="O148" i="124" a="1"/>
  <c r="O148" i="124" s="1"/>
  <c r="O95" i="124"/>
  <c r="O149" i="124" a="1"/>
  <c r="O149" i="124" s="1"/>
  <c r="O106" i="124"/>
  <c r="M105" i="124"/>
  <c r="M95" i="124"/>
  <c r="M106" i="124"/>
  <c r="M148" i="124" a="1"/>
  <c r="M148" i="124" s="1"/>
  <c r="M149" i="124" a="1"/>
  <c r="M149" i="124" s="1"/>
  <c r="K149" i="124" a="1"/>
  <c r="K149" i="124" s="1"/>
  <c r="K95" i="124"/>
  <c r="K105" i="124"/>
  <c r="K106" i="124"/>
  <c r="K148" i="124" a="1"/>
  <c r="K148" i="124" s="1"/>
  <c r="I228" i="124" a="1"/>
  <c r="I228" i="124" s="1"/>
  <c r="I227" i="124" a="1"/>
  <c r="I227" i="124" s="1"/>
  <c r="I184" i="124"/>
  <c r="I185" i="124"/>
  <c r="I174" i="124"/>
  <c r="H55" i="124"/>
  <c r="AJ55" i="124" s="1"/>
  <c r="AJ49" i="124"/>
  <c r="BC149" i="120" a="1"/>
  <c r="BC149" i="120" s="1"/>
  <c r="BC148" i="120" a="1"/>
  <c r="BC148" i="120" s="1"/>
  <c r="AU149" i="120" a="1"/>
  <c r="AU149" i="120" s="1"/>
  <c r="AU148" i="120" a="1"/>
  <c r="AU148" i="120" s="1"/>
  <c r="AS148" i="120" a="1"/>
  <c r="AS148" i="120" s="1"/>
  <c r="AS149" i="120" a="1"/>
  <c r="AS149" i="120" s="1"/>
  <c r="BA148" i="120" a="1"/>
  <c r="BA148" i="120" s="1"/>
  <c r="BA149" i="120" a="1"/>
  <c r="BA149" i="120" s="1"/>
  <c r="AX149" i="120" a="1"/>
  <c r="AX149" i="120" s="1"/>
  <c r="AX148" i="120" a="1"/>
  <c r="AX148" i="120" s="1"/>
  <c r="AP149" i="120" a="1"/>
  <c r="AP149" i="120" s="1"/>
  <c r="AP148" i="120" a="1"/>
  <c r="AP148" i="120" s="1"/>
  <c r="BB149" i="120" a="1"/>
  <c r="BB149" i="120" s="1"/>
  <c r="BB148" i="120" a="1"/>
  <c r="BB148" i="120" s="1"/>
  <c r="AR148" i="120" a="1"/>
  <c r="AR148" i="120" s="1"/>
  <c r="AR149" i="120" a="1"/>
  <c r="AR149" i="120" s="1"/>
  <c r="AO148" i="120" a="1"/>
  <c r="AO148" i="120" s="1"/>
  <c r="AO149" i="120" a="1"/>
  <c r="AO149" i="120" s="1"/>
  <c r="AZ148" i="120" a="1"/>
  <c r="AZ148" i="120" s="1"/>
  <c r="AZ149" i="120" a="1"/>
  <c r="AZ149" i="120" s="1"/>
  <c r="AT149" i="120" a="1"/>
  <c r="AT149" i="120" s="1"/>
  <c r="AT148" i="120" a="1"/>
  <c r="AT148" i="120" s="1"/>
  <c r="AW148" i="120" a="1"/>
  <c r="AW148" i="120" s="1"/>
  <c r="AW149" i="120" a="1"/>
  <c r="AW149" i="120" s="1"/>
  <c r="AQ149" i="120" a="1"/>
  <c r="AQ149" i="120" s="1"/>
  <c r="AQ148" i="120" a="1"/>
  <c r="AQ148" i="120" s="1"/>
  <c r="AN148" i="120" a="1"/>
  <c r="AN148" i="120" s="1"/>
  <c r="AN149" i="120" a="1"/>
  <c r="AN149" i="120" s="1"/>
  <c r="AY149" i="120" a="1"/>
  <c r="AY149" i="120" s="1"/>
  <c r="AY148" i="120" a="1"/>
  <c r="AY148" i="120" s="1"/>
  <c r="AV148" i="120" a="1"/>
  <c r="AV148" i="120" s="1"/>
  <c r="AV149" i="120" a="1"/>
  <c r="AV149" i="120" s="1"/>
  <c r="AN55" i="120"/>
  <c r="AN134" i="120"/>
  <c r="BP134" i="120" s="1"/>
  <c r="AY106" i="120"/>
  <c r="AY95" i="120"/>
  <c r="AY105" i="120"/>
  <c r="AY104" i="120" s="1"/>
  <c r="AV106" i="120"/>
  <c r="AV95" i="120"/>
  <c r="AV105" i="120"/>
  <c r="AV104" i="120" s="1"/>
  <c r="AU95" i="120"/>
  <c r="AU105" i="120"/>
  <c r="AU106" i="120"/>
  <c r="AS106" i="120"/>
  <c r="AS105" i="120"/>
  <c r="AS104" i="120" s="1"/>
  <c r="AS95" i="120"/>
  <c r="BC105" i="120"/>
  <c r="BC95" i="120"/>
  <c r="BC106" i="120"/>
  <c r="BA106" i="120"/>
  <c r="BA105" i="120"/>
  <c r="BA104" i="120" s="1"/>
  <c r="BA95" i="120"/>
  <c r="AX95" i="120"/>
  <c r="AX105" i="120"/>
  <c r="AX106" i="120"/>
  <c r="AP95" i="120"/>
  <c r="AP106" i="120"/>
  <c r="AP105" i="120"/>
  <c r="BB95" i="120"/>
  <c r="BB105" i="120"/>
  <c r="BB106" i="120"/>
  <c r="AR106" i="120"/>
  <c r="AR105" i="120"/>
  <c r="AR95" i="120"/>
  <c r="AO95" i="120"/>
  <c r="AO106" i="120"/>
  <c r="AO105" i="120"/>
  <c r="AZ95" i="120"/>
  <c r="AZ105" i="120"/>
  <c r="AZ106" i="120"/>
  <c r="AT106" i="120"/>
  <c r="AT95" i="120"/>
  <c r="AT105" i="120"/>
  <c r="AT104" i="120" s="1"/>
  <c r="BE8" i="120"/>
  <c r="BD64" i="120"/>
  <c r="BD65" i="120"/>
  <c r="BD91" i="120"/>
  <c r="Y8" i="120"/>
  <c r="X301" i="120"/>
  <c r="X222" i="120"/>
  <c r="X143" i="120"/>
  <c r="X65" i="120"/>
  <c r="X302" i="120"/>
  <c r="X223" i="120"/>
  <c r="X144" i="120"/>
  <c r="X64" i="120"/>
  <c r="AW95" i="120"/>
  <c r="AW105" i="120"/>
  <c r="AW106" i="120"/>
  <c r="AQ106" i="120"/>
  <c r="AQ95" i="120"/>
  <c r="AQ105" i="120"/>
  <c r="AQ104" i="120" s="1"/>
  <c r="AN95" i="120"/>
  <c r="AN106" i="120"/>
  <c r="AN105" i="120"/>
  <c r="AN104" i="120" s="1"/>
  <c r="M227" i="120" a="1"/>
  <c r="M227" i="120" s="1"/>
  <c r="M185" i="120"/>
  <c r="M184" i="120"/>
  <c r="M228" i="120" a="1"/>
  <c r="M228" i="120" s="1"/>
  <c r="M174" i="120"/>
  <c r="O70" i="120" a="1"/>
  <c r="O70" i="120" s="1"/>
  <c r="O69" i="120" a="1"/>
  <c r="O69" i="120" s="1"/>
  <c r="O26" i="120"/>
  <c r="O16" i="120"/>
  <c r="O27" i="120"/>
  <c r="T148" i="120" a="1"/>
  <c r="T148" i="120" s="1"/>
  <c r="T105" i="120"/>
  <c r="T149" i="120" a="1"/>
  <c r="T149" i="120" s="1"/>
  <c r="T95" i="120"/>
  <c r="T106" i="120"/>
  <c r="J69" i="120" a="1"/>
  <c r="J69" i="120" s="1"/>
  <c r="J16" i="120"/>
  <c r="J70" i="120" a="1"/>
  <c r="J70" i="120" s="1"/>
  <c r="J27" i="120"/>
  <c r="J26" i="120"/>
  <c r="R16" i="120"/>
  <c r="R70" i="120" a="1"/>
  <c r="R70" i="120" s="1"/>
  <c r="R27" i="120"/>
  <c r="R69" i="120" a="1"/>
  <c r="R69" i="120" s="1"/>
  <c r="R26" i="120"/>
  <c r="X27" i="120"/>
  <c r="X70" i="120" a="1"/>
  <c r="X70" i="120" s="1"/>
  <c r="X69" i="120" a="1"/>
  <c r="X69" i="120" s="1"/>
  <c r="X16" i="120"/>
  <c r="X26" i="120"/>
  <c r="I70" i="120" a="1"/>
  <c r="I70" i="120" s="1"/>
  <c r="I16" i="120"/>
  <c r="I26" i="120"/>
  <c r="I69" i="120" a="1"/>
  <c r="I69" i="120" s="1"/>
  <c r="I27" i="120"/>
  <c r="X185" i="120"/>
  <c r="X184" i="120"/>
  <c r="X174" i="120"/>
  <c r="X227" i="120" a="1"/>
  <c r="X227" i="120" s="1"/>
  <c r="X228" i="120" a="1"/>
  <c r="X228" i="120" s="1"/>
  <c r="AY26" i="120"/>
  <c r="AY16" i="120"/>
  <c r="AY70" i="120" a="1"/>
  <c r="AY70" i="120" s="1"/>
  <c r="AY69" i="120" a="1"/>
  <c r="AY69" i="120" s="1"/>
  <c r="AY27" i="120"/>
  <c r="AU69" i="120" a="1"/>
  <c r="AU69" i="120" s="1"/>
  <c r="AU16" i="120"/>
  <c r="AU70" i="120" a="1"/>
  <c r="AU70" i="120" s="1"/>
  <c r="AU27" i="120"/>
  <c r="AU26" i="120"/>
  <c r="BA27" i="120"/>
  <c r="BA70" i="120" a="1"/>
  <c r="BA70" i="120" s="1"/>
  <c r="BA16" i="120"/>
  <c r="BA26" i="120"/>
  <c r="BA69" i="120" a="1"/>
  <c r="BA69" i="120" s="1"/>
  <c r="BP128" i="120"/>
  <c r="N16" i="120"/>
  <c r="N70" i="120" a="1"/>
  <c r="N70" i="120" s="1"/>
  <c r="N27" i="120"/>
  <c r="N69" i="120" a="1"/>
  <c r="N69" i="120" s="1"/>
  <c r="N26" i="120"/>
  <c r="R95" i="120"/>
  <c r="R105" i="120"/>
  <c r="R148" i="120" a="1"/>
  <c r="R148" i="120" s="1"/>
  <c r="R106" i="120"/>
  <c r="R149" i="120" a="1"/>
  <c r="R149" i="120" s="1"/>
  <c r="U26" i="120"/>
  <c r="U69" i="120" a="1"/>
  <c r="U69" i="120" s="1"/>
  <c r="U70" i="120" a="1"/>
  <c r="U70" i="120" s="1"/>
  <c r="U16" i="120"/>
  <c r="U27" i="120"/>
  <c r="W69" i="120" a="1"/>
  <c r="W69" i="120" s="1"/>
  <c r="W26" i="120"/>
  <c r="W16" i="120"/>
  <c r="W27" i="120"/>
  <c r="W70" i="120" a="1"/>
  <c r="W70" i="120" s="1"/>
  <c r="G55" i="120"/>
  <c r="AJ55" i="120" s="1"/>
  <c r="AJ49" i="120"/>
  <c r="K70" i="120" a="1"/>
  <c r="K70" i="120" s="1"/>
  <c r="K27" i="120"/>
  <c r="K26" i="120"/>
  <c r="K69" i="120" a="1"/>
  <c r="K69" i="120" s="1"/>
  <c r="K16" i="120"/>
  <c r="R228" i="120" a="1"/>
  <c r="R228" i="120" s="1"/>
  <c r="R185" i="120"/>
  <c r="R227" i="120" a="1"/>
  <c r="R227" i="120" s="1"/>
  <c r="R184" i="120"/>
  <c r="R174" i="120"/>
  <c r="O306" i="120" a="1"/>
  <c r="O306" i="120" s="1"/>
  <c r="O253" i="120"/>
  <c r="O263" i="120"/>
  <c r="O307" i="120" a="1"/>
  <c r="O307" i="120" s="1"/>
  <c r="O264" i="120"/>
  <c r="N306" i="120" a="1"/>
  <c r="N306" i="120" s="1"/>
  <c r="N307" i="120" a="1"/>
  <c r="N307" i="120" s="1"/>
  <c r="N253" i="120"/>
  <c r="N263" i="120"/>
  <c r="N264" i="120"/>
  <c r="AN16" i="120"/>
  <c r="AN70" i="120" a="1"/>
  <c r="AN70" i="120" s="1"/>
  <c r="AN27" i="120"/>
  <c r="AN26" i="120"/>
  <c r="AN69" i="120" a="1"/>
  <c r="AN69" i="120" s="1"/>
  <c r="BC70" i="120" a="1"/>
  <c r="BC70" i="120" s="1"/>
  <c r="BC27" i="120"/>
  <c r="BC26" i="120"/>
  <c r="BC69" i="120" a="1"/>
  <c r="BC69" i="120" s="1"/>
  <c r="BC16" i="120"/>
  <c r="BP286" i="120"/>
  <c r="T16" i="120"/>
  <c r="T69" i="120" a="1"/>
  <c r="T69" i="120" s="1"/>
  <c r="T27" i="120"/>
  <c r="T26" i="120"/>
  <c r="T70" i="120" a="1"/>
  <c r="T70" i="120" s="1"/>
  <c r="G27" i="120"/>
  <c r="G69" i="120" a="1"/>
  <c r="G69" i="120" s="1"/>
  <c r="G70" i="120" a="1"/>
  <c r="G70" i="120" s="1"/>
  <c r="G26" i="120"/>
  <c r="G16" i="120"/>
  <c r="L105" i="120"/>
  <c r="L148" i="120" a="1"/>
  <c r="L148" i="120" s="1"/>
  <c r="L95" i="120"/>
  <c r="L149" i="120" a="1"/>
  <c r="L149" i="120" s="1"/>
  <c r="L106" i="120"/>
  <c r="V149" i="120" a="1"/>
  <c r="V149" i="120" s="1"/>
  <c r="V95" i="120"/>
  <c r="V148" i="120" a="1"/>
  <c r="V148" i="120" s="1"/>
  <c r="V106" i="120"/>
  <c r="V105" i="120"/>
  <c r="K148" i="120" a="1"/>
  <c r="K148" i="120" s="1"/>
  <c r="K95" i="120"/>
  <c r="K149" i="120" a="1"/>
  <c r="K149" i="120" s="1"/>
  <c r="K105" i="120"/>
  <c r="K106" i="120"/>
  <c r="S27" i="120"/>
  <c r="S69" i="120" a="1"/>
  <c r="S69" i="120" s="1"/>
  <c r="S26" i="120"/>
  <c r="S70" i="120" a="1"/>
  <c r="S70" i="120" s="1"/>
  <c r="S16" i="120"/>
  <c r="L253" i="120"/>
  <c r="L307" i="120" a="1"/>
  <c r="L307" i="120" s="1"/>
  <c r="L306" i="120" a="1"/>
  <c r="L306" i="120" s="1"/>
  <c r="L263" i="120"/>
  <c r="L264" i="120"/>
  <c r="K307" i="120" a="1"/>
  <c r="K307" i="120" s="1"/>
  <c r="K253" i="120"/>
  <c r="K306" i="120" a="1"/>
  <c r="K306" i="120" s="1"/>
  <c r="K263" i="120"/>
  <c r="K264" i="120"/>
  <c r="G264" i="120"/>
  <c r="G263" i="120"/>
  <c r="G306" i="120" a="1"/>
  <c r="G306" i="120" s="1"/>
  <c r="G253" i="120"/>
  <c r="G307" i="120" a="1"/>
  <c r="G307" i="120" s="1"/>
  <c r="H253" i="120"/>
  <c r="H306" i="120" a="1"/>
  <c r="H306" i="120" s="1"/>
  <c r="H263" i="120"/>
  <c r="H307" i="120" a="1"/>
  <c r="H307" i="120" s="1"/>
  <c r="H264" i="120"/>
  <c r="P306" i="120" a="1"/>
  <c r="P306" i="120" s="1"/>
  <c r="P307" i="120" a="1"/>
  <c r="P307" i="120" s="1"/>
  <c r="P264" i="120"/>
  <c r="P253" i="120"/>
  <c r="P263" i="120"/>
  <c r="AM16" i="120"/>
  <c r="AM69" i="120" a="1"/>
  <c r="AM69" i="120" s="1"/>
  <c r="AM70" i="120" a="1"/>
  <c r="AM70" i="120" s="1"/>
  <c r="AM27" i="120"/>
  <c r="AM26" i="120"/>
  <c r="M70" i="120" a="1"/>
  <c r="M70" i="120" s="1"/>
  <c r="M27" i="120"/>
  <c r="M26" i="120"/>
  <c r="M69" i="120" a="1"/>
  <c r="M69" i="120" s="1"/>
  <c r="M16" i="120"/>
  <c r="N106" i="120"/>
  <c r="N148" i="120" a="1"/>
  <c r="N148" i="120" s="1"/>
  <c r="N149" i="120" a="1"/>
  <c r="N149" i="120" s="1"/>
  <c r="N95" i="120"/>
  <c r="N105" i="120"/>
  <c r="X105" i="120"/>
  <c r="X149" i="120" a="1"/>
  <c r="X149" i="120" s="1"/>
  <c r="X95" i="120"/>
  <c r="X106" i="120"/>
  <c r="X148" i="120" a="1"/>
  <c r="X148" i="120" s="1"/>
  <c r="G106" i="120"/>
  <c r="G148" i="120" a="1"/>
  <c r="G148" i="120" s="1"/>
  <c r="G105" i="120"/>
  <c r="G149" i="120" a="1"/>
  <c r="G149" i="120" s="1"/>
  <c r="G95" i="120"/>
  <c r="M106" i="120"/>
  <c r="M148" i="120" a="1"/>
  <c r="M148" i="120" s="1"/>
  <c r="M149" i="120" a="1"/>
  <c r="M149" i="120" s="1"/>
  <c r="M95" i="120"/>
  <c r="M105" i="120"/>
  <c r="S148" i="120" a="1"/>
  <c r="S148" i="120" s="1"/>
  <c r="S149" i="120" a="1"/>
  <c r="S149" i="120" s="1"/>
  <c r="S106" i="120"/>
  <c r="S105" i="120"/>
  <c r="S95" i="120"/>
  <c r="M253" i="120"/>
  <c r="M307" i="120" a="1"/>
  <c r="M307" i="120" s="1"/>
  <c r="M264" i="120"/>
  <c r="M263" i="120"/>
  <c r="M306" i="120" a="1"/>
  <c r="M306" i="120" s="1"/>
  <c r="Q307" i="120" a="1"/>
  <c r="Q307" i="120" s="1"/>
  <c r="Q263" i="120"/>
  <c r="Q253" i="120"/>
  <c r="Q306" i="120" a="1"/>
  <c r="Q306" i="120" s="1"/>
  <c r="Q264" i="120"/>
  <c r="AJ286" i="120"/>
  <c r="G292" i="120"/>
  <c r="AJ292" i="120" s="1"/>
  <c r="W227" i="120" a="1"/>
  <c r="W227" i="120" s="1"/>
  <c r="W185" i="120"/>
  <c r="W228" i="120" a="1"/>
  <c r="W228" i="120" s="1"/>
  <c r="W174" i="120"/>
  <c r="W184" i="120"/>
  <c r="AV69" i="120" a="1"/>
  <c r="AV69" i="120" s="1"/>
  <c r="AV27" i="120"/>
  <c r="AV26" i="120"/>
  <c r="AV70" i="120" a="1"/>
  <c r="AV70" i="120" s="1"/>
  <c r="AV16" i="120"/>
  <c r="BD27" i="120"/>
  <c r="BD26" i="120"/>
  <c r="BD16" i="120"/>
  <c r="BD69" i="120" a="1"/>
  <c r="BD69" i="120" s="1"/>
  <c r="BD70" i="120" a="1"/>
  <c r="BD70" i="120" s="1"/>
  <c r="AQ27" i="120"/>
  <c r="AQ69" i="120" a="1"/>
  <c r="AQ69" i="120" s="1"/>
  <c r="AQ26" i="120"/>
  <c r="AQ70" i="120" a="1"/>
  <c r="AQ70" i="120" s="1"/>
  <c r="AQ16" i="120"/>
  <c r="BP207" i="120"/>
  <c r="Q70" i="120" a="1"/>
  <c r="Q70" i="120" s="1"/>
  <c r="Q16" i="120"/>
  <c r="Q69" i="120" a="1"/>
  <c r="Q69" i="120" s="1"/>
  <c r="Q27" i="120"/>
  <c r="Q26" i="120"/>
  <c r="H148" i="120" a="1"/>
  <c r="H148" i="120" s="1"/>
  <c r="H95" i="120"/>
  <c r="H149" i="120" a="1"/>
  <c r="H149" i="120" s="1"/>
  <c r="H106" i="120"/>
  <c r="H105" i="120"/>
  <c r="P148" i="120" a="1"/>
  <c r="P148" i="120" s="1"/>
  <c r="P105" i="120"/>
  <c r="P149" i="120" a="1"/>
  <c r="P149" i="120" s="1"/>
  <c r="P95" i="120"/>
  <c r="P106" i="120"/>
  <c r="G134" i="120"/>
  <c r="AJ134" i="120" s="1"/>
  <c r="AJ128" i="120"/>
  <c r="O148" i="120" a="1"/>
  <c r="O148" i="120" s="1"/>
  <c r="O106" i="120"/>
  <c r="O105" i="120"/>
  <c r="O149" i="120" a="1"/>
  <c r="O149" i="120" s="1"/>
  <c r="O95" i="120"/>
  <c r="U95" i="120"/>
  <c r="U105" i="120"/>
  <c r="U148" i="120" a="1"/>
  <c r="U148" i="120" s="1"/>
  <c r="U149" i="120" a="1"/>
  <c r="U149" i="120" s="1"/>
  <c r="U106" i="120"/>
  <c r="R306" i="120" a="1"/>
  <c r="R306" i="120" s="1"/>
  <c r="R264" i="120"/>
  <c r="R307" i="120" a="1"/>
  <c r="R307" i="120" s="1"/>
  <c r="R263" i="120"/>
  <c r="R253" i="120"/>
  <c r="T306" i="120" a="1"/>
  <c r="T306" i="120" s="1"/>
  <c r="T307" i="120" a="1"/>
  <c r="T307" i="120" s="1"/>
  <c r="T263" i="120"/>
  <c r="T264" i="120"/>
  <c r="T253" i="120"/>
  <c r="O228" i="120" a="1"/>
  <c r="O228" i="120" s="1"/>
  <c r="O227" i="120" a="1"/>
  <c r="O227" i="120" s="1"/>
  <c r="O185" i="120"/>
  <c r="O184" i="120"/>
  <c r="O174" i="120"/>
  <c r="P228" i="120" a="1"/>
  <c r="P228" i="120" s="1"/>
  <c r="P185" i="120"/>
  <c r="P184" i="120"/>
  <c r="P174" i="120"/>
  <c r="P227" i="120" a="1"/>
  <c r="P227" i="120" s="1"/>
  <c r="AX70" i="120" a="1"/>
  <c r="AX70" i="120" s="1"/>
  <c r="AX27" i="120"/>
  <c r="AX26" i="120"/>
  <c r="AX16" i="120"/>
  <c r="AX69" i="120" a="1"/>
  <c r="AX69" i="120" s="1"/>
  <c r="AP69" i="120" a="1"/>
  <c r="AP69" i="120" s="1"/>
  <c r="AP27" i="120"/>
  <c r="AP70" i="120" a="1"/>
  <c r="AP70" i="120" s="1"/>
  <c r="AP26" i="120"/>
  <c r="AP16" i="120"/>
  <c r="AO26" i="120"/>
  <c r="AO69" i="120" a="1"/>
  <c r="AO69" i="120" s="1"/>
  <c r="AO70" i="120" a="1"/>
  <c r="AO70" i="120" s="1"/>
  <c r="AO16" i="120"/>
  <c r="AO27" i="120"/>
  <c r="AZ70" i="120" a="1"/>
  <c r="AZ70" i="120" s="1"/>
  <c r="AZ69" i="120" a="1"/>
  <c r="AZ69" i="120" s="1"/>
  <c r="AZ16" i="120"/>
  <c r="AZ27" i="120"/>
  <c r="AZ26" i="120"/>
  <c r="J148" i="120" a="1"/>
  <c r="J148" i="120" s="1"/>
  <c r="J95" i="120"/>
  <c r="J105" i="120"/>
  <c r="J149" i="120" a="1"/>
  <c r="J149" i="120" s="1"/>
  <c r="J106" i="120"/>
  <c r="K228" i="120" a="1"/>
  <c r="K228" i="120" s="1"/>
  <c r="K184" i="120"/>
  <c r="K174" i="120"/>
  <c r="K227" i="120" a="1"/>
  <c r="K227" i="120" s="1"/>
  <c r="K185" i="120"/>
  <c r="L185" i="120"/>
  <c r="L227" i="120" a="1"/>
  <c r="L227" i="120" s="1"/>
  <c r="L184" i="120"/>
  <c r="L228" i="120" a="1"/>
  <c r="L228" i="120" s="1"/>
  <c r="L174" i="120"/>
  <c r="U228" i="120" a="1"/>
  <c r="U228" i="120" s="1"/>
  <c r="U185" i="120"/>
  <c r="U227" i="120" a="1"/>
  <c r="U227" i="120" s="1"/>
  <c r="U174" i="120"/>
  <c r="U184" i="120"/>
  <c r="W148" i="120" a="1"/>
  <c r="W148" i="120" s="1"/>
  <c r="W106" i="120"/>
  <c r="W149" i="120" a="1"/>
  <c r="W149" i="120" s="1"/>
  <c r="W105" i="120"/>
  <c r="W95" i="120"/>
  <c r="Q106" i="120"/>
  <c r="Q148" i="120" a="1"/>
  <c r="Q148" i="120" s="1"/>
  <c r="Q149" i="120" a="1"/>
  <c r="Q149" i="120" s="1"/>
  <c r="Q95" i="120"/>
  <c r="Q105" i="120"/>
  <c r="S306" i="120" a="1"/>
  <c r="S306" i="120" s="1"/>
  <c r="S264" i="120"/>
  <c r="S263" i="120"/>
  <c r="S307" i="120" a="1"/>
  <c r="S307" i="120" s="1"/>
  <c r="S253" i="120"/>
  <c r="W263" i="120"/>
  <c r="W253" i="120"/>
  <c r="W307" i="120" a="1"/>
  <c r="W307" i="120" s="1"/>
  <c r="W306" i="120" a="1"/>
  <c r="W306" i="120" s="1"/>
  <c r="W264" i="120"/>
  <c r="H228" i="120" a="1"/>
  <c r="H228" i="120" s="1"/>
  <c r="H185" i="120"/>
  <c r="H184" i="120"/>
  <c r="H174" i="120"/>
  <c r="H227" i="120" a="1"/>
  <c r="H227" i="120" s="1"/>
  <c r="J228" i="120" a="1"/>
  <c r="J228" i="120" s="1"/>
  <c r="J184" i="120"/>
  <c r="J227" i="120" a="1"/>
  <c r="J227" i="120" s="1"/>
  <c r="J185" i="120"/>
  <c r="J174" i="120"/>
  <c r="AM55" i="120"/>
  <c r="BP49" i="120"/>
  <c r="BB70" i="120" a="1"/>
  <c r="BB70" i="120" s="1"/>
  <c r="BB27" i="120"/>
  <c r="BB69" i="120" a="1"/>
  <c r="BB69" i="120" s="1"/>
  <c r="BB16" i="120"/>
  <c r="BB26" i="120"/>
  <c r="V70" i="120" a="1"/>
  <c r="V70" i="120" s="1"/>
  <c r="V16" i="120"/>
  <c r="V27" i="120"/>
  <c r="V69" i="120" a="1"/>
  <c r="V69" i="120" s="1"/>
  <c r="V26" i="120"/>
  <c r="Q227" i="120" a="1"/>
  <c r="Q227" i="120" s="1"/>
  <c r="Q174" i="120"/>
  <c r="Q228" i="120" a="1"/>
  <c r="Q228" i="120" s="1"/>
  <c r="Q184" i="120"/>
  <c r="Q185" i="120"/>
  <c r="V185" i="120"/>
  <c r="V227" i="120" a="1"/>
  <c r="V227" i="120" s="1"/>
  <c r="V228" i="120" a="1"/>
  <c r="V228" i="120" s="1"/>
  <c r="V174" i="120"/>
  <c r="V184" i="120"/>
  <c r="T228" i="120" a="1"/>
  <c r="T228" i="120" s="1"/>
  <c r="T185" i="120"/>
  <c r="T227" i="120" a="1"/>
  <c r="T227" i="120" s="1"/>
  <c r="T184" i="120"/>
  <c r="T174" i="120"/>
  <c r="I149" i="120" a="1"/>
  <c r="I149" i="120" s="1"/>
  <c r="I106" i="120"/>
  <c r="I148" i="120" a="1"/>
  <c r="I148" i="120" s="1"/>
  <c r="I95" i="120"/>
  <c r="I105" i="120"/>
  <c r="L16" i="120"/>
  <c r="L27" i="120"/>
  <c r="L70" i="120" a="1"/>
  <c r="L70" i="120" s="1"/>
  <c r="L26" i="120"/>
  <c r="L69" i="120" a="1"/>
  <c r="L69" i="120" s="1"/>
  <c r="I307" i="120" a="1"/>
  <c r="I307" i="120" s="1"/>
  <c r="I263" i="120"/>
  <c r="I253" i="120"/>
  <c r="I306" i="120" a="1"/>
  <c r="I306" i="120" s="1"/>
  <c r="I264" i="120"/>
  <c r="U263" i="120"/>
  <c r="U306" i="120" a="1"/>
  <c r="U306" i="120" s="1"/>
  <c r="U307" i="120" a="1"/>
  <c r="U307" i="120" s="1"/>
  <c r="U264" i="120"/>
  <c r="U253" i="120"/>
  <c r="G213" i="120"/>
  <c r="AJ213" i="120" s="1"/>
  <c r="AJ207" i="120"/>
  <c r="V306" i="120" a="1"/>
  <c r="V306" i="120" s="1"/>
  <c r="V263" i="120"/>
  <c r="V253" i="120"/>
  <c r="V307" i="120" a="1"/>
  <c r="V307" i="120" s="1"/>
  <c r="V264" i="120"/>
  <c r="AW26" i="120"/>
  <c r="AW27" i="120"/>
  <c r="AW69" i="120" a="1"/>
  <c r="AW69" i="120" s="1"/>
  <c r="AW70" i="120" a="1"/>
  <c r="AW70" i="120" s="1"/>
  <c r="AW16" i="120"/>
  <c r="AR69" i="120" a="1"/>
  <c r="AR69" i="120" s="1"/>
  <c r="AR26" i="120"/>
  <c r="AR27" i="120"/>
  <c r="AR70" i="120" a="1"/>
  <c r="AR70" i="120" s="1"/>
  <c r="AR16" i="120"/>
  <c r="S228" i="120" a="1"/>
  <c r="S228" i="120" s="1"/>
  <c r="S184" i="120"/>
  <c r="S174" i="120"/>
  <c r="S185" i="120"/>
  <c r="S227" i="120" a="1"/>
  <c r="S227" i="120" s="1"/>
  <c r="N228" i="120" a="1"/>
  <c r="N228" i="120" s="1"/>
  <c r="N227" i="120" a="1"/>
  <c r="N227" i="120" s="1"/>
  <c r="N184" i="120"/>
  <c r="N185" i="120"/>
  <c r="N174" i="120"/>
  <c r="H27" i="120"/>
  <c r="H70" i="120" a="1"/>
  <c r="H70" i="120" s="1"/>
  <c r="H69" i="120" a="1"/>
  <c r="H69" i="120" s="1"/>
  <c r="H16" i="120"/>
  <c r="H26" i="120"/>
  <c r="H25" i="120" s="1"/>
  <c r="P70" i="120" a="1"/>
  <c r="P70" i="120" s="1"/>
  <c r="P69" i="120" a="1"/>
  <c r="P69" i="120" s="1"/>
  <c r="P27" i="120"/>
  <c r="P16" i="120"/>
  <c r="P26" i="120"/>
  <c r="I185" i="120"/>
  <c r="I227" i="120" a="1"/>
  <c r="I227" i="120" s="1"/>
  <c r="I174" i="120"/>
  <c r="I228" i="120" a="1"/>
  <c r="I228" i="120" s="1"/>
  <c r="I184" i="120"/>
  <c r="J253" i="120"/>
  <c r="J306" i="120" a="1"/>
  <c r="J306" i="120" s="1"/>
  <c r="J264" i="120"/>
  <c r="J307" i="120" a="1"/>
  <c r="J307" i="120" s="1"/>
  <c r="J263" i="120"/>
  <c r="G228" i="120" a="1"/>
  <c r="G228" i="120" s="1"/>
  <c r="G227" i="120" a="1"/>
  <c r="G227" i="120" s="1"/>
  <c r="G174" i="120"/>
  <c r="G185" i="120"/>
  <c r="G184" i="120"/>
  <c r="X307" i="120" a="1"/>
  <c r="X307" i="120" s="1"/>
  <c r="X263" i="120"/>
  <c r="X264" i="120"/>
  <c r="X306" i="120" a="1"/>
  <c r="X306" i="120" s="1"/>
  <c r="X253" i="120"/>
  <c r="AS16" i="120"/>
  <c r="AS26" i="120"/>
  <c r="AS27" i="120"/>
  <c r="AS69" i="120" a="1"/>
  <c r="AS69" i="120" s="1"/>
  <c r="AS70" i="120" a="1"/>
  <c r="AS70" i="120" s="1"/>
  <c r="AT70" i="120" a="1"/>
  <c r="AT70" i="120" s="1"/>
  <c r="AT27" i="120"/>
  <c r="AT16" i="120"/>
  <c r="AT69" i="120" a="1"/>
  <c r="AT69" i="120" s="1"/>
  <c r="AT26" i="120"/>
  <c r="CL6" i="119"/>
  <c r="CK6" i="118"/>
  <c r="BZ44" i="67"/>
  <c r="CL6" i="117"/>
  <c r="DH55" i="95"/>
  <c r="DH56" i="95"/>
  <c r="DH55" i="94"/>
  <c r="DH56" i="94"/>
  <c r="DH56" i="93"/>
  <c r="DH55" i="93"/>
  <c r="K37" i="2"/>
  <c r="K38" i="2"/>
  <c r="W38" i="2"/>
  <c r="W37" i="2"/>
  <c r="S37" i="2"/>
  <c r="S38" i="2"/>
  <c r="O38" i="2"/>
  <c r="O37" i="2"/>
  <c r="K21" i="2"/>
  <c r="K39" i="2"/>
  <c r="K40" i="2"/>
  <c r="K41" i="2"/>
  <c r="W21" i="2"/>
  <c r="W41" i="2"/>
  <c r="W40" i="2"/>
  <c r="W39" i="2"/>
  <c r="S21" i="2"/>
  <c r="S41" i="2"/>
  <c r="S40" i="2"/>
  <c r="S39" i="2"/>
  <c r="O21" i="2"/>
  <c r="O40" i="2"/>
  <c r="O39" i="2"/>
  <c r="O41" i="2"/>
  <c r="V58" i="2"/>
  <c r="R57" i="2"/>
  <c r="N56" i="2"/>
  <c r="J55" i="2"/>
  <c r="R56" i="2"/>
  <c r="R61" i="2"/>
  <c r="N55" i="2"/>
  <c r="J58" i="2"/>
  <c r="V56" i="2"/>
  <c r="R58" i="2"/>
  <c r="N58" i="2"/>
  <c r="N61" i="2"/>
  <c r="J56" i="2"/>
  <c r="J57" i="2"/>
  <c r="V55" i="2"/>
  <c r="I45" i="2"/>
  <c r="W65" i="2"/>
  <c r="I61" i="2"/>
  <c r="U55" i="2"/>
  <c r="I56" i="2"/>
  <c r="Q61" i="2"/>
  <c r="I57" i="2"/>
  <c r="M55" i="2"/>
  <c r="U58" i="2"/>
  <c r="Q65" i="2"/>
  <c r="J65" i="2"/>
  <c r="M56" i="2"/>
  <c r="U56" i="2"/>
  <c r="M65" i="2"/>
  <c r="I55" i="2"/>
  <c r="R65" i="2"/>
  <c r="Q56" i="2"/>
  <c r="U65" i="2"/>
  <c r="V65" i="2"/>
  <c r="S65" i="2"/>
  <c r="M57" i="2"/>
  <c r="U57" i="2"/>
  <c r="Q58" i="2"/>
  <c r="N65" i="2"/>
  <c r="I65" i="2"/>
  <c r="K65" i="2"/>
  <c r="O65" i="2"/>
  <c r="Q57" i="2"/>
  <c r="I58" i="2"/>
  <c r="U61" i="2"/>
  <c r="M58" i="2"/>
  <c r="Q55" i="2"/>
  <c r="M61" i="2"/>
  <c r="R55" i="2"/>
  <c r="N57" i="2"/>
  <c r="J61" i="2"/>
  <c r="V57" i="2"/>
  <c r="V61" i="2"/>
  <c r="K57" i="2"/>
  <c r="K61" i="2"/>
  <c r="K55" i="2"/>
  <c r="K58" i="2"/>
  <c r="K56" i="2"/>
  <c r="S61" i="2"/>
  <c r="S57" i="2"/>
  <c r="S56" i="2"/>
  <c r="S55" i="2"/>
  <c r="S58" i="2"/>
  <c r="O61" i="2"/>
  <c r="O56" i="2"/>
  <c r="O57" i="2"/>
  <c r="O55" i="2"/>
  <c r="O58" i="2"/>
  <c r="W61" i="2"/>
  <c r="W55" i="2"/>
  <c r="W57" i="2"/>
  <c r="W56" i="2"/>
  <c r="W58" i="2"/>
  <c r="I28" i="2"/>
  <c r="Q28" i="2"/>
  <c r="O28" i="2"/>
  <c r="M28" i="2"/>
  <c r="S28" i="2"/>
  <c r="V28" i="2"/>
  <c r="N28" i="2"/>
  <c r="W28" i="2"/>
  <c r="K28" i="2"/>
  <c r="J28" i="2"/>
  <c r="R28" i="2"/>
  <c r="U28" i="2"/>
  <c r="I14" i="2"/>
  <c r="I12" i="2"/>
  <c r="I13" i="2"/>
  <c r="BZ13" i="67"/>
  <c r="N62" i="2"/>
  <c r="V60" i="2"/>
  <c r="U62" i="2"/>
  <c r="K60" i="2"/>
  <c r="S60" i="2"/>
  <c r="W62" i="2"/>
  <c r="M62" i="2"/>
  <c r="I60" i="2"/>
  <c r="K62" i="2"/>
  <c r="Q60" i="2"/>
  <c r="S62" i="2"/>
  <c r="J62" i="2"/>
  <c r="N60" i="2"/>
  <c r="M60" i="2"/>
  <c r="Q62" i="2"/>
  <c r="O62" i="2"/>
  <c r="O60" i="2"/>
  <c r="I62" i="2"/>
  <c r="R62" i="2"/>
  <c r="U60" i="2"/>
  <c r="R60" i="2"/>
  <c r="J60" i="2"/>
  <c r="V62" i="2"/>
  <c r="W60" i="2"/>
  <c r="J8" i="2"/>
  <c r="N66" i="2"/>
  <c r="M64" i="2"/>
  <c r="M48" i="2"/>
  <c r="N53" i="2"/>
  <c r="M52" i="2"/>
  <c r="O50" i="2"/>
  <c r="N46" i="2"/>
  <c r="M45" i="2"/>
  <c r="O35" i="2"/>
  <c r="N34" i="2"/>
  <c r="M33" i="2"/>
  <c r="O31" i="2"/>
  <c r="M27" i="2"/>
  <c r="O22" i="2"/>
  <c r="M20" i="2"/>
  <c r="O13" i="2"/>
  <c r="N12" i="2"/>
  <c r="M8" i="2"/>
  <c r="N14" i="2"/>
  <c r="N64" i="2"/>
  <c r="O53" i="2"/>
  <c r="O46" i="2"/>
  <c r="N33" i="2"/>
  <c r="M23" i="2"/>
  <c r="O12" i="2"/>
  <c r="N22" i="2"/>
  <c r="M66" i="2"/>
  <c r="M53" i="2"/>
  <c r="O51" i="2"/>
  <c r="N50" i="2"/>
  <c r="M46" i="2"/>
  <c r="N35" i="2"/>
  <c r="M34" i="2"/>
  <c r="O32" i="2"/>
  <c r="N31" i="2"/>
  <c r="O23" i="2"/>
  <c r="M22" i="2"/>
  <c r="O14" i="2"/>
  <c r="N13" i="2"/>
  <c r="M12" i="2"/>
  <c r="N23" i="2"/>
  <c r="M13" i="2"/>
  <c r="N48" i="2"/>
  <c r="N52" i="2"/>
  <c r="N45" i="2"/>
  <c r="O34" i="2"/>
  <c r="N27" i="2"/>
  <c r="N20" i="2"/>
  <c r="N8" i="2"/>
  <c r="O64" i="2"/>
  <c r="O48" i="2"/>
  <c r="O52" i="2"/>
  <c r="N51" i="2"/>
  <c r="M50" i="2"/>
  <c r="O45" i="2"/>
  <c r="M35" i="2"/>
  <c r="O33" i="2"/>
  <c r="N32" i="2"/>
  <c r="M31" i="2"/>
  <c r="O27" i="2"/>
  <c r="O20" i="2"/>
  <c r="O8" i="2"/>
  <c r="O66" i="2"/>
  <c r="M51" i="2"/>
  <c r="M32" i="2"/>
  <c r="M14" i="2"/>
  <c r="I20" i="2"/>
  <c r="K20" i="2"/>
  <c r="J20" i="2"/>
  <c r="K28" i="1"/>
  <c r="J28" i="1"/>
  <c r="K30" i="1"/>
  <c r="J30" i="1"/>
  <c r="L21" i="1"/>
  <c r="G27" i="1"/>
  <c r="V14" i="1"/>
  <c r="I21" i="1"/>
  <c r="I32" i="1"/>
  <c r="I33" i="2"/>
  <c r="H21" i="1"/>
  <c r="H22" i="1"/>
  <c r="I22" i="1"/>
  <c r="H24" i="1"/>
  <c r="I24" i="1"/>
  <c r="I23" i="1"/>
  <c r="H23" i="1"/>
  <c r="H26" i="1"/>
  <c r="I26" i="1"/>
  <c r="H31" i="1"/>
  <c r="J35" i="2"/>
  <c r="J32" i="2"/>
  <c r="Q13" i="2"/>
  <c r="S20" i="2"/>
  <c r="S8" i="2"/>
  <c r="K48" i="2"/>
  <c r="J22" i="2"/>
  <c r="I46" i="2"/>
  <c r="J48" i="2"/>
  <c r="R12" i="2"/>
  <c r="K34" i="2"/>
  <c r="K52" i="2"/>
  <c r="K33" i="2"/>
  <c r="I51" i="2"/>
  <c r="J13" i="2"/>
  <c r="Q53" i="2"/>
  <c r="K50" i="2"/>
  <c r="K64" i="2"/>
  <c r="R66" i="2"/>
  <c r="J51" i="2"/>
  <c r="Q31" i="2"/>
  <c r="S14" i="2"/>
  <c r="J12" i="2"/>
  <c r="J52" i="2"/>
  <c r="R14" i="2"/>
  <c r="Q12" i="2"/>
  <c r="K23" i="2"/>
  <c r="J31" i="2"/>
  <c r="I35" i="2"/>
  <c r="K46" i="2"/>
  <c r="K53" i="2"/>
  <c r="I23" i="2"/>
  <c r="J27" i="2"/>
  <c r="I34" i="2"/>
  <c r="J53" i="2"/>
  <c r="J34" i="2"/>
  <c r="K12" i="2"/>
  <c r="R8" i="2"/>
  <c r="I53" i="2"/>
  <c r="K66" i="2"/>
  <c r="S13" i="2"/>
  <c r="Q8" i="2"/>
  <c r="J66" i="2"/>
  <c r="V32" i="2"/>
  <c r="K14" i="2"/>
  <c r="K32" i="2"/>
  <c r="R35" i="2"/>
  <c r="J50" i="2"/>
  <c r="J45" i="2"/>
  <c r="U31" i="2"/>
  <c r="W34" i="2"/>
  <c r="I48" i="2"/>
  <c r="J46" i="2"/>
  <c r="I31" i="2"/>
  <c r="Q14" i="2"/>
  <c r="I50" i="2"/>
  <c r="K8" i="2"/>
  <c r="J33" i="2"/>
  <c r="Q20" i="2"/>
  <c r="I66" i="2"/>
  <c r="I64" i="2"/>
  <c r="I52" i="2"/>
  <c r="V66" i="2"/>
  <c r="J23" i="2"/>
  <c r="K13" i="2"/>
  <c r="K31" i="2"/>
  <c r="I22" i="2"/>
  <c r="R13" i="2"/>
  <c r="I8" i="2"/>
  <c r="K51" i="2"/>
  <c r="I32" i="2"/>
  <c r="K35" i="2"/>
  <c r="K45" i="2"/>
  <c r="K27" i="2"/>
  <c r="J14" i="2"/>
  <c r="K22" i="2"/>
  <c r="I27" i="2"/>
  <c r="S12" i="2"/>
  <c r="Q64" i="2"/>
  <c r="V35" i="2"/>
  <c r="W33" i="2"/>
  <c r="V14" i="2"/>
  <c r="R34" i="2"/>
  <c r="W32" i="2"/>
  <c r="U48" i="2"/>
  <c r="R53" i="2"/>
  <c r="Q51" i="2"/>
  <c r="R45" i="2"/>
  <c r="V51" i="2"/>
  <c r="U46" i="2"/>
  <c r="R33" i="2"/>
  <c r="W31" i="2"/>
  <c r="W14" i="2"/>
  <c r="R22" i="2"/>
  <c r="S33" i="2"/>
  <c r="U53" i="2"/>
  <c r="S22" i="2"/>
  <c r="U27" i="2"/>
  <c r="R64" i="2"/>
  <c r="Q66" i="2"/>
  <c r="S48" i="2"/>
  <c r="S45" i="2"/>
  <c r="U50" i="2"/>
  <c r="U52" i="2"/>
  <c r="S66" i="2"/>
  <c r="U22" i="2"/>
  <c r="U66" i="2"/>
  <c r="W52" i="2"/>
  <c r="W50" i="2"/>
  <c r="Q48" i="2"/>
  <c r="U34" i="2"/>
  <c r="R31" i="2"/>
  <c r="W13" i="2"/>
  <c r="U23" i="2"/>
  <c r="Q34" i="2"/>
  <c r="V33" i="2"/>
  <c r="S52" i="2"/>
  <c r="W66" i="2"/>
  <c r="R46" i="2"/>
  <c r="Q35" i="2"/>
  <c r="S46" i="2"/>
  <c r="V20" i="2"/>
  <c r="V22" i="2"/>
  <c r="S31" i="2"/>
  <c r="W8" i="2"/>
  <c r="W27" i="2"/>
  <c r="Q22" i="2"/>
  <c r="R50" i="2"/>
  <c r="U33" i="2"/>
  <c r="V23" i="2"/>
  <c r="U64" i="2"/>
  <c r="Q52" i="2"/>
  <c r="Q50" i="2"/>
  <c r="V52" i="2"/>
  <c r="V50" i="2"/>
  <c r="W45" i="2"/>
  <c r="W35" i="2"/>
  <c r="U32" i="2"/>
  <c r="V27" i="2"/>
  <c r="V12" i="2"/>
  <c r="U20" i="2"/>
  <c r="W48" i="2"/>
  <c r="W12" i="2"/>
  <c r="W23" i="2"/>
  <c r="R48" i="2"/>
  <c r="S64" i="2"/>
  <c r="W46" i="2"/>
  <c r="V53" i="2"/>
  <c r="V64" i="2"/>
  <c r="V45" i="2"/>
  <c r="S34" i="2"/>
  <c r="V8" i="2"/>
  <c r="S35" i="2"/>
  <c r="V46" i="2"/>
  <c r="Q23" i="2"/>
  <c r="E38" i="77" s="1"/>
  <c r="F38" i="77" s="1"/>
  <c r="G38" i="77" s="1"/>
  <c r="H38" i="77" s="1"/>
  <c r="I38" i="77" s="1"/>
  <c r="J38" i="77" s="1"/>
  <c r="K38" i="77" s="1"/>
  <c r="L38" i="77" s="1"/>
  <c r="M38" i="77" s="1"/>
  <c r="N38" i="77" s="1"/>
  <c r="O38" i="77" s="1"/>
  <c r="P38" i="77" s="1"/>
  <c r="Q38" i="77" s="1"/>
  <c r="R38" i="77" s="1"/>
  <c r="S38" i="77" s="1"/>
  <c r="T38" i="77" s="1"/>
  <c r="U38" i="77" s="1"/>
  <c r="V38" i="77" s="1"/>
  <c r="W38" i="77" s="1"/>
  <c r="X38" i="77" s="1"/>
  <c r="Y38" i="77" s="1"/>
  <c r="Z38" i="77" s="1"/>
  <c r="AA38" i="77" s="1"/>
  <c r="AB38" i="77" s="1"/>
  <c r="AC38" i="77" s="1"/>
  <c r="AD38" i="77" s="1"/>
  <c r="AE38" i="77" s="1"/>
  <c r="Q46" i="2"/>
  <c r="V48" i="2"/>
  <c r="V31" i="2"/>
  <c r="U13" i="2"/>
  <c r="W53" i="2"/>
  <c r="U51" i="2"/>
  <c r="W64" i="2"/>
  <c r="R27" i="2"/>
  <c r="U8" i="2"/>
  <c r="S23" i="2"/>
  <c r="Q27" i="2"/>
  <c r="Q45" i="2"/>
  <c r="W51" i="2"/>
  <c r="S53" i="2"/>
  <c r="W22" i="2"/>
  <c r="W20" i="2"/>
  <c r="S27" i="2"/>
  <c r="R32" i="2"/>
  <c r="U35" i="2"/>
  <c r="U45" i="2"/>
  <c r="R51" i="2"/>
  <c r="Q33" i="2"/>
  <c r="R20" i="2"/>
  <c r="U12" i="2"/>
  <c r="J64" i="2"/>
  <c r="U14" i="2"/>
  <c r="R52" i="2"/>
  <c r="S50" i="2"/>
  <c r="S32" i="2"/>
  <c r="R23" i="2"/>
  <c r="V13" i="2"/>
  <c r="S51" i="2"/>
  <c r="V34" i="2"/>
  <c r="Q32" i="2"/>
  <c r="V16" i="1"/>
  <c r="V13" i="1"/>
  <c r="V18" i="1"/>
  <c r="V30" i="1"/>
  <c r="G25" i="1"/>
  <c r="L25" i="1" s="1"/>
  <c r="V15" i="1"/>
  <c r="S47" i="30"/>
  <c r="S61" i="30" s="1"/>
  <c r="DE46" i="67"/>
  <c r="CA6" i="67"/>
  <c r="AN26" i="125"/>
  <c r="AM253" i="125"/>
  <c r="AY149" i="125" a="1"/>
  <c r="AY105" i="125"/>
  <c r="H91" i="125"/>
  <c r="AS149" i="125" a="1"/>
  <c r="AW184" i="125"/>
  <c r="AV184" i="125"/>
  <c r="AT149" i="125" a="1"/>
  <c r="AM69" i="125" a="1"/>
  <c r="H207" i="125"/>
  <c r="G105" i="125"/>
  <c r="AS95" i="125"/>
  <c r="AS174" i="125"/>
  <c r="G95" i="125"/>
  <c r="AT174" i="125"/>
  <c r="AM148" i="125" a="1"/>
  <c r="CA13" i="67" a="1"/>
  <c r="G106" i="125"/>
  <c r="AS227" i="125" a="1"/>
  <c r="AR174" i="125"/>
  <c r="AZ128" i="125"/>
  <c r="AT70" i="125" a="1"/>
  <c r="AZ249" i="125"/>
  <c r="AO184" i="125"/>
  <c r="AZ91" i="125"/>
  <c r="AR307" i="125" a="1"/>
  <c r="AQ185" i="125"/>
  <c r="AN253" i="125"/>
  <c r="AQ227" i="125" a="1"/>
  <c r="AP228" i="125" a="1"/>
  <c r="G128" i="125"/>
  <c r="AX174" i="125"/>
  <c r="AO227" i="125" a="1"/>
  <c r="AW264" i="125"/>
  <c r="AU307" i="125" a="1"/>
  <c r="AN69" i="125" a="1"/>
  <c r="AW106" i="125"/>
  <c r="AX184" i="125"/>
  <c r="AV69" i="125" a="1"/>
  <c r="AO27" i="125"/>
  <c r="AO149" i="125" a="1"/>
  <c r="AM70" i="125" a="1"/>
  <c r="AW149" i="125" a="1"/>
  <c r="AS185" i="125"/>
  <c r="AQ253" i="125"/>
  <c r="AQ149" i="125" a="1"/>
  <c r="AX306" i="125" a="1"/>
  <c r="AM106" i="125"/>
  <c r="H286" i="125"/>
  <c r="AQ69" i="125" a="1"/>
  <c r="AR95" i="125"/>
  <c r="AO228" i="125" a="1"/>
  <c r="AX95" i="125"/>
  <c r="AT253" i="125"/>
  <c r="AY106" i="125"/>
  <c r="H170" i="125"/>
  <c r="AZ187" i="125"/>
  <c r="AT95" i="125"/>
  <c r="AU184" i="125"/>
  <c r="AX227" i="125" a="1"/>
  <c r="AV228" i="125" a="1"/>
  <c r="AV16" i="125"/>
  <c r="AM27" i="125"/>
  <c r="AQ70" i="125" a="1"/>
  <c r="AO174" i="125"/>
  <c r="AU174" i="125"/>
  <c r="AT306" i="125" a="1"/>
  <c r="AV70" i="125" a="1"/>
  <c r="AS16" i="125"/>
  <c r="AU263" i="125"/>
  <c r="AR253" i="125"/>
  <c r="AS263" i="125"/>
  <c r="AY95" i="125"/>
  <c r="AQ228" i="125" a="1"/>
  <c r="AP307" i="125" a="1"/>
  <c r="AW95" i="125"/>
  <c r="AU148" i="125" a="1"/>
  <c r="AP253" i="125"/>
  <c r="AR306" i="125" a="1"/>
  <c r="AY307" i="125" a="1"/>
  <c r="AN307" i="125" a="1"/>
  <c r="AP174" i="125"/>
  <c r="AT106" i="125"/>
  <c r="AR264" i="125"/>
  <c r="AS253" i="125"/>
  <c r="AS26" i="125"/>
  <c r="AR26" i="125"/>
  <c r="AV148" i="125" a="1"/>
  <c r="AW16" i="125"/>
  <c r="AT105" i="125"/>
  <c r="AM174" i="125"/>
  <c r="AW253" i="125"/>
  <c r="AS148" i="125" a="1"/>
  <c r="H249" i="125"/>
  <c r="AW307" i="125" a="1"/>
  <c r="AO69" i="125" a="1"/>
  <c r="AN148" i="125" a="1"/>
  <c r="AZ49" i="125"/>
  <c r="AT263" i="125"/>
  <c r="AU105" i="125"/>
  <c r="AV253" i="125"/>
  <c r="AM307" i="125" a="1"/>
  <c r="AX105" i="125"/>
  <c r="AW105" i="125"/>
  <c r="AR69" i="125" a="1"/>
  <c r="AN227" i="125" a="1"/>
  <c r="AX185" i="125"/>
  <c r="AZ108" i="125"/>
  <c r="AX70" i="125" a="1"/>
  <c r="AS228" i="125" a="1"/>
  <c r="AY69" i="125" a="1"/>
  <c r="AO148" i="125" a="1"/>
  <c r="AW185" i="125"/>
  <c r="AP70" i="125" a="1"/>
  <c r="AP27" i="125"/>
  <c r="G207" i="125"/>
  <c r="AZ170" i="125"/>
  <c r="AP26" i="125"/>
  <c r="AV106" i="125"/>
  <c r="AR27" i="125"/>
  <c r="AM26" i="125"/>
  <c r="AN105" i="125"/>
  <c r="AP106" i="125"/>
  <c r="AV185" i="125"/>
  <c r="AQ26" i="125"/>
  <c r="AR184" i="125"/>
  <c r="AR149" i="125" a="1"/>
  <c r="AO26" i="125"/>
  <c r="AX149" i="125" a="1"/>
  <c r="AZ29" i="125"/>
  <c r="AX27" i="125"/>
  <c r="AP69" i="125" a="1"/>
  <c r="AO307" i="125" a="1"/>
  <c r="AY148" i="125" a="1"/>
  <c r="AQ16" i="125"/>
  <c r="AQ307" i="125" a="1"/>
  <c r="AW26" i="125"/>
  <c r="AY27" i="125"/>
  <c r="AY16" i="125"/>
  <c r="AS264" i="125"/>
  <c r="AU27" i="125"/>
  <c r="AU264" i="125"/>
  <c r="AP264" i="125"/>
  <c r="AU253" i="125"/>
  <c r="AM185" i="125"/>
  <c r="AN16" i="125"/>
  <c r="G286" i="125"/>
  <c r="AW148" i="125" a="1"/>
  <c r="AU185" i="125"/>
  <c r="AN27" i="125"/>
  <c r="AT184" i="125"/>
  <c r="AQ306" i="125" a="1"/>
  <c r="AP16" i="125"/>
  <c r="AX253" i="125"/>
  <c r="AV307" i="125" a="1"/>
  <c r="AT228" i="125" a="1"/>
  <c r="AX228" i="125" a="1"/>
  <c r="AZ12" i="125"/>
  <c r="AV27" i="125"/>
  <c r="AZ286" i="125"/>
  <c r="AT148" i="125" a="1"/>
  <c r="AY263" i="125"/>
  <c r="AP306" i="125" a="1"/>
  <c r="AM105" i="125"/>
  <c r="AT307" i="125" a="1"/>
  <c r="AS306" i="125" a="1"/>
  <c r="AO264" i="125"/>
  <c r="BZ44" i="118" a="1"/>
  <c r="AO185" i="125"/>
  <c r="AY70" i="125" a="1"/>
  <c r="AX106" i="125"/>
  <c r="AV95" i="125"/>
  <c r="AU149" i="125" a="1"/>
  <c r="AN174" i="125"/>
  <c r="AQ174" i="125"/>
  <c r="AQ95" i="125"/>
  <c r="AM95" i="125"/>
  <c r="AN106" i="125"/>
  <c r="H128" i="125"/>
  <c r="BZ13" i="117" a="1"/>
  <c r="AN228" i="125" a="1"/>
  <c r="AP148" i="125" a="1"/>
  <c r="AU95" i="125"/>
  <c r="AX263" i="125"/>
  <c r="AY227" i="125" a="1"/>
  <c r="AT27" i="125"/>
  <c r="AR16" i="125"/>
  <c r="AO105" i="125"/>
  <c r="AN149" i="125" a="1"/>
  <c r="AM16" i="125"/>
  <c r="AM149" i="125" a="1"/>
  <c r="AY184" i="125"/>
  <c r="AQ27" i="125"/>
  <c r="AO95" i="125"/>
  <c r="AV306" i="125" a="1"/>
  <c r="AW228" i="125" a="1"/>
  <c r="AP95" i="125"/>
  <c r="AN264" i="125"/>
  <c r="AM264" i="125"/>
  <c r="AX264" i="125"/>
  <c r="AY174" i="125"/>
  <c r="AU70" i="125" a="1"/>
  <c r="AV227" i="125" a="1"/>
  <c r="AS105" i="125"/>
  <c r="AY306" i="125" a="1"/>
  <c r="AX16" i="125"/>
  <c r="AR263" i="125"/>
  <c r="AM263" i="125"/>
  <c r="AT264" i="125"/>
  <c r="H49" i="125"/>
  <c r="AN263" i="125"/>
  <c r="AP227" i="125" a="1"/>
  <c r="AT69" i="125" a="1"/>
  <c r="AN185" i="125"/>
  <c r="AU16" i="125"/>
  <c r="AW70" i="125" a="1"/>
  <c r="AW69" i="125" a="1"/>
  <c r="AV264" i="125"/>
  <c r="AU69" i="125" a="1"/>
  <c r="BZ44" i="119" a="1"/>
  <c r="AM306" i="125" a="1"/>
  <c r="AQ105" i="125"/>
  <c r="AW306" i="125" a="1"/>
  <c r="AN70" i="125" a="1"/>
  <c r="BZ13" i="119" a="1"/>
  <c r="AQ264" i="125"/>
  <c r="AZ207" i="125"/>
  <c r="AQ106" i="125"/>
  <c r="H12" i="125"/>
  <c r="AO306" i="125" a="1"/>
  <c r="AP185" i="125"/>
  <c r="AV174" i="125"/>
  <c r="AP105" i="125"/>
  <c r="AT26" i="125"/>
  <c r="AV26" i="125"/>
  <c r="AU227" i="125" a="1"/>
  <c r="AN306" i="125" a="1"/>
  <c r="AR228" i="125" a="1"/>
  <c r="AS106" i="125"/>
  <c r="AP149" i="125" a="1"/>
  <c r="AM227" i="125" a="1"/>
  <c r="AR185" i="125"/>
  <c r="AO106" i="125"/>
  <c r="AY264" i="125"/>
  <c r="AU306" i="125" a="1"/>
  <c r="AS27" i="125"/>
  <c r="AX69" i="125" a="1"/>
  <c r="AQ263" i="125"/>
  <c r="AP184" i="125"/>
  <c r="AY185" i="125"/>
  <c r="AW263" i="125"/>
  <c r="BZ13" i="118" a="1"/>
  <c r="AV263" i="125"/>
  <c r="AX148" i="125" a="1"/>
  <c r="AU106" i="125"/>
  <c r="AR148" i="125" a="1"/>
  <c r="AM228" i="125" a="1"/>
  <c r="AW227" i="125" a="1"/>
  <c r="AR227" i="125" a="1"/>
  <c r="AU228" i="125" a="1"/>
  <c r="AQ148" i="125" a="1"/>
  <c r="AW174" i="125"/>
  <c r="AS69" i="125" a="1"/>
  <c r="AO16" i="125"/>
  <c r="AS70" i="125" a="1"/>
  <c r="AR105" i="125"/>
  <c r="AU26" i="125"/>
  <c r="AT227" i="125" a="1"/>
  <c r="AN184" i="125"/>
  <c r="AO70" i="125" a="1"/>
  <c r="AP263" i="125"/>
  <c r="AR70" i="125" a="1"/>
  <c r="AS307" i="125" a="1"/>
  <c r="AW27" i="125"/>
  <c r="AT185" i="125"/>
  <c r="AV105" i="125"/>
  <c r="AX26" i="125"/>
  <c r="AY253" i="125"/>
  <c r="AO253" i="125"/>
  <c r="AZ266" i="125"/>
  <c r="BZ44" i="117" a="1"/>
  <c r="AQ184" i="125"/>
  <c r="AS184" i="125"/>
  <c r="AR106" i="125"/>
  <c r="AV149" i="125" a="1"/>
  <c r="AY26" i="125"/>
  <c r="AM184" i="125"/>
  <c r="AY228" i="125" a="1"/>
  <c r="AO263" i="125"/>
  <c r="AT16" i="125"/>
  <c r="AN95" i="125"/>
  <c r="AX307" i="125" a="1"/>
  <c r="BP55" i="124" l="1"/>
  <c r="BP134" i="124"/>
  <c r="BP213" i="124"/>
  <c r="AV25" i="126"/>
  <c r="BB104" i="126"/>
  <c r="L183" i="126"/>
  <c r="V183" i="126"/>
  <c r="S262" i="126"/>
  <c r="Z302" i="126"/>
  <c r="Z301" i="126"/>
  <c r="Z222" i="126"/>
  <c r="Z223" i="126"/>
  <c r="Z143" i="126"/>
  <c r="Z144" i="126"/>
  <c r="Z64" i="126"/>
  <c r="Z65" i="126"/>
  <c r="AA8" i="126"/>
  <c r="Z249" i="126"/>
  <c r="Z12" i="126"/>
  <c r="Z170" i="126"/>
  <c r="Z91" i="126"/>
  <c r="AY25" i="126"/>
  <c r="M25" i="126"/>
  <c r="BC104" i="126"/>
  <c r="U262" i="126"/>
  <c r="AO262" i="126"/>
  <c r="BB262" i="126"/>
  <c r="BC25" i="126"/>
  <c r="AP25" i="126"/>
  <c r="AV104" i="126"/>
  <c r="R104" i="126"/>
  <c r="X104" i="126"/>
  <c r="R262" i="126"/>
  <c r="T25" i="126"/>
  <c r="BA262" i="126"/>
  <c r="W104" i="126"/>
  <c r="BA104" i="126"/>
  <c r="Q262" i="126"/>
  <c r="I25" i="126"/>
  <c r="M104" i="126"/>
  <c r="BD104" i="126"/>
  <c r="AW262" i="126"/>
  <c r="AP262" i="126"/>
  <c r="AV183" i="126"/>
  <c r="L104" i="126"/>
  <c r="W262" i="126"/>
  <c r="J25" i="126"/>
  <c r="AP104" i="126"/>
  <c r="P262" i="126"/>
  <c r="T104" i="126"/>
  <c r="AT183" i="126"/>
  <c r="AX183" i="126"/>
  <c r="N25" i="126"/>
  <c r="R25" i="126"/>
  <c r="AO183" i="126"/>
  <c r="AU262" i="126"/>
  <c r="BC262" i="126"/>
  <c r="AW104" i="126"/>
  <c r="O183" i="126"/>
  <c r="AO25" i="126"/>
  <c r="AU104" i="126"/>
  <c r="AY183" i="126"/>
  <c r="S25" i="126"/>
  <c r="BD25" i="126"/>
  <c r="X25" i="126"/>
  <c r="AZ262" i="126"/>
  <c r="BB25" i="126"/>
  <c r="AT104" i="126"/>
  <c r="J183" i="126"/>
  <c r="AR183" i="126"/>
  <c r="L262" i="126"/>
  <c r="AY104" i="126"/>
  <c r="Y148" i="126" a="1"/>
  <c r="Y148" i="126" s="1"/>
  <c r="Y95" i="126"/>
  <c r="Y149" i="126" a="1"/>
  <c r="Y149" i="126" s="1"/>
  <c r="Y105" i="126"/>
  <c r="Y106" i="126"/>
  <c r="AQ104" i="126"/>
  <c r="I183" i="126"/>
  <c r="U183" i="126"/>
  <c r="H25" i="126"/>
  <c r="AN104" i="126"/>
  <c r="AT262" i="126"/>
  <c r="P104" i="126"/>
  <c r="BE27" i="126"/>
  <c r="BE69" i="126" a="1"/>
  <c r="BE69" i="126" s="1"/>
  <c r="BE26" i="126"/>
  <c r="BE16" i="126"/>
  <c r="BE70" i="126" a="1"/>
  <c r="BE70" i="126" s="1"/>
  <c r="AZ25" i="126"/>
  <c r="H183" i="126"/>
  <c r="N104" i="126"/>
  <c r="W183" i="126"/>
  <c r="AW183" i="126"/>
  <c r="M262" i="126"/>
  <c r="U104" i="126"/>
  <c r="Y26" i="126"/>
  <c r="Y69" i="126" a="1"/>
  <c r="Y69" i="126" s="1"/>
  <c r="Y27" i="126"/>
  <c r="Y16" i="126"/>
  <c r="Y70" i="126" a="1"/>
  <c r="Y70" i="126" s="1"/>
  <c r="K104" i="126"/>
  <c r="AS183" i="126"/>
  <c r="AQ25" i="126"/>
  <c r="O25" i="126"/>
  <c r="Q104" i="126"/>
  <c r="R183" i="126"/>
  <c r="T183" i="126"/>
  <c r="BE149" i="126" a="1"/>
  <c r="BE149" i="126" s="1"/>
  <c r="BE148" i="126" a="1"/>
  <c r="BE148" i="126" s="1"/>
  <c r="BE105" i="126"/>
  <c r="BE95" i="126"/>
  <c r="BE106" i="126"/>
  <c r="AX104" i="126"/>
  <c r="AV262" i="126"/>
  <c r="P25" i="126"/>
  <c r="V25" i="126"/>
  <c r="AS262" i="126"/>
  <c r="O262" i="126"/>
  <c r="Y227" i="126" a="1"/>
  <c r="Y227" i="126" s="1"/>
  <c r="Y184" i="126"/>
  <c r="Y228" i="126" a="1"/>
  <c r="Y228" i="126" s="1"/>
  <c r="Y185" i="126"/>
  <c r="Y174" i="126"/>
  <c r="AO104" i="126"/>
  <c r="AS104" i="126"/>
  <c r="AU183" i="126"/>
  <c r="K25" i="126"/>
  <c r="W25" i="126"/>
  <c r="AU25" i="126"/>
  <c r="BA25" i="126"/>
  <c r="K183" i="126"/>
  <c r="U25" i="126"/>
  <c r="J262" i="126"/>
  <c r="V262" i="126"/>
  <c r="AN25" i="126"/>
  <c r="AT25" i="126"/>
  <c r="H104" i="126"/>
  <c r="L25" i="126"/>
  <c r="N262" i="126"/>
  <c r="BE228" i="126" a="1"/>
  <c r="BE228" i="126" s="1"/>
  <c r="BE227" i="126" a="1"/>
  <c r="BE227" i="126" s="1"/>
  <c r="BE185" i="126"/>
  <c r="BE184" i="126"/>
  <c r="BE174" i="126"/>
  <c r="AR104" i="126"/>
  <c r="X183" i="126"/>
  <c r="AP183" i="126"/>
  <c r="BB183" i="126"/>
  <c r="J104" i="126"/>
  <c r="AQ262" i="126"/>
  <c r="I262" i="126"/>
  <c r="K262" i="126"/>
  <c r="Q183" i="126"/>
  <c r="BD262" i="126"/>
  <c r="Y264" i="126"/>
  <c r="Y253" i="126"/>
  <c r="Y306" i="126" a="1"/>
  <c r="Y306" i="126" s="1"/>
  <c r="Y263" i="126"/>
  <c r="Y307" i="126" a="1"/>
  <c r="Y307" i="126" s="1"/>
  <c r="H262" i="126"/>
  <c r="AQ183" i="126"/>
  <c r="I104" i="126"/>
  <c r="AX262" i="126"/>
  <c r="N183" i="126"/>
  <c r="AR25" i="126"/>
  <c r="AX25" i="126"/>
  <c r="V104" i="126"/>
  <c r="BE307" i="126" a="1"/>
  <c r="BE307" i="126" s="1"/>
  <c r="BE263" i="126"/>
  <c r="BE264" i="126"/>
  <c r="BE253" i="126"/>
  <c r="BE306" i="126" a="1"/>
  <c r="BE306" i="126" s="1"/>
  <c r="AN183" i="126"/>
  <c r="AZ104" i="126"/>
  <c r="AN262" i="126"/>
  <c r="S104" i="126"/>
  <c r="BD183" i="126"/>
  <c r="AW25" i="126"/>
  <c r="BA183" i="126"/>
  <c r="O104" i="126"/>
  <c r="Q25" i="126"/>
  <c r="AS25" i="126"/>
  <c r="AY262" i="126"/>
  <c r="M183" i="126"/>
  <c r="S183" i="126"/>
  <c r="X262" i="126"/>
  <c r="AR262" i="126"/>
  <c r="AZ183" i="126"/>
  <c r="T262" i="126"/>
  <c r="P183" i="126"/>
  <c r="BF302" i="126"/>
  <c r="BF301" i="126"/>
  <c r="BF223" i="126"/>
  <c r="BF222" i="126"/>
  <c r="BF144" i="126"/>
  <c r="BF143" i="126"/>
  <c r="BF65" i="126"/>
  <c r="BF64" i="126"/>
  <c r="BG8" i="126"/>
  <c r="BF249" i="126"/>
  <c r="BF91" i="126"/>
  <c r="BF170" i="126"/>
  <c r="BF12" i="126"/>
  <c r="H134" i="125"/>
  <c r="G134" i="125"/>
  <c r="AZ292" i="125"/>
  <c r="AM306" i="125"/>
  <c r="AU69" i="125"/>
  <c r="AN307" i="125"/>
  <c r="AP227" i="125"/>
  <c r="AX70" i="125"/>
  <c r="AP70" i="125"/>
  <c r="AT69" i="125"/>
  <c r="AV148" i="125"/>
  <c r="AP149" i="125"/>
  <c r="AV306" i="125"/>
  <c r="AN228" i="125"/>
  <c r="AS149" i="125"/>
  <c r="AW69" i="125"/>
  <c r="AO306" i="125"/>
  <c r="AU148" i="125"/>
  <c r="AW149" i="125"/>
  <c r="AO149" i="125"/>
  <c r="AS306" i="125"/>
  <c r="AU227" i="125"/>
  <c r="AM69" i="125"/>
  <c r="AM228" i="125"/>
  <c r="AQ306" i="125"/>
  <c r="AW306" i="125"/>
  <c r="AN306" i="125"/>
  <c r="AR148" i="125"/>
  <c r="AN148" i="125"/>
  <c r="AT70" i="125"/>
  <c r="AQ69" i="125"/>
  <c r="AO148" i="125"/>
  <c r="AW228" i="125"/>
  <c r="AZ55" i="125"/>
  <c r="AO69" i="125"/>
  <c r="AP307" i="125"/>
  <c r="AT306" i="125"/>
  <c r="AX148" i="125"/>
  <c r="AN69" i="125"/>
  <c r="AT148" i="125"/>
  <c r="AV228" i="125"/>
  <c r="AR228" i="125"/>
  <c r="AX306" i="125"/>
  <c r="AX228" i="125"/>
  <c r="AQ149" i="125"/>
  <c r="AU307" i="125"/>
  <c r="AO307" i="125"/>
  <c r="AS70" i="125"/>
  <c r="AY306" i="125"/>
  <c r="AY227" i="125"/>
  <c r="H55" i="125"/>
  <c r="H292" i="125"/>
  <c r="AZ134" i="125"/>
  <c r="AM307" i="125"/>
  <c r="AM149" i="125"/>
  <c r="AU70" i="125"/>
  <c r="AY148" i="125"/>
  <c r="AV227" i="125"/>
  <c r="AT227" i="125"/>
  <c r="AU149" i="125"/>
  <c r="AQ227" i="125"/>
  <c r="AS307" i="125"/>
  <c r="AW227" i="125"/>
  <c r="G213" i="125"/>
  <c r="H213" i="125"/>
  <c r="AZ213" i="125"/>
  <c r="AM70" i="125"/>
  <c r="AS227" i="125"/>
  <c r="AT307" i="125"/>
  <c r="AP228" i="125"/>
  <c r="AX69" i="125"/>
  <c r="AN149" i="125"/>
  <c r="AR69" i="125"/>
  <c r="AO227" i="125"/>
  <c r="AS148" i="125"/>
  <c r="AY69" i="125"/>
  <c r="AS69" i="125"/>
  <c r="AY307" i="125"/>
  <c r="AU228" i="125"/>
  <c r="AM227" i="125"/>
  <c r="AO70" i="125"/>
  <c r="AR307" i="125"/>
  <c r="AN70" i="125"/>
  <c r="AT149" i="125"/>
  <c r="AR227" i="125"/>
  <c r="AX307" i="125"/>
  <c r="AP148" i="125"/>
  <c r="AX227" i="125"/>
  <c r="AO228" i="125"/>
  <c r="AU306" i="125"/>
  <c r="AW148" i="125"/>
  <c r="AM148" i="125"/>
  <c r="AZ337" i="125"/>
  <c r="AW307" i="125"/>
  <c r="AY149" i="125"/>
  <c r="AR306" i="125"/>
  <c r="AV69" i="125"/>
  <c r="AX149" i="125"/>
  <c r="AR149" i="125"/>
  <c r="AP69" i="125"/>
  <c r="AR70" i="125"/>
  <c r="AN227" i="125"/>
  <c r="AW70" i="125"/>
  <c r="AQ70" i="125"/>
  <c r="AQ228" i="125"/>
  <c r="G292" i="125"/>
  <c r="AQ307" i="125"/>
  <c r="AS228" i="125"/>
  <c r="AP306" i="125"/>
  <c r="AV70" i="125"/>
  <c r="AV149" i="125"/>
  <c r="AT228" i="125"/>
  <c r="AV307" i="125"/>
  <c r="AQ148" i="125"/>
  <c r="AY70" i="125"/>
  <c r="AY228" i="125"/>
  <c r="BF302" i="125"/>
  <c r="BF301" i="125"/>
  <c r="BF223" i="125"/>
  <c r="BF222" i="125"/>
  <c r="BF144" i="125"/>
  <c r="BF143" i="125"/>
  <c r="BF64" i="125"/>
  <c r="BF65" i="125"/>
  <c r="BG8" i="125"/>
  <c r="Z301" i="125"/>
  <c r="Z302" i="125"/>
  <c r="Z223" i="125"/>
  <c r="Z222" i="125"/>
  <c r="Z144" i="125"/>
  <c r="Z143" i="125"/>
  <c r="Z65" i="125"/>
  <c r="Z64" i="125"/>
  <c r="AA8" i="125"/>
  <c r="O104" i="124"/>
  <c r="AN104" i="124"/>
  <c r="AS25" i="124"/>
  <c r="Q262" i="124"/>
  <c r="AV262" i="124"/>
  <c r="AW262" i="120"/>
  <c r="W183" i="124"/>
  <c r="BC183" i="120"/>
  <c r="AZ104" i="124"/>
  <c r="BD228" i="124" a="1"/>
  <c r="BD228" i="124" s="1"/>
  <c r="BD227" i="124" a="1"/>
  <c r="BD227" i="124" s="1"/>
  <c r="BD185" i="124"/>
  <c r="BD174" i="124"/>
  <c r="BD184" i="124"/>
  <c r="BE301" i="124"/>
  <c r="BE302" i="124"/>
  <c r="BE222" i="124"/>
  <c r="BE223" i="124"/>
  <c r="BE144" i="124"/>
  <c r="BE143" i="124"/>
  <c r="BE65" i="124"/>
  <c r="BE64" i="124"/>
  <c r="BF8" i="124"/>
  <c r="BE249" i="124"/>
  <c r="BE91" i="124"/>
  <c r="BE12" i="124"/>
  <c r="BE170" i="124"/>
  <c r="T104" i="124"/>
  <c r="AV104" i="124"/>
  <c r="X263" i="124"/>
  <c r="X264" i="124"/>
  <c r="X253" i="124"/>
  <c r="X307" i="124" a="1"/>
  <c r="X307" i="124" s="1"/>
  <c r="X306" i="124" a="1"/>
  <c r="X306" i="124" s="1"/>
  <c r="P104" i="124"/>
  <c r="AO183" i="124"/>
  <c r="AP183" i="124"/>
  <c r="AX183" i="124"/>
  <c r="M25" i="124"/>
  <c r="BE301" i="120"/>
  <c r="BE302" i="120"/>
  <c r="BE144" i="120"/>
  <c r="BE222" i="120"/>
  <c r="BE223" i="120"/>
  <c r="BE143" i="120"/>
  <c r="BE249" i="120"/>
  <c r="BE170" i="120"/>
  <c r="AR262" i="124"/>
  <c r="AV183" i="120"/>
  <c r="BC25" i="124"/>
  <c r="AO262" i="120"/>
  <c r="AR183" i="120"/>
  <c r="AV183" i="124"/>
  <c r="AW262" i="124"/>
  <c r="BD263" i="124"/>
  <c r="BD253" i="124"/>
  <c r="BD306" i="124" a="1"/>
  <c r="BD306" i="124" s="1"/>
  <c r="BD264" i="124"/>
  <c r="BD307" i="124" a="1"/>
  <c r="BD307" i="124" s="1"/>
  <c r="H262" i="124"/>
  <c r="N25" i="124"/>
  <c r="AN183" i="120"/>
  <c r="N104" i="124"/>
  <c r="R25" i="124"/>
  <c r="L262" i="124"/>
  <c r="AT262" i="124"/>
  <c r="AY25" i="124"/>
  <c r="S262" i="124"/>
  <c r="AT183" i="124"/>
  <c r="BA262" i="124"/>
  <c r="S104" i="124"/>
  <c r="V104" i="124"/>
  <c r="AP25" i="124"/>
  <c r="AW183" i="124"/>
  <c r="Q183" i="124"/>
  <c r="O25" i="124"/>
  <c r="AN183" i="124"/>
  <c r="AO25" i="124"/>
  <c r="AR183" i="124"/>
  <c r="BD253" i="120"/>
  <c r="BD306" i="120" a="1"/>
  <c r="BD306" i="120" s="1"/>
  <c r="BD264" i="120"/>
  <c r="BD307" i="120" a="1"/>
  <c r="BD307" i="120" s="1"/>
  <c r="BD263" i="120"/>
  <c r="R104" i="124"/>
  <c r="AU183" i="120"/>
  <c r="H25" i="124"/>
  <c r="L183" i="124"/>
  <c r="AQ25" i="124"/>
  <c r="AT262" i="120"/>
  <c r="AY104" i="124"/>
  <c r="AU262" i="124"/>
  <c r="I262" i="124"/>
  <c r="BC262" i="124"/>
  <c r="Q25" i="124"/>
  <c r="U104" i="124"/>
  <c r="M104" i="124"/>
  <c r="U183" i="124"/>
  <c r="AT25" i="124"/>
  <c r="AW183" i="120"/>
  <c r="AX262" i="120"/>
  <c r="I104" i="124"/>
  <c r="K25" i="124"/>
  <c r="U25" i="124"/>
  <c r="AU104" i="124"/>
  <c r="AY262" i="124"/>
  <c r="J262" i="124"/>
  <c r="T183" i="124"/>
  <c r="BD174" i="120"/>
  <c r="BD227" i="120" a="1"/>
  <c r="BD227" i="120" s="1"/>
  <c r="BD184" i="120"/>
  <c r="BD183" i="120" s="1"/>
  <c r="BD228" i="120" a="1"/>
  <c r="BD228" i="120" s="1"/>
  <c r="BD185" i="120"/>
  <c r="AP262" i="124"/>
  <c r="BB25" i="124"/>
  <c r="J104" i="124"/>
  <c r="T262" i="124"/>
  <c r="AW104" i="124"/>
  <c r="AS262" i="124"/>
  <c r="AO104" i="124"/>
  <c r="K104" i="124"/>
  <c r="V183" i="124"/>
  <c r="S25" i="124"/>
  <c r="BC183" i="124"/>
  <c r="P262" i="124"/>
  <c r="AU25" i="124"/>
  <c r="AP183" i="120"/>
  <c r="AQ104" i="124"/>
  <c r="J25" i="124"/>
  <c r="AR262" i="120"/>
  <c r="AX25" i="124"/>
  <c r="N262" i="124"/>
  <c r="M262" i="124"/>
  <c r="K183" i="124"/>
  <c r="AN262" i="124"/>
  <c r="AZ183" i="120"/>
  <c r="W262" i="124"/>
  <c r="AS183" i="124"/>
  <c r="AY183" i="124"/>
  <c r="BC262" i="120"/>
  <c r="W25" i="124"/>
  <c r="P183" i="124"/>
  <c r="AV25" i="124"/>
  <c r="AZ183" i="124"/>
  <c r="X106" i="124"/>
  <c r="X148" i="124" a="1"/>
  <c r="X148" i="124" s="1"/>
  <c r="X95" i="124"/>
  <c r="X149" i="124" a="1"/>
  <c r="X149" i="124" s="1"/>
  <c r="X105" i="124"/>
  <c r="Y301" i="124"/>
  <c r="Y302" i="124"/>
  <c r="Y222" i="124"/>
  <c r="Y223" i="124"/>
  <c r="Y143" i="124"/>
  <c r="Y144" i="124"/>
  <c r="Y64" i="124"/>
  <c r="Y65" i="124"/>
  <c r="Z8" i="124"/>
  <c r="Y249" i="124"/>
  <c r="Y170" i="124"/>
  <c r="Y91" i="124"/>
  <c r="Y12" i="124"/>
  <c r="AQ183" i="124"/>
  <c r="AX104" i="124"/>
  <c r="Q104" i="124"/>
  <c r="U262" i="124"/>
  <c r="AO262" i="124"/>
  <c r="AU183" i="124"/>
  <c r="AW25" i="124"/>
  <c r="O183" i="124"/>
  <c r="AR104" i="124"/>
  <c r="AV262" i="120"/>
  <c r="AP104" i="124"/>
  <c r="BA25" i="124"/>
  <c r="AZ25" i="124"/>
  <c r="H104" i="124"/>
  <c r="N183" i="124"/>
  <c r="BA183" i="124"/>
  <c r="BD69" i="124" a="1"/>
  <c r="BD69" i="124" s="1"/>
  <c r="BD70" i="124" a="1"/>
  <c r="BD70" i="124" s="1"/>
  <c r="BD26" i="124"/>
  <c r="BD16" i="124"/>
  <c r="BD27" i="124"/>
  <c r="W104" i="124"/>
  <c r="AR25" i="124"/>
  <c r="AZ262" i="120"/>
  <c r="T25" i="124"/>
  <c r="AU262" i="120"/>
  <c r="X184" i="124"/>
  <c r="X227" i="124" a="1"/>
  <c r="X227" i="124" s="1"/>
  <c r="X185" i="124"/>
  <c r="X174" i="124"/>
  <c r="X228" i="124" a="1"/>
  <c r="X228" i="124" s="1"/>
  <c r="BB262" i="120"/>
  <c r="H183" i="124"/>
  <c r="R183" i="124"/>
  <c r="BA104" i="124"/>
  <c r="K262" i="124"/>
  <c r="BB183" i="120"/>
  <c r="I25" i="124"/>
  <c r="AX183" i="120"/>
  <c r="BC104" i="124"/>
  <c r="I183" i="124"/>
  <c r="S183" i="124"/>
  <c r="AO183" i="120"/>
  <c r="AZ262" i="124"/>
  <c r="M183" i="124"/>
  <c r="L104" i="124"/>
  <c r="R262" i="124"/>
  <c r="AQ262" i="124"/>
  <c r="AS104" i="124"/>
  <c r="BD106" i="124"/>
  <c r="BD105" i="124"/>
  <c r="BD95" i="124"/>
  <c r="BD148" i="124" a="1"/>
  <c r="BD148" i="124" s="1"/>
  <c r="BD149" i="124" a="1"/>
  <c r="BD149" i="124" s="1"/>
  <c r="J183" i="124"/>
  <c r="L25" i="124"/>
  <c r="P25" i="124"/>
  <c r="AX262" i="124"/>
  <c r="AN25" i="124"/>
  <c r="X69" i="124" a="1"/>
  <c r="X69" i="124" s="1"/>
  <c r="X26" i="124"/>
  <c r="X70" i="124" a="1"/>
  <c r="X70" i="124" s="1"/>
  <c r="X16" i="124"/>
  <c r="X27" i="124"/>
  <c r="AP262" i="120"/>
  <c r="O262" i="124"/>
  <c r="AT104" i="124"/>
  <c r="BB262" i="124"/>
  <c r="BD148" i="120" a="1"/>
  <c r="BD148" i="120" s="1"/>
  <c r="BD149" i="120" a="1"/>
  <c r="BD149" i="120" s="1"/>
  <c r="BP55" i="120"/>
  <c r="AO104" i="120"/>
  <c r="Z8" i="120"/>
  <c r="Y64" i="120"/>
  <c r="Y301" i="120"/>
  <c r="Y222" i="120"/>
  <c r="Y143" i="120"/>
  <c r="Y65" i="120"/>
  <c r="Y302" i="120"/>
  <c r="Y223" i="120"/>
  <c r="Y144" i="120"/>
  <c r="Y170" i="120"/>
  <c r="Y91" i="120"/>
  <c r="Y12" i="120"/>
  <c r="Y249" i="120"/>
  <c r="BD105" i="120"/>
  <c r="BD106" i="120"/>
  <c r="BD95" i="120"/>
  <c r="AP104" i="120"/>
  <c r="AU104" i="120"/>
  <c r="BF8" i="120"/>
  <c r="BE64" i="120"/>
  <c r="BE65" i="120"/>
  <c r="BE91" i="120"/>
  <c r="BE12" i="120"/>
  <c r="BC104" i="120"/>
  <c r="AZ104" i="120"/>
  <c r="AX104" i="120"/>
  <c r="AR104" i="120"/>
  <c r="AW104" i="120"/>
  <c r="BB104" i="120"/>
  <c r="AR25" i="120"/>
  <c r="T183" i="120"/>
  <c r="W262" i="120"/>
  <c r="S104" i="120"/>
  <c r="I25" i="120"/>
  <c r="X25" i="120"/>
  <c r="AS25" i="120"/>
  <c r="V183" i="120"/>
  <c r="H183" i="120"/>
  <c r="L183" i="120"/>
  <c r="AX25" i="120"/>
  <c r="R262" i="120"/>
  <c r="K104" i="120"/>
  <c r="N262" i="120"/>
  <c r="AT25" i="120"/>
  <c r="N183" i="120"/>
  <c r="U262" i="120"/>
  <c r="I104" i="120"/>
  <c r="U183" i="120"/>
  <c r="U104" i="120"/>
  <c r="X104" i="120"/>
  <c r="G262" i="120"/>
  <c r="L262" i="120"/>
  <c r="V104" i="120"/>
  <c r="T25" i="120"/>
  <c r="BC25" i="120"/>
  <c r="K25" i="120"/>
  <c r="R104" i="120"/>
  <c r="J25" i="120"/>
  <c r="T104" i="120"/>
  <c r="G183" i="120"/>
  <c r="S262" i="120"/>
  <c r="Q104" i="120"/>
  <c r="P183" i="120"/>
  <c r="Q25" i="120"/>
  <c r="BD25" i="120"/>
  <c r="W183" i="120"/>
  <c r="Q262" i="120"/>
  <c r="G104" i="120"/>
  <c r="N104" i="120"/>
  <c r="AM25" i="120"/>
  <c r="L104" i="120"/>
  <c r="W25" i="120"/>
  <c r="AU25" i="120"/>
  <c r="M183" i="120"/>
  <c r="X262" i="120"/>
  <c r="I183" i="120"/>
  <c r="V262" i="120"/>
  <c r="BB25" i="120"/>
  <c r="K183" i="120"/>
  <c r="AZ25" i="120"/>
  <c r="AP25" i="120"/>
  <c r="P104" i="120"/>
  <c r="M104" i="120"/>
  <c r="H262" i="120"/>
  <c r="N25" i="120"/>
  <c r="AY25" i="120"/>
  <c r="X183" i="120"/>
  <c r="J262" i="120"/>
  <c r="S183" i="120"/>
  <c r="V25" i="120"/>
  <c r="J183" i="120"/>
  <c r="J104" i="120"/>
  <c r="AO25" i="120"/>
  <c r="T262" i="120"/>
  <c r="AQ25" i="120"/>
  <c r="P262" i="120"/>
  <c r="K262" i="120"/>
  <c r="S25" i="120"/>
  <c r="G25" i="120"/>
  <c r="R183" i="120"/>
  <c r="R25" i="120"/>
  <c r="P25" i="120"/>
  <c r="I262" i="120"/>
  <c r="L25" i="120"/>
  <c r="W104" i="120"/>
  <c r="O104" i="120"/>
  <c r="H104" i="120"/>
  <c r="M262" i="120"/>
  <c r="AN25" i="120"/>
  <c r="U25" i="120"/>
  <c r="O25" i="120"/>
  <c r="AW25" i="120"/>
  <c r="Q183" i="120"/>
  <c r="O183" i="120"/>
  <c r="AV25" i="120"/>
  <c r="M25" i="120"/>
  <c r="O262" i="120"/>
  <c r="BA25" i="120"/>
  <c r="BZ44" i="119"/>
  <c r="BZ13" i="119"/>
  <c r="CM6" i="119"/>
  <c r="BZ13" i="118"/>
  <c r="BZ44" i="118"/>
  <c r="CL6" i="118"/>
  <c r="BZ44" i="117"/>
  <c r="BZ13" i="117"/>
  <c r="CM6" i="117"/>
  <c r="CA13" i="67"/>
  <c r="Q77" i="2"/>
  <c r="E34" i="77"/>
  <c r="F34" i="77" s="1"/>
  <c r="G34" i="77" s="1"/>
  <c r="H34" i="77" s="1"/>
  <c r="I34" i="77" s="1"/>
  <c r="J34" i="77" s="1"/>
  <c r="K34" i="77" s="1"/>
  <c r="L34" i="77" s="1"/>
  <c r="M34" i="77" s="1"/>
  <c r="N34" i="77" s="1"/>
  <c r="O34" i="77" s="1"/>
  <c r="P34" i="77" s="1"/>
  <c r="Q34" i="77" s="1"/>
  <c r="R34" i="77" s="1"/>
  <c r="S34" i="77" s="1"/>
  <c r="T34" i="77" s="1"/>
  <c r="U34" i="77" s="1"/>
  <c r="V34" i="77" s="1"/>
  <c r="W34" i="77" s="1"/>
  <c r="X34" i="77" s="1"/>
  <c r="Y34" i="77" s="1"/>
  <c r="Z34" i="77" s="1"/>
  <c r="AA34" i="77" s="1"/>
  <c r="AB34" i="77" s="1"/>
  <c r="AC34" i="77" s="1"/>
  <c r="AD34" i="77" s="1"/>
  <c r="AE34" i="77" s="1"/>
  <c r="DI56" i="95"/>
  <c r="DI55" i="95"/>
  <c r="DI56" i="94"/>
  <c r="DI55" i="94"/>
  <c r="DI56" i="93"/>
  <c r="DI55" i="93"/>
  <c r="E36" i="77"/>
  <c r="F36" i="77" s="1"/>
  <c r="G36" i="77" s="1"/>
  <c r="H36" i="77" s="1"/>
  <c r="I36" i="77" s="1"/>
  <c r="J36" i="77" s="1"/>
  <c r="K36" i="77" s="1"/>
  <c r="L36" i="77" s="1"/>
  <c r="M36" i="77" s="1"/>
  <c r="N36" i="77" s="1"/>
  <c r="O36" i="77" s="1"/>
  <c r="P36" i="77" s="1"/>
  <c r="Q36" i="77" s="1"/>
  <c r="R36" i="77" s="1"/>
  <c r="S36" i="77" s="1"/>
  <c r="T36" i="77" s="1"/>
  <c r="U36" i="77" s="1"/>
  <c r="V36" i="77" s="1"/>
  <c r="W36" i="77" s="1"/>
  <c r="X36" i="77" s="1"/>
  <c r="Y36" i="77" s="1"/>
  <c r="Z36" i="77" s="1"/>
  <c r="AA36" i="77" s="1"/>
  <c r="AB36" i="77" s="1"/>
  <c r="AC36" i="77" s="1"/>
  <c r="AD36" i="77" s="1"/>
  <c r="AE36" i="77" s="1"/>
  <c r="E31" i="77"/>
  <c r="F31" i="77" s="1"/>
  <c r="G31" i="77" s="1"/>
  <c r="H31" i="77" s="1"/>
  <c r="I31" i="77" s="1"/>
  <c r="J31" i="77" s="1"/>
  <c r="K31" i="77" s="1"/>
  <c r="L31" i="77" s="1"/>
  <c r="M31" i="77" s="1"/>
  <c r="N31" i="77" s="1"/>
  <c r="O31" i="77" s="1"/>
  <c r="P31" i="77" s="1"/>
  <c r="Q31" i="77" s="1"/>
  <c r="R31" i="77" s="1"/>
  <c r="S31" i="77" s="1"/>
  <c r="T31" i="77" s="1"/>
  <c r="U31" i="77" s="1"/>
  <c r="V31" i="77" s="1"/>
  <c r="W31" i="77" s="1"/>
  <c r="X31" i="77" s="1"/>
  <c r="Y31" i="77" s="1"/>
  <c r="Z31" i="77" s="1"/>
  <c r="AA31" i="77" s="1"/>
  <c r="AB31" i="77" s="1"/>
  <c r="AC31" i="77" s="1"/>
  <c r="AD31" i="77" s="1"/>
  <c r="AE31" i="77" s="1"/>
  <c r="E32" i="77"/>
  <c r="F32" i="77" s="1"/>
  <c r="G32" i="77" s="1"/>
  <c r="H32" i="77" s="1"/>
  <c r="I32" i="77" s="1"/>
  <c r="J32" i="77" s="1"/>
  <c r="K32" i="77" s="1"/>
  <c r="L32" i="77" s="1"/>
  <c r="M32" i="77" s="1"/>
  <c r="N32" i="77" s="1"/>
  <c r="O32" i="77" s="1"/>
  <c r="P32" i="77" s="1"/>
  <c r="Q32" i="77" s="1"/>
  <c r="R32" i="77" s="1"/>
  <c r="S32" i="77" s="1"/>
  <c r="T32" i="77" s="1"/>
  <c r="U32" i="77" s="1"/>
  <c r="V32" i="77" s="1"/>
  <c r="W32" i="77" s="1"/>
  <c r="X32" i="77" s="1"/>
  <c r="Y32" i="77" s="1"/>
  <c r="Z32" i="77" s="1"/>
  <c r="AA32" i="77" s="1"/>
  <c r="AB32" i="77" s="1"/>
  <c r="AC32" i="77" s="1"/>
  <c r="AD32" i="77" s="1"/>
  <c r="AE32" i="77" s="1"/>
  <c r="E12" i="77"/>
  <c r="E33" i="77"/>
  <c r="Q76" i="2" s="1"/>
  <c r="F33" i="77"/>
  <c r="G33" i="77"/>
  <c r="H33" i="77" s="1"/>
  <c r="I33" i="77" s="1"/>
  <c r="J33" i="77" s="1"/>
  <c r="K33" i="77" s="1"/>
  <c r="L33" i="77" s="1"/>
  <c r="M33" i="77" s="1"/>
  <c r="N33" i="77" s="1"/>
  <c r="O33" i="77" s="1"/>
  <c r="P33" i="77" s="1"/>
  <c r="Q33" i="77" s="1"/>
  <c r="R33" i="77" s="1"/>
  <c r="S33" i="77" s="1"/>
  <c r="T33" i="77" s="1"/>
  <c r="U33" i="77" s="1"/>
  <c r="V33" i="77" s="1"/>
  <c r="W33" i="77" s="1"/>
  <c r="X33" i="77" s="1"/>
  <c r="Y33" i="77" s="1"/>
  <c r="Z33" i="77" s="1"/>
  <c r="AA33" i="77" s="1"/>
  <c r="AB33" i="77" s="1"/>
  <c r="AC33" i="77" s="1"/>
  <c r="AD33" i="77" s="1"/>
  <c r="AE33" i="77" s="1"/>
  <c r="E15" i="77"/>
  <c r="E39" i="77"/>
  <c r="U77" i="2" s="1"/>
  <c r="F39" i="77"/>
  <c r="G39" i="77" s="1"/>
  <c r="H39" i="77" s="1"/>
  <c r="I39" i="77" s="1"/>
  <c r="J39" i="77" s="1"/>
  <c r="K39" i="77" s="1"/>
  <c r="L39" i="77" s="1"/>
  <c r="M39" i="77" s="1"/>
  <c r="N39" i="77" s="1"/>
  <c r="O39" i="77" s="1"/>
  <c r="P39" i="77" s="1"/>
  <c r="Q39" i="77" s="1"/>
  <c r="R39" i="77" s="1"/>
  <c r="S39" i="77" s="1"/>
  <c r="T39" i="77" s="1"/>
  <c r="U39" i="77" s="1"/>
  <c r="V39" i="77" s="1"/>
  <c r="W39" i="77" s="1"/>
  <c r="X39" i="77" s="1"/>
  <c r="Y39" i="77" s="1"/>
  <c r="Z39" i="77" s="1"/>
  <c r="AA39" i="77" s="1"/>
  <c r="AB39" i="77" s="1"/>
  <c r="AC39" i="77" s="1"/>
  <c r="AD39" i="77" s="1"/>
  <c r="AE39" i="77" s="1"/>
  <c r="E14" i="77"/>
  <c r="E13" i="77"/>
  <c r="E37" i="77"/>
  <c r="F37" i="77" s="1"/>
  <c r="G37" i="77" s="1"/>
  <c r="H37" i="77" s="1"/>
  <c r="I37" i="77" s="1"/>
  <c r="J37" i="77" s="1"/>
  <c r="K37" i="77" s="1"/>
  <c r="L37" i="77" s="1"/>
  <c r="M37" i="77" s="1"/>
  <c r="N37" i="77" s="1"/>
  <c r="O37" i="77" s="1"/>
  <c r="P37" i="77" s="1"/>
  <c r="Q37" i="77" s="1"/>
  <c r="R37" i="77" s="1"/>
  <c r="S37" i="77" s="1"/>
  <c r="T37" i="77" s="1"/>
  <c r="U37" i="77" s="1"/>
  <c r="V37" i="77" s="1"/>
  <c r="W37" i="77" s="1"/>
  <c r="X37" i="77" s="1"/>
  <c r="Y37" i="77" s="1"/>
  <c r="Z37" i="77" s="1"/>
  <c r="AA37" i="77" s="1"/>
  <c r="AB37" i="77" s="1"/>
  <c r="AC37" i="77" s="1"/>
  <c r="AD37" i="77" s="1"/>
  <c r="AE37" i="77" s="1"/>
  <c r="T15" i="1"/>
  <c r="S11" i="1"/>
  <c r="S15" i="1"/>
  <c r="S19" i="1"/>
  <c r="T11" i="1"/>
  <c r="T19" i="1"/>
  <c r="T23" i="1"/>
  <c r="S27" i="1"/>
  <c r="S31" i="1"/>
  <c r="S23" i="1"/>
  <c r="T31" i="1"/>
  <c r="T27" i="1"/>
  <c r="S12" i="1"/>
  <c r="S16" i="1"/>
  <c r="S20" i="1"/>
  <c r="T12" i="1"/>
  <c r="T16" i="1"/>
  <c r="T20" i="1"/>
  <c r="S24" i="1"/>
  <c r="T24" i="1"/>
  <c r="T32" i="1"/>
  <c r="S28" i="1"/>
  <c r="T28" i="1"/>
  <c r="S32" i="1"/>
  <c r="S14" i="1"/>
  <c r="S18" i="1"/>
  <c r="T10" i="1"/>
  <c r="T14" i="1"/>
  <c r="T18" i="1"/>
  <c r="S10" i="1"/>
  <c r="T22" i="1"/>
  <c r="S22" i="1"/>
  <c r="S26" i="1"/>
  <c r="T30" i="1"/>
  <c r="T26" i="1"/>
  <c r="S30" i="1"/>
  <c r="S9" i="1"/>
  <c r="T17" i="1"/>
  <c r="S13" i="1"/>
  <c r="S17" i="1"/>
  <c r="T9" i="1"/>
  <c r="T13" i="1"/>
  <c r="T21" i="1"/>
  <c r="S21" i="1"/>
  <c r="S25" i="1"/>
  <c r="T25" i="1"/>
  <c r="S29" i="1"/>
  <c r="T29" i="1"/>
  <c r="K26" i="1"/>
  <c r="J26" i="1"/>
  <c r="K23" i="1"/>
  <c r="J23" i="1"/>
  <c r="K32" i="1"/>
  <c r="J32" i="1"/>
  <c r="J21" i="1"/>
  <c r="K21" i="1"/>
  <c r="J24" i="1"/>
  <c r="K24" i="1"/>
  <c r="K22" i="1"/>
  <c r="J22" i="1"/>
  <c r="H27" i="1"/>
  <c r="L27" i="1"/>
  <c r="I27" i="1"/>
  <c r="V21" i="1"/>
  <c r="V20" i="1"/>
  <c r="V26" i="1"/>
  <c r="V24" i="1"/>
  <c r="V22" i="1"/>
  <c r="I25" i="1"/>
  <c r="H25" i="1"/>
  <c r="H32" i="1"/>
  <c r="V23" i="1"/>
  <c r="I31" i="1"/>
  <c r="V28" i="1"/>
  <c r="V19" i="1"/>
  <c r="G29" i="1"/>
  <c r="L29" i="1" s="1"/>
  <c r="V17" i="1"/>
  <c r="CB6" i="67"/>
  <c r="DE47" i="67"/>
  <c r="S64" i="30"/>
  <c r="I12" i="125"/>
  <c r="AZ174" i="125"/>
  <c r="BZ46" i="117" a="1"/>
  <c r="BZ41" i="119" a="1"/>
  <c r="G227" i="125" a="1"/>
  <c r="I170" i="125"/>
  <c r="AZ149" i="125" a="1"/>
  <c r="AW262" i="125"/>
  <c r="BA286" i="125"/>
  <c r="AR104" i="125"/>
  <c r="AS25" i="125"/>
  <c r="AT25" i="125"/>
  <c r="AM262" i="125"/>
  <c r="H106" i="125"/>
  <c r="G148" i="125" a="1"/>
  <c r="AP25" i="125"/>
  <c r="AZ185" i="125"/>
  <c r="G263" i="125"/>
  <c r="AZ70" i="125" a="1"/>
  <c r="BA128" i="125"/>
  <c r="AU25" i="125"/>
  <c r="CA26" i="118" a="1"/>
  <c r="AY25" i="125"/>
  <c r="AX183" i="125"/>
  <c r="CA44" i="118" a="1"/>
  <c r="G149" i="125" a="1"/>
  <c r="G16" i="125"/>
  <c r="BZ46" i="119" a="1"/>
  <c r="AU262" i="125"/>
  <c r="CA21" i="118" a="1"/>
  <c r="AY183" i="125"/>
  <c r="H263" i="125"/>
  <c r="AZ306" i="125" a="1"/>
  <c r="AO104" i="125"/>
  <c r="AT104" i="125"/>
  <c r="AO183" i="125"/>
  <c r="H253" i="125"/>
  <c r="CA44" i="117" a="1"/>
  <c r="AS183" i="125"/>
  <c r="CA21" i="117" a="1"/>
  <c r="CA13" i="118" a="1"/>
  <c r="AZ264" i="125"/>
  <c r="AZ106" i="125"/>
  <c r="AZ184" i="125"/>
  <c r="AV262" i="125"/>
  <c r="CB13" i="67" a="1"/>
  <c r="CA44" i="119" a="1"/>
  <c r="CA26" i="119" a="1"/>
  <c r="BZ41" i="117" a="1"/>
  <c r="AR183" i="125"/>
  <c r="H264" i="125"/>
  <c r="AZ95" i="125"/>
  <c r="G264" i="125"/>
  <c r="AP183" i="125"/>
  <c r="AW183" i="125"/>
  <c r="AR25" i="125"/>
  <c r="AW104" i="125"/>
  <c r="BZ21" i="119" a="1"/>
  <c r="CA41" i="118" a="1"/>
  <c r="G307" i="125" a="1"/>
  <c r="CA46" i="117" a="1"/>
  <c r="I286" i="125"/>
  <c r="BZ26" i="119" a="1"/>
  <c r="H95" i="125"/>
  <c r="G184" i="125"/>
  <c r="AO25" i="125"/>
  <c r="H174" i="125"/>
  <c r="G253" i="125"/>
  <c r="AY262" i="125"/>
  <c r="AQ262" i="125"/>
  <c r="BA187" i="125"/>
  <c r="I49" i="125"/>
  <c r="AT262" i="125"/>
  <c r="CA41" i="117" a="1"/>
  <c r="AZ27" i="125"/>
  <c r="CA21" i="119" a="1"/>
  <c r="AZ16" i="125"/>
  <c r="AM104" i="125"/>
  <c r="BZ26" i="117" a="1"/>
  <c r="AM183" i="125"/>
  <c r="G27" i="125"/>
  <c r="BA108" i="125"/>
  <c r="H185" i="125"/>
  <c r="AZ148" i="125" a="1"/>
  <c r="AV25" i="125"/>
  <c r="CA44" i="67" a="1"/>
  <c r="BA12" i="125"/>
  <c r="G185" i="125"/>
  <c r="AP104" i="125"/>
  <c r="H27" i="125"/>
  <c r="BZ21" i="118" a="1"/>
  <c r="BZ41" i="118" a="1"/>
  <c r="G26" i="125"/>
  <c r="CA13" i="117" a="1"/>
  <c r="AZ227" i="125" a="1"/>
  <c r="BA170" i="125"/>
  <c r="G69" i="125" a="1"/>
  <c r="AR262" i="125"/>
  <c r="AN104" i="125"/>
  <c r="H184" i="125"/>
  <c r="BA91" i="125"/>
  <c r="G70" i="125" a="1"/>
  <c r="CA46" i="119" a="1"/>
  <c r="AT183" i="125"/>
  <c r="AQ104" i="125"/>
  <c r="H16" i="125"/>
  <c r="BZ26" i="118" a="1"/>
  <c r="CA26" i="117" a="1"/>
  <c r="AX262" i="125"/>
  <c r="AQ183" i="125"/>
  <c r="G228" i="125" a="1"/>
  <c r="BA49" i="125"/>
  <c r="BZ46" i="118" a="1"/>
  <c r="BA249" i="125"/>
  <c r="CA46" i="118" a="1"/>
  <c r="AW25" i="125"/>
  <c r="I207" i="125"/>
  <c r="BZ21" i="117" a="1"/>
  <c r="AV183" i="125"/>
  <c r="CA13" i="119" a="1"/>
  <c r="G174" i="125"/>
  <c r="AS262" i="125"/>
  <c r="AM25" i="125"/>
  <c r="G104" i="125"/>
  <c r="AZ69" i="125" a="1"/>
  <c r="I128" i="125"/>
  <c r="AP262" i="125"/>
  <c r="AO262" i="125"/>
  <c r="AU104" i="125"/>
  <c r="AX25" i="125"/>
  <c r="CA41" i="119" a="1"/>
  <c r="G306" i="125" a="1"/>
  <c r="AN25" i="125"/>
  <c r="AN262" i="125"/>
  <c r="AV104" i="125"/>
  <c r="AZ307" i="125" a="1"/>
  <c r="H26" i="125"/>
  <c r="AU183" i="125"/>
  <c r="H105" i="125"/>
  <c r="BA29" i="125"/>
  <c r="AZ263" i="125"/>
  <c r="AX104" i="125"/>
  <c r="AZ253" i="125"/>
  <c r="AN183" i="125"/>
  <c r="I91" i="125"/>
  <c r="AZ228" i="125" a="1"/>
  <c r="BA266" i="125"/>
  <c r="AS104" i="125"/>
  <c r="AQ25" i="125"/>
  <c r="BA207" i="125"/>
  <c r="I249" i="125"/>
  <c r="AY104" i="125"/>
  <c r="AZ26" i="125"/>
  <c r="AZ105" i="125"/>
  <c r="BZ26" i="118" l="1"/>
  <c r="Z184" i="126"/>
  <c r="Z227" i="126" a="1"/>
  <c r="Z227" i="126" s="1"/>
  <c r="Z228" i="126" a="1"/>
  <c r="Z228" i="126" s="1"/>
  <c r="Z174" i="126"/>
  <c r="Z185" i="126"/>
  <c r="AA302" i="126"/>
  <c r="AA301" i="126"/>
  <c r="AA223" i="126"/>
  <c r="AA222" i="126"/>
  <c r="AA143" i="126"/>
  <c r="AA144" i="126"/>
  <c r="AA64" i="126"/>
  <c r="AA65" i="126"/>
  <c r="AB8" i="126"/>
  <c r="AA249" i="126"/>
  <c r="AA91" i="126"/>
  <c r="AA12" i="126"/>
  <c r="AA170" i="126"/>
  <c r="Y183" i="126"/>
  <c r="Z27" i="126"/>
  <c r="Z26" i="126"/>
  <c r="Z69" i="126" a="1"/>
  <c r="Z69" i="126" s="1"/>
  <c r="Z16" i="126"/>
  <c r="Z70" i="126" a="1"/>
  <c r="Z70" i="126" s="1"/>
  <c r="BF16" i="126"/>
  <c r="BF69" i="126" a="1"/>
  <c r="BF69" i="126" s="1"/>
  <c r="BF26" i="126"/>
  <c r="BF70" i="126" a="1"/>
  <c r="BF70" i="126" s="1"/>
  <c r="BF27" i="126"/>
  <c r="Z263" i="126"/>
  <c r="Z307" i="126" a="1"/>
  <c r="Z307" i="126" s="1"/>
  <c r="Z264" i="126"/>
  <c r="Z306" i="126" a="1"/>
  <c r="Z306" i="126" s="1"/>
  <c r="Z253" i="126"/>
  <c r="BF228" i="126" a="1"/>
  <c r="BF228" i="126" s="1"/>
  <c r="BF227" i="126" a="1"/>
  <c r="BF227" i="126" s="1"/>
  <c r="BF185" i="126"/>
  <c r="BF174" i="126"/>
  <c r="BF184" i="126"/>
  <c r="Y104" i="126"/>
  <c r="BF105" i="126"/>
  <c r="BF95" i="126"/>
  <c r="BF148" i="126" a="1"/>
  <c r="BF148" i="126" s="1"/>
  <c r="BF106" i="126"/>
  <c r="BF149" i="126" a="1"/>
  <c r="BF149" i="126" s="1"/>
  <c r="Y262" i="126"/>
  <c r="BE25" i="126"/>
  <c r="BF307" i="126" a="1"/>
  <c r="BF307" i="126" s="1"/>
  <c r="BF264" i="126"/>
  <c r="BF306" i="126" a="1"/>
  <c r="BF306" i="126" s="1"/>
  <c r="BF253" i="126"/>
  <c r="BF263" i="126"/>
  <c r="AM248" i="125"/>
  <c r="AM305" i="125" s="1"/>
  <c r="G248" i="125"/>
  <c r="AM90" i="125"/>
  <c r="AM147" i="125" s="1"/>
  <c r="G90" i="125"/>
  <c r="G147" i="125" s="1"/>
  <c r="AM11" i="125"/>
  <c r="AM68" i="125" s="1"/>
  <c r="G11" i="125"/>
  <c r="BE183" i="126"/>
  <c r="BE104" i="126"/>
  <c r="AM169" i="125"/>
  <c r="AM226" i="125" s="1"/>
  <c r="G169" i="125"/>
  <c r="BG302" i="126"/>
  <c r="BG301" i="126"/>
  <c r="BG223" i="126"/>
  <c r="BG222" i="126"/>
  <c r="BG144" i="126"/>
  <c r="BG143" i="126"/>
  <c r="BG65" i="126"/>
  <c r="BG64" i="126"/>
  <c r="BH8" i="126"/>
  <c r="BG170" i="126"/>
  <c r="BG249" i="126"/>
  <c r="BG12" i="126"/>
  <c r="BG91" i="126"/>
  <c r="BE262" i="126"/>
  <c r="Y25" i="126"/>
  <c r="Z105" i="126"/>
  <c r="Z148" i="126" a="1"/>
  <c r="Z148" i="126" s="1"/>
  <c r="Z149" i="126" a="1"/>
  <c r="Z149" i="126" s="1"/>
  <c r="Z95" i="126"/>
  <c r="Z106" i="126"/>
  <c r="G149" i="125"/>
  <c r="I55" i="125"/>
  <c r="BA134" i="125"/>
  <c r="G227" i="125"/>
  <c r="AZ70" i="125"/>
  <c r="G226" i="125"/>
  <c r="AZ228" i="125"/>
  <c r="G307" i="125"/>
  <c r="AZ149" i="125"/>
  <c r="BA55" i="125"/>
  <c r="G68" i="125"/>
  <c r="I292" i="125"/>
  <c r="I213" i="125"/>
  <c r="G148" i="125"/>
  <c r="AZ307" i="125"/>
  <c r="G70" i="125"/>
  <c r="I134" i="125"/>
  <c r="G69" i="125"/>
  <c r="G306" i="125"/>
  <c r="G228" i="125"/>
  <c r="AZ306" i="125"/>
  <c r="AZ227" i="125"/>
  <c r="BA292" i="125"/>
  <c r="BA213" i="125"/>
  <c r="AZ148" i="125"/>
  <c r="BA337" i="125"/>
  <c r="G305" i="125"/>
  <c r="AZ69" i="125"/>
  <c r="BG301" i="125"/>
  <c r="BG302" i="125"/>
  <c r="BG222" i="125"/>
  <c r="BG223" i="125"/>
  <c r="BG143" i="125"/>
  <c r="BG144" i="125"/>
  <c r="BH8" i="125"/>
  <c r="BG64" i="125"/>
  <c r="BG65" i="125"/>
  <c r="AA301" i="125"/>
  <c r="AA302" i="125"/>
  <c r="AA223" i="125"/>
  <c r="AA222" i="125"/>
  <c r="AA144" i="125"/>
  <c r="AA143" i="125"/>
  <c r="AA64" i="125"/>
  <c r="AA65" i="125"/>
  <c r="AB8" i="125"/>
  <c r="X104" i="124"/>
  <c r="BD262" i="120"/>
  <c r="BD262" i="124"/>
  <c r="X262" i="124"/>
  <c r="BE174" i="120"/>
  <c r="BE228" i="120" a="1"/>
  <c r="BE228" i="120" s="1"/>
  <c r="BE185" i="120"/>
  <c r="BE227" i="120" a="1"/>
  <c r="BE227" i="120" s="1"/>
  <c r="BE184" i="120"/>
  <c r="BE228" i="124" a="1"/>
  <c r="BE228" i="124" s="1"/>
  <c r="BE227" i="124" a="1"/>
  <c r="BE227" i="124" s="1"/>
  <c r="BE185" i="124"/>
  <c r="BE184" i="124"/>
  <c r="BE174" i="124"/>
  <c r="BE306" i="120" a="1"/>
  <c r="BE306" i="120" s="1"/>
  <c r="BE263" i="120"/>
  <c r="BE264" i="120"/>
  <c r="BE253" i="120"/>
  <c r="BE307" i="120" a="1"/>
  <c r="BE307" i="120" s="1"/>
  <c r="BE69" i="124" a="1"/>
  <c r="BE69" i="124" s="1"/>
  <c r="BE70" i="124" a="1"/>
  <c r="BE70" i="124" s="1"/>
  <c r="BE16" i="124"/>
  <c r="BE26" i="124"/>
  <c r="BE27" i="124"/>
  <c r="BD25" i="124"/>
  <c r="Y69" i="124" a="1"/>
  <c r="Y69" i="124" s="1"/>
  <c r="Y26" i="124"/>
  <c r="Y16" i="124"/>
  <c r="Y70" i="124" a="1"/>
  <c r="Y70" i="124" s="1"/>
  <c r="Y27" i="124"/>
  <c r="BE106" i="124"/>
  <c r="BE148" i="124" a="1"/>
  <c r="BE148" i="124" s="1"/>
  <c r="BE105" i="124"/>
  <c r="BE95" i="124"/>
  <c r="BE149" i="124" a="1"/>
  <c r="BE149" i="124" s="1"/>
  <c r="Y148" i="124" a="1"/>
  <c r="Y148" i="124" s="1"/>
  <c r="Y149" i="124" a="1"/>
  <c r="Y149" i="124" s="1"/>
  <c r="Y106" i="124"/>
  <c r="Y105" i="124"/>
  <c r="Y95" i="124"/>
  <c r="Z301" i="124"/>
  <c r="Z302" i="124"/>
  <c r="Z222" i="124"/>
  <c r="Z223" i="124"/>
  <c r="Z144" i="124"/>
  <c r="Z143" i="124"/>
  <c r="Z64" i="124"/>
  <c r="Z65" i="124"/>
  <c r="AA8" i="124"/>
  <c r="Z249" i="124"/>
  <c r="Z12" i="124"/>
  <c r="Z170" i="124"/>
  <c r="Z91" i="124"/>
  <c r="BE264" i="124"/>
  <c r="BE306" i="124" a="1"/>
  <c r="BE306" i="124" s="1"/>
  <c r="BE263" i="124"/>
  <c r="BE253" i="124"/>
  <c r="BE307" i="124" a="1"/>
  <c r="BE307" i="124" s="1"/>
  <c r="Y227" i="124" a="1"/>
  <c r="Y227" i="124" s="1"/>
  <c r="Y228" i="124" a="1"/>
  <c r="Y228" i="124" s="1"/>
  <c r="Y184" i="124"/>
  <c r="Y174" i="124"/>
  <c r="Y185" i="124"/>
  <c r="X25" i="124"/>
  <c r="X183" i="124"/>
  <c r="Y306" i="124" a="1"/>
  <c r="Y306" i="124" s="1"/>
  <c r="Y263" i="124"/>
  <c r="Y253" i="124"/>
  <c r="Y307" i="124" a="1"/>
  <c r="Y307" i="124" s="1"/>
  <c r="Y264" i="124"/>
  <c r="BD183" i="124"/>
  <c r="BF301" i="120"/>
  <c r="BF144" i="120"/>
  <c r="BF143" i="120"/>
  <c r="BF302" i="120"/>
  <c r="BF223" i="120"/>
  <c r="BF222" i="120"/>
  <c r="BF249" i="120"/>
  <c r="BF170" i="120"/>
  <c r="BD104" i="124"/>
  <c r="BF302" i="124"/>
  <c r="BF301" i="124"/>
  <c r="BF223" i="124"/>
  <c r="BF222" i="124"/>
  <c r="BF144" i="124"/>
  <c r="BF143" i="124"/>
  <c r="BF65" i="124"/>
  <c r="BF64" i="124"/>
  <c r="BG8" i="124"/>
  <c r="BF249" i="124"/>
  <c r="BF12" i="124"/>
  <c r="BF91" i="124"/>
  <c r="BF170" i="124"/>
  <c r="BE148" i="120" a="1"/>
  <c r="BE148" i="120" s="1"/>
  <c r="BE149" i="120" a="1"/>
  <c r="BE149" i="120" s="1"/>
  <c r="AA8" i="120"/>
  <c r="Z64" i="120"/>
  <c r="Z302" i="120"/>
  <c r="Z223" i="120"/>
  <c r="Z301" i="120"/>
  <c r="Z222" i="120"/>
  <c r="Z143" i="120"/>
  <c r="Z65" i="120"/>
  <c r="Z144" i="120"/>
  <c r="Z91" i="120"/>
  <c r="Z249" i="120"/>
  <c r="Z170" i="120"/>
  <c r="Z12" i="120"/>
  <c r="BE69" i="120" a="1"/>
  <c r="BE69" i="120" s="1"/>
  <c r="BE70" i="120" a="1"/>
  <c r="BE70" i="120" s="1"/>
  <c r="BE26" i="120"/>
  <c r="BE27" i="120"/>
  <c r="BE16" i="120"/>
  <c r="BD104" i="120"/>
  <c r="BE95" i="120"/>
  <c r="BE106" i="120"/>
  <c r="BE105" i="120"/>
  <c r="Y264" i="120"/>
  <c r="Y307" i="120" a="1"/>
  <c r="Y307" i="120" s="1"/>
  <c r="Y263" i="120"/>
  <c r="Y253" i="120"/>
  <c r="Y306" i="120" a="1"/>
  <c r="Y306" i="120" s="1"/>
  <c r="BG8" i="120"/>
  <c r="BF64" i="120"/>
  <c r="BF65" i="120"/>
  <c r="BF91" i="120"/>
  <c r="BF12" i="120"/>
  <c r="Y69" i="120" a="1"/>
  <c r="Y69" i="120" s="1"/>
  <c r="Y27" i="120"/>
  <c r="Y70" i="120" a="1"/>
  <c r="Y70" i="120" s="1"/>
  <c r="Y16" i="120"/>
  <c r="Y26" i="120"/>
  <c r="Y95" i="120"/>
  <c r="Y105" i="120"/>
  <c r="Y106" i="120"/>
  <c r="Y149" i="120" a="1"/>
  <c r="Y149" i="120" s="1"/>
  <c r="Y148" i="120" a="1"/>
  <c r="Y148" i="120" s="1"/>
  <c r="Y174" i="120"/>
  <c r="Y184" i="120"/>
  <c r="Y227" i="120" a="1"/>
  <c r="Y227" i="120" s="1"/>
  <c r="Y185" i="120"/>
  <c r="Y228" i="120" a="1"/>
  <c r="Y228" i="120" s="1"/>
  <c r="G305" i="120"/>
  <c r="G147" i="120"/>
  <c r="AM68" i="120"/>
  <c r="G68" i="120"/>
  <c r="G226" i="120"/>
  <c r="BZ46" i="118"/>
  <c r="BZ60" i="118" s="1"/>
  <c r="BZ26" i="117"/>
  <c r="BZ46" i="117"/>
  <c r="BZ26" i="119"/>
  <c r="BZ46" i="119"/>
  <c r="BZ41" i="119"/>
  <c r="CA13" i="119"/>
  <c r="CA26" i="119"/>
  <c r="CA41" i="119"/>
  <c r="CA21" i="119"/>
  <c r="CA46" i="119"/>
  <c r="BZ21" i="119"/>
  <c r="CA44" i="119"/>
  <c r="CN6" i="119"/>
  <c r="CA21" i="118"/>
  <c r="CA26" i="118"/>
  <c r="CA13" i="118"/>
  <c r="CA44" i="118"/>
  <c r="CA46" i="118"/>
  <c r="BZ21" i="118"/>
  <c r="CA41" i="118"/>
  <c r="BZ41" i="118"/>
  <c r="CM6" i="118"/>
  <c r="BZ21" i="117"/>
  <c r="CA21" i="117"/>
  <c r="CA41" i="117"/>
  <c r="BZ41" i="117"/>
  <c r="CA44" i="67"/>
  <c r="CA13" i="117"/>
  <c r="CA26" i="117"/>
  <c r="CA46" i="117"/>
  <c r="CA44" i="117"/>
  <c r="CN6" i="117"/>
  <c r="CB13" i="67"/>
  <c r="Q41" i="77"/>
  <c r="U76" i="2"/>
  <c r="I76" i="2"/>
  <c r="I77" i="2"/>
  <c r="M76" i="2"/>
  <c r="M77" i="2"/>
  <c r="DJ55" i="95"/>
  <c r="DJ56" i="95"/>
  <c r="DJ56" i="94"/>
  <c r="DJ55" i="94"/>
  <c r="DJ56" i="93"/>
  <c r="DJ55" i="93"/>
  <c r="Z42" i="77"/>
  <c r="Q44" i="77"/>
  <c r="AC41" i="77"/>
  <c r="F13" i="77"/>
  <c r="F15" i="77"/>
  <c r="F12" i="77"/>
  <c r="F14" i="77"/>
  <c r="AD43" i="77"/>
  <c r="V42" i="77"/>
  <c r="AD41" i="77"/>
  <c r="F41" i="77"/>
  <c r="Q85" i="2"/>
  <c r="Q81" i="2"/>
  <c r="U80" i="2"/>
  <c r="U84" i="2"/>
  <c r="Q84" i="2"/>
  <c r="Q80" i="2"/>
  <c r="M84" i="2"/>
  <c r="M80" i="2"/>
  <c r="U85" i="2"/>
  <c r="U81" i="2"/>
  <c r="M81" i="2"/>
  <c r="M85" i="2"/>
  <c r="I84" i="2"/>
  <c r="I85" i="2"/>
  <c r="M44" i="77"/>
  <c r="AE42" i="77"/>
  <c r="Z44" i="77"/>
  <c r="I81" i="2"/>
  <c r="I80" i="2"/>
  <c r="F42" i="77"/>
  <c r="G43" i="77"/>
  <c r="G41" i="77"/>
  <c r="L43" i="77"/>
  <c r="M42" i="77"/>
  <c r="V41" i="77"/>
  <c r="AE43" i="77"/>
  <c r="F43" i="77"/>
  <c r="AE44" i="77"/>
  <c r="Z41" i="77"/>
  <c r="E44" i="77"/>
  <c r="Q42" i="77"/>
  <c r="R42" i="77"/>
  <c r="O42" i="77"/>
  <c r="AA42" i="77"/>
  <c r="T43" i="77"/>
  <c r="W44" i="77"/>
  <c r="P42" i="77"/>
  <c r="F44" i="77"/>
  <c r="J41" i="77"/>
  <c r="U43" i="77"/>
  <c r="R44" i="77"/>
  <c r="Q43" i="77"/>
  <c r="E43" i="77"/>
  <c r="K41" i="77"/>
  <c r="N42" i="77"/>
  <c r="V43" i="77"/>
  <c r="H43" i="77"/>
  <c r="S44" i="77"/>
  <c r="V44" i="77"/>
  <c r="J42" i="77"/>
  <c r="K44" i="77"/>
  <c r="G44" i="77"/>
  <c r="W42" i="77"/>
  <c r="L42" i="77"/>
  <c r="AB44" i="77"/>
  <c r="W43" i="77"/>
  <c r="X44" i="77"/>
  <c r="AD42" i="77"/>
  <c r="AC44" i="77"/>
  <c r="H44" i="77"/>
  <c r="Y44" i="77"/>
  <c r="AA252" i="125" s="1"/>
  <c r="T44" i="77"/>
  <c r="M43" i="77"/>
  <c r="R43" i="77"/>
  <c r="X42" i="77"/>
  <c r="I44" i="77"/>
  <c r="AB42" i="77"/>
  <c r="AC42" i="77"/>
  <c r="S43" i="77"/>
  <c r="Y43" i="77"/>
  <c r="AA173" i="125" s="1"/>
  <c r="AE41" i="77"/>
  <c r="AA41" i="77"/>
  <c r="Y41" i="77"/>
  <c r="AA15" i="125" s="1"/>
  <c r="W41" i="77"/>
  <c r="U41" i="77"/>
  <c r="S41" i="77"/>
  <c r="O41" i="77"/>
  <c r="M41" i="77"/>
  <c r="I41" i="77"/>
  <c r="E41" i="77"/>
  <c r="U42" i="77"/>
  <c r="J44" i="77"/>
  <c r="AA44" i="77"/>
  <c r="AB43" i="77"/>
  <c r="H42" i="77"/>
  <c r="N44" i="77"/>
  <c r="AD44" i="77"/>
  <c r="S42" i="77"/>
  <c r="I43" i="77"/>
  <c r="Y42" i="77"/>
  <c r="AA94" i="125" s="1"/>
  <c r="O43" i="77"/>
  <c r="AC43" i="77"/>
  <c r="X43" i="77"/>
  <c r="G42" i="77"/>
  <c r="T42" i="77"/>
  <c r="N43" i="77"/>
  <c r="I42" i="77"/>
  <c r="O44" i="77"/>
  <c r="AB41" i="77"/>
  <c r="X41" i="77"/>
  <c r="T41" i="77"/>
  <c r="R41" i="77"/>
  <c r="P41" i="77"/>
  <c r="N41" i="77"/>
  <c r="L41" i="77"/>
  <c r="H41" i="77"/>
  <c r="K43" i="77"/>
  <c r="L44" i="77"/>
  <c r="Z43" i="77"/>
  <c r="P44" i="77"/>
  <c r="E42" i="77"/>
  <c r="U44" i="77"/>
  <c r="J43" i="77"/>
  <c r="AA43" i="77"/>
  <c r="P43" i="77"/>
  <c r="K42" i="77"/>
  <c r="K27" i="1"/>
  <c r="J27" i="1"/>
  <c r="J31" i="1"/>
  <c r="K31" i="1"/>
  <c r="K25" i="1"/>
  <c r="J25" i="1"/>
  <c r="V27" i="1"/>
  <c r="V25" i="1"/>
  <c r="V31" i="1"/>
  <c r="I29" i="1"/>
  <c r="H29" i="1"/>
  <c r="V32" i="1"/>
  <c r="CC6" i="67"/>
  <c r="I228" i="125" a="1"/>
  <c r="H104" i="125"/>
  <c r="BA106" i="125"/>
  <c r="BB91" i="125"/>
  <c r="CB41" i="118" a="1"/>
  <c r="AZ25" i="125"/>
  <c r="G183" i="125"/>
  <c r="BA26" i="125"/>
  <c r="I105" i="125"/>
  <c r="BB49" i="125"/>
  <c r="BB266" i="125"/>
  <c r="BA149" i="125" a="1"/>
  <c r="I306" i="125" a="1"/>
  <c r="J29" i="125"/>
  <c r="CB21" i="117" a="1"/>
  <c r="BA148" i="125" a="1"/>
  <c r="BA27" i="125"/>
  <c r="BA16" i="125"/>
  <c r="BB128" i="125"/>
  <c r="BA69" i="125" a="1"/>
  <c r="BA95" i="125"/>
  <c r="I95" i="125"/>
  <c r="CB44" i="118" a="1"/>
  <c r="BA185" i="125"/>
  <c r="H148" i="125" a="1"/>
  <c r="CB13" i="118" a="1"/>
  <c r="J286" i="125"/>
  <c r="CB13" i="117" a="1"/>
  <c r="I26" i="125"/>
  <c r="I149" i="125" a="1"/>
  <c r="CB21" i="119" a="1"/>
  <c r="BB12" i="125"/>
  <c r="CB26" i="117" a="1"/>
  <c r="BB170" i="125"/>
  <c r="BA307" i="125" a="1"/>
  <c r="BA253" i="125"/>
  <c r="BA263" i="125"/>
  <c r="H227" i="125" a="1"/>
  <c r="J12" i="125"/>
  <c r="BB187" i="125"/>
  <c r="BA105" i="125"/>
  <c r="H25" i="125"/>
  <c r="I27" i="125"/>
  <c r="J49" i="125"/>
  <c r="CB44" i="117" a="1"/>
  <c r="BB108" i="125"/>
  <c r="BA70" i="125" a="1"/>
  <c r="J170" i="125"/>
  <c r="CB41" i="119" a="1"/>
  <c r="AZ183" i="125"/>
  <c r="G25" i="125"/>
  <c r="H228" i="125" a="1"/>
  <c r="BB286" i="125"/>
  <c r="CB26" i="118" a="1"/>
  <c r="I148" i="125" a="1"/>
  <c r="I70" i="125" a="1"/>
  <c r="CB46" i="118" a="1"/>
  <c r="CB44" i="67" a="1"/>
  <c r="J108" i="125"/>
  <c r="BA227" i="125" a="1"/>
  <c r="CB44" i="119" a="1"/>
  <c r="J187" i="125"/>
  <c r="J128" i="125"/>
  <c r="H69" i="125" a="1"/>
  <c r="H262" i="125"/>
  <c r="G262" i="125"/>
  <c r="I69" i="125" a="1"/>
  <c r="I16" i="125"/>
  <c r="J249" i="125"/>
  <c r="I185" i="125"/>
  <c r="AZ104" i="125"/>
  <c r="BB29" i="125"/>
  <c r="CB41" i="117" a="1"/>
  <c r="I174" i="125"/>
  <c r="CB26" i="119" a="1"/>
  <c r="CB46" i="119" a="1"/>
  <c r="CC13" i="67" a="1"/>
  <c r="I106" i="125"/>
  <c r="H70" i="125" a="1"/>
  <c r="I307" i="125" a="1"/>
  <c r="I184" i="125"/>
  <c r="CB13" i="119" a="1"/>
  <c r="CB21" i="118" a="1"/>
  <c r="BA228" i="125" a="1"/>
  <c r="H307" i="125" a="1"/>
  <c r="BA174" i="125"/>
  <c r="I227" i="125" a="1"/>
  <c r="BB249" i="125"/>
  <c r="CB46" i="117" a="1"/>
  <c r="H149" i="125" a="1"/>
  <c r="BA306" i="125" a="1"/>
  <c r="H183" i="125"/>
  <c r="H306" i="125" a="1"/>
  <c r="J266" i="125"/>
  <c r="BB207" i="125"/>
  <c r="I264" i="125"/>
  <c r="J91" i="125"/>
  <c r="AZ262" i="125"/>
  <c r="BA184" i="125"/>
  <c r="I263" i="125"/>
  <c r="J207" i="125"/>
  <c r="BA264" i="125"/>
  <c r="I253" i="125"/>
  <c r="AW252" i="126" l="1"/>
  <c r="AW254" i="126" s="1"/>
  <c r="Q252" i="126"/>
  <c r="Q254" i="126" s="1"/>
  <c r="AQ252" i="126"/>
  <c r="AQ254" i="126" s="1"/>
  <c r="K252" i="126"/>
  <c r="K254" i="126" s="1"/>
  <c r="AR173" i="126"/>
  <c r="AR175" i="126" s="1"/>
  <c r="L173" i="126"/>
  <c r="L175" i="126" s="1"/>
  <c r="N15" i="126"/>
  <c r="N17" i="126" s="1"/>
  <c r="AT15" i="126"/>
  <c r="AT17" i="126" s="1"/>
  <c r="AQ94" i="126"/>
  <c r="AQ96" i="126" s="1"/>
  <c r="K94" i="126"/>
  <c r="K96" i="126" s="1"/>
  <c r="AQ173" i="126"/>
  <c r="AQ175" i="126" s="1"/>
  <c r="K173" i="126"/>
  <c r="K175" i="126" s="1"/>
  <c r="W94" i="126"/>
  <c r="W96" i="126" s="1"/>
  <c r="BC94" i="126"/>
  <c r="BC96" i="126" s="1"/>
  <c r="BF94" i="126"/>
  <c r="BF96" i="126" s="1"/>
  <c r="BF124" i="126" s="1"/>
  <c r="Z94" i="126"/>
  <c r="Z96" i="126" s="1"/>
  <c r="Z124" i="126" s="1"/>
  <c r="Z252" i="126"/>
  <c r="Z254" i="126" s="1"/>
  <c r="Z282" i="126" s="1"/>
  <c r="BF252" i="126"/>
  <c r="BF254" i="126" s="1"/>
  <c r="BF282" i="126" s="1"/>
  <c r="X252" i="126"/>
  <c r="X254" i="126" s="1"/>
  <c r="BD252" i="126"/>
  <c r="BD254" i="126" s="1"/>
  <c r="AZ252" i="126"/>
  <c r="AZ254" i="126" s="1"/>
  <c r="T252" i="126"/>
  <c r="T254" i="126" s="1"/>
  <c r="AW94" i="126"/>
  <c r="AW96" i="126" s="1"/>
  <c r="Q94" i="126"/>
  <c r="Q96" i="126" s="1"/>
  <c r="X15" i="126"/>
  <c r="X17" i="126" s="1"/>
  <c r="BD15" i="126"/>
  <c r="BD17" i="126" s="1"/>
  <c r="H169" i="126"/>
  <c r="H226" i="126" s="1"/>
  <c r="AN169" i="126"/>
  <c r="AN226" i="126" s="1"/>
  <c r="Z104" i="126"/>
  <c r="BF25" i="126"/>
  <c r="AA148" i="126" a="1"/>
  <c r="AA148" i="126" s="1"/>
  <c r="AA149" i="126" a="1"/>
  <c r="AA149" i="126" s="1"/>
  <c r="AA95" i="126"/>
  <c r="AA106" i="126"/>
  <c r="AA105" i="126"/>
  <c r="AV94" i="126"/>
  <c r="AV96" i="126" s="1"/>
  <c r="P94" i="126"/>
  <c r="P96" i="126" s="1"/>
  <c r="AO173" i="126"/>
  <c r="AO175" i="126" s="1"/>
  <c r="I173" i="126"/>
  <c r="I175" i="126" s="1"/>
  <c r="X94" i="126"/>
  <c r="X96" i="126" s="1"/>
  <c r="BD94" i="126"/>
  <c r="BD96" i="126" s="1"/>
  <c r="AT252" i="126"/>
  <c r="AT254" i="126" s="1"/>
  <c r="N252" i="126"/>
  <c r="N254" i="126" s="1"/>
  <c r="J252" i="126"/>
  <c r="J254" i="126" s="1"/>
  <c r="AP252" i="126"/>
  <c r="AP254" i="126" s="1"/>
  <c r="W252" i="126"/>
  <c r="W254" i="126" s="1"/>
  <c r="BC252" i="126"/>
  <c r="BC254" i="126" s="1"/>
  <c r="AV15" i="126"/>
  <c r="AV17" i="126" s="1"/>
  <c r="P15" i="126"/>
  <c r="P17" i="126" s="1"/>
  <c r="P173" i="126"/>
  <c r="P175" i="126" s="1"/>
  <c r="AV173" i="126"/>
  <c r="AV175" i="126" s="1"/>
  <c r="BA94" i="126"/>
  <c r="BA96" i="126" s="1"/>
  <c r="U94" i="126"/>
  <c r="U96" i="126" s="1"/>
  <c r="AM15" i="125"/>
  <c r="AM17" i="125" s="1"/>
  <c r="G15" i="125"/>
  <c r="G17" i="125" s="1"/>
  <c r="G44" i="125" s="1"/>
  <c r="T173" i="126"/>
  <c r="T175" i="126" s="1"/>
  <c r="AZ173" i="126"/>
  <c r="AZ175" i="126" s="1"/>
  <c r="BE173" i="126"/>
  <c r="BE175" i="126" s="1"/>
  <c r="BE202" i="126" s="1"/>
  <c r="Y173" i="126"/>
  <c r="Y175" i="126" s="1"/>
  <c r="BA252" i="126"/>
  <c r="BA254" i="126" s="1"/>
  <c r="U252" i="126"/>
  <c r="U254" i="126" s="1"/>
  <c r="BC173" i="126"/>
  <c r="BC175" i="126" s="1"/>
  <c r="W173" i="126"/>
  <c r="W175" i="126" s="1"/>
  <c r="T94" i="126"/>
  <c r="T96" i="126" s="1"/>
  <c r="AZ94" i="126"/>
  <c r="AZ96" i="126" s="1"/>
  <c r="O94" i="126"/>
  <c r="O96" i="126" s="1"/>
  <c r="AU94" i="126"/>
  <c r="AU96" i="126" s="1"/>
  <c r="H11" i="126"/>
  <c r="H68" i="126" s="1"/>
  <c r="AN11" i="126"/>
  <c r="AN68" i="126" s="1"/>
  <c r="BG95" i="126"/>
  <c r="BG148" i="126" a="1"/>
  <c r="BG148" i="126" s="1"/>
  <c r="BG105" i="126"/>
  <c r="BG149" i="126" a="1"/>
  <c r="BG149" i="126" s="1"/>
  <c r="BG106" i="126"/>
  <c r="BF262" i="126"/>
  <c r="BF104" i="126"/>
  <c r="AA306" i="126" a="1"/>
  <c r="AA306" i="126" s="1"/>
  <c r="AA264" i="126"/>
  <c r="AA307" i="126" a="1"/>
  <c r="AA307" i="126" s="1"/>
  <c r="AA263" i="126"/>
  <c r="AA253" i="126"/>
  <c r="M173" i="126"/>
  <c r="M175" i="126" s="1"/>
  <c r="AS173" i="126"/>
  <c r="AS175" i="126" s="1"/>
  <c r="AW173" i="126"/>
  <c r="AW175" i="126" s="1"/>
  <c r="Q173" i="126"/>
  <c r="Q175" i="126" s="1"/>
  <c r="W15" i="126"/>
  <c r="W17" i="126" s="1"/>
  <c r="BC15" i="126"/>
  <c r="BC17" i="126" s="1"/>
  <c r="M252" i="126"/>
  <c r="M254" i="126" s="1"/>
  <c r="AS252" i="126"/>
  <c r="AS254" i="126" s="1"/>
  <c r="V173" i="126"/>
  <c r="V175" i="126" s="1"/>
  <c r="BB173" i="126"/>
  <c r="BB175" i="126" s="1"/>
  <c r="H173" i="126"/>
  <c r="AN173" i="126"/>
  <c r="Y15" i="126"/>
  <c r="Y17" i="126" s="1"/>
  <c r="Y44" i="126" s="1"/>
  <c r="BE15" i="126"/>
  <c r="BE17" i="126" s="1"/>
  <c r="BE44" i="126" s="1"/>
  <c r="AY173" i="126"/>
  <c r="AY175" i="126" s="1"/>
  <c r="S173" i="126"/>
  <c r="S175" i="126" s="1"/>
  <c r="AM94" i="125"/>
  <c r="AM96" i="125" s="1"/>
  <c r="G94" i="125"/>
  <c r="G96" i="125" s="1"/>
  <c r="AX15" i="126"/>
  <c r="AX17" i="126" s="1"/>
  <c r="R15" i="126"/>
  <c r="R17" i="126" s="1"/>
  <c r="O173" i="126"/>
  <c r="O175" i="126" s="1"/>
  <c r="AU173" i="126"/>
  <c r="AU175" i="126" s="1"/>
  <c r="L15" i="126"/>
  <c r="L17" i="126" s="1"/>
  <c r="AR15" i="126"/>
  <c r="AR17" i="126" s="1"/>
  <c r="AY94" i="126"/>
  <c r="AY96" i="126" s="1"/>
  <c r="S94" i="126"/>
  <c r="S96" i="126" s="1"/>
  <c r="N173" i="126"/>
  <c r="N175" i="126" s="1"/>
  <c r="AT173" i="126"/>
  <c r="AT175" i="126" s="1"/>
  <c r="O252" i="126"/>
  <c r="O254" i="126" s="1"/>
  <c r="AU252" i="126"/>
  <c r="AU254" i="126" s="1"/>
  <c r="H15" i="126"/>
  <c r="AN15" i="126"/>
  <c r="BG70" i="126" a="1"/>
  <c r="BG70" i="126" s="1"/>
  <c r="BG26" i="126"/>
  <c r="BG27" i="126"/>
  <c r="BG16" i="126"/>
  <c r="BG69" i="126" a="1"/>
  <c r="BG69" i="126" s="1"/>
  <c r="Z262" i="126"/>
  <c r="BF173" i="126"/>
  <c r="BF175" i="126" s="1"/>
  <c r="BF203" i="126" s="1"/>
  <c r="Z173" i="126"/>
  <c r="Z175" i="126" s="1"/>
  <c r="Z203" i="126" s="1"/>
  <c r="Q15" i="126"/>
  <c r="Q17" i="126" s="1"/>
  <c r="AW15" i="126"/>
  <c r="AW17" i="126" s="1"/>
  <c r="AX94" i="126"/>
  <c r="AX96" i="126" s="1"/>
  <c r="R94" i="126"/>
  <c r="R96" i="126" s="1"/>
  <c r="Z15" i="126"/>
  <c r="Z17" i="126" s="1"/>
  <c r="Z45" i="126" s="1"/>
  <c r="BF15" i="126"/>
  <c r="BF17" i="126" s="1"/>
  <c r="BF45" i="126" s="1"/>
  <c r="AO252" i="126"/>
  <c r="AO254" i="126" s="1"/>
  <c r="I252" i="126"/>
  <c r="I254" i="126" s="1"/>
  <c r="M15" i="126"/>
  <c r="M17" i="126" s="1"/>
  <c r="AS15" i="126"/>
  <c r="AS17" i="126" s="1"/>
  <c r="Y252" i="126"/>
  <c r="Y254" i="126" s="1"/>
  <c r="Y281" i="126" s="1"/>
  <c r="BE252" i="126"/>
  <c r="BE254" i="126" s="1"/>
  <c r="BE281" i="126" s="1"/>
  <c r="H94" i="126"/>
  <c r="AN94" i="126"/>
  <c r="AP15" i="126"/>
  <c r="AP17" i="126" s="1"/>
  <c r="J15" i="126"/>
  <c r="J17" i="126" s="1"/>
  <c r="L252" i="126"/>
  <c r="L254" i="126" s="1"/>
  <c r="AR252" i="126"/>
  <c r="AR254" i="126" s="1"/>
  <c r="L94" i="126"/>
  <c r="L96" i="126" s="1"/>
  <c r="AR94" i="126"/>
  <c r="AR96" i="126" s="1"/>
  <c r="BB94" i="126"/>
  <c r="BB96" i="126" s="1"/>
  <c r="V94" i="126"/>
  <c r="V96" i="126" s="1"/>
  <c r="K15" i="126"/>
  <c r="K17" i="126" s="1"/>
  <c r="AQ15" i="126"/>
  <c r="AQ17" i="126" s="1"/>
  <c r="J173" i="126"/>
  <c r="J175" i="126" s="1"/>
  <c r="AP173" i="126"/>
  <c r="AP175" i="126" s="1"/>
  <c r="AN248" i="126"/>
  <c r="AN305" i="126" s="1"/>
  <c r="H248" i="126"/>
  <c r="H305" i="126" s="1"/>
  <c r="AY15" i="126"/>
  <c r="AY17" i="126" s="1"/>
  <c r="S15" i="126"/>
  <c r="S17" i="126" s="1"/>
  <c r="R252" i="126"/>
  <c r="R254" i="126" s="1"/>
  <c r="AX252" i="126"/>
  <c r="AX254" i="126" s="1"/>
  <c r="T15" i="126"/>
  <c r="T17" i="126" s="1"/>
  <c r="AZ15" i="126"/>
  <c r="AZ17" i="126" s="1"/>
  <c r="AO94" i="126"/>
  <c r="AO96" i="126" s="1"/>
  <c r="I94" i="126"/>
  <c r="I96" i="126" s="1"/>
  <c r="P252" i="126"/>
  <c r="P254" i="126" s="1"/>
  <c r="AV252" i="126"/>
  <c r="AV254" i="126" s="1"/>
  <c r="O15" i="126"/>
  <c r="O17" i="126" s="1"/>
  <c r="AU15" i="126"/>
  <c r="AU17" i="126" s="1"/>
  <c r="V252" i="126"/>
  <c r="V254" i="126" s="1"/>
  <c r="BB252" i="126"/>
  <c r="BB254" i="126" s="1"/>
  <c r="AT94" i="126"/>
  <c r="AT96" i="126" s="1"/>
  <c r="N94" i="126"/>
  <c r="N96" i="126" s="1"/>
  <c r="X173" i="126"/>
  <c r="X175" i="126" s="1"/>
  <c r="BD173" i="126"/>
  <c r="BD175" i="126" s="1"/>
  <c r="H252" i="126"/>
  <c r="AN252" i="126"/>
  <c r="AM252" i="125"/>
  <c r="AM254" i="125" s="1"/>
  <c r="G252" i="125"/>
  <c r="G254" i="125" s="1"/>
  <c r="G281" i="125" s="1"/>
  <c r="I15" i="126"/>
  <c r="I17" i="126" s="1"/>
  <c r="AO15" i="126"/>
  <c r="AO17" i="126" s="1"/>
  <c r="H90" i="126"/>
  <c r="H147" i="126" s="1"/>
  <c r="AN90" i="126"/>
  <c r="AN147" i="126" s="1"/>
  <c r="BG264" i="126"/>
  <c r="BG263" i="126"/>
  <c r="BG253" i="126"/>
  <c r="BG307" i="126" a="1"/>
  <c r="BG307" i="126" s="1"/>
  <c r="BG306" i="126" a="1"/>
  <c r="BG306" i="126" s="1"/>
  <c r="AA173" i="126"/>
  <c r="BB15" i="126"/>
  <c r="BB17" i="126" s="1"/>
  <c r="V15" i="126"/>
  <c r="V17" i="126" s="1"/>
  <c r="J94" i="126"/>
  <c r="J96" i="126" s="1"/>
  <c r="AP94" i="126"/>
  <c r="AP96" i="126" s="1"/>
  <c r="BE94" i="126"/>
  <c r="BE96" i="126" s="1"/>
  <c r="BE123" i="126" s="1"/>
  <c r="Y94" i="126"/>
  <c r="Y96" i="126" s="1"/>
  <c r="BG228" i="126" a="1"/>
  <c r="BG228" i="126" s="1"/>
  <c r="BG174" i="126"/>
  <c r="BG227" i="126" a="1"/>
  <c r="BG227" i="126" s="1"/>
  <c r="BG185" i="126"/>
  <c r="BG184" i="126"/>
  <c r="BF183" i="126"/>
  <c r="AB302" i="126"/>
  <c r="AB301" i="126"/>
  <c r="AB252" i="126"/>
  <c r="AB223" i="126"/>
  <c r="AB222" i="126"/>
  <c r="AB144" i="126"/>
  <c r="AB173" i="126"/>
  <c r="AB143" i="126"/>
  <c r="AB94" i="126"/>
  <c r="AB65" i="126"/>
  <c r="AB15" i="126"/>
  <c r="AB64" i="126"/>
  <c r="AC8" i="126"/>
  <c r="AB249" i="126"/>
  <c r="AB170" i="126"/>
  <c r="AB91" i="126"/>
  <c r="AB12" i="126"/>
  <c r="BG15" i="126"/>
  <c r="BG173" i="126"/>
  <c r="AA15" i="126"/>
  <c r="AA252" i="126"/>
  <c r="BA173" i="126"/>
  <c r="BA175" i="126" s="1"/>
  <c r="U173" i="126"/>
  <c r="U175" i="126" s="1"/>
  <c r="M94" i="126"/>
  <c r="M96" i="126" s="1"/>
  <c r="AS94" i="126"/>
  <c r="AS96" i="126" s="1"/>
  <c r="U15" i="126"/>
  <c r="U17" i="126" s="1"/>
  <c r="BA15" i="126"/>
  <c r="BA17" i="126" s="1"/>
  <c r="S252" i="126"/>
  <c r="S254" i="126" s="1"/>
  <c r="AY252" i="126"/>
  <c r="AY254" i="126" s="1"/>
  <c r="AX173" i="126"/>
  <c r="AX175" i="126" s="1"/>
  <c r="R173" i="126"/>
  <c r="R175" i="126" s="1"/>
  <c r="AM173" i="125"/>
  <c r="AM175" i="125" s="1"/>
  <c r="G173" i="125"/>
  <c r="G175" i="125" s="1"/>
  <c r="G203" i="125" s="1"/>
  <c r="BH301" i="126"/>
  <c r="BH302" i="126"/>
  <c r="BH252" i="126"/>
  <c r="BH222" i="126"/>
  <c r="BH223" i="126"/>
  <c r="BH173" i="126"/>
  <c r="BH143" i="126"/>
  <c r="BH144" i="126"/>
  <c r="BH94" i="126"/>
  <c r="BH65" i="126"/>
  <c r="BH64" i="126"/>
  <c r="BI8" i="126"/>
  <c r="BH15" i="126"/>
  <c r="BH249" i="126"/>
  <c r="BH170" i="126"/>
  <c r="BH12" i="126"/>
  <c r="BH91" i="126"/>
  <c r="BG94" i="126"/>
  <c r="BG252" i="126"/>
  <c r="Z25" i="126"/>
  <c r="AA227" i="126" a="1"/>
  <c r="AA227" i="126" s="1"/>
  <c r="AA228" i="126" a="1"/>
  <c r="AA228" i="126" s="1"/>
  <c r="AA184" i="126"/>
  <c r="AA185" i="126"/>
  <c r="AA174" i="126"/>
  <c r="AA94" i="126"/>
  <c r="AA26" i="126"/>
  <c r="AA27" i="126"/>
  <c r="AA16" i="126"/>
  <c r="AA69" i="126" a="1"/>
  <c r="AA69" i="126" s="1"/>
  <c r="AA70" i="126" a="1"/>
  <c r="AA70" i="126" s="1"/>
  <c r="Z183" i="126"/>
  <c r="H306" i="125"/>
  <c r="BB292" i="125"/>
  <c r="BA148" i="125"/>
  <c r="I227" i="125"/>
  <c r="H70" i="125"/>
  <c r="I149" i="125"/>
  <c r="H149" i="125"/>
  <c r="BA307" i="125"/>
  <c r="BA228" i="125"/>
  <c r="H148" i="125"/>
  <c r="J55" i="125"/>
  <c r="BA306" i="125"/>
  <c r="BA149" i="125"/>
  <c r="I69" i="125"/>
  <c r="I70" i="125"/>
  <c r="H69" i="125"/>
  <c r="BA69" i="125"/>
  <c r="I307" i="125"/>
  <c r="H228" i="125"/>
  <c r="I148" i="125"/>
  <c r="I228" i="125"/>
  <c r="I306" i="125"/>
  <c r="H307" i="125"/>
  <c r="J292" i="125"/>
  <c r="BB337" i="125"/>
  <c r="BB213" i="125"/>
  <c r="BA70" i="125"/>
  <c r="BB134" i="125"/>
  <c r="BA227" i="125"/>
  <c r="J337" i="125"/>
  <c r="H227" i="125"/>
  <c r="J134" i="125"/>
  <c r="J213" i="125"/>
  <c r="BB55" i="125"/>
  <c r="AR173" i="125"/>
  <c r="AR175" i="125" s="1"/>
  <c r="L173" i="125"/>
  <c r="K94" i="125"/>
  <c r="AQ94" i="125"/>
  <c r="AQ96" i="125" s="1"/>
  <c r="W94" i="125"/>
  <c r="BC94" i="125"/>
  <c r="BF252" i="120"/>
  <c r="BF252" i="125"/>
  <c r="Z252" i="125"/>
  <c r="X252" i="125"/>
  <c r="BD252" i="125"/>
  <c r="T252" i="125"/>
  <c r="AZ252" i="125"/>
  <c r="AZ254" i="125" s="1"/>
  <c r="Q94" i="125"/>
  <c r="AW94" i="125"/>
  <c r="AW96" i="125" s="1"/>
  <c r="X15" i="125"/>
  <c r="BD15" i="125"/>
  <c r="R15" i="125"/>
  <c r="AX15" i="125"/>
  <c r="AX17" i="125" s="1"/>
  <c r="BB94" i="125"/>
  <c r="V94" i="125"/>
  <c r="AQ15" i="125"/>
  <c r="AQ17" i="125" s="1"/>
  <c r="K15" i="125"/>
  <c r="AU173" i="125"/>
  <c r="AU175" i="125" s="1"/>
  <c r="O173" i="125"/>
  <c r="J173" i="125"/>
  <c r="AP173" i="125"/>
  <c r="AP175" i="125" s="1"/>
  <c r="AR15" i="125"/>
  <c r="AR17" i="125" s="1"/>
  <c r="L15" i="125"/>
  <c r="S94" i="125"/>
  <c r="AY94" i="125"/>
  <c r="AY96" i="125" s="1"/>
  <c r="AT173" i="125"/>
  <c r="AT175" i="125" s="1"/>
  <c r="N173" i="125"/>
  <c r="AU252" i="125"/>
  <c r="AU254" i="125" s="1"/>
  <c r="O252" i="125"/>
  <c r="H15" i="125"/>
  <c r="AN15" i="125"/>
  <c r="AN248" i="125"/>
  <c r="AN305" i="125" s="1"/>
  <c r="H248" i="125"/>
  <c r="H305" i="125" s="1"/>
  <c r="S15" i="125"/>
  <c r="AY15" i="125"/>
  <c r="AY17" i="125" s="1"/>
  <c r="AB301" i="125"/>
  <c r="AB302" i="125"/>
  <c r="AB252" i="125"/>
  <c r="AB222" i="125"/>
  <c r="AB223" i="125"/>
  <c r="AB173" i="125"/>
  <c r="AB144" i="125"/>
  <c r="AB143" i="125"/>
  <c r="AB94" i="125"/>
  <c r="AB65" i="125"/>
  <c r="AB64" i="125"/>
  <c r="AC8" i="125"/>
  <c r="AB15" i="125"/>
  <c r="AN90" i="125"/>
  <c r="AN147" i="125" s="1"/>
  <c r="H90" i="125"/>
  <c r="H147" i="125" s="1"/>
  <c r="AX252" i="125"/>
  <c r="AX254" i="125" s="1"/>
  <c r="R252" i="125"/>
  <c r="T15" i="125"/>
  <c r="AZ15" i="125"/>
  <c r="AZ17" i="125" s="1"/>
  <c r="AO94" i="125"/>
  <c r="AO96" i="125" s="1"/>
  <c r="I94" i="125"/>
  <c r="I96" i="125" s="1"/>
  <c r="AV252" i="125"/>
  <c r="AV254" i="125" s="1"/>
  <c r="P252" i="125"/>
  <c r="AU15" i="125"/>
  <c r="AU17" i="125" s="1"/>
  <c r="O15" i="125"/>
  <c r="BB252" i="125"/>
  <c r="V252" i="125"/>
  <c r="AT94" i="125"/>
  <c r="AT96" i="125" s="1"/>
  <c r="N94" i="125"/>
  <c r="X173" i="125"/>
  <c r="BD173" i="125"/>
  <c r="AN252" i="125"/>
  <c r="H252" i="125"/>
  <c r="AO15" i="125"/>
  <c r="AO17" i="125" s="1"/>
  <c r="I15" i="125"/>
  <c r="I17" i="125" s="1"/>
  <c r="BB15" i="125"/>
  <c r="V15" i="125"/>
  <c r="Z173" i="124"/>
  <c r="BF173" i="125"/>
  <c r="Z173" i="125"/>
  <c r="AP94" i="125"/>
  <c r="AP96" i="125" s="1"/>
  <c r="J94" i="125"/>
  <c r="Q15" i="125"/>
  <c r="AW15" i="125"/>
  <c r="AW17" i="125" s="1"/>
  <c r="U173" i="125"/>
  <c r="BA173" i="125"/>
  <c r="BA175" i="125" s="1"/>
  <c r="BE94" i="125"/>
  <c r="Y94" i="125"/>
  <c r="AV94" i="125"/>
  <c r="AV96" i="125" s="1"/>
  <c r="P94" i="125"/>
  <c r="AX94" i="125"/>
  <c r="AX96" i="125" s="1"/>
  <c r="R94" i="125"/>
  <c r="I173" i="125"/>
  <c r="I175" i="125" s="1"/>
  <c r="AO173" i="125"/>
  <c r="AO175" i="125" s="1"/>
  <c r="BD94" i="125"/>
  <c r="X94" i="125"/>
  <c r="BG252" i="125"/>
  <c r="AS94" i="125"/>
  <c r="AS96" i="125" s="1"/>
  <c r="M94" i="125"/>
  <c r="U15" i="125"/>
  <c r="BA15" i="125"/>
  <c r="BA17" i="125" s="1"/>
  <c r="AO252" i="125"/>
  <c r="AO254" i="125" s="1"/>
  <c r="I252" i="125"/>
  <c r="I254" i="125" s="1"/>
  <c r="AY252" i="125"/>
  <c r="AY254" i="125" s="1"/>
  <c r="S252" i="125"/>
  <c r="BG94" i="125"/>
  <c r="BG173" i="125"/>
  <c r="BG15" i="125"/>
  <c r="AT252" i="125"/>
  <c r="AT254" i="125" s="1"/>
  <c r="N252" i="125"/>
  <c r="AP252" i="125"/>
  <c r="AP254" i="125" s="1"/>
  <c r="J252" i="125"/>
  <c r="AS15" i="125"/>
  <c r="AS17" i="125" s="1"/>
  <c r="M15" i="125"/>
  <c r="AN94" i="125"/>
  <c r="H94" i="125"/>
  <c r="M173" i="125"/>
  <c r="AS173" i="125"/>
  <c r="AS175" i="125" s="1"/>
  <c r="Q173" i="125"/>
  <c r="AW173" i="125"/>
  <c r="AW175" i="125" s="1"/>
  <c r="BB173" i="125"/>
  <c r="V173" i="125"/>
  <c r="AP15" i="125"/>
  <c r="AP17" i="125" s="1"/>
  <c r="J15" i="125"/>
  <c r="AR252" i="125"/>
  <c r="AR254" i="125" s="1"/>
  <c r="L252" i="125"/>
  <c r="Y15" i="125"/>
  <c r="BE15" i="125"/>
  <c r="AR94" i="125"/>
  <c r="AR96" i="125" s="1"/>
  <c r="L94" i="125"/>
  <c r="AQ173" i="125"/>
  <c r="AQ175" i="125" s="1"/>
  <c r="K173" i="125"/>
  <c r="BH302" i="125"/>
  <c r="BH301" i="125"/>
  <c r="BH252" i="125"/>
  <c r="BH222" i="125"/>
  <c r="BH223" i="125"/>
  <c r="BH173" i="125"/>
  <c r="BH143" i="125"/>
  <c r="BH144" i="125"/>
  <c r="BH64" i="125"/>
  <c r="BH94" i="125"/>
  <c r="BI8" i="125"/>
  <c r="BH15" i="125"/>
  <c r="BH65" i="125"/>
  <c r="Z15" i="124"/>
  <c r="Z15" i="125"/>
  <c r="BF15" i="125"/>
  <c r="BE252" i="125"/>
  <c r="Y252" i="125"/>
  <c r="R173" i="125"/>
  <c r="AX173" i="125"/>
  <c r="AX175" i="125" s="1"/>
  <c r="W15" i="125"/>
  <c r="BC15" i="125"/>
  <c r="AS252" i="125"/>
  <c r="AS254" i="125" s="1"/>
  <c r="M252" i="125"/>
  <c r="AN173" i="125"/>
  <c r="H173" i="125"/>
  <c r="AW252" i="125"/>
  <c r="AW254" i="125" s="1"/>
  <c r="Q252" i="125"/>
  <c r="K252" i="125"/>
  <c r="AQ252" i="125"/>
  <c r="AQ254" i="125" s="1"/>
  <c r="S173" i="125"/>
  <c r="AY173" i="125"/>
  <c r="AY175" i="125" s="1"/>
  <c r="AT15" i="125"/>
  <c r="AT17" i="125" s="1"/>
  <c r="N15" i="125"/>
  <c r="BF94" i="120"/>
  <c r="Z94" i="125"/>
  <c r="BF94" i="125"/>
  <c r="AN169" i="125"/>
  <c r="AN226" i="125" s="1"/>
  <c r="H169" i="125"/>
  <c r="H226" i="125" s="1"/>
  <c r="W252" i="125"/>
  <c r="BC252" i="125"/>
  <c r="P15" i="125"/>
  <c r="AV15" i="125"/>
  <c r="AV17" i="125" s="1"/>
  <c r="P173" i="125"/>
  <c r="AV173" i="125"/>
  <c r="AV175" i="125" s="1"/>
  <c r="BA94" i="125"/>
  <c r="BA96" i="125" s="1"/>
  <c r="U94" i="125"/>
  <c r="AZ173" i="125"/>
  <c r="AZ175" i="125" s="1"/>
  <c r="T173" i="125"/>
  <c r="BE173" i="125"/>
  <c r="Y173" i="125"/>
  <c r="BA252" i="125"/>
  <c r="BA254" i="125" s="1"/>
  <c r="U252" i="125"/>
  <c r="W173" i="125"/>
  <c r="BC173" i="125"/>
  <c r="AZ94" i="125"/>
  <c r="AZ96" i="125" s="1"/>
  <c r="T94" i="125"/>
  <c r="O94" i="125"/>
  <c r="AU94" i="125"/>
  <c r="AU96" i="125" s="1"/>
  <c r="AN11" i="125"/>
  <c r="AN68" i="125" s="1"/>
  <c r="H11" i="125"/>
  <c r="H68" i="125" s="1"/>
  <c r="BG302" i="120"/>
  <c r="BG252" i="120"/>
  <c r="BG301" i="120"/>
  <c r="BG223" i="120"/>
  <c r="BG222" i="120"/>
  <c r="BG143" i="120"/>
  <c r="BG144" i="120"/>
  <c r="BG173" i="120"/>
  <c r="BG170" i="120"/>
  <c r="BG249" i="120"/>
  <c r="BF148" i="124" a="1"/>
  <c r="BF148" i="124" s="1"/>
  <c r="BF149" i="124" a="1"/>
  <c r="BF149" i="124" s="1"/>
  <c r="BF105" i="124"/>
  <c r="BF95" i="124"/>
  <c r="BF106" i="124"/>
  <c r="BF94" i="124"/>
  <c r="Z227" i="124" a="1"/>
  <c r="Z227" i="124" s="1"/>
  <c r="Z228" i="124" a="1"/>
  <c r="Z228" i="124" s="1"/>
  <c r="Z185" i="124"/>
  <c r="Z184" i="124"/>
  <c r="Z174" i="124"/>
  <c r="Z175" i="124" s="1"/>
  <c r="AA302" i="124"/>
  <c r="AA301" i="124"/>
  <c r="AA252" i="124"/>
  <c r="AA223" i="124"/>
  <c r="AA222" i="124"/>
  <c r="AA173" i="124"/>
  <c r="AA144" i="124"/>
  <c r="AA143" i="124"/>
  <c r="AA64" i="124"/>
  <c r="AA94" i="124"/>
  <c r="AA65" i="124"/>
  <c r="AB8" i="124"/>
  <c r="AA15" i="124"/>
  <c r="AA249" i="124"/>
  <c r="AA170" i="124"/>
  <c r="AA12" i="124"/>
  <c r="AA91" i="124"/>
  <c r="BE262" i="120"/>
  <c r="AO252" i="120"/>
  <c r="AO254" i="120" s="1"/>
  <c r="AO252" i="124"/>
  <c r="AO254" i="124" s="1"/>
  <c r="AO266" i="124" s="1"/>
  <c r="I252" i="124"/>
  <c r="I254" i="124" s="1"/>
  <c r="I266" i="124" s="1"/>
  <c r="K252" i="124"/>
  <c r="K254" i="124" s="1"/>
  <c r="AQ252" i="120"/>
  <c r="AQ254" i="120" s="1"/>
  <c r="AQ252" i="124"/>
  <c r="AQ254" i="124" s="1"/>
  <c r="S173" i="124"/>
  <c r="S175" i="124" s="1"/>
  <c r="AY173" i="124"/>
  <c r="AY175" i="124" s="1"/>
  <c r="AY173" i="120"/>
  <c r="AY175" i="120" s="1"/>
  <c r="BF26" i="124"/>
  <c r="BF27" i="124"/>
  <c r="BF69" i="124" a="1"/>
  <c r="BF69" i="124" s="1"/>
  <c r="BF16" i="124"/>
  <c r="BF70" i="124" a="1"/>
  <c r="BF70" i="124" s="1"/>
  <c r="Y262" i="124"/>
  <c r="Y183" i="124"/>
  <c r="Z70" i="124" a="1"/>
  <c r="Z70" i="124" s="1"/>
  <c r="Z27" i="124"/>
  <c r="Z69" i="124" a="1"/>
  <c r="Z69" i="124" s="1"/>
  <c r="Z26" i="124"/>
  <c r="Z16" i="124"/>
  <c r="BE25" i="124"/>
  <c r="AP252" i="124"/>
  <c r="AP254" i="124" s="1"/>
  <c r="AP252" i="120"/>
  <c r="AP254" i="120" s="1"/>
  <c r="J252" i="124"/>
  <c r="J254" i="124" s="1"/>
  <c r="AY252" i="120"/>
  <c r="AY254" i="120" s="1"/>
  <c r="AY252" i="124"/>
  <c r="AY254" i="124" s="1"/>
  <c r="S252" i="124"/>
  <c r="S254" i="124" s="1"/>
  <c r="AS173" i="124"/>
  <c r="AS175" i="124" s="1"/>
  <c r="M173" i="124"/>
  <c r="M175" i="124" s="1"/>
  <c r="AS173" i="120"/>
  <c r="AS175" i="120" s="1"/>
  <c r="BE15" i="124"/>
  <c r="BE17" i="124" s="1"/>
  <c r="BE46" i="124" s="1"/>
  <c r="Y15" i="124"/>
  <c r="Y17" i="124" s="1"/>
  <c r="Y46" i="124" s="1"/>
  <c r="AR94" i="124"/>
  <c r="AR96" i="124" s="1"/>
  <c r="L94" i="124"/>
  <c r="L96" i="124" s="1"/>
  <c r="BF307" i="124" a="1"/>
  <c r="BF307" i="124" s="1"/>
  <c r="BF253" i="124"/>
  <c r="BF264" i="124"/>
  <c r="BF306" i="124" a="1"/>
  <c r="BF306" i="124" s="1"/>
  <c r="BF263" i="124"/>
  <c r="BF228" i="120" a="1"/>
  <c r="BF228" i="120" s="1"/>
  <c r="BF227" i="120" a="1"/>
  <c r="BF227" i="120" s="1"/>
  <c r="BF184" i="120"/>
  <c r="BF185" i="120"/>
  <c r="BF174" i="120"/>
  <c r="BF173" i="120"/>
  <c r="Z307" i="124" a="1"/>
  <c r="Z307" i="124" s="1"/>
  <c r="Z263" i="124"/>
  <c r="Z253" i="124"/>
  <c r="Z306" i="124" a="1"/>
  <c r="Z306" i="124" s="1"/>
  <c r="Z264" i="124"/>
  <c r="BE183" i="124"/>
  <c r="AS94" i="124"/>
  <c r="AS96" i="124" s="1"/>
  <c r="M94" i="124"/>
  <c r="M96" i="124" s="1"/>
  <c r="M15" i="124"/>
  <c r="M17" i="124" s="1"/>
  <c r="AS15" i="124"/>
  <c r="AS17" i="124" s="1"/>
  <c r="H94" i="124"/>
  <c r="AN94" i="124"/>
  <c r="X252" i="124"/>
  <c r="X254" i="124" s="1"/>
  <c r="X281" i="124" s="1"/>
  <c r="BD252" i="124"/>
  <c r="BD254" i="124" s="1"/>
  <c r="BD281" i="124" s="1"/>
  <c r="BD252" i="120"/>
  <c r="BD254" i="120" s="1"/>
  <c r="BD281" i="120" s="1"/>
  <c r="AW94" i="124"/>
  <c r="AW96" i="124" s="1"/>
  <c r="Q94" i="124"/>
  <c r="Q96" i="124" s="1"/>
  <c r="BC252" i="120"/>
  <c r="BC254" i="120" s="1"/>
  <c r="BC252" i="124"/>
  <c r="BC254" i="124" s="1"/>
  <c r="W252" i="124"/>
  <c r="W254" i="124" s="1"/>
  <c r="AV15" i="124"/>
  <c r="AV17" i="124" s="1"/>
  <c r="P15" i="124"/>
  <c r="P17" i="124" s="1"/>
  <c r="P173" i="124"/>
  <c r="P175" i="124" s="1"/>
  <c r="AV173" i="120"/>
  <c r="AV175" i="120" s="1"/>
  <c r="AV173" i="124"/>
  <c r="AV175" i="124" s="1"/>
  <c r="BA94" i="124"/>
  <c r="BA96" i="124" s="1"/>
  <c r="U94" i="124"/>
  <c r="U96" i="124" s="1"/>
  <c r="AZ173" i="124"/>
  <c r="AZ175" i="124" s="1"/>
  <c r="T173" i="124"/>
  <c r="T175" i="124" s="1"/>
  <c r="AZ173" i="120"/>
  <c r="AZ175" i="120" s="1"/>
  <c r="BE173" i="124"/>
  <c r="BE175" i="124" s="1"/>
  <c r="BE203" i="124" s="1"/>
  <c r="BE173" i="120"/>
  <c r="BE175" i="120" s="1"/>
  <c r="BE203" i="120" s="1"/>
  <c r="Y173" i="124"/>
  <c r="Y175" i="124" s="1"/>
  <c r="Y203" i="124" s="1"/>
  <c r="BA252" i="124"/>
  <c r="BA254" i="124" s="1"/>
  <c r="BA252" i="120"/>
  <c r="BA254" i="120" s="1"/>
  <c r="U252" i="124"/>
  <c r="U254" i="124" s="1"/>
  <c r="BC173" i="124"/>
  <c r="BC175" i="124" s="1"/>
  <c r="W173" i="124"/>
  <c r="W175" i="124" s="1"/>
  <c r="BC173" i="120"/>
  <c r="BC175" i="120" s="1"/>
  <c r="T94" i="124"/>
  <c r="T96" i="124" s="1"/>
  <c r="AZ94" i="124"/>
  <c r="AZ96" i="124" s="1"/>
  <c r="AU94" i="124"/>
  <c r="AU96" i="124" s="1"/>
  <c r="O94" i="124"/>
  <c r="O96" i="124" s="1"/>
  <c r="H11" i="124"/>
  <c r="H68" i="124" s="1"/>
  <c r="AN11" i="124"/>
  <c r="AN68" i="124" s="1"/>
  <c r="BF15" i="124"/>
  <c r="BF173" i="124"/>
  <c r="BF252" i="124"/>
  <c r="BF263" i="120"/>
  <c r="BF306" i="120" a="1"/>
  <c r="BF306" i="120" s="1"/>
  <c r="BF264" i="120"/>
  <c r="BF307" i="120" a="1"/>
  <c r="BF307" i="120" s="1"/>
  <c r="BF253" i="120"/>
  <c r="U15" i="124"/>
  <c r="U17" i="124" s="1"/>
  <c r="BA15" i="124"/>
  <c r="BA17" i="124" s="1"/>
  <c r="AW252" i="120"/>
  <c r="AW254" i="120" s="1"/>
  <c r="Q252" i="124"/>
  <c r="Q254" i="124" s="1"/>
  <c r="AW252" i="124"/>
  <c r="AW254" i="124" s="1"/>
  <c r="L173" i="124"/>
  <c r="L175" i="124" s="1"/>
  <c r="AR173" i="120"/>
  <c r="AR175" i="120" s="1"/>
  <c r="AR173" i="124"/>
  <c r="AR175" i="124" s="1"/>
  <c r="AT15" i="124"/>
  <c r="AT17" i="124" s="1"/>
  <c r="N15" i="124"/>
  <c r="N17" i="124" s="1"/>
  <c r="AQ94" i="124"/>
  <c r="AQ96" i="124" s="1"/>
  <c r="K94" i="124"/>
  <c r="K96" i="124" s="1"/>
  <c r="AQ173" i="120"/>
  <c r="AQ175" i="120" s="1"/>
  <c r="K173" i="124"/>
  <c r="K175" i="124" s="1"/>
  <c r="AQ173" i="124"/>
  <c r="AQ175" i="124" s="1"/>
  <c r="BC94" i="124"/>
  <c r="BC96" i="124" s="1"/>
  <c r="W94" i="124"/>
  <c r="W96" i="124" s="1"/>
  <c r="AZ252" i="120"/>
  <c r="AZ254" i="120" s="1"/>
  <c r="T252" i="124"/>
  <c r="T254" i="124" s="1"/>
  <c r="AZ252" i="124"/>
  <c r="AZ254" i="124" s="1"/>
  <c r="BD15" i="124"/>
  <c r="BD17" i="124" s="1"/>
  <c r="X15" i="124"/>
  <c r="X17" i="124" s="1"/>
  <c r="X44" i="124" s="1"/>
  <c r="BB94" i="124"/>
  <c r="BB96" i="124" s="1"/>
  <c r="V94" i="124"/>
  <c r="V96" i="124" s="1"/>
  <c r="AQ15" i="124"/>
  <c r="AQ17" i="124" s="1"/>
  <c r="K15" i="124"/>
  <c r="K17" i="124" s="1"/>
  <c r="AY94" i="124"/>
  <c r="AY96" i="124" s="1"/>
  <c r="S94" i="124"/>
  <c r="S96" i="124" s="1"/>
  <c r="AN15" i="124"/>
  <c r="H15" i="124"/>
  <c r="BG302" i="124"/>
  <c r="BG301" i="124"/>
  <c r="BG252" i="124"/>
  <c r="BG223" i="124"/>
  <c r="BG222" i="124"/>
  <c r="BG173" i="124"/>
  <c r="BG143" i="124"/>
  <c r="BG144" i="124"/>
  <c r="BG65" i="124"/>
  <c r="BG64" i="124"/>
  <c r="BG94" i="124"/>
  <c r="BH8" i="124"/>
  <c r="BG15" i="124"/>
  <c r="BG249" i="124"/>
  <c r="BG12" i="124"/>
  <c r="BG170" i="124"/>
  <c r="BG91" i="124"/>
  <c r="BE104" i="124"/>
  <c r="AN169" i="124"/>
  <c r="AN226" i="124" s="1"/>
  <c r="H169" i="124"/>
  <c r="H226" i="124" s="1"/>
  <c r="AN169" i="120"/>
  <c r="AN226" i="120" s="1"/>
  <c r="AX15" i="124"/>
  <c r="AX17" i="124" s="1"/>
  <c r="R15" i="124"/>
  <c r="R17" i="124" s="1"/>
  <c r="AU173" i="120"/>
  <c r="AU175" i="120" s="1"/>
  <c r="O173" i="124"/>
  <c r="O175" i="124" s="1"/>
  <c r="AU173" i="124"/>
  <c r="AU175" i="124" s="1"/>
  <c r="AP173" i="124"/>
  <c r="AP175" i="124" s="1"/>
  <c r="J173" i="124"/>
  <c r="J175" i="124" s="1"/>
  <c r="AP173" i="120"/>
  <c r="AP175" i="120" s="1"/>
  <c r="AR15" i="124"/>
  <c r="AR17" i="124" s="1"/>
  <c r="L15" i="124"/>
  <c r="L17" i="124" s="1"/>
  <c r="AT173" i="124"/>
  <c r="AT175" i="124" s="1"/>
  <c r="AT173" i="120"/>
  <c r="AT175" i="120" s="1"/>
  <c r="N173" i="124"/>
  <c r="N175" i="124" s="1"/>
  <c r="AU252" i="124"/>
  <c r="AU254" i="124" s="1"/>
  <c r="AU252" i="120"/>
  <c r="AU254" i="120" s="1"/>
  <c r="O252" i="124"/>
  <c r="O254" i="124" s="1"/>
  <c r="T15" i="124"/>
  <c r="T17" i="124" s="1"/>
  <c r="AZ15" i="124"/>
  <c r="AZ17" i="124" s="1"/>
  <c r="AV252" i="120"/>
  <c r="AV254" i="120" s="1"/>
  <c r="P252" i="124"/>
  <c r="P254" i="124" s="1"/>
  <c r="AV252" i="124"/>
  <c r="AV254" i="124" s="1"/>
  <c r="BB252" i="120"/>
  <c r="BB254" i="120" s="1"/>
  <c r="BB252" i="124"/>
  <c r="BB254" i="124" s="1"/>
  <c r="V252" i="124"/>
  <c r="V254" i="124" s="1"/>
  <c r="BD173" i="124"/>
  <c r="BD175" i="124" s="1"/>
  <c r="BD202" i="124" s="1"/>
  <c r="BD173" i="120"/>
  <c r="BD175" i="120" s="1"/>
  <c r="X173" i="124"/>
  <c r="X175" i="124" s="1"/>
  <c r="I15" i="124"/>
  <c r="I17" i="124" s="1"/>
  <c r="I29" i="124" s="1"/>
  <c r="AO15" i="124"/>
  <c r="AO17" i="124" s="1"/>
  <c r="AO29" i="124" s="1"/>
  <c r="AN90" i="124"/>
  <c r="AN147" i="124" s="1"/>
  <c r="H90" i="124"/>
  <c r="H147" i="124" s="1"/>
  <c r="BE262" i="124"/>
  <c r="Z94" i="124"/>
  <c r="Z252" i="124"/>
  <c r="Y104" i="124"/>
  <c r="AX173" i="124"/>
  <c r="AX175" i="124" s="1"/>
  <c r="R173" i="124"/>
  <c r="R175" i="124" s="1"/>
  <c r="AX173" i="120"/>
  <c r="AX175" i="120" s="1"/>
  <c r="Q173" i="124"/>
  <c r="Q175" i="124" s="1"/>
  <c r="AW173" i="120"/>
  <c r="AW175" i="120" s="1"/>
  <c r="AW173" i="124"/>
  <c r="AW175" i="124" s="1"/>
  <c r="BC15" i="124"/>
  <c r="BC17" i="124" s="1"/>
  <c r="W15" i="124"/>
  <c r="W17" i="124" s="1"/>
  <c r="AS252" i="124"/>
  <c r="AS254" i="124" s="1"/>
  <c r="M252" i="124"/>
  <c r="M254" i="124" s="1"/>
  <c r="AS252" i="120"/>
  <c r="AS254" i="120" s="1"/>
  <c r="BB173" i="120"/>
  <c r="BB175" i="120" s="1"/>
  <c r="V173" i="124"/>
  <c r="V175" i="124" s="1"/>
  <c r="BB173" i="124"/>
  <c r="BB175" i="124" s="1"/>
  <c r="AN173" i="120"/>
  <c r="AN175" i="120" s="1"/>
  <c r="H173" i="124"/>
  <c r="AN173" i="124"/>
  <c r="AP15" i="124"/>
  <c r="AP17" i="124" s="1"/>
  <c r="J15" i="124"/>
  <c r="J17" i="124" s="1"/>
  <c r="L252" i="124"/>
  <c r="L254" i="124" s="1"/>
  <c r="AR252" i="120"/>
  <c r="AR254" i="120" s="1"/>
  <c r="AR252" i="124"/>
  <c r="AR254" i="124" s="1"/>
  <c r="H248" i="124"/>
  <c r="H305" i="124" s="1"/>
  <c r="AN248" i="120"/>
  <c r="AN305" i="120" s="1"/>
  <c r="AN248" i="124"/>
  <c r="AN305" i="124" s="1"/>
  <c r="AY15" i="124"/>
  <c r="AY17" i="124" s="1"/>
  <c r="S15" i="124"/>
  <c r="S17" i="124" s="1"/>
  <c r="AX252" i="120"/>
  <c r="AX254" i="120" s="1"/>
  <c r="AX252" i="124"/>
  <c r="AX254" i="124" s="1"/>
  <c r="R252" i="124"/>
  <c r="R254" i="124" s="1"/>
  <c r="AO94" i="124"/>
  <c r="AO96" i="124" s="1"/>
  <c r="AO108" i="124" s="1"/>
  <c r="I94" i="124"/>
  <c r="I96" i="124" s="1"/>
  <c r="I108" i="124" s="1"/>
  <c r="AU15" i="124"/>
  <c r="AU17" i="124" s="1"/>
  <c r="O15" i="124"/>
  <c r="O17" i="124" s="1"/>
  <c r="AT94" i="124"/>
  <c r="AT96" i="124" s="1"/>
  <c r="N94" i="124"/>
  <c r="N96" i="124" s="1"/>
  <c r="H252" i="124"/>
  <c r="AN252" i="120"/>
  <c r="AN254" i="120" s="1"/>
  <c r="AN252" i="124"/>
  <c r="BB15" i="124"/>
  <c r="BB17" i="124" s="1"/>
  <c r="V15" i="124"/>
  <c r="V17" i="124" s="1"/>
  <c r="J94" i="124"/>
  <c r="J96" i="124" s="1"/>
  <c r="AP94" i="124"/>
  <c r="AP96" i="124" s="1"/>
  <c r="AW15" i="124"/>
  <c r="AW17" i="124" s="1"/>
  <c r="Q15" i="124"/>
  <c r="Q17" i="124" s="1"/>
  <c r="BA173" i="124"/>
  <c r="BA175" i="124" s="1"/>
  <c r="BA173" i="120"/>
  <c r="BA175" i="120" s="1"/>
  <c r="U173" i="124"/>
  <c r="U175" i="124" s="1"/>
  <c r="BE94" i="124"/>
  <c r="BE96" i="124" s="1"/>
  <c r="BE124" i="124" s="1"/>
  <c r="Y94" i="124"/>
  <c r="Y96" i="124" s="1"/>
  <c r="Y125" i="124" s="1"/>
  <c r="P94" i="124"/>
  <c r="P96" i="124" s="1"/>
  <c r="AV94" i="124"/>
  <c r="AV96" i="124" s="1"/>
  <c r="R94" i="124"/>
  <c r="R96" i="124" s="1"/>
  <c r="AX94" i="124"/>
  <c r="AX96" i="124" s="1"/>
  <c r="AO173" i="124"/>
  <c r="AO175" i="124" s="1"/>
  <c r="AO187" i="124" s="1"/>
  <c r="I173" i="124"/>
  <c r="I175" i="124" s="1"/>
  <c r="I187" i="124" s="1"/>
  <c r="AO173" i="120"/>
  <c r="AO175" i="120" s="1"/>
  <c r="BD94" i="124"/>
  <c r="BD96" i="124" s="1"/>
  <c r="BD123" i="124" s="1"/>
  <c r="X94" i="124"/>
  <c r="X96" i="124" s="1"/>
  <c r="Y25" i="124"/>
  <c r="BE183" i="120"/>
  <c r="AT252" i="124"/>
  <c r="AT254" i="124" s="1"/>
  <c r="AT252" i="120"/>
  <c r="AT254" i="120" s="1"/>
  <c r="N252" i="124"/>
  <c r="N254" i="124" s="1"/>
  <c r="BE252" i="124"/>
  <c r="BE254" i="124" s="1"/>
  <c r="BE282" i="124" s="1"/>
  <c r="BE252" i="120"/>
  <c r="BE254" i="120" s="1"/>
  <c r="Y252" i="124"/>
  <c r="Y254" i="124" s="1"/>
  <c r="Y282" i="124" s="1"/>
  <c r="BF227" i="124" a="1"/>
  <c r="BF227" i="124" s="1"/>
  <c r="BF184" i="124"/>
  <c r="BF228" i="124" a="1"/>
  <c r="BF228" i="124" s="1"/>
  <c r="BF174" i="124"/>
  <c r="BF185" i="124"/>
  <c r="Z148" i="124" a="1"/>
  <c r="Z148" i="124" s="1"/>
  <c r="Z149" i="124" a="1"/>
  <c r="Z149" i="124" s="1"/>
  <c r="Z95" i="124"/>
  <c r="Z105" i="124"/>
  <c r="Z106" i="124"/>
  <c r="BF149" i="120" a="1"/>
  <c r="BF149" i="120" s="1"/>
  <c r="BF148" i="120" a="1"/>
  <c r="BF148" i="120" s="1"/>
  <c r="BF15" i="120"/>
  <c r="Q252" i="120"/>
  <c r="K252" i="120"/>
  <c r="S173" i="120"/>
  <c r="AQ94" i="120"/>
  <c r="AQ96" i="120" s="1"/>
  <c r="K94" i="120"/>
  <c r="BC94" i="120"/>
  <c r="BC96" i="120" s="1"/>
  <c r="W94" i="120"/>
  <c r="X252" i="120"/>
  <c r="X254" i="120" s="1"/>
  <c r="T252" i="120"/>
  <c r="Q94" i="120"/>
  <c r="AW94" i="120"/>
  <c r="AW96" i="120" s="1"/>
  <c r="BD15" i="120"/>
  <c r="X15" i="120"/>
  <c r="H169" i="120"/>
  <c r="Y104" i="120"/>
  <c r="BF105" i="120"/>
  <c r="BF104" i="120" s="1"/>
  <c r="BF106" i="120"/>
  <c r="BF95" i="120"/>
  <c r="BE25" i="120"/>
  <c r="AB8" i="120"/>
  <c r="AA173" i="120"/>
  <c r="AA64" i="120"/>
  <c r="AA301" i="120"/>
  <c r="AA222" i="120"/>
  <c r="AA143" i="120"/>
  <c r="AA94" i="120"/>
  <c r="AA65" i="120"/>
  <c r="AA15" i="120"/>
  <c r="AA144" i="120"/>
  <c r="AA302" i="120"/>
  <c r="AA252" i="120"/>
  <c r="AA223" i="120"/>
  <c r="AA170" i="120"/>
  <c r="AA91" i="120"/>
  <c r="AA12" i="120"/>
  <c r="AA249" i="120"/>
  <c r="Z105" i="120"/>
  <c r="Z148" i="120" a="1"/>
  <c r="Z148" i="120" s="1"/>
  <c r="Z106" i="120"/>
  <c r="Z149" i="120" a="1"/>
  <c r="Z149" i="120" s="1"/>
  <c r="Z95" i="120"/>
  <c r="W252" i="120"/>
  <c r="H11" i="120"/>
  <c r="AN11" i="120"/>
  <c r="Y25" i="120"/>
  <c r="BE104" i="120"/>
  <c r="Z15" i="120"/>
  <c r="N15" i="120"/>
  <c r="AT15" i="120"/>
  <c r="U94" i="120"/>
  <c r="BA94" i="120"/>
  <c r="BA96" i="120" s="1"/>
  <c r="T173" i="120"/>
  <c r="U252" i="120"/>
  <c r="O94" i="120"/>
  <c r="AU94" i="120"/>
  <c r="AU96" i="120" s="1"/>
  <c r="H248" i="120"/>
  <c r="AY15" i="120"/>
  <c r="S15" i="120"/>
  <c r="BH8" i="120"/>
  <c r="BG94" i="120"/>
  <c r="BG64" i="120"/>
  <c r="BG65" i="120"/>
  <c r="BG15" i="120"/>
  <c r="BG91" i="120"/>
  <c r="BG12" i="120"/>
  <c r="P173" i="120"/>
  <c r="P175" i="120" s="1"/>
  <c r="AX15" i="120"/>
  <c r="R15" i="120"/>
  <c r="L15" i="120"/>
  <c r="L17" i="120" s="1"/>
  <c r="AR15" i="120"/>
  <c r="AY94" i="120"/>
  <c r="AY96" i="120" s="1"/>
  <c r="S94" i="120"/>
  <c r="N173" i="120"/>
  <c r="O252" i="120"/>
  <c r="AN15" i="120"/>
  <c r="H15" i="120"/>
  <c r="H17" i="120" s="1"/>
  <c r="H29" i="120" s="1"/>
  <c r="R252" i="120"/>
  <c r="I94" i="120"/>
  <c r="AO94" i="120"/>
  <c r="AO96" i="120" s="1"/>
  <c r="O15" i="120"/>
  <c r="O17" i="120" s="1"/>
  <c r="AU15" i="120"/>
  <c r="AT94" i="120"/>
  <c r="AT96" i="120" s="1"/>
  <c r="N94" i="120"/>
  <c r="Z94" i="120"/>
  <c r="Z252" i="120"/>
  <c r="AP15" i="120"/>
  <c r="J15" i="120"/>
  <c r="BE15" i="120"/>
  <c r="Y15" i="120"/>
  <c r="L94" i="120"/>
  <c r="AR94" i="120"/>
  <c r="AR96" i="120" s="1"/>
  <c r="L173" i="120"/>
  <c r="K173" i="120"/>
  <c r="AV15" i="120"/>
  <c r="P15" i="120"/>
  <c r="Y173" i="120"/>
  <c r="W173" i="120"/>
  <c r="W175" i="120" s="1"/>
  <c r="T94" i="120"/>
  <c r="AZ94" i="120"/>
  <c r="AZ96" i="120" s="1"/>
  <c r="V94" i="120"/>
  <c r="BB94" i="120"/>
  <c r="BB96" i="120" s="1"/>
  <c r="AQ15" i="120"/>
  <c r="K15" i="120"/>
  <c r="K17" i="120" s="1"/>
  <c r="O173" i="120"/>
  <c r="J173" i="120"/>
  <c r="AZ15" i="120"/>
  <c r="AZ17" i="120" s="1"/>
  <c r="T15" i="120"/>
  <c r="P252" i="120"/>
  <c r="V252" i="120"/>
  <c r="X173" i="120"/>
  <c r="X175" i="120" s="1"/>
  <c r="H252" i="120"/>
  <c r="AO15" i="120"/>
  <c r="AO17" i="120" s="1"/>
  <c r="I15" i="120"/>
  <c r="H90" i="120"/>
  <c r="H147" i="120" s="1"/>
  <c r="AN90" i="120"/>
  <c r="AN147" i="120" s="1"/>
  <c r="BB15" i="120"/>
  <c r="V15" i="120"/>
  <c r="AP94" i="120"/>
  <c r="AP96" i="120" s="1"/>
  <c r="J94" i="120"/>
  <c r="J96" i="120" s="1"/>
  <c r="AW15" i="120"/>
  <c r="Q15" i="120"/>
  <c r="U173" i="120"/>
  <c r="Y94" i="120"/>
  <c r="Y96" i="120" s="1"/>
  <c r="BE94" i="120"/>
  <c r="BE96" i="120" s="1"/>
  <c r="AV94" i="120"/>
  <c r="AV96" i="120" s="1"/>
  <c r="P94" i="120"/>
  <c r="AX94" i="120"/>
  <c r="AX96" i="120" s="1"/>
  <c r="R94" i="120"/>
  <c r="I173" i="120"/>
  <c r="X94" i="120"/>
  <c r="X96" i="120" s="1"/>
  <c r="BD94" i="120"/>
  <c r="BD96" i="120" s="1"/>
  <c r="Y183" i="120"/>
  <c r="Z27" i="120"/>
  <c r="Z69" i="120" a="1"/>
  <c r="Z69" i="120" s="1"/>
  <c r="Z70" i="120" a="1"/>
  <c r="Z70" i="120" s="1"/>
  <c r="Z16" i="120"/>
  <c r="Z26" i="120"/>
  <c r="Z25" i="120" s="1"/>
  <c r="AS94" i="120"/>
  <c r="AS96" i="120" s="1"/>
  <c r="M94" i="120"/>
  <c r="N252" i="120"/>
  <c r="U15" i="120"/>
  <c r="BA15" i="120"/>
  <c r="J252" i="120"/>
  <c r="I252" i="120"/>
  <c r="I254" i="120" s="1"/>
  <c r="AS15" i="120"/>
  <c r="M15" i="120"/>
  <c r="Y252" i="120"/>
  <c r="H94" i="120"/>
  <c r="H96" i="120" s="1"/>
  <c r="H108" i="120" s="1"/>
  <c r="AN94" i="120"/>
  <c r="AN96" i="120" s="1"/>
  <c r="S252" i="120"/>
  <c r="S254" i="120" s="1"/>
  <c r="Y262" i="120"/>
  <c r="Z184" i="120"/>
  <c r="Z183" i="120" s="1"/>
  <c r="Z228" i="120" a="1"/>
  <c r="Z228" i="120" s="1"/>
  <c r="Z185" i="120"/>
  <c r="Z174" i="120"/>
  <c r="Z227" i="120" a="1"/>
  <c r="Z227" i="120" s="1"/>
  <c r="Z173" i="120"/>
  <c r="L252" i="120"/>
  <c r="R173" i="120"/>
  <c r="R175" i="120" s="1"/>
  <c r="M173" i="120"/>
  <c r="M175" i="120" s="1"/>
  <c r="Q173" i="120"/>
  <c r="Q175" i="120" s="1"/>
  <c r="BC15" i="120"/>
  <c r="BC17" i="120" s="1"/>
  <c r="W15" i="120"/>
  <c r="W17" i="120" s="1"/>
  <c r="M252" i="120"/>
  <c r="M254" i="120" s="1"/>
  <c r="V173" i="120"/>
  <c r="V175" i="120" s="1"/>
  <c r="H173" i="120"/>
  <c r="H175" i="120" s="1"/>
  <c r="H187" i="120" s="1"/>
  <c r="BF27" i="120"/>
  <c r="BF26" i="120"/>
  <c r="BF25" i="120" s="1"/>
  <c r="BF69" i="120" a="1"/>
  <c r="BF69" i="120" s="1"/>
  <c r="BF16" i="120"/>
  <c r="BF17" i="120" s="1"/>
  <c r="BF70" i="120" a="1"/>
  <c r="BF70" i="120" s="1"/>
  <c r="Z253" i="120"/>
  <c r="Z306" i="120" a="1"/>
  <c r="Z306" i="120" s="1"/>
  <c r="Z264" i="120"/>
  <c r="Z307" i="120" a="1"/>
  <c r="Z307" i="120" s="1"/>
  <c r="Z263" i="120"/>
  <c r="H226" i="120"/>
  <c r="Q254" i="120"/>
  <c r="L254" i="120"/>
  <c r="K254" i="120"/>
  <c r="L96" i="120"/>
  <c r="S175" i="120"/>
  <c r="N17" i="120"/>
  <c r="AT17" i="120"/>
  <c r="K175" i="120"/>
  <c r="Q96" i="120"/>
  <c r="AV17" i="120"/>
  <c r="P17" i="120"/>
  <c r="V96" i="120"/>
  <c r="AQ17" i="120"/>
  <c r="N175" i="120"/>
  <c r="U96" i="120"/>
  <c r="Y175" i="120"/>
  <c r="T96" i="120"/>
  <c r="AR17" i="120"/>
  <c r="S96" i="120"/>
  <c r="O254" i="120"/>
  <c r="AN17" i="120"/>
  <c r="AN29" i="120" s="1"/>
  <c r="R254" i="120"/>
  <c r="T17" i="120"/>
  <c r="I96" i="120"/>
  <c r="P254" i="120"/>
  <c r="AU17" i="120"/>
  <c r="V254" i="120"/>
  <c r="N96" i="120"/>
  <c r="H254" i="120"/>
  <c r="H266" i="120" s="1"/>
  <c r="I17" i="120"/>
  <c r="L175" i="120"/>
  <c r="K96" i="120"/>
  <c r="W96" i="120"/>
  <c r="T254" i="120"/>
  <c r="BD17" i="120"/>
  <c r="X17" i="120"/>
  <c r="H68" i="120"/>
  <c r="AN68" i="120"/>
  <c r="R17" i="120"/>
  <c r="AX17" i="120"/>
  <c r="O175" i="120"/>
  <c r="H305" i="120"/>
  <c r="S17" i="120"/>
  <c r="AY17" i="120"/>
  <c r="V17" i="120"/>
  <c r="BB17" i="120"/>
  <c r="Q17" i="120"/>
  <c r="AW17" i="120"/>
  <c r="U175" i="120"/>
  <c r="P96" i="120"/>
  <c r="R96" i="120"/>
  <c r="I175" i="120"/>
  <c r="Y17" i="120"/>
  <c r="BE17" i="120"/>
  <c r="W254" i="120"/>
  <c r="T175" i="120"/>
  <c r="U254" i="120"/>
  <c r="O96" i="120"/>
  <c r="M96" i="120"/>
  <c r="N254" i="120"/>
  <c r="BA17" i="120"/>
  <c r="U17" i="120"/>
  <c r="M17" i="120"/>
  <c r="AS17" i="120"/>
  <c r="Y254" i="120"/>
  <c r="J175" i="120"/>
  <c r="AP17" i="120"/>
  <c r="J17" i="120"/>
  <c r="J254" i="120"/>
  <c r="BZ60" i="117"/>
  <c r="BZ60" i="119"/>
  <c r="CB13" i="119"/>
  <c r="CB21" i="119"/>
  <c r="CB44" i="119"/>
  <c r="CB46" i="119"/>
  <c r="CB26" i="119"/>
  <c r="CB41" i="119"/>
  <c r="CA60" i="119"/>
  <c r="CO6" i="119"/>
  <c r="CA60" i="118"/>
  <c r="CB13" i="118"/>
  <c r="CB44" i="118"/>
  <c r="CB26" i="118"/>
  <c r="CB21" i="118"/>
  <c r="CB46" i="118"/>
  <c r="CB41" i="118"/>
  <c r="CA60" i="117"/>
  <c r="CN6" i="118"/>
  <c r="CB44" i="67"/>
  <c r="CB21" i="117"/>
  <c r="CB46" i="117"/>
  <c r="CB13" i="117"/>
  <c r="CB41" i="117"/>
  <c r="CB26" i="117"/>
  <c r="CB44" i="117"/>
  <c r="CO6" i="117"/>
  <c r="CC13" i="67"/>
  <c r="Q78" i="2"/>
  <c r="G15" i="77"/>
  <c r="G13" i="77"/>
  <c r="G14" i="77"/>
  <c r="G12" i="77"/>
  <c r="I72" i="2"/>
  <c r="I73" i="2" s="1"/>
  <c r="U82" i="2"/>
  <c r="BH276" i="126" s="1"/>
  <c r="BH259" i="126" s="1"/>
  <c r="BH270" i="126" s="1"/>
  <c r="M72" i="2"/>
  <c r="M73" i="2" s="1"/>
  <c r="Q72" i="2"/>
  <c r="Q73" i="2" s="1"/>
  <c r="AB199" i="126" s="1"/>
  <c r="AB214" i="126" s="1"/>
  <c r="M86" i="2"/>
  <c r="BH119" i="126" s="1"/>
  <c r="U72" i="2"/>
  <c r="U73" i="2" s="1"/>
  <c r="Q82" i="2"/>
  <c r="U78" i="2"/>
  <c r="M78" i="2"/>
  <c r="M82" i="2"/>
  <c r="AB118" i="126" s="1"/>
  <c r="AB101" i="126" s="1"/>
  <c r="AB112" i="126" s="1"/>
  <c r="Q86" i="2"/>
  <c r="AB198" i="126" s="1"/>
  <c r="U86" i="2"/>
  <c r="AB277" i="126" s="1"/>
  <c r="I86" i="2"/>
  <c r="I82" i="2"/>
  <c r="BH39" i="126" s="1"/>
  <c r="BH22" i="126" s="1"/>
  <c r="I78" i="2"/>
  <c r="K29" i="1"/>
  <c r="J29" i="1"/>
  <c r="V29" i="1"/>
  <c r="CD6" i="67"/>
  <c r="AO29" i="125"/>
  <c r="BB149" i="125" a="1"/>
  <c r="BB70" i="125" a="1"/>
  <c r="BB174" i="125"/>
  <c r="CC26" i="118" a="1"/>
  <c r="K91" i="125"/>
  <c r="BC12" i="125"/>
  <c r="BC108" i="125"/>
  <c r="I187" i="125"/>
  <c r="CC46" i="119" a="1"/>
  <c r="BB263" i="125"/>
  <c r="BC249" i="125"/>
  <c r="CC41" i="119" a="1"/>
  <c r="BB228" i="125" a="1"/>
  <c r="BB306" i="125" a="1"/>
  <c r="CC44" i="119" a="1"/>
  <c r="J264" i="125"/>
  <c r="BB264" i="125"/>
  <c r="J26" i="125"/>
  <c r="J149" i="125" a="1"/>
  <c r="I108" i="125"/>
  <c r="J227" i="125" a="1"/>
  <c r="BC128" i="125"/>
  <c r="I183" i="125"/>
  <c r="I104" i="125"/>
  <c r="CC41" i="117" a="1"/>
  <c r="BB95" i="125"/>
  <c r="BB185" i="125"/>
  <c r="J27" i="125"/>
  <c r="J69" i="125" a="1"/>
  <c r="J253" i="125"/>
  <c r="CC44" i="67" a="1"/>
  <c r="CC21" i="117" a="1"/>
  <c r="BC187" i="125"/>
  <c r="K108" i="125"/>
  <c r="BB26" i="125"/>
  <c r="BB105" i="125"/>
  <c r="CC46" i="118" a="1"/>
  <c r="K170" i="125"/>
  <c r="J16" i="125"/>
  <c r="CC21" i="119" a="1"/>
  <c r="CC13" i="119" a="1"/>
  <c r="BB69" i="125" a="1"/>
  <c r="BA25" i="125"/>
  <c r="BB184" i="125"/>
  <c r="K249" i="125"/>
  <c r="K187" i="125"/>
  <c r="BB227" i="125" a="1"/>
  <c r="K266" i="125"/>
  <c r="BA262" i="125"/>
  <c r="J148" i="125" a="1"/>
  <c r="K286" i="125"/>
  <c r="AO266" i="125"/>
  <c r="K12" i="125"/>
  <c r="I29" i="125"/>
  <c r="BC170" i="125"/>
  <c r="J184" i="125"/>
  <c r="BB106" i="125"/>
  <c r="BC286" i="125"/>
  <c r="J105" i="125"/>
  <c r="BA183" i="125"/>
  <c r="J174" i="125"/>
  <c r="I266" i="125"/>
  <c r="CD13" i="67" a="1"/>
  <c r="K207" i="125"/>
  <c r="J306" i="125" a="1"/>
  <c r="BB148" i="125" a="1"/>
  <c r="J106" i="125"/>
  <c r="CC46" i="117" a="1"/>
  <c r="BB307" i="125" a="1"/>
  <c r="K49" i="125"/>
  <c r="J263" i="125"/>
  <c r="J95" i="125"/>
  <c r="J228" i="125" a="1"/>
  <c r="CC13" i="117" a="1"/>
  <c r="BB16" i="125"/>
  <c r="CC26" i="117" a="1"/>
  <c r="CC44" i="117" a="1"/>
  <c r="J70" i="125" a="1"/>
  <c r="BB27" i="125"/>
  <c r="BC207" i="125"/>
  <c r="BB253" i="125"/>
  <c r="K128" i="125"/>
  <c r="BA104" i="125"/>
  <c r="CC21" i="118" a="1"/>
  <c r="J307" i="125" a="1"/>
  <c r="CC13" i="118" a="1"/>
  <c r="BC49" i="125"/>
  <c r="CC41" i="118" a="1"/>
  <c r="AO187" i="125"/>
  <c r="I25" i="125"/>
  <c r="AO108" i="125"/>
  <c r="I262" i="125"/>
  <c r="CC26" i="119" a="1"/>
  <c r="CC44" i="118" a="1"/>
  <c r="BC91" i="125"/>
  <c r="K29" i="125"/>
  <c r="BC29" i="125"/>
  <c r="BC266" i="125"/>
  <c r="J185" i="125"/>
  <c r="G46" i="125" l="1"/>
  <c r="BG17" i="126"/>
  <c r="BG46" i="126" s="1"/>
  <c r="G283" i="125"/>
  <c r="G282" i="125"/>
  <c r="BF125" i="126"/>
  <c r="BF123" i="126"/>
  <c r="BG254" i="126"/>
  <c r="BG282" i="126" s="1"/>
  <c r="BF283" i="126"/>
  <c r="Z283" i="126"/>
  <c r="Z46" i="126"/>
  <c r="Z125" i="126"/>
  <c r="Z123" i="126"/>
  <c r="Z202" i="126"/>
  <c r="AA96" i="126"/>
  <c r="AA125" i="126" s="1"/>
  <c r="BG96" i="126"/>
  <c r="BG125" i="126" s="1"/>
  <c r="BF204" i="126"/>
  <c r="BF281" i="126"/>
  <c r="BF46" i="126"/>
  <c r="AA254" i="126"/>
  <c r="AA282" i="126" s="1"/>
  <c r="BF334" i="126"/>
  <c r="BF202" i="126"/>
  <c r="Z204" i="126"/>
  <c r="G202" i="125"/>
  <c r="AA17" i="126"/>
  <c r="AA46" i="126" s="1"/>
  <c r="G204" i="125"/>
  <c r="BG175" i="126"/>
  <c r="BG203" i="126" s="1"/>
  <c r="AB260" i="126"/>
  <c r="AB181" i="126"/>
  <c r="Z334" i="126"/>
  <c r="BH33" i="126"/>
  <c r="BH102" i="126"/>
  <c r="BE333" i="126"/>
  <c r="AB275" i="125"/>
  <c r="AM275" i="125"/>
  <c r="AN275" i="126"/>
  <c r="H275" i="126"/>
  <c r="G275" i="125"/>
  <c r="AO275" i="126"/>
  <c r="I275" i="126"/>
  <c r="AP275" i="126"/>
  <c r="J275" i="126"/>
  <c r="AQ275" i="126"/>
  <c r="K275" i="126"/>
  <c r="AR275" i="126"/>
  <c r="L275" i="126"/>
  <c r="M275" i="126"/>
  <c r="AS275" i="126"/>
  <c r="AT275" i="126"/>
  <c r="N275" i="126"/>
  <c r="AU275" i="126"/>
  <c r="O275" i="126"/>
  <c r="AV275" i="126"/>
  <c r="P275" i="126"/>
  <c r="AW275" i="126"/>
  <c r="Q275" i="126"/>
  <c r="R275" i="126"/>
  <c r="AX275" i="126"/>
  <c r="AY275" i="126"/>
  <c r="S275" i="126"/>
  <c r="AZ275" i="126"/>
  <c r="T275" i="126"/>
  <c r="U275" i="126"/>
  <c r="BA275" i="126"/>
  <c r="V275" i="126"/>
  <c r="BB275" i="126"/>
  <c r="BC275" i="126"/>
  <c r="W275" i="126"/>
  <c r="X275" i="126"/>
  <c r="BD275" i="126"/>
  <c r="Y275" i="126"/>
  <c r="BE275" i="126"/>
  <c r="Z275" i="126"/>
  <c r="BF275" i="126"/>
  <c r="AA275" i="126"/>
  <c r="BG275" i="126"/>
  <c r="BH117" i="125"/>
  <c r="AM117" i="125"/>
  <c r="G117" i="125"/>
  <c r="H117" i="126"/>
  <c r="AN117" i="126"/>
  <c r="AO117" i="126"/>
  <c r="I117" i="126"/>
  <c r="AP117" i="126"/>
  <c r="J117" i="126"/>
  <c r="K117" i="126"/>
  <c r="AQ117" i="126"/>
  <c r="AR117" i="126"/>
  <c r="L117" i="126"/>
  <c r="AS117" i="126"/>
  <c r="M117" i="126"/>
  <c r="AT117" i="126"/>
  <c r="N117" i="126"/>
  <c r="AU117" i="126"/>
  <c r="O117" i="126"/>
  <c r="AV117" i="126"/>
  <c r="P117" i="126"/>
  <c r="Q117" i="126"/>
  <c r="AW117" i="126"/>
  <c r="R117" i="126"/>
  <c r="AX117" i="126"/>
  <c r="S117" i="126"/>
  <c r="AY117" i="126"/>
  <c r="AZ117" i="126"/>
  <c r="T117" i="126"/>
  <c r="BA117" i="126"/>
  <c r="U117" i="126"/>
  <c r="V117" i="126"/>
  <c r="BB117" i="126"/>
  <c r="W117" i="126"/>
  <c r="BC117" i="126"/>
  <c r="X117" i="126"/>
  <c r="BD117" i="126"/>
  <c r="Y117" i="126"/>
  <c r="BE117" i="126"/>
  <c r="BF117" i="126"/>
  <c r="Z117" i="126"/>
  <c r="AA117" i="126"/>
  <c r="BG117" i="126"/>
  <c r="AB41" i="125"/>
  <c r="AB56" i="125" s="1"/>
  <c r="AM41" i="125"/>
  <c r="AM56" i="125" s="1"/>
  <c r="AN41" i="126"/>
  <c r="H41" i="126"/>
  <c r="G41" i="125"/>
  <c r="G56" i="125" s="1"/>
  <c r="I41" i="126"/>
  <c r="I56" i="126" s="1"/>
  <c r="AO41" i="126"/>
  <c r="AO56" i="126" s="1"/>
  <c r="AP41" i="126"/>
  <c r="AP56" i="126" s="1"/>
  <c r="J41" i="126"/>
  <c r="J56" i="126" s="1"/>
  <c r="K41" i="126"/>
  <c r="K56" i="126" s="1"/>
  <c r="AQ41" i="126"/>
  <c r="AQ56" i="126" s="1"/>
  <c r="AR41" i="126"/>
  <c r="AR56" i="126" s="1"/>
  <c r="L41" i="126"/>
  <c r="L56" i="126" s="1"/>
  <c r="M41" i="126"/>
  <c r="M56" i="126" s="1"/>
  <c r="AS41" i="126"/>
  <c r="AS56" i="126" s="1"/>
  <c r="AT41" i="126"/>
  <c r="AT56" i="126" s="1"/>
  <c r="N41" i="126"/>
  <c r="N56" i="126" s="1"/>
  <c r="AU41" i="126"/>
  <c r="AU56" i="126" s="1"/>
  <c r="O41" i="126"/>
  <c r="O56" i="126" s="1"/>
  <c r="AV41" i="126"/>
  <c r="AV56" i="126" s="1"/>
  <c r="P41" i="126"/>
  <c r="P56" i="126" s="1"/>
  <c r="AW41" i="126"/>
  <c r="AW56" i="126" s="1"/>
  <c r="Q41" i="126"/>
  <c r="Q56" i="126" s="1"/>
  <c r="AX41" i="126"/>
  <c r="AX56" i="126" s="1"/>
  <c r="R41" i="126"/>
  <c r="R56" i="126" s="1"/>
  <c r="S41" i="126"/>
  <c r="S56" i="126" s="1"/>
  <c r="AY41" i="126"/>
  <c r="AY56" i="126" s="1"/>
  <c r="T41" i="126"/>
  <c r="T56" i="126" s="1"/>
  <c r="AZ41" i="126"/>
  <c r="AZ56" i="126" s="1"/>
  <c r="BA41" i="126"/>
  <c r="BA56" i="126" s="1"/>
  <c r="U41" i="126"/>
  <c r="U56" i="126" s="1"/>
  <c r="V41" i="126"/>
  <c r="V56" i="126" s="1"/>
  <c r="BB41" i="126"/>
  <c r="BB56" i="126" s="1"/>
  <c r="BC41" i="126"/>
  <c r="BC56" i="126" s="1"/>
  <c r="W41" i="126"/>
  <c r="W56" i="126" s="1"/>
  <c r="X41" i="126"/>
  <c r="X56" i="126" s="1"/>
  <c r="BD41" i="126"/>
  <c r="BD56" i="126" s="1"/>
  <c r="Y41" i="126"/>
  <c r="Y56" i="126" s="1"/>
  <c r="BE41" i="126"/>
  <c r="BE56" i="126" s="1"/>
  <c r="Z41" i="126"/>
  <c r="Z56" i="126" s="1"/>
  <c r="BF41" i="126"/>
  <c r="BF56" i="126" s="1"/>
  <c r="AA41" i="126"/>
  <c r="AA56" i="126" s="1"/>
  <c r="BG41" i="126"/>
  <c r="BG56" i="126" s="1"/>
  <c r="BH196" i="125"/>
  <c r="AM196" i="125"/>
  <c r="G196" i="125"/>
  <c r="H196" i="126"/>
  <c r="AN196" i="126"/>
  <c r="AO196" i="126"/>
  <c r="I196" i="126"/>
  <c r="AP196" i="126"/>
  <c r="J196" i="126"/>
  <c r="K196" i="126"/>
  <c r="AQ196" i="126"/>
  <c r="AR196" i="126"/>
  <c r="L196" i="126"/>
  <c r="AS196" i="126"/>
  <c r="M196" i="126"/>
  <c r="AT196" i="126"/>
  <c r="N196" i="126"/>
  <c r="AU196" i="126"/>
  <c r="O196" i="126"/>
  <c r="AV196" i="126"/>
  <c r="P196" i="126"/>
  <c r="Q196" i="126"/>
  <c r="AW196" i="126"/>
  <c r="R196" i="126"/>
  <c r="AX196" i="126"/>
  <c r="S196" i="126"/>
  <c r="AY196" i="126"/>
  <c r="AZ196" i="126"/>
  <c r="T196" i="126"/>
  <c r="BA196" i="126"/>
  <c r="U196" i="126"/>
  <c r="BB196" i="126"/>
  <c r="V196" i="126"/>
  <c r="BC196" i="126"/>
  <c r="W196" i="126"/>
  <c r="BD196" i="126"/>
  <c r="X196" i="126"/>
  <c r="Y196" i="126"/>
  <c r="BE196" i="126"/>
  <c r="Z196" i="126"/>
  <c r="BF196" i="126"/>
  <c r="AA196" i="126"/>
  <c r="BG196" i="126"/>
  <c r="Z17" i="120"/>
  <c r="Y45" i="124"/>
  <c r="Z17" i="124"/>
  <c r="Z44" i="126"/>
  <c r="BH199" i="126"/>
  <c r="BH214" i="126" s="1"/>
  <c r="U46" i="126"/>
  <c r="U45" i="126"/>
  <c r="U44" i="126"/>
  <c r="AB263" i="126"/>
  <c r="AB253" i="126"/>
  <c r="AB254" i="126" s="1"/>
  <c r="AB306" i="126" a="1"/>
  <c r="AB306" i="126" s="1"/>
  <c r="AB307" i="126" a="1"/>
  <c r="AB307" i="126" s="1"/>
  <c r="AB264" i="126"/>
  <c r="AB39" i="126"/>
  <c r="AB22" i="126" s="1"/>
  <c r="AB119" i="126"/>
  <c r="AA175" i="126"/>
  <c r="AA204" i="126" s="1"/>
  <c r="AM281" i="125"/>
  <c r="AM282" i="125"/>
  <c r="AM283" i="125"/>
  <c r="V283" i="126"/>
  <c r="V282" i="126"/>
  <c r="V281" i="126"/>
  <c r="T46" i="126"/>
  <c r="T45" i="126"/>
  <c r="T44" i="126"/>
  <c r="J203" i="126"/>
  <c r="J204" i="126"/>
  <c r="J202" i="126"/>
  <c r="L283" i="126"/>
  <c r="L282" i="126"/>
  <c r="L281" i="126"/>
  <c r="M45" i="126"/>
  <c r="M46" i="126"/>
  <c r="M44" i="126"/>
  <c r="Q45" i="126"/>
  <c r="Q46" i="126"/>
  <c r="Q44" i="126"/>
  <c r="O282" i="126"/>
  <c r="O283" i="126"/>
  <c r="O281" i="126"/>
  <c r="O203" i="126"/>
  <c r="O204" i="126"/>
  <c r="O202" i="126"/>
  <c r="Y46" i="126"/>
  <c r="Y45" i="126"/>
  <c r="W45" i="126"/>
  <c r="W46" i="126"/>
  <c r="W44" i="126"/>
  <c r="U282" i="126"/>
  <c r="U283" i="126"/>
  <c r="U281" i="126"/>
  <c r="U125" i="126"/>
  <c r="U124" i="126"/>
  <c r="U123" i="126"/>
  <c r="AP282" i="126"/>
  <c r="AP283" i="126"/>
  <c r="AP281" i="126"/>
  <c r="P124" i="126"/>
  <c r="P125" i="126"/>
  <c r="P123" i="126"/>
  <c r="BD283" i="126"/>
  <c r="BD282" i="126"/>
  <c r="BD281" i="126"/>
  <c r="K203" i="126"/>
  <c r="K204" i="126"/>
  <c r="K202" i="126"/>
  <c r="K283" i="126"/>
  <c r="K282" i="126"/>
  <c r="K281" i="126"/>
  <c r="BI302" i="126"/>
  <c r="BI301" i="126"/>
  <c r="BI278" i="126"/>
  <c r="BI293" i="126" s="1"/>
  <c r="BI277" i="126"/>
  <c r="BI275" i="126"/>
  <c r="BI252" i="126"/>
  <c r="BI276" i="126"/>
  <c r="BI222" i="126"/>
  <c r="BI223" i="126"/>
  <c r="BI198" i="126"/>
  <c r="BI196" i="126"/>
  <c r="BI173" i="126"/>
  <c r="BI197" i="126"/>
  <c r="BI180" i="126" s="1"/>
  <c r="BI191" i="126" s="1"/>
  <c r="BI199" i="126"/>
  <c r="BI214" i="126" s="1"/>
  <c r="BI143" i="126"/>
  <c r="BI144" i="126"/>
  <c r="BI119" i="126"/>
  <c r="BI117" i="126"/>
  <c r="BI94" i="126"/>
  <c r="BI120" i="126"/>
  <c r="BI135" i="126" s="1"/>
  <c r="BI118" i="126"/>
  <c r="BI101" i="126" s="1"/>
  <c r="BI112" i="126" s="1"/>
  <c r="BI40" i="126"/>
  <c r="BI38" i="126"/>
  <c r="BI64" i="126"/>
  <c r="BI41" i="126"/>
  <c r="BI56" i="126" s="1"/>
  <c r="BI39" i="126"/>
  <c r="BJ8" i="126"/>
  <c r="BI65" i="126"/>
  <c r="BI15" i="126"/>
  <c r="BI249" i="126"/>
  <c r="BI12" i="126"/>
  <c r="BI170" i="126"/>
  <c r="BI91" i="126"/>
  <c r="BH118" i="126"/>
  <c r="BH101" i="126" s="1"/>
  <c r="BH112" i="126" s="1"/>
  <c r="AS124" i="126"/>
  <c r="AS125" i="126"/>
  <c r="AS123" i="126"/>
  <c r="AC301" i="126"/>
  <c r="AC302" i="126"/>
  <c r="AC276" i="126"/>
  <c r="AC259" i="126" s="1"/>
  <c r="AC270" i="126" s="1"/>
  <c r="AC278" i="126"/>
  <c r="AC293" i="126" s="1"/>
  <c r="AC277" i="126"/>
  <c r="AC275" i="126"/>
  <c r="AC252" i="126"/>
  <c r="AC223" i="126"/>
  <c r="AC222" i="126"/>
  <c r="AC199" i="126"/>
  <c r="AC214" i="126" s="1"/>
  <c r="AC197" i="126"/>
  <c r="AC196" i="126"/>
  <c r="AC173" i="126"/>
  <c r="AC198" i="126"/>
  <c r="AC144" i="126"/>
  <c r="AC120" i="126"/>
  <c r="AC135" i="126" s="1"/>
  <c r="AC118" i="126"/>
  <c r="AC101" i="126" s="1"/>
  <c r="AC112" i="126" s="1"/>
  <c r="AC143" i="126"/>
  <c r="AC119" i="126"/>
  <c r="AC117" i="126"/>
  <c r="AC41" i="126"/>
  <c r="AC56" i="126" s="1"/>
  <c r="AC39" i="126"/>
  <c r="AC65" i="126"/>
  <c r="AC40" i="126"/>
  <c r="AC38" i="126"/>
  <c r="AC94" i="126"/>
  <c r="AC64" i="126"/>
  <c r="AD8" i="126"/>
  <c r="AC15" i="126"/>
  <c r="AC170" i="126"/>
  <c r="AC249" i="126"/>
  <c r="AC12" i="126"/>
  <c r="AC91" i="126"/>
  <c r="AB41" i="126"/>
  <c r="AB56" i="126" s="1"/>
  <c r="BG183" i="126"/>
  <c r="Y124" i="126"/>
  <c r="Y125" i="126"/>
  <c r="BG262" i="126"/>
  <c r="AN254" i="126"/>
  <c r="AU46" i="126"/>
  <c r="AU45" i="126"/>
  <c r="AU44" i="126"/>
  <c r="AX283" i="126"/>
  <c r="AX282" i="126"/>
  <c r="AX281" i="126"/>
  <c r="AQ46" i="126"/>
  <c r="AQ45" i="126"/>
  <c r="AQ44" i="126"/>
  <c r="J46" i="126"/>
  <c r="J45" i="126"/>
  <c r="J44" i="126"/>
  <c r="I283" i="126"/>
  <c r="I282" i="126"/>
  <c r="I281" i="126"/>
  <c r="AT204" i="126"/>
  <c r="AT203" i="126"/>
  <c r="AT202" i="126"/>
  <c r="R46" i="126"/>
  <c r="R45" i="126"/>
  <c r="R44" i="126"/>
  <c r="AN175" i="126"/>
  <c r="Q203" i="126"/>
  <c r="Q204" i="126"/>
  <c r="Q202" i="126"/>
  <c r="BA283" i="126"/>
  <c r="BA282" i="126"/>
  <c r="BA281" i="126"/>
  <c r="BA125" i="126"/>
  <c r="BA124" i="126"/>
  <c r="BA123" i="126"/>
  <c r="J282" i="126"/>
  <c r="J283" i="126"/>
  <c r="J281" i="126"/>
  <c r="AV124" i="126"/>
  <c r="AV125" i="126"/>
  <c r="AV123" i="126"/>
  <c r="X283" i="126"/>
  <c r="X282" i="126"/>
  <c r="X281" i="126"/>
  <c r="AQ204" i="126"/>
  <c r="AQ203" i="126"/>
  <c r="AQ202" i="126"/>
  <c r="AQ282" i="126"/>
  <c r="AQ283" i="126"/>
  <c r="AQ281" i="126"/>
  <c r="AB38" i="125"/>
  <c r="AM38" i="125"/>
  <c r="G38" i="125"/>
  <c r="H38" i="126"/>
  <c r="AN38" i="126"/>
  <c r="AO38" i="126"/>
  <c r="I38" i="126"/>
  <c r="AP38" i="126"/>
  <c r="J38" i="126"/>
  <c r="AQ38" i="126"/>
  <c r="K38" i="126"/>
  <c r="AR38" i="126"/>
  <c r="L38" i="126"/>
  <c r="AS38" i="126"/>
  <c r="M38" i="126"/>
  <c r="N38" i="126"/>
  <c r="AT38" i="126"/>
  <c r="O38" i="126"/>
  <c r="AU38" i="126"/>
  <c r="AV38" i="126"/>
  <c r="P38" i="126"/>
  <c r="Q38" i="126"/>
  <c r="AW38" i="126"/>
  <c r="AX38" i="126"/>
  <c r="R38" i="126"/>
  <c r="S38" i="126"/>
  <c r="AY38" i="126"/>
  <c r="AZ38" i="126"/>
  <c r="T38" i="126"/>
  <c r="U38" i="126"/>
  <c r="BA38" i="126"/>
  <c r="BB38" i="126"/>
  <c r="V38" i="126"/>
  <c r="W38" i="126"/>
  <c r="BC38" i="126"/>
  <c r="BD38" i="126"/>
  <c r="X38" i="126"/>
  <c r="Y38" i="126"/>
  <c r="BE38" i="126"/>
  <c r="BF38" i="126"/>
  <c r="Z38" i="126"/>
  <c r="AA38" i="126"/>
  <c r="BG38" i="126"/>
  <c r="AB197" i="125"/>
  <c r="AB180" i="125" s="1"/>
  <c r="AB191" i="125" s="1"/>
  <c r="AM197" i="125"/>
  <c r="AM180" i="125" s="1"/>
  <c r="AM191" i="125" s="1"/>
  <c r="H197" i="126"/>
  <c r="G197" i="125"/>
  <c r="G180" i="125" s="1"/>
  <c r="G191" i="125" s="1"/>
  <c r="G211" i="125" s="1"/>
  <c r="AN197" i="126"/>
  <c r="AO197" i="126"/>
  <c r="AO180" i="126" s="1"/>
  <c r="AO191" i="126" s="1"/>
  <c r="AO211" i="126" s="1"/>
  <c r="I197" i="126"/>
  <c r="I180" i="126" s="1"/>
  <c r="I191" i="126" s="1"/>
  <c r="I211" i="126" s="1"/>
  <c r="J197" i="126"/>
  <c r="J180" i="126" s="1"/>
  <c r="J191" i="126" s="1"/>
  <c r="J211" i="126" s="1"/>
  <c r="AP197" i="126"/>
  <c r="AP180" i="126" s="1"/>
  <c r="AP191" i="126" s="1"/>
  <c r="AP211" i="126" s="1"/>
  <c r="AQ197" i="126"/>
  <c r="AQ180" i="126" s="1"/>
  <c r="AQ191" i="126" s="1"/>
  <c r="AQ211" i="126" s="1"/>
  <c r="K197" i="126"/>
  <c r="K180" i="126" s="1"/>
  <c r="K191" i="126" s="1"/>
  <c r="K211" i="126" s="1"/>
  <c r="L197" i="126"/>
  <c r="L180" i="126" s="1"/>
  <c r="L191" i="126" s="1"/>
  <c r="L211" i="126" s="1"/>
  <c r="AR197" i="126"/>
  <c r="AR180" i="126" s="1"/>
  <c r="AR191" i="126" s="1"/>
  <c r="AR211" i="126" s="1"/>
  <c r="M197" i="126"/>
  <c r="M180" i="126" s="1"/>
  <c r="M191" i="126" s="1"/>
  <c r="M211" i="126" s="1"/>
  <c r="AS197" i="126"/>
  <c r="AS180" i="126" s="1"/>
  <c r="AS191" i="126" s="1"/>
  <c r="AS211" i="126" s="1"/>
  <c r="N197" i="126"/>
  <c r="N180" i="126" s="1"/>
  <c r="N191" i="126" s="1"/>
  <c r="N211" i="126" s="1"/>
  <c r="AT197" i="126"/>
  <c r="AT180" i="126" s="1"/>
  <c r="AT191" i="126" s="1"/>
  <c r="AT211" i="126" s="1"/>
  <c r="AU197" i="126"/>
  <c r="AU180" i="126" s="1"/>
  <c r="AU191" i="126" s="1"/>
  <c r="AU211" i="126" s="1"/>
  <c r="O197" i="126"/>
  <c r="O180" i="126" s="1"/>
  <c r="O191" i="126" s="1"/>
  <c r="O211" i="126" s="1"/>
  <c r="AV197" i="126"/>
  <c r="AV180" i="126" s="1"/>
  <c r="AV191" i="126" s="1"/>
  <c r="AV211" i="126" s="1"/>
  <c r="P197" i="126"/>
  <c r="P180" i="126" s="1"/>
  <c r="P191" i="126" s="1"/>
  <c r="P211" i="126" s="1"/>
  <c r="AW197" i="126"/>
  <c r="AW180" i="126" s="1"/>
  <c r="AW191" i="126" s="1"/>
  <c r="AW211" i="126" s="1"/>
  <c r="Q197" i="126"/>
  <c r="Q180" i="126" s="1"/>
  <c r="Q191" i="126" s="1"/>
  <c r="Q211" i="126" s="1"/>
  <c r="R197" i="126"/>
  <c r="R180" i="126" s="1"/>
  <c r="R191" i="126" s="1"/>
  <c r="R211" i="126" s="1"/>
  <c r="AX197" i="126"/>
  <c r="AX180" i="126" s="1"/>
  <c r="AX191" i="126" s="1"/>
  <c r="AX211" i="126" s="1"/>
  <c r="AY197" i="126"/>
  <c r="AY180" i="126" s="1"/>
  <c r="AY191" i="126" s="1"/>
  <c r="AY211" i="126" s="1"/>
  <c r="S197" i="126"/>
  <c r="S180" i="126" s="1"/>
  <c r="S191" i="126" s="1"/>
  <c r="S211" i="126" s="1"/>
  <c r="AZ197" i="126"/>
  <c r="AZ180" i="126" s="1"/>
  <c r="AZ191" i="126" s="1"/>
  <c r="AZ211" i="126" s="1"/>
  <c r="T197" i="126"/>
  <c r="T180" i="126" s="1"/>
  <c r="T191" i="126" s="1"/>
  <c r="T211" i="126" s="1"/>
  <c r="U197" i="126"/>
  <c r="U180" i="126" s="1"/>
  <c r="U191" i="126" s="1"/>
  <c r="U211" i="126" s="1"/>
  <c r="BA197" i="126"/>
  <c r="BA180" i="126" s="1"/>
  <c r="BA191" i="126" s="1"/>
  <c r="BA211" i="126" s="1"/>
  <c r="V197" i="126"/>
  <c r="V180" i="126" s="1"/>
  <c r="V191" i="126" s="1"/>
  <c r="V211" i="126" s="1"/>
  <c r="BB197" i="126"/>
  <c r="BB180" i="126" s="1"/>
  <c r="BB191" i="126" s="1"/>
  <c r="BB211" i="126" s="1"/>
  <c r="W197" i="126"/>
  <c r="W180" i="126" s="1"/>
  <c r="W191" i="126" s="1"/>
  <c r="W211" i="126" s="1"/>
  <c r="BC197" i="126"/>
  <c r="BC180" i="126" s="1"/>
  <c r="BC191" i="126" s="1"/>
  <c r="BC211" i="126" s="1"/>
  <c r="X197" i="126"/>
  <c r="X180" i="126" s="1"/>
  <c r="X191" i="126" s="1"/>
  <c r="X211" i="126" s="1"/>
  <c r="BD197" i="126"/>
  <c r="BD180" i="126" s="1"/>
  <c r="BD191" i="126" s="1"/>
  <c r="BD211" i="126" s="1"/>
  <c r="BE197" i="126"/>
  <c r="BE180" i="126" s="1"/>
  <c r="BE191" i="126" s="1"/>
  <c r="BE211" i="126" s="1"/>
  <c r="Y197" i="126"/>
  <c r="Y180" i="126" s="1"/>
  <c r="Y191" i="126" s="1"/>
  <c r="Y211" i="126" s="1"/>
  <c r="Z197" i="126"/>
  <c r="Z180" i="126" s="1"/>
  <c r="Z191" i="126" s="1"/>
  <c r="Z211" i="126" s="1"/>
  <c r="BF197" i="126"/>
  <c r="BF180" i="126" s="1"/>
  <c r="BF191" i="126" s="1"/>
  <c r="BF211" i="126" s="1"/>
  <c r="AA197" i="126"/>
  <c r="AA180" i="126" s="1"/>
  <c r="AA191" i="126" s="1"/>
  <c r="BG197" i="126"/>
  <c r="BG180" i="126" s="1"/>
  <c r="BG191" i="126" s="1"/>
  <c r="AA25" i="126"/>
  <c r="BH197" i="126"/>
  <c r="BH180" i="126" s="1"/>
  <c r="BH191" i="126" s="1"/>
  <c r="AM211" i="125"/>
  <c r="AM203" i="125"/>
  <c r="AM204" i="125"/>
  <c r="AM202" i="125"/>
  <c r="M125" i="126"/>
  <c r="M124" i="126"/>
  <c r="M123" i="126"/>
  <c r="AB117" i="126"/>
  <c r="BE125" i="126"/>
  <c r="BE124" i="126"/>
  <c r="H254" i="126"/>
  <c r="O46" i="126"/>
  <c r="O45" i="126"/>
  <c r="O44" i="126"/>
  <c r="R283" i="126"/>
  <c r="R282" i="126"/>
  <c r="R281" i="126"/>
  <c r="K45" i="126"/>
  <c r="K46" i="126"/>
  <c r="K44" i="126"/>
  <c r="AP45" i="126"/>
  <c r="AP46" i="126"/>
  <c r="AP44" i="126"/>
  <c r="AO282" i="126"/>
  <c r="AO283" i="126"/>
  <c r="AO281" i="126"/>
  <c r="N204" i="126"/>
  <c r="N203" i="126"/>
  <c r="N202" i="126"/>
  <c r="AX46" i="126"/>
  <c r="AX45" i="126"/>
  <c r="AX44" i="126"/>
  <c r="H175" i="126"/>
  <c r="AW204" i="126"/>
  <c r="AW203" i="126"/>
  <c r="AW202" i="126"/>
  <c r="AU124" i="126"/>
  <c r="AU125" i="126"/>
  <c r="AU123" i="126"/>
  <c r="Y204" i="126"/>
  <c r="Y203" i="126"/>
  <c r="AV203" i="126"/>
  <c r="AV204" i="126"/>
  <c r="AV202" i="126"/>
  <c r="N282" i="126"/>
  <c r="N283" i="126"/>
  <c r="N281" i="126"/>
  <c r="BD45" i="126"/>
  <c r="BD46" i="126"/>
  <c r="BD44" i="126"/>
  <c r="K124" i="126"/>
  <c r="K125" i="126"/>
  <c r="K123" i="126"/>
  <c r="Q282" i="126"/>
  <c r="Q283" i="126"/>
  <c r="Q281" i="126"/>
  <c r="R204" i="126"/>
  <c r="R203" i="126"/>
  <c r="R202" i="126"/>
  <c r="U203" i="126"/>
  <c r="U204" i="126"/>
  <c r="U202" i="126"/>
  <c r="AP125" i="126"/>
  <c r="AP124" i="126"/>
  <c r="AP123" i="126"/>
  <c r="BD204" i="126"/>
  <c r="BD203" i="126"/>
  <c r="BD202" i="126"/>
  <c r="AV282" i="126"/>
  <c r="AV283" i="126"/>
  <c r="AV281" i="126"/>
  <c r="S45" i="126"/>
  <c r="S46" i="126"/>
  <c r="S44" i="126"/>
  <c r="V124" i="126"/>
  <c r="V125" i="126"/>
  <c r="V123" i="126"/>
  <c r="AN96" i="126"/>
  <c r="BG25" i="126"/>
  <c r="S124" i="126"/>
  <c r="S125" i="126"/>
  <c r="S123" i="126"/>
  <c r="G124" i="125"/>
  <c r="G123" i="125"/>
  <c r="G125" i="125"/>
  <c r="G335" i="125" s="1"/>
  <c r="BB204" i="126"/>
  <c r="BB203" i="126"/>
  <c r="BB202" i="126"/>
  <c r="AS203" i="126"/>
  <c r="AS204" i="126"/>
  <c r="AS202" i="126"/>
  <c r="AA262" i="126"/>
  <c r="O125" i="126"/>
  <c r="O124" i="126"/>
  <c r="O123" i="126"/>
  <c r="BE203" i="126"/>
  <c r="BE204" i="126"/>
  <c r="P204" i="126"/>
  <c r="P203" i="126"/>
  <c r="P202" i="126"/>
  <c r="AT283" i="126"/>
  <c r="AT282" i="126"/>
  <c r="AT281" i="126"/>
  <c r="X45" i="126"/>
  <c r="X46" i="126"/>
  <c r="X44" i="126"/>
  <c r="AQ125" i="126"/>
  <c r="AQ124" i="126"/>
  <c r="AQ123" i="126"/>
  <c r="AW283" i="126"/>
  <c r="AW282" i="126"/>
  <c r="AW281" i="126"/>
  <c r="AO11" i="126"/>
  <c r="AO68" i="126" s="1"/>
  <c r="I11" i="126"/>
  <c r="I68" i="126" s="1"/>
  <c r="BH149" i="126" a="1"/>
  <c r="BH149" i="126" s="1"/>
  <c r="BH106" i="126"/>
  <c r="BH95" i="126"/>
  <c r="BH148" i="126" a="1"/>
  <c r="BH148" i="126" s="1"/>
  <c r="BH105" i="126"/>
  <c r="BH41" i="126"/>
  <c r="BH56" i="126" s="1"/>
  <c r="BH117" i="126"/>
  <c r="BH275" i="126"/>
  <c r="AX203" i="126"/>
  <c r="AX204" i="126"/>
  <c r="AX202" i="126"/>
  <c r="BA203" i="126"/>
  <c r="BA204" i="126"/>
  <c r="BA202" i="126"/>
  <c r="Y123" i="126"/>
  <c r="AB196" i="126"/>
  <c r="J124" i="126"/>
  <c r="J125" i="126"/>
  <c r="J123" i="126"/>
  <c r="X204" i="126"/>
  <c r="X203" i="126"/>
  <c r="X202" i="126"/>
  <c r="P282" i="126"/>
  <c r="P283" i="126"/>
  <c r="P281" i="126"/>
  <c r="AY45" i="126"/>
  <c r="AY46" i="126"/>
  <c r="AY44" i="126"/>
  <c r="BB124" i="126"/>
  <c r="BB125" i="126"/>
  <c r="BB123" i="126"/>
  <c r="H96" i="126"/>
  <c r="AY124" i="126"/>
  <c r="AY125" i="126"/>
  <c r="AY123" i="126"/>
  <c r="AM125" i="125"/>
  <c r="AM124" i="125"/>
  <c r="AM123" i="125"/>
  <c r="V203" i="126"/>
  <c r="V204" i="126"/>
  <c r="V202" i="126"/>
  <c r="M204" i="126"/>
  <c r="M203" i="126"/>
  <c r="M202" i="126"/>
  <c r="AZ125" i="126"/>
  <c r="AZ124" i="126"/>
  <c r="AZ123" i="126"/>
  <c r="AZ203" i="126"/>
  <c r="AZ204" i="126"/>
  <c r="AZ202" i="126"/>
  <c r="P45" i="126"/>
  <c r="P46" i="126"/>
  <c r="P44" i="126"/>
  <c r="BD125" i="126"/>
  <c r="BD124" i="126"/>
  <c r="BD123" i="126"/>
  <c r="Y202" i="126"/>
  <c r="Q124" i="126"/>
  <c r="Q125" i="126"/>
  <c r="Q123" i="126"/>
  <c r="AT46" i="126"/>
  <c r="AT45" i="126"/>
  <c r="AT44" i="126"/>
  <c r="AM39" i="125"/>
  <c r="AM22" i="125" s="1"/>
  <c r="AN39" i="126"/>
  <c r="H39" i="126"/>
  <c r="G39" i="125"/>
  <c r="G22" i="125" s="1"/>
  <c r="I39" i="126"/>
  <c r="I22" i="126" s="1"/>
  <c r="AO39" i="126"/>
  <c r="AO22" i="126" s="1"/>
  <c r="AP39" i="126"/>
  <c r="AP22" i="126" s="1"/>
  <c r="J39" i="126"/>
  <c r="J22" i="126" s="1"/>
  <c r="K39" i="126"/>
  <c r="K22" i="126" s="1"/>
  <c r="AQ39" i="126"/>
  <c r="AQ22" i="126" s="1"/>
  <c r="AR39" i="126"/>
  <c r="AR22" i="126" s="1"/>
  <c r="L39" i="126"/>
  <c r="L22" i="126" s="1"/>
  <c r="M39" i="126"/>
  <c r="M22" i="126" s="1"/>
  <c r="AS39" i="126"/>
  <c r="AS22" i="126" s="1"/>
  <c r="AT39" i="126"/>
  <c r="AT22" i="126" s="1"/>
  <c r="N39" i="126"/>
  <c r="N22" i="126" s="1"/>
  <c r="AU39" i="126"/>
  <c r="AU22" i="126" s="1"/>
  <c r="O39" i="126"/>
  <c r="O22" i="126" s="1"/>
  <c r="P39" i="126"/>
  <c r="P22" i="126" s="1"/>
  <c r="AV39" i="126"/>
  <c r="AV22" i="126" s="1"/>
  <c r="AW39" i="126"/>
  <c r="AW22" i="126" s="1"/>
  <c r="Q39" i="126"/>
  <c r="Q22" i="126" s="1"/>
  <c r="AX39" i="126"/>
  <c r="AX22" i="126" s="1"/>
  <c r="R39" i="126"/>
  <c r="R22" i="126" s="1"/>
  <c r="S39" i="126"/>
  <c r="S22" i="126" s="1"/>
  <c r="AY39" i="126"/>
  <c r="AY22" i="126" s="1"/>
  <c r="T39" i="126"/>
  <c r="T22" i="126" s="1"/>
  <c r="AZ39" i="126"/>
  <c r="AZ22" i="126" s="1"/>
  <c r="BA39" i="126"/>
  <c r="BA22" i="126" s="1"/>
  <c r="U39" i="126"/>
  <c r="U22" i="126" s="1"/>
  <c r="V39" i="126"/>
  <c r="V22" i="126" s="1"/>
  <c r="BB39" i="126"/>
  <c r="BB22" i="126" s="1"/>
  <c r="BC39" i="126"/>
  <c r="BC22" i="126" s="1"/>
  <c r="W39" i="126"/>
  <c r="W22" i="126" s="1"/>
  <c r="X39" i="126"/>
  <c r="X22" i="126" s="1"/>
  <c r="BD39" i="126"/>
  <c r="BD22" i="126" s="1"/>
  <c r="BE39" i="126"/>
  <c r="BE22" i="126" s="1"/>
  <c r="Y39" i="126"/>
  <c r="Y22" i="126" s="1"/>
  <c r="Z39" i="126"/>
  <c r="Z22" i="126" s="1"/>
  <c r="BF39" i="126"/>
  <c r="BF22" i="126" s="1"/>
  <c r="AA39" i="126"/>
  <c r="AA22" i="126" s="1"/>
  <c r="BG39" i="126"/>
  <c r="BG22" i="126" s="1"/>
  <c r="AM278" i="125"/>
  <c r="AM293" i="125" s="1"/>
  <c r="G278" i="125"/>
  <c r="G293" i="125" s="1"/>
  <c r="H278" i="126"/>
  <c r="AN278" i="126"/>
  <c r="AO278" i="126"/>
  <c r="AO293" i="126" s="1"/>
  <c r="I278" i="126"/>
  <c r="I293" i="126" s="1"/>
  <c r="AP278" i="126"/>
  <c r="AP293" i="126" s="1"/>
  <c r="J278" i="126"/>
  <c r="J293" i="126" s="1"/>
  <c r="AQ278" i="126"/>
  <c r="AQ293" i="126" s="1"/>
  <c r="K278" i="126"/>
  <c r="K293" i="126" s="1"/>
  <c r="L278" i="126"/>
  <c r="L293" i="126" s="1"/>
  <c r="AR278" i="126"/>
  <c r="AR293" i="126" s="1"/>
  <c r="M278" i="126"/>
  <c r="M293" i="126" s="1"/>
  <c r="AS278" i="126"/>
  <c r="AS293" i="126" s="1"/>
  <c r="AT278" i="126"/>
  <c r="AT293" i="126" s="1"/>
  <c r="N278" i="126"/>
  <c r="N293" i="126" s="1"/>
  <c r="AU278" i="126"/>
  <c r="AU293" i="126" s="1"/>
  <c r="O278" i="126"/>
  <c r="O293" i="126" s="1"/>
  <c r="AV278" i="126"/>
  <c r="AV293" i="126" s="1"/>
  <c r="P278" i="126"/>
  <c r="P293" i="126" s="1"/>
  <c r="AW278" i="126"/>
  <c r="AW293" i="126" s="1"/>
  <c r="Q278" i="126"/>
  <c r="Q293" i="126" s="1"/>
  <c r="R278" i="126"/>
  <c r="R293" i="126" s="1"/>
  <c r="AX278" i="126"/>
  <c r="AX293" i="126" s="1"/>
  <c r="AY278" i="126"/>
  <c r="AY293" i="126" s="1"/>
  <c r="S278" i="126"/>
  <c r="S293" i="126" s="1"/>
  <c r="T278" i="126"/>
  <c r="T293" i="126" s="1"/>
  <c r="AZ278" i="126"/>
  <c r="AZ293" i="126" s="1"/>
  <c r="U278" i="126"/>
  <c r="U293" i="126" s="1"/>
  <c r="BA278" i="126"/>
  <c r="BA293" i="126" s="1"/>
  <c r="BB278" i="126"/>
  <c r="BB293" i="126" s="1"/>
  <c r="V278" i="126"/>
  <c r="V293" i="126" s="1"/>
  <c r="W278" i="126"/>
  <c r="W293" i="126" s="1"/>
  <c r="BC278" i="126"/>
  <c r="BC293" i="126" s="1"/>
  <c r="BD278" i="126"/>
  <c r="BD293" i="126" s="1"/>
  <c r="X278" i="126"/>
  <c r="X293" i="126" s="1"/>
  <c r="Y278" i="126"/>
  <c r="Y293" i="126" s="1"/>
  <c r="BE278" i="126"/>
  <c r="BE293" i="126" s="1"/>
  <c r="BF278" i="126"/>
  <c r="BF293" i="126" s="1"/>
  <c r="Z278" i="126"/>
  <c r="Z293" i="126" s="1"/>
  <c r="AA278" i="126"/>
  <c r="AA293" i="126" s="1"/>
  <c r="BG278" i="126"/>
  <c r="BG293" i="126" s="1"/>
  <c r="BH277" i="125"/>
  <c r="AM277" i="125"/>
  <c r="AM260" i="125" s="1"/>
  <c r="AM271" i="125" s="1"/>
  <c r="G277" i="125"/>
  <c r="G260" i="125" s="1"/>
  <c r="G271" i="125" s="1"/>
  <c r="H277" i="126"/>
  <c r="AN277" i="126"/>
  <c r="AO277" i="126"/>
  <c r="I277" i="126"/>
  <c r="AP277" i="126"/>
  <c r="J277" i="126"/>
  <c r="AQ277" i="126"/>
  <c r="K277" i="126"/>
  <c r="AR277" i="126"/>
  <c r="L277" i="126"/>
  <c r="AS277" i="126"/>
  <c r="M277" i="126"/>
  <c r="AT277" i="126"/>
  <c r="N277" i="126"/>
  <c r="AU277" i="126"/>
  <c r="O277" i="126"/>
  <c r="AV277" i="126"/>
  <c r="P277" i="126"/>
  <c r="AW277" i="126"/>
  <c r="Q277" i="126"/>
  <c r="AX277" i="126"/>
  <c r="R277" i="126"/>
  <c r="AY277" i="126"/>
  <c r="S277" i="126"/>
  <c r="AZ277" i="126"/>
  <c r="T277" i="126"/>
  <c r="U277" i="126"/>
  <c r="BA277" i="126"/>
  <c r="BB277" i="126"/>
  <c r="V277" i="126"/>
  <c r="BC277" i="126"/>
  <c r="W277" i="126"/>
  <c r="BD277" i="126"/>
  <c r="X277" i="126"/>
  <c r="Y277" i="126"/>
  <c r="BE277" i="126"/>
  <c r="BF277" i="126"/>
  <c r="Z277" i="126"/>
  <c r="BG277" i="126"/>
  <c r="AA277" i="126"/>
  <c r="AB199" i="125"/>
  <c r="AB214" i="125" s="1"/>
  <c r="AM199" i="125"/>
  <c r="AM214" i="125" s="1"/>
  <c r="G199" i="125"/>
  <c r="G214" i="125" s="1"/>
  <c r="AN199" i="126"/>
  <c r="H199" i="126"/>
  <c r="AO199" i="126"/>
  <c r="AO214" i="126" s="1"/>
  <c r="I199" i="126"/>
  <c r="I214" i="126" s="1"/>
  <c r="AP199" i="126"/>
  <c r="AP214" i="126" s="1"/>
  <c r="J199" i="126"/>
  <c r="J214" i="126" s="1"/>
  <c r="K199" i="126"/>
  <c r="K214" i="126" s="1"/>
  <c r="AQ199" i="126"/>
  <c r="AQ214" i="126" s="1"/>
  <c r="L199" i="126"/>
  <c r="L214" i="126" s="1"/>
  <c r="AR199" i="126"/>
  <c r="AR214" i="126" s="1"/>
  <c r="AS199" i="126"/>
  <c r="AS214" i="126" s="1"/>
  <c r="M199" i="126"/>
  <c r="M214" i="126" s="1"/>
  <c r="N199" i="126"/>
  <c r="N214" i="126" s="1"/>
  <c r="AT199" i="126"/>
  <c r="AT214" i="126" s="1"/>
  <c r="O199" i="126"/>
  <c r="O214" i="126" s="1"/>
  <c r="AU199" i="126"/>
  <c r="AU214" i="126" s="1"/>
  <c r="P199" i="126"/>
  <c r="P214" i="126" s="1"/>
  <c r="AV199" i="126"/>
  <c r="AV214" i="126" s="1"/>
  <c r="AW199" i="126"/>
  <c r="AW214" i="126" s="1"/>
  <c r="Q199" i="126"/>
  <c r="Q214" i="126" s="1"/>
  <c r="R199" i="126"/>
  <c r="R214" i="126" s="1"/>
  <c r="AX199" i="126"/>
  <c r="AX214" i="126" s="1"/>
  <c r="S199" i="126"/>
  <c r="S214" i="126" s="1"/>
  <c r="AY199" i="126"/>
  <c r="AY214" i="126" s="1"/>
  <c r="T199" i="126"/>
  <c r="T214" i="126" s="1"/>
  <c r="AZ199" i="126"/>
  <c r="AZ214" i="126" s="1"/>
  <c r="BA199" i="126"/>
  <c r="BA214" i="126" s="1"/>
  <c r="U199" i="126"/>
  <c r="U214" i="126" s="1"/>
  <c r="V199" i="126"/>
  <c r="V214" i="126" s="1"/>
  <c r="BB199" i="126"/>
  <c r="BB214" i="126" s="1"/>
  <c r="W199" i="126"/>
  <c r="W214" i="126" s="1"/>
  <c r="BC199" i="126"/>
  <c r="BC214" i="126" s="1"/>
  <c r="X199" i="126"/>
  <c r="X214" i="126" s="1"/>
  <c r="BD199" i="126"/>
  <c r="BD214" i="126" s="1"/>
  <c r="BE199" i="126"/>
  <c r="BE214" i="126" s="1"/>
  <c r="Y199" i="126"/>
  <c r="Y214" i="126" s="1"/>
  <c r="Z199" i="126"/>
  <c r="Z214" i="126" s="1"/>
  <c r="BF199" i="126"/>
  <c r="BF214" i="126" s="1"/>
  <c r="AA199" i="126"/>
  <c r="AA214" i="126" s="1"/>
  <c r="BG199" i="126"/>
  <c r="BG214" i="126" s="1"/>
  <c r="AA183" i="126"/>
  <c r="BH70" i="126" a="1"/>
  <c r="BH70" i="126" s="1"/>
  <c r="BH26" i="126"/>
  <c r="BH16" i="126"/>
  <c r="BH69" i="126" a="1"/>
  <c r="BH69" i="126" s="1"/>
  <c r="BH27" i="126"/>
  <c r="BH196" i="126"/>
  <c r="BH277" i="126"/>
  <c r="AY283" i="126"/>
  <c r="AY282" i="126"/>
  <c r="AY281" i="126"/>
  <c r="AB69" i="126" a="1"/>
  <c r="AB69" i="126" s="1"/>
  <c r="AB16" i="126"/>
  <c r="AB70" i="126" a="1"/>
  <c r="AB70" i="126" s="1"/>
  <c r="AB27" i="126"/>
  <c r="AB26" i="126"/>
  <c r="AB38" i="126"/>
  <c r="AB275" i="126"/>
  <c r="V46" i="126"/>
  <c r="V45" i="126"/>
  <c r="V44" i="126"/>
  <c r="AO46" i="126"/>
  <c r="AO45" i="126"/>
  <c r="AO44" i="126"/>
  <c r="N124" i="126"/>
  <c r="N125" i="126"/>
  <c r="N123" i="126"/>
  <c r="I125" i="126"/>
  <c r="I124" i="126"/>
  <c r="I123" i="126"/>
  <c r="AR125" i="126"/>
  <c r="AR124" i="126"/>
  <c r="AR123" i="126"/>
  <c r="BE282" i="126"/>
  <c r="BE283" i="126"/>
  <c r="R125" i="126"/>
  <c r="R124" i="126"/>
  <c r="R123" i="126"/>
  <c r="AN17" i="126"/>
  <c r="AR46" i="126"/>
  <c r="AR45" i="126"/>
  <c r="AR44" i="126"/>
  <c r="S203" i="126"/>
  <c r="S204" i="126"/>
  <c r="S202" i="126"/>
  <c r="AS282" i="126"/>
  <c r="AS283" i="126"/>
  <c r="AS281" i="126"/>
  <c r="BG124" i="126"/>
  <c r="BG104" i="126"/>
  <c r="BG123" i="126" s="1"/>
  <c r="T124" i="126"/>
  <c r="T125" i="126"/>
  <c r="T123" i="126"/>
  <c r="T203" i="126"/>
  <c r="T204" i="126"/>
  <c r="T202" i="126"/>
  <c r="AV46" i="126"/>
  <c r="AV45" i="126"/>
  <c r="AV44" i="126"/>
  <c r="X124" i="126"/>
  <c r="X125" i="126"/>
  <c r="X123" i="126"/>
  <c r="AW125" i="126"/>
  <c r="AW124" i="126"/>
  <c r="AW123" i="126"/>
  <c r="N46" i="126"/>
  <c r="N45" i="126"/>
  <c r="N44" i="126"/>
  <c r="AM40" i="125"/>
  <c r="G40" i="125"/>
  <c r="G23" i="125" s="1"/>
  <c r="H40" i="126"/>
  <c r="AN40" i="126"/>
  <c r="AO40" i="126"/>
  <c r="I40" i="126"/>
  <c r="AP40" i="126"/>
  <c r="J40" i="126"/>
  <c r="AQ40" i="126"/>
  <c r="K40" i="126"/>
  <c r="L40" i="126"/>
  <c r="AR40" i="126"/>
  <c r="AS40" i="126"/>
  <c r="M40" i="126"/>
  <c r="N40" i="126"/>
  <c r="AT40" i="126"/>
  <c r="O40" i="126"/>
  <c r="AU40" i="126"/>
  <c r="AV40" i="126"/>
  <c r="P40" i="126"/>
  <c r="Q40" i="126"/>
  <c r="AW40" i="126"/>
  <c r="R40" i="126"/>
  <c r="AX40" i="126"/>
  <c r="S40" i="126"/>
  <c r="AY40" i="126"/>
  <c r="AZ40" i="126"/>
  <c r="T40" i="126"/>
  <c r="BA40" i="126"/>
  <c r="U40" i="126"/>
  <c r="V40" i="126"/>
  <c r="BB40" i="126"/>
  <c r="BC40" i="126"/>
  <c r="W40" i="126"/>
  <c r="BD40" i="126"/>
  <c r="X40" i="126"/>
  <c r="Y40" i="126"/>
  <c r="BE40" i="126"/>
  <c r="BF40" i="126"/>
  <c r="Z40" i="126"/>
  <c r="AA40" i="126"/>
  <c r="BG40" i="126"/>
  <c r="BH198" i="125"/>
  <c r="AM198" i="125"/>
  <c r="AM181" i="125" s="1"/>
  <c r="AM192" i="125" s="1"/>
  <c r="H198" i="126"/>
  <c r="G198" i="125"/>
  <c r="G181" i="125" s="1"/>
  <c r="G192" i="125" s="1"/>
  <c r="AN198" i="126"/>
  <c r="AO198" i="126"/>
  <c r="I198" i="126"/>
  <c r="AP198" i="126"/>
  <c r="J198" i="126"/>
  <c r="K198" i="126"/>
  <c r="AQ198" i="126"/>
  <c r="AR198" i="126"/>
  <c r="L198" i="126"/>
  <c r="M198" i="126"/>
  <c r="AS198" i="126"/>
  <c r="AT198" i="126"/>
  <c r="N198" i="126"/>
  <c r="O198" i="126"/>
  <c r="AU198" i="126"/>
  <c r="AV198" i="126"/>
  <c r="P198" i="126"/>
  <c r="Q198" i="126"/>
  <c r="AW198" i="126"/>
  <c r="AX198" i="126"/>
  <c r="R198" i="126"/>
  <c r="AY198" i="126"/>
  <c r="S198" i="126"/>
  <c r="AZ198" i="126"/>
  <c r="T198" i="126"/>
  <c r="BA198" i="126"/>
  <c r="U198" i="126"/>
  <c r="BB198" i="126"/>
  <c r="V198" i="126"/>
  <c r="BC198" i="126"/>
  <c r="W198" i="126"/>
  <c r="X198" i="126"/>
  <c r="BD198" i="126"/>
  <c r="Y198" i="126"/>
  <c r="BE198" i="126"/>
  <c r="Z198" i="126"/>
  <c r="BF198" i="126"/>
  <c r="BG198" i="126"/>
  <c r="AA198" i="126"/>
  <c r="AB120" i="125"/>
  <c r="AB135" i="125" s="1"/>
  <c r="AM120" i="125"/>
  <c r="AM135" i="125" s="1"/>
  <c r="H120" i="126"/>
  <c r="AN120" i="126"/>
  <c r="G120" i="125"/>
  <c r="G135" i="125" s="1"/>
  <c r="AO120" i="126"/>
  <c r="AO135" i="126" s="1"/>
  <c r="I120" i="126"/>
  <c r="I135" i="126" s="1"/>
  <c r="AP120" i="126"/>
  <c r="AP135" i="126" s="1"/>
  <c r="J120" i="126"/>
  <c r="J135" i="126" s="1"/>
  <c r="AQ120" i="126"/>
  <c r="AQ135" i="126" s="1"/>
  <c r="K120" i="126"/>
  <c r="K135" i="126" s="1"/>
  <c r="L120" i="126"/>
  <c r="L135" i="126" s="1"/>
  <c r="AR120" i="126"/>
  <c r="AR135" i="126" s="1"/>
  <c r="AS120" i="126"/>
  <c r="AS135" i="126" s="1"/>
  <c r="M120" i="126"/>
  <c r="M135" i="126" s="1"/>
  <c r="N120" i="126"/>
  <c r="N135" i="126" s="1"/>
  <c r="AT120" i="126"/>
  <c r="AT135" i="126" s="1"/>
  <c r="O120" i="126"/>
  <c r="O135" i="126" s="1"/>
  <c r="AU120" i="126"/>
  <c r="AU135" i="126" s="1"/>
  <c r="P120" i="126"/>
  <c r="P135" i="126" s="1"/>
  <c r="AV120" i="126"/>
  <c r="AV135" i="126" s="1"/>
  <c r="Q120" i="126"/>
  <c r="Q135" i="126" s="1"/>
  <c r="AW120" i="126"/>
  <c r="AW135" i="126" s="1"/>
  <c r="R120" i="126"/>
  <c r="R135" i="126" s="1"/>
  <c r="AX120" i="126"/>
  <c r="AX135" i="126" s="1"/>
  <c r="S120" i="126"/>
  <c r="S135" i="126" s="1"/>
  <c r="AY120" i="126"/>
  <c r="AY135" i="126" s="1"/>
  <c r="AZ120" i="126"/>
  <c r="AZ135" i="126" s="1"/>
  <c r="T120" i="126"/>
  <c r="T135" i="126" s="1"/>
  <c r="BA120" i="126"/>
  <c r="BA135" i="126" s="1"/>
  <c r="U120" i="126"/>
  <c r="U135" i="126" s="1"/>
  <c r="V120" i="126"/>
  <c r="V135" i="126" s="1"/>
  <c r="BB120" i="126"/>
  <c r="BB135" i="126" s="1"/>
  <c r="BC120" i="126"/>
  <c r="BC135" i="126" s="1"/>
  <c r="W120" i="126"/>
  <c r="W135" i="126" s="1"/>
  <c r="BD120" i="126"/>
  <c r="BD135" i="126" s="1"/>
  <c r="X120" i="126"/>
  <c r="X135" i="126" s="1"/>
  <c r="BE120" i="126"/>
  <c r="BE135" i="126" s="1"/>
  <c r="Y120" i="126"/>
  <c r="Y135" i="126" s="1"/>
  <c r="Z120" i="126"/>
  <c r="Z135" i="126" s="1"/>
  <c r="BF120" i="126"/>
  <c r="BF135" i="126" s="1"/>
  <c r="BG120" i="126"/>
  <c r="BG135" i="126" s="1"/>
  <c r="AA120" i="126"/>
  <c r="AA135" i="126" s="1"/>
  <c r="AO90" i="126"/>
  <c r="AO147" i="126" s="1"/>
  <c r="I90" i="126"/>
  <c r="I147" i="126" s="1"/>
  <c r="BH228" i="126" a="1"/>
  <c r="BH228" i="126" s="1"/>
  <c r="BH174" i="126"/>
  <c r="BH175" i="126" s="1"/>
  <c r="BH185" i="126"/>
  <c r="BH227" i="126" a="1"/>
  <c r="BH227" i="126" s="1"/>
  <c r="BH184" i="126"/>
  <c r="BH38" i="126"/>
  <c r="BH198" i="126"/>
  <c r="BH278" i="126"/>
  <c r="BH293" i="126" s="1"/>
  <c r="S282" i="126"/>
  <c r="S283" i="126"/>
  <c r="S281" i="126"/>
  <c r="AB95" i="126"/>
  <c r="AB96" i="126" s="1"/>
  <c r="AB132" i="126" s="1"/>
  <c r="AB149" i="126" a="1"/>
  <c r="AB149" i="126" s="1"/>
  <c r="AB105" i="126"/>
  <c r="AB106" i="126"/>
  <c r="AB148" i="126" a="1"/>
  <c r="AB148" i="126" s="1"/>
  <c r="AB40" i="126"/>
  <c r="AB278" i="126"/>
  <c r="AB293" i="126" s="1"/>
  <c r="BB45" i="126"/>
  <c r="BB46" i="126"/>
  <c r="BB44" i="126"/>
  <c r="I45" i="126"/>
  <c r="I46" i="126"/>
  <c r="I44" i="126"/>
  <c r="AT124" i="126"/>
  <c r="AT125" i="126"/>
  <c r="AT123" i="126"/>
  <c r="AO125" i="126"/>
  <c r="AO124" i="126"/>
  <c r="AO123" i="126"/>
  <c r="L124" i="126"/>
  <c r="L125" i="126"/>
  <c r="L123" i="126"/>
  <c r="Y283" i="126"/>
  <c r="Y282" i="126"/>
  <c r="AX124" i="126"/>
  <c r="AX125" i="126"/>
  <c r="AX123" i="126"/>
  <c r="H17" i="126"/>
  <c r="L46" i="126"/>
  <c r="L45" i="126"/>
  <c r="L44" i="126"/>
  <c r="AY203" i="126"/>
  <c r="AY204" i="126"/>
  <c r="AY202" i="126"/>
  <c r="M283" i="126"/>
  <c r="M282" i="126"/>
  <c r="M281" i="126"/>
  <c r="W204" i="126"/>
  <c r="W203" i="126"/>
  <c r="W202" i="126"/>
  <c r="G45" i="125"/>
  <c r="BC283" i="126"/>
  <c r="BC282" i="126"/>
  <c r="BC281" i="126"/>
  <c r="I204" i="126"/>
  <c r="I203" i="126"/>
  <c r="I202" i="126"/>
  <c r="BF44" i="126"/>
  <c r="BF47" i="126" s="1"/>
  <c r="T282" i="126"/>
  <c r="T283" i="126"/>
  <c r="T281" i="126"/>
  <c r="BC125" i="126"/>
  <c r="BC124" i="126"/>
  <c r="BC123" i="126"/>
  <c r="L204" i="126"/>
  <c r="L203" i="126"/>
  <c r="L202" i="126"/>
  <c r="BH119" i="125"/>
  <c r="AM119" i="125"/>
  <c r="AM102" i="125" s="1"/>
  <c r="AM113" i="125" s="1"/>
  <c r="AN119" i="126"/>
  <c r="G119" i="125"/>
  <c r="G102" i="125" s="1"/>
  <c r="G113" i="125" s="1"/>
  <c r="H119" i="126"/>
  <c r="AO119" i="126"/>
  <c r="I119" i="126"/>
  <c r="AP119" i="126"/>
  <c r="J119" i="126"/>
  <c r="K119" i="126"/>
  <c r="AQ119" i="126"/>
  <c r="AR119" i="126"/>
  <c r="L119" i="126"/>
  <c r="AS119" i="126"/>
  <c r="M119" i="126"/>
  <c r="AT119" i="126"/>
  <c r="N119" i="126"/>
  <c r="AU119" i="126"/>
  <c r="O119" i="126"/>
  <c r="AV119" i="126"/>
  <c r="P119" i="126"/>
  <c r="Q119" i="126"/>
  <c r="AW119" i="126"/>
  <c r="AX119" i="126"/>
  <c r="R119" i="126"/>
  <c r="S119" i="126"/>
  <c r="AY119" i="126"/>
  <c r="T119" i="126"/>
  <c r="AZ119" i="126"/>
  <c r="BA119" i="126"/>
  <c r="U119" i="126"/>
  <c r="BB119" i="126"/>
  <c r="V119" i="126"/>
  <c r="BC119" i="126"/>
  <c r="W119" i="126"/>
  <c r="X119" i="126"/>
  <c r="BD119" i="126"/>
  <c r="Y119" i="126"/>
  <c r="BE119" i="126"/>
  <c r="BF119" i="126"/>
  <c r="Z119" i="126"/>
  <c r="AA119" i="126"/>
  <c r="BG119" i="126"/>
  <c r="I169" i="126"/>
  <c r="I226" i="126" s="1"/>
  <c r="AO169" i="126"/>
  <c r="AO226" i="126" s="1"/>
  <c r="BH118" i="125"/>
  <c r="BH101" i="125" s="1"/>
  <c r="BH112" i="125" s="1"/>
  <c r="AM118" i="125"/>
  <c r="AM101" i="125" s="1"/>
  <c r="AM112" i="125" s="1"/>
  <c r="AM132" i="125" s="1"/>
  <c r="H118" i="126"/>
  <c r="G118" i="125"/>
  <c r="G101" i="125" s="1"/>
  <c r="G112" i="125" s="1"/>
  <c r="G132" i="125" s="1"/>
  <c r="AN118" i="126"/>
  <c r="I118" i="126"/>
  <c r="I101" i="126" s="1"/>
  <c r="I112" i="126" s="1"/>
  <c r="I132" i="126" s="1"/>
  <c r="AO118" i="126"/>
  <c r="AO101" i="126" s="1"/>
  <c r="AO112" i="126" s="1"/>
  <c r="AO132" i="126" s="1"/>
  <c r="J118" i="126"/>
  <c r="J101" i="126" s="1"/>
  <c r="J112" i="126" s="1"/>
  <c r="J132" i="126" s="1"/>
  <c r="AP118" i="126"/>
  <c r="AP101" i="126" s="1"/>
  <c r="AP112" i="126" s="1"/>
  <c r="AP132" i="126" s="1"/>
  <c r="AQ118" i="126"/>
  <c r="AQ101" i="126" s="1"/>
  <c r="AQ112" i="126" s="1"/>
  <c r="AQ132" i="126" s="1"/>
  <c r="K118" i="126"/>
  <c r="K101" i="126" s="1"/>
  <c r="K112" i="126" s="1"/>
  <c r="K132" i="126" s="1"/>
  <c r="L118" i="126"/>
  <c r="L101" i="126" s="1"/>
  <c r="L112" i="126" s="1"/>
  <c r="L132" i="126" s="1"/>
  <c r="AR118" i="126"/>
  <c r="AR101" i="126" s="1"/>
  <c r="AR112" i="126" s="1"/>
  <c r="AR132" i="126" s="1"/>
  <c r="AS118" i="126"/>
  <c r="AS101" i="126" s="1"/>
  <c r="AS112" i="126" s="1"/>
  <c r="AS132" i="126" s="1"/>
  <c r="M118" i="126"/>
  <c r="M101" i="126" s="1"/>
  <c r="M112" i="126" s="1"/>
  <c r="M132" i="126" s="1"/>
  <c r="N118" i="126"/>
  <c r="N101" i="126" s="1"/>
  <c r="N112" i="126" s="1"/>
  <c r="N132" i="126" s="1"/>
  <c r="AT118" i="126"/>
  <c r="AT101" i="126" s="1"/>
  <c r="AT112" i="126" s="1"/>
  <c r="AT132" i="126" s="1"/>
  <c r="O118" i="126"/>
  <c r="O101" i="126" s="1"/>
  <c r="O112" i="126" s="1"/>
  <c r="O132" i="126" s="1"/>
  <c r="AU118" i="126"/>
  <c r="AU101" i="126" s="1"/>
  <c r="AU112" i="126" s="1"/>
  <c r="AU132" i="126" s="1"/>
  <c r="P118" i="126"/>
  <c r="P101" i="126" s="1"/>
  <c r="P112" i="126" s="1"/>
  <c r="P132" i="126" s="1"/>
  <c r="AV118" i="126"/>
  <c r="AV101" i="126" s="1"/>
  <c r="AV112" i="126" s="1"/>
  <c r="AV132" i="126" s="1"/>
  <c r="AW118" i="126"/>
  <c r="AW101" i="126" s="1"/>
  <c r="AW112" i="126" s="1"/>
  <c r="AW132" i="126" s="1"/>
  <c r="Q118" i="126"/>
  <c r="Q101" i="126" s="1"/>
  <c r="Q112" i="126" s="1"/>
  <c r="Q132" i="126" s="1"/>
  <c r="R118" i="126"/>
  <c r="R101" i="126" s="1"/>
  <c r="R112" i="126" s="1"/>
  <c r="R132" i="126" s="1"/>
  <c r="AX118" i="126"/>
  <c r="AX101" i="126" s="1"/>
  <c r="AX112" i="126" s="1"/>
  <c r="AX132" i="126" s="1"/>
  <c r="S118" i="126"/>
  <c r="S101" i="126" s="1"/>
  <c r="S112" i="126" s="1"/>
  <c r="S132" i="126" s="1"/>
  <c r="AY118" i="126"/>
  <c r="AY101" i="126" s="1"/>
  <c r="AY112" i="126" s="1"/>
  <c r="AY132" i="126" s="1"/>
  <c r="T118" i="126"/>
  <c r="T101" i="126" s="1"/>
  <c r="T112" i="126" s="1"/>
  <c r="T132" i="126" s="1"/>
  <c r="AZ118" i="126"/>
  <c r="AZ101" i="126" s="1"/>
  <c r="AZ112" i="126" s="1"/>
  <c r="AZ132" i="126" s="1"/>
  <c r="U118" i="126"/>
  <c r="U101" i="126" s="1"/>
  <c r="U112" i="126" s="1"/>
  <c r="U132" i="126" s="1"/>
  <c r="BA118" i="126"/>
  <c r="BA101" i="126" s="1"/>
  <c r="BA112" i="126" s="1"/>
  <c r="BA132" i="126" s="1"/>
  <c r="V118" i="126"/>
  <c r="V101" i="126" s="1"/>
  <c r="V112" i="126" s="1"/>
  <c r="V132" i="126" s="1"/>
  <c r="BB118" i="126"/>
  <c r="BB101" i="126" s="1"/>
  <c r="BB112" i="126" s="1"/>
  <c r="BB132" i="126" s="1"/>
  <c r="BC118" i="126"/>
  <c r="BC101" i="126" s="1"/>
  <c r="BC112" i="126" s="1"/>
  <c r="BC132" i="126" s="1"/>
  <c r="W118" i="126"/>
  <c r="W101" i="126" s="1"/>
  <c r="W112" i="126" s="1"/>
  <c r="W132" i="126" s="1"/>
  <c r="X118" i="126"/>
  <c r="X101" i="126" s="1"/>
  <c r="X112" i="126" s="1"/>
  <c r="X132" i="126" s="1"/>
  <c r="BD118" i="126"/>
  <c r="BD101" i="126" s="1"/>
  <c r="BD112" i="126" s="1"/>
  <c r="BD132" i="126" s="1"/>
  <c r="BE118" i="126"/>
  <c r="BE101" i="126" s="1"/>
  <c r="BE112" i="126" s="1"/>
  <c r="BE132" i="126" s="1"/>
  <c r="Y118" i="126"/>
  <c r="Y101" i="126" s="1"/>
  <c r="Y112" i="126" s="1"/>
  <c r="Y132" i="126" s="1"/>
  <c r="Z118" i="126"/>
  <c r="Z101" i="126" s="1"/>
  <c r="Z112" i="126" s="1"/>
  <c r="Z132" i="126" s="1"/>
  <c r="BF118" i="126"/>
  <c r="BF101" i="126" s="1"/>
  <c r="BF112" i="126" s="1"/>
  <c r="BF132" i="126" s="1"/>
  <c r="AA118" i="126"/>
  <c r="AA101" i="126" s="1"/>
  <c r="AA112" i="126" s="1"/>
  <c r="BG118" i="126"/>
  <c r="BG101" i="126" s="1"/>
  <c r="BG112" i="126" s="1"/>
  <c r="BG132" i="126" s="1"/>
  <c r="BH276" i="125"/>
  <c r="BH259" i="125" s="1"/>
  <c r="BH270" i="125" s="1"/>
  <c r="AM276" i="125"/>
  <c r="AM259" i="125" s="1"/>
  <c r="AM270" i="125" s="1"/>
  <c r="AM290" i="125" s="1"/>
  <c r="G276" i="125"/>
  <c r="G259" i="125" s="1"/>
  <c r="G270" i="125" s="1"/>
  <c r="AN276" i="126"/>
  <c r="H276" i="126"/>
  <c r="AO276" i="126"/>
  <c r="AO259" i="126" s="1"/>
  <c r="AO270" i="126" s="1"/>
  <c r="AO290" i="126" s="1"/>
  <c r="I276" i="126"/>
  <c r="I259" i="126" s="1"/>
  <c r="I270" i="126" s="1"/>
  <c r="I290" i="126" s="1"/>
  <c r="J276" i="126"/>
  <c r="J259" i="126" s="1"/>
  <c r="J270" i="126" s="1"/>
  <c r="J290" i="126" s="1"/>
  <c r="AP276" i="126"/>
  <c r="AP259" i="126" s="1"/>
  <c r="AP270" i="126" s="1"/>
  <c r="AP290" i="126" s="1"/>
  <c r="AQ276" i="126"/>
  <c r="AQ259" i="126" s="1"/>
  <c r="AQ270" i="126" s="1"/>
  <c r="AQ290" i="126" s="1"/>
  <c r="K276" i="126"/>
  <c r="K259" i="126" s="1"/>
  <c r="K270" i="126" s="1"/>
  <c r="K290" i="126" s="1"/>
  <c r="L276" i="126"/>
  <c r="L259" i="126" s="1"/>
  <c r="L270" i="126" s="1"/>
  <c r="L290" i="126" s="1"/>
  <c r="AR276" i="126"/>
  <c r="AR259" i="126" s="1"/>
  <c r="AR270" i="126" s="1"/>
  <c r="AR290" i="126" s="1"/>
  <c r="AS276" i="126"/>
  <c r="AS259" i="126" s="1"/>
  <c r="AS270" i="126" s="1"/>
  <c r="AS290" i="126" s="1"/>
  <c r="M276" i="126"/>
  <c r="M259" i="126" s="1"/>
  <c r="M270" i="126" s="1"/>
  <c r="M290" i="126" s="1"/>
  <c r="N276" i="126"/>
  <c r="N259" i="126" s="1"/>
  <c r="N270" i="126" s="1"/>
  <c r="N290" i="126" s="1"/>
  <c r="AT276" i="126"/>
  <c r="AT259" i="126" s="1"/>
  <c r="AT270" i="126" s="1"/>
  <c r="AT290" i="126" s="1"/>
  <c r="AU276" i="126"/>
  <c r="AU259" i="126" s="1"/>
  <c r="AU270" i="126" s="1"/>
  <c r="AU290" i="126" s="1"/>
  <c r="O276" i="126"/>
  <c r="O259" i="126" s="1"/>
  <c r="O270" i="126" s="1"/>
  <c r="O290" i="126" s="1"/>
  <c r="AV276" i="126"/>
  <c r="AV259" i="126" s="1"/>
  <c r="AV270" i="126" s="1"/>
  <c r="AV290" i="126" s="1"/>
  <c r="P276" i="126"/>
  <c r="P259" i="126" s="1"/>
  <c r="P270" i="126" s="1"/>
  <c r="P290" i="126" s="1"/>
  <c r="AW276" i="126"/>
  <c r="AW259" i="126" s="1"/>
  <c r="AW270" i="126" s="1"/>
  <c r="AW290" i="126" s="1"/>
  <c r="Q276" i="126"/>
  <c r="Q259" i="126" s="1"/>
  <c r="Q270" i="126" s="1"/>
  <c r="Q290" i="126" s="1"/>
  <c r="R276" i="126"/>
  <c r="R259" i="126" s="1"/>
  <c r="R270" i="126" s="1"/>
  <c r="R290" i="126" s="1"/>
  <c r="AX276" i="126"/>
  <c r="AX259" i="126" s="1"/>
  <c r="AX270" i="126" s="1"/>
  <c r="AX290" i="126" s="1"/>
  <c r="S276" i="126"/>
  <c r="S259" i="126" s="1"/>
  <c r="S270" i="126" s="1"/>
  <c r="S290" i="126" s="1"/>
  <c r="AY276" i="126"/>
  <c r="AY259" i="126" s="1"/>
  <c r="AY270" i="126" s="1"/>
  <c r="AY290" i="126" s="1"/>
  <c r="T276" i="126"/>
  <c r="T259" i="126" s="1"/>
  <c r="T270" i="126" s="1"/>
  <c r="T290" i="126" s="1"/>
  <c r="AZ276" i="126"/>
  <c r="AZ259" i="126" s="1"/>
  <c r="AZ270" i="126" s="1"/>
  <c r="AZ290" i="126" s="1"/>
  <c r="BA276" i="126"/>
  <c r="BA259" i="126" s="1"/>
  <c r="BA270" i="126" s="1"/>
  <c r="BA290" i="126" s="1"/>
  <c r="U276" i="126"/>
  <c r="U259" i="126" s="1"/>
  <c r="U270" i="126" s="1"/>
  <c r="U290" i="126" s="1"/>
  <c r="V276" i="126"/>
  <c r="V259" i="126" s="1"/>
  <c r="V270" i="126" s="1"/>
  <c r="V290" i="126" s="1"/>
  <c r="BB276" i="126"/>
  <c r="BB259" i="126" s="1"/>
  <c r="BB270" i="126" s="1"/>
  <c r="BB290" i="126" s="1"/>
  <c r="W276" i="126"/>
  <c r="W259" i="126" s="1"/>
  <c r="W270" i="126" s="1"/>
  <c r="W290" i="126" s="1"/>
  <c r="BC276" i="126"/>
  <c r="BC259" i="126" s="1"/>
  <c r="BC270" i="126" s="1"/>
  <c r="BC290" i="126" s="1"/>
  <c r="X276" i="126"/>
  <c r="X259" i="126" s="1"/>
  <c r="X270" i="126" s="1"/>
  <c r="X290" i="126" s="1"/>
  <c r="BD276" i="126"/>
  <c r="BD259" i="126" s="1"/>
  <c r="BD270" i="126" s="1"/>
  <c r="BD290" i="126" s="1"/>
  <c r="BE276" i="126"/>
  <c r="BE259" i="126" s="1"/>
  <c r="BE270" i="126" s="1"/>
  <c r="BE290" i="126" s="1"/>
  <c r="Y276" i="126"/>
  <c r="Y259" i="126" s="1"/>
  <c r="Y270" i="126" s="1"/>
  <c r="Y290" i="126" s="1"/>
  <c r="Z276" i="126"/>
  <c r="Z259" i="126" s="1"/>
  <c r="Z270" i="126" s="1"/>
  <c r="Z290" i="126" s="1"/>
  <c r="BF276" i="126"/>
  <c r="BF259" i="126" s="1"/>
  <c r="BF270" i="126" s="1"/>
  <c r="BF290" i="126" s="1"/>
  <c r="AA276" i="126"/>
  <c r="AA259" i="126" s="1"/>
  <c r="AA270" i="126" s="1"/>
  <c r="BG276" i="126"/>
  <c r="BG259" i="126" s="1"/>
  <c r="BG270" i="126" s="1"/>
  <c r="I248" i="126"/>
  <c r="I305" i="126" s="1"/>
  <c r="AO248" i="126"/>
  <c r="AO305" i="126" s="1"/>
  <c r="BH253" i="126"/>
  <c r="BH263" i="126"/>
  <c r="BH307" i="126" a="1"/>
  <c r="BH307" i="126" s="1"/>
  <c r="BH264" i="126"/>
  <c r="BH306" i="126" a="1"/>
  <c r="BH306" i="126" s="1"/>
  <c r="BH40" i="126"/>
  <c r="BH120" i="126"/>
  <c r="BH135" i="126" s="1"/>
  <c r="BA46" i="126"/>
  <c r="BA45" i="126"/>
  <c r="BA44" i="126"/>
  <c r="AB184" i="126"/>
  <c r="AB227" i="126" a="1"/>
  <c r="AB227" i="126" s="1"/>
  <c r="AB228" i="126" a="1"/>
  <c r="AB228" i="126" s="1"/>
  <c r="AB174" i="126"/>
  <c r="AB175" i="126" s="1"/>
  <c r="AB185" i="126"/>
  <c r="AB120" i="126"/>
  <c r="AB135" i="126" s="1"/>
  <c r="AB197" i="126"/>
  <c r="AB180" i="126" s="1"/>
  <c r="AB191" i="126" s="1"/>
  <c r="AB276" i="126"/>
  <c r="AB259" i="126" s="1"/>
  <c r="AB270" i="126" s="1"/>
  <c r="G290" i="125"/>
  <c r="BB282" i="126"/>
  <c r="BB283" i="126"/>
  <c r="BB281" i="126"/>
  <c r="AZ46" i="126"/>
  <c r="AZ45" i="126"/>
  <c r="AZ44" i="126"/>
  <c r="AP203" i="126"/>
  <c r="AP204" i="126"/>
  <c r="AP202" i="126"/>
  <c r="AR283" i="126"/>
  <c r="AR282" i="126"/>
  <c r="AR281" i="126"/>
  <c r="AS46" i="126"/>
  <c r="AS45" i="126"/>
  <c r="AS44" i="126"/>
  <c r="AW46" i="126"/>
  <c r="AW45" i="126"/>
  <c r="AW44" i="126"/>
  <c r="Z281" i="126"/>
  <c r="Z284" i="126" s="1"/>
  <c r="AU283" i="126"/>
  <c r="AU282" i="126"/>
  <c r="AU281" i="126"/>
  <c r="AU204" i="126"/>
  <c r="AU203" i="126"/>
  <c r="AU202" i="126"/>
  <c r="BE46" i="126"/>
  <c r="BE45" i="126"/>
  <c r="BC46" i="126"/>
  <c r="BC45" i="126"/>
  <c r="BC44" i="126"/>
  <c r="BC203" i="126"/>
  <c r="BC204" i="126"/>
  <c r="BC202" i="126"/>
  <c r="AM45" i="125"/>
  <c r="AM44" i="125"/>
  <c r="AM46" i="125"/>
  <c r="W282" i="126"/>
  <c r="W283" i="126"/>
  <c r="W281" i="126"/>
  <c r="AO204" i="126"/>
  <c r="AO203" i="126"/>
  <c r="AO202" i="126"/>
  <c r="AA104" i="126"/>
  <c r="AZ283" i="126"/>
  <c r="AZ282" i="126"/>
  <c r="AZ281" i="126"/>
  <c r="W124" i="126"/>
  <c r="W125" i="126"/>
  <c r="W123" i="126"/>
  <c r="AR204" i="126"/>
  <c r="AR203" i="126"/>
  <c r="AR202" i="126"/>
  <c r="J306" i="125"/>
  <c r="BB69" i="125"/>
  <c r="BC134" i="125"/>
  <c r="I337" i="125"/>
  <c r="J228" i="125"/>
  <c r="J148" i="125"/>
  <c r="K292" i="125"/>
  <c r="K134" i="125"/>
  <c r="BB228" i="125"/>
  <c r="K55" i="125"/>
  <c r="J69" i="125"/>
  <c r="K213" i="125"/>
  <c r="BC292" i="125"/>
  <c r="BB148" i="125"/>
  <c r="BC55" i="125"/>
  <c r="BC337" i="125"/>
  <c r="BB227" i="125"/>
  <c r="BB306" i="125"/>
  <c r="J149" i="125"/>
  <c r="BB307" i="125"/>
  <c r="BC213" i="125"/>
  <c r="J307" i="125"/>
  <c r="J227" i="125"/>
  <c r="BB149" i="125"/>
  <c r="K337" i="125"/>
  <c r="J70" i="125"/>
  <c r="BB70" i="125"/>
  <c r="AO337" i="125"/>
  <c r="G54" i="125"/>
  <c r="J96" i="125"/>
  <c r="J124" i="125" s="1"/>
  <c r="BB254" i="125"/>
  <c r="BB282" i="125" s="1"/>
  <c r="G284" i="125"/>
  <c r="J17" i="125"/>
  <c r="J45" i="125" s="1"/>
  <c r="BB175" i="125"/>
  <c r="BB203" i="125" s="1"/>
  <c r="BB96" i="125"/>
  <c r="BB125" i="125" s="1"/>
  <c r="J254" i="125"/>
  <c r="J283" i="125" s="1"/>
  <c r="BE204" i="124"/>
  <c r="BB17" i="125"/>
  <c r="BB45" i="125" s="1"/>
  <c r="J175" i="125"/>
  <c r="J204" i="125" s="1"/>
  <c r="BF17" i="124"/>
  <c r="BF45" i="124" s="1"/>
  <c r="BH102" i="125"/>
  <c r="BH181" i="125"/>
  <c r="AB258" i="125"/>
  <c r="AB21" i="125"/>
  <c r="BH100" i="125"/>
  <c r="BH179" i="125"/>
  <c r="BH260" i="125"/>
  <c r="H39" i="125"/>
  <c r="AN39" i="125"/>
  <c r="I39" i="125"/>
  <c r="I22" i="125" s="1"/>
  <c r="AO39" i="125"/>
  <c r="AO22" i="125" s="1"/>
  <c r="J39" i="125"/>
  <c r="J22" i="125" s="1"/>
  <c r="AP39" i="125"/>
  <c r="AP22" i="125" s="1"/>
  <c r="AQ39" i="125"/>
  <c r="AQ22" i="125" s="1"/>
  <c r="K39" i="125"/>
  <c r="K22" i="125" s="1"/>
  <c r="L39" i="125"/>
  <c r="L22" i="125" s="1"/>
  <c r="AR39" i="125"/>
  <c r="AR22" i="125" s="1"/>
  <c r="AS39" i="125"/>
  <c r="AS22" i="125" s="1"/>
  <c r="M39" i="125"/>
  <c r="M22" i="125" s="1"/>
  <c r="AT39" i="125"/>
  <c r="AT22" i="125" s="1"/>
  <c r="N39" i="125"/>
  <c r="N22" i="125" s="1"/>
  <c r="O39" i="125"/>
  <c r="O22" i="125" s="1"/>
  <c r="AU39" i="125"/>
  <c r="AU22" i="125" s="1"/>
  <c r="P39" i="125"/>
  <c r="P22" i="125" s="1"/>
  <c r="AV39" i="125"/>
  <c r="AV22" i="125" s="1"/>
  <c r="Q39" i="125"/>
  <c r="Q22" i="125" s="1"/>
  <c r="AW39" i="125"/>
  <c r="AW22" i="125" s="1"/>
  <c r="R39" i="125"/>
  <c r="R22" i="125" s="1"/>
  <c r="AX39" i="125"/>
  <c r="AX22" i="125" s="1"/>
  <c r="S39" i="125"/>
  <c r="S22" i="125" s="1"/>
  <c r="AY39" i="125"/>
  <c r="AY22" i="125" s="1"/>
  <c r="T39" i="125"/>
  <c r="T22" i="125" s="1"/>
  <c r="AZ39" i="125"/>
  <c r="AZ22" i="125" s="1"/>
  <c r="U39" i="125"/>
  <c r="U22" i="125" s="1"/>
  <c r="BA39" i="125"/>
  <c r="BA22" i="125" s="1"/>
  <c r="V39" i="125"/>
  <c r="V22" i="125" s="1"/>
  <c r="BB39" i="125"/>
  <c r="BB22" i="125" s="1"/>
  <c r="BC39" i="125"/>
  <c r="BC22" i="125" s="1"/>
  <c r="W39" i="125"/>
  <c r="W22" i="125" s="1"/>
  <c r="BD39" i="125"/>
  <c r="BD22" i="125" s="1"/>
  <c r="X39" i="125"/>
  <c r="X22" i="125" s="1"/>
  <c r="Y39" i="125"/>
  <c r="Y22" i="125" s="1"/>
  <c r="BE39" i="125"/>
  <c r="BE22" i="125" s="1"/>
  <c r="BF39" i="125"/>
  <c r="BF22" i="125" s="1"/>
  <c r="Z39" i="125"/>
  <c r="Z22" i="125" s="1"/>
  <c r="AA39" i="125"/>
  <c r="AA22" i="125" s="1"/>
  <c r="BG39" i="125"/>
  <c r="BG22" i="125" s="1"/>
  <c r="AN278" i="125"/>
  <c r="H278" i="125"/>
  <c r="I278" i="125"/>
  <c r="I293" i="125" s="1"/>
  <c r="AO278" i="125"/>
  <c r="AO293" i="125" s="1"/>
  <c r="AP278" i="125"/>
  <c r="AP293" i="125" s="1"/>
  <c r="J278" i="125"/>
  <c r="J293" i="125" s="1"/>
  <c r="K278" i="125"/>
  <c r="K293" i="125" s="1"/>
  <c r="AQ278" i="125"/>
  <c r="AQ293" i="125" s="1"/>
  <c r="L278" i="125"/>
  <c r="L293" i="125" s="1"/>
  <c r="AR278" i="125"/>
  <c r="AR293" i="125" s="1"/>
  <c r="AS278" i="125"/>
  <c r="AS293" i="125" s="1"/>
  <c r="M278" i="125"/>
  <c r="M293" i="125" s="1"/>
  <c r="N278" i="125"/>
  <c r="N293" i="125" s="1"/>
  <c r="AT278" i="125"/>
  <c r="AT293" i="125" s="1"/>
  <c r="O278" i="125"/>
  <c r="O293" i="125" s="1"/>
  <c r="AU278" i="125"/>
  <c r="AU293" i="125" s="1"/>
  <c r="P278" i="125"/>
  <c r="P293" i="125" s="1"/>
  <c r="AV278" i="125"/>
  <c r="AV293" i="125" s="1"/>
  <c r="AW278" i="125"/>
  <c r="AW293" i="125" s="1"/>
  <c r="Q278" i="125"/>
  <c r="Q293" i="125" s="1"/>
  <c r="R278" i="125"/>
  <c r="R293" i="125" s="1"/>
  <c r="AX278" i="125"/>
  <c r="AX293" i="125" s="1"/>
  <c r="AY278" i="125"/>
  <c r="AY293" i="125" s="1"/>
  <c r="S278" i="125"/>
  <c r="S293" i="125" s="1"/>
  <c r="AZ278" i="125"/>
  <c r="AZ293" i="125" s="1"/>
  <c r="T278" i="125"/>
  <c r="T293" i="125" s="1"/>
  <c r="U278" i="125"/>
  <c r="U293" i="125" s="1"/>
  <c r="BA278" i="125"/>
  <c r="BA293" i="125" s="1"/>
  <c r="BB278" i="125"/>
  <c r="BB293" i="125" s="1"/>
  <c r="V278" i="125"/>
  <c r="V293" i="125" s="1"/>
  <c r="BC278" i="125"/>
  <c r="BC293" i="125" s="1"/>
  <c r="W278" i="125"/>
  <c r="W293" i="125" s="1"/>
  <c r="X278" i="125"/>
  <c r="X293" i="125" s="1"/>
  <c r="BD278" i="125"/>
  <c r="BD293" i="125" s="1"/>
  <c r="BE278" i="125"/>
  <c r="BE293" i="125" s="1"/>
  <c r="Y278" i="125"/>
  <c r="Y293" i="125" s="1"/>
  <c r="Z278" i="125"/>
  <c r="Z293" i="125" s="1"/>
  <c r="BF278" i="125"/>
  <c r="BF293" i="125" s="1"/>
  <c r="BG278" i="125"/>
  <c r="BG293" i="125" s="1"/>
  <c r="AA278" i="125"/>
  <c r="AA293" i="125" s="1"/>
  <c r="Z254" i="124"/>
  <c r="Z282" i="124" s="1"/>
  <c r="BA282" i="125"/>
  <c r="BA283" i="125"/>
  <c r="BA281" i="125"/>
  <c r="AX203" i="125"/>
  <c r="AX204" i="125"/>
  <c r="AX202" i="125"/>
  <c r="BH41" i="125"/>
  <c r="BH56" i="125" s="1"/>
  <c r="BH275" i="125"/>
  <c r="AR283" i="125"/>
  <c r="AR282" i="125"/>
  <c r="AR281" i="125"/>
  <c r="AT283" i="125"/>
  <c r="AT282" i="125"/>
  <c r="AT281" i="125"/>
  <c r="BA45" i="125"/>
  <c r="BA46" i="125"/>
  <c r="BA44" i="125"/>
  <c r="AB117" i="125"/>
  <c r="AB198" i="125"/>
  <c r="AB278" i="125"/>
  <c r="AB293" i="125" s="1"/>
  <c r="AP204" i="125"/>
  <c r="AP203" i="125"/>
  <c r="AP202" i="125"/>
  <c r="AX45" i="125"/>
  <c r="AX46" i="125"/>
  <c r="AX44" i="125"/>
  <c r="AN40" i="125"/>
  <c r="H40" i="125"/>
  <c r="I40" i="125"/>
  <c r="AO40" i="125"/>
  <c r="AP40" i="125"/>
  <c r="J40" i="125"/>
  <c r="K40" i="125"/>
  <c r="AQ40" i="125"/>
  <c r="AR40" i="125"/>
  <c r="L40" i="125"/>
  <c r="AS40" i="125"/>
  <c r="M40" i="125"/>
  <c r="AT40" i="125"/>
  <c r="N40" i="125"/>
  <c r="AU40" i="125"/>
  <c r="O40" i="125"/>
  <c r="AV40" i="125"/>
  <c r="P40" i="125"/>
  <c r="AW40" i="125"/>
  <c r="Q40" i="125"/>
  <c r="AX40" i="125"/>
  <c r="R40" i="125"/>
  <c r="AY40" i="125"/>
  <c r="S40" i="125"/>
  <c r="T40" i="125"/>
  <c r="AZ40" i="125"/>
  <c r="BA40" i="125"/>
  <c r="U40" i="125"/>
  <c r="BB40" i="125"/>
  <c r="V40" i="125"/>
  <c r="BC40" i="125"/>
  <c r="W40" i="125"/>
  <c r="X40" i="125"/>
  <c r="BD40" i="125"/>
  <c r="BE40" i="125"/>
  <c r="Y40" i="125"/>
  <c r="BF40" i="125"/>
  <c r="Z40" i="125"/>
  <c r="AA40" i="125"/>
  <c r="BG40" i="125"/>
  <c r="AN119" i="125"/>
  <c r="H119" i="125"/>
  <c r="AO119" i="125"/>
  <c r="I119" i="125"/>
  <c r="AP119" i="125"/>
  <c r="J119" i="125"/>
  <c r="K119" i="125"/>
  <c r="AQ119" i="125"/>
  <c r="L119" i="125"/>
  <c r="AR119" i="125"/>
  <c r="M119" i="125"/>
  <c r="AS119" i="125"/>
  <c r="N119" i="125"/>
  <c r="AT119" i="125"/>
  <c r="AU119" i="125"/>
  <c r="O119" i="125"/>
  <c r="P119" i="125"/>
  <c r="AV119" i="125"/>
  <c r="Q119" i="125"/>
  <c r="AW119" i="125"/>
  <c r="R119" i="125"/>
  <c r="AX119" i="125"/>
  <c r="AY119" i="125"/>
  <c r="S119" i="125"/>
  <c r="T119" i="125"/>
  <c r="AZ119" i="125"/>
  <c r="BA119" i="125"/>
  <c r="U119" i="125"/>
  <c r="V119" i="125"/>
  <c r="BB119" i="125"/>
  <c r="W119" i="125"/>
  <c r="BC119" i="125"/>
  <c r="BD119" i="125"/>
  <c r="X119" i="125"/>
  <c r="Y119" i="125"/>
  <c r="BE119" i="125"/>
  <c r="Z119" i="125"/>
  <c r="BF119" i="125"/>
  <c r="BG119" i="125"/>
  <c r="AA119" i="125"/>
  <c r="I11" i="125"/>
  <c r="I68" i="125" s="1"/>
  <c r="AO11" i="125"/>
  <c r="AO68" i="125" s="1"/>
  <c r="AU124" i="125"/>
  <c r="AU125" i="125"/>
  <c r="AU123" i="125"/>
  <c r="AV45" i="125"/>
  <c r="AV46" i="125"/>
  <c r="AV44" i="125"/>
  <c r="AW282" i="125"/>
  <c r="AW283" i="125"/>
  <c r="AW281" i="125"/>
  <c r="BH199" i="125"/>
  <c r="BH214" i="125" s="1"/>
  <c r="H96" i="125"/>
  <c r="AO203" i="125"/>
  <c r="AO204" i="125"/>
  <c r="AO202" i="125"/>
  <c r="BA203" i="125"/>
  <c r="BA204" i="125"/>
  <c r="BA202" i="125"/>
  <c r="AV283" i="125"/>
  <c r="AV282" i="125"/>
  <c r="AV281" i="125"/>
  <c r="AB119" i="125"/>
  <c r="AU282" i="125"/>
  <c r="AU283" i="125"/>
  <c r="AU281" i="125"/>
  <c r="H277" i="125"/>
  <c r="AN277" i="125"/>
  <c r="AO277" i="125"/>
  <c r="I277" i="125"/>
  <c r="J277" i="125"/>
  <c r="AP277" i="125"/>
  <c r="K277" i="125"/>
  <c r="AQ277" i="125"/>
  <c r="AR277" i="125"/>
  <c r="L277" i="125"/>
  <c r="M277" i="125"/>
  <c r="AS277" i="125"/>
  <c r="AT277" i="125"/>
  <c r="N277" i="125"/>
  <c r="AU277" i="125"/>
  <c r="O277" i="125"/>
  <c r="P277" i="125"/>
  <c r="AV277" i="125"/>
  <c r="Q277" i="125"/>
  <c r="AW277" i="125"/>
  <c r="R277" i="125"/>
  <c r="AX277" i="125"/>
  <c r="AY277" i="125"/>
  <c r="S277" i="125"/>
  <c r="T277" i="125"/>
  <c r="AZ277" i="125"/>
  <c r="BA277" i="125"/>
  <c r="U277" i="125"/>
  <c r="V277" i="125"/>
  <c r="BB277" i="125"/>
  <c r="BC277" i="125"/>
  <c r="W277" i="125"/>
  <c r="BD277" i="125"/>
  <c r="X277" i="125"/>
  <c r="Y277" i="125"/>
  <c r="BE277" i="125"/>
  <c r="BF277" i="125"/>
  <c r="Z277" i="125"/>
  <c r="BG277" i="125"/>
  <c r="AA277" i="125"/>
  <c r="H175" i="125"/>
  <c r="BI302" i="125"/>
  <c r="BI301" i="125"/>
  <c r="BI277" i="125"/>
  <c r="BI275" i="125"/>
  <c r="BI278" i="125"/>
  <c r="BI293" i="125" s="1"/>
  <c r="BI252" i="125"/>
  <c r="BI276" i="125"/>
  <c r="BI223" i="125"/>
  <c r="BI222" i="125"/>
  <c r="BI198" i="125"/>
  <c r="BI196" i="125"/>
  <c r="BI199" i="125"/>
  <c r="BI214" i="125" s="1"/>
  <c r="BI197" i="125"/>
  <c r="BI143" i="125"/>
  <c r="BI144" i="125"/>
  <c r="BI119" i="125"/>
  <c r="BI118" i="125"/>
  <c r="BI117" i="125"/>
  <c r="BI173" i="125"/>
  <c r="BI120" i="125"/>
  <c r="BI135" i="125" s="1"/>
  <c r="BI94" i="125"/>
  <c r="BI64" i="125"/>
  <c r="BI15" i="125"/>
  <c r="BI41" i="125"/>
  <c r="BI56" i="125" s="1"/>
  <c r="BI39" i="125"/>
  <c r="BI22" i="125" s="1"/>
  <c r="BI40" i="125"/>
  <c r="BI38" i="125"/>
  <c r="BI65" i="125"/>
  <c r="BJ8" i="125"/>
  <c r="AQ203" i="125"/>
  <c r="AQ204" i="125"/>
  <c r="AQ202" i="125"/>
  <c r="AP45" i="125"/>
  <c r="AP46" i="125"/>
  <c r="AP44" i="125"/>
  <c r="AN96" i="125"/>
  <c r="I203" i="125"/>
  <c r="I204" i="125"/>
  <c r="I202" i="125"/>
  <c r="I124" i="125"/>
  <c r="I125" i="125"/>
  <c r="I123" i="125"/>
  <c r="AB39" i="125"/>
  <c r="AB22" i="125" s="1"/>
  <c r="AY45" i="125"/>
  <c r="AY46" i="125"/>
  <c r="AY44" i="125"/>
  <c r="AR204" i="125"/>
  <c r="AR203" i="125"/>
  <c r="AR202" i="125"/>
  <c r="I90" i="125"/>
  <c r="I147" i="125" s="1"/>
  <c r="AO90" i="125"/>
  <c r="AO147" i="125" s="1"/>
  <c r="AT45" i="125"/>
  <c r="AT46" i="125"/>
  <c r="AT44" i="125"/>
  <c r="AN175" i="125"/>
  <c r="BH38" i="125"/>
  <c r="BH278" i="125"/>
  <c r="BH293" i="125" s="1"/>
  <c r="AS124" i="125"/>
  <c r="AS125" i="125"/>
  <c r="AS123" i="125"/>
  <c r="AW45" i="125"/>
  <c r="AW46" i="125"/>
  <c r="AW44" i="125"/>
  <c r="AT125" i="125"/>
  <c r="AT124" i="125"/>
  <c r="AT123" i="125"/>
  <c r="AO124" i="125"/>
  <c r="AO125" i="125"/>
  <c r="AO123" i="125"/>
  <c r="AB277" i="125"/>
  <c r="AT204" i="125"/>
  <c r="AT203" i="125"/>
  <c r="AT202" i="125"/>
  <c r="AU203" i="125"/>
  <c r="AU204" i="125"/>
  <c r="AU202" i="125"/>
  <c r="AO169" i="125"/>
  <c r="AO226" i="125" s="1"/>
  <c r="I169" i="125"/>
  <c r="I226" i="125" s="1"/>
  <c r="H120" i="125"/>
  <c r="AN120" i="125"/>
  <c r="I120" i="125"/>
  <c r="I135" i="125" s="1"/>
  <c r="AO120" i="125"/>
  <c r="AO135" i="125" s="1"/>
  <c r="J120" i="125"/>
  <c r="J135" i="125" s="1"/>
  <c r="AP120" i="125"/>
  <c r="AP135" i="125" s="1"/>
  <c r="AQ120" i="125"/>
  <c r="AQ135" i="125" s="1"/>
  <c r="K120" i="125"/>
  <c r="K135" i="125" s="1"/>
  <c r="AR120" i="125"/>
  <c r="AR135" i="125" s="1"/>
  <c r="L120" i="125"/>
  <c r="L135" i="125" s="1"/>
  <c r="AS120" i="125"/>
  <c r="AS135" i="125" s="1"/>
  <c r="M120" i="125"/>
  <c r="M135" i="125" s="1"/>
  <c r="AT120" i="125"/>
  <c r="AT135" i="125" s="1"/>
  <c r="N120" i="125"/>
  <c r="N135" i="125" s="1"/>
  <c r="AU120" i="125"/>
  <c r="AU135" i="125" s="1"/>
  <c r="O120" i="125"/>
  <c r="O135" i="125" s="1"/>
  <c r="P120" i="125"/>
  <c r="P135" i="125" s="1"/>
  <c r="AV120" i="125"/>
  <c r="AV135" i="125" s="1"/>
  <c r="AW120" i="125"/>
  <c r="AW135" i="125" s="1"/>
  <c r="Q120" i="125"/>
  <c r="Q135" i="125" s="1"/>
  <c r="R120" i="125"/>
  <c r="R135" i="125" s="1"/>
  <c r="AX120" i="125"/>
  <c r="AX135" i="125" s="1"/>
  <c r="S120" i="125"/>
  <c r="S135" i="125" s="1"/>
  <c r="AY120" i="125"/>
  <c r="AY135" i="125" s="1"/>
  <c r="AZ120" i="125"/>
  <c r="AZ135" i="125" s="1"/>
  <c r="T120" i="125"/>
  <c r="T135" i="125" s="1"/>
  <c r="BA120" i="125"/>
  <c r="BA135" i="125" s="1"/>
  <c r="U120" i="125"/>
  <c r="U135" i="125" s="1"/>
  <c r="V120" i="125"/>
  <c r="V135" i="125" s="1"/>
  <c r="BB120" i="125"/>
  <c r="BB135" i="125" s="1"/>
  <c r="BC120" i="125"/>
  <c r="BC135" i="125" s="1"/>
  <c r="W120" i="125"/>
  <c r="W135" i="125" s="1"/>
  <c r="X120" i="125"/>
  <c r="X135" i="125" s="1"/>
  <c r="BD120" i="125"/>
  <c r="BD135" i="125" s="1"/>
  <c r="BE120" i="125"/>
  <c r="BE135" i="125" s="1"/>
  <c r="Y120" i="125"/>
  <c r="Y135" i="125" s="1"/>
  <c r="BF120" i="125"/>
  <c r="BF135" i="125" s="1"/>
  <c r="Z120" i="125"/>
  <c r="Z135" i="125" s="1"/>
  <c r="BG120" i="125"/>
  <c r="BG135" i="125" s="1"/>
  <c r="AA120" i="125"/>
  <c r="AA135" i="125" s="1"/>
  <c r="H118" i="125"/>
  <c r="AN118" i="125"/>
  <c r="I118" i="125"/>
  <c r="I101" i="125" s="1"/>
  <c r="I112" i="125" s="1"/>
  <c r="I132" i="125" s="1"/>
  <c r="AO118" i="125"/>
  <c r="AO101" i="125" s="1"/>
  <c r="AO112" i="125" s="1"/>
  <c r="AO132" i="125" s="1"/>
  <c r="J118" i="125"/>
  <c r="J101" i="125" s="1"/>
  <c r="J112" i="125" s="1"/>
  <c r="AP118" i="125"/>
  <c r="AP101" i="125" s="1"/>
  <c r="AP112" i="125" s="1"/>
  <c r="AP132" i="125" s="1"/>
  <c r="AQ118" i="125"/>
  <c r="AQ101" i="125" s="1"/>
  <c r="AQ112" i="125" s="1"/>
  <c r="AQ132" i="125" s="1"/>
  <c r="K118" i="125"/>
  <c r="K101" i="125" s="1"/>
  <c r="K112" i="125" s="1"/>
  <c r="L118" i="125"/>
  <c r="L101" i="125" s="1"/>
  <c r="L112" i="125" s="1"/>
  <c r="AR118" i="125"/>
  <c r="AR101" i="125" s="1"/>
  <c r="AR112" i="125" s="1"/>
  <c r="AR132" i="125" s="1"/>
  <c r="AS118" i="125"/>
  <c r="AS101" i="125" s="1"/>
  <c r="AS112" i="125" s="1"/>
  <c r="AS132" i="125" s="1"/>
  <c r="M118" i="125"/>
  <c r="M101" i="125" s="1"/>
  <c r="M112" i="125" s="1"/>
  <c r="N118" i="125"/>
  <c r="N101" i="125" s="1"/>
  <c r="N112" i="125" s="1"/>
  <c r="AT118" i="125"/>
  <c r="AT101" i="125" s="1"/>
  <c r="AT112" i="125" s="1"/>
  <c r="AT132" i="125" s="1"/>
  <c r="O118" i="125"/>
  <c r="O101" i="125" s="1"/>
  <c r="O112" i="125" s="1"/>
  <c r="AU118" i="125"/>
  <c r="AU101" i="125" s="1"/>
  <c r="AU112" i="125" s="1"/>
  <c r="AU132" i="125" s="1"/>
  <c r="P118" i="125"/>
  <c r="P101" i="125" s="1"/>
  <c r="P112" i="125" s="1"/>
  <c r="AV118" i="125"/>
  <c r="AV101" i="125" s="1"/>
  <c r="AV112" i="125" s="1"/>
  <c r="AV132" i="125" s="1"/>
  <c r="Q118" i="125"/>
  <c r="Q101" i="125" s="1"/>
  <c r="Q112" i="125" s="1"/>
  <c r="AW118" i="125"/>
  <c r="AW101" i="125" s="1"/>
  <c r="AW112" i="125" s="1"/>
  <c r="AW132" i="125" s="1"/>
  <c r="AX118" i="125"/>
  <c r="AX101" i="125" s="1"/>
  <c r="AX112" i="125" s="1"/>
  <c r="AX132" i="125" s="1"/>
  <c r="R118" i="125"/>
  <c r="R101" i="125" s="1"/>
  <c r="R112" i="125" s="1"/>
  <c r="S118" i="125"/>
  <c r="S101" i="125" s="1"/>
  <c r="S112" i="125" s="1"/>
  <c r="AY118" i="125"/>
  <c r="AY101" i="125" s="1"/>
  <c r="AY112" i="125" s="1"/>
  <c r="AY132" i="125" s="1"/>
  <c r="AZ118" i="125"/>
  <c r="AZ101" i="125" s="1"/>
  <c r="AZ112" i="125" s="1"/>
  <c r="AZ132" i="125" s="1"/>
  <c r="T118" i="125"/>
  <c r="T101" i="125" s="1"/>
  <c r="T112" i="125" s="1"/>
  <c r="BA118" i="125"/>
  <c r="BA101" i="125" s="1"/>
  <c r="BA112" i="125" s="1"/>
  <c r="BA132" i="125" s="1"/>
  <c r="U118" i="125"/>
  <c r="U101" i="125" s="1"/>
  <c r="U112" i="125" s="1"/>
  <c r="V118" i="125"/>
  <c r="V101" i="125" s="1"/>
  <c r="V112" i="125" s="1"/>
  <c r="BB118" i="125"/>
  <c r="BB101" i="125" s="1"/>
  <c r="BB112" i="125" s="1"/>
  <c r="BC118" i="125"/>
  <c r="BC101" i="125" s="1"/>
  <c r="BC112" i="125" s="1"/>
  <c r="W118" i="125"/>
  <c r="W101" i="125" s="1"/>
  <c r="W112" i="125" s="1"/>
  <c r="X118" i="125"/>
  <c r="X101" i="125" s="1"/>
  <c r="X112" i="125" s="1"/>
  <c r="BD118" i="125"/>
  <c r="BD101" i="125" s="1"/>
  <c r="BD112" i="125" s="1"/>
  <c r="BE118" i="125"/>
  <c r="BE101" i="125" s="1"/>
  <c r="BE112" i="125" s="1"/>
  <c r="Y118" i="125"/>
  <c r="Y101" i="125" s="1"/>
  <c r="Y112" i="125" s="1"/>
  <c r="BF118" i="125"/>
  <c r="BF101" i="125" s="1"/>
  <c r="BF112" i="125" s="1"/>
  <c r="Z118" i="125"/>
  <c r="Z101" i="125" s="1"/>
  <c r="Z112" i="125" s="1"/>
  <c r="BG118" i="125"/>
  <c r="BG101" i="125" s="1"/>
  <c r="BG112" i="125" s="1"/>
  <c r="AA118" i="125"/>
  <c r="AA101" i="125" s="1"/>
  <c r="AA112" i="125" s="1"/>
  <c r="BG276" i="120"/>
  <c r="BG259" i="120" s="1"/>
  <c r="BG270" i="120" s="1"/>
  <c r="AN276" i="125"/>
  <c r="H276" i="125"/>
  <c r="I276" i="125"/>
  <c r="I259" i="125" s="1"/>
  <c r="I270" i="125" s="1"/>
  <c r="I290" i="125" s="1"/>
  <c r="AO276" i="125"/>
  <c r="AO259" i="125" s="1"/>
  <c r="AO270" i="125" s="1"/>
  <c r="AO290" i="125" s="1"/>
  <c r="AP276" i="125"/>
  <c r="AP259" i="125" s="1"/>
  <c r="AP270" i="125" s="1"/>
  <c r="AP290" i="125" s="1"/>
  <c r="J276" i="125"/>
  <c r="J259" i="125" s="1"/>
  <c r="J270" i="125" s="1"/>
  <c r="K276" i="125"/>
  <c r="K259" i="125" s="1"/>
  <c r="K270" i="125" s="1"/>
  <c r="AQ276" i="125"/>
  <c r="AQ259" i="125" s="1"/>
  <c r="AQ270" i="125" s="1"/>
  <c r="AQ290" i="125" s="1"/>
  <c r="L276" i="125"/>
  <c r="L259" i="125" s="1"/>
  <c r="L270" i="125" s="1"/>
  <c r="AR276" i="125"/>
  <c r="AR259" i="125" s="1"/>
  <c r="AR270" i="125" s="1"/>
  <c r="AR290" i="125" s="1"/>
  <c r="AS276" i="125"/>
  <c r="AS259" i="125" s="1"/>
  <c r="AS270" i="125" s="1"/>
  <c r="AS290" i="125" s="1"/>
  <c r="M276" i="125"/>
  <c r="M259" i="125" s="1"/>
  <c r="M270" i="125" s="1"/>
  <c r="AT276" i="125"/>
  <c r="AT259" i="125" s="1"/>
  <c r="AT270" i="125" s="1"/>
  <c r="AT290" i="125" s="1"/>
  <c r="N276" i="125"/>
  <c r="N259" i="125" s="1"/>
  <c r="N270" i="125" s="1"/>
  <c r="AU276" i="125"/>
  <c r="AU259" i="125" s="1"/>
  <c r="AU270" i="125" s="1"/>
  <c r="AU290" i="125" s="1"/>
  <c r="O276" i="125"/>
  <c r="O259" i="125" s="1"/>
  <c r="O270" i="125" s="1"/>
  <c r="AV276" i="125"/>
  <c r="AV259" i="125" s="1"/>
  <c r="AV270" i="125" s="1"/>
  <c r="AV290" i="125" s="1"/>
  <c r="P276" i="125"/>
  <c r="P259" i="125" s="1"/>
  <c r="P270" i="125" s="1"/>
  <c r="AW276" i="125"/>
  <c r="AW259" i="125" s="1"/>
  <c r="AW270" i="125" s="1"/>
  <c r="AW290" i="125" s="1"/>
  <c r="Q276" i="125"/>
  <c r="Q259" i="125" s="1"/>
  <c r="Q270" i="125" s="1"/>
  <c r="R276" i="125"/>
  <c r="R259" i="125" s="1"/>
  <c r="R270" i="125" s="1"/>
  <c r="AX276" i="125"/>
  <c r="AX259" i="125" s="1"/>
  <c r="AX270" i="125" s="1"/>
  <c r="AX290" i="125" s="1"/>
  <c r="S276" i="125"/>
  <c r="S259" i="125" s="1"/>
  <c r="S270" i="125" s="1"/>
  <c r="AY276" i="125"/>
  <c r="AY259" i="125" s="1"/>
  <c r="AY270" i="125" s="1"/>
  <c r="AY290" i="125" s="1"/>
  <c r="AZ276" i="125"/>
  <c r="AZ259" i="125" s="1"/>
  <c r="AZ270" i="125" s="1"/>
  <c r="AZ290" i="125" s="1"/>
  <c r="T276" i="125"/>
  <c r="T259" i="125" s="1"/>
  <c r="T270" i="125" s="1"/>
  <c r="BA276" i="125"/>
  <c r="BA259" i="125" s="1"/>
  <c r="BA270" i="125" s="1"/>
  <c r="BA290" i="125" s="1"/>
  <c r="U276" i="125"/>
  <c r="U259" i="125" s="1"/>
  <c r="U270" i="125" s="1"/>
  <c r="V276" i="125"/>
  <c r="V259" i="125" s="1"/>
  <c r="V270" i="125" s="1"/>
  <c r="BB276" i="125"/>
  <c r="BB259" i="125" s="1"/>
  <c r="BB270" i="125" s="1"/>
  <c r="W276" i="125"/>
  <c r="W259" i="125" s="1"/>
  <c r="W270" i="125" s="1"/>
  <c r="BC276" i="125"/>
  <c r="BC259" i="125" s="1"/>
  <c r="BC270" i="125" s="1"/>
  <c r="X276" i="125"/>
  <c r="X259" i="125" s="1"/>
  <c r="X270" i="125" s="1"/>
  <c r="BD276" i="125"/>
  <c r="BD259" i="125" s="1"/>
  <c r="BD270" i="125" s="1"/>
  <c r="BE276" i="125"/>
  <c r="BE259" i="125" s="1"/>
  <c r="BE270" i="125" s="1"/>
  <c r="Y276" i="125"/>
  <c r="Y259" i="125" s="1"/>
  <c r="Y270" i="125" s="1"/>
  <c r="Z276" i="125"/>
  <c r="Z259" i="125" s="1"/>
  <c r="Z270" i="125" s="1"/>
  <c r="BF276" i="125"/>
  <c r="BF259" i="125" s="1"/>
  <c r="BF270" i="125" s="1"/>
  <c r="BG276" i="125"/>
  <c r="BG259" i="125" s="1"/>
  <c r="BG270" i="125" s="1"/>
  <c r="AA276" i="125"/>
  <c r="AA259" i="125" s="1"/>
  <c r="AA270" i="125" s="1"/>
  <c r="I248" i="125"/>
  <c r="I305" i="125" s="1"/>
  <c r="AO248" i="125"/>
  <c r="AO305" i="125" s="1"/>
  <c r="Z254" i="120"/>
  <c r="Z282" i="120" s="1"/>
  <c r="BF254" i="124"/>
  <c r="BF283" i="124" s="1"/>
  <c r="BF175" i="120"/>
  <c r="BF203" i="120" s="1"/>
  <c r="AZ124" i="125"/>
  <c r="AZ125" i="125"/>
  <c r="AZ123" i="125"/>
  <c r="AZ203" i="125"/>
  <c r="AZ204" i="125"/>
  <c r="AZ202" i="125"/>
  <c r="AY204" i="125"/>
  <c r="AY203" i="125"/>
  <c r="AY202" i="125"/>
  <c r="BH40" i="125"/>
  <c r="BH120" i="125"/>
  <c r="BH135" i="125" s="1"/>
  <c r="AR124" i="125"/>
  <c r="AR125" i="125"/>
  <c r="AR123" i="125"/>
  <c r="AS45" i="125"/>
  <c r="AS46" i="125"/>
  <c r="AS44" i="125"/>
  <c r="AX125" i="125"/>
  <c r="AX124" i="125"/>
  <c r="AX123" i="125"/>
  <c r="I45" i="125"/>
  <c r="I46" i="125"/>
  <c r="I44" i="125"/>
  <c r="AZ46" i="125"/>
  <c r="AZ45" i="125"/>
  <c r="AZ44" i="125"/>
  <c r="AY124" i="125"/>
  <c r="AY125" i="125"/>
  <c r="AY123" i="125"/>
  <c r="AW124" i="125"/>
  <c r="AW125" i="125"/>
  <c r="AW123" i="125"/>
  <c r="H199" i="125"/>
  <c r="AN199" i="125"/>
  <c r="I199" i="125"/>
  <c r="I214" i="125" s="1"/>
  <c r="AO199" i="125"/>
  <c r="AO214" i="125" s="1"/>
  <c r="AP199" i="125"/>
  <c r="AP214" i="125" s="1"/>
  <c r="J199" i="125"/>
  <c r="J214" i="125" s="1"/>
  <c r="K199" i="125"/>
  <c r="K214" i="125" s="1"/>
  <c r="AQ199" i="125"/>
  <c r="AQ214" i="125" s="1"/>
  <c r="L199" i="125"/>
  <c r="L214" i="125" s="1"/>
  <c r="AR199" i="125"/>
  <c r="AR214" i="125" s="1"/>
  <c r="AS199" i="125"/>
  <c r="AS214" i="125" s="1"/>
  <c r="M199" i="125"/>
  <c r="M214" i="125" s="1"/>
  <c r="N199" i="125"/>
  <c r="N214" i="125" s="1"/>
  <c r="AT199" i="125"/>
  <c r="AT214" i="125" s="1"/>
  <c r="AU199" i="125"/>
  <c r="AU214" i="125" s="1"/>
  <c r="O199" i="125"/>
  <c r="O214" i="125" s="1"/>
  <c r="P199" i="125"/>
  <c r="P214" i="125" s="1"/>
  <c r="AV199" i="125"/>
  <c r="AV214" i="125" s="1"/>
  <c r="Q199" i="125"/>
  <c r="Q214" i="125" s="1"/>
  <c r="AW199" i="125"/>
  <c r="AW214" i="125" s="1"/>
  <c r="AX199" i="125"/>
  <c r="AX214" i="125" s="1"/>
  <c r="R199" i="125"/>
  <c r="R214" i="125" s="1"/>
  <c r="AY199" i="125"/>
  <c r="AY214" i="125" s="1"/>
  <c r="S199" i="125"/>
  <c r="S214" i="125" s="1"/>
  <c r="T199" i="125"/>
  <c r="T214" i="125" s="1"/>
  <c r="AZ199" i="125"/>
  <c r="AZ214" i="125" s="1"/>
  <c r="BA199" i="125"/>
  <c r="BA214" i="125" s="1"/>
  <c r="U199" i="125"/>
  <c r="U214" i="125" s="1"/>
  <c r="BB199" i="125"/>
  <c r="BB214" i="125" s="1"/>
  <c r="V199" i="125"/>
  <c r="V214" i="125" s="1"/>
  <c r="BC199" i="125"/>
  <c r="BC214" i="125" s="1"/>
  <c r="W199" i="125"/>
  <c r="W214" i="125" s="1"/>
  <c r="BD199" i="125"/>
  <c r="BD214" i="125" s="1"/>
  <c r="X199" i="125"/>
  <c r="X214" i="125" s="1"/>
  <c r="Y199" i="125"/>
  <c r="Y214" i="125" s="1"/>
  <c r="BE199" i="125"/>
  <c r="BE214" i="125" s="1"/>
  <c r="Z199" i="125"/>
  <c r="Z214" i="125" s="1"/>
  <c r="BF199" i="125"/>
  <c r="BF214" i="125" s="1"/>
  <c r="BG199" i="125"/>
  <c r="BG214" i="125" s="1"/>
  <c r="AA199" i="125"/>
  <c r="AA214" i="125" s="1"/>
  <c r="BG198" i="120"/>
  <c r="BG181" i="120" s="1"/>
  <c r="H198" i="125"/>
  <c r="AN198" i="125"/>
  <c r="AO198" i="125"/>
  <c r="I198" i="125"/>
  <c r="AP198" i="125"/>
  <c r="J198" i="125"/>
  <c r="AQ198" i="125"/>
  <c r="K198" i="125"/>
  <c r="L198" i="125"/>
  <c r="AR198" i="125"/>
  <c r="M198" i="125"/>
  <c r="AS198" i="125"/>
  <c r="AT198" i="125"/>
  <c r="N198" i="125"/>
  <c r="AU198" i="125"/>
  <c r="O198" i="125"/>
  <c r="P198" i="125"/>
  <c r="AV198" i="125"/>
  <c r="Q198" i="125"/>
  <c r="AW198" i="125"/>
  <c r="AX198" i="125"/>
  <c r="R198" i="125"/>
  <c r="S198" i="125"/>
  <c r="AY198" i="125"/>
  <c r="AZ198" i="125"/>
  <c r="T198" i="125"/>
  <c r="BA198" i="125"/>
  <c r="U198" i="125"/>
  <c r="V198" i="125"/>
  <c r="BB198" i="125"/>
  <c r="W198" i="125"/>
  <c r="BC198" i="125"/>
  <c r="X198" i="125"/>
  <c r="BD198" i="125"/>
  <c r="Y198" i="125"/>
  <c r="BE198" i="125"/>
  <c r="Z198" i="125"/>
  <c r="BF198" i="125"/>
  <c r="BG198" i="125"/>
  <c r="AA198" i="125"/>
  <c r="AA117" i="124"/>
  <c r="AN117" i="125"/>
  <c r="H117" i="125"/>
  <c r="I117" i="125"/>
  <c r="AO117" i="125"/>
  <c r="J117" i="125"/>
  <c r="AP117" i="125"/>
  <c r="K117" i="125"/>
  <c r="AQ117" i="125"/>
  <c r="AR117" i="125"/>
  <c r="L117" i="125"/>
  <c r="AS117" i="125"/>
  <c r="M117" i="125"/>
  <c r="N117" i="125"/>
  <c r="AT117" i="125"/>
  <c r="AU117" i="125"/>
  <c r="O117" i="125"/>
  <c r="AV117" i="125"/>
  <c r="P117" i="125"/>
  <c r="AW117" i="125"/>
  <c r="Q117" i="125"/>
  <c r="R117" i="125"/>
  <c r="AX117" i="125"/>
  <c r="S117" i="125"/>
  <c r="AY117" i="125"/>
  <c r="T117" i="125"/>
  <c r="AZ117" i="125"/>
  <c r="BA117" i="125"/>
  <c r="U117" i="125"/>
  <c r="V117" i="125"/>
  <c r="BB117" i="125"/>
  <c r="W117" i="125"/>
  <c r="BC117" i="125"/>
  <c r="X117" i="125"/>
  <c r="BD117" i="125"/>
  <c r="Y117" i="125"/>
  <c r="BE117" i="125"/>
  <c r="Z117" i="125"/>
  <c r="BF117" i="125"/>
  <c r="BG117" i="125"/>
  <c r="AA117" i="125"/>
  <c r="AA41" i="124"/>
  <c r="AA56" i="124" s="1"/>
  <c r="H41" i="125"/>
  <c r="AN41" i="125"/>
  <c r="I41" i="125"/>
  <c r="I56" i="125" s="1"/>
  <c r="AO41" i="125"/>
  <c r="AO56" i="125" s="1"/>
  <c r="AP41" i="125"/>
  <c r="AP56" i="125" s="1"/>
  <c r="J41" i="125"/>
  <c r="J56" i="125" s="1"/>
  <c r="AQ41" i="125"/>
  <c r="AQ56" i="125" s="1"/>
  <c r="K41" i="125"/>
  <c r="K56" i="125" s="1"/>
  <c r="L41" i="125"/>
  <c r="L56" i="125" s="1"/>
  <c r="AR41" i="125"/>
  <c r="AR56" i="125" s="1"/>
  <c r="M41" i="125"/>
  <c r="M56" i="125" s="1"/>
  <c r="AS41" i="125"/>
  <c r="AS56" i="125" s="1"/>
  <c r="AT41" i="125"/>
  <c r="AT56" i="125" s="1"/>
  <c r="N41" i="125"/>
  <c r="N56" i="125" s="1"/>
  <c r="AU41" i="125"/>
  <c r="AU56" i="125" s="1"/>
  <c r="O41" i="125"/>
  <c r="O56" i="125" s="1"/>
  <c r="AV41" i="125"/>
  <c r="AV56" i="125" s="1"/>
  <c r="P41" i="125"/>
  <c r="P56" i="125" s="1"/>
  <c r="Q41" i="125"/>
  <c r="Q56" i="125" s="1"/>
  <c r="AW41" i="125"/>
  <c r="AW56" i="125" s="1"/>
  <c r="R41" i="125"/>
  <c r="R56" i="125" s="1"/>
  <c r="AX41" i="125"/>
  <c r="AX56" i="125" s="1"/>
  <c r="AY41" i="125"/>
  <c r="AY56" i="125" s="1"/>
  <c r="S41" i="125"/>
  <c r="S56" i="125" s="1"/>
  <c r="T41" i="125"/>
  <c r="T56" i="125" s="1"/>
  <c r="AZ41" i="125"/>
  <c r="AZ56" i="125" s="1"/>
  <c r="U41" i="125"/>
  <c r="U56" i="125" s="1"/>
  <c r="BA41" i="125"/>
  <c r="BA56" i="125" s="1"/>
  <c r="V41" i="125"/>
  <c r="V56" i="125" s="1"/>
  <c r="BB41" i="125"/>
  <c r="BB56" i="125" s="1"/>
  <c r="BC41" i="125"/>
  <c r="BC56" i="125" s="1"/>
  <c r="W41" i="125"/>
  <c r="W56" i="125" s="1"/>
  <c r="BD41" i="125"/>
  <c r="BD56" i="125" s="1"/>
  <c r="X41" i="125"/>
  <c r="X56" i="125" s="1"/>
  <c r="Y41" i="125"/>
  <c r="Y56" i="125" s="1"/>
  <c r="BE41" i="125"/>
  <c r="BE56" i="125" s="1"/>
  <c r="BF41" i="125"/>
  <c r="BF56" i="125" s="1"/>
  <c r="Z41" i="125"/>
  <c r="Z56" i="125" s="1"/>
  <c r="AA41" i="125"/>
  <c r="AA56" i="125" s="1"/>
  <c r="BG41" i="125"/>
  <c r="BG56" i="125" s="1"/>
  <c r="AA196" i="124"/>
  <c r="H196" i="125"/>
  <c r="AN196" i="125"/>
  <c r="I196" i="125"/>
  <c r="AO196" i="125"/>
  <c r="J196" i="125"/>
  <c r="AP196" i="125"/>
  <c r="AQ196" i="125"/>
  <c r="K196" i="125"/>
  <c r="AR196" i="125"/>
  <c r="L196" i="125"/>
  <c r="AS196" i="125"/>
  <c r="M196" i="125"/>
  <c r="AT196" i="125"/>
  <c r="N196" i="125"/>
  <c r="AU196" i="125"/>
  <c r="O196" i="125"/>
  <c r="P196" i="125"/>
  <c r="AV196" i="125"/>
  <c r="Q196" i="125"/>
  <c r="AW196" i="125"/>
  <c r="AX196" i="125"/>
  <c r="R196" i="125"/>
  <c r="AY196" i="125"/>
  <c r="S196" i="125"/>
  <c r="AZ196" i="125"/>
  <c r="T196" i="125"/>
  <c r="BA196" i="125"/>
  <c r="U196" i="125"/>
  <c r="V196" i="125"/>
  <c r="BB196" i="125"/>
  <c r="W196" i="125"/>
  <c r="BC196" i="125"/>
  <c r="X196" i="125"/>
  <c r="BD196" i="125"/>
  <c r="Y196" i="125"/>
  <c r="BE196" i="125"/>
  <c r="Z196" i="125"/>
  <c r="BF196" i="125"/>
  <c r="BG196" i="125"/>
  <c r="AA196" i="125"/>
  <c r="AS282" i="125"/>
  <c r="AS283" i="125"/>
  <c r="AS281" i="125"/>
  <c r="AW204" i="125"/>
  <c r="AW203" i="125"/>
  <c r="AW202" i="125"/>
  <c r="AY282" i="125"/>
  <c r="AY283" i="125"/>
  <c r="AY281" i="125"/>
  <c r="AO46" i="125"/>
  <c r="AO45" i="125"/>
  <c r="AO44" i="125"/>
  <c r="AQ46" i="125"/>
  <c r="AQ45" i="125"/>
  <c r="AQ44" i="125"/>
  <c r="BA124" i="125"/>
  <c r="BA125" i="125"/>
  <c r="BA123" i="125"/>
  <c r="AQ283" i="125"/>
  <c r="AQ282" i="125"/>
  <c r="AQ281" i="125"/>
  <c r="AP282" i="125"/>
  <c r="AP283" i="125"/>
  <c r="AP281" i="125"/>
  <c r="I282" i="125"/>
  <c r="I283" i="125"/>
  <c r="I281" i="125"/>
  <c r="AV124" i="125"/>
  <c r="AV125" i="125"/>
  <c r="AV123" i="125"/>
  <c r="AP125" i="125"/>
  <c r="AP124" i="125"/>
  <c r="AP123" i="125"/>
  <c r="H254" i="125"/>
  <c r="AB40" i="125"/>
  <c r="AB118" i="125"/>
  <c r="AB101" i="125" s="1"/>
  <c r="AB112" i="125" s="1"/>
  <c r="AN17" i="125"/>
  <c r="AZ283" i="125"/>
  <c r="AZ282" i="125"/>
  <c r="AZ281" i="125"/>
  <c r="H275" i="125"/>
  <c r="AN275" i="125"/>
  <c r="I275" i="125"/>
  <c r="AO275" i="125"/>
  <c r="J275" i="125"/>
  <c r="AP275" i="125"/>
  <c r="AQ275" i="125"/>
  <c r="K275" i="125"/>
  <c r="AR275" i="125"/>
  <c r="L275" i="125"/>
  <c r="AS275" i="125"/>
  <c r="M275" i="125"/>
  <c r="AT275" i="125"/>
  <c r="N275" i="125"/>
  <c r="AU275" i="125"/>
  <c r="O275" i="125"/>
  <c r="P275" i="125"/>
  <c r="AV275" i="125"/>
  <c r="Q275" i="125"/>
  <c r="AW275" i="125"/>
  <c r="AX275" i="125"/>
  <c r="R275" i="125"/>
  <c r="AY275" i="125"/>
  <c r="S275" i="125"/>
  <c r="T275" i="125"/>
  <c r="AZ275" i="125"/>
  <c r="BA275" i="125"/>
  <c r="U275" i="125"/>
  <c r="BB275" i="125"/>
  <c r="V275" i="125"/>
  <c r="BC275" i="125"/>
  <c r="W275" i="125"/>
  <c r="BD275" i="125"/>
  <c r="X275" i="125"/>
  <c r="Y275" i="125"/>
  <c r="BE275" i="125"/>
  <c r="Z275" i="125"/>
  <c r="BF275" i="125"/>
  <c r="BG275" i="125"/>
  <c r="AA275" i="125"/>
  <c r="H38" i="125"/>
  <c r="AN38" i="125"/>
  <c r="AO38" i="125"/>
  <c r="I38" i="125"/>
  <c r="AP38" i="125"/>
  <c r="J38" i="125"/>
  <c r="K38" i="125"/>
  <c r="AQ38" i="125"/>
  <c r="AR38" i="125"/>
  <c r="L38" i="125"/>
  <c r="AS38" i="125"/>
  <c r="M38" i="125"/>
  <c r="AT38" i="125"/>
  <c r="N38" i="125"/>
  <c r="AU38" i="125"/>
  <c r="O38" i="125"/>
  <c r="P38" i="125"/>
  <c r="AV38" i="125"/>
  <c r="AW38" i="125"/>
  <c r="Q38" i="125"/>
  <c r="AX38" i="125"/>
  <c r="R38" i="125"/>
  <c r="AY38" i="125"/>
  <c r="S38" i="125"/>
  <c r="AZ38" i="125"/>
  <c r="T38" i="125"/>
  <c r="BA38" i="125"/>
  <c r="U38" i="125"/>
  <c r="V38" i="125"/>
  <c r="BB38" i="125"/>
  <c r="W38" i="125"/>
  <c r="BC38" i="125"/>
  <c r="X38" i="125"/>
  <c r="BD38" i="125"/>
  <c r="BE38" i="125"/>
  <c r="Y38" i="125"/>
  <c r="BF38" i="125"/>
  <c r="Z38" i="125"/>
  <c r="BG38" i="125"/>
  <c r="AA38" i="125"/>
  <c r="AA197" i="124"/>
  <c r="AA180" i="124" s="1"/>
  <c r="AA191" i="124" s="1"/>
  <c r="AN197" i="125"/>
  <c r="H197" i="125"/>
  <c r="I197" i="125"/>
  <c r="I180" i="125" s="1"/>
  <c r="I191" i="125" s="1"/>
  <c r="I211" i="125" s="1"/>
  <c r="AO197" i="125"/>
  <c r="AO180" i="125" s="1"/>
  <c r="AO191" i="125" s="1"/>
  <c r="AO211" i="125" s="1"/>
  <c r="J197" i="125"/>
  <c r="J180" i="125" s="1"/>
  <c r="J191" i="125" s="1"/>
  <c r="AP197" i="125"/>
  <c r="AP180" i="125" s="1"/>
  <c r="AP191" i="125" s="1"/>
  <c r="AP211" i="125" s="1"/>
  <c r="K197" i="125"/>
  <c r="K180" i="125" s="1"/>
  <c r="K191" i="125" s="1"/>
  <c r="AQ197" i="125"/>
  <c r="AQ180" i="125" s="1"/>
  <c r="AQ191" i="125" s="1"/>
  <c r="AQ211" i="125" s="1"/>
  <c r="L197" i="125"/>
  <c r="L180" i="125" s="1"/>
  <c r="L191" i="125" s="1"/>
  <c r="AR197" i="125"/>
  <c r="AR180" i="125" s="1"/>
  <c r="AR191" i="125" s="1"/>
  <c r="AR211" i="125" s="1"/>
  <c r="AS197" i="125"/>
  <c r="AS180" i="125" s="1"/>
  <c r="AS191" i="125" s="1"/>
  <c r="AS211" i="125" s="1"/>
  <c r="M197" i="125"/>
  <c r="M180" i="125" s="1"/>
  <c r="M191" i="125" s="1"/>
  <c r="AT197" i="125"/>
  <c r="AT180" i="125" s="1"/>
  <c r="AT191" i="125" s="1"/>
  <c r="AT211" i="125" s="1"/>
  <c r="N197" i="125"/>
  <c r="N180" i="125" s="1"/>
  <c r="N191" i="125" s="1"/>
  <c r="AU197" i="125"/>
  <c r="AU180" i="125" s="1"/>
  <c r="AU191" i="125" s="1"/>
  <c r="AU211" i="125" s="1"/>
  <c r="O197" i="125"/>
  <c r="O180" i="125" s="1"/>
  <c r="O191" i="125" s="1"/>
  <c r="P197" i="125"/>
  <c r="P180" i="125" s="1"/>
  <c r="P191" i="125" s="1"/>
  <c r="AV197" i="125"/>
  <c r="AV180" i="125" s="1"/>
  <c r="AV191" i="125" s="1"/>
  <c r="AV211" i="125" s="1"/>
  <c r="AW197" i="125"/>
  <c r="AW180" i="125" s="1"/>
  <c r="AW191" i="125" s="1"/>
  <c r="AW211" i="125" s="1"/>
  <c r="Q197" i="125"/>
  <c r="Q180" i="125" s="1"/>
  <c r="Q191" i="125" s="1"/>
  <c r="AX197" i="125"/>
  <c r="AX180" i="125" s="1"/>
  <c r="AX191" i="125" s="1"/>
  <c r="AX211" i="125" s="1"/>
  <c r="R197" i="125"/>
  <c r="R180" i="125" s="1"/>
  <c r="R191" i="125" s="1"/>
  <c r="S197" i="125"/>
  <c r="S180" i="125" s="1"/>
  <c r="S191" i="125" s="1"/>
  <c r="AY197" i="125"/>
  <c r="AY180" i="125" s="1"/>
  <c r="AY191" i="125" s="1"/>
  <c r="AY211" i="125" s="1"/>
  <c r="T197" i="125"/>
  <c r="T180" i="125" s="1"/>
  <c r="T191" i="125" s="1"/>
  <c r="AZ197" i="125"/>
  <c r="AZ180" i="125" s="1"/>
  <c r="AZ191" i="125" s="1"/>
  <c r="AZ211" i="125" s="1"/>
  <c r="BA197" i="125"/>
  <c r="BA180" i="125" s="1"/>
  <c r="BA191" i="125" s="1"/>
  <c r="BA211" i="125" s="1"/>
  <c r="U197" i="125"/>
  <c r="U180" i="125" s="1"/>
  <c r="U191" i="125" s="1"/>
  <c r="V197" i="125"/>
  <c r="V180" i="125" s="1"/>
  <c r="V191" i="125" s="1"/>
  <c r="BB197" i="125"/>
  <c r="BB180" i="125" s="1"/>
  <c r="BB191" i="125" s="1"/>
  <c r="W197" i="125"/>
  <c r="W180" i="125" s="1"/>
  <c r="W191" i="125" s="1"/>
  <c r="BC197" i="125"/>
  <c r="BC180" i="125" s="1"/>
  <c r="BC191" i="125" s="1"/>
  <c r="BD197" i="125"/>
  <c r="BD180" i="125" s="1"/>
  <c r="BD191" i="125" s="1"/>
  <c r="X197" i="125"/>
  <c r="X180" i="125" s="1"/>
  <c r="X191" i="125" s="1"/>
  <c r="BE197" i="125"/>
  <c r="BE180" i="125" s="1"/>
  <c r="BE191" i="125" s="1"/>
  <c r="Y197" i="125"/>
  <c r="Y180" i="125" s="1"/>
  <c r="Y191" i="125" s="1"/>
  <c r="BF197" i="125"/>
  <c r="BF180" i="125" s="1"/>
  <c r="BF191" i="125" s="1"/>
  <c r="Z197" i="125"/>
  <c r="Z180" i="125" s="1"/>
  <c r="Z191" i="125" s="1"/>
  <c r="AA197" i="125"/>
  <c r="AA180" i="125" s="1"/>
  <c r="AA191" i="125" s="1"/>
  <c r="BG197" i="125"/>
  <c r="BG180" i="125" s="1"/>
  <c r="BG191" i="125" s="1"/>
  <c r="AV204" i="125"/>
  <c r="AV203" i="125"/>
  <c r="AV202" i="125"/>
  <c r="BH39" i="125"/>
  <c r="BH22" i="125" s="1"/>
  <c r="BH197" i="125"/>
  <c r="BH180" i="125" s="1"/>
  <c r="BH191" i="125" s="1"/>
  <c r="AS203" i="125"/>
  <c r="AS204" i="125"/>
  <c r="AS202" i="125"/>
  <c r="AO282" i="125"/>
  <c r="AO283" i="125"/>
  <c r="AO281" i="125"/>
  <c r="AN254" i="125"/>
  <c r="AU46" i="125"/>
  <c r="AU45" i="125"/>
  <c r="AU44" i="125"/>
  <c r="AX283" i="125"/>
  <c r="AX282" i="125"/>
  <c r="AX281" i="125"/>
  <c r="AC302" i="125"/>
  <c r="AC301" i="125"/>
  <c r="AC278" i="125"/>
  <c r="AC293" i="125" s="1"/>
  <c r="AC276" i="125"/>
  <c r="AC277" i="125"/>
  <c r="AC275" i="125"/>
  <c r="AC252" i="125"/>
  <c r="AC223" i="125"/>
  <c r="AC222" i="125"/>
  <c r="AC199" i="125"/>
  <c r="AC214" i="125" s="1"/>
  <c r="AC197" i="125"/>
  <c r="AC198" i="125"/>
  <c r="AC196" i="125"/>
  <c r="AC173" i="125"/>
  <c r="AC144" i="125"/>
  <c r="AC143" i="125"/>
  <c r="AC120" i="125"/>
  <c r="AC135" i="125" s="1"/>
  <c r="AC118" i="125"/>
  <c r="AC94" i="125"/>
  <c r="AC117" i="125"/>
  <c r="AC64" i="125"/>
  <c r="AC119" i="125"/>
  <c r="AC65" i="125"/>
  <c r="AD8" i="125"/>
  <c r="AC40" i="125"/>
  <c r="AC38" i="125"/>
  <c r="AC15" i="125"/>
  <c r="AC41" i="125"/>
  <c r="AC56" i="125" s="1"/>
  <c r="AC39" i="125"/>
  <c r="AB196" i="125"/>
  <c r="AB276" i="125"/>
  <c r="AB259" i="125" s="1"/>
  <c r="AB270" i="125" s="1"/>
  <c r="H17" i="125"/>
  <c r="AR46" i="125"/>
  <c r="AR45" i="125"/>
  <c r="AR44" i="125"/>
  <c r="AQ125" i="125"/>
  <c r="AQ124" i="125"/>
  <c r="AQ123" i="125"/>
  <c r="AO337" i="124"/>
  <c r="BP337" i="124" s="1"/>
  <c r="Y204" i="124"/>
  <c r="BF96" i="124"/>
  <c r="BF124" i="124" s="1"/>
  <c r="BE283" i="124"/>
  <c r="I337" i="124"/>
  <c r="AJ337" i="124" s="1"/>
  <c r="Y124" i="124"/>
  <c r="BE202" i="124"/>
  <c r="BE45" i="124"/>
  <c r="BE334" i="124" s="1"/>
  <c r="Z96" i="124"/>
  <c r="Z125" i="124" s="1"/>
  <c r="AA100" i="124"/>
  <c r="AA179" i="124"/>
  <c r="BE283" i="120"/>
  <c r="BE282" i="120"/>
  <c r="AN38" i="124"/>
  <c r="H38" i="124"/>
  <c r="AO38" i="124"/>
  <c r="I38" i="124"/>
  <c r="AP38" i="124"/>
  <c r="J38" i="124"/>
  <c r="K38" i="124"/>
  <c r="AQ38" i="124"/>
  <c r="L38" i="124"/>
  <c r="AR38" i="124"/>
  <c r="M38" i="124"/>
  <c r="AS38" i="124"/>
  <c r="N38" i="124"/>
  <c r="AT38" i="124"/>
  <c r="O38" i="124"/>
  <c r="AU38" i="124"/>
  <c r="AV38" i="124"/>
  <c r="P38" i="124"/>
  <c r="Q38" i="124"/>
  <c r="AW38" i="124"/>
  <c r="R38" i="124"/>
  <c r="AX38" i="124"/>
  <c r="S38" i="124"/>
  <c r="AY38" i="124"/>
  <c r="T38" i="124"/>
  <c r="AZ38" i="124"/>
  <c r="U38" i="124"/>
  <c r="BA38" i="124"/>
  <c r="BB38" i="124"/>
  <c r="V38" i="124"/>
  <c r="BC38" i="124"/>
  <c r="W38" i="124"/>
  <c r="X38" i="124"/>
  <c r="BD38" i="124"/>
  <c r="BE38" i="124"/>
  <c r="Y38" i="124"/>
  <c r="Z38" i="124"/>
  <c r="BF38" i="124"/>
  <c r="AN39" i="124"/>
  <c r="H39" i="124"/>
  <c r="AO39" i="124"/>
  <c r="AO22" i="124" s="1"/>
  <c r="I39" i="124"/>
  <c r="I22" i="124" s="1"/>
  <c r="J39" i="124"/>
  <c r="J22" i="124" s="1"/>
  <c r="AP39" i="124"/>
  <c r="AP22" i="124" s="1"/>
  <c r="K39" i="124"/>
  <c r="K22" i="124" s="1"/>
  <c r="AQ39" i="124"/>
  <c r="AQ22" i="124" s="1"/>
  <c r="AR39" i="124"/>
  <c r="AR22" i="124" s="1"/>
  <c r="L39" i="124"/>
  <c r="L22" i="124" s="1"/>
  <c r="AS39" i="124"/>
  <c r="AS22" i="124" s="1"/>
  <c r="M39" i="124"/>
  <c r="M22" i="124" s="1"/>
  <c r="N39" i="124"/>
  <c r="N22" i="124" s="1"/>
  <c r="AT39" i="124"/>
  <c r="AT22" i="124" s="1"/>
  <c r="O39" i="124"/>
  <c r="O22" i="124" s="1"/>
  <c r="AU39" i="124"/>
  <c r="AU22" i="124" s="1"/>
  <c r="P39" i="124"/>
  <c r="P22" i="124" s="1"/>
  <c r="AV39" i="124"/>
  <c r="AV22" i="124" s="1"/>
  <c r="AW39" i="124"/>
  <c r="AW22" i="124" s="1"/>
  <c r="Q39" i="124"/>
  <c r="Q22" i="124" s="1"/>
  <c r="R39" i="124"/>
  <c r="R22" i="124" s="1"/>
  <c r="AX39" i="124"/>
  <c r="AX22" i="124" s="1"/>
  <c r="AY39" i="124"/>
  <c r="AY22" i="124" s="1"/>
  <c r="S39" i="124"/>
  <c r="S22" i="124" s="1"/>
  <c r="T39" i="124"/>
  <c r="T22" i="124" s="1"/>
  <c r="AZ39" i="124"/>
  <c r="AZ22" i="124" s="1"/>
  <c r="U39" i="124"/>
  <c r="U22" i="124" s="1"/>
  <c r="BA39" i="124"/>
  <c r="BA22" i="124" s="1"/>
  <c r="V39" i="124"/>
  <c r="V22" i="124" s="1"/>
  <c r="BB39" i="124"/>
  <c r="BB22" i="124" s="1"/>
  <c r="W39" i="124"/>
  <c r="W22" i="124" s="1"/>
  <c r="BC39" i="124"/>
  <c r="BC22" i="124" s="1"/>
  <c r="X39" i="124"/>
  <c r="X22" i="124" s="1"/>
  <c r="BD39" i="124"/>
  <c r="BD22" i="124" s="1"/>
  <c r="Y39" i="124"/>
  <c r="Y22" i="124" s="1"/>
  <c r="BE39" i="124"/>
  <c r="BE22" i="124" s="1"/>
  <c r="Z39" i="124"/>
  <c r="Z22" i="124" s="1"/>
  <c r="BF39" i="124"/>
  <c r="BF22" i="124" s="1"/>
  <c r="H278" i="124"/>
  <c r="AN278" i="124"/>
  <c r="AN278" i="120"/>
  <c r="AN293" i="120" s="1"/>
  <c r="AO278" i="124"/>
  <c r="AO293" i="124" s="1"/>
  <c r="AO278" i="120"/>
  <c r="I278" i="124"/>
  <c r="I293" i="124" s="1"/>
  <c r="AP278" i="124"/>
  <c r="AP293" i="124" s="1"/>
  <c r="AP278" i="120"/>
  <c r="AP293" i="120" s="1"/>
  <c r="J278" i="124"/>
  <c r="J293" i="124" s="1"/>
  <c r="AQ278" i="124"/>
  <c r="AQ293" i="124" s="1"/>
  <c r="AQ278" i="120"/>
  <c r="AQ293" i="120" s="1"/>
  <c r="K278" i="124"/>
  <c r="K293" i="124" s="1"/>
  <c r="AR278" i="120"/>
  <c r="AR278" i="124"/>
  <c r="AR293" i="124" s="1"/>
  <c r="L278" i="124"/>
  <c r="L293" i="124" s="1"/>
  <c r="M278" i="124"/>
  <c r="M293" i="124" s="1"/>
  <c r="AS278" i="120"/>
  <c r="AS293" i="120" s="1"/>
  <c r="AS278" i="124"/>
  <c r="AS293" i="124" s="1"/>
  <c r="AT278" i="120"/>
  <c r="AT293" i="120" s="1"/>
  <c r="N278" i="124"/>
  <c r="N293" i="124" s="1"/>
  <c r="AT278" i="124"/>
  <c r="AT293" i="124" s="1"/>
  <c r="AU278" i="120"/>
  <c r="AU293" i="120" s="1"/>
  <c r="O278" i="124"/>
  <c r="O293" i="124" s="1"/>
  <c r="AU278" i="124"/>
  <c r="AU293" i="124" s="1"/>
  <c r="AV278" i="120"/>
  <c r="AV293" i="120" s="1"/>
  <c r="AV278" i="124"/>
  <c r="AV293" i="124" s="1"/>
  <c r="P278" i="124"/>
  <c r="P293" i="124" s="1"/>
  <c r="Q278" i="124"/>
  <c r="Q293" i="124" s="1"/>
  <c r="AW278" i="124"/>
  <c r="AW293" i="124" s="1"/>
  <c r="AW278" i="120"/>
  <c r="AW293" i="120" s="1"/>
  <c r="AX278" i="124"/>
  <c r="AX293" i="124" s="1"/>
  <c r="R278" i="124"/>
  <c r="R293" i="124" s="1"/>
  <c r="AX278" i="120"/>
  <c r="AX293" i="120" s="1"/>
  <c r="S278" i="124"/>
  <c r="S293" i="124" s="1"/>
  <c r="AY278" i="124"/>
  <c r="AY293" i="124" s="1"/>
  <c r="AY278" i="120"/>
  <c r="AY293" i="120" s="1"/>
  <c r="AZ278" i="124"/>
  <c r="AZ293" i="124" s="1"/>
  <c r="T278" i="124"/>
  <c r="T293" i="124" s="1"/>
  <c r="AZ278" i="120"/>
  <c r="U278" i="124"/>
  <c r="U293" i="124" s="1"/>
  <c r="BA278" i="120"/>
  <c r="BA293" i="120" s="1"/>
  <c r="BA278" i="124"/>
  <c r="BA293" i="124" s="1"/>
  <c r="BB278" i="120"/>
  <c r="BB293" i="120" s="1"/>
  <c r="V278" i="124"/>
  <c r="V293" i="124" s="1"/>
  <c r="BB278" i="124"/>
  <c r="BB293" i="124" s="1"/>
  <c r="BC278" i="124"/>
  <c r="BC293" i="124" s="1"/>
  <c r="BC278" i="120"/>
  <c r="BC293" i="120" s="1"/>
  <c r="W278" i="124"/>
  <c r="W293" i="124" s="1"/>
  <c r="X278" i="124"/>
  <c r="X293" i="124" s="1"/>
  <c r="BD278" i="120"/>
  <c r="BD278" i="124"/>
  <c r="BD293" i="124" s="1"/>
  <c r="BE278" i="120"/>
  <c r="Y278" i="124"/>
  <c r="Y293" i="124" s="1"/>
  <c r="BE278" i="124"/>
  <c r="BE293" i="124" s="1"/>
  <c r="Z278" i="124"/>
  <c r="Z293" i="124" s="1"/>
  <c r="BF278" i="120"/>
  <c r="BF293" i="120" s="1"/>
  <c r="BF278" i="124"/>
  <c r="BF293" i="124" s="1"/>
  <c r="AN40" i="124"/>
  <c r="H40" i="124"/>
  <c r="I40" i="124"/>
  <c r="AO40" i="124"/>
  <c r="J40" i="124"/>
  <c r="AP40" i="124"/>
  <c r="K40" i="124"/>
  <c r="AQ40" i="124"/>
  <c r="L40" i="124"/>
  <c r="AR40" i="124"/>
  <c r="M40" i="124"/>
  <c r="AS40" i="124"/>
  <c r="N40" i="124"/>
  <c r="AT40" i="124"/>
  <c r="O40" i="124"/>
  <c r="AU40" i="124"/>
  <c r="AV40" i="124"/>
  <c r="P40" i="124"/>
  <c r="Q40" i="124"/>
  <c r="AW40" i="124"/>
  <c r="R40" i="124"/>
  <c r="AX40" i="124"/>
  <c r="S40" i="124"/>
  <c r="AY40" i="124"/>
  <c r="T40" i="124"/>
  <c r="AZ40" i="124"/>
  <c r="BA40" i="124"/>
  <c r="U40" i="124"/>
  <c r="V40" i="124"/>
  <c r="BB40" i="124"/>
  <c r="BC40" i="124"/>
  <c r="W40" i="124"/>
  <c r="X40" i="124"/>
  <c r="BD40" i="124"/>
  <c r="BE40" i="124"/>
  <c r="Y40" i="124"/>
  <c r="Z40" i="124"/>
  <c r="BF40" i="124"/>
  <c r="AN119" i="124"/>
  <c r="H119" i="124"/>
  <c r="I119" i="124"/>
  <c r="AO119" i="124"/>
  <c r="J119" i="124"/>
  <c r="AP119" i="124"/>
  <c r="K119" i="124"/>
  <c r="AQ119" i="124"/>
  <c r="L119" i="124"/>
  <c r="AR119" i="124"/>
  <c r="M119" i="124"/>
  <c r="AS119" i="124"/>
  <c r="AT119" i="124"/>
  <c r="N119" i="124"/>
  <c r="O119" i="124"/>
  <c r="AU119" i="124"/>
  <c r="P119" i="124"/>
  <c r="AV119" i="124"/>
  <c r="AW119" i="124"/>
  <c r="Q119" i="124"/>
  <c r="AX119" i="124"/>
  <c r="R119" i="124"/>
  <c r="AY119" i="124"/>
  <c r="S119" i="124"/>
  <c r="T119" i="124"/>
  <c r="AZ119" i="124"/>
  <c r="BA119" i="124"/>
  <c r="U119" i="124"/>
  <c r="BB119" i="124"/>
  <c r="V119" i="124"/>
  <c r="W119" i="124"/>
  <c r="BC119" i="124"/>
  <c r="X119" i="124"/>
  <c r="BD119" i="124"/>
  <c r="BE119" i="124"/>
  <c r="Y119" i="124"/>
  <c r="BF119" i="124"/>
  <c r="Z119" i="124"/>
  <c r="AO11" i="124"/>
  <c r="AO68" i="124" s="1"/>
  <c r="I11" i="124"/>
  <c r="I68" i="124" s="1"/>
  <c r="BE125" i="124"/>
  <c r="AX124" i="124"/>
  <c r="AX125" i="124"/>
  <c r="AX123" i="124"/>
  <c r="BA203" i="124"/>
  <c r="BA204" i="124"/>
  <c r="BA202" i="124"/>
  <c r="AN282" i="120"/>
  <c r="AN266" i="120"/>
  <c r="AN283" i="120"/>
  <c r="AN281" i="120"/>
  <c r="R283" i="124"/>
  <c r="R282" i="124"/>
  <c r="R281" i="124"/>
  <c r="AR283" i="124"/>
  <c r="AR282" i="124"/>
  <c r="AR281" i="124"/>
  <c r="BB203" i="124"/>
  <c r="BB204" i="124"/>
  <c r="BB202" i="124"/>
  <c r="AW203" i="124"/>
  <c r="AW204" i="124"/>
  <c r="AW202" i="124"/>
  <c r="I45" i="124"/>
  <c r="I46" i="124"/>
  <c r="I44" i="124"/>
  <c r="P282" i="124"/>
  <c r="P283" i="124"/>
  <c r="P281" i="124"/>
  <c r="AT203" i="120"/>
  <c r="AT202" i="120"/>
  <c r="AT204" i="120"/>
  <c r="O204" i="124"/>
  <c r="O203" i="124"/>
  <c r="O202" i="124"/>
  <c r="BE123" i="124"/>
  <c r="BG38" i="124"/>
  <c r="BG119" i="124"/>
  <c r="AN17" i="124"/>
  <c r="BD45" i="124"/>
  <c r="BD46" i="124"/>
  <c r="AQ203" i="120"/>
  <c r="AQ204" i="120"/>
  <c r="AQ202" i="120"/>
  <c r="AW282" i="124"/>
  <c r="AW283" i="124"/>
  <c r="AW281" i="124"/>
  <c r="O124" i="124"/>
  <c r="O125" i="124"/>
  <c r="O123" i="124"/>
  <c r="BA282" i="120"/>
  <c r="BA283" i="120"/>
  <c r="BA281" i="120"/>
  <c r="U124" i="124"/>
  <c r="U125" i="124"/>
  <c r="U123" i="124"/>
  <c r="BC282" i="124"/>
  <c r="BC283" i="124"/>
  <c r="BC281" i="124"/>
  <c r="H96" i="124"/>
  <c r="AP283" i="120"/>
  <c r="AP282" i="120"/>
  <c r="AP281" i="120"/>
  <c r="Y202" i="124"/>
  <c r="I282" i="124"/>
  <c r="I283" i="124"/>
  <c r="I281" i="124"/>
  <c r="Z203" i="124"/>
  <c r="Z183" i="124"/>
  <c r="BG253" i="120"/>
  <c r="BG254" i="120" s="1"/>
  <c r="BG263" i="120"/>
  <c r="BG262" i="120" s="1"/>
  <c r="BG264" i="120"/>
  <c r="BG307" i="120" a="1"/>
  <c r="BG307" i="120" s="1"/>
  <c r="BG306" i="120" a="1"/>
  <c r="BG306" i="120" s="1"/>
  <c r="BG197" i="120"/>
  <c r="BG180" i="120" s="1"/>
  <c r="BG191" i="120" s="1"/>
  <c r="AN277" i="120"/>
  <c r="AN260" i="120" s="1"/>
  <c r="AN271" i="120" s="1"/>
  <c r="AN277" i="124"/>
  <c r="H277" i="124"/>
  <c r="AO277" i="124"/>
  <c r="AO277" i="120"/>
  <c r="AO260" i="120" s="1"/>
  <c r="AO271" i="120" s="1"/>
  <c r="I277" i="124"/>
  <c r="AP277" i="120"/>
  <c r="AP260" i="120" s="1"/>
  <c r="AP271" i="120" s="1"/>
  <c r="J277" i="124"/>
  <c r="AP277" i="124"/>
  <c r="AQ277" i="120"/>
  <c r="K277" i="124"/>
  <c r="AQ277" i="124"/>
  <c r="AR277" i="120"/>
  <c r="AR260" i="120" s="1"/>
  <c r="AR271" i="120" s="1"/>
  <c r="L277" i="124"/>
  <c r="AR277" i="124"/>
  <c r="AS277" i="120"/>
  <c r="AS260" i="120" s="1"/>
  <c r="AS271" i="120" s="1"/>
  <c r="AS277" i="124"/>
  <c r="M277" i="124"/>
  <c r="N277" i="124"/>
  <c r="AT277" i="120"/>
  <c r="AT260" i="120" s="1"/>
  <c r="AT271" i="120" s="1"/>
  <c r="AT277" i="124"/>
  <c r="AU277" i="120"/>
  <c r="AU260" i="120" s="1"/>
  <c r="AU271" i="120" s="1"/>
  <c r="O277" i="124"/>
  <c r="AU277" i="124"/>
  <c r="P277" i="124"/>
  <c r="AV277" i="124"/>
  <c r="AV277" i="120"/>
  <c r="AV260" i="120" s="1"/>
  <c r="AV271" i="120" s="1"/>
  <c r="AW277" i="124"/>
  <c r="AW277" i="120"/>
  <c r="AW260" i="120" s="1"/>
  <c r="AW271" i="120" s="1"/>
  <c r="Q277" i="124"/>
  <c r="R277" i="124"/>
  <c r="AX277" i="124"/>
  <c r="AX277" i="120"/>
  <c r="AX260" i="120" s="1"/>
  <c r="AX271" i="120" s="1"/>
  <c r="S277" i="124"/>
  <c r="AY277" i="124"/>
  <c r="AY277" i="120"/>
  <c r="AY260" i="120" s="1"/>
  <c r="AY271" i="120" s="1"/>
  <c r="AZ277" i="120"/>
  <c r="AZ260" i="120" s="1"/>
  <c r="AZ271" i="120" s="1"/>
  <c r="T277" i="124"/>
  <c r="AZ277" i="124"/>
  <c r="BA277" i="120"/>
  <c r="BA260" i="120" s="1"/>
  <c r="BA271" i="120" s="1"/>
  <c r="U277" i="124"/>
  <c r="BA277" i="124"/>
  <c r="BB277" i="124"/>
  <c r="BB277" i="120"/>
  <c r="BB260" i="120" s="1"/>
  <c r="BB271" i="120" s="1"/>
  <c r="V277" i="124"/>
  <c r="W277" i="124"/>
  <c r="BC277" i="124"/>
  <c r="BC277" i="120"/>
  <c r="BC260" i="120" s="1"/>
  <c r="BC271" i="120" s="1"/>
  <c r="X277" i="124"/>
  <c r="BD277" i="120"/>
  <c r="BD260" i="120" s="1"/>
  <c r="BD271" i="120" s="1"/>
  <c r="BD277" i="124"/>
  <c r="Y277" i="124"/>
  <c r="BE277" i="124"/>
  <c r="BE277" i="120"/>
  <c r="BE260" i="120" s="1"/>
  <c r="BE271" i="120" s="1"/>
  <c r="BF277" i="124"/>
  <c r="BF277" i="120"/>
  <c r="BF260" i="120" s="1"/>
  <c r="Z277" i="124"/>
  <c r="AN199" i="124"/>
  <c r="H199" i="124"/>
  <c r="AN199" i="120"/>
  <c r="AN214" i="120" s="1"/>
  <c r="AO199" i="124"/>
  <c r="AO214" i="124" s="1"/>
  <c r="I199" i="124"/>
  <c r="I214" i="124" s="1"/>
  <c r="AO199" i="120"/>
  <c r="AP199" i="120"/>
  <c r="AP214" i="120" s="1"/>
  <c r="J199" i="124"/>
  <c r="J214" i="124" s="1"/>
  <c r="AP199" i="124"/>
  <c r="AP214" i="124" s="1"/>
  <c r="AQ199" i="120"/>
  <c r="AQ214" i="120" s="1"/>
  <c r="AQ199" i="124"/>
  <c r="AQ214" i="124" s="1"/>
  <c r="K199" i="124"/>
  <c r="K214" i="124" s="1"/>
  <c r="AR199" i="120"/>
  <c r="AR214" i="120" s="1"/>
  <c r="L199" i="124"/>
  <c r="L214" i="124" s="1"/>
  <c r="AR199" i="124"/>
  <c r="AR214" i="124" s="1"/>
  <c r="AS199" i="120"/>
  <c r="AS214" i="120" s="1"/>
  <c r="AS199" i="124"/>
  <c r="AS214" i="124" s="1"/>
  <c r="M199" i="124"/>
  <c r="M214" i="124" s="1"/>
  <c r="N199" i="124"/>
  <c r="N214" i="124" s="1"/>
  <c r="AT199" i="120"/>
  <c r="AT214" i="120" s="1"/>
  <c r="AT199" i="124"/>
  <c r="AT214" i="124" s="1"/>
  <c r="AU199" i="120"/>
  <c r="AU214" i="120" s="1"/>
  <c r="O199" i="124"/>
  <c r="O214" i="124" s="1"/>
  <c r="AU199" i="124"/>
  <c r="AU214" i="124" s="1"/>
  <c r="P199" i="124"/>
  <c r="P214" i="124" s="1"/>
  <c r="AV199" i="120"/>
  <c r="AV214" i="120" s="1"/>
  <c r="AV199" i="124"/>
  <c r="AV214" i="124" s="1"/>
  <c r="AW199" i="124"/>
  <c r="AW214" i="124" s="1"/>
  <c r="AW199" i="120"/>
  <c r="Q199" i="124"/>
  <c r="Q214" i="124" s="1"/>
  <c r="AX199" i="124"/>
  <c r="AX214" i="124" s="1"/>
  <c r="AX199" i="120"/>
  <c r="AX214" i="120" s="1"/>
  <c r="R199" i="124"/>
  <c r="R214" i="124" s="1"/>
  <c r="S199" i="124"/>
  <c r="S214" i="124" s="1"/>
  <c r="AY199" i="120"/>
  <c r="AY214" i="120" s="1"/>
  <c r="AY199" i="124"/>
  <c r="AY214" i="124" s="1"/>
  <c r="AZ199" i="120"/>
  <c r="AZ214" i="120" s="1"/>
  <c r="T199" i="124"/>
  <c r="T214" i="124" s="1"/>
  <c r="AZ199" i="124"/>
  <c r="AZ214" i="124" s="1"/>
  <c r="BA199" i="120"/>
  <c r="BA214" i="120" s="1"/>
  <c r="BA199" i="124"/>
  <c r="BA214" i="124" s="1"/>
  <c r="U199" i="124"/>
  <c r="U214" i="124" s="1"/>
  <c r="BB199" i="120"/>
  <c r="BB214" i="120" s="1"/>
  <c r="BB199" i="124"/>
  <c r="BB214" i="124" s="1"/>
  <c r="V199" i="124"/>
  <c r="V214" i="124" s="1"/>
  <c r="W199" i="124"/>
  <c r="W214" i="124" s="1"/>
  <c r="BC199" i="120"/>
  <c r="BC214" i="120" s="1"/>
  <c r="BC199" i="124"/>
  <c r="BC214" i="124" s="1"/>
  <c r="X199" i="124"/>
  <c r="X214" i="124" s="1"/>
  <c r="BD199" i="120"/>
  <c r="BD214" i="120" s="1"/>
  <c r="BD199" i="124"/>
  <c r="BD214" i="124" s="1"/>
  <c r="Y199" i="124"/>
  <c r="Y214" i="124" s="1"/>
  <c r="BE199" i="120"/>
  <c r="BE199" i="124"/>
  <c r="BE214" i="124" s="1"/>
  <c r="BF199" i="124"/>
  <c r="BF214" i="124" s="1"/>
  <c r="BF199" i="120"/>
  <c r="BF214" i="120" s="1"/>
  <c r="Z199" i="124"/>
  <c r="Z214" i="124" s="1"/>
  <c r="AO169" i="124"/>
  <c r="AO226" i="124" s="1"/>
  <c r="I169" i="124"/>
  <c r="I226" i="124" s="1"/>
  <c r="AO169" i="120"/>
  <c r="AO226" i="120" s="1"/>
  <c r="Z96" i="120"/>
  <c r="Z124" i="120" s="1"/>
  <c r="Y283" i="124"/>
  <c r="Y335" i="124" s="1"/>
  <c r="R125" i="124"/>
  <c r="R124" i="124"/>
  <c r="R123" i="124"/>
  <c r="Q45" i="124"/>
  <c r="Q46" i="124"/>
  <c r="Q44" i="124"/>
  <c r="H254" i="124"/>
  <c r="AX283" i="124"/>
  <c r="AX282" i="124"/>
  <c r="AX281" i="124"/>
  <c r="AR283" i="120"/>
  <c r="AR282" i="120"/>
  <c r="AR281" i="120"/>
  <c r="V204" i="124"/>
  <c r="V203" i="124"/>
  <c r="V202" i="124"/>
  <c r="AW203" i="120"/>
  <c r="AW204" i="120"/>
  <c r="AW202" i="120"/>
  <c r="X204" i="124"/>
  <c r="X203" i="124"/>
  <c r="AV281" i="120"/>
  <c r="AV282" i="120"/>
  <c r="AV283" i="120"/>
  <c r="AV291" i="120" s="1"/>
  <c r="AT204" i="124"/>
  <c r="AT203" i="124"/>
  <c r="AT202" i="124"/>
  <c r="AU203" i="120"/>
  <c r="AU204" i="120"/>
  <c r="AU202" i="120"/>
  <c r="BG40" i="124"/>
  <c r="BG199" i="124"/>
  <c r="BG214" i="124" s="1"/>
  <c r="BG277" i="124"/>
  <c r="S125" i="124"/>
  <c r="S124" i="124"/>
  <c r="S123" i="124"/>
  <c r="AZ282" i="124"/>
  <c r="AZ283" i="124"/>
  <c r="AZ281" i="124"/>
  <c r="K124" i="124"/>
  <c r="K125" i="124"/>
  <c r="K123" i="124"/>
  <c r="Q282" i="124"/>
  <c r="Q283" i="124"/>
  <c r="Q281" i="124"/>
  <c r="BF254" i="120"/>
  <c r="BF283" i="120" s="1"/>
  <c r="BF291" i="120" s="1"/>
  <c r="AU125" i="124"/>
  <c r="AU124" i="124"/>
  <c r="AU123" i="124"/>
  <c r="BA283" i="124"/>
  <c r="BA282" i="124"/>
  <c r="BA281" i="124"/>
  <c r="BA125" i="124"/>
  <c r="BA124" i="124"/>
  <c r="BA123" i="124"/>
  <c r="BC281" i="120"/>
  <c r="BC283" i="120"/>
  <c r="BC291" i="120" s="1"/>
  <c r="BC282" i="120"/>
  <c r="AS45" i="124"/>
  <c r="AS46" i="124"/>
  <c r="AS44" i="124"/>
  <c r="AS204" i="120"/>
  <c r="AS202" i="120"/>
  <c r="AS203" i="120"/>
  <c r="AP282" i="124"/>
  <c r="AP283" i="124"/>
  <c r="AP281" i="124"/>
  <c r="BF25" i="124"/>
  <c r="AO282" i="124"/>
  <c r="AO283" i="124"/>
  <c r="AO281" i="124"/>
  <c r="BD44" i="124"/>
  <c r="AA198" i="124"/>
  <c r="AA278" i="124"/>
  <c r="AA293" i="124" s="1"/>
  <c r="Z204" i="124"/>
  <c r="BG184" i="120"/>
  <c r="BG183" i="120" s="1"/>
  <c r="BG174" i="120"/>
  <c r="BG175" i="120" s="1"/>
  <c r="BG228" i="120" a="1"/>
  <c r="BG228" i="120" s="1"/>
  <c r="BG185" i="120"/>
  <c r="BG227" i="120" a="1"/>
  <c r="BG227" i="120" s="1"/>
  <c r="AN275" i="120"/>
  <c r="AN275" i="124"/>
  <c r="H275" i="124"/>
  <c r="I275" i="124"/>
  <c r="AO275" i="120"/>
  <c r="AO258" i="120" s="1"/>
  <c r="AO269" i="120" s="1"/>
  <c r="AO289" i="120" s="1"/>
  <c r="AO275" i="124"/>
  <c r="AP275" i="120"/>
  <c r="J275" i="124"/>
  <c r="AP275" i="124"/>
  <c r="AQ275" i="120"/>
  <c r="K275" i="124"/>
  <c r="AQ275" i="124"/>
  <c r="AR275" i="120"/>
  <c r="AR258" i="120" s="1"/>
  <c r="AR269" i="120" s="1"/>
  <c r="AR275" i="124"/>
  <c r="L275" i="124"/>
  <c r="AS275" i="120"/>
  <c r="AS275" i="124"/>
  <c r="M275" i="124"/>
  <c r="N275" i="124"/>
  <c r="AT275" i="120"/>
  <c r="AT275" i="124"/>
  <c r="AU275" i="124"/>
  <c r="AU275" i="120"/>
  <c r="O275" i="124"/>
  <c r="P275" i="124"/>
  <c r="AV275" i="120"/>
  <c r="AV275" i="124"/>
  <c r="AW275" i="124"/>
  <c r="Q275" i="124"/>
  <c r="AW275" i="120"/>
  <c r="AX275" i="124"/>
  <c r="AX275" i="120"/>
  <c r="R275" i="124"/>
  <c r="S275" i="124"/>
  <c r="AY275" i="124"/>
  <c r="AY275" i="120"/>
  <c r="AZ275" i="124"/>
  <c r="AZ275" i="120"/>
  <c r="AZ258" i="120" s="1"/>
  <c r="AZ269" i="120" s="1"/>
  <c r="T275" i="124"/>
  <c r="BA275" i="120"/>
  <c r="BA275" i="124"/>
  <c r="U275" i="124"/>
  <c r="BB275" i="124"/>
  <c r="BB275" i="120"/>
  <c r="V275" i="124"/>
  <c r="BC275" i="124"/>
  <c r="W275" i="124"/>
  <c r="BC275" i="120"/>
  <c r="X275" i="124"/>
  <c r="BD275" i="120"/>
  <c r="BD258" i="120" s="1"/>
  <c r="BD269" i="120" s="1"/>
  <c r="BD275" i="124"/>
  <c r="BE275" i="120"/>
  <c r="BE258" i="120" s="1"/>
  <c r="BE269" i="120" s="1"/>
  <c r="Y275" i="124"/>
  <c r="BE275" i="124"/>
  <c r="BF275" i="124"/>
  <c r="BF275" i="120"/>
  <c r="Z275" i="124"/>
  <c r="BE202" i="120"/>
  <c r="AV125" i="124"/>
  <c r="AV124" i="124"/>
  <c r="AV123" i="124"/>
  <c r="AW46" i="124"/>
  <c r="AW45" i="124"/>
  <c r="AW44" i="124"/>
  <c r="N124" i="124"/>
  <c r="N125" i="124"/>
  <c r="N123" i="124"/>
  <c r="AX281" i="120"/>
  <c r="AX283" i="120"/>
  <c r="AX291" i="120" s="1"/>
  <c r="AX282" i="120"/>
  <c r="L282" i="124"/>
  <c r="L283" i="124"/>
  <c r="L281" i="124"/>
  <c r="BB204" i="120"/>
  <c r="BB203" i="120"/>
  <c r="BB202" i="120"/>
  <c r="Q204" i="124"/>
  <c r="Q203" i="124"/>
  <c r="Q202" i="124"/>
  <c r="Y123" i="124"/>
  <c r="BD204" i="120"/>
  <c r="BD202" i="120"/>
  <c r="BD203" i="120"/>
  <c r="AZ46" i="124"/>
  <c r="AZ45" i="124"/>
  <c r="AZ44" i="124"/>
  <c r="L45" i="124"/>
  <c r="L46" i="124"/>
  <c r="L44" i="124"/>
  <c r="R45" i="124"/>
  <c r="R46" i="124"/>
  <c r="R44" i="124"/>
  <c r="BG95" i="124"/>
  <c r="BG96" i="124" s="1"/>
  <c r="BG148" i="124" a="1"/>
  <c r="BG148" i="124" s="1"/>
  <c r="BG106" i="124"/>
  <c r="BG149" i="124" a="1"/>
  <c r="BG149" i="124" s="1"/>
  <c r="BG105" i="124"/>
  <c r="BG117" i="124"/>
  <c r="BG198" i="124"/>
  <c r="BG275" i="124"/>
  <c r="AY125" i="124"/>
  <c r="AY124" i="124"/>
  <c r="AY123" i="124"/>
  <c r="T282" i="124"/>
  <c r="T283" i="124"/>
  <c r="T281" i="124"/>
  <c r="AQ125" i="124"/>
  <c r="AQ124" i="124"/>
  <c r="AQ123" i="124"/>
  <c r="AW282" i="120"/>
  <c r="AW283" i="120"/>
  <c r="AW281" i="120"/>
  <c r="AZ124" i="124"/>
  <c r="AZ125" i="124"/>
  <c r="AZ123" i="124"/>
  <c r="AV203" i="124"/>
  <c r="AV204" i="124"/>
  <c r="AV202" i="124"/>
  <c r="Q125" i="124"/>
  <c r="Q124" i="124"/>
  <c r="Q123" i="124"/>
  <c r="M46" i="124"/>
  <c r="M45" i="124"/>
  <c r="M44" i="124"/>
  <c r="M204" i="124"/>
  <c r="M203" i="124"/>
  <c r="M202" i="124"/>
  <c r="AY203" i="120"/>
  <c r="AY202" i="120"/>
  <c r="AY204" i="120"/>
  <c r="AO282" i="120"/>
  <c r="AO283" i="120"/>
  <c r="AO291" i="120" s="1"/>
  <c r="AO281" i="120"/>
  <c r="AA148" i="124" a="1"/>
  <c r="AA148" i="124" s="1"/>
  <c r="AA106" i="124"/>
  <c r="AA149" i="124" a="1"/>
  <c r="AA149" i="124" s="1"/>
  <c r="AA95" i="124"/>
  <c r="AA96" i="124" s="1"/>
  <c r="AA105" i="124"/>
  <c r="AA38" i="124"/>
  <c r="AA275" i="124"/>
  <c r="AN197" i="124"/>
  <c r="H197" i="124"/>
  <c r="AN197" i="120"/>
  <c r="AN180" i="120" s="1"/>
  <c r="AN191" i="120" s="1"/>
  <c r="AN211" i="120" s="1"/>
  <c r="I197" i="124"/>
  <c r="I180" i="124" s="1"/>
  <c r="I191" i="124" s="1"/>
  <c r="I211" i="124" s="1"/>
  <c r="AO197" i="120"/>
  <c r="AO180" i="120" s="1"/>
  <c r="AO191" i="120" s="1"/>
  <c r="AO197" i="124"/>
  <c r="AO180" i="124" s="1"/>
  <c r="AO191" i="124" s="1"/>
  <c r="AO211" i="124" s="1"/>
  <c r="AP197" i="120"/>
  <c r="AP180" i="120" s="1"/>
  <c r="AP191" i="120" s="1"/>
  <c r="AP211" i="120" s="1"/>
  <c r="J197" i="124"/>
  <c r="J180" i="124" s="1"/>
  <c r="J191" i="124" s="1"/>
  <c r="J211" i="124" s="1"/>
  <c r="AP197" i="124"/>
  <c r="AP180" i="124" s="1"/>
  <c r="AP191" i="124" s="1"/>
  <c r="AP211" i="124" s="1"/>
  <c r="AQ197" i="120"/>
  <c r="AQ180" i="120" s="1"/>
  <c r="AQ191" i="120" s="1"/>
  <c r="AQ211" i="120" s="1"/>
  <c r="K197" i="124"/>
  <c r="K180" i="124" s="1"/>
  <c r="K191" i="124" s="1"/>
  <c r="K211" i="124" s="1"/>
  <c r="AQ197" i="124"/>
  <c r="AQ180" i="124" s="1"/>
  <c r="AQ191" i="124" s="1"/>
  <c r="AQ211" i="124" s="1"/>
  <c r="L197" i="124"/>
  <c r="L180" i="124" s="1"/>
  <c r="L191" i="124" s="1"/>
  <c r="L211" i="124" s="1"/>
  <c r="AR197" i="120"/>
  <c r="AR180" i="120" s="1"/>
  <c r="AR191" i="120" s="1"/>
  <c r="AR211" i="120" s="1"/>
  <c r="AR197" i="124"/>
  <c r="AR180" i="124" s="1"/>
  <c r="AR191" i="124" s="1"/>
  <c r="AR211" i="124" s="1"/>
  <c r="AS197" i="120"/>
  <c r="AS180" i="120" s="1"/>
  <c r="AS191" i="120" s="1"/>
  <c r="AS211" i="120" s="1"/>
  <c r="AS197" i="124"/>
  <c r="AS180" i="124" s="1"/>
  <c r="AS191" i="124" s="1"/>
  <c r="AS211" i="124" s="1"/>
  <c r="M197" i="124"/>
  <c r="M180" i="124" s="1"/>
  <c r="M191" i="124" s="1"/>
  <c r="M211" i="124" s="1"/>
  <c r="N197" i="124"/>
  <c r="N180" i="124" s="1"/>
  <c r="N191" i="124" s="1"/>
  <c r="N211" i="124" s="1"/>
  <c r="AT197" i="120"/>
  <c r="AT180" i="120" s="1"/>
  <c r="AT191" i="120" s="1"/>
  <c r="AT211" i="120" s="1"/>
  <c r="AT197" i="124"/>
  <c r="AT180" i="124" s="1"/>
  <c r="AT191" i="124" s="1"/>
  <c r="AT211" i="124" s="1"/>
  <c r="AU197" i="124"/>
  <c r="AU180" i="124" s="1"/>
  <c r="AU191" i="124" s="1"/>
  <c r="AU211" i="124" s="1"/>
  <c r="O197" i="124"/>
  <c r="O180" i="124" s="1"/>
  <c r="O191" i="124" s="1"/>
  <c r="O211" i="124" s="1"/>
  <c r="AU197" i="120"/>
  <c r="AU180" i="120" s="1"/>
  <c r="AU191" i="120" s="1"/>
  <c r="AU211" i="120" s="1"/>
  <c r="P197" i="124"/>
  <c r="P180" i="124" s="1"/>
  <c r="P191" i="124" s="1"/>
  <c r="P211" i="124" s="1"/>
  <c r="AV197" i="120"/>
  <c r="AV180" i="120" s="1"/>
  <c r="AV191" i="120" s="1"/>
  <c r="AV211" i="120" s="1"/>
  <c r="AV197" i="124"/>
  <c r="AV180" i="124" s="1"/>
  <c r="AV191" i="124" s="1"/>
  <c r="AV211" i="124" s="1"/>
  <c r="Q197" i="124"/>
  <c r="Q180" i="124" s="1"/>
  <c r="Q191" i="124" s="1"/>
  <c r="Q211" i="124" s="1"/>
  <c r="AW197" i="120"/>
  <c r="AW180" i="120" s="1"/>
  <c r="AW191" i="120" s="1"/>
  <c r="AW211" i="120" s="1"/>
  <c r="AW197" i="124"/>
  <c r="AW180" i="124" s="1"/>
  <c r="AW191" i="124" s="1"/>
  <c r="AW211" i="124" s="1"/>
  <c r="AX197" i="124"/>
  <c r="AX180" i="124" s="1"/>
  <c r="AX191" i="124" s="1"/>
  <c r="AX211" i="124" s="1"/>
  <c r="AX197" i="120"/>
  <c r="AX180" i="120" s="1"/>
  <c r="AX191" i="120" s="1"/>
  <c r="AX211" i="120" s="1"/>
  <c r="R197" i="124"/>
  <c r="R180" i="124" s="1"/>
  <c r="R191" i="124" s="1"/>
  <c r="R211" i="124" s="1"/>
  <c r="AY197" i="124"/>
  <c r="AY180" i="124" s="1"/>
  <c r="AY191" i="124" s="1"/>
  <c r="AY211" i="124" s="1"/>
  <c r="AY197" i="120"/>
  <c r="AY180" i="120" s="1"/>
  <c r="AY191" i="120" s="1"/>
  <c r="AY211" i="120" s="1"/>
  <c r="S197" i="124"/>
  <c r="S180" i="124" s="1"/>
  <c r="S191" i="124" s="1"/>
  <c r="S211" i="124" s="1"/>
  <c r="AZ197" i="120"/>
  <c r="AZ180" i="120" s="1"/>
  <c r="AZ191" i="120" s="1"/>
  <c r="AZ211" i="120" s="1"/>
  <c r="AZ197" i="124"/>
  <c r="AZ180" i="124" s="1"/>
  <c r="AZ191" i="124" s="1"/>
  <c r="AZ211" i="124" s="1"/>
  <c r="T197" i="124"/>
  <c r="T180" i="124" s="1"/>
  <c r="T191" i="124" s="1"/>
  <c r="T211" i="124" s="1"/>
  <c r="BA197" i="120"/>
  <c r="BA180" i="120" s="1"/>
  <c r="BA191" i="120" s="1"/>
  <c r="BA211" i="120" s="1"/>
  <c r="BA197" i="124"/>
  <c r="BA180" i="124" s="1"/>
  <c r="BA191" i="124" s="1"/>
  <c r="BA211" i="124" s="1"/>
  <c r="U197" i="124"/>
  <c r="U180" i="124" s="1"/>
  <c r="U191" i="124" s="1"/>
  <c r="U211" i="124" s="1"/>
  <c r="BB197" i="124"/>
  <c r="BB180" i="124" s="1"/>
  <c r="BB191" i="124" s="1"/>
  <c r="BB211" i="124" s="1"/>
  <c r="BB197" i="120"/>
  <c r="BB180" i="120" s="1"/>
  <c r="BB191" i="120" s="1"/>
  <c r="BB211" i="120" s="1"/>
  <c r="V197" i="124"/>
  <c r="V180" i="124" s="1"/>
  <c r="V191" i="124" s="1"/>
  <c r="V211" i="124" s="1"/>
  <c r="BC197" i="124"/>
  <c r="BC180" i="124" s="1"/>
  <c r="BC191" i="124" s="1"/>
  <c r="BC211" i="124" s="1"/>
  <c r="W197" i="124"/>
  <c r="W180" i="124" s="1"/>
  <c r="W191" i="124" s="1"/>
  <c r="W211" i="124" s="1"/>
  <c r="BC197" i="120"/>
  <c r="BC180" i="120" s="1"/>
  <c r="BC191" i="120" s="1"/>
  <c r="BD197" i="120"/>
  <c r="BD180" i="120" s="1"/>
  <c r="BD191" i="120" s="1"/>
  <c r="BD211" i="120" s="1"/>
  <c r="X197" i="124"/>
  <c r="X180" i="124" s="1"/>
  <c r="X191" i="124" s="1"/>
  <c r="X211" i="124" s="1"/>
  <c r="BD197" i="124"/>
  <c r="BD180" i="124" s="1"/>
  <c r="BD191" i="124" s="1"/>
  <c r="BD211" i="124" s="1"/>
  <c r="BE197" i="120"/>
  <c r="BE180" i="120" s="1"/>
  <c r="BE191" i="120" s="1"/>
  <c r="BE211" i="120" s="1"/>
  <c r="Y197" i="124"/>
  <c r="Y180" i="124" s="1"/>
  <c r="Y191" i="124" s="1"/>
  <c r="Y211" i="124" s="1"/>
  <c r="BE197" i="124"/>
  <c r="BE180" i="124" s="1"/>
  <c r="BE191" i="124" s="1"/>
  <c r="BE211" i="124" s="1"/>
  <c r="BF197" i="124"/>
  <c r="BF180" i="124" s="1"/>
  <c r="BF191" i="124" s="1"/>
  <c r="BF197" i="120"/>
  <c r="BF180" i="120" s="1"/>
  <c r="BF191" i="120" s="1"/>
  <c r="Z197" i="124"/>
  <c r="Z180" i="124" s="1"/>
  <c r="Z191" i="124" s="1"/>
  <c r="Z211" i="124" s="1"/>
  <c r="AN198" i="124"/>
  <c r="H198" i="124"/>
  <c r="AN198" i="120"/>
  <c r="AN181" i="120" s="1"/>
  <c r="AN192" i="120" s="1"/>
  <c r="AO198" i="120"/>
  <c r="AO181" i="120" s="1"/>
  <c r="AO192" i="120" s="1"/>
  <c r="I198" i="124"/>
  <c r="AO198" i="124"/>
  <c r="AP198" i="124"/>
  <c r="AP198" i="120"/>
  <c r="AP181" i="120" s="1"/>
  <c r="AP192" i="120" s="1"/>
  <c r="J198" i="124"/>
  <c r="AQ198" i="124"/>
  <c r="AQ198" i="120"/>
  <c r="AQ181" i="120" s="1"/>
  <c r="AQ192" i="120" s="1"/>
  <c r="K198" i="124"/>
  <c r="AR198" i="124"/>
  <c r="AR198" i="120"/>
  <c r="AR181" i="120" s="1"/>
  <c r="AR192" i="120" s="1"/>
  <c r="L198" i="124"/>
  <c r="M198" i="124"/>
  <c r="AS198" i="124"/>
  <c r="AS198" i="120"/>
  <c r="AS181" i="120" s="1"/>
  <c r="AS192" i="120" s="1"/>
  <c r="AT198" i="120"/>
  <c r="AT181" i="120" s="1"/>
  <c r="AT192" i="120" s="1"/>
  <c r="N198" i="124"/>
  <c r="AT198" i="124"/>
  <c r="AU198" i="120"/>
  <c r="AU181" i="120" s="1"/>
  <c r="AU192" i="120" s="1"/>
  <c r="AU198" i="124"/>
  <c r="O198" i="124"/>
  <c r="AV198" i="120"/>
  <c r="AV181" i="120" s="1"/>
  <c r="AV192" i="120" s="1"/>
  <c r="AV198" i="124"/>
  <c r="P198" i="124"/>
  <c r="AW198" i="124"/>
  <c r="Q198" i="124"/>
  <c r="AW198" i="120"/>
  <c r="AW181" i="120" s="1"/>
  <c r="AW192" i="120" s="1"/>
  <c r="AX198" i="120"/>
  <c r="AX181" i="120" s="1"/>
  <c r="AX192" i="120" s="1"/>
  <c r="AX198" i="124"/>
  <c r="R198" i="124"/>
  <c r="S198" i="124"/>
  <c r="AY198" i="120"/>
  <c r="AY181" i="120" s="1"/>
  <c r="AY192" i="120" s="1"/>
  <c r="AY198" i="124"/>
  <c r="T198" i="124"/>
  <c r="AZ198" i="124"/>
  <c r="AZ198" i="120"/>
  <c r="AZ181" i="120" s="1"/>
  <c r="AZ192" i="120" s="1"/>
  <c r="U198" i="124"/>
  <c r="BA198" i="124"/>
  <c r="BA198" i="120"/>
  <c r="BA181" i="120" s="1"/>
  <c r="BA192" i="120" s="1"/>
  <c r="V198" i="124"/>
  <c r="BB198" i="124"/>
  <c r="BB198" i="120"/>
  <c r="BB181" i="120" s="1"/>
  <c r="BB192" i="120" s="1"/>
  <c r="BC198" i="120"/>
  <c r="BC181" i="120" s="1"/>
  <c r="BC192" i="120" s="1"/>
  <c r="BC198" i="124"/>
  <c r="W198" i="124"/>
  <c r="BD198" i="120"/>
  <c r="BD181" i="120" s="1"/>
  <c r="BD192" i="120" s="1"/>
  <c r="X198" i="124"/>
  <c r="BD198" i="124"/>
  <c r="BE198" i="124"/>
  <c r="Y198" i="124"/>
  <c r="BE198" i="120"/>
  <c r="BE181" i="120" s="1"/>
  <c r="BE192" i="120" s="1"/>
  <c r="Z198" i="124"/>
  <c r="BF198" i="120"/>
  <c r="BF181" i="120" s="1"/>
  <c r="BF198" i="124"/>
  <c r="AO90" i="124"/>
  <c r="AO147" i="124" s="1"/>
  <c r="I90" i="124"/>
  <c r="I147" i="124" s="1"/>
  <c r="AN118" i="124"/>
  <c r="H118" i="124"/>
  <c r="AO118" i="124"/>
  <c r="AO101" i="124" s="1"/>
  <c r="AO112" i="124" s="1"/>
  <c r="AO132" i="124" s="1"/>
  <c r="I118" i="124"/>
  <c r="I101" i="124" s="1"/>
  <c r="I112" i="124" s="1"/>
  <c r="I132" i="124" s="1"/>
  <c r="J118" i="124"/>
  <c r="J101" i="124" s="1"/>
  <c r="J112" i="124" s="1"/>
  <c r="J132" i="124" s="1"/>
  <c r="AP118" i="124"/>
  <c r="AP101" i="124" s="1"/>
  <c r="AP112" i="124" s="1"/>
  <c r="AP132" i="124" s="1"/>
  <c r="AQ118" i="124"/>
  <c r="AQ101" i="124" s="1"/>
  <c r="AQ112" i="124" s="1"/>
  <c r="AQ132" i="124" s="1"/>
  <c r="K118" i="124"/>
  <c r="K101" i="124" s="1"/>
  <c r="K112" i="124" s="1"/>
  <c r="K132" i="124" s="1"/>
  <c r="L118" i="124"/>
  <c r="L101" i="124" s="1"/>
  <c r="L112" i="124" s="1"/>
  <c r="L132" i="124" s="1"/>
  <c r="AR118" i="124"/>
  <c r="AR101" i="124" s="1"/>
  <c r="AR112" i="124" s="1"/>
  <c r="AR132" i="124" s="1"/>
  <c r="AS118" i="124"/>
  <c r="AS101" i="124" s="1"/>
  <c r="AS112" i="124" s="1"/>
  <c r="AS132" i="124" s="1"/>
  <c r="M118" i="124"/>
  <c r="M101" i="124" s="1"/>
  <c r="M112" i="124" s="1"/>
  <c r="M132" i="124" s="1"/>
  <c r="N118" i="124"/>
  <c r="N101" i="124" s="1"/>
  <c r="N112" i="124" s="1"/>
  <c r="N132" i="124" s="1"/>
  <c r="AT118" i="124"/>
  <c r="AT101" i="124" s="1"/>
  <c r="AT112" i="124" s="1"/>
  <c r="AT132" i="124" s="1"/>
  <c r="O118" i="124"/>
  <c r="O101" i="124" s="1"/>
  <c r="O112" i="124" s="1"/>
  <c r="O132" i="124" s="1"/>
  <c r="AU118" i="124"/>
  <c r="AU101" i="124" s="1"/>
  <c r="AU112" i="124" s="1"/>
  <c r="AU132" i="124" s="1"/>
  <c r="AV118" i="124"/>
  <c r="AV101" i="124" s="1"/>
  <c r="AV112" i="124" s="1"/>
  <c r="AV132" i="124" s="1"/>
  <c r="P118" i="124"/>
  <c r="P101" i="124" s="1"/>
  <c r="P112" i="124" s="1"/>
  <c r="P132" i="124" s="1"/>
  <c r="Q118" i="124"/>
  <c r="Q101" i="124" s="1"/>
  <c r="Q112" i="124" s="1"/>
  <c r="Q132" i="124" s="1"/>
  <c r="AW118" i="124"/>
  <c r="AW101" i="124" s="1"/>
  <c r="AW112" i="124" s="1"/>
  <c r="AW132" i="124" s="1"/>
  <c r="AX118" i="124"/>
  <c r="AX101" i="124" s="1"/>
  <c r="AX112" i="124" s="1"/>
  <c r="AX132" i="124" s="1"/>
  <c r="R118" i="124"/>
  <c r="R101" i="124" s="1"/>
  <c r="R112" i="124" s="1"/>
  <c r="R132" i="124" s="1"/>
  <c r="AY118" i="124"/>
  <c r="AY101" i="124" s="1"/>
  <c r="AY112" i="124" s="1"/>
  <c r="AY132" i="124" s="1"/>
  <c r="S118" i="124"/>
  <c r="S101" i="124" s="1"/>
  <c r="S112" i="124" s="1"/>
  <c r="S132" i="124" s="1"/>
  <c r="AZ118" i="124"/>
  <c r="AZ101" i="124" s="1"/>
  <c r="AZ112" i="124" s="1"/>
  <c r="AZ132" i="124" s="1"/>
  <c r="T118" i="124"/>
  <c r="T101" i="124" s="1"/>
  <c r="T112" i="124" s="1"/>
  <c r="T132" i="124" s="1"/>
  <c r="BA118" i="124"/>
  <c r="BA101" i="124" s="1"/>
  <c r="BA112" i="124" s="1"/>
  <c r="BA132" i="124" s="1"/>
  <c r="U118" i="124"/>
  <c r="U101" i="124" s="1"/>
  <c r="U112" i="124" s="1"/>
  <c r="U132" i="124" s="1"/>
  <c r="V118" i="124"/>
  <c r="V101" i="124" s="1"/>
  <c r="V112" i="124" s="1"/>
  <c r="V132" i="124" s="1"/>
  <c r="BB118" i="124"/>
  <c r="BB101" i="124" s="1"/>
  <c r="BB112" i="124" s="1"/>
  <c r="BB132" i="124" s="1"/>
  <c r="W118" i="124"/>
  <c r="W101" i="124" s="1"/>
  <c r="W112" i="124" s="1"/>
  <c r="W132" i="124" s="1"/>
  <c r="BC118" i="124"/>
  <c r="BC101" i="124" s="1"/>
  <c r="BC112" i="124" s="1"/>
  <c r="BC132" i="124" s="1"/>
  <c r="X118" i="124"/>
  <c r="X101" i="124" s="1"/>
  <c r="X112" i="124" s="1"/>
  <c r="X132" i="124" s="1"/>
  <c r="BD118" i="124"/>
  <c r="BD101" i="124" s="1"/>
  <c r="BD112" i="124" s="1"/>
  <c r="BD132" i="124" s="1"/>
  <c r="Y118" i="124"/>
  <c r="Y101" i="124" s="1"/>
  <c r="Y112" i="124" s="1"/>
  <c r="Y132" i="124" s="1"/>
  <c r="BE118" i="124"/>
  <c r="BE101" i="124" s="1"/>
  <c r="BE112" i="124" s="1"/>
  <c r="BE132" i="124" s="1"/>
  <c r="Z118" i="124"/>
  <c r="Z101" i="124" s="1"/>
  <c r="Z112" i="124" s="1"/>
  <c r="BF118" i="124"/>
  <c r="BF101" i="124" s="1"/>
  <c r="BF112" i="124" s="1"/>
  <c r="H276" i="124"/>
  <c r="AN276" i="124"/>
  <c r="AN276" i="120"/>
  <c r="AN259" i="120" s="1"/>
  <c r="AN270" i="120" s="1"/>
  <c r="AN290" i="120" s="1"/>
  <c r="AO276" i="120"/>
  <c r="AO259" i="120" s="1"/>
  <c r="AO270" i="120" s="1"/>
  <c r="AO290" i="120" s="1"/>
  <c r="I276" i="124"/>
  <c r="I259" i="124" s="1"/>
  <c r="I270" i="124" s="1"/>
  <c r="I290" i="124" s="1"/>
  <c r="AO276" i="124"/>
  <c r="AO259" i="124" s="1"/>
  <c r="AO270" i="124" s="1"/>
  <c r="AO290" i="124" s="1"/>
  <c r="AP276" i="124"/>
  <c r="AP259" i="124" s="1"/>
  <c r="AP270" i="124" s="1"/>
  <c r="AP290" i="124" s="1"/>
  <c r="J276" i="124"/>
  <c r="J259" i="124" s="1"/>
  <c r="J270" i="124" s="1"/>
  <c r="J290" i="124" s="1"/>
  <c r="AP276" i="120"/>
  <c r="AP259" i="120" s="1"/>
  <c r="AP270" i="120" s="1"/>
  <c r="AP290" i="120" s="1"/>
  <c r="AQ276" i="124"/>
  <c r="AQ259" i="124" s="1"/>
  <c r="AQ270" i="124" s="1"/>
  <c r="AQ290" i="124" s="1"/>
  <c r="K276" i="124"/>
  <c r="K259" i="124" s="1"/>
  <c r="K270" i="124" s="1"/>
  <c r="K290" i="124" s="1"/>
  <c r="AQ276" i="120"/>
  <c r="AQ259" i="120" s="1"/>
  <c r="AQ270" i="120" s="1"/>
  <c r="AQ290" i="120" s="1"/>
  <c r="L276" i="124"/>
  <c r="L259" i="124" s="1"/>
  <c r="L270" i="124" s="1"/>
  <c r="L290" i="124" s="1"/>
  <c r="AR276" i="124"/>
  <c r="AR259" i="124" s="1"/>
  <c r="AR270" i="124" s="1"/>
  <c r="AR290" i="124" s="1"/>
  <c r="AR276" i="120"/>
  <c r="AR259" i="120" s="1"/>
  <c r="AR270" i="120" s="1"/>
  <c r="AR290" i="120" s="1"/>
  <c r="AS276" i="124"/>
  <c r="AS259" i="124" s="1"/>
  <c r="AS270" i="124" s="1"/>
  <c r="AS290" i="124" s="1"/>
  <c r="M276" i="124"/>
  <c r="M259" i="124" s="1"/>
  <c r="M270" i="124" s="1"/>
  <c r="M290" i="124" s="1"/>
  <c r="AS276" i="120"/>
  <c r="AS259" i="120" s="1"/>
  <c r="AS270" i="120" s="1"/>
  <c r="AS290" i="120" s="1"/>
  <c r="N276" i="124"/>
  <c r="N259" i="124" s="1"/>
  <c r="N270" i="124" s="1"/>
  <c r="N290" i="124" s="1"/>
  <c r="AT276" i="124"/>
  <c r="AT259" i="124" s="1"/>
  <c r="AT270" i="124" s="1"/>
  <c r="AT290" i="124" s="1"/>
  <c r="AT276" i="120"/>
  <c r="AT259" i="120" s="1"/>
  <c r="AT270" i="120" s="1"/>
  <c r="AT290" i="120" s="1"/>
  <c r="AU276" i="124"/>
  <c r="AU259" i="124" s="1"/>
  <c r="AU270" i="124" s="1"/>
  <c r="AU290" i="124" s="1"/>
  <c r="AU276" i="120"/>
  <c r="AU259" i="120" s="1"/>
  <c r="AU270" i="120" s="1"/>
  <c r="O276" i="124"/>
  <c r="O259" i="124" s="1"/>
  <c r="O270" i="124" s="1"/>
  <c r="O290" i="124" s="1"/>
  <c r="AV276" i="120"/>
  <c r="AV259" i="120" s="1"/>
  <c r="AV270" i="120" s="1"/>
  <c r="AV290" i="120" s="1"/>
  <c r="P276" i="124"/>
  <c r="P259" i="124" s="1"/>
  <c r="P270" i="124" s="1"/>
  <c r="P290" i="124" s="1"/>
  <c r="AV276" i="124"/>
  <c r="AV259" i="124" s="1"/>
  <c r="AV270" i="124" s="1"/>
  <c r="AV290" i="124" s="1"/>
  <c r="Q276" i="124"/>
  <c r="Q259" i="124" s="1"/>
  <c r="Q270" i="124" s="1"/>
  <c r="Q290" i="124" s="1"/>
  <c r="AW276" i="120"/>
  <c r="AW259" i="120" s="1"/>
  <c r="AW270" i="120" s="1"/>
  <c r="AW290" i="120" s="1"/>
  <c r="AW276" i="124"/>
  <c r="AW259" i="124" s="1"/>
  <c r="AW270" i="124" s="1"/>
  <c r="AW290" i="124" s="1"/>
  <c r="AX276" i="124"/>
  <c r="AX259" i="124" s="1"/>
  <c r="AX270" i="124" s="1"/>
  <c r="AX290" i="124" s="1"/>
  <c r="AX276" i="120"/>
  <c r="AX259" i="120" s="1"/>
  <c r="AX270" i="120" s="1"/>
  <c r="AX290" i="120" s="1"/>
  <c r="R276" i="124"/>
  <c r="R259" i="124" s="1"/>
  <c r="R270" i="124" s="1"/>
  <c r="R290" i="124" s="1"/>
  <c r="S276" i="124"/>
  <c r="S259" i="124" s="1"/>
  <c r="S270" i="124" s="1"/>
  <c r="S290" i="124" s="1"/>
  <c r="AY276" i="120"/>
  <c r="AY259" i="120" s="1"/>
  <c r="AY270" i="120" s="1"/>
  <c r="AY290" i="120" s="1"/>
  <c r="AY276" i="124"/>
  <c r="AY259" i="124" s="1"/>
  <c r="AY270" i="124" s="1"/>
  <c r="AY290" i="124" s="1"/>
  <c r="AZ276" i="120"/>
  <c r="AZ259" i="120" s="1"/>
  <c r="AZ270" i="120" s="1"/>
  <c r="AZ290" i="120" s="1"/>
  <c r="AZ276" i="124"/>
  <c r="AZ259" i="124" s="1"/>
  <c r="AZ270" i="124" s="1"/>
  <c r="AZ290" i="124" s="1"/>
  <c r="T276" i="124"/>
  <c r="T259" i="124" s="1"/>
  <c r="T270" i="124" s="1"/>
  <c r="T290" i="124" s="1"/>
  <c r="BA276" i="124"/>
  <c r="BA259" i="124" s="1"/>
  <c r="BA270" i="124" s="1"/>
  <c r="BA290" i="124" s="1"/>
  <c r="U276" i="124"/>
  <c r="U259" i="124" s="1"/>
  <c r="U270" i="124" s="1"/>
  <c r="U290" i="124" s="1"/>
  <c r="BA276" i="120"/>
  <c r="BA259" i="120" s="1"/>
  <c r="BA270" i="120" s="1"/>
  <c r="BA290" i="120" s="1"/>
  <c r="BB276" i="120"/>
  <c r="BB259" i="120" s="1"/>
  <c r="BB270" i="120" s="1"/>
  <c r="BB290" i="120" s="1"/>
  <c r="V276" i="124"/>
  <c r="V259" i="124" s="1"/>
  <c r="V270" i="124" s="1"/>
  <c r="V290" i="124" s="1"/>
  <c r="BB276" i="124"/>
  <c r="BB259" i="124" s="1"/>
  <c r="BB270" i="124" s="1"/>
  <c r="BB290" i="124" s="1"/>
  <c r="BC276" i="120"/>
  <c r="BC259" i="120" s="1"/>
  <c r="BC270" i="120" s="1"/>
  <c r="BC290" i="120" s="1"/>
  <c r="BC276" i="124"/>
  <c r="BC259" i="124" s="1"/>
  <c r="BC270" i="124" s="1"/>
  <c r="BC290" i="124" s="1"/>
  <c r="W276" i="124"/>
  <c r="W259" i="124" s="1"/>
  <c r="W270" i="124" s="1"/>
  <c r="W290" i="124" s="1"/>
  <c r="BD276" i="124"/>
  <c r="BD259" i="124" s="1"/>
  <c r="BD270" i="124" s="1"/>
  <c r="BD290" i="124" s="1"/>
  <c r="X276" i="124"/>
  <c r="X259" i="124" s="1"/>
  <c r="X270" i="124" s="1"/>
  <c r="X290" i="124" s="1"/>
  <c r="BD276" i="120"/>
  <c r="BD259" i="120" s="1"/>
  <c r="BD270" i="120" s="1"/>
  <c r="BD290" i="120" s="1"/>
  <c r="BE276" i="120"/>
  <c r="BE259" i="120" s="1"/>
  <c r="BE270" i="120" s="1"/>
  <c r="BE290" i="120" s="1"/>
  <c r="Y276" i="124"/>
  <c r="Y259" i="124" s="1"/>
  <c r="Y270" i="124" s="1"/>
  <c r="Y290" i="124" s="1"/>
  <c r="BE276" i="124"/>
  <c r="BE259" i="124" s="1"/>
  <c r="BE270" i="124" s="1"/>
  <c r="BE290" i="124" s="1"/>
  <c r="Z276" i="124"/>
  <c r="Z259" i="124" s="1"/>
  <c r="Z270" i="124" s="1"/>
  <c r="BF276" i="120"/>
  <c r="BF259" i="120" s="1"/>
  <c r="BF270" i="120" s="1"/>
  <c r="BF276" i="124"/>
  <c r="BF259" i="124" s="1"/>
  <c r="BF270" i="124" s="1"/>
  <c r="AO248" i="124"/>
  <c r="AO305" i="124" s="1"/>
  <c r="AO248" i="120"/>
  <c r="AO305" i="120" s="1"/>
  <c r="I248" i="124"/>
  <c r="I305" i="124" s="1"/>
  <c r="Z175" i="120"/>
  <c r="X124" i="124"/>
  <c r="X125" i="124"/>
  <c r="P125" i="124"/>
  <c r="P124" i="124"/>
  <c r="P123" i="124"/>
  <c r="AP125" i="124"/>
  <c r="AP124" i="124"/>
  <c r="AP123" i="124"/>
  <c r="AT124" i="124"/>
  <c r="AT125" i="124"/>
  <c r="AT123" i="124"/>
  <c r="S46" i="124"/>
  <c r="S45" i="124"/>
  <c r="S44" i="124"/>
  <c r="J46" i="124"/>
  <c r="J45" i="124"/>
  <c r="J44" i="124"/>
  <c r="AS282" i="120"/>
  <c r="AS283" i="120"/>
  <c r="AS291" i="120" s="1"/>
  <c r="AS281" i="120"/>
  <c r="AX204" i="120"/>
  <c r="AX203" i="120"/>
  <c r="AX202" i="120"/>
  <c r="BD204" i="124"/>
  <c r="BD203" i="124"/>
  <c r="T46" i="124"/>
  <c r="T45" i="124"/>
  <c r="T44" i="124"/>
  <c r="AR46" i="124"/>
  <c r="AR45" i="124"/>
  <c r="AR44" i="124"/>
  <c r="AX45" i="124"/>
  <c r="AX46" i="124"/>
  <c r="AX44" i="124"/>
  <c r="BG228" i="124" a="1"/>
  <c r="BG228" i="124" s="1"/>
  <c r="BG184" i="124"/>
  <c r="BG227" i="124" a="1"/>
  <c r="BG227" i="124" s="1"/>
  <c r="BG174" i="124"/>
  <c r="BG185" i="124"/>
  <c r="BG39" i="124"/>
  <c r="BG22" i="124" s="1"/>
  <c r="BG197" i="124"/>
  <c r="BG180" i="124" s="1"/>
  <c r="BG191" i="124" s="1"/>
  <c r="BG276" i="124"/>
  <c r="BG259" i="124" s="1"/>
  <c r="BG270" i="124" s="1"/>
  <c r="K45" i="124"/>
  <c r="K46" i="124"/>
  <c r="K44" i="124"/>
  <c r="AZ282" i="120"/>
  <c r="AZ283" i="120"/>
  <c r="AZ291" i="120" s="1"/>
  <c r="AZ281" i="120"/>
  <c r="N45" i="124"/>
  <c r="N46" i="124"/>
  <c r="N44" i="124"/>
  <c r="BA45" i="124"/>
  <c r="BA46" i="124"/>
  <c r="BA44" i="124"/>
  <c r="T124" i="124"/>
  <c r="T125" i="124"/>
  <c r="T123" i="124"/>
  <c r="AV202" i="120"/>
  <c r="AV203" i="120"/>
  <c r="AV204" i="120"/>
  <c r="AV212" i="120" s="1"/>
  <c r="AW124" i="124"/>
  <c r="AW125" i="124"/>
  <c r="AW123" i="124"/>
  <c r="M125" i="124"/>
  <c r="M124" i="124"/>
  <c r="M123" i="124"/>
  <c r="AS204" i="124"/>
  <c r="AS203" i="124"/>
  <c r="AS202" i="124"/>
  <c r="Z45" i="124"/>
  <c r="Z25" i="124"/>
  <c r="Y281" i="124"/>
  <c r="AY204" i="124"/>
  <c r="AY203" i="124"/>
  <c r="AY202" i="124"/>
  <c r="BE204" i="120"/>
  <c r="AA70" i="124" a="1"/>
  <c r="AA70" i="124" s="1"/>
  <c r="AA16" i="124"/>
  <c r="AA17" i="124" s="1"/>
  <c r="AA69" i="124" a="1"/>
  <c r="AA69" i="124" s="1"/>
  <c r="AA27" i="124"/>
  <c r="AA26" i="124"/>
  <c r="AA40" i="124"/>
  <c r="AA276" i="124"/>
  <c r="AA259" i="124" s="1"/>
  <c r="AA270" i="124" s="1"/>
  <c r="BG278" i="120"/>
  <c r="BG293" i="120" s="1"/>
  <c r="AN120" i="124"/>
  <c r="H120" i="124"/>
  <c r="AO120" i="124"/>
  <c r="AO135" i="124" s="1"/>
  <c r="I120" i="124"/>
  <c r="I135" i="124" s="1"/>
  <c r="J120" i="124"/>
  <c r="J135" i="124" s="1"/>
  <c r="AP120" i="124"/>
  <c r="AP135" i="124" s="1"/>
  <c r="K120" i="124"/>
  <c r="K135" i="124" s="1"/>
  <c r="AQ120" i="124"/>
  <c r="AQ135" i="124" s="1"/>
  <c r="AR120" i="124"/>
  <c r="AR135" i="124" s="1"/>
  <c r="L120" i="124"/>
  <c r="L135" i="124" s="1"/>
  <c r="AS120" i="124"/>
  <c r="AS135" i="124" s="1"/>
  <c r="M120" i="124"/>
  <c r="M135" i="124" s="1"/>
  <c r="N120" i="124"/>
  <c r="N135" i="124" s="1"/>
  <c r="AT120" i="124"/>
  <c r="AT135" i="124" s="1"/>
  <c r="O120" i="124"/>
  <c r="O135" i="124" s="1"/>
  <c r="AU120" i="124"/>
  <c r="AU135" i="124" s="1"/>
  <c r="P120" i="124"/>
  <c r="P135" i="124" s="1"/>
  <c r="AV120" i="124"/>
  <c r="AV135" i="124" s="1"/>
  <c r="AW120" i="124"/>
  <c r="AW135" i="124" s="1"/>
  <c r="Q120" i="124"/>
  <c r="Q135" i="124" s="1"/>
  <c r="AX120" i="124"/>
  <c r="AX135" i="124" s="1"/>
  <c r="R120" i="124"/>
  <c r="R135" i="124" s="1"/>
  <c r="AY120" i="124"/>
  <c r="AY135" i="124" s="1"/>
  <c r="S120" i="124"/>
  <c r="S135" i="124" s="1"/>
  <c r="T120" i="124"/>
  <c r="T135" i="124" s="1"/>
  <c r="AZ120" i="124"/>
  <c r="AZ135" i="124" s="1"/>
  <c r="BA120" i="124"/>
  <c r="BA135" i="124" s="1"/>
  <c r="U120" i="124"/>
  <c r="U135" i="124" s="1"/>
  <c r="V120" i="124"/>
  <c r="V135" i="124" s="1"/>
  <c r="BB120" i="124"/>
  <c r="BB135" i="124" s="1"/>
  <c r="W120" i="124"/>
  <c r="W135" i="124" s="1"/>
  <c r="BC120" i="124"/>
  <c r="BC135" i="124" s="1"/>
  <c r="X120" i="124"/>
  <c r="X135" i="124" s="1"/>
  <c r="BD120" i="124"/>
  <c r="BD135" i="124" s="1"/>
  <c r="Y120" i="124"/>
  <c r="Y135" i="124" s="1"/>
  <c r="BE120" i="124"/>
  <c r="BE135" i="124" s="1"/>
  <c r="BF120" i="124"/>
  <c r="BF135" i="124" s="1"/>
  <c r="Z120" i="124"/>
  <c r="Z135" i="124" s="1"/>
  <c r="H117" i="124"/>
  <c r="AN117" i="124"/>
  <c r="I117" i="124"/>
  <c r="AO117" i="124"/>
  <c r="J117" i="124"/>
  <c r="AP117" i="124"/>
  <c r="K117" i="124"/>
  <c r="AQ117" i="124"/>
  <c r="L117" i="124"/>
  <c r="AR117" i="124"/>
  <c r="M117" i="124"/>
  <c r="AS117" i="124"/>
  <c r="N117" i="124"/>
  <c r="AT117" i="124"/>
  <c r="AU117" i="124"/>
  <c r="O117" i="124"/>
  <c r="P117" i="124"/>
  <c r="AV117" i="124"/>
  <c r="AW117" i="124"/>
  <c r="Q117" i="124"/>
  <c r="R117" i="124"/>
  <c r="AX117" i="124"/>
  <c r="S117" i="124"/>
  <c r="AY117" i="124"/>
  <c r="AZ117" i="124"/>
  <c r="T117" i="124"/>
  <c r="U117" i="124"/>
  <c r="BA117" i="124"/>
  <c r="BB117" i="124"/>
  <c r="V117" i="124"/>
  <c r="BC117" i="124"/>
  <c r="W117" i="124"/>
  <c r="BD117" i="124"/>
  <c r="X117" i="124"/>
  <c r="BE117" i="124"/>
  <c r="Y117" i="124"/>
  <c r="BF117" i="124"/>
  <c r="Z117" i="124"/>
  <c r="AN41" i="124"/>
  <c r="H41" i="124"/>
  <c r="I41" i="124"/>
  <c r="I56" i="124" s="1"/>
  <c r="AO41" i="124"/>
  <c r="AO56" i="124" s="1"/>
  <c r="J41" i="124"/>
  <c r="J56" i="124" s="1"/>
  <c r="AP41" i="124"/>
  <c r="AP56" i="124" s="1"/>
  <c r="AQ41" i="124"/>
  <c r="AQ56" i="124" s="1"/>
  <c r="K41" i="124"/>
  <c r="K56" i="124" s="1"/>
  <c r="L41" i="124"/>
  <c r="L56" i="124" s="1"/>
  <c r="AR41" i="124"/>
  <c r="AR56" i="124" s="1"/>
  <c r="AS41" i="124"/>
  <c r="AS56" i="124" s="1"/>
  <c r="M41" i="124"/>
  <c r="M56" i="124" s="1"/>
  <c r="N41" i="124"/>
  <c r="N56" i="124" s="1"/>
  <c r="AT41" i="124"/>
  <c r="AT56" i="124" s="1"/>
  <c r="O41" i="124"/>
  <c r="O56" i="124" s="1"/>
  <c r="AU41" i="124"/>
  <c r="AU56" i="124" s="1"/>
  <c r="AV41" i="124"/>
  <c r="AV56" i="124" s="1"/>
  <c r="P41" i="124"/>
  <c r="P56" i="124" s="1"/>
  <c r="AW41" i="124"/>
  <c r="AW56" i="124" s="1"/>
  <c r="Q41" i="124"/>
  <c r="Q56" i="124" s="1"/>
  <c r="AX41" i="124"/>
  <c r="AX56" i="124" s="1"/>
  <c r="R41" i="124"/>
  <c r="R56" i="124" s="1"/>
  <c r="AY41" i="124"/>
  <c r="AY56" i="124" s="1"/>
  <c r="S41" i="124"/>
  <c r="S56" i="124" s="1"/>
  <c r="T41" i="124"/>
  <c r="T56" i="124" s="1"/>
  <c r="AZ41" i="124"/>
  <c r="AZ56" i="124" s="1"/>
  <c r="U41" i="124"/>
  <c r="U56" i="124" s="1"/>
  <c r="BA41" i="124"/>
  <c r="BA56" i="124" s="1"/>
  <c r="V41" i="124"/>
  <c r="V56" i="124" s="1"/>
  <c r="BB41" i="124"/>
  <c r="BB56" i="124" s="1"/>
  <c r="W41" i="124"/>
  <c r="W56" i="124" s="1"/>
  <c r="BC41" i="124"/>
  <c r="BC56" i="124" s="1"/>
  <c r="BD41" i="124"/>
  <c r="BD56" i="124" s="1"/>
  <c r="X41" i="124"/>
  <c r="X56" i="124" s="1"/>
  <c r="BE41" i="124"/>
  <c r="BE56" i="124" s="1"/>
  <c r="Y41" i="124"/>
  <c r="Y56" i="124" s="1"/>
  <c r="Z41" i="124"/>
  <c r="Z56" i="124" s="1"/>
  <c r="BF41" i="124"/>
  <c r="BF56" i="124" s="1"/>
  <c r="H196" i="124"/>
  <c r="AN196" i="124"/>
  <c r="AN196" i="120"/>
  <c r="I196" i="124"/>
  <c r="AO196" i="124"/>
  <c r="AO196" i="120"/>
  <c r="AO179" i="120" s="1"/>
  <c r="AO190" i="120" s="1"/>
  <c r="AP196" i="120"/>
  <c r="AP196" i="124"/>
  <c r="J196" i="124"/>
  <c r="AQ196" i="124"/>
  <c r="K196" i="124"/>
  <c r="AQ196" i="120"/>
  <c r="L196" i="124"/>
  <c r="AR196" i="120"/>
  <c r="AR196" i="124"/>
  <c r="AS196" i="120"/>
  <c r="M196" i="124"/>
  <c r="AS196" i="124"/>
  <c r="AT196" i="124"/>
  <c r="N196" i="124"/>
  <c r="AT196" i="120"/>
  <c r="AU196" i="120"/>
  <c r="O196" i="124"/>
  <c r="AU196" i="124"/>
  <c r="AV196" i="120"/>
  <c r="AV196" i="124"/>
  <c r="P196" i="124"/>
  <c r="AW196" i="124"/>
  <c r="Q196" i="124"/>
  <c r="AW196" i="120"/>
  <c r="AW179" i="120" s="1"/>
  <c r="AW190" i="120" s="1"/>
  <c r="AX196" i="120"/>
  <c r="AX196" i="124"/>
  <c r="R196" i="124"/>
  <c r="AY196" i="120"/>
  <c r="AY196" i="124"/>
  <c r="S196" i="124"/>
  <c r="T196" i="124"/>
  <c r="AZ196" i="120"/>
  <c r="AZ196" i="124"/>
  <c r="BA196" i="120"/>
  <c r="U196" i="124"/>
  <c r="BA196" i="124"/>
  <c r="V196" i="124"/>
  <c r="BB196" i="124"/>
  <c r="BB196" i="120"/>
  <c r="BC196" i="120"/>
  <c r="W196" i="124"/>
  <c r="BC196" i="124"/>
  <c r="X196" i="124"/>
  <c r="BD196" i="120"/>
  <c r="BD196" i="124"/>
  <c r="BE196" i="124"/>
  <c r="Y196" i="124"/>
  <c r="BE196" i="120"/>
  <c r="BE179" i="120" s="1"/>
  <c r="BE190" i="120" s="1"/>
  <c r="Z196" i="124"/>
  <c r="BF196" i="120"/>
  <c r="BF196" i="124"/>
  <c r="BD125" i="124"/>
  <c r="BD124" i="124"/>
  <c r="J125" i="124"/>
  <c r="J124" i="124"/>
  <c r="J123" i="124"/>
  <c r="O45" i="124"/>
  <c r="O46" i="124"/>
  <c r="O44" i="124"/>
  <c r="AY46" i="124"/>
  <c r="AY45" i="124"/>
  <c r="AY44" i="124"/>
  <c r="AP45" i="124"/>
  <c r="AP46" i="124"/>
  <c r="AP44" i="124"/>
  <c r="M282" i="124"/>
  <c r="M283" i="124"/>
  <c r="M281" i="124"/>
  <c r="R204" i="124"/>
  <c r="R203" i="124"/>
  <c r="R202" i="124"/>
  <c r="V282" i="124"/>
  <c r="V283" i="124"/>
  <c r="V281" i="124"/>
  <c r="O283" i="124"/>
  <c r="O282" i="124"/>
  <c r="O281" i="124"/>
  <c r="AP202" i="120"/>
  <c r="AP204" i="120"/>
  <c r="AP203" i="120"/>
  <c r="BG70" i="124" a="1"/>
  <c r="BG70" i="124" s="1"/>
  <c r="BG27" i="124"/>
  <c r="BG26" i="124"/>
  <c r="BG69" i="124" a="1"/>
  <c r="BG69" i="124" s="1"/>
  <c r="BG16" i="124"/>
  <c r="BG17" i="124" s="1"/>
  <c r="BG41" i="124"/>
  <c r="BG56" i="124" s="1"/>
  <c r="BG118" i="124"/>
  <c r="BG101" i="124" s="1"/>
  <c r="BG112" i="124" s="1"/>
  <c r="BG196" i="124"/>
  <c r="BG278" i="124"/>
  <c r="BG293" i="124" s="1"/>
  <c r="AQ45" i="124"/>
  <c r="AQ46" i="124"/>
  <c r="AQ44" i="124"/>
  <c r="W125" i="124"/>
  <c r="W124" i="124"/>
  <c r="W123" i="124"/>
  <c r="AT46" i="124"/>
  <c r="AT45" i="124"/>
  <c r="AT44" i="124"/>
  <c r="U46" i="124"/>
  <c r="U45" i="124"/>
  <c r="U44" i="124"/>
  <c r="BC211" i="120"/>
  <c r="BC203" i="120"/>
  <c r="BC204" i="120"/>
  <c r="BC212" i="120" s="1"/>
  <c r="BC202" i="120"/>
  <c r="P203" i="124"/>
  <c r="P204" i="124"/>
  <c r="P202" i="124"/>
  <c r="BD282" i="120"/>
  <c r="BD283" i="120"/>
  <c r="BD291" i="120" s="1"/>
  <c r="AS125" i="124"/>
  <c r="AS124" i="124"/>
  <c r="AS123" i="124"/>
  <c r="BF204" i="120"/>
  <c r="BF212" i="120" s="1"/>
  <c r="S282" i="124"/>
  <c r="S283" i="124"/>
  <c r="S281" i="124"/>
  <c r="S204" i="124"/>
  <c r="S203" i="124"/>
  <c r="S202" i="124"/>
  <c r="AA227" i="124" a="1"/>
  <c r="AA227" i="124" s="1"/>
  <c r="AA185" i="124"/>
  <c r="AA228" i="124" a="1"/>
  <c r="AA228" i="124" s="1"/>
  <c r="AA184" i="124"/>
  <c r="AA174" i="124"/>
  <c r="AA175" i="124" s="1"/>
  <c r="AA211" i="124" s="1"/>
  <c r="AB301" i="124"/>
  <c r="AB278" i="124"/>
  <c r="AB293" i="124" s="1"/>
  <c r="AB276" i="124"/>
  <c r="AB302" i="124"/>
  <c r="AB277" i="124"/>
  <c r="AB275" i="124"/>
  <c r="AB252" i="124"/>
  <c r="AB223" i="124"/>
  <c r="AB222" i="124"/>
  <c r="AB198" i="124"/>
  <c r="AB196" i="124"/>
  <c r="AB173" i="124"/>
  <c r="AB197" i="124"/>
  <c r="AB144" i="124"/>
  <c r="AB199" i="124"/>
  <c r="AB214" i="124" s="1"/>
  <c r="AB143" i="124"/>
  <c r="AB119" i="124"/>
  <c r="AB117" i="124"/>
  <c r="AB94" i="124"/>
  <c r="AB65" i="124"/>
  <c r="AB118" i="124"/>
  <c r="AB120" i="124"/>
  <c r="AB135" i="124" s="1"/>
  <c r="AB40" i="124"/>
  <c r="AB38" i="124"/>
  <c r="AB15" i="124"/>
  <c r="AB41" i="124"/>
  <c r="AB56" i="124" s="1"/>
  <c r="AB39" i="124"/>
  <c r="AB64" i="124"/>
  <c r="AC8" i="124"/>
  <c r="AB249" i="124"/>
  <c r="AB170" i="124"/>
  <c r="AB91" i="124"/>
  <c r="AB12" i="124"/>
  <c r="AA119" i="124"/>
  <c r="BF104" i="124"/>
  <c r="BG196" i="120"/>
  <c r="N283" i="124"/>
  <c r="N282" i="124"/>
  <c r="N281" i="124"/>
  <c r="Y44" i="124"/>
  <c r="AO211" i="120"/>
  <c r="AO203" i="120"/>
  <c r="AO204" i="120"/>
  <c r="AO212" i="120" s="1"/>
  <c r="AO202" i="120"/>
  <c r="V46" i="124"/>
  <c r="V45" i="124"/>
  <c r="V44" i="124"/>
  <c r="AU46" i="124"/>
  <c r="AU45" i="124"/>
  <c r="AU44" i="124"/>
  <c r="AN175" i="124"/>
  <c r="AS282" i="124"/>
  <c r="AS283" i="124"/>
  <c r="AS281" i="124"/>
  <c r="AX203" i="124"/>
  <c r="AX204" i="124"/>
  <c r="AX202" i="124"/>
  <c r="BB283" i="124"/>
  <c r="BB282" i="124"/>
  <c r="BB281" i="124"/>
  <c r="AU290" i="120"/>
  <c r="AU283" i="120"/>
  <c r="AU291" i="120" s="1"/>
  <c r="AU282" i="120"/>
  <c r="AU281" i="120"/>
  <c r="J204" i="124"/>
  <c r="J203" i="124"/>
  <c r="J202" i="124"/>
  <c r="BG263" i="124"/>
  <c r="BG307" i="124" a="1"/>
  <c r="BG307" i="124" s="1"/>
  <c r="BG253" i="124"/>
  <c r="BG306" i="124" a="1"/>
  <c r="BG306" i="124" s="1"/>
  <c r="BG264" i="124"/>
  <c r="BG120" i="124"/>
  <c r="BG135" i="124" s="1"/>
  <c r="V124" i="124"/>
  <c r="V125" i="124"/>
  <c r="V123" i="124"/>
  <c r="BC125" i="124"/>
  <c r="BC124" i="124"/>
  <c r="BC123" i="124"/>
  <c r="AR204" i="124"/>
  <c r="AR203" i="124"/>
  <c r="AR202" i="124"/>
  <c r="BF262" i="120"/>
  <c r="W203" i="124"/>
  <c r="W204" i="124"/>
  <c r="W202" i="124"/>
  <c r="AZ203" i="120"/>
  <c r="AZ204" i="120"/>
  <c r="AZ202" i="120"/>
  <c r="P46" i="124"/>
  <c r="P45" i="124"/>
  <c r="P44" i="124"/>
  <c r="BD282" i="124"/>
  <c r="BD283" i="124"/>
  <c r="BF183" i="120"/>
  <c r="L124" i="124"/>
  <c r="L125" i="124"/>
  <c r="L123" i="124"/>
  <c r="AY282" i="124"/>
  <c r="AY283" i="124"/>
  <c r="AY281" i="124"/>
  <c r="Z46" i="124"/>
  <c r="AQ283" i="124"/>
  <c r="AQ282" i="124"/>
  <c r="AQ281" i="124"/>
  <c r="BE281" i="120"/>
  <c r="AA263" i="124"/>
  <c r="AA264" i="124"/>
  <c r="AA253" i="124"/>
  <c r="AA254" i="124" s="1"/>
  <c r="AA306" i="124" a="1"/>
  <c r="AA306" i="124" s="1"/>
  <c r="AA307" i="124" a="1"/>
  <c r="AA307" i="124" s="1"/>
  <c r="AA277" i="124"/>
  <c r="X202" i="124"/>
  <c r="BF183" i="124"/>
  <c r="AT283" i="120"/>
  <c r="AT291" i="120" s="1"/>
  <c r="AT282" i="120"/>
  <c r="AT281" i="120"/>
  <c r="I203" i="124"/>
  <c r="I204" i="124"/>
  <c r="I202" i="124"/>
  <c r="U203" i="124"/>
  <c r="U204" i="124"/>
  <c r="U202" i="124"/>
  <c r="BB45" i="124"/>
  <c r="BB46" i="124"/>
  <c r="BB44" i="124"/>
  <c r="I124" i="124"/>
  <c r="I125" i="124"/>
  <c r="I123" i="124"/>
  <c r="H175" i="124"/>
  <c r="W46" i="124"/>
  <c r="W45" i="124"/>
  <c r="W44" i="124"/>
  <c r="X123" i="124"/>
  <c r="BB283" i="120"/>
  <c r="BB291" i="120" s="1"/>
  <c r="BB282" i="120"/>
  <c r="BB281" i="120"/>
  <c r="AU283" i="124"/>
  <c r="AU282" i="124"/>
  <c r="AU281" i="124"/>
  <c r="AP204" i="124"/>
  <c r="AP203" i="124"/>
  <c r="AP202" i="124"/>
  <c r="BB125" i="124"/>
  <c r="BB124" i="124"/>
  <c r="BB123" i="124"/>
  <c r="AQ203" i="124"/>
  <c r="AQ204" i="124"/>
  <c r="AQ202" i="124"/>
  <c r="AR203" i="120"/>
  <c r="AR204" i="120"/>
  <c r="AR212" i="120" s="1"/>
  <c r="AR202" i="120"/>
  <c r="BC203" i="124"/>
  <c r="BC204" i="124"/>
  <c r="BC202" i="124"/>
  <c r="T203" i="124"/>
  <c r="T204" i="124"/>
  <c r="T202" i="124"/>
  <c r="AV46" i="124"/>
  <c r="AV45" i="124"/>
  <c r="AV44" i="124"/>
  <c r="X283" i="124"/>
  <c r="X282" i="124"/>
  <c r="AR125" i="124"/>
  <c r="AR124" i="124"/>
  <c r="AR123" i="124"/>
  <c r="AY282" i="120"/>
  <c r="AY283" i="120"/>
  <c r="AY291" i="120" s="1"/>
  <c r="AY281" i="120"/>
  <c r="AQ282" i="120"/>
  <c r="AQ281" i="120"/>
  <c r="AQ283" i="120"/>
  <c r="AA120" i="124"/>
  <c r="AA135" i="124" s="1"/>
  <c r="AA199" i="124"/>
  <c r="AA214" i="124" s="1"/>
  <c r="BG277" i="120"/>
  <c r="BG260" i="120" s="1"/>
  <c r="BH275" i="120"/>
  <c r="BH173" i="120"/>
  <c r="BH302" i="120"/>
  <c r="BH198" i="120"/>
  <c r="BH276" i="120"/>
  <c r="BH199" i="120"/>
  <c r="BH214" i="120" s="1"/>
  <c r="BH277" i="120"/>
  <c r="BH196" i="120"/>
  <c r="BH278" i="120"/>
  <c r="BH143" i="120"/>
  <c r="BH197" i="120"/>
  <c r="BH223" i="120"/>
  <c r="BH252" i="120"/>
  <c r="BH144" i="120"/>
  <c r="BH301" i="120"/>
  <c r="BH222" i="120"/>
  <c r="BH170" i="120"/>
  <c r="BH249" i="120"/>
  <c r="Z104" i="124"/>
  <c r="AT282" i="124"/>
  <c r="AT283" i="124"/>
  <c r="AT281" i="124"/>
  <c r="AO204" i="124"/>
  <c r="AO203" i="124"/>
  <c r="AO202" i="124"/>
  <c r="BA203" i="120"/>
  <c r="BA202" i="120"/>
  <c r="BA204" i="120"/>
  <c r="BA212" i="120" s="1"/>
  <c r="AN254" i="124"/>
  <c r="AO125" i="124"/>
  <c r="AO124" i="124"/>
  <c r="AO123" i="124"/>
  <c r="AN187" i="120"/>
  <c r="AN204" i="120"/>
  <c r="AN212" i="120" s="1"/>
  <c r="AN203" i="120"/>
  <c r="AN202" i="120"/>
  <c r="BC45" i="124"/>
  <c r="BC46" i="124"/>
  <c r="BC44" i="124"/>
  <c r="BE281" i="124"/>
  <c r="AO45" i="124"/>
  <c r="AO46" i="124"/>
  <c r="AO44" i="124"/>
  <c r="AV282" i="124"/>
  <c r="AV283" i="124"/>
  <c r="AV281" i="124"/>
  <c r="N204" i="124"/>
  <c r="N203" i="124"/>
  <c r="N202" i="124"/>
  <c r="AU204" i="124"/>
  <c r="AU203" i="124"/>
  <c r="AU202" i="124"/>
  <c r="BH301" i="124"/>
  <c r="BH302" i="124"/>
  <c r="BH277" i="124"/>
  <c r="BH275" i="124"/>
  <c r="BH278" i="124"/>
  <c r="BH293" i="124" s="1"/>
  <c r="BH252" i="124"/>
  <c r="BH276" i="124"/>
  <c r="BH222" i="124"/>
  <c r="BH199" i="124"/>
  <c r="BH214" i="124" s="1"/>
  <c r="BH197" i="124"/>
  <c r="BH223" i="124"/>
  <c r="BH198" i="124"/>
  <c r="BH173" i="124"/>
  <c r="BH143" i="124"/>
  <c r="BH196" i="124"/>
  <c r="BH144" i="124"/>
  <c r="BH120" i="124"/>
  <c r="BH135" i="124" s="1"/>
  <c r="BH118" i="124"/>
  <c r="BH117" i="124"/>
  <c r="BH65" i="124"/>
  <c r="BH119" i="124"/>
  <c r="BH64" i="124"/>
  <c r="BH94" i="124"/>
  <c r="BH41" i="124"/>
  <c r="BH56" i="124" s="1"/>
  <c r="BH39" i="124"/>
  <c r="BH40" i="124"/>
  <c r="BH38" i="124"/>
  <c r="BI8" i="124"/>
  <c r="BH15" i="124"/>
  <c r="BH249" i="124"/>
  <c r="BH91" i="124"/>
  <c r="BH170" i="124"/>
  <c r="BH12" i="124"/>
  <c r="H17" i="124"/>
  <c r="X46" i="124"/>
  <c r="X45" i="124"/>
  <c r="K204" i="124"/>
  <c r="K203" i="124"/>
  <c r="K202" i="124"/>
  <c r="L203" i="124"/>
  <c r="L204" i="124"/>
  <c r="L202" i="124"/>
  <c r="BF175" i="124"/>
  <c r="BF204" i="124" s="1"/>
  <c r="U283" i="124"/>
  <c r="U282" i="124"/>
  <c r="U281" i="124"/>
  <c r="AZ203" i="124"/>
  <c r="AZ204" i="124"/>
  <c r="AZ202" i="124"/>
  <c r="W283" i="124"/>
  <c r="W282" i="124"/>
  <c r="W281" i="124"/>
  <c r="AN96" i="124"/>
  <c r="Z262" i="124"/>
  <c r="BF262" i="124"/>
  <c r="J282" i="124"/>
  <c r="J283" i="124"/>
  <c r="J281" i="124"/>
  <c r="BE44" i="124"/>
  <c r="K282" i="124"/>
  <c r="K283" i="124"/>
  <c r="K281" i="124"/>
  <c r="AA39" i="124"/>
  <c r="AA22" i="124" s="1"/>
  <c r="AA118" i="124"/>
  <c r="AA101" i="124" s="1"/>
  <c r="AA112" i="124" s="1"/>
  <c r="BG275" i="120"/>
  <c r="BG199" i="120"/>
  <c r="BG214" i="120" s="1"/>
  <c r="BG149" i="120" a="1"/>
  <c r="BG149" i="120" s="1"/>
  <c r="BG148" i="120" a="1"/>
  <c r="BG148" i="120" s="1"/>
  <c r="AA117" i="120"/>
  <c r="BG39" i="120"/>
  <c r="AA119" i="120"/>
  <c r="BE124" i="120"/>
  <c r="BE125" i="120"/>
  <c r="H198" i="120"/>
  <c r="I198" i="120"/>
  <c r="J198" i="120"/>
  <c r="K198" i="120"/>
  <c r="L198" i="120"/>
  <c r="M198" i="120"/>
  <c r="N198" i="120"/>
  <c r="O198" i="120"/>
  <c r="P198" i="120"/>
  <c r="Q198" i="120"/>
  <c r="R198" i="120"/>
  <c r="S198" i="120"/>
  <c r="T198" i="120"/>
  <c r="U198" i="120"/>
  <c r="V198" i="120"/>
  <c r="W198" i="120"/>
  <c r="X198" i="120"/>
  <c r="Y198" i="120"/>
  <c r="Z198" i="120"/>
  <c r="H41" i="120"/>
  <c r="H56" i="120" s="1"/>
  <c r="AN41" i="120"/>
  <c r="I41" i="120"/>
  <c r="AO41" i="120"/>
  <c r="AP41" i="120"/>
  <c r="J41" i="120"/>
  <c r="K41" i="120"/>
  <c r="AQ41" i="120"/>
  <c r="L41" i="120"/>
  <c r="AR41" i="120"/>
  <c r="M41" i="120"/>
  <c r="AS41" i="120"/>
  <c r="AT41" i="120"/>
  <c r="N41" i="120"/>
  <c r="AU41" i="120"/>
  <c r="O41" i="120"/>
  <c r="AV41" i="120"/>
  <c r="P41" i="120"/>
  <c r="Q41" i="120"/>
  <c r="AW41" i="120"/>
  <c r="R41" i="120"/>
  <c r="AX41" i="120"/>
  <c r="AY41" i="120"/>
  <c r="S41" i="120"/>
  <c r="AZ41" i="120"/>
  <c r="T41" i="120"/>
  <c r="BA41" i="120"/>
  <c r="U41" i="120"/>
  <c r="V41" i="120"/>
  <c r="BB41" i="120"/>
  <c r="W41" i="120"/>
  <c r="BC41" i="120"/>
  <c r="X41" i="120"/>
  <c r="BD41" i="120"/>
  <c r="Y41" i="120"/>
  <c r="BE41" i="120"/>
  <c r="Z41" i="120"/>
  <c r="BF41" i="120"/>
  <c r="BG117" i="120"/>
  <c r="BG100" i="120" s="1"/>
  <c r="BG38" i="120"/>
  <c r="BG118" i="120"/>
  <c r="AU125" i="120"/>
  <c r="AU124" i="120"/>
  <c r="AU123" i="120"/>
  <c r="BE123" i="120"/>
  <c r="AA174" i="120"/>
  <c r="AA175" i="120" s="1"/>
  <c r="AA185" i="120"/>
  <c r="AA227" i="120" a="1"/>
  <c r="AA227" i="120" s="1"/>
  <c r="AA228" i="120" a="1"/>
  <c r="AA228" i="120" s="1"/>
  <c r="AA184" i="120"/>
  <c r="AA183" i="120" s="1"/>
  <c r="AA40" i="120"/>
  <c r="AA275" i="120"/>
  <c r="AA278" i="120"/>
  <c r="BC124" i="120"/>
  <c r="BC125" i="120"/>
  <c r="BC123" i="120"/>
  <c r="AN120" i="120"/>
  <c r="AN135" i="120" s="1"/>
  <c r="H120" i="120"/>
  <c r="AO120" i="120"/>
  <c r="I120" i="120"/>
  <c r="AP120" i="120"/>
  <c r="AP135" i="120" s="1"/>
  <c r="J120" i="120"/>
  <c r="K120" i="120"/>
  <c r="AQ120" i="120"/>
  <c r="AQ135" i="120" s="1"/>
  <c r="AR120" i="120"/>
  <c r="AR135" i="120" s="1"/>
  <c r="L120" i="120"/>
  <c r="M120" i="120"/>
  <c r="AS120" i="120"/>
  <c r="AS135" i="120" s="1"/>
  <c r="N120" i="120"/>
  <c r="AT120" i="120"/>
  <c r="AT135" i="120" s="1"/>
  <c r="AU120" i="120"/>
  <c r="AU135" i="120" s="1"/>
  <c r="O120" i="120"/>
  <c r="AV120" i="120"/>
  <c r="AV135" i="120" s="1"/>
  <c r="P120" i="120"/>
  <c r="Q120" i="120"/>
  <c r="AW120" i="120"/>
  <c r="AX120" i="120"/>
  <c r="AX135" i="120" s="1"/>
  <c r="R120" i="120"/>
  <c r="S120" i="120"/>
  <c r="AY120" i="120"/>
  <c r="AY135" i="120" s="1"/>
  <c r="AZ120" i="120"/>
  <c r="AZ135" i="120" s="1"/>
  <c r="T120" i="120"/>
  <c r="BA120" i="120"/>
  <c r="BA135" i="120" s="1"/>
  <c r="U120" i="120"/>
  <c r="V120" i="120"/>
  <c r="BB120" i="120"/>
  <c r="BB135" i="120" s="1"/>
  <c r="BC120" i="120"/>
  <c r="BC135" i="120" s="1"/>
  <c r="W120" i="120"/>
  <c r="BD120" i="120"/>
  <c r="BD135" i="120" s="1"/>
  <c r="X120" i="120"/>
  <c r="Y120" i="120"/>
  <c r="BE120" i="120"/>
  <c r="Z120" i="120"/>
  <c r="BF120" i="120"/>
  <c r="BF135" i="120" s="1"/>
  <c r="I248" i="120"/>
  <c r="BG69" i="120" a="1"/>
  <c r="BG69" i="120" s="1"/>
  <c r="BG26" i="120"/>
  <c r="BG16" i="120"/>
  <c r="BG70" i="120" a="1"/>
  <c r="BG70" i="120" s="1"/>
  <c r="BG27" i="120"/>
  <c r="AA41" i="120"/>
  <c r="AC8" i="120"/>
  <c r="AB301" i="120"/>
  <c r="AB276" i="120"/>
  <c r="AB278" i="120"/>
  <c r="AB199" i="120"/>
  <c r="AB117" i="120"/>
  <c r="AB38" i="120"/>
  <c r="AB143" i="120"/>
  <c r="AB94" i="120"/>
  <c r="AB65" i="120"/>
  <c r="AB40" i="120"/>
  <c r="AB197" i="120"/>
  <c r="AB275" i="120"/>
  <c r="AB196" i="120"/>
  <c r="AB118" i="120"/>
  <c r="AB64" i="120"/>
  <c r="AB39" i="120"/>
  <c r="AB222" i="120"/>
  <c r="AB119" i="120"/>
  <c r="AB15" i="120"/>
  <c r="AB223" i="120"/>
  <c r="AB173" i="120"/>
  <c r="AB41" i="120"/>
  <c r="AB198" i="120"/>
  <c r="AB120" i="120"/>
  <c r="AB144" i="120"/>
  <c r="AB302" i="120"/>
  <c r="AB252" i="120"/>
  <c r="AB277" i="120"/>
  <c r="AB12" i="120"/>
  <c r="AB170" i="120"/>
  <c r="AB249" i="120"/>
  <c r="AB91" i="120"/>
  <c r="H39" i="120"/>
  <c r="AN39" i="120"/>
  <c r="I39" i="120"/>
  <c r="AO39" i="120"/>
  <c r="J39" i="120"/>
  <c r="AP39" i="120"/>
  <c r="AQ39" i="120"/>
  <c r="K39" i="120"/>
  <c r="AR39" i="120"/>
  <c r="L39" i="120"/>
  <c r="M39" i="120"/>
  <c r="AS39" i="120"/>
  <c r="AT39" i="120"/>
  <c r="N39" i="120"/>
  <c r="O39" i="120"/>
  <c r="AU39" i="120"/>
  <c r="AV39" i="120"/>
  <c r="P39" i="120"/>
  <c r="Q39" i="120"/>
  <c r="AW39" i="120"/>
  <c r="R39" i="120"/>
  <c r="AX39" i="120"/>
  <c r="AY39" i="120"/>
  <c r="S39" i="120"/>
  <c r="T39" i="120"/>
  <c r="AZ39" i="120"/>
  <c r="U39" i="120"/>
  <c r="BA39" i="120"/>
  <c r="BB39" i="120"/>
  <c r="V39" i="120"/>
  <c r="BC39" i="120"/>
  <c r="W39" i="120"/>
  <c r="BD39" i="120"/>
  <c r="X39" i="120"/>
  <c r="Y39" i="120"/>
  <c r="BE39" i="120"/>
  <c r="Z39" i="120"/>
  <c r="BF39" i="120"/>
  <c r="BD123" i="120"/>
  <c r="BD125" i="120"/>
  <c r="BD124" i="120"/>
  <c r="BB124" i="120"/>
  <c r="BB125" i="120"/>
  <c r="BB123" i="120"/>
  <c r="AO125" i="120"/>
  <c r="AO124" i="120"/>
  <c r="AO123" i="120"/>
  <c r="BG105" i="120"/>
  <c r="BG106" i="120"/>
  <c r="BG95" i="120"/>
  <c r="BG120" i="120"/>
  <c r="BG135" i="120" s="1"/>
  <c r="AA198" i="120"/>
  <c r="H196" i="120"/>
  <c r="I196" i="120"/>
  <c r="J196" i="120"/>
  <c r="K196" i="120"/>
  <c r="L196" i="120"/>
  <c r="M196" i="120"/>
  <c r="N196" i="120"/>
  <c r="O196" i="120"/>
  <c r="P196" i="120"/>
  <c r="Q196" i="120"/>
  <c r="R196" i="120"/>
  <c r="S196" i="120"/>
  <c r="T196" i="120"/>
  <c r="U196" i="120"/>
  <c r="V196" i="120"/>
  <c r="W196" i="120"/>
  <c r="X196" i="120"/>
  <c r="Y196" i="120"/>
  <c r="Z196" i="120"/>
  <c r="H275" i="120"/>
  <c r="I275" i="120"/>
  <c r="J275" i="120"/>
  <c r="K275" i="120"/>
  <c r="L275" i="120"/>
  <c r="M275" i="120"/>
  <c r="N275" i="120"/>
  <c r="O275" i="120"/>
  <c r="P275" i="120"/>
  <c r="Q275" i="120"/>
  <c r="R275" i="120"/>
  <c r="S275" i="120"/>
  <c r="T275" i="120"/>
  <c r="U275" i="120"/>
  <c r="V275" i="120"/>
  <c r="W275" i="120"/>
  <c r="X275" i="120"/>
  <c r="Y275" i="120"/>
  <c r="Z275" i="120"/>
  <c r="AN38" i="120"/>
  <c r="H38" i="120"/>
  <c r="AO38" i="120"/>
  <c r="I38" i="120"/>
  <c r="J38" i="120"/>
  <c r="AP38" i="120"/>
  <c r="K38" i="120"/>
  <c r="AQ38" i="120"/>
  <c r="AR38" i="120"/>
  <c r="L38" i="120"/>
  <c r="AS38" i="120"/>
  <c r="M38" i="120"/>
  <c r="N38" i="120"/>
  <c r="AT38" i="120"/>
  <c r="O38" i="120"/>
  <c r="AU38" i="120"/>
  <c r="P38" i="120"/>
  <c r="AV38" i="120"/>
  <c r="Q38" i="120"/>
  <c r="AW38" i="120"/>
  <c r="R38" i="120"/>
  <c r="AX38" i="120"/>
  <c r="S38" i="120"/>
  <c r="AY38" i="120"/>
  <c r="AZ38" i="120"/>
  <c r="T38" i="120"/>
  <c r="U38" i="120"/>
  <c r="BA38" i="120"/>
  <c r="BB38" i="120"/>
  <c r="V38" i="120"/>
  <c r="BC38" i="120"/>
  <c r="W38" i="120"/>
  <c r="X38" i="120"/>
  <c r="BD38" i="120"/>
  <c r="Y38" i="120"/>
  <c r="BE38" i="120"/>
  <c r="BF38" i="120"/>
  <c r="Z38" i="120"/>
  <c r="H197" i="120"/>
  <c r="I197" i="120"/>
  <c r="J197" i="120"/>
  <c r="K197" i="120"/>
  <c r="L197" i="120"/>
  <c r="M197" i="120"/>
  <c r="N197" i="120"/>
  <c r="O197" i="120"/>
  <c r="P197" i="120"/>
  <c r="Q197" i="120"/>
  <c r="R197" i="120"/>
  <c r="S197" i="120"/>
  <c r="T197" i="120"/>
  <c r="U197" i="120"/>
  <c r="V197" i="120"/>
  <c r="W197" i="120"/>
  <c r="X197" i="120"/>
  <c r="Y197" i="120"/>
  <c r="Z197" i="120"/>
  <c r="H278" i="120"/>
  <c r="I278" i="120"/>
  <c r="J278" i="120"/>
  <c r="K278" i="120"/>
  <c r="L278" i="120"/>
  <c r="M278" i="120"/>
  <c r="N278" i="120"/>
  <c r="O278" i="120"/>
  <c r="P278" i="120"/>
  <c r="Q278" i="120"/>
  <c r="R278" i="120"/>
  <c r="S278" i="120"/>
  <c r="T278" i="120"/>
  <c r="U278" i="120"/>
  <c r="V278" i="120"/>
  <c r="W278" i="120"/>
  <c r="X278" i="120"/>
  <c r="Y278" i="120"/>
  <c r="Z278" i="120"/>
  <c r="AN40" i="120"/>
  <c r="H40" i="120"/>
  <c r="I40" i="120"/>
  <c r="AO40" i="120"/>
  <c r="J40" i="120"/>
  <c r="AP40" i="120"/>
  <c r="AQ40" i="120"/>
  <c r="K40" i="120"/>
  <c r="L40" i="120"/>
  <c r="AR40" i="120"/>
  <c r="AS40" i="120"/>
  <c r="M40" i="120"/>
  <c r="N40" i="120"/>
  <c r="AT40" i="120"/>
  <c r="O40" i="120"/>
  <c r="AU40" i="120"/>
  <c r="P40" i="120"/>
  <c r="AV40" i="120"/>
  <c r="AW40" i="120"/>
  <c r="Q40" i="120"/>
  <c r="R40" i="120"/>
  <c r="AX40" i="120"/>
  <c r="S40" i="120"/>
  <c r="AY40" i="120"/>
  <c r="AZ40" i="120"/>
  <c r="T40" i="120"/>
  <c r="U40" i="120"/>
  <c r="BA40" i="120"/>
  <c r="V40" i="120"/>
  <c r="BB40" i="120"/>
  <c r="W40" i="120"/>
  <c r="BC40" i="120"/>
  <c r="BD40" i="120"/>
  <c r="X40" i="120"/>
  <c r="Y40" i="120"/>
  <c r="BE40" i="120"/>
  <c r="BF40" i="120"/>
  <c r="Z40" i="120"/>
  <c r="Z262" i="120"/>
  <c r="Z281" i="120" s="1"/>
  <c r="AX124" i="120"/>
  <c r="AX125" i="120"/>
  <c r="AX123" i="120"/>
  <c r="AR125" i="120"/>
  <c r="AR124" i="120"/>
  <c r="AR123" i="120"/>
  <c r="AT124" i="120"/>
  <c r="AT123" i="120"/>
  <c r="AT125" i="120"/>
  <c r="BG41" i="120"/>
  <c r="BG119" i="120"/>
  <c r="BG102" i="120" s="1"/>
  <c r="Z104" i="120"/>
  <c r="AA120" i="120"/>
  <c r="AO90" i="120"/>
  <c r="AO147" i="120" s="1"/>
  <c r="I90" i="120"/>
  <c r="H119" i="120"/>
  <c r="H102" i="120" s="1"/>
  <c r="AN119" i="120"/>
  <c r="AN102" i="120" s="1"/>
  <c r="AN113" i="120" s="1"/>
  <c r="AO119" i="120"/>
  <c r="AO102" i="120" s="1"/>
  <c r="AO113" i="120" s="1"/>
  <c r="I119" i="120"/>
  <c r="AP119" i="120"/>
  <c r="AP102" i="120" s="1"/>
  <c r="AP113" i="120" s="1"/>
  <c r="J119" i="120"/>
  <c r="K119" i="120"/>
  <c r="AQ119" i="120"/>
  <c r="AQ102" i="120" s="1"/>
  <c r="AQ113" i="120" s="1"/>
  <c r="AR119" i="120"/>
  <c r="AR102" i="120" s="1"/>
  <c r="AR113" i="120" s="1"/>
  <c r="L119" i="120"/>
  <c r="M119" i="120"/>
  <c r="AS119" i="120"/>
  <c r="AS102" i="120" s="1"/>
  <c r="AS113" i="120" s="1"/>
  <c r="N119" i="120"/>
  <c r="AT119" i="120"/>
  <c r="AT102" i="120" s="1"/>
  <c r="AT113" i="120" s="1"/>
  <c r="AU119" i="120"/>
  <c r="AU102" i="120" s="1"/>
  <c r="AU113" i="120" s="1"/>
  <c r="O119" i="120"/>
  <c r="P119" i="120"/>
  <c r="AV119" i="120"/>
  <c r="AV102" i="120" s="1"/>
  <c r="AV113" i="120" s="1"/>
  <c r="AW119" i="120"/>
  <c r="AW102" i="120" s="1"/>
  <c r="AW113" i="120" s="1"/>
  <c r="Q119" i="120"/>
  <c r="AX119" i="120"/>
  <c r="AX102" i="120" s="1"/>
  <c r="AX113" i="120" s="1"/>
  <c r="R119" i="120"/>
  <c r="AY119" i="120"/>
  <c r="AY102" i="120" s="1"/>
  <c r="AY113" i="120" s="1"/>
  <c r="S119" i="120"/>
  <c r="T119" i="120"/>
  <c r="AZ119" i="120"/>
  <c r="AZ102" i="120" s="1"/>
  <c r="AZ113" i="120" s="1"/>
  <c r="BA119" i="120"/>
  <c r="BA102" i="120" s="1"/>
  <c r="BA113" i="120" s="1"/>
  <c r="U119" i="120"/>
  <c r="BB119" i="120"/>
  <c r="BB102" i="120" s="1"/>
  <c r="BB113" i="120" s="1"/>
  <c r="V119" i="120"/>
  <c r="W119" i="120"/>
  <c r="BC119" i="120"/>
  <c r="BC102" i="120" s="1"/>
  <c r="BC113" i="120" s="1"/>
  <c r="X119" i="120"/>
  <c r="BD119" i="120"/>
  <c r="BD102" i="120" s="1"/>
  <c r="BD113" i="120" s="1"/>
  <c r="Y119" i="120"/>
  <c r="BE119" i="120"/>
  <c r="BE102" i="120" s="1"/>
  <c r="BE113" i="120" s="1"/>
  <c r="Z119" i="120"/>
  <c r="BF119" i="120"/>
  <c r="BF102" i="120" s="1"/>
  <c r="BF113" i="120" s="1"/>
  <c r="AO11" i="120"/>
  <c r="I11" i="120"/>
  <c r="H277" i="120"/>
  <c r="I277" i="120"/>
  <c r="J277" i="120"/>
  <c r="K277" i="120"/>
  <c r="L277" i="120"/>
  <c r="M277" i="120"/>
  <c r="N277" i="120"/>
  <c r="O277" i="120"/>
  <c r="P277" i="120"/>
  <c r="Q277" i="120"/>
  <c r="R277" i="120"/>
  <c r="S277" i="120"/>
  <c r="T277" i="120"/>
  <c r="U277" i="120"/>
  <c r="V277" i="120"/>
  <c r="W277" i="120"/>
  <c r="X277" i="120"/>
  <c r="Y277" i="120"/>
  <c r="Z277" i="120"/>
  <c r="H199" i="120"/>
  <c r="I199" i="120"/>
  <c r="I214" i="120" s="1"/>
  <c r="J199" i="120"/>
  <c r="K199" i="120"/>
  <c r="K214" i="120" s="1"/>
  <c r="L199" i="120"/>
  <c r="M199" i="120"/>
  <c r="N199" i="120"/>
  <c r="N214" i="120" s="1"/>
  <c r="O199" i="120"/>
  <c r="O214" i="120" s="1"/>
  <c r="P199" i="120"/>
  <c r="Q199" i="120"/>
  <c r="Q214" i="120" s="1"/>
  <c r="R199" i="120"/>
  <c r="S199" i="120"/>
  <c r="T199" i="120"/>
  <c r="U199" i="120"/>
  <c r="V199" i="120"/>
  <c r="V214" i="120" s="1"/>
  <c r="W199" i="120"/>
  <c r="W214" i="120" s="1"/>
  <c r="X199" i="120"/>
  <c r="X214" i="120" s="1"/>
  <c r="Y199" i="120"/>
  <c r="Y214" i="120" s="1"/>
  <c r="Z199" i="120"/>
  <c r="I169" i="120"/>
  <c r="BA124" i="120"/>
  <c r="BA125" i="120"/>
  <c r="BA123" i="120"/>
  <c r="AA277" i="120"/>
  <c r="AA39" i="120"/>
  <c r="AQ124" i="120"/>
  <c r="AQ125" i="120"/>
  <c r="AQ133" i="120" s="1"/>
  <c r="AQ123" i="120"/>
  <c r="BI8" i="120"/>
  <c r="BH117" i="120"/>
  <c r="BH94" i="120"/>
  <c r="BH118" i="120"/>
  <c r="BH119" i="120"/>
  <c r="BH120" i="120"/>
  <c r="BH135" i="120" s="1"/>
  <c r="BH40" i="120"/>
  <c r="BH41" i="120"/>
  <c r="BH64" i="120"/>
  <c r="BH39" i="120"/>
  <c r="BH15" i="120"/>
  <c r="BH65" i="120"/>
  <c r="BH38" i="120"/>
  <c r="BH91" i="120"/>
  <c r="BH12" i="120"/>
  <c r="AA263" i="120"/>
  <c r="AA262" i="120" s="1"/>
  <c r="AA264" i="120"/>
  <c r="AA307" i="120" a="1"/>
  <c r="AA307" i="120" s="1"/>
  <c r="AA253" i="120"/>
  <c r="AA254" i="120" s="1"/>
  <c r="AA306" i="120" a="1"/>
  <c r="AA306" i="120" s="1"/>
  <c r="AA197" i="120"/>
  <c r="AA38" i="120"/>
  <c r="BF96" i="120"/>
  <c r="BF123" i="120" s="1"/>
  <c r="H118" i="120"/>
  <c r="AN118" i="120"/>
  <c r="AN101" i="120" s="1"/>
  <c r="AN112" i="120" s="1"/>
  <c r="AN132" i="120" s="1"/>
  <c r="AO118" i="120"/>
  <c r="AO101" i="120" s="1"/>
  <c r="AO112" i="120" s="1"/>
  <c r="AO132" i="120" s="1"/>
  <c r="I118" i="120"/>
  <c r="I101" i="120" s="1"/>
  <c r="I112" i="120" s="1"/>
  <c r="I132" i="120" s="1"/>
  <c r="J118" i="120"/>
  <c r="AP118" i="120"/>
  <c r="AP101" i="120" s="1"/>
  <c r="AP112" i="120" s="1"/>
  <c r="AP132" i="120" s="1"/>
  <c r="AQ118" i="120"/>
  <c r="K118" i="120"/>
  <c r="AR118" i="120"/>
  <c r="AR101" i="120" s="1"/>
  <c r="AR112" i="120" s="1"/>
  <c r="AR132" i="120" s="1"/>
  <c r="L118" i="120"/>
  <c r="AS118" i="120"/>
  <c r="AS101" i="120" s="1"/>
  <c r="AS112" i="120" s="1"/>
  <c r="AS132" i="120" s="1"/>
  <c r="M118" i="120"/>
  <c r="M101" i="120" s="1"/>
  <c r="M112" i="120" s="1"/>
  <c r="M132" i="120" s="1"/>
  <c r="AT118" i="120"/>
  <c r="AT101" i="120" s="1"/>
  <c r="AT112" i="120" s="1"/>
  <c r="AT132" i="120" s="1"/>
  <c r="N118" i="120"/>
  <c r="AU118" i="120"/>
  <c r="AU101" i="120" s="1"/>
  <c r="AU112" i="120" s="1"/>
  <c r="AU132" i="120" s="1"/>
  <c r="O118" i="120"/>
  <c r="P118" i="120"/>
  <c r="AV118" i="120"/>
  <c r="AV101" i="120" s="1"/>
  <c r="AV112" i="120" s="1"/>
  <c r="AV132" i="120" s="1"/>
  <c r="Q118" i="120"/>
  <c r="AW118" i="120"/>
  <c r="AW101" i="120" s="1"/>
  <c r="AW112" i="120" s="1"/>
  <c r="AW132" i="120" s="1"/>
  <c r="R118" i="120"/>
  <c r="AX118" i="120"/>
  <c r="AX101" i="120" s="1"/>
  <c r="AX112" i="120" s="1"/>
  <c r="AX132" i="120" s="1"/>
  <c r="S118" i="120"/>
  <c r="AY118" i="120"/>
  <c r="AZ118" i="120"/>
  <c r="AZ101" i="120" s="1"/>
  <c r="AZ112" i="120" s="1"/>
  <c r="T118" i="120"/>
  <c r="BA118" i="120"/>
  <c r="BA101" i="120" s="1"/>
  <c r="BA112" i="120" s="1"/>
  <c r="BA132" i="120" s="1"/>
  <c r="U118" i="120"/>
  <c r="V118" i="120"/>
  <c r="BB118" i="120"/>
  <c r="BB101" i="120" s="1"/>
  <c r="BB112" i="120" s="1"/>
  <c r="BB132" i="120" s="1"/>
  <c r="W118" i="120"/>
  <c r="BC118" i="120"/>
  <c r="BC101" i="120" s="1"/>
  <c r="BC112" i="120" s="1"/>
  <c r="BC132" i="120" s="1"/>
  <c r="X118" i="120"/>
  <c r="X101" i="120" s="1"/>
  <c r="X112" i="120" s="1"/>
  <c r="X132" i="120" s="1"/>
  <c r="BD118" i="120"/>
  <c r="BD101" i="120" s="1"/>
  <c r="BD112" i="120" s="1"/>
  <c r="BD132" i="120" s="1"/>
  <c r="Y118" i="120"/>
  <c r="BE118" i="120"/>
  <c r="BE101" i="120" s="1"/>
  <c r="BE112" i="120" s="1"/>
  <c r="BE132" i="120" s="1"/>
  <c r="BF118" i="120"/>
  <c r="BF101" i="120" s="1"/>
  <c r="BF112" i="120" s="1"/>
  <c r="Z118" i="120"/>
  <c r="Z101" i="120" s="1"/>
  <c r="Z112" i="120" s="1"/>
  <c r="AN124" i="120"/>
  <c r="AN108" i="120"/>
  <c r="AN125" i="120"/>
  <c r="AN123" i="120"/>
  <c r="AS124" i="120"/>
  <c r="AS125" i="120"/>
  <c r="AS123" i="120"/>
  <c r="AZ132" i="120"/>
  <c r="AZ125" i="120"/>
  <c r="AZ124" i="120"/>
  <c r="AZ123" i="120"/>
  <c r="BG40" i="120"/>
  <c r="AA70" i="120" a="1"/>
  <c r="AA70" i="120" s="1"/>
  <c r="AA26" i="120"/>
  <c r="AA16" i="120"/>
  <c r="AA17" i="120" s="1"/>
  <c r="AA69" i="120" a="1"/>
  <c r="AA69" i="120" s="1"/>
  <c r="AA27" i="120"/>
  <c r="AA118" i="120"/>
  <c r="H276" i="120"/>
  <c r="I276" i="120"/>
  <c r="J276" i="120"/>
  <c r="K276" i="120"/>
  <c r="K259" i="120" s="1"/>
  <c r="K270" i="120" s="1"/>
  <c r="K290" i="120" s="1"/>
  <c r="L276" i="120"/>
  <c r="L259" i="120" s="1"/>
  <c r="L270" i="120" s="1"/>
  <c r="L290" i="120" s="1"/>
  <c r="M276" i="120"/>
  <c r="M259" i="120" s="1"/>
  <c r="M270" i="120" s="1"/>
  <c r="M290" i="120" s="1"/>
  <c r="N276" i="120"/>
  <c r="N259" i="120" s="1"/>
  <c r="N270" i="120" s="1"/>
  <c r="N290" i="120" s="1"/>
  <c r="O276" i="120"/>
  <c r="P276" i="120"/>
  <c r="P259" i="120" s="1"/>
  <c r="P270" i="120" s="1"/>
  <c r="P290" i="120" s="1"/>
  <c r="Q276" i="120"/>
  <c r="R276" i="120"/>
  <c r="R259" i="120" s="1"/>
  <c r="R270" i="120" s="1"/>
  <c r="R290" i="120" s="1"/>
  <c r="S276" i="120"/>
  <c r="T276" i="120"/>
  <c r="U276" i="120"/>
  <c r="U259" i="120" s="1"/>
  <c r="U270" i="120" s="1"/>
  <c r="U290" i="120" s="1"/>
  <c r="V276" i="120"/>
  <c r="W276" i="120"/>
  <c r="X276" i="120"/>
  <c r="X259" i="120" s="1"/>
  <c r="X270" i="120" s="1"/>
  <c r="X290" i="120" s="1"/>
  <c r="Y276" i="120"/>
  <c r="Z276" i="120"/>
  <c r="Z259" i="120" s="1"/>
  <c r="Z270" i="120" s="1"/>
  <c r="Z290" i="120" s="1"/>
  <c r="AN117" i="120"/>
  <c r="H117" i="120"/>
  <c r="AO117" i="120"/>
  <c r="AO100" i="120" s="1"/>
  <c r="AO111" i="120" s="1"/>
  <c r="I117" i="120"/>
  <c r="AP117" i="120"/>
  <c r="J117" i="120"/>
  <c r="K117" i="120"/>
  <c r="AQ117" i="120"/>
  <c r="AQ100" i="120" s="1"/>
  <c r="AQ111" i="120" s="1"/>
  <c r="AR117" i="120"/>
  <c r="L117" i="120"/>
  <c r="M117" i="120"/>
  <c r="AS117" i="120"/>
  <c r="N117" i="120"/>
  <c r="AT117" i="120"/>
  <c r="AU117" i="120"/>
  <c r="O117" i="120"/>
  <c r="AV117" i="120"/>
  <c r="P117" i="120"/>
  <c r="Q117" i="120"/>
  <c r="AW117" i="120"/>
  <c r="AW100" i="120" s="1"/>
  <c r="AW111" i="120" s="1"/>
  <c r="R117" i="120"/>
  <c r="AX117" i="120"/>
  <c r="AY117" i="120"/>
  <c r="AY100" i="120" s="1"/>
  <c r="AY111" i="120" s="1"/>
  <c r="S117" i="120"/>
  <c r="AZ117" i="120"/>
  <c r="T117" i="120"/>
  <c r="BA117" i="120"/>
  <c r="U117" i="120"/>
  <c r="BB117" i="120"/>
  <c r="V117" i="120"/>
  <c r="W117" i="120"/>
  <c r="BC117" i="120"/>
  <c r="BD117" i="120"/>
  <c r="X117" i="120"/>
  <c r="BE117" i="120"/>
  <c r="BE100" i="120" s="1"/>
  <c r="BE111" i="120" s="1"/>
  <c r="Y117" i="120"/>
  <c r="Z117" i="120"/>
  <c r="BF117" i="120"/>
  <c r="AV123" i="120"/>
  <c r="AV125" i="120"/>
  <c r="AV133" i="120" s="1"/>
  <c r="AV124" i="120"/>
  <c r="AP124" i="120"/>
  <c r="AP125" i="120"/>
  <c r="AP133" i="120" s="1"/>
  <c r="AP123" i="120"/>
  <c r="AY124" i="120"/>
  <c r="AY123" i="120"/>
  <c r="AY125" i="120"/>
  <c r="AA106" i="120"/>
  <c r="AA149" i="120" a="1"/>
  <c r="AA149" i="120" s="1"/>
  <c r="AA105" i="120"/>
  <c r="AA95" i="120"/>
  <c r="AA148" i="120" a="1"/>
  <c r="AA148" i="120" s="1"/>
  <c r="AA276" i="120"/>
  <c r="AA259" i="120" s="1"/>
  <c r="AA270" i="120" s="1"/>
  <c r="AA196" i="120"/>
  <c r="AA199" i="120"/>
  <c r="AA214" i="120" s="1"/>
  <c r="AW125" i="120"/>
  <c r="AW133" i="120" s="1"/>
  <c r="AW124" i="120"/>
  <c r="AW123" i="120"/>
  <c r="H337" i="120"/>
  <c r="AJ337" i="120" s="1"/>
  <c r="H124" i="120"/>
  <c r="H125" i="120"/>
  <c r="H123" i="120"/>
  <c r="J46" i="120"/>
  <c r="J45" i="120"/>
  <c r="J44" i="120"/>
  <c r="Z46" i="120"/>
  <c r="Z45" i="120"/>
  <c r="Z44" i="120"/>
  <c r="Y125" i="120"/>
  <c r="Y124" i="120"/>
  <c r="Y123" i="120"/>
  <c r="Q46" i="120"/>
  <c r="Q45" i="120"/>
  <c r="Q44" i="120"/>
  <c r="G254" i="120"/>
  <c r="O45" i="120"/>
  <c r="O46" i="120"/>
  <c r="O44" i="120"/>
  <c r="S125" i="120"/>
  <c r="S124" i="120"/>
  <c r="S123" i="120"/>
  <c r="T124" i="120"/>
  <c r="T125" i="120"/>
  <c r="T123" i="120"/>
  <c r="P46" i="120"/>
  <c r="P45" i="120"/>
  <c r="P44" i="120"/>
  <c r="N45" i="120"/>
  <c r="N46" i="120"/>
  <c r="N44" i="120"/>
  <c r="K283" i="120"/>
  <c r="K282" i="120"/>
  <c r="K281" i="120"/>
  <c r="V204" i="120"/>
  <c r="V203" i="120"/>
  <c r="V202" i="120"/>
  <c r="H203" i="120"/>
  <c r="H204" i="120"/>
  <c r="H202" i="120"/>
  <c r="M214" i="120"/>
  <c r="P214" i="120"/>
  <c r="H214" i="120"/>
  <c r="J214" i="120"/>
  <c r="L214" i="120"/>
  <c r="R214" i="120"/>
  <c r="S214" i="120"/>
  <c r="T214" i="120"/>
  <c r="U214" i="120"/>
  <c r="Z214" i="120"/>
  <c r="AB214" i="120"/>
  <c r="I305" i="120"/>
  <c r="AP45" i="120"/>
  <c r="AP46" i="120"/>
  <c r="AP44" i="120"/>
  <c r="U46" i="120"/>
  <c r="U45" i="120"/>
  <c r="U44" i="120"/>
  <c r="BF45" i="120"/>
  <c r="BF46" i="120"/>
  <c r="BF44" i="120"/>
  <c r="L203" i="120"/>
  <c r="L204" i="120"/>
  <c r="L202" i="120"/>
  <c r="N125" i="120"/>
  <c r="N124" i="120"/>
  <c r="N123" i="120"/>
  <c r="AU46" i="120"/>
  <c r="AU45" i="120"/>
  <c r="AU44" i="120"/>
  <c r="H46" i="120"/>
  <c r="H45" i="120"/>
  <c r="H44" i="120"/>
  <c r="Y203" i="120"/>
  <c r="Y204" i="120"/>
  <c r="Y202" i="120"/>
  <c r="V125" i="120"/>
  <c r="V124" i="120"/>
  <c r="V123" i="120"/>
  <c r="AV45" i="120"/>
  <c r="AV46" i="120"/>
  <c r="AV44" i="120"/>
  <c r="L135" i="120"/>
  <c r="I135" i="120"/>
  <c r="Q135" i="120"/>
  <c r="N135" i="120"/>
  <c r="M135" i="120"/>
  <c r="J135" i="120"/>
  <c r="P135" i="120"/>
  <c r="H135" i="120"/>
  <c r="O135" i="120"/>
  <c r="K135" i="120"/>
  <c r="R135" i="120"/>
  <c r="S135" i="120"/>
  <c r="T135" i="120"/>
  <c r="U135" i="120"/>
  <c r="V135" i="120"/>
  <c r="W135" i="120"/>
  <c r="X135" i="120"/>
  <c r="Y135" i="120"/>
  <c r="Z135" i="120"/>
  <c r="AA135" i="120"/>
  <c r="AB135" i="120"/>
  <c r="I259" i="120"/>
  <c r="I270" i="120" s="1"/>
  <c r="I290" i="120" s="1"/>
  <c r="J259" i="120"/>
  <c r="J270" i="120" s="1"/>
  <c r="J290" i="120" s="1"/>
  <c r="O259" i="120"/>
  <c r="O270" i="120" s="1"/>
  <c r="O290" i="120" s="1"/>
  <c r="H259" i="120"/>
  <c r="H270" i="120" s="1"/>
  <c r="H290" i="120" s="1"/>
  <c r="Q259" i="120"/>
  <c r="Q270" i="120" s="1"/>
  <c r="Q290" i="120" s="1"/>
  <c r="S259" i="120"/>
  <c r="S270" i="120" s="1"/>
  <c r="S290" i="120" s="1"/>
  <c r="T259" i="120"/>
  <c r="T270" i="120" s="1"/>
  <c r="T290" i="120" s="1"/>
  <c r="V259" i="120"/>
  <c r="V270" i="120" s="1"/>
  <c r="V290" i="120" s="1"/>
  <c r="W259" i="120"/>
  <c r="W270" i="120" s="1"/>
  <c r="W290" i="120" s="1"/>
  <c r="Y259" i="120"/>
  <c r="Y270" i="120" s="1"/>
  <c r="Y290" i="120" s="1"/>
  <c r="AB259" i="120"/>
  <c r="AB270" i="120" s="1"/>
  <c r="S282" i="120"/>
  <c r="S283" i="120"/>
  <c r="S281" i="120"/>
  <c r="J204" i="120"/>
  <c r="J203" i="120"/>
  <c r="J202" i="120"/>
  <c r="BA46" i="120"/>
  <c r="BA45" i="120"/>
  <c r="BA44" i="120"/>
  <c r="T203" i="120"/>
  <c r="T204" i="120"/>
  <c r="T202" i="120"/>
  <c r="X124" i="120"/>
  <c r="X125" i="120"/>
  <c r="X123" i="120"/>
  <c r="R124" i="120"/>
  <c r="R125" i="120"/>
  <c r="R123" i="120"/>
  <c r="O203" i="120"/>
  <c r="O204" i="120"/>
  <c r="O202" i="120"/>
  <c r="R203" i="120"/>
  <c r="R204" i="120"/>
  <c r="R202" i="120"/>
  <c r="AZ45" i="120"/>
  <c r="AZ46" i="120"/>
  <c r="AZ44" i="120"/>
  <c r="AN45" i="120"/>
  <c r="AN46" i="120"/>
  <c r="AN44" i="120"/>
  <c r="AR46" i="120"/>
  <c r="AR45" i="120"/>
  <c r="AR44" i="120"/>
  <c r="N204" i="120"/>
  <c r="N203" i="120"/>
  <c r="N202" i="120"/>
  <c r="S204" i="120"/>
  <c r="S203" i="120"/>
  <c r="S202" i="120"/>
  <c r="M203" i="120"/>
  <c r="M204" i="120"/>
  <c r="M202" i="120"/>
  <c r="P101" i="120"/>
  <c r="P112" i="120" s="1"/>
  <c r="P132" i="120" s="1"/>
  <c r="K101" i="120"/>
  <c r="K112" i="120" s="1"/>
  <c r="K132" i="120" s="1"/>
  <c r="L101" i="120"/>
  <c r="L112" i="120" s="1"/>
  <c r="L132" i="120" s="1"/>
  <c r="N101" i="120"/>
  <c r="N112" i="120" s="1"/>
  <c r="N132" i="120" s="1"/>
  <c r="H101" i="120"/>
  <c r="H112" i="120" s="1"/>
  <c r="H132" i="120" s="1"/>
  <c r="J101" i="120"/>
  <c r="J112" i="120" s="1"/>
  <c r="J132" i="120" s="1"/>
  <c r="O101" i="120"/>
  <c r="O112" i="120" s="1"/>
  <c r="O132" i="120" s="1"/>
  <c r="Q101" i="120"/>
  <c r="Q112" i="120" s="1"/>
  <c r="Q132" i="120" s="1"/>
  <c r="R101" i="120"/>
  <c r="R112" i="120" s="1"/>
  <c r="R132" i="120" s="1"/>
  <c r="S101" i="120"/>
  <c r="S112" i="120" s="1"/>
  <c r="S132" i="120" s="1"/>
  <c r="T101" i="120"/>
  <c r="T112" i="120" s="1"/>
  <c r="T132" i="120" s="1"/>
  <c r="U101" i="120"/>
  <c r="U112" i="120" s="1"/>
  <c r="U132" i="120" s="1"/>
  <c r="V101" i="120"/>
  <c r="V112" i="120" s="1"/>
  <c r="V132" i="120" s="1"/>
  <c r="W101" i="120"/>
  <c r="W112" i="120" s="1"/>
  <c r="W132" i="120" s="1"/>
  <c r="Y101" i="120"/>
  <c r="Y112" i="120" s="1"/>
  <c r="Y132" i="120" s="1"/>
  <c r="AA101" i="120"/>
  <c r="AA112" i="120" s="1"/>
  <c r="AB101" i="120"/>
  <c r="AB112" i="120" s="1"/>
  <c r="AQ56" i="120"/>
  <c r="AU56" i="120"/>
  <c r="AV56" i="120"/>
  <c r="AT56" i="120"/>
  <c r="P56" i="120"/>
  <c r="N56" i="120"/>
  <c r="J56" i="120"/>
  <c r="AR56" i="120"/>
  <c r="AW56" i="120"/>
  <c r="AS56" i="120"/>
  <c r="O56" i="120"/>
  <c r="AO56" i="120"/>
  <c r="AX56" i="120"/>
  <c r="K56" i="120"/>
  <c r="AN56" i="120"/>
  <c r="AP56" i="120"/>
  <c r="M56" i="120"/>
  <c r="L56" i="120"/>
  <c r="I56" i="120"/>
  <c r="Q56" i="120"/>
  <c r="R56" i="120"/>
  <c r="AY56" i="120"/>
  <c r="AZ56" i="120"/>
  <c r="S56" i="120"/>
  <c r="BA56" i="120"/>
  <c r="T56" i="120"/>
  <c r="U56" i="120"/>
  <c r="BB56" i="120"/>
  <c r="BC56" i="120"/>
  <c r="V56" i="120"/>
  <c r="BD56" i="120"/>
  <c r="W56" i="120"/>
  <c r="BE56" i="120"/>
  <c r="X56" i="120"/>
  <c r="BF56" i="120"/>
  <c r="Y56" i="120"/>
  <c r="BG56" i="120"/>
  <c r="Z56" i="120"/>
  <c r="AA56" i="120"/>
  <c r="BH56" i="120"/>
  <c r="AB56" i="120"/>
  <c r="I283" i="120"/>
  <c r="I282" i="120"/>
  <c r="I281" i="120"/>
  <c r="N283" i="120"/>
  <c r="N282" i="120"/>
  <c r="N281" i="120"/>
  <c r="AY45" i="120"/>
  <c r="AY46" i="120"/>
  <c r="AY44" i="120"/>
  <c r="X46" i="120"/>
  <c r="X45" i="120"/>
  <c r="X44" i="120"/>
  <c r="W125" i="120"/>
  <c r="W124" i="120"/>
  <c r="W123" i="120"/>
  <c r="AO45" i="120"/>
  <c r="AO46" i="120"/>
  <c r="AO44" i="120"/>
  <c r="V283" i="120"/>
  <c r="V282" i="120"/>
  <c r="V281" i="120"/>
  <c r="P282" i="120"/>
  <c r="P283" i="120"/>
  <c r="P281" i="120"/>
  <c r="T46" i="120"/>
  <c r="T45" i="120"/>
  <c r="T44" i="120"/>
  <c r="L46" i="120"/>
  <c r="L45" i="120"/>
  <c r="L44" i="120"/>
  <c r="W45" i="120"/>
  <c r="W46" i="120"/>
  <c r="W44" i="120"/>
  <c r="G175" i="120"/>
  <c r="Y283" i="120"/>
  <c r="Y282" i="120"/>
  <c r="Y281" i="120"/>
  <c r="O124" i="120"/>
  <c r="O125" i="120"/>
  <c r="O123" i="120"/>
  <c r="U204" i="120"/>
  <c r="U203" i="120"/>
  <c r="U202" i="120"/>
  <c r="Z204" i="120"/>
  <c r="Z203" i="120"/>
  <c r="Z202" i="120"/>
  <c r="S45" i="120"/>
  <c r="S46" i="120"/>
  <c r="S44" i="120"/>
  <c r="BD46" i="120"/>
  <c r="BD45" i="120"/>
  <c r="BD44" i="120"/>
  <c r="K124" i="120"/>
  <c r="K125" i="120"/>
  <c r="K123" i="120"/>
  <c r="M282" i="120"/>
  <c r="M283" i="120"/>
  <c r="M281" i="120"/>
  <c r="I45" i="120"/>
  <c r="I46" i="120"/>
  <c r="I44" i="120"/>
  <c r="H282" i="120"/>
  <c r="H283" i="120"/>
  <c r="H281" i="120"/>
  <c r="O283" i="120"/>
  <c r="O282" i="120"/>
  <c r="O281" i="120"/>
  <c r="W204" i="120"/>
  <c r="W203" i="120"/>
  <c r="W202" i="120"/>
  <c r="K204" i="120"/>
  <c r="K203" i="120"/>
  <c r="K202" i="120"/>
  <c r="L282" i="120"/>
  <c r="L283" i="120"/>
  <c r="L281" i="120"/>
  <c r="P204" i="120"/>
  <c r="P203" i="120"/>
  <c r="P202" i="120"/>
  <c r="BC46" i="120"/>
  <c r="BC45" i="120"/>
  <c r="BC44" i="120"/>
  <c r="I147" i="120"/>
  <c r="J180" i="120"/>
  <c r="J191" i="120" s="1"/>
  <c r="J211" i="120" s="1"/>
  <c r="K180" i="120"/>
  <c r="K191" i="120" s="1"/>
  <c r="K211" i="120" s="1"/>
  <c r="I180" i="120"/>
  <c r="I191" i="120" s="1"/>
  <c r="I211" i="120" s="1"/>
  <c r="P180" i="120"/>
  <c r="P191" i="120" s="1"/>
  <c r="P211" i="120" s="1"/>
  <c r="L180" i="120"/>
  <c r="L191" i="120" s="1"/>
  <c r="L211" i="120" s="1"/>
  <c r="M180" i="120"/>
  <c r="M191" i="120" s="1"/>
  <c r="M211" i="120" s="1"/>
  <c r="N180" i="120"/>
  <c r="N191" i="120" s="1"/>
  <c r="N211" i="120" s="1"/>
  <c r="O180" i="120"/>
  <c r="O191" i="120" s="1"/>
  <c r="O211" i="120" s="1"/>
  <c r="H180" i="120"/>
  <c r="H191" i="120" s="1"/>
  <c r="H211" i="120" s="1"/>
  <c r="Q180" i="120"/>
  <c r="Q191" i="120" s="1"/>
  <c r="Q211" i="120" s="1"/>
  <c r="R180" i="120"/>
  <c r="R191" i="120" s="1"/>
  <c r="R211" i="120" s="1"/>
  <c r="S180" i="120"/>
  <c r="S191" i="120" s="1"/>
  <c r="S211" i="120" s="1"/>
  <c r="T180" i="120"/>
  <c r="T191" i="120" s="1"/>
  <c r="T211" i="120" s="1"/>
  <c r="U180" i="120"/>
  <c r="U191" i="120" s="1"/>
  <c r="U211" i="120" s="1"/>
  <c r="V180" i="120"/>
  <c r="V191" i="120" s="1"/>
  <c r="V211" i="120" s="1"/>
  <c r="W180" i="120"/>
  <c r="W191" i="120" s="1"/>
  <c r="W211" i="120" s="1"/>
  <c r="X180" i="120"/>
  <c r="X191" i="120" s="1"/>
  <c r="X211" i="120" s="1"/>
  <c r="Y180" i="120"/>
  <c r="Y191" i="120" s="1"/>
  <c r="Y211" i="120" s="1"/>
  <c r="Z180" i="120"/>
  <c r="Z191" i="120" s="1"/>
  <c r="Z211" i="120" s="1"/>
  <c r="AA180" i="120"/>
  <c r="AA191" i="120" s="1"/>
  <c r="AB180" i="120"/>
  <c r="AB191" i="120" s="1"/>
  <c r="O22" i="120"/>
  <c r="AT22" i="120"/>
  <c r="P22" i="120"/>
  <c r="AU22" i="120"/>
  <c r="J22" i="120"/>
  <c r="N22" i="120"/>
  <c r="H22" i="120"/>
  <c r="AW22" i="120"/>
  <c r="AN22" i="120"/>
  <c r="I22" i="120"/>
  <c r="AO22" i="120"/>
  <c r="K22" i="120"/>
  <c r="L22" i="120"/>
  <c r="AP22" i="120"/>
  <c r="AV22" i="120"/>
  <c r="AQ22" i="120"/>
  <c r="AR22" i="120"/>
  <c r="M22" i="120"/>
  <c r="AS22" i="120"/>
  <c r="AX22" i="120"/>
  <c r="Q22" i="120"/>
  <c r="AY22" i="120"/>
  <c r="R22" i="120"/>
  <c r="S22" i="120"/>
  <c r="AZ22" i="120"/>
  <c r="T22" i="120"/>
  <c r="BA22" i="120"/>
  <c r="U22" i="120"/>
  <c r="BB22" i="120"/>
  <c r="V22" i="120"/>
  <c r="BC22" i="120"/>
  <c r="W22" i="120"/>
  <c r="BD22" i="120"/>
  <c r="BE22" i="120"/>
  <c r="X22" i="120"/>
  <c r="Y22" i="120"/>
  <c r="BF22" i="120"/>
  <c r="Z22" i="120"/>
  <c r="BG22" i="120"/>
  <c r="BH22" i="120"/>
  <c r="AA22" i="120"/>
  <c r="AB22" i="120"/>
  <c r="M293" i="120"/>
  <c r="O293" i="120"/>
  <c r="N293" i="120"/>
  <c r="I293" i="120"/>
  <c r="H293" i="120"/>
  <c r="K293" i="120"/>
  <c r="P293" i="120"/>
  <c r="L293" i="120"/>
  <c r="J293" i="120"/>
  <c r="Q293" i="120"/>
  <c r="R293" i="120"/>
  <c r="S293" i="120"/>
  <c r="T293" i="120"/>
  <c r="U293" i="120"/>
  <c r="V293" i="120"/>
  <c r="W293" i="120"/>
  <c r="X293" i="120"/>
  <c r="Y293" i="120"/>
  <c r="Z293" i="120"/>
  <c r="AA293" i="120"/>
  <c r="AB293" i="120"/>
  <c r="J283" i="120"/>
  <c r="J282" i="120"/>
  <c r="J281" i="120"/>
  <c r="AM17" i="120"/>
  <c r="BE46" i="120"/>
  <c r="BE45" i="120"/>
  <c r="BE44" i="120"/>
  <c r="I204" i="120"/>
  <c r="I203" i="120"/>
  <c r="I202" i="120"/>
  <c r="AX46" i="120"/>
  <c r="AX45" i="120"/>
  <c r="AX44" i="120"/>
  <c r="R282" i="120"/>
  <c r="R283" i="120"/>
  <c r="R281" i="120"/>
  <c r="U124" i="120"/>
  <c r="U125" i="120"/>
  <c r="U123" i="120"/>
  <c r="Q125" i="120"/>
  <c r="Q124" i="120"/>
  <c r="Q123" i="120"/>
  <c r="L124" i="120"/>
  <c r="L125" i="120"/>
  <c r="L123" i="120"/>
  <c r="I226" i="120"/>
  <c r="AO68" i="120"/>
  <c r="J124" i="120"/>
  <c r="J125" i="120"/>
  <c r="J123" i="120"/>
  <c r="AS46" i="120"/>
  <c r="AS45" i="120"/>
  <c r="AS44" i="120"/>
  <c r="M125" i="120"/>
  <c r="M124" i="120"/>
  <c r="M123" i="120"/>
  <c r="G17" i="120"/>
  <c r="Y45" i="120"/>
  <c r="Y46" i="120"/>
  <c r="Y44" i="120"/>
  <c r="P124" i="120"/>
  <c r="P125" i="120"/>
  <c r="P123" i="120"/>
  <c r="BB45" i="120"/>
  <c r="BB46" i="120"/>
  <c r="BB44" i="120"/>
  <c r="R45" i="120"/>
  <c r="R46" i="120"/>
  <c r="R44" i="120"/>
  <c r="T283" i="120"/>
  <c r="T282" i="120"/>
  <c r="T281" i="120"/>
  <c r="Q204" i="120"/>
  <c r="Q203" i="120"/>
  <c r="Q202" i="120"/>
  <c r="X203" i="120"/>
  <c r="X204" i="120"/>
  <c r="X202" i="120"/>
  <c r="AQ45" i="120"/>
  <c r="AQ46" i="120"/>
  <c r="AQ44" i="120"/>
  <c r="Q282" i="120"/>
  <c r="Q283" i="120"/>
  <c r="Q281" i="120"/>
  <c r="M45" i="120"/>
  <c r="M46" i="120"/>
  <c r="M44" i="120"/>
  <c r="G96" i="120"/>
  <c r="U283" i="120"/>
  <c r="U282" i="120"/>
  <c r="U281" i="120"/>
  <c r="W282" i="120"/>
  <c r="W283" i="120"/>
  <c r="W281" i="120"/>
  <c r="AW46" i="120"/>
  <c r="AW45" i="120"/>
  <c r="AW44" i="120"/>
  <c r="V45" i="120"/>
  <c r="V46" i="120"/>
  <c r="V44" i="120"/>
  <c r="I124" i="120"/>
  <c r="I125" i="120"/>
  <c r="I123" i="120"/>
  <c r="K45" i="120"/>
  <c r="K46" i="120"/>
  <c r="K44" i="120"/>
  <c r="X283" i="120"/>
  <c r="X282" i="120"/>
  <c r="X281" i="120"/>
  <c r="AT45" i="120"/>
  <c r="AT46" i="120"/>
  <c r="AT44" i="120"/>
  <c r="CB60" i="119"/>
  <c r="CC26" i="119"/>
  <c r="CC44" i="119"/>
  <c r="CC41" i="119"/>
  <c r="CC21" i="119"/>
  <c r="CC46" i="119"/>
  <c r="CC13" i="119"/>
  <c r="CP6" i="119"/>
  <c r="CB60" i="118"/>
  <c r="CC26" i="118"/>
  <c r="CC44" i="118"/>
  <c r="CC21" i="118"/>
  <c r="CC46" i="118"/>
  <c r="CC13" i="118"/>
  <c r="CC41" i="118"/>
  <c r="CB60" i="117"/>
  <c r="CO6" i="118"/>
  <c r="CC41" i="117"/>
  <c r="CC26" i="117"/>
  <c r="CC46" i="117"/>
  <c r="CC21" i="117"/>
  <c r="CC44" i="67"/>
  <c r="CC44" i="117"/>
  <c r="CC13" i="117"/>
  <c r="CP6" i="117"/>
  <c r="CD13" i="67"/>
  <c r="H12" i="77"/>
  <c r="H14" i="77"/>
  <c r="H13" i="77"/>
  <c r="H15" i="77"/>
  <c r="CE6" i="67"/>
  <c r="BD286" i="125"/>
  <c r="CC37" i="117" a="1"/>
  <c r="J25" i="125"/>
  <c r="CA10" i="119" a="1"/>
  <c r="L12" i="125"/>
  <c r="K105" i="125"/>
  <c r="K148" i="125" a="1"/>
  <c r="K253" i="125"/>
  <c r="K16" i="125"/>
  <c r="BD108" i="125"/>
  <c r="K95" i="125"/>
  <c r="CA9" i="117" a="1"/>
  <c r="L49" i="125"/>
  <c r="CC12" i="119" a="1"/>
  <c r="BD91" i="125"/>
  <c r="CC45" i="117" a="1"/>
  <c r="BZ12" i="119" a="1"/>
  <c r="CB9" i="117" a="1"/>
  <c r="BZ9" i="117" a="1"/>
  <c r="CA11" i="67" a="1"/>
  <c r="BD29" i="125"/>
  <c r="CB11" i="117" a="1"/>
  <c r="BD128" i="125"/>
  <c r="L29" i="125"/>
  <c r="CB10" i="118" a="1"/>
  <c r="CB11" i="119" a="1"/>
  <c r="K307" i="125" a="1"/>
  <c r="CA12" i="118" a="1"/>
  <c r="CC37" i="118" a="1"/>
  <c r="K227" i="125" a="1"/>
  <c r="CD11" i="67" a="1"/>
  <c r="BC106" i="125"/>
  <c r="L266" i="125"/>
  <c r="CB12" i="117" a="1"/>
  <c r="CB9" i="118" a="1"/>
  <c r="CB12" i="118" a="1"/>
  <c r="BD266" i="125"/>
  <c r="CC9" i="117" a="1"/>
  <c r="L187" i="125"/>
  <c r="BC70" i="125" a="1"/>
  <c r="CA9" i="119" a="1"/>
  <c r="J262" i="125"/>
  <c r="BZ10" i="118" a="1"/>
  <c r="CC10" i="117" a="1"/>
  <c r="CC11" i="117" a="1"/>
  <c r="CB11" i="67" a="1"/>
  <c r="K264" i="125"/>
  <c r="CC45" i="119" a="1"/>
  <c r="K149" i="125" a="1"/>
  <c r="CA12" i="117" a="1"/>
  <c r="K69" i="125" a="1"/>
  <c r="BC185" i="125"/>
  <c r="CC10" i="119" a="1"/>
  <c r="CA9" i="118" a="1"/>
  <c r="CB11" i="118" a="1"/>
  <c r="BB262" i="125"/>
  <c r="BD49" i="125"/>
  <c r="CA11" i="119" a="1"/>
  <c r="CC45" i="118" a="1"/>
  <c r="BZ11" i="117" a="1"/>
  <c r="CC43" i="118" a="1"/>
  <c r="K228" i="125" a="1"/>
  <c r="BB25" i="125"/>
  <c r="CC9" i="118" a="1"/>
  <c r="BC253" i="125"/>
  <c r="BD187" i="125"/>
  <c r="BC307" i="125" a="1"/>
  <c r="J104" i="125"/>
  <c r="BC228" i="125" a="1"/>
  <c r="BZ10" i="119" a="1"/>
  <c r="L207" i="125"/>
  <c r="K26" i="125"/>
  <c r="BD170" i="125"/>
  <c r="BZ12" i="117" a="1"/>
  <c r="BC306" i="125" a="1"/>
  <c r="BC69" i="125" a="1"/>
  <c r="K185" i="125"/>
  <c r="CC43" i="119" a="1"/>
  <c r="CD10" i="67" a="1"/>
  <c r="CA10" i="67" a="1"/>
  <c r="BD207" i="125"/>
  <c r="CD12" i="67" a="1"/>
  <c r="CC12" i="117" a="1"/>
  <c r="BZ9" i="118" a="1"/>
  <c r="BC174" i="125"/>
  <c r="J183" i="125"/>
  <c r="BC105" i="125"/>
  <c r="BC95" i="125"/>
  <c r="K263" i="125"/>
  <c r="L170" i="125"/>
  <c r="CE13" i="67" a="1"/>
  <c r="CA11" i="117" a="1"/>
  <c r="BZ11" i="118" a="1"/>
  <c r="CC37" i="119" a="1"/>
  <c r="BC148" i="125" a="1"/>
  <c r="AM187" i="125"/>
  <c r="BD249" i="125"/>
  <c r="BC227" i="125" a="1"/>
  <c r="L128" i="125"/>
  <c r="AM266" i="125"/>
  <c r="CC10" i="118" a="1"/>
  <c r="CB12" i="67" a="1"/>
  <c r="K106" i="125"/>
  <c r="CC10" i="67" a="1"/>
  <c r="BD12" i="125"/>
  <c r="BC16" i="125"/>
  <c r="CA12" i="119" a="1"/>
  <c r="L286" i="125"/>
  <c r="BC149" i="125" a="1"/>
  <c r="CB10" i="117" a="1"/>
  <c r="BZ11" i="119" a="1"/>
  <c r="BZ10" i="117" a="1"/>
  <c r="CA11" i="118" a="1"/>
  <c r="CA10" i="118" a="1"/>
  <c r="BC26" i="125"/>
  <c r="CA10" i="117" a="1"/>
  <c r="CC11" i="118" a="1"/>
  <c r="L108" i="125"/>
  <c r="CA12" i="67" a="1"/>
  <c r="L249" i="125"/>
  <c r="BC27" i="125"/>
  <c r="L91" i="125"/>
  <c r="BB183" i="125"/>
  <c r="CC11" i="67" a="1"/>
  <c r="BB104" i="125"/>
  <c r="BC264" i="125"/>
  <c r="K184" i="125"/>
  <c r="K306" i="125" a="1"/>
  <c r="BC263" i="125"/>
  <c r="CC9" i="119" a="1"/>
  <c r="CB9" i="119" a="1"/>
  <c r="CB12" i="119" a="1"/>
  <c r="BZ12" i="118" a="1"/>
  <c r="CC12" i="118" a="1"/>
  <c r="CC11" i="119" a="1"/>
  <c r="CB10" i="119" a="1"/>
  <c r="CB10" i="67" a="1"/>
  <c r="BC184" i="125"/>
  <c r="K70" i="125" a="1"/>
  <c r="CC12" i="67" a="1"/>
  <c r="CD44" i="67" a="1"/>
  <c r="K27" i="125"/>
  <c r="BZ9" i="119" a="1"/>
  <c r="K174" i="125"/>
  <c r="BF126" i="126" l="1"/>
  <c r="AA124" i="126"/>
  <c r="BF282" i="124"/>
  <c r="Y47" i="124"/>
  <c r="Y334" i="124"/>
  <c r="BG290" i="126"/>
  <c r="BE284" i="124"/>
  <c r="AA132" i="126"/>
  <c r="AA283" i="126"/>
  <c r="AA281" i="126"/>
  <c r="BG281" i="126"/>
  <c r="BG283" i="126"/>
  <c r="Y47" i="126"/>
  <c r="Z123" i="124"/>
  <c r="Z125" i="120"/>
  <c r="BG45" i="126"/>
  <c r="Z283" i="120"/>
  <c r="Z284" i="120" s="1"/>
  <c r="AA45" i="126"/>
  <c r="P126" i="126"/>
  <c r="Z47" i="126"/>
  <c r="N335" i="126"/>
  <c r="BE284" i="126"/>
  <c r="AA290" i="126"/>
  <c r="AV334" i="126"/>
  <c r="BF335" i="126"/>
  <c r="BF284" i="126"/>
  <c r="G205" i="125"/>
  <c r="BG204" i="126"/>
  <c r="Z205" i="126"/>
  <c r="N126" i="126"/>
  <c r="V335" i="126"/>
  <c r="BG211" i="126"/>
  <c r="AS335" i="126"/>
  <c r="AW334" i="126"/>
  <c r="AV205" i="126"/>
  <c r="Z335" i="126"/>
  <c r="Z124" i="124"/>
  <c r="BB334" i="126"/>
  <c r="AV335" i="126"/>
  <c r="Z123" i="120"/>
  <c r="Z333" i="120" s="1"/>
  <c r="BB46" i="125"/>
  <c r="Z132" i="120"/>
  <c r="BF205" i="126"/>
  <c r="AZ334" i="126"/>
  <c r="BB283" i="125"/>
  <c r="Z126" i="126"/>
  <c r="BB290" i="125"/>
  <c r="J125" i="125"/>
  <c r="J133" i="125" s="1"/>
  <c r="AW335" i="126"/>
  <c r="Z290" i="124"/>
  <c r="BF46" i="124"/>
  <c r="AM334" i="125"/>
  <c r="AA202" i="126"/>
  <c r="AA203" i="126"/>
  <c r="AA334" i="126" s="1"/>
  <c r="AA211" i="126"/>
  <c r="Z283" i="124"/>
  <c r="Z335" i="124" s="1"/>
  <c r="J46" i="125"/>
  <c r="Z281" i="124"/>
  <c r="AS334" i="126"/>
  <c r="BA334" i="126"/>
  <c r="G334" i="125"/>
  <c r="AM335" i="125"/>
  <c r="BC334" i="126"/>
  <c r="BA335" i="126"/>
  <c r="BG126" i="126"/>
  <c r="BC335" i="126"/>
  <c r="J132" i="125"/>
  <c r="Y284" i="124"/>
  <c r="J211" i="125"/>
  <c r="BE335" i="126"/>
  <c r="AS284" i="126"/>
  <c r="BE47" i="124"/>
  <c r="BE335" i="124"/>
  <c r="BB335" i="126"/>
  <c r="N334" i="126"/>
  <c r="BE205" i="124"/>
  <c r="W126" i="126"/>
  <c r="AO205" i="126"/>
  <c r="BE334" i="126"/>
  <c r="BB284" i="126"/>
  <c r="X205" i="124"/>
  <c r="BE205" i="126"/>
  <c r="P334" i="126"/>
  <c r="J126" i="126"/>
  <c r="G47" i="125"/>
  <c r="T284" i="126"/>
  <c r="BC284" i="126"/>
  <c r="BF202" i="120"/>
  <c r="BF205" i="120" s="1"/>
  <c r="BF211" i="120"/>
  <c r="AQ126" i="126"/>
  <c r="BF281" i="124"/>
  <c r="BD126" i="126"/>
  <c r="BF333" i="126"/>
  <c r="N284" i="126"/>
  <c r="AU126" i="126"/>
  <c r="S205" i="126"/>
  <c r="BF125" i="124"/>
  <c r="BG203" i="120"/>
  <c r="AR284" i="126"/>
  <c r="Y284" i="126"/>
  <c r="AT126" i="126"/>
  <c r="V334" i="126"/>
  <c r="AZ126" i="126"/>
  <c r="BG334" i="126"/>
  <c r="AV284" i="126"/>
  <c r="BE126" i="126"/>
  <c r="J335" i="126"/>
  <c r="BC205" i="126"/>
  <c r="L334" i="126"/>
  <c r="L126" i="126"/>
  <c r="S284" i="126"/>
  <c r="AW126" i="126"/>
  <c r="Y126" i="126"/>
  <c r="BF123" i="124"/>
  <c r="J282" i="125"/>
  <c r="M284" i="126"/>
  <c r="L335" i="126"/>
  <c r="T205" i="126"/>
  <c r="P335" i="126"/>
  <c r="BA205" i="126"/>
  <c r="BF290" i="124"/>
  <c r="BB124" i="125"/>
  <c r="BB334" i="125" s="1"/>
  <c r="J203" i="125"/>
  <c r="AB290" i="126"/>
  <c r="AX126" i="126"/>
  <c r="AZ205" i="126"/>
  <c r="K205" i="126"/>
  <c r="BB132" i="125"/>
  <c r="L205" i="126"/>
  <c r="AY205" i="126"/>
  <c r="R126" i="126"/>
  <c r="P284" i="126"/>
  <c r="BG335" i="126"/>
  <c r="K335" i="126"/>
  <c r="J90" i="126"/>
  <c r="J147" i="126" s="1"/>
  <c r="AP90" i="126"/>
  <c r="AP147" i="126" s="1"/>
  <c r="AZ133" i="120"/>
  <c r="BH101" i="124"/>
  <c r="BH112" i="124" s="1"/>
  <c r="BH180" i="124"/>
  <c r="BH191" i="124" s="1"/>
  <c r="AZ212" i="120"/>
  <c r="AP212" i="120"/>
  <c r="AP205" i="126"/>
  <c r="AN259" i="126"/>
  <c r="X133" i="126"/>
  <c r="X102" i="126"/>
  <c r="X113" i="126" s="1"/>
  <c r="T133" i="126"/>
  <c r="T102" i="126"/>
  <c r="T113" i="126" s="1"/>
  <c r="AV133" i="126"/>
  <c r="AV102" i="126"/>
  <c r="AV113" i="126" s="1"/>
  <c r="AR133" i="126"/>
  <c r="AR102" i="126"/>
  <c r="AR113" i="126" s="1"/>
  <c r="BC126" i="126"/>
  <c r="I205" i="126"/>
  <c r="W205" i="126"/>
  <c r="BB47" i="126"/>
  <c r="BB333" i="126"/>
  <c r="BD212" i="126"/>
  <c r="BD181" i="126"/>
  <c r="BD192" i="126" s="1"/>
  <c r="T212" i="126"/>
  <c r="T181" i="126"/>
  <c r="T192" i="126" s="1"/>
  <c r="P212" i="126"/>
  <c r="P181" i="126"/>
  <c r="P192" i="126" s="1"/>
  <c r="L212" i="126"/>
  <c r="L181" i="126"/>
  <c r="L192" i="126" s="1"/>
  <c r="AN181" i="126"/>
  <c r="BF23" i="126"/>
  <c r="BF54" i="126"/>
  <c r="V23" i="126"/>
  <c r="V54" i="126"/>
  <c r="R54" i="126"/>
  <c r="R23" i="126"/>
  <c r="N23" i="126"/>
  <c r="N54" i="126"/>
  <c r="AP54" i="126"/>
  <c r="AP23" i="126"/>
  <c r="N47" i="126"/>
  <c r="N333" i="126"/>
  <c r="T126" i="126"/>
  <c r="AN29" i="126"/>
  <c r="AN46" i="126"/>
  <c r="AN54" i="126" s="1"/>
  <c r="AN45" i="126"/>
  <c r="AN44" i="126"/>
  <c r="AO47" i="126"/>
  <c r="AO333" i="126"/>
  <c r="BG291" i="126"/>
  <c r="BG260" i="126"/>
  <c r="BG271" i="126" s="1"/>
  <c r="BC291" i="126"/>
  <c r="BC260" i="126"/>
  <c r="BC271" i="126" s="1"/>
  <c r="AY291" i="126"/>
  <c r="AY260" i="126"/>
  <c r="AY271" i="126" s="1"/>
  <c r="AU291" i="126"/>
  <c r="AU260" i="126"/>
  <c r="AU271" i="126" s="1"/>
  <c r="AQ291" i="126"/>
  <c r="AQ260" i="126"/>
  <c r="AQ271" i="126" s="1"/>
  <c r="AN293" i="126"/>
  <c r="Y33" i="126"/>
  <c r="Y53" i="126" s="1"/>
  <c r="Y329" i="126"/>
  <c r="Y340" i="126" s="1"/>
  <c r="U33" i="126"/>
  <c r="U53" i="126" s="1"/>
  <c r="U329" i="126"/>
  <c r="U340" i="126" s="1"/>
  <c r="Q33" i="126"/>
  <c r="Q53" i="126" s="1"/>
  <c r="Q329" i="126"/>
  <c r="Q340" i="126" s="1"/>
  <c r="AS33" i="126"/>
  <c r="AS53" i="126" s="1"/>
  <c r="AS329" i="126"/>
  <c r="AS340" i="126" s="1"/>
  <c r="AO33" i="126"/>
  <c r="AO53" i="126" s="1"/>
  <c r="AO329" i="126"/>
  <c r="AO340" i="126" s="1"/>
  <c r="AT335" i="126"/>
  <c r="P47" i="126"/>
  <c r="P333" i="126"/>
  <c r="BB126" i="126"/>
  <c r="AW284" i="126"/>
  <c r="X334" i="126"/>
  <c r="S126" i="126"/>
  <c r="V126" i="126"/>
  <c r="BD47" i="126"/>
  <c r="BD333" i="126"/>
  <c r="AP335" i="126"/>
  <c r="O47" i="126"/>
  <c r="O333" i="126"/>
  <c r="AA44" i="126"/>
  <c r="AA47" i="126" s="1"/>
  <c r="Z21" i="126"/>
  <c r="Z42" i="126"/>
  <c r="Z66" i="126" s="1"/>
  <c r="V42" i="126"/>
  <c r="V66" i="126" s="1"/>
  <c r="V21" i="126"/>
  <c r="R21" i="126"/>
  <c r="R42" i="126"/>
  <c r="R66" i="126" s="1"/>
  <c r="AT21" i="126"/>
  <c r="AT42" i="126"/>
  <c r="AT66" i="126" s="1"/>
  <c r="J21" i="126"/>
  <c r="J42" i="126"/>
  <c r="J66" i="126" s="1"/>
  <c r="R334" i="126"/>
  <c r="AC69" i="126" a="1"/>
  <c r="AC69" i="126" s="1"/>
  <c r="AC70" i="126" a="1"/>
  <c r="AC70" i="126" s="1"/>
  <c r="AC27" i="126"/>
  <c r="AC26" i="126"/>
  <c r="AC16" i="126"/>
  <c r="AC17" i="126" s="1"/>
  <c r="AC21" i="126"/>
  <c r="AC42" i="126"/>
  <c r="AC180" i="126"/>
  <c r="AC191" i="126" s="1"/>
  <c r="BI27" i="126"/>
  <c r="BI69" i="126" a="1"/>
  <c r="BI69" i="126" s="1"/>
  <c r="BI26" i="126"/>
  <c r="BI70" i="126" a="1"/>
  <c r="BI70" i="126" s="1"/>
  <c r="BI16" i="126"/>
  <c r="BI17" i="126" s="1"/>
  <c r="BI102" i="126"/>
  <c r="BI181" i="126"/>
  <c r="K284" i="126"/>
  <c r="W47" i="126"/>
  <c r="W333" i="126"/>
  <c r="O284" i="126"/>
  <c r="M334" i="126"/>
  <c r="T334" i="126"/>
  <c r="Z333" i="126"/>
  <c r="BF200" i="126"/>
  <c r="BF224" i="126" s="1"/>
  <c r="BF179" i="126"/>
  <c r="BF190" i="126" s="1"/>
  <c r="V200" i="126"/>
  <c r="V224" i="126" s="1"/>
  <c r="V179" i="126"/>
  <c r="V190" i="126" s="1"/>
  <c r="AX200" i="126"/>
  <c r="AX224" i="126" s="1"/>
  <c r="AX179" i="126"/>
  <c r="AX190" i="126" s="1"/>
  <c r="N200" i="126"/>
  <c r="N224" i="126" s="1"/>
  <c r="N179" i="126"/>
  <c r="N190" i="126" s="1"/>
  <c r="J200" i="126"/>
  <c r="J224" i="126" s="1"/>
  <c r="J179" i="126"/>
  <c r="J190" i="126" s="1"/>
  <c r="H56" i="126"/>
  <c r="BE100" i="126"/>
  <c r="BE111" i="126" s="1"/>
  <c r="BE121" i="126"/>
  <c r="BE145" i="126" s="1"/>
  <c r="U121" i="126"/>
  <c r="U145" i="126" s="1"/>
  <c r="U100" i="126"/>
  <c r="U111" i="126" s="1"/>
  <c r="AW100" i="126"/>
  <c r="AW111" i="126" s="1"/>
  <c r="AW121" i="126"/>
  <c r="AW145" i="126" s="1"/>
  <c r="M121" i="126"/>
  <c r="M145" i="126" s="1"/>
  <c r="M100" i="126"/>
  <c r="M111" i="126" s="1"/>
  <c r="I121" i="126"/>
  <c r="I145" i="126" s="1"/>
  <c r="I100" i="126"/>
  <c r="I111" i="126" s="1"/>
  <c r="AA279" i="126"/>
  <c r="AA303" i="126" s="1"/>
  <c r="AA258" i="126"/>
  <c r="AA269" i="126" s="1"/>
  <c r="BC258" i="126"/>
  <c r="BC269" i="126" s="1"/>
  <c r="BC279" i="126"/>
  <c r="BC303" i="126" s="1"/>
  <c r="AY279" i="126"/>
  <c r="AY303" i="126" s="1"/>
  <c r="AY258" i="126"/>
  <c r="AY269" i="126" s="1"/>
  <c r="AU258" i="126"/>
  <c r="AU269" i="126" s="1"/>
  <c r="AU279" i="126"/>
  <c r="AU303" i="126" s="1"/>
  <c r="AQ279" i="126"/>
  <c r="AQ303" i="126" s="1"/>
  <c r="AQ258" i="126"/>
  <c r="AQ269" i="126" s="1"/>
  <c r="AM279" i="125"/>
  <c r="AM303" i="125" s="1"/>
  <c r="AM258" i="125"/>
  <c r="AM269" i="125" s="1"/>
  <c r="AR205" i="126"/>
  <c r="AB203" i="126"/>
  <c r="AB183" i="126"/>
  <c r="AB202" i="126" s="1"/>
  <c r="BG133" i="126"/>
  <c r="BG102" i="126"/>
  <c r="BG113" i="126" s="1"/>
  <c r="W133" i="126"/>
  <c r="W102" i="126"/>
  <c r="W113" i="126" s="1"/>
  <c r="AY133" i="126"/>
  <c r="AY102" i="126"/>
  <c r="AY113" i="126" s="1"/>
  <c r="O133" i="126"/>
  <c r="O102" i="126"/>
  <c r="O113" i="126" s="1"/>
  <c r="AQ133" i="126"/>
  <c r="AQ102" i="126"/>
  <c r="AQ113" i="126" s="1"/>
  <c r="AN102" i="126"/>
  <c r="L47" i="126"/>
  <c r="L333" i="126"/>
  <c r="BH204" i="126"/>
  <c r="BH212" i="126" s="1"/>
  <c r="X212" i="126"/>
  <c r="X181" i="126"/>
  <c r="X192" i="126" s="1"/>
  <c r="AZ212" i="126"/>
  <c r="AZ181" i="126"/>
  <c r="AZ192" i="126" s="1"/>
  <c r="AV212" i="126"/>
  <c r="AV181" i="126"/>
  <c r="AV192" i="126" s="1"/>
  <c r="AR212" i="126"/>
  <c r="AR181" i="126"/>
  <c r="AR192" i="126" s="1"/>
  <c r="BE54" i="126"/>
  <c r="BE23" i="126"/>
  <c r="U54" i="126"/>
  <c r="U23" i="126"/>
  <c r="AW54" i="126"/>
  <c r="AW23" i="126"/>
  <c r="M54" i="126"/>
  <c r="M23" i="126"/>
  <c r="I54" i="126"/>
  <c r="I23" i="126"/>
  <c r="AO334" i="126"/>
  <c r="Z291" i="126"/>
  <c r="Z260" i="126"/>
  <c r="Z271" i="126" s="1"/>
  <c r="V291" i="126"/>
  <c r="V260" i="126"/>
  <c r="V271" i="126" s="1"/>
  <c r="R291" i="126"/>
  <c r="R260" i="126"/>
  <c r="R271" i="126" s="1"/>
  <c r="N291" i="126"/>
  <c r="N260" i="126"/>
  <c r="N271" i="126" s="1"/>
  <c r="J291" i="126"/>
  <c r="J260" i="126"/>
  <c r="J271" i="126" s="1"/>
  <c r="H293" i="126"/>
  <c r="BE33" i="126"/>
  <c r="BE53" i="126" s="1"/>
  <c r="BE329" i="126"/>
  <c r="BE340" i="126" s="1"/>
  <c r="BA33" i="126"/>
  <c r="BA53" i="126" s="1"/>
  <c r="BA329" i="126"/>
  <c r="BA340" i="126" s="1"/>
  <c r="AW33" i="126"/>
  <c r="AW53" i="126" s="1"/>
  <c r="AW329" i="126"/>
  <c r="AW340" i="126" s="1"/>
  <c r="M33" i="126"/>
  <c r="M53" i="126" s="1"/>
  <c r="M329" i="126"/>
  <c r="M340" i="126" s="1"/>
  <c r="I33" i="126"/>
  <c r="I53" i="126" s="1"/>
  <c r="I329" i="126"/>
  <c r="I340" i="126" s="1"/>
  <c r="Q126" i="126"/>
  <c r="M205" i="126"/>
  <c r="AM133" i="125"/>
  <c r="X205" i="126"/>
  <c r="AX205" i="126"/>
  <c r="AT284" i="126"/>
  <c r="O126" i="126"/>
  <c r="BD205" i="126"/>
  <c r="U205" i="126"/>
  <c r="BD335" i="126"/>
  <c r="AP334" i="126"/>
  <c r="O334" i="126"/>
  <c r="AB121" i="126"/>
  <c r="AB145" i="126" s="1"/>
  <c r="AB100" i="126"/>
  <c r="AB111" i="126" s="1"/>
  <c r="AN180" i="126"/>
  <c r="BF42" i="126"/>
  <c r="BF66" i="126" s="1"/>
  <c r="BF21" i="126"/>
  <c r="BB21" i="126"/>
  <c r="BB42" i="126"/>
  <c r="BB66" i="126" s="1"/>
  <c r="AX42" i="126"/>
  <c r="AX66" i="126" s="1"/>
  <c r="AX21" i="126"/>
  <c r="N42" i="126"/>
  <c r="N66" i="126" s="1"/>
  <c r="N21" i="126"/>
  <c r="AP42" i="126"/>
  <c r="AP66" i="126" s="1"/>
  <c r="AP21" i="126"/>
  <c r="AQ284" i="126"/>
  <c r="R335" i="126"/>
  <c r="J47" i="126"/>
  <c r="J333" i="126"/>
  <c r="AC253" i="126"/>
  <c r="AC254" i="126" s="1"/>
  <c r="AC290" i="126" s="1"/>
  <c r="AC306" i="126" a="1"/>
  <c r="AC306" i="126" s="1"/>
  <c r="AC307" i="126" a="1"/>
  <c r="AC307" i="126" s="1"/>
  <c r="AC263" i="126"/>
  <c r="AC264" i="126"/>
  <c r="AC23" i="126"/>
  <c r="BI263" i="126"/>
  <c r="BI307" i="126" a="1"/>
  <c r="BI307" i="126" s="1"/>
  <c r="BI264" i="126"/>
  <c r="BI306" i="126" a="1"/>
  <c r="BI306" i="126" s="1"/>
  <c r="BI253" i="126"/>
  <c r="BI42" i="126"/>
  <c r="BI66" i="126" s="1"/>
  <c r="BI21" i="126"/>
  <c r="U126" i="126"/>
  <c r="W335" i="126"/>
  <c r="L284" i="126"/>
  <c r="T335" i="126"/>
  <c r="AB102" i="126"/>
  <c r="U47" i="126"/>
  <c r="U333" i="126"/>
  <c r="Z200" i="126"/>
  <c r="Z224" i="126" s="1"/>
  <c r="Z179" i="126"/>
  <c r="Z190" i="126" s="1"/>
  <c r="BB200" i="126"/>
  <c r="BB224" i="126" s="1"/>
  <c r="BB179" i="126"/>
  <c r="BB190" i="126" s="1"/>
  <c r="R200" i="126"/>
  <c r="R224" i="126" s="1"/>
  <c r="R179" i="126"/>
  <c r="R190" i="126" s="1"/>
  <c r="AT200" i="126"/>
  <c r="AT224" i="126" s="1"/>
  <c r="AT179" i="126"/>
  <c r="AT190" i="126" s="1"/>
  <c r="AP200" i="126"/>
  <c r="AP224" i="126" s="1"/>
  <c r="AP179" i="126"/>
  <c r="AP190" i="126" s="1"/>
  <c r="AN56" i="126"/>
  <c r="Y121" i="126"/>
  <c r="Y145" i="126" s="1"/>
  <c r="Y100" i="126"/>
  <c r="Y111" i="126" s="1"/>
  <c r="BA121" i="126"/>
  <c r="BA145" i="126" s="1"/>
  <c r="BA100" i="126"/>
  <c r="BA111" i="126" s="1"/>
  <c r="Q121" i="126"/>
  <c r="Q145" i="126" s="1"/>
  <c r="Q100" i="126"/>
  <c r="Q111" i="126" s="1"/>
  <c r="AS121" i="126"/>
  <c r="AS145" i="126" s="1"/>
  <c r="AS100" i="126"/>
  <c r="AS111" i="126" s="1"/>
  <c r="AO100" i="126"/>
  <c r="AO111" i="126" s="1"/>
  <c r="AO121" i="126"/>
  <c r="AO145" i="126" s="1"/>
  <c r="BF279" i="126"/>
  <c r="BF303" i="126" s="1"/>
  <c r="BF258" i="126"/>
  <c r="BF269" i="126" s="1"/>
  <c r="BB279" i="126"/>
  <c r="BB303" i="126" s="1"/>
  <c r="BB258" i="126"/>
  <c r="BB269" i="126" s="1"/>
  <c r="AX279" i="126"/>
  <c r="AX303" i="126" s="1"/>
  <c r="AX258" i="126"/>
  <c r="AX269" i="126" s="1"/>
  <c r="N279" i="126"/>
  <c r="N303" i="126" s="1"/>
  <c r="N258" i="126"/>
  <c r="N269" i="126" s="1"/>
  <c r="J279" i="126"/>
  <c r="J303" i="126" s="1"/>
  <c r="J258" i="126"/>
  <c r="J269" i="126" s="1"/>
  <c r="BH329" i="126"/>
  <c r="BH340" i="126" s="1"/>
  <c r="AA123" i="126"/>
  <c r="AA126" i="126" s="1"/>
  <c r="BC47" i="126"/>
  <c r="BC333" i="126"/>
  <c r="AU284" i="126"/>
  <c r="AS47" i="126"/>
  <c r="AS333" i="126"/>
  <c r="BA47" i="126"/>
  <c r="BA333" i="126"/>
  <c r="BH262" i="126"/>
  <c r="AN101" i="126"/>
  <c r="AA133" i="126"/>
  <c r="AA102" i="126"/>
  <c r="AA113" i="126" s="1"/>
  <c r="BC133" i="126"/>
  <c r="BC102" i="126"/>
  <c r="BC113" i="126" s="1"/>
  <c r="S133" i="126"/>
  <c r="S102" i="126"/>
  <c r="S113" i="126" s="1"/>
  <c r="AU133" i="126"/>
  <c r="AU102" i="126"/>
  <c r="AU113" i="126" s="1"/>
  <c r="K133" i="126"/>
  <c r="K102" i="126"/>
  <c r="K113" i="126" s="1"/>
  <c r="AA212" i="126"/>
  <c r="AA181" i="126"/>
  <c r="AA192" i="126" s="1"/>
  <c r="W212" i="126"/>
  <c r="W181" i="126"/>
  <c r="W192" i="126" s="1"/>
  <c r="S212" i="126"/>
  <c r="S181" i="126"/>
  <c r="S192" i="126" s="1"/>
  <c r="AU212" i="126"/>
  <c r="AU181" i="126"/>
  <c r="AU192" i="126" s="1"/>
  <c r="AQ212" i="126"/>
  <c r="AQ181" i="126"/>
  <c r="AQ192" i="126" s="1"/>
  <c r="H181" i="126"/>
  <c r="Y54" i="126"/>
  <c r="Y23" i="126"/>
  <c r="BA54" i="126"/>
  <c r="BA23" i="126"/>
  <c r="Q54" i="126"/>
  <c r="Q23" i="126"/>
  <c r="AS54" i="126"/>
  <c r="AS23" i="126"/>
  <c r="AO54" i="126"/>
  <c r="AO23" i="126"/>
  <c r="AV47" i="126"/>
  <c r="AV333" i="126"/>
  <c r="I126" i="126"/>
  <c r="AO335" i="126"/>
  <c r="AY284" i="126"/>
  <c r="H214" i="126"/>
  <c r="BF291" i="126"/>
  <c r="BF260" i="126"/>
  <c r="BF271" i="126" s="1"/>
  <c r="BB291" i="126"/>
  <c r="BB260" i="126"/>
  <c r="BB271" i="126" s="1"/>
  <c r="AX291" i="126"/>
  <c r="AX260" i="126"/>
  <c r="AX271" i="126" s="1"/>
  <c r="AT291" i="126"/>
  <c r="AT260" i="126"/>
  <c r="AT271" i="126" s="1"/>
  <c r="AP291" i="126"/>
  <c r="AP260" i="126"/>
  <c r="AP271" i="126" s="1"/>
  <c r="BD33" i="126"/>
  <c r="BD53" i="126" s="1"/>
  <c r="BD329" i="126"/>
  <c r="BD340" i="126" s="1"/>
  <c r="AZ33" i="126"/>
  <c r="AZ53" i="126" s="1"/>
  <c r="AZ329" i="126"/>
  <c r="AZ340" i="126" s="1"/>
  <c r="AV33" i="126"/>
  <c r="AV53" i="126" s="1"/>
  <c r="AV329" i="126"/>
  <c r="AV340" i="126" s="1"/>
  <c r="L33" i="126"/>
  <c r="L53" i="126" s="1"/>
  <c r="L329" i="126"/>
  <c r="L340" i="126" s="1"/>
  <c r="G33" i="125"/>
  <c r="G53" i="125" s="1"/>
  <c r="G329" i="125"/>
  <c r="G340" i="125" s="1"/>
  <c r="AY126" i="126"/>
  <c r="AB200" i="126"/>
  <c r="AB224" i="126" s="1"/>
  <c r="AB179" i="126"/>
  <c r="AB190" i="126" s="1"/>
  <c r="BB205" i="126"/>
  <c r="Q284" i="126"/>
  <c r="BD334" i="126"/>
  <c r="K47" i="126"/>
  <c r="K333" i="126"/>
  <c r="O335" i="126"/>
  <c r="AM205" i="125"/>
  <c r="BE21" i="126"/>
  <c r="BE42" i="126"/>
  <c r="BE66" i="126" s="1"/>
  <c r="BA42" i="126"/>
  <c r="BA66" i="126" s="1"/>
  <c r="BA21" i="126"/>
  <c r="AW21" i="126"/>
  <c r="AW42" i="126"/>
  <c r="AW66" i="126" s="1"/>
  <c r="M21" i="126"/>
  <c r="M42" i="126"/>
  <c r="M66" i="126" s="1"/>
  <c r="I42" i="126"/>
  <c r="I66" i="126" s="1"/>
  <c r="I21" i="126"/>
  <c r="BA126" i="126"/>
  <c r="Q205" i="126"/>
  <c r="AT205" i="126"/>
  <c r="J334" i="126"/>
  <c r="AU47" i="126"/>
  <c r="AU333" i="126"/>
  <c r="AC228" i="126" a="1"/>
  <c r="AC228" i="126" s="1"/>
  <c r="AC227" i="126" a="1"/>
  <c r="AC227" i="126" s="1"/>
  <c r="AC174" i="126"/>
  <c r="AC175" i="126" s="1"/>
  <c r="AC185" i="126"/>
  <c r="AC184" i="126"/>
  <c r="BI23" i="126"/>
  <c r="W334" i="126"/>
  <c r="V284" i="126"/>
  <c r="AB33" i="126"/>
  <c r="AB329" i="126"/>
  <c r="AB340" i="126" s="1"/>
  <c r="U334" i="126"/>
  <c r="BE200" i="126"/>
  <c r="BE224" i="126" s="1"/>
  <c r="BE179" i="126"/>
  <c r="BE190" i="126" s="1"/>
  <c r="U179" i="126"/>
  <c r="U190" i="126" s="1"/>
  <c r="U200" i="126"/>
  <c r="U224" i="126" s="1"/>
  <c r="AW179" i="126"/>
  <c r="AW190" i="126" s="1"/>
  <c r="AW200" i="126"/>
  <c r="AW224" i="126" s="1"/>
  <c r="M179" i="126"/>
  <c r="M190" i="126" s="1"/>
  <c r="M200" i="126"/>
  <c r="M224" i="126" s="1"/>
  <c r="I200" i="126"/>
  <c r="I224" i="126" s="1"/>
  <c r="I179" i="126"/>
  <c r="I190" i="126" s="1"/>
  <c r="BD121" i="126"/>
  <c r="BD145" i="126" s="1"/>
  <c r="BD100" i="126"/>
  <c r="BD111" i="126" s="1"/>
  <c r="T121" i="126"/>
  <c r="T145" i="126" s="1"/>
  <c r="T100" i="126"/>
  <c r="T111" i="126" s="1"/>
  <c r="P121" i="126"/>
  <c r="P145" i="126" s="1"/>
  <c r="P100" i="126"/>
  <c r="P111" i="126" s="1"/>
  <c r="L121" i="126"/>
  <c r="L145" i="126" s="1"/>
  <c r="L100" i="126"/>
  <c r="L111" i="126" s="1"/>
  <c r="AN121" i="126"/>
  <c r="AN100" i="126"/>
  <c r="Z279" i="126"/>
  <c r="Z303" i="126" s="1"/>
  <c r="Z258" i="126"/>
  <c r="Z269" i="126" s="1"/>
  <c r="V279" i="126"/>
  <c r="V303" i="126" s="1"/>
  <c r="V258" i="126"/>
  <c r="V269" i="126" s="1"/>
  <c r="R279" i="126"/>
  <c r="R303" i="126" s="1"/>
  <c r="R258" i="126"/>
  <c r="R269" i="126" s="1"/>
  <c r="AT279" i="126"/>
  <c r="AT303" i="126" s="1"/>
  <c r="AT258" i="126"/>
  <c r="AT269" i="126" s="1"/>
  <c r="AP279" i="126"/>
  <c r="AP303" i="126" s="1"/>
  <c r="AP258" i="126"/>
  <c r="AP269" i="126" s="1"/>
  <c r="AM47" i="125"/>
  <c r="AM333" i="125"/>
  <c r="AZ47" i="126"/>
  <c r="AZ333" i="126"/>
  <c r="AB211" i="126"/>
  <c r="Z133" i="126"/>
  <c r="Z102" i="126"/>
  <c r="Z113" i="126" s="1"/>
  <c r="V133" i="126"/>
  <c r="V102" i="126"/>
  <c r="V113" i="126" s="1"/>
  <c r="R133" i="126"/>
  <c r="R102" i="126"/>
  <c r="R113" i="126" s="1"/>
  <c r="N133" i="126"/>
  <c r="N102" i="126"/>
  <c r="N113" i="126" s="1"/>
  <c r="J133" i="126"/>
  <c r="J102" i="126"/>
  <c r="J113" i="126" s="1"/>
  <c r="AB23" i="126"/>
  <c r="BG212" i="126"/>
  <c r="BG181" i="126"/>
  <c r="BG192" i="126" s="1"/>
  <c r="BC212" i="126"/>
  <c r="BC181" i="126"/>
  <c r="BC192" i="126" s="1"/>
  <c r="AY212" i="126"/>
  <c r="AY181" i="126"/>
  <c r="AY192" i="126" s="1"/>
  <c r="O212" i="126"/>
  <c r="O181" i="126"/>
  <c r="O192" i="126" s="1"/>
  <c r="K212" i="126"/>
  <c r="K181" i="126"/>
  <c r="K192" i="126" s="1"/>
  <c r="X54" i="126"/>
  <c r="X23" i="126"/>
  <c r="T54" i="126"/>
  <c r="T23" i="126"/>
  <c r="P54" i="126"/>
  <c r="P23" i="126"/>
  <c r="AR54" i="126"/>
  <c r="AR23" i="126"/>
  <c r="AN23" i="126"/>
  <c r="V47" i="126"/>
  <c r="V333" i="126"/>
  <c r="AN214" i="126"/>
  <c r="BE291" i="126"/>
  <c r="BE260" i="126"/>
  <c r="BE271" i="126" s="1"/>
  <c r="BA291" i="126"/>
  <c r="BA260" i="126"/>
  <c r="BA271" i="126" s="1"/>
  <c r="Q291" i="126"/>
  <c r="Q260" i="126"/>
  <c r="Q271" i="126" s="1"/>
  <c r="M291" i="126"/>
  <c r="M260" i="126"/>
  <c r="M271" i="126" s="1"/>
  <c r="I291" i="126"/>
  <c r="I260" i="126"/>
  <c r="I271" i="126" s="1"/>
  <c r="X33" i="126"/>
  <c r="X53" i="126" s="1"/>
  <c r="X329" i="126"/>
  <c r="X340" i="126" s="1"/>
  <c r="T33" i="126"/>
  <c r="T53" i="126" s="1"/>
  <c r="T329" i="126"/>
  <c r="T340" i="126" s="1"/>
  <c r="P33" i="126"/>
  <c r="P53" i="126" s="1"/>
  <c r="P329" i="126"/>
  <c r="P340" i="126" s="1"/>
  <c r="AR33" i="126"/>
  <c r="AR53" i="126" s="1"/>
  <c r="AR329" i="126"/>
  <c r="AR340" i="126" s="1"/>
  <c r="H22" i="126"/>
  <c r="AY47" i="126"/>
  <c r="AY333" i="126"/>
  <c r="BG44" i="126"/>
  <c r="S47" i="126"/>
  <c r="S333" i="126"/>
  <c r="H187" i="126"/>
  <c r="AI187" i="126" s="1"/>
  <c r="H204" i="126"/>
  <c r="H203" i="126"/>
  <c r="H202" i="126"/>
  <c r="AM212" i="125"/>
  <c r="H180" i="126"/>
  <c r="Y42" i="126"/>
  <c r="Y66" i="126" s="1"/>
  <c r="Y21" i="126"/>
  <c r="U21" i="126"/>
  <c r="U42" i="126"/>
  <c r="U66" i="126" s="1"/>
  <c r="Q42" i="126"/>
  <c r="Q66" i="126" s="1"/>
  <c r="Q21" i="126"/>
  <c r="AS42" i="126"/>
  <c r="AS66" i="126" s="1"/>
  <c r="AS21" i="126"/>
  <c r="AO21" i="126"/>
  <c r="AO42" i="126"/>
  <c r="AO66" i="126" s="1"/>
  <c r="AU334" i="126"/>
  <c r="BG202" i="126"/>
  <c r="BG205" i="126" s="1"/>
  <c r="AC22" i="126"/>
  <c r="Y334" i="126"/>
  <c r="Q47" i="126"/>
  <c r="Q333" i="126"/>
  <c r="AB283" i="126"/>
  <c r="AB291" i="126" s="1"/>
  <c r="U335" i="126"/>
  <c r="Y200" i="126"/>
  <c r="Y224" i="126" s="1"/>
  <c r="Y179" i="126"/>
  <c r="Y190" i="126" s="1"/>
  <c r="BA200" i="126"/>
  <c r="BA224" i="126" s="1"/>
  <c r="BA179" i="126"/>
  <c r="BA190" i="126" s="1"/>
  <c r="Q200" i="126"/>
  <c r="Q224" i="126" s="1"/>
  <c r="Q179" i="126"/>
  <c r="Q190" i="126" s="1"/>
  <c r="AS200" i="126"/>
  <c r="AS224" i="126" s="1"/>
  <c r="AS179" i="126"/>
  <c r="AS190" i="126" s="1"/>
  <c r="AO179" i="126"/>
  <c r="AO190" i="126" s="1"/>
  <c r="AO200" i="126"/>
  <c r="AO224" i="126" s="1"/>
  <c r="X121" i="126"/>
  <c r="X145" i="126" s="1"/>
  <c r="X100" i="126"/>
  <c r="X111" i="126" s="1"/>
  <c r="AZ121" i="126"/>
  <c r="AZ145" i="126" s="1"/>
  <c r="AZ100" i="126"/>
  <c r="AZ111" i="126" s="1"/>
  <c r="AV121" i="126"/>
  <c r="AV145" i="126" s="1"/>
  <c r="AV100" i="126"/>
  <c r="AV111" i="126" s="1"/>
  <c r="AR121" i="126"/>
  <c r="AR145" i="126" s="1"/>
  <c r="AR100" i="126"/>
  <c r="AR111" i="126" s="1"/>
  <c r="H121" i="126"/>
  <c r="H100" i="126"/>
  <c r="BE279" i="126"/>
  <c r="BE303" i="126" s="1"/>
  <c r="BE258" i="126"/>
  <c r="BE269" i="126" s="1"/>
  <c r="BA279" i="126"/>
  <c r="BA303" i="126" s="1"/>
  <c r="BA258" i="126"/>
  <c r="BA269" i="126" s="1"/>
  <c r="Q279" i="126"/>
  <c r="Q303" i="126" s="1"/>
  <c r="Q258" i="126"/>
  <c r="Q269" i="126" s="1"/>
  <c r="AS258" i="126"/>
  <c r="AS269" i="126" s="1"/>
  <c r="AS279" i="126"/>
  <c r="AS303" i="126" s="1"/>
  <c r="I258" i="126"/>
  <c r="I269" i="126" s="1"/>
  <c r="I279" i="126"/>
  <c r="I303" i="126" s="1"/>
  <c r="H101" i="126"/>
  <c r="BF133" i="126"/>
  <c r="BF102" i="126"/>
  <c r="BF113" i="126" s="1"/>
  <c r="BB133" i="126"/>
  <c r="BB102" i="126"/>
  <c r="BB113" i="126" s="1"/>
  <c r="AX133" i="126"/>
  <c r="AX102" i="126"/>
  <c r="AX113" i="126" s="1"/>
  <c r="AT133" i="126"/>
  <c r="AT102" i="126"/>
  <c r="AT113" i="126" s="1"/>
  <c r="AP133" i="126"/>
  <c r="AP102" i="126"/>
  <c r="AP113" i="126" s="1"/>
  <c r="BF212" i="126"/>
  <c r="BF181" i="126"/>
  <c r="BF192" i="126" s="1"/>
  <c r="V212" i="126"/>
  <c r="V181" i="126"/>
  <c r="V192" i="126" s="1"/>
  <c r="R212" i="126"/>
  <c r="R181" i="126"/>
  <c r="R192" i="126" s="1"/>
  <c r="N212" i="126"/>
  <c r="N181" i="126"/>
  <c r="N192" i="126" s="1"/>
  <c r="J212" i="126"/>
  <c r="J181" i="126"/>
  <c r="J192" i="126" s="1"/>
  <c r="BD54" i="126"/>
  <c r="BD23" i="126"/>
  <c r="AZ54" i="126"/>
  <c r="AZ23" i="126"/>
  <c r="AV54" i="126"/>
  <c r="AV23" i="126"/>
  <c r="L54" i="126"/>
  <c r="L23" i="126"/>
  <c r="H23" i="126"/>
  <c r="AR47" i="126"/>
  <c r="AR333" i="126"/>
  <c r="AB21" i="126"/>
  <c r="AB42" i="126"/>
  <c r="AB66" i="126" s="1"/>
  <c r="Y291" i="126"/>
  <c r="Y260" i="126"/>
  <c r="Y271" i="126" s="1"/>
  <c r="U291" i="126"/>
  <c r="U260" i="126"/>
  <c r="U271" i="126" s="1"/>
  <c r="AW291" i="126"/>
  <c r="AW260" i="126"/>
  <c r="AW271" i="126" s="1"/>
  <c r="AS291" i="126"/>
  <c r="AS260" i="126"/>
  <c r="AS271" i="126" s="1"/>
  <c r="AO291" i="126"/>
  <c r="AO260" i="126"/>
  <c r="AO271" i="126" s="1"/>
  <c r="BG33" i="126"/>
  <c r="BG53" i="126" s="1"/>
  <c r="BG329" i="126"/>
  <c r="BG340" i="126" s="1"/>
  <c r="W33" i="126"/>
  <c r="W53" i="126" s="1"/>
  <c r="W329" i="126"/>
  <c r="W340" i="126" s="1"/>
  <c r="AY33" i="126"/>
  <c r="AY53" i="126" s="1"/>
  <c r="AY329" i="126"/>
  <c r="AY340" i="126" s="1"/>
  <c r="O33" i="126"/>
  <c r="O53" i="126" s="1"/>
  <c r="O329" i="126"/>
  <c r="O340" i="126" s="1"/>
  <c r="AQ33" i="126"/>
  <c r="AQ53" i="126" s="1"/>
  <c r="AQ329" i="126"/>
  <c r="AQ340" i="126" s="1"/>
  <c r="AN22" i="126"/>
  <c r="Y205" i="126"/>
  <c r="V205" i="126"/>
  <c r="AY335" i="126"/>
  <c r="AB17" i="126"/>
  <c r="AB45" i="126" s="1"/>
  <c r="BH279" i="126"/>
  <c r="BH303" i="126" s="1"/>
  <c r="BH258" i="126"/>
  <c r="BH269" i="126" s="1"/>
  <c r="P205" i="126"/>
  <c r="S335" i="126"/>
  <c r="R205" i="126"/>
  <c r="AX47" i="126"/>
  <c r="AX333" i="126"/>
  <c r="AO284" i="126"/>
  <c r="K334" i="126"/>
  <c r="H266" i="126"/>
  <c r="AI266" i="126" s="1"/>
  <c r="H283" i="126"/>
  <c r="H282" i="126"/>
  <c r="H281" i="126"/>
  <c r="X42" i="126"/>
  <c r="X66" i="126" s="1"/>
  <c r="X21" i="126"/>
  <c r="T21" i="126"/>
  <c r="T42" i="126"/>
  <c r="T66" i="126" s="1"/>
  <c r="P42" i="126"/>
  <c r="P66" i="126" s="1"/>
  <c r="P21" i="126"/>
  <c r="L21" i="126"/>
  <c r="L42" i="126"/>
  <c r="L66" i="126" s="1"/>
  <c r="AN21" i="126"/>
  <c r="AN42" i="126"/>
  <c r="AQ205" i="126"/>
  <c r="AV126" i="126"/>
  <c r="AQ47" i="126"/>
  <c r="AQ333" i="126"/>
  <c r="AU335" i="126"/>
  <c r="AD301" i="126"/>
  <c r="AD302" i="126"/>
  <c r="AD276" i="126"/>
  <c r="AD278" i="126"/>
  <c r="AD293" i="126" s="1"/>
  <c r="AD277" i="126"/>
  <c r="AD252" i="126"/>
  <c r="AD275" i="126"/>
  <c r="AD223" i="126"/>
  <c r="AD199" i="126"/>
  <c r="AD214" i="126" s="1"/>
  <c r="AD197" i="126"/>
  <c r="AD222" i="126"/>
  <c r="AD198" i="126"/>
  <c r="AD196" i="126"/>
  <c r="AD173" i="126"/>
  <c r="AD144" i="126"/>
  <c r="AD143" i="126"/>
  <c r="AD120" i="126"/>
  <c r="AD135" i="126" s="1"/>
  <c r="AD118" i="126"/>
  <c r="AD119" i="126"/>
  <c r="AD117" i="126"/>
  <c r="AD94" i="126"/>
  <c r="AD65" i="126"/>
  <c r="AD40" i="126"/>
  <c r="AD38" i="126"/>
  <c r="AD64" i="126"/>
  <c r="AD41" i="126"/>
  <c r="AD56" i="126" s="1"/>
  <c r="AE8" i="126"/>
  <c r="AD39" i="126"/>
  <c r="AD15" i="126"/>
  <c r="AD249" i="126"/>
  <c r="AD170" i="126"/>
  <c r="AD91" i="126"/>
  <c r="AD12" i="126"/>
  <c r="AC181" i="126"/>
  <c r="AS126" i="126"/>
  <c r="BJ302" i="126"/>
  <c r="BJ301" i="126"/>
  <c r="BJ278" i="126"/>
  <c r="BJ293" i="126" s="1"/>
  <c r="BJ277" i="126"/>
  <c r="BJ275" i="126"/>
  <c r="BJ252" i="126"/>
  <c r="BJ276" i="126"/>
  <c r="BJ222" i="126"/>
  <c r="BJ223" i="126"/>
  <c r="BJ198" i="126"/>
  <c r="BJ196" i="126"/>
  <c r="BJ199" i="126"/>
  <c r="BJ214" i="126" s="1"/>
  <c r="BJ197" i="126"/>
  <c r="BJ173" i="126"/>
  <c r="BJ143" i="126"/>
  <c r="BJ144" i="126"/>
  <c r="BJ119" i="126"/>
  <c r="BJ117" i="126"/>
  <c r="BJ120" i="126"/>
  <c r="BJ135" i="126" s="1"/>
  <c r="BJ118" i="126"/>
  <c r="BJ101" i="126" s="1"/>
  <c r="BJ112" i="126" s="1"/>
  <c r="BJ94" i="126"/>
  <c r="BJ64" i="126"/>
  <c r="BJ41" i="126"/>
  <c r="BJ56" i="126" s="1"/>
  <c r="BJ39" i="126"/>
  <c r="BJ65" i="126"/>
  <c r="BJ40" i="126"/>
  <c r="BK8" i="126"/>
  <c r="BJ38" i="126"/>
  <c r="BJ15" i="126"/>
  <c r="BJ249" i="126"/>
  <c r="BJ91" i="126"/>
  <c r="BJ170" i="126"/>
  <c r="BJ12" i="126"/>
  <c r="BI259" i="126"/>
  <c r="BI270" i="126" s="1"/>
  <c r="U284" i="126"/>
  <c r="Y335" i="126"/>
  <c r="Q335" i="126"/>
  <c r="J205" i="126"/>
  <c r="X200" i="126"/>
  <c r="X224" i="126" s="1"/>
  <c r="X179" i="126"/>
  <c r="X190" i="126" s="1"/>
  <c r="T179" i="126"/>
  <c r="T190" i="126" s="1"/>
  <c r="T200" i="126"/>
  <c r="T224" i="126" s="1"/>
  <c r="P200" i="126"/>
  <c r="P224" i="126" s="1"/>
  <c r="P179" i="126"/>
  <c r="P190" i="126" s="1"/>
  <c r="L200" i="126"/>
  <c r="L224" i="126" s="1"/>
  <c r="L179" i="126"/>
  <c r="L190" i="126" s="1"/>
  <c r="AN179" i="126"/>
  <c r="AN200" i="126"/>
  <c r="BG121" i="126"/>
  <c r="BG145" i="126" s="1"/>
  <c r="BG100" i="126"/>
  <c r="BG111" i="126" s="1"/>
  <c r="BC121" i="126"/>
  <c r="BC145" i="126" s="1"/>
  <c r="BC100" i="126"/>
  <c r="BC111" i="126" s="1"/>
  <c r="AY121" i="126"/>
  <c r="AY145" i="126" s="1"/>
  <c r="AY100" i="126"/>
  <c r="AY111" i="126" s="1"/>
  <c r="O121" i="126"/>
  <c r="O145" i="126" s="1"/>
  <c r="O100" i="126"/>
  <c r="O111" i="126" s="1"/>
  <c r="AQ121" i="126"/>
  <c r="AQ145" i="126" s="1"/>
  <c r="AQ100" i="126"/>
  <c r="AQ111" i="126" s="1"/>
  <c r="G121" i="125"/>
  <c r="G145" i="125" s="1"/>
  <c r="G100" i="125"/>
  <c r="G111" i="125" s="1"/>
  <c r="Y279" i="126"/>
  <c r="Y303" i="126" s="1"/>
  <c r="Y258" i="126"/>
  <c r="Y269" i="126" s="1"/>
  <c r="U279" i="126"/>
  <c r="U303" i="126" s="1"/>
  <c r="U258" i="126"/>
  <c r="U269" i="126" s="1"/>
  <c r="AW279" i="126"/>
  <c r="AW303" i="126" s="1"/>
  <c r="AW258" i="126"/>
  <c r="AW269" i="126" s="1"/>
  <c r="M279" i="126"/>
  <c r="M303" i="126" s="1"/>
  <c r="M258" i="126"/>
  <c r="M269" i="126" s="1"/>
  <c r="AO279" i="126"/>
  <c r="AO303" i="126" s="1"/>
  <c r="AO258" i="126"/>
  <c r="AO269" i="126" s="1"/>
  <c r="Y205" i="124"/>
  <c r="AZ335" i="126"/>
  <c r="AB204" i="126"/>
  <c r="AB212" i="126" s="1"/>
  <c r="BE133" i="126"/>
  <c r="BE102" i="126"/>
  <c r="BE113" i="126" s="1"/>
  <c r="U133" i="126"/>
  <c r="U102" i="126"/>
  <c r="U113" i="126" s="1"/>
  <c r="AW133" i="126"/>
  <c r="AW102" i="126"/>
  <c r="AW113" i="126" s="1"/>
  <c r="M133" i="126"/>
  <c r="M102" i="126"/>
  <c r="M113" i="126" s="1"/>
  <c r="I102" i="126"/>
  <c r="I113" i="126" s="1"/>
  <c r="I133" i="126"/>
  <c r="H29" i="126"/>
  <c r="H46" i="126"/>
  <c r="H54" i="126" s="1"/>
  <c r="H45" i="126"/>
  <c r="H44" i="126"/>
  <c r="I47" i="126"/>
  <c r="I333" i="126"/>
  <c r="AB125" i="126"/>
  <c r="AB133" i="126" s="1"/>
  <c r="BH181" i="126"/>
  <c r="Z212" i="126"/>
  <c r="Z181" i="126"/>
  <c r="Z192" i="126" s="1"/>
  <c r="BB212" i="126"/>
  <c r="BB181" i="126"/>
  <c r="BB192" i="126" s="1"/>
  <c r="AX212" i="126"/>
  <c r="AX181" i="126"/>
  <c r="AX192" i="126" s="1"/>
  <c r="AT212" i="126"/>
  <c r="AT181" i="126"/>
  <c r="AT192" i="126" s="1"/>
  <c r="AP212" i="126"/>
  <c r="AP181" i="126"/>
  <c r="AP192" i="126" s="1"/>
  <c r="BG54" i="126"/>
  <c r="BG23" i="126"/>
  <c r="W54" i="126"/>
  <c r="W23" i="126"/>
  <c r="AY54" i="126"/>
  <c r="AY23" i="126"/>
  <c r="AU54" i="126"/>
  <c r="AU23" i="126"/>
  <c r="K54" i="126"/>
  <c r="K23" i="126"/>
  <c r="G330" i="125"/>
  <c r="G34" i="125"/>
  <c r="AR334" i="126"/>
  <c r="AB25" i="126"/>
  <c r="BH260" i="126"/>
  <c r="X291" i="126"/>
  <c r="X260" i="126"/>
  <c r="X271" i="126" s="1"/>
  <c r="T291" i="126"/>
  <c r="T260" i="126"/>
  <c r="T271" i="126" s="1"/>
  <c r="P291" i="126"/>
  <c r="P260" i="126"/>
  <c r="P271" i="126" s="1"/>
  <c r="L291" i="126"/>
  <c r="L260" i="126"/>
  <c r="L271" i="126" s="1"/>
  <c r="AN260" i="126"/>
  <c r="AA33" i="126"/>
  <c r="AA53" i="126" s="1"/>
  <c r="AA329" i="126"/>
  <c r="AA340" i="126" s="1"/>
  <c r="BC33" i="126"/>
  <c r="BC53" i="126" s="1"/>
  <c r="BC329" i="126"/>
  <c r="BC340" i="126" s="1"/>
  <c r="S33" i="126"/>
  <c r="S53" i="126" s="1"/>
  <c r="S329" i="126"/>
  <c r="S340" i="126" s="1"/>
  <c r="AU33" i="126"/>
  <c r="AU53" i="126" s="1"/>
  <c r="AU329" i="126"/>
  <c r="AU340" i="126" s="1"/>
  <c r="K33" i="126"/>
  <c r="K53" i="126" s="1"/>
  <c r="K329" i="126"/>
  <c r="K340" i="126" s="1"/>
  <c r="AM33" i="125"/>
  <c r="AM53" i="125" s="1"/>
  <c r="AM329" i="125"/>
  <c r="AM340" i="125" s="1"/>
  <c r="AY334" i="126"/>
  <c r="BH121" i="126"/>
  <c r="BH145" i="126" s="1"/>
  <c r="BH100" i="126"/>
  <c r="BH111" i="126" s="1"/>
  <c r="G291" i="125"/>
  <c r="G133" i="125"/>
  <c r="S334" i="126"/>
  <c r="AP126" i="126"/>
  <c r="K126" i="126"/>
  <c r="AX334" i="126"/>
  <c r="R284" i="126"/>
  <c r="BD21" i="126"/>
  <c r="BD42" i="126"/>
  <c r="BD66" i="126" s="1"/>
  <c r="AZ42" i="126"/>
  <c r="AZ66" i="126" s="1"/>
  <c r="AZ21" i="126"/>
  <c r="AV21" i="126"/>
  <c r="AV42" i="126"/>
  <c r="AV66" i="126" s="1"/>
  <c r="AR42" i="126"/>
  <c r="AR66" i="126" s="1"/>
  <c r="AR21" i="126"/>
  <c r="H42" i="126"/>
  <c r="H21" i="126"/>
  <c r="BA284" i="126"/>
  <c r="AQ334" i="126"/>
  <c r="AC100" i="126"/>
  <c r="AC121" i="126"/>
  <c r="AC145" i="126" s="1"/>
  <c r="BI254" i="126"/>
  <c r="G212" i="125"/>
  <c r="O205" i="126"/>
  <c r="Q334" i="126"/>
  <c r="AM291" i="125"/>
  <c r="BD200" i="126"/>
  <c r="BD224" i="126" s="1"/>
  <c r="BD179" i="126"/>
  <c r="BD190" i="126" s="1"/>
  <c r="AZ200" i="126"/>
  <c r="AZ224" i="126" s="1"/>
  <c r="AZ179" i="126"/>
  <c r="AZ190" i="126" s="1"/>
  <c r="AV179" i="126"/>
  <c r="AV190" i="126" s="1"/>
  <c r="AV200" i="126"/>
  <c r="AV224" i="126" s="1"/>
  <c r="AR200" i="126"/>
  <c r="AR224" i="126" s="1"/>
  <c r="AR179" i="126"/>
  <c r="AR190" i="126" s="1"/>
  <c r="H200" i="126"/>
  <c r="H179" i="126"/>
  <c r="AA121" i="126"/>
  <c r="AA145" i="126" s="1"/>
  <c r="AA100" i="126"/>
  <c r="AA111" i="126" s="1"/>
  <c r="W121" i="126"/>
  <c r="W145" i="126" s="1"/>
  <c r="W100" i="126"/>
  <c r="W111" i="126" s="1"/>
  <c r="S121" i="126"/>
  <c r="S145" i="126" s="1"/>
  <c r="S100" i="126"/>
  <c r="S111" i="126" s="1"/>
  <c r="AU121" i="126"/>
  <c r="AU145" i="126" s="1"/>
  <c r="AU100" i="126"/>
  <c r="AU111" i="126" s="1"/>
  <c r="K121" i="126"/>
  <c r="K145" i="126" s="1"/>
  <c r="K100" i="126"/>
  <c r="K111" i="126" s="1"/>
  <c r="AM121" i="125"/>
  <c r="AM145" i="125" s="1"/>
  <c r="AM100" i="125"/>
  <c r="AM111" i="125" s="1"/>
  <c r="BD258" i="126"/>
  <c r="BD269" i="126" s="1"/>
  <c r="BD279" i="126"/>
  <c r="BD303" i="126" s="1"/>
  <c r="T258" i="126"/>
  <c r="T269" i="126" s="1"/>
  <c r="T279" i="126"/>
  <c r="T303" i="126" s="1"/>
  <c r="P279" i="126"/>
  <c r="P303" i="126" s="1"/>
  <c r="P258" i="126"/>
  <c r="P269" i="126" s="1"/>
  <c r="L258" i="126"/>
  <c r="L269" i="126" s="1"/>
  <c r="L279" i="126"/>
  <c r="L303" i="126" s="1"/>
  <c r="G279" i="125"/>
  <c r="G303" i="125" s="1"/>
  <c r="G258" i="125"/>
  <c r="G269" i="125" s="1"/>
  <c r="BE47" i="126"/>
  <c r="J169" i="126"/>
  <c r="J226" i="126" s="1"/>
  <c r="AP169" i="126"/>
  <c r="AP226" i="126" s="1"/>
  <c r="AN133" i="120"/>
  <c r="AN42" i="120"/>
  <c r="AN66" i="120" s="1"/>
  <c r="AX212" i="120"/>
  <c r="BH23" i="126"/>
  <c r="Y102" i="126"/>
  <c r="Y113" i="126" s="1"/>
  <c r="Y133" i="126"/>
  <c r="BA133" i="126"/>
  <c r="BA102" i="126"/>
  <c r="BA113" i="126" s="1"/>
  <c r="Q133" i="126"/>
  <c r="Q102" i="126"/>
  <c r="Q113" i="126" s="1"/>
  <c r="AS133" i="126"/>
  <c r="AS102" i="126"/>
  <c r="AS113" i="126" s="1"/>
  <c r="AO133" i="126"/>
  <c r="AO102" i="126"/>
  <c r="AO113" i="126" s="1"/>
  <c r="I335" i="126"/>
  <c r="AB124" i="126"/>
  <c r="AB104" i="126"/>
  <c r="AB123" i="126" s="1"/>
  <c r="BH42" i="126"/>
  <c r="BH66" i="126" s="1"/>
  <c r="BH21" i="126"/>
  <c r="AN135" i="126"/>
  <c r="BE212" i="126"/>
  <c r="BE181" i="126"/>
  <c r="BE192" i="126" s="1"/>
  <c r="U212" i="126"/>
  <c r="U181" i="126"/>
  <c r="U192" i="126" s="1"/>
  <c r="AW212" i="126"/>
  <c r="AW181" i="126"/>
  <c r="AW192" i="126" s="1"/>
  <c r="AS212" i="126"/>
  <c r="AS181" i="126"/>
  <c r="AS192" i="126" s="1"/>
  <c r="I212" i="126"/>
  <c r="I181" i="126"/>
  <c r="I192" i="126" s="1"/>
  <c r="AA54" i="126"/>
  <c r="AA23" i="126"/>
  <c r="BC54" i="126"/>
  <c r="BC23" i="126"/>
  <c r="S54" i="126"/>
  <c r="S23" i="126"/>
  <c r="O54" i="126"/>
  <c r="O23" i="126"/>
  <c r="AQ54" i="126"/>
  <c r="AQ23" i="126"/>
  <c r="AM23" i="125"/>
  <c r="AM54" i="125"/>
  <c r="AR335" i="126"/>
  <c r="AR126" i="126"/>
  <c r="AB279" i="126"/>
  <c r="AB303" i="126" s="1"/>
  <c r="AB258" i="126"/>
  <c r="AB269" i="126" s="1"/>
  <c r="BH200" i="126"/>
  <c r="BH224" i="126" s="1"/>
  <c r="BH179" i="126"/>
  <c r="BH190" i="126" s="1"/>
  <c r="BD291" i="126"/>
  <c r="BD260" i="126"/>
  <c r="BD271" i="126" s="1"/>
  <c r="AZ291" i="126"/>
  <c r="AZ260" i="126"/>
  <c r="AZ271" i="126" s="1"/>
  <c r="AV291" i="126"/>
  <c r="AV260" i="126"/>
  <c r="AV271" i="126" s="1"/>
  <c r="AR291" i="126"/>
  <c r="AR260" i="126"/>
  <c r="AR271" i="126" s="1"/>
  <c r="H260" i="126"/>
  <c r="BF33" i="126"/>
  <c r="BF53" i="126" s="1"/>
  <c r="BF329" i="126"/>
  <c r="BF340" i="126" s="1"/>
  <c r="BB33" i="126"/>
  <c r="BB53" i="126" s="1"/>
  <c r="BB329" i="126"/>
  <c r="BB340" i="126" s="1"/>
  <c r="R33" i="126"/>
  <c r="R53" i="126" s="1"/>
  <c r="R329" i="126"/>
  <c r="R340" i="126" s="1"/>
  <c r="N33" i="126"/>
  <c r="N53" i="126" s="1"/>
  <c r="N329" i="126"/>
  <c r="N340" i="126" s="1"/>
  <c r="J33" i="126"/>
  <c r="J53" i="126" s="1"/>
  <c r="J329" i="126"/>
  <c r="J340" i="126" s="1"/>
  <c r="AT47" i="126"/>
  <c r="AT333" i="126"/>
  <c r="X47" i="126"/>
  <c r="X333" i="126"/>
  <c r="G333" i="125"/>
  <c r="G126" i="125"/>
  <c r="AX335" i="126"/>
  <c r="BH211" i="126"/>
  <c r="BG42" i="126"/>
  <c r="BG66" i="126" s="1"/>
  <c r="BG21" i="126"/>
  <c r="BC21" i="126"/>
  <c r="BC42" i="126"/>
  <c r="BC66" i="126" s="1"/>
  <c r="AY42" i="126"/>
  <c r="AY66" i="126" s="1"/>
  <c r="AY21" i="126"/>
  <c r="AU21" i="126"/>
  <c r="AU42" i="126"/>
  <c r="AU66" i="126" s="1"/>
  <c r="K21" i="126"/>
  <c r="K42" i="126"/>
  <c r="K66" i="126" s="1"/>
  <c r="G42" i="125"/>
  <c r="G66" i="125" s="1"/>
  <c r="G21" i="125"/>
  <c r="AN187" i="126"/>
  <c r="BO187" i="126" s="1"/>
  <c r="AN203" i="126"/>
  <c r="AN204" i="126"/>
  <c r="AN202" i="126"/>
  <c r="I284" i="126"/>
  <c r="AQ335" i="126"/>
  <c r="AN266" i="126"/>
  <c r="BO266" i="126" s="1"/>
  <c r="AN282" i="126"/>
  <c r="AN283" i="126"/>
  <c r="AN281" i="126"/>
  <c r="AC66" i="126"/>
  <c r="AC200" i="126"/>
  <c r="AC224" i="126" s="1"/>
  <c r="AC179" i="126"/>
  <c r="AC279" i="126"/>
  <c r="AC303" i="126" s="1"/>
  <c r="AC258" i="126"/>
  <c r="BI95" i="126"/>
  <c r="BI96" i="126" s="1"/>
  <c r="BI132" i="126" s="1"/>
  <c r="BI149" i="126" a="1"/>
  <c r="BI149" i="126" s="1"/>
  <c r="BI105" i="126"/>
  <c r="BI106" i="126"/>
  <c r="BI148" i="126" a="1"/>
  <c r="BI148" i="126" s="1"/>
  <c r="BI22" i="126"/>
  <c r="BI279" i="126"/>
  <c r="BI303" i="126" s="1"/>
  <c r="BI258" i="126"/>
  <c r="BD284" i="126"/>
  <c r="AP284" i="126"/>
  <c r="M47" i="126"/>
  <c r="M333" i="126"/>
  <c r="BG179" i="126"/>
  <c r="BG190" i="126" s="1"/>
  <c r="BG200" i="126"/>
  <c r="BG224" i="126" s="1"/>
  <c r="W200" i="126"/>
  <c r="W224" i="126" s="1"/>
  <c r="W179" i="126"/>
  <c r="W190" i="126" s="1"/>
  <c r="AY200" i="126"/>
  <c r="AY224" i="126" s="1"/>
  <c r="AY179" i="126"/>
  <c r="AY190" i="126" s="1"/>
  <c r="O200" i="126"/>
  <c r="O224" i="126" s="1"/>
  <c r="O179" i="126"/>
  <c r="O190" i="126" s="1"/>
  <c r="AQ200" i="126"/>
  <c r="AQ224" i="126" s="1"/>
  <c r="AQ179" i="126"/>
  <c r="AQ190" i="126" s="1"/>
  <c r="G200" i="125"/>
  <c r="G224" i="125" s="1"/>
  <c r="G179" i="125"/>
  <c r="G190" i="125" s="1"/>
  <c r="Z121" i="126"/>
  <c r="Z145" i="126" s="1"/>
  <c r="Z100" i="126"/>
  <c r="Z111" i="126" s="1"/>
  <c r="BB121" i="126"/>
  <c r="BB145" i="126" s="1"/>
  <c r="BB100" i="126"/>
  <c r="BB111" i="126" s="1"/>
  <c r="AX121" i="126"/>
  <c r="AX145" i="126" s="1"/>
  <c r="AX100" i="126"/>
  <c r="AX111" i="126" s="1"/>
  <c r="N121" i="126"/>
  <c r="N145" i="126" s="1"/>
  <c r="N100" i="126"/>
  <c r="N111" i="126" s="1"/>
  <c r="J121" i="126"/>
  <c r="J145" i="126" s="1"/>
  <c r="J100" i="126"/>
  <c r="J111" i="126" s="1"/>
  <c r="X279" i="126"/>
  <c r="X303" i="126" s="1"/>
  <c r="X258" i="126"/>
  <c r="X269" i="126" s="1"/>
  <c r="AZ279" i="126"/>
  <c r="AZ303" i="126" s="1"/>
  <c r="AZ258" i="126"/>
  <c r="AZ269" i="126" s="1"/>
  <c r="AV258" i="126"/>
  <c r="AV269" i="126" s="1"/>
  <c r="AV279" i="126"/>
  <c r="AV303" i="126" s="1"/>
  <c r="AR279" i="126"/>
  <c r="AR303" i="126" s="1"/>
  <c r="AR258" i="126"/>
  <c r="AR269" i="126" s="1"/>
  <c r="H279" i="126"/>
  <c r="H258" i="126"/>
  <c r="J248" i="126"/>
  <c r="J305" i="126" s="1"/>
  <c r="AP248" i="126"/>
  <c r="AP305" i="126" s="1"/>
  <c r="J11" i="126"/>
  <c r="J68" i="126" s="1"/>
  <c r="AP11" i="126"/>
  <c r="AP68" i="126" s="1"/>
  <c r="BE212" i="120"/>
  <c r="AZ284" i="126"/>
  <c r="W284" i="126"/>
  <c r="AU205" i="126"/>
  <c r="AW47" i="126"/>
  <c r="AW333" i="126"/>
  <c r="H259" i="126"/>
  <c r="BD133" i="126"/>
  <c r="BD102" i="126"/>
  <c r="BD113" i="126" s="1"/>
  <c r="AZ133" i="126"/>
  <c r="AZ102" i="126"/>
  <c r="AZ113" i="126" s="1"/>
  <c r="P133" i="126"/>
  <c r="P102" i="126"/>
  <c r="P113" i="126" s="1"/>
  <c r="L133" i="126"/>
  <c r="L102" i="126"/>
  <c r="L113" i="126" s="1"/>
  <c r="H102" i="126"/>
  <c r="AO126" i="126"/>
  <c r="I334" i="126"/>
  <c r="BH203" i="126"/>
  <c r="BH183" i="126"/>
  <c r="BH202" i="126" s="1"/>
  <c r="H135" i="126"/>
  <c r="Y212" i="126"/>
  <c r="Y181" i="126"/>
  <c r="Y192" i="126" s="1"/>
  <c r="BA212" i="126"/>
  <c r="BA181" i="126"/>
  <c r="BA192" i="126" s="1"/>
  <c r="Q212" i="126"/>
  <c r="Q181" i="126"/>
  <c r="Q192" i="126" s="1"/>
  <c r="M181" i="126"/>
  <c r="M192" i="126" s="1"/>
  <c r="M212" i="126"/>
  <c r="AO212" i="126"/>
  <c r="AO181" i="126"/>
  <c r="AO192" i="126" s="1"/>
  <c r="Z54" i="126"/>
  <c r="Z23" i="126"/>
  <c r="BB54" i="126"/>
  <c r="BB23" i="126"/>
  <c r="AX54" i="126"/>
  <c r="AX23" i="126"/>
  <c r="AT54" i="126"/>
  <c r="AT23" i="126"/>
  <c r="J54" i="126"/>
  <c r="J23" i="126"/>
  <c r="X126" i="126"/>
  <c r="BH25" i="126"/>
  <c r="AA260" i="126"/>
  <c r="AA271" i="126" s="1"/>
  <c r="W291" i="126"/>
  <c r="W260" i="126"/>
  <c r="W271" i="126" s="1"/>
  <c r="S291" i="126"/>
  <c r="S260" i="126"/>
  <c r="S271" i="126" s="1"/>
  <c r="O291" i="126"/>
  <c r="O260" i="126"/>
  <c r="O271" i="126" s="1"/>
  <c r="K291" i="126"/>
  <c r="K260" i="126"/>
  <c r="K271" i="126" s="1"/>
  <c r="Z33" i="126"/>
  <c r="Z53" i="126" s="1"/>
  <c r="Z329" i="126"/>
  <c r="Z340" i="126" s="1"/>
  <c r="V33" i="126"/>
  <c r="V53" i="126" s="1"/>
  <c r="V329" i="126"/>
  <c r="V340" i="126" s="1"/>
  <c r="AX33" i="126"/>
  <c r="AX53" i="126" s="1"/>
  <c r="AX329" i="126"/>
  <c r="AX340" i="126" s="1"/>
  <c r="AT33" i="126"/>
  <c r="AT53" i="126" s="1"/>
  <c r="AT329" i="126"/>
  <c r="AT340" i="126" s="1"/>
  <c r="AP33" i="126"/>
  <c r="AP53" i="126" s="1"/>
  <c r="AP329" i="126"/>
  <c r="AP340" i="126" s="1"/>
  <c r="AT334" i="126"/>
  <c r="AM126" i="125"/>
  <c r="H108" i="126"/>
  <c r="AI108" i="126" s="1"/>
  <c r="H125" i="126"/>
  <c r="H133" i="126" s="1"/>
  <c r="H124" i="126"/>
  <c r="H123" i="126"/>
  <c r="BH104" i="126"/>
  <c r="X335" i="126"/>
  <c r="AS205" i="126"/>
  <c r="AN108" i="126"/>
  <c r="BO108" i="126" s="1"/>
  <c r="AN124" i="126"/>
  <c r="AN125" i="126"/>
  <c r="AN123" i="126"/>
  <c r="BH254" i="126"/>
  <c r="BH290" i="126" s="1"/>
  <c r="AW205" i="126"/>
  <c r="N205" i="126"/>
  <c r="AP47" i="126"/>
  <c r="AP333" i="126"/>
  <c r="M126" i="126"/>
  <c r="BH96" i="126"/>
  <c r="BH125" i="126" s="1"/>
  <c r="BH133" i="126" s="1"/>
  <c r="AA21" i="126"/>
  <c r="AA42" i="126"/>
  <c r="AA66" i="126" s="1"/>
  <c r="W42" i="126"/>
  <c r="W66" i="126" s="1"/>
  <c r="W21" i="126"/>
  <c r="S21" i="126"/>
  <c r="S42" i="126"/>
  <c r="S66" i="126" s="1"/>
  <c r="O42" i="126"/>
  <c r="O66" i="126" s="1"/>
  <c r="O21" i="126"/>
  <c r="AQ42" i="126"/>
  <c r="AQ66" i="126" s="1"/>
  <c r="AQ21" i="126"/>
  <c r="AM21" i="125"/>
  <c r="AM42" i="125"/>
  <c r="AM66" i="125" s="1"/>
  <c r="X284" i="126"/>
  <c r="J284" i="126"/>
  <c r="R47" i="126"/>
  <c r="R333" i="126"/>
  <c r="AX284" i="126"/>
  <c r="BG284" i="126"/>
  <c r="AC148" i="126" a="1"/>
  <c r="AC148" i="126" s="1"/>
  <c r="AC106" i="126"/>
  <c r="AC149" i="126" a="1"/>
  <c r="AC149" i="126" s="1"/>
  <c r="AC105" i="126"/>
  <c r="AC95" i="126"/>
  <c r="AC96" i="126" s="1"/>
  <c r="AC132" i="126" s="1"/>
  <c r="AC102" i="126"/>
  <c r="AC260" i="126"/>
  <c r="BI185" i="126"/>
  <c r="BI228" i="126" a="1"/>
  <c r="BI228" i="126" s="1"/>
  <c r="BI227" i="126" a="1"/>
  <c r="BI227" i="126" s="1"/>
  <c r="BI184" i="126"/>
  <c r="BI174" i="126"/>
  <c r="BI175" i="126" s="1"/>
  <c r="BI121" i="126"/>
  <c r="BI145" i="126" s="1"/>
  <c r="BI100" i="126"/>
  <c r="BI200" i="126"/>
  <c r="BI224" i="126" s="1"/>
  <c r="BI179" i="126"/>
  <c r="BI260" i="126"/>
  <c r="M335" i="126"/>
  <c r="T47" i="126"/>
  <c r="T333" i="126"/>
  <c r="AM284" i="125"/>
  <c r="AB282" i="126"/>
  <c r="AB262" i="126"/>
  <c r="AB271" i="126" s="1"/>
  <c r="BH17" i="126"/>
  <c r="BH45" i="126" s="1"/>
  <c r="AA200" i="126"/>
  <c r="AA224" i="126" s="1"/>
  <c r="AA179" i="126"/>
  <c r="AA190" i="126" s="1"/>
  <c r="BC200" i="126"/>
  <c r="BC224" i="126" s="1"/>
  <c r="BC179" i="126"/>
  <c r="BC190" i="126" s="1"/>
  <c r="S200" i="126"/>
  <c r="S224" i="126" s="1"/>
  <c r="S179" i="126"/>
  <c r="S190" i="126" s="1"/>
  <c r="AU200" i="126"/>
  <c r="AU224" i="126" s="1"/>
  <c r="AU179" i="126"/>
  <c r="AU190" i="126" s="1"/>
  <c r="K200" i="126"/>
  <c r="K224" i="126" s="1"/>
  <c r="K179" i="126"/>
  <c r="K190" i="126" s="1"/>
  <c r="AM179" i="125"/>
  <c r="AM190" i="125" s="1"/>
  <c r="AM200" i="125"/>
  <c r="AM224" i="125" s="1"/>
  <c r="BF121" i="126"/>
  <c r="BF145" i="126" s="1"/>
  <c r="BF100" i="126"/>
  <c r="BF111" i="126" s="1"/>
  <c r="V121" i="126"/>
  <c r="V145" i="126" s="1"/>
  <c r="V100" i="126"/>
  <c r="V111" i="126" s="1"/>
  <c r="R121" i="126"/>
  <c r="R145" i="126" s="1"/>
  <c r="R100" i="126"/>
  <c r="R111" i="126" s="1"/>
  <c r="AT121" i="126"/>
  <c r="AT145" i="126" s="1"/>
  <c r="AT100" i="126"/>
  <c r="AT111" i="126" s="1"/>
  <c r="AP121" i="126"/>
  <c r="AP145" i="126" s="1"/>
  <c r="AP100" i="126"/>
  <c r="AP111" i="126" s="1"/>
  <c r="BG279" i="126"/>
  <c r="BG303" i="126" s="1"/>
  <c r="BG258" i="126"/>
  <c r="BG269" i="126" s="1"/>
  <c r="W279" i="126"/>
  <c r="W303" i="126" s="1"/>
  <c r="W258" i="126"/>
  <c r="W269" i="126" s="1"/>
  <c r="S258" i="126"/>
  <c r="S269" i="126" s="1"/>
  <c r="S279" i="126"/>
  <c r="S303" i="126" s="1"/>
  <c r="O279" i="126"/>
  <c r="O303" i="126" s="1"/>
  <c r="O258" i="126"/>
  <c r="O269" i="126" s="1"/>
  <c r="K258" i="126"/>
  <c r="K269" i="126" s="1"/>
  <c r="K279" i="126"/>
  <c r="K303" i="126" s="1"/>
  <c r="AN279" i="126"/>
  <c r="AN258" i="126"/>
  <c r="BB204" i="125"/>
  <c r="BB212" i="125" s="1"/>
  <c r="X334" i="124"/>
  <c r="BF132" i="124"/>
  <c r="BB211" i="125"/>
  <c r="AR334" i="125"/>
  <c r="J290" i="125"/>
  <c r="K175" i="125"/>
  <c r="K203" i="125" s="1"/>
  <c r="K149" i="125"/>
  <c r="K307" i="125"/>
  <c r="BC148" i="125"/>
  <c r="L213" i="125"/>
  <c r="K254" i="125"/>
  <c r="K283" i="125" s="1"/>
  <c r="K291" i="125" s="1"/>
  <c r="L337" i="125"/>
  <c r="L292" i="125"/>
  <c r="BD55" i="125"/>
  <c r="BC70" i="125"/>
  <c r="K17" i="125"/>
  <c r="K46" i="125" s="1"/>
  <c r="K54" i="125" s="1"/>
  <c r="J281" i="125"/>
  <c r="J284" i="125" s="1"/>
  <c r="BD134" i="125"/>
  <c r="BC254" i="125"/>
  <c r="BC290" i="125" s="1"/>
  <c r="BC69" i="125"/>
  <c r="BD337" i="125"/>
  <c r="BC149" i="125"/>
  <c r="BC227" i="125"/>
  <c r="BB123" i="125"/>
  <c r="BB44" i="125"/>
  <c r="K70" i="125"/>
  <c r="L134" i="125"/>
  <c r="K96" i="125"/>
  <c r="K125" i="125" s="1"/>
  <c r="K69" i="125"/>
  <c r="K227" i="125"/>
  <c r="BD292" i="125"/>
  <c r="BC96" i="125"/>
  <c r="BC125" i="125" s="1"/>
  <c r="BC133" i="125" s="1"/>
  <c r="J202" i="125"/>
  <c r="J205" i="125" s="1"/>
  <c r="BB202" i="125"/>
  <c r="BD213" i="125"/>
  <c r="BC306" i="125"/>
  <c r="BC228" i="125"/>
  <c r="BC17" i="125"/>
  <c r="BC46" i="125" s="1"/>
  <c r="K228" i="125"/>
  <c r="K148" i="125"/>
  <c r="J123" i="125"/>
  <c r="BB281" i="125"/>
  <c r="BB284" i="125" s="1"/>
  <c r="BC307" i="125"/>
  <c r="L55" i="125"/>
  <c r="J44" i="125"/>
  <c r="J47" i="125" s="1"/>
  <c r="K306" i="125"/>
  <c r="BC175" i="125"/>
  <c r="BC203" i="125" s="1"/>
  <c r="AQ284" i="125"/>
  <c r="BA205" i="125"/>
  <c r="AT284" i="125"/>
  <c r="AO205" i="125"/>
  <c r="AW284" i="125"/>
  <c r="AU126" i="125"/>
  <c r="BF281" i="120"/>
  <c r="AR335" i="125"/>
  <c r="AW126" i="125"/>
  <c r="AS126" i="125"/>
  <c r="BE284" i="120"/>
  <c r="BA126" i="125"/>
  <c r="AY284" i="125"/>
  <c r="AY205" i="125"/>
  <c r="AQ205" i="125"/>
  <c r="AR205" i="125"/>
  <c r="BA335" i="124"/>
  <c r="AU334" i="125"/>
  <c r="AZ284" i="125"/>
  <c r="BA334" i="124"/>
  <c r="AQ126" i="125"/>
  <c r="AU335" i="125"/>
  <c r="AU284" i="125"/>
  <c r="Y126" i="124"/>
  <c r="AT205" i="125"/>
  <c r="J248" i="125"/>
  <c r="J305" i="125" s="1"/>
  <c r="AP248" i="125"/>
  <c r="AP305" i="125" s="1"/>
  <c r="BA133" i="120"/>
  <c r="BH180" i="120"/>
  <c r="BH191" i="120" s="1"/>
  <c r="AW291" i="120"/>
  <c r="AP291" i="120"/>
  <c r="AD301" i="125"/>
  <c r="AD302" i="125"/>
  <c r="AD277" i="125"/>
  <c r="AD275" i="125"/>
  <c r="AD276" i="125"/>
  <c r="AD259" i="125" s="1"/>
  <c r="AD270" i="125" s="1"/>
  <c r="AD278" i="125"/>
  <c r="AD293" i="125" s="1"/>
  <c r="AD223" i="125"/>
  <c r="AD222" i="125"/>
  <c r="AD199" i="125"/>
  <c r="AD214" i="125" s="1"/>
  <c r="AD197" i="125"/>
  <c r="AD180" i="125" s="1"/>
  <c r="AD191" i="125" s="1"/>
  <c r="AD252" i="125"/>
  <c r="AD198" i="125"/>
  <c r="AD196" i="125"/>
  <c r="AD173" i="125"/>
  <c r="AD143" i="125"/>
  <c r="AD120" i="125"/>
  <c r="AD135" i="125" s="1"/>
  <c r="AD118" i="125"/>
  <c r="AD144" i="125"/>
  <c r="AD119" i="125"/>
  <c r="AD117" i="125"/>
  <c r="AD94" i="125"/>
  <c r="AD64" i="125"/>
  <c r="AE8" i="125"/>
  <c r="AD40" i="125"/>
  <c r="AD38" i="125"/>
  <c r="AD65" i="125"/>
  <c r="AD15" i="125"/>
  <c r="AD41" i="125"/>
  <c r="AD56" i="125" s="1"/>
  <c r="AD39" i="125"/>
  <c r="AC101" i="125"/>
  <c r="AC112" i="125" s="1"/>
  <c r="AC180" i="125"/>
  <c r="AC191" i="125" s="1"/>
  <c r="AC259" i="125"/>
  <c r="AC270" i="125" s="1"/>
  <c r="AX284" i="125"/>
  <c r="AS205" i="125"/>
  <c r="X42" i="125"/>
  <c r="X66" i="125" s="1"/>
  <c r="X21" i="125"/>
  <c r="AZ42" i="125"/>
  <c r="AZ66" i="125" s="1"/>
  <c r="AZ21" i="125"/>
  <c r="P42" i="125"/>
  <c r="P66" i="125" s="1"/>
  <c r="P21" i="125"/>
  <c r="AR42" i="125"/>
  <c r="AR66" i="125" s="1"/>
  <c r="AR21" i="125"/>
  <c r="H42" i="125"/>
  <c r="H21" i="125"/>
  <c r="BD279" i="125"/>
  <c r="BD303" i="125" s="1"/>
  <c r="BD258" i="125"/>
  <c r="T279" i="125"/>
  <c r="T303" i="125" s="1"/>
  <c r="T258" i="125"/>
  <c r="P258" i="125"/>
  <c r="P279" i="125"/>
  <c r="P303" i="125" s="1"/>
  <c r="AR279" i="125"/>
  <c r="AR303" i="125" s="1"/>
  <c r="AR258" i="125"/>
  <c r="AR269" i="125" s="1"/>
  <c r="H279" i="125"/>
  <c r="H258" i="125"/>
  <c r="H282" i="125"/>
  <c r="H283" i="125"/>
  <c r="H281" i="125"/>
  <c r="I284" i="125"/>
  <c r="AQ335" i="125"/>
  <c r="BD200" i="125"/>
  <c r="BD224" i="125" s="1"/>
  <c r="BD179" i="125"/>
  <c r="T200" i="125"/>
  <c r="T224" i="125" s="1"/>
  <c r="T179" i="125"/>
  <c r="AV200" i="125"/>
  <c r="AV224" i="125" s="1"/>
  <c r="AV179" i="125"/>
  <c r="AV190" i="125" s="1"/>
  <c r="L200" i="125"/>
  <c r="L224" i="125" s="1"/>
  <c r="L179" i="125"/>
  <c r="AN179" i="125"/>
  <c r="AN200" i="125"/>
  <c r="BE121" i="125"/>
  <c r="BE145" i="125" s="1"/>
  <c r="BE100" i="125"/>
  <c r="U121" i="125"/>
  <c r="U145" i="125" s="1"/>
  <c r="U100" i="125"/>
  <c r="Q121" i="125"/>
  <c r="Q145" i="125" s="1"/>
  <c r="Q100" i="125"/>
  <c r="M121" i="125"/>
  <c r="M145" i="125" s="1"/>
  <c r="M100" i="125"/>
  <c r="AO100" i="125"/>
  <c r="AO111" i="125" s="1"/>
  <c r="AO121" i="125"/>
  <c r="AO145" i="125" s="1"/>
  <c r="Z181" i="125"/>
  <c r="V181" i="125"/>
  <c r="AX212" i="125"/>
  <c r="AX181" i="125"/>
  <c r="AX192" i="125" s="1"/>
  <c r="AT212" i="125"/>
  <c r="AT181" i="125"/>
  <c r="AT192" i="125" s="1"/>
  <c r="AP212" i="125"/>
  <c r="AP181" i="125"/>
  <c r="AP192" i="125" s="1"/>
  <c r="AX126" i="125"/>
  <c r="AS335" i="125"/>
  <c r="AZ126" i="125"/>
  <c r="H259" i="125"/>
  <c r="AU205" i="125"/>
  <c r="AT126" i="125"/>
  <c r="AW334" i="125"/>
  <c r="AP47" i="125"/>
  <c r="AP333" i="125"/>
  <c r="BI101" i="125"/>
  <c r="BI112" i="125" s="1"/>
  <c r="BI181" i="125"/>
  <c r="BI260" i="125"/>
  <c r="BG260" i="125"/>
  <c r="BC260" i="125"/>
  <c r="AY291" i="125"/>
  <c r="AY260" i="125"/>
  <c r="AY271" i="125" s="1"/>
  <c r="AU291" i="125"/>
  <c r="AU260" i="125"/>
  <c r="AU271" i="125" s="1"/>
  <c r="K260" i="125"/>
  <c r="Y102" i="125"/>
  <c r="BA133" i="125"/>
  <c r="BA102" i="125"/>
  <c r="BA113" i="125" s="1"/>
  <c r="Q102" i="125"/>
  <c r="M102" i="125"/>
  <c r="AO133" i="125"/>
  <c r="AO102" i="125"/>
  <c r="AO113" i="125" s="1"/>
  <c r="BE23" i="125"/>
  <c r="BA54" i="125"/>
  <c r="BA23" i="125"/>
  <c r="AW23" i="125"/>
  <c r="AW54" i="125"/>
  <c r="AS54" i="125"/>
  <c r="AS23" i="125"/>
  <c r="I54" i="125"/>
  <c r="I23" i="125"/>
  <c r="BH279" i="125"/>
  <c r="BH303" i="125" s="1"/>
  <c r="BH258" i="125"/>
  <c r="H293" i="125"/>
  <c r="X33" i="125"/>
  <c r="X329" i="125"/>
  <c r="X340" i="125" s="1"/>
  <c r="AZ33" i="125"/>
  <c r="AZ53" i="125" s="1"/>
  <c r="AZ329" i="125"/>
  <c r="AZ340" i="125" s="1"/>
  <c r="AV33" i="125"/>
  <c r="AV53" i="125" s="1"/>
  <c r="AV329" i="125"/>
  <c r="AV340" i="125" s="1"/>
  <c r="AR33" i="125"/>
  <c r="AR53" i="125" s="1"/>
  <c r="AR329" i="125"/>
  <c r="AR340" i="125" s="1"/>
  <c r="AN22" i="125"/>
  <c r="AY133" i="120"/>
  <c r="P334" i="124"/>
  <c r="AV205" i="125"/>
  <c r="AA21" i="125"/>
  <c r="AA42" i="125"/>
  <c r="AA66" i="125" s="1"/>
  <c r="BC21" i="125"/>
  <c r="BC42" i="125"/>
  <c r="BC66" i="125" s="1"/>
  <c r="S21" i="125"/>
  <c r="S42" i="125"/>
  <c r="S66" i="125" s="1"/>
  <c r="O42" i="125"/>
  <c r="O66" i="125" s="1"/>
  <c r="O21" i="125"/>
  <c r="AQ42" i="125"/>
  <c r="AQ66" i="125" s="1"/>
  <c r="AQ21" i="125"/>
  <c r="AA279" i="125"/>
  <c r="AA303" i="125" s="1"/>
  <c r="AA258" i="125"/>
  <c r="W279" i="125"/>
  <c r="W303" i="125" s="1"/>
  <c r="W258" i="125"/>
  <c r="S279" i="125"/>
  <c r="S303" i="125" s="1"/>
  <c r="S258" i="125"/>
  <c r="O279" i="125"/>
  <c r="O303" i="125" s="1"/>
  <c r="O258" i="125"/>
  <c r="K279" i="125"/>
  <c r="K303" i="125" s="1"/>
  <c r="K258" i="125"/>
  <c r="K269" i="125" s="1"/>
  <c r="AN45" i="125"/>
  <c r="AN46" i="125"/>
  <c r="AN54" i="125" s="1"/>
  <c r="AN44" i="125"/>
  <c r="AP126" i="125"/>
  <c r="AO47" i="125"/>
  <c r="AO333" i="125"/>
  <c r="X200" i="125"/>
  <c r="X224" i="125" s="1"/>
  <c r="X179" i="125"/>
  <c r="AZ200" i="125"/>
  <c r="AZ224" i="125" s="1"/>
  <c r="AZ179" i="125"/>
  <c r="AZ190" i="125" s="1"/>
  <c r="P200" i="125"/>
  <c r="P224" i="125" s="1"/>
  <c r="P179" i="125"/>
  <c r="AR200" i="125"/>
  <c r="AR224" i="125" s="1"/>
  <c r="AR179" i="125"/>
  <c r="AR190" i="125" s="1"/>
  <c r="H200" i="125"/>
  <c r="H179" i="125"/>
  <c r="AN56" i="125"/>
  <c r="Y121" i="125"/>
  <c r="Y145" i="125" s="1"/>
  <c r="Y100" i="125"/>
  <c r="BA121" i="125"/>
  <c r="BA145" i="125" s="1"/>
  <c r="BA100" i="125"/>
  <c r="BA111" i="125" s="1"/>
  <c r="AW121" i="125"/>
  <c r="AW145" i="125" s="1"/>
  <c r="AW100" i="125"/>
  <c r="AW111" i="125" s="1"/>
  <c r="AS121" i="125"/>
  <c r="AS145" i="125" s="1"/>
  <c r="AS100" i="125"/>
  <c r="AS111" i="125" s="1"/>
  <c r="I121" i="125"/>
  <c r="I145" i="125" s="1"/>
  <c r="I100" i="125"/>
  <c r="I111" i="125" s="1"/>
  <c r="BE181" i="125"/>
  <c r="U181" i="125"/>
  <c r="AW212" i="125"/>
  <c r="AW181" i="125"/>
  <c r="AW192" i="125" s="1"/>
  <c r="AS212" i="125"/>
  <c r="AS181" i="125"/>
  <c r="AS192" i="125" s="1"/>
  <c r="I212" i="125"/>
  <c r="I181" i="125"/>
  <c r="I192" i="125" s="1"/>
  <c r="AS334" i="125"/>
  <c r="AN259" i="125"/>
  <c r="AN101" i="125"/>
  <c r="AN135" i="125"/>
  <c r="AB260" i="125"/>
  <c r="BH42" i="125"/>
  <c r="BH66" i="125" s="1"/>
  <c r="BH21" i="125"/>
  <c r="I205" i="125"/>
  <c r="AP335" i="125"/>
  <c r="BI102" i="125"/>
  <c r="Z260" i="125"/>
  <c r="BB291" i="125"/>
  <c r="BB260" i="125"/>
  <c r="BB271" i="125" s="1"/>
  <c r="AX291" i="125"/>
  <c r="AX260" i="125"/>
  <c r="AX271" i="125" s="1"/>
  <c r="N260" i="125"/>
  <c r="AP291" i="125"/>
  <c r="AP260" i="125"/>
  <c r="AP271" i="125" s="1"/>
  <c r="AV284" i="125"/>
  <c r="AV47" i="125"/>
  <c r="AV333" i="125"/>
  <c r="X102" i="125"/>
  <c r="AZ133" i="125"/>
  <c r="AZ102" i="125"/>
  <c r="AZ113" i="125" s="1"/>
  <c r="AV133" i="125"/>
  <c r="AV102" i="125"/>
  <c r="AV113" i="125" s="1"/>
  <c r="AR133" i="125"/>
  <c r="AR102" i="125"/>
  <c r="AR113" i="125" s="1"/>
  <c r="H102" i="125"/>
  <c r="BD23" i="125"/>
  <c r="AZ54" i="125"/>
  <c r="AZ23" i="125"/>
  <c r="P23" i="125"/>
  <c r="L23" i="125"/>
  <c r="H23" i="125"/>
  <c r="AX47" i="125"/>
  <c r="AX333" i="125"/>
  <c r="BA47" i="125"/>
  <c r="BA333" i="125"/>
  <c r="AN293" i="125"/>
  <c r="BD33" i="125"/>
  <c r="BD329" i="125"/>
  <c r="BD340" i="125" s="1"/>
  <c r="T33" i="125"/>
  <c r="T329" i="125"/>
  <c r="T340" i="125" s="1"/>
  <c r="P33" i="125"/>
  <c r="P329" i="125"/>
  <c r="P340" i="125" s="1"/>
  <c r="L33" i="125"/>
  <c r="L329" i="125"/>
  <c r="L340" i="125" s="1"/>
  <c r="H22" i="125"/>
  <c r="AB279" i="125"/>
  <c r="AB303" i="125" s="1"/>
  <c r="AP169" i="125"/>
  <c r="AP226" i="125" s="1"/>
  <c r="J169" i="125"/>
  <c r="J226" i="125" s="1"/>
  <c r="BH33" i="125"/>
  <c r="BH329" i="125"/>
  <c r="BH340" i="125" s="1"/>
  <c r="BG42" i="125"/>
  <c r="BG66" i="125" s="1"/>
  <c r="BG21" i="125"/>
  <c r="W42" i="125"/>
  <c r="W66" i="125" s="1"/>
  <c r="W21" i="125"/>
  <c r="AY42" i="125"/>
  <c r="AY66" i="125" s="1"/>
  <c r="AY21" i="125"/>
  <c r="AU21" i="125"/>
  <c r="AU42" i="125"/>
  <c r="AU66" i="125" s="1"/>
  <c r="K21" i="125"/>
  <c r="K42" i="125"/>
  <c r="K66" i="125" s="1"/>
  <c r="BG279" i="125"/>
  <c r="BG303" i="125" s="1"/>
  <c r="BG258" i="125"/>
  <c r="BC279" i="125"/>
  <c r="BC303" i="125" s="1"/>
  <c r="BC258" i="125"/>
  <c r="BC269" i="125" s="1"/>
  <c r="AY279" i="125"/>
  <c r="AY303" i="125" s="1"/>
  <c r="AY258" i="125"/>
  <c r="AY269" i="125" s="1"/>
  <c r="AU279" i="125"/>
  <c r="AU303" i="125" s="1"/>
  <c r="AU258" i="125"/>
  <c r="AU269" i="125" s="1"/>
  <c r="AQ279" i="125"/>
  <c r="AQ303" i="125" s="1"/>
  <c r="AQ258" i="125"/>
  <c r="AQ269" i="125" s="1"/>
  <c r="AO334" i="125"/>
  <c r="AW205" i="125"/>
  <c r="AA179" i="125"/>
  <c r="AA200" i="125"/>
  <c r="AA224" i="125" s="1"/>
  <c r="BC200" i="125"/>
  <c r="BC224" i="125" s="1"/>
  <c r="BC179" i="125"/>
  <c r="BC190" i="125" s="1"/>
  <c r="S200" i="125"/>
  <c r="S224" i="125" s="1"/>
  <c r="S179" i="125"/>
  <c r="O179" i="125"/>
  <c r="O200" i="125"/>
  <c r="O224" i="125" s="1"/>
  <c r="K200" i="125"/>
  <c r="K224" i="125" s="1"/>
  <c r="K179" i="125"/>
  <c r="K190" i="125" s="1"/>
  <c r="H56" i="125"/>
  <c r="BD121" i="125"/>
  <c r="BD145" i="125" s="1"/>
  <c r="BD100" i="125"/>
  <c r="AZ121" i="125"/>
  <c r="AZ145" i="125" s="1"/>
  <c r="AZ100" i="125"/>
  <c r="AZ111" i="125" s="1"/>
  <c r="P121" i="125"/>
  <c r="P145" i="125" s="1"/>
  <c r="P100" i="125"/>
  <c r="L121" i="125"/>
  <c r="L145" i="125" s="1"/>
  <c r="L100" i="125"/>
  <c r="H121" i="125"/>
  <c r="H100" i="125"/>
  <c r="Y181" i="125"/>
  <c r="BA212" i="125"/>
  <c r="BA181" i="125"/>
  <c r="BA192" i="125" s="1"/>
  <c r="Q181" i="125"/>
  <c r="M181" i="125"/>
  <c r="AO212" i="125"/>
  <c r="AO181" i="125"/>
  <c r="AO192" i="125" s="1"/>
  <c r="I47" i="125"/>
  <c r="I333" i="125"/>
  <c r="H101" i="125"/>
  <c r="H135" i="125"/>
  <c r="AN204" i="125"/>
  <c r="AN212" i="125" s="1"/>
  <c r="AN203" i="125"/>
  <c r="AN202" i="125"/>
  <c r="AY47" i="125"/>
  <c r="AY333" i="125"/>
  <c r="AP334" i="125"/>
  <c r="BJ301" i="125"/>
  <c r="BJ278" i="125"/>
  <c r="BJ293" i="125" s="1"/>
  <c r="BJ276" i="125"/>
  <c r="BJ302" i="125"/>
  <c r="BJ275" i="125"/>
  <c r="BJ277" i="125"/>
  <c r="BJ252" i="125"/>
  <c r="BJ222" i="125"/>
  <c r="BJ223" i="125"/>
  <c r="BJ199" i="125"/>
  <c r="BJ214" i="125" s="1"/>
  <c r="BJ198" i="125"/>
  <c r="BJ196" i="125"/>
  <c r="BJ197" i="125"/>
  <c r="BJ144" i="125"/>
  <c r="BJ173" i="125"/>
  <c r="BJ119" i="125"/>
  <c r="BJ117" i="125"/>
  <c r="BJ120" i="125"/>
  <c r="BJ135" i="125" s="1"/>
  <c r="BJ118" i="125"/>
  <c r="BJ143" i="125"/>
  <c r="BJ94" i="125"/>
  <c r="BJ65" i="125"/>
  <c r="BJ41" i="125"/>
  <c r="BJ56" i="125" s="1"/>
  <c r="BJ39" i="125"/>
  <c r="BJ22" i="125" s="1"/>
  <c r="BJ64" i="125"/>
  <c r="BJ40" i="125"/>
  <c r="BJ38" i="125"/>
  <c r="BK8" i="125"/>
  <c r="BJ15" i="125"/>
  <c r="BF260" i="125"/>
  <c r="V260" i="125"/>
  <c r="R260" i="125"/>
  <c r="AT291" i="125"/>
  <c r="AT260" i="125"/>
  <c r="AT271" i="125" s="1"/>
  <c r="J291" i="125"/>
  <c r="J260" i="125"/>
  <c r="J271" i="125" s="1"/>
  <c r="AV335" i="125"/>
  <c r="BD102" i="125"/>
  <c r="T102" i="125"/>
  <c r="P102" i="125"/>
  <c r="L102" i="125"/>
  <c r="AN102" i="125"/>
  <c r="X23" i="125"/>
  <c r="T23" i="125"/>
  <c r="AV54" i="125"/>
  <c r="AV23" i="125"/>
  <c r="AR54" i="125"/>
  <c r="AR23" i="125"/>
  <c r="AN23" i="125"/>
  <c r="AX335" i="125"/>
  <c r="BA335" i="125"/>
  <c r="BG33" i="125"/>
  <c r="BG329" i="125"/>
  <c r="BG340" i="125" s="1"/>
  <c r="W33" i="125"/>
  <c r="W329" i="125"/>
  <c r="W340" i="125" s="1"/>
  <c r="AY33" i="125"/>
  <c r="AY53" i="125" s="1"/>
  <c r="AY329" i="125"/>
  <c r="AY340" i="125" s="1"/>
  <c r="AU33" i="125"/>
  <c r="AU53" i="125" s="1"/>
  <c r="AU329" i="125"/>
  <c r="AU340" i="125" s="1"/>
  <c r="K33" i="125"/>
  <c r="K329" i="125"/>
  <c r="K340" i="125" s="1"/>
  <c r="J11" i="125"/>
  <c r="J68" i="125" s="1"/>
  <c r="AP11" i="125"/>
  <c r="AP68" i="125" s="1"/>
  <c r="H45" i="125"/>
  <c r="H46" i="125"/>
  <c r="H44" i="125"/>
  <c r="AC22" i="125"/>
  <c r="AC102" i="125"/>
  <c r="AU47" i="125"/>
  <c r="AU333" i="125"/>
  <c r="Z21" i="125"/>
  <c r="Z42" i="125"/>
  <c r="Z66" i="125" s="1"/>
  <c r="BB21" i="125"/>
  <c r="BB42" i="125"/>
  <c r="BB66" i="125" s="1"/>
  <c r="R21" i="125"/>
  <c r="R42" i="125"/>
  <c r="R66" i="125" s="1"/>
  <c r="N42" i="125"/>
  <c r="N66" i="125" s="1"/>
  <c r="N21" i="125"/>
  <c r="J21" i="125"/>
  <c r="J42" i="125"/>
  <c r="J66" i="125" s="1"/>
  <c r="BF279" i="125"/>
  <c r="BF303" i="125" s="1"/>
  <c r="BF258" i="125"/>
  <c r="V279" i="125"/>
  <c r="V303" i="125" s="1"/>
  <c r="V258" i="125"/>
  <c r="R279" i="125"/>
  <c r="R303" i="125" s="1"/>
  <c r="R258" i="125"/>
  <c r="N279" i="125"/>
  <c r="N303" i="125" s="1"/>
  <c r="N258" i="125"/>
  <c r="AP279" i="125"/>
  <c r="AP303" i="125" s="1"/>
  <c r="AP258" i="125"/>
  <c r="AP269" i="125" s="1"/>
  <c r="AO335" i="125"/>
  <c r="BG200" i="125"/>
  <c r="BG224" i="125" s="1"/>
  <c r="BG179" i="125"/>
  <c r="W200" i="125"/>
  <c r="W224" i="125" s="1"/>
  <c r="W179" i="125"/>
  <c r="AY200" i="125"/>
  <c r="AY224" i="125" s="1"/>
  <c r="AY179" i="125"/>
  <c r="AY190" i="125" s="1"/>
  <c r="AU200" i="125"/>
  <c r="AU224" i="125" s="1"/>
  <c r="AU179" i="125"/>
  <c r="AU190" i="125" s="1"/>
  <c r="AQ200" i="125"/>
  <c r="AQ224" i="125" s="1"/>
  <c r="AQ179" i="125"/>
  <c r="AQ190" i="125" s="1"/>
  <c r="X121" i="125"/>
  <c r="X145" i="125" s="1"/>
  <c r="X100" i="125"/>
  <c r="T121" i="125"/>
  <c r="T145" i="125" s="1"/>
  <c r="T100" i="125"/>
  <c r="AV121" i="125"/>
  <c r="AV145" i="125" s="1"/>
  <c r="AV100" i="125"/>
  <c r="AV111" i="125" s="1"/>
  <c r="AR121" i="125"/>
  <c r="AR145" i="125" s="1"/>
  <c r="AR100" i="125"/>
  <c r="AR111" i="125" s="1"/>
  <c r="AN121" i="125"/>
  <c r="AN100" i="125"/>
  <c r="BD181" i="125"/>
  <c r="T181" i="125"/>
  <c r="AV212" i="125"/>
  <c r="AV181" i="125"/>
  <c r="AV192" i="125" s="1"/>
  <c r="AR212" i="125"/>
  <c r="AR181" i="125"/>
  <c r="AR192" i="125" s="1"/>
  <c r="AN181" i="125"/>
  <c r="I335" i="125"/>
  <c r="AT47" i="125"/>
  <c r="AT333" i="125"/>
  <c r="AY335" i="125"/>
  <c r="H204" i="125"/>
  <c r="H212" i="125" s="1"/>
  <c r="H203" i="125"/>
  <c r="H202" i="125"/>
  <c r="BE260" i="125"/>
  <c r="U260" i="125"/>
  <c r="AW291" i="125"/>
  <c r="AW260" i="125"/>
  <c r="AW271" i="125" s="1"/>
  <c r="AS291" i="125"/>
  <c r="AS260" i="125"/>
  <c r="AS271" i="125" s="1"/>
  <c r="I291" i="125"/>
  <c r="I260" i="125"/>
  <c r="I271" i="125" s="1"/>
  <c r="AV334" i="125"/>
  <c r="AA102" i="125"/>
  <c r="BC102" i="125"/>
  <c r="S102" i="125"/>
  <c r="O102" i="125"/>
  <c r="AQ133" i="125"/>
  <c r="AQ102" i="125"/>
  <c r="AQ113" i="125" s="1"/>
  <c r="BG23" i="125"/>
  <c r="W23" i="125"/>
  <c r="S23" i="125"/>
  <c r="O23" i="125"/>
  <c r="AQ23" i="125"/>
  <c r="AQ54" i="125"/>
  <c r="AX334" i="125"/>
  <c r="BA334" i="125"/>
  <c r="AA33" i="125"/>
  <c r="AA329" i="125"/>
  <c r="AA340" i="125" s="1"/>
  <c r="BC33" i="125"/>
  <c r="BC329" i="125"/>
  <c r="BC340" i="125" s="1"/>
  <c r="S33" i="125"/>
  <c r="S329" i="125"/>
  <c r="S340" i="125" s="1"/>
  <c r="O33" i="125"/>
  <c r="O329" i="125"/>
  <c r="O340" i="125" s="1"/>
  <c r="AQ33" i="125"/>
  <c r="AQ53" i="125" s="1"/>
  <c r="AQ329" i="125"/>
  <c r="AQ340" i="125" s="1"/>
  <c r="BH121" i="125"/>
  <c r="BH145" i="125" s="1"/>
  <c r="AP90" i="125"/>
  <c r="AP147" i="125" s="1"/>
  <c r="J90" i="125"/>
  <c r="J147" i="125" s="1"/>
  <c r="AO287" i="120"/>
  <c r="AO267" i="120" s="1"/>
  <c r="AZ126" i="124"/>
  <c r="N126" i="124"/>
  <c r="AV284" i="120"/>
  <c r="AR284" i="124"/>
  <c r="BF42" i="125"/>
  <c r="BF66" i="125" s="1"/>
  <c r="BF21" i="125"/>
  <c r="V42" i="125"/>
  <c r="V66" i="125" s="1"/>
  <c r="V21" i="125"/>
  <c r="AX42" i="125"/>
  <c r="AX66" i="125" s="1"/>
  <c r="AX21" i="125"/>
  <c r="AT21" i="125"/>
  <c r="AT42" i="125"/>
  <c r="AT66" i="125" s="1"/>
  <c r="AP42" i="125"/>
  <c r="AP66" i="125" s="1"/>
  <c r="AP21" i="125"/>
  <c r="Z279" i="125"/>
  <c r="Z303" i="125" s="1"/>
  <c r="Z258" i="125"/>
  <c r="BB279" i="125"/>
  <c r="BB303" i="125" s="1"/>
  <c r="BB258" i="125"/>
  <c r="BB269" i="125" s="1"/>
  <c r="AX279" i="125"/>
  <c r="AX303" i="125" s="1"/>
  <c r="AX258" i="125"/>
  <c r="AX269" i="125" s="1"/>
  <c r="AT279" i="125"/>
  <c r="AT303" i="125" s="1"/>
  <c r="AT258" i="125"/>
  <c r="AT269" i="125" s="1"/>
  <c r="J279" i="125"/>
  <c r="J303" i="125" s="1"/>
  <c r="J258" i="125"/>
  <c r="J269" i="125" s="1"/>
  <c r="AV126" i="125"/>
  <c r="AP284" i="125"/>
  <c r="BF200" i="125"/>
  <c r="BF224" i="125" s="1"/>
  <c r="BF179" i="125"/>
  <c r="BB200" i="125"/>
  <c r="BB224" i="125" s="1"/>
  <c r="BB179" i="125"/>
  <c r="BB190" i="125" s="1"/>
  <c r="R200" i="125"/>
  <c r="R224" i="125" s="1"/>
  <c r="R179" i="125"/>
  <c r="N200" i="125"/>
  <c r="N224" i="125" s="1"/>
  <c r="N179" i="125"/>
  <c r="AP200" i="125"/>
  <c r="AP224" i="125" s="1"/>
  <c r="AP179" i="125"/>
  <c r="AP190" i="125" s="1"/>
  <c r="AA121" i="125"/>
  <c r="AA145" i="125" s="1"/>
  <c r="AA100" i="125"/>
  <c r="BC121" i="125"/>
  <c r="BC145" i="125" s="1"/>
  <c r="BC100" i="125"/>
  <c r="BC111" i="125" s="1"/>
  <c r="AY121" i="125"/>
  <c r="AY145" i="125" s="1"/>
  <c r="AY100" i="125"/>
  <c r="AY111" i="125" s="1"/>
  <c r="O121" i="125"/>
  <c r="O145" i="125" s="1"/>
  <c r="O100" i="125"/>
  <c r="AQ121" i="125"/>
  <c r="AQ145" i="125" s="1"/>
  <c r="AQ100" i="125"/>
  <c r="AQ111" i="125" s="1"/>
  <c r="X181" i="125"/>
  <c r="AZ212" i="125"/>
  <c r="AZ181" i="125"/>
  <c r="AZ192" i="125" s="1"/>
  <c r="P181" i="125"/>
  <c r="L181" i="125"/>
  <c r="H181" i="125"/>
  <c r="AN214" i="125"/>
  <c r="AY126" i="125"/>
  <c r="AZ47" i="125"/>
  <c r="AZ333" i="125"/>
  <c r="I334" i="125"/>
  <c r="AT335" i="125"/>
  <c r="AY334" i="125"/>
  <c r="BI21" i="125"/>
  <c r="BI42" i="125"/>
  <c r="BI66" i="125" s="1"/>
  <c r="BI259" i="125"/>
  <c r="BI270" i="125" s="1"/>
  <c r="Y260" i="125"/>
  <c r="BA291" i="125"/>
  <c r="BA260" i="125"/>
  <c r="BA271" i="125" s="1"/>
  <c r="Q260" i="125"/>
  <c r="M260" i="125"/>
  <c r="AO291" i="125"/>
  <c r="AO260" i="125"/>
  <c r="AO271" i="125" s="1"/>
  <c r="BG102" i="125"/>
  <c r="W102" i="125"/>
  <c r="AY133" i="125"/>
  <c r="AY102" i="125"/>
  <c r="AY113" i="125" s="1"/>
  <c r="AU133" i="125"/>
  <c r="AU102" i="125"/>
  <c r="AU113" i="125" s="1"/>
  <c r="K102" i="125"/>
  <c r="AA23" i="125"/>
  <c r="BC23" i="125"/>
  <c r="AY23" i="125"/>
  <c r="AY54" i="125"/>
  <c r="AU54" i="125"/>
  <c r="AU23" i="125"/>
  <c r="K23" i="125"/>
  <c r="AP205" i="125"/>
  <c r="AB181" i="125"/>
  <c r="AR284" i="125"/>
  <c r="AX205" i="125"/>
  <c r="Z33" i="125"/>
  <c r="Z329" i="125"/>
  <c r="Z340" i="125" s="1"/>
  <c r="BB33" i="125"/>
  <c r="BB53" i="125" s="1"/>
  <c r="BB329" i="125"/>
  <c r="BB340" i="125" s="1"/>
  <c r="AX33" i="125"/>
  <c r="AX53" i="125" s="1"/>
  <c r="AX329" i="125"/>
  <c r="AX340" i="125" s="1"/>
  <c r="N33" i="125"/>
  <c r="N329" i="125"/>
  <c r="N340" i="125" s="1"/>
  <c r="AP33" i="125"/>
  <c r="AP53" i="125" s="1"/>
  <c r="AP329" i="125"/>
  <c r="AP340" i="125" s="1"/>
  <c r="AB179" i="125"/>
  <c r="AB200" i="125"/>
  <c r="AB224" i="125" s="1"/>
  <c r="AO284" i="125"/>
  <c r="Y21" i="125"/>
  <c r="Y42" i="125"/>
  <c r="Y66" i="125" s="1"/>
  <c r="U42" i="125"/>
  <c r="U66" i="125" s="1"/>
  <c r="U21" i="125"/>
  <c r="Q21" i="125"/>
  <c r="Q42" i="125"/>
  <c r="Q66" i="125" s="1"/>
  <c r="M42" i="125"/>
  <c r="M66" i="125" s="1"/>
  <c r="M21" i="125"/>
  <c r="I21" i="125"/>
  <c r="I42" i="125"/>
  <c r="I66" i="125" s="1"/>
  <c r="BE279" i="125"/>
  <c r="BE303" i="125" s="1"/>
  <c r="BE258" i="125"/>
  <c r="U279" i="125"/>
  <c r="U303" i="125" s="1"/>
  <c r="U258" i="125"/>
  <c r="AW279" i="125"/>
  <c r="AW303" i="125" s="1"/>
  <c r="AW258" i="125"/>
  <c r="AW269" i="125" s="1"/>
  <c r="M279" i="125"/>
  <c r="M303" i="125" s="1"/>
  <c r="M258" i="125"/>
  <c r="AO279" i="125"/>
  <c r="AO303" i="125" s="1"/>
  <c r="AO258" i="125"/>
  <c r="AO269" i="125" s="1"/>
  <c r="AB23" i="125"/>
  <c r="AS284" i="125"/>
  <c r="Z200" i="125"/>
  <c r="Z224" i="125" s="1"/>
  <c r="Z179" i="125"/>
  <c r="V200" i="125"/>
  <c r="V224" i="125" s="1"/>
  <c r="V179" i="125"/>
  <c r="AX200" i="125"/>
  <c r="AX224" i="125" s="1"/>
  <c r="AX179" i="125"/>
  <c r="AX190" i="125" s="1"/>
  <c r="AT200" i="125"/>
  <c r="AT224" i="125" s="1"/>
  <c r="AT179" i="125"/>
  <c r="AT190" i="125" s="1"/>
  <c r="J200" i="125"/>
  <c r="J224" i="125" s="1"/>
  <c r="J179" i="125"/>
  <c r="J190" i="125" s="1"/>
  <c r="BG121" i="125"/>
  <c r="BG145" i="125" s="1"/>
  <c r="BG100" i="125"/>
  <c r="W121" i="125"/>
  <c r="W145" i="125" s="1"/>
  <c r="W100" i="125"/>
  <c r="S121" i="125"/>
  <c r="S145" i="125" s="1"/>
  <c r="S100" i="125"/>
  <c r="AU121" i="125"/>
  <c r="AU145" i="125" s="1"/>
  <c r="AU100" i="125"/>
  <c r="AU111" i="125" s="1"/>
  <c r="K121" i="125"/>
  <c r="K145" i="125" s="1"/>
  <c r="K100" i="125"/>
  <c r="K111" i="125" s="1"/>
  <c r="AA181" i="125"/>
  <c r="BC181" i="125"/>
  <c r="AY212" i="125"/>
  <c r="AY181" i="125"/>
  <c r="AY192" i="125" s="1"/>
  <c r="O181" i="125"/>
  <c r="K181" i="125"/>
  <c r="H214" i="125"/>
  <c r="AZ334" i="125"/>
  <c r="AR126" i="125"/>
  <c r="AZ205" i="125"/>
  <c r="AO126" i="125"/>
  <c r="AT334" i="125"/>
  <c r="AB33" i="125"/>
  <c r="AB329" i="125"/>
  <c r="AB340" i="125" s="1"/>
  <c r="I126" i="125"/>
  <c r="BI23" i="125"/>
  <c r="BI180" i="125"/>
  <c r="BI191" i="125" s="1"/>
  <c r="X260" i="125"/>
  <c r="AZ291" i="125"/>
  <c r="AZ260" i="125"/>
  <c r="AZ271" i="125" s="1"/>
  <c r="AV291" i="125"/>
  <c r="AV260" i="125"/>
  <c r="AV271" i="125" s="1"/>
  <c r="L260" i="125"/>
  <c r="AN260" i="125"/>
  <c r="H125" i="125"/>
  <c r="H124" i="125"/>
  <c r="H123" i="125"/>
  <c r="BF102" i="125"/>
  <c r="BB133" i="125"/>
  <c r="BB102" i="125"/>
  <c r="BB113" i="125" s="1"/>
  <c r="AX133" i="125"/>
  <c r="AX102" i="125"/>
  <c r="AX113" i="125" s="1"/>
  <c r="AT133" i="125"/>
  <c r="AT102" i="125"/>
  <c r="AT113" i="125" s="1"/>
  <c r="J102" i="125"/>
  <c r="J113" i="125" s="1"/>
  <c r="Z23" i="125"/>
  <c r="V23" i="125"/>
  <c r="R23" i="125"/>
  <c r="N23" i="125"/>
  <c r="J54" i="125"/>
  <c r="J23" i="125"/>
  <c r="AB121" i="125"/>
  <c r="AB145" i="125" s="1"/>
  <c r="AB100" i="125"/>
  <c r="BA284" i="125"/>
  <c r="BF33" i="125"/>
  <c r="BF329" i="125"/>
  <c r="BF340" i="125" s="1"/>
  <c r="V33" i="125"/>
  <c r="V329" i="125"/>
  <c r="V340" i="125" s="1"/>
  <c r="R33" i="125"/>
  <c r="R329" i="125"/>
  <c r="R340" i="125" s="1"/>
  <c r="AT33" i="125"/>
  <c r="AT53" i="125" s="1"/>
  <c r="AT329" i="125"/>
  <c r="AT340" i="125" s="1"/>
  <c r="J33" i="125"/>
  <c r="J53" i="125" s="1"/>
  <c r="J329" i="125"/>
  <c r="J340" i="125" s="1"/>
  <c r="AC42" i="125"/>
  <c r="AC66" i="125" s="1"/>
  <c r="AC21" i="125"/>
  <c r="AC100" i="125"/>
  <c r="AC121" i="125"/>
  <c r="AC145" i="125" s="1"/>
  <c r="AC200" i="125"/>
  <c r="AC224" i="125" s="1"/>
  <c r="AC179" i="125"/>
  <c r="AC279" i="125"/>
  <c r="AC303" i="125" s="1"/>
  <c r="AC258" i="125"/>
  <c r="H180" i="125"/>
  <c r="BE42" i="125"/>
  <c r="BE66" i="125" s="1"/>
  <c r="BE21" i="125"/>
  <c r="BA21" i="125"/>
  <c r="BA42" i="125"/>
  <c r="BA66" i="125" s="1"/>
  <c r="AW42" i="125"/>
  <c r="AW66" i="125" s="1"/>
  <c r="AW21" i="125"/>
  <c r="AS21" i="125"/>
  <c r="AS42" i="125"/>
  <c r="AS66" i="125" s="1"/>
  <c r="AO42" i="125"/>
  <c r="AO66" i="125" s="1"/>
  <c r="AO21" i="125"/>
  <c r="Y279" i="125"/>
  <c r="Y303" i="125" s="1"/>
  <c r="Y258" i="125"/>
  <c r="BA279" i="125"/>
  <c r="BA303" i="125" s="1"/>
  <c r="BA258" i="125"/>
  <c r="BA269" i="125" s="1"/>
  <c r="Q279" i="125"/>
  <c r="Q303" i="125" s="1"/>
  <c r="Q258" i="125"/>
  <c r="AS279" i="125"/>
  <c r="AS303" i="125" s="1"/>
  <c r="AS258" i="125"/>
  <c r="AS269" i="125" s="1"/>
  <c r="I279" i="125"/>
  <c r="I303" i="125" s="1"/>
  <c r="I258" i="125"/>
  <c r="I269" i="125" s="1"/>
  <c r="AQ47" i="125"/>
  <c r="AQ333" i="125"/>
  <c r="BE200" i="125"/>
  <c r="BE224" i="125" s="1"/>
  <c r="BE179" i="125"/>
  <c r="U200" i="125"/>
  <c r="U224" i="125" s="1"/>
  <c r="U179" i="125"/>
  <c r="AW200" i="125"/>
  <c r="AW224" i="125" s="1"/>
  <c r="AW179" i="125"/>
  <c r="AW190" i="125" s="1"/>
  <c r="M200" i="125"/>
  <c r="M224" i="125" s="1"/>
  <c r="M179" i="125"/>
  <c r="AO200" i="125"/>
  <c r="AO224" i="125" s="1"/>
  <c r="AO179" i="125"/>
  <c r="AO190" i="125" s="1"/>
  <c r="BF121" i="125"/>
  <c r="BF145" i="125" s="1"/>
  <c r="BF100" i="125"/>
  <c r="BB121" i="125"/>
  <c r="BB145" i="125" s="1"/>
  <c r="BB100" i="125"/>
  <c r="BB111" i="125" s="1"/>
  <c r="AX121" i="125"/>
  <c r="AX145" i="125" s="1"/>
  <c r="AX100" i="125"/>
  <c r="AX111" i="125" s="1"/>
  <c r="AT121" i="125"/>
  <c r="AT145" i="125" s="1"/>
  <c r="AT100" i="125"/>
  <c r="AT111" i="125" s="1"/>
  <c r="AP121" i="125"/>
  <c r="AP145" i="125" s="1"/>
  <c r="AP100" i="125"/>
  <c r="AP111" i="125" s="1"/>
  <c r="BG181" i="125"/>
  <c r="W181" i="125"/>
  <c r="S181" i="125"/>
  <c r="AU212" i="125"/>
  <c r="AU181" i="125"/>
  <c r="AU192" i="125" s="1"/>
  <c r="AQ212" i="125"/>
  <c r="AQ181" i="125"/>
  <c r="AQ192" i="125" s="1"/>
  <c r="AZ335" i="125"/>
  <c r="BH23" i="125"/>
  <c r="AW47" i="125"/>
  <c r="AW333" i="125"/>
  <c r="BD260" i="125"/>
  <c r="T260" i="125"/>
  <c r="P260" i="125"/>
  <c r="AR291" i="125"/>
  <c r="AR260" i="125"/>
  <c r="AR271" i="125" s="1"/>
  <c r="H291" i="125"/>
  <c r="H260" i="125"/>
  <c r="AB102" i="125"/>
  <c r="Z102" i="125"/>
  <c r="V102" i="125"/>
  <c r="R102" i="125"/>
  <c r="N102" i="125"/>
  <c r="AP133" i="125"/>
  <c r="AP102" i="125"/>
  <c r="AP113" i="125" s="1"/>
  <c r="BF23" i="125"/>
  <c r="BB23" i="125"/>
  <c r="AX54" i="125"/>
  <c r="AX23" i="125"/>
  <c r="AT54" i="125"/>
  <c r="AT23" i="125"/>
  <c r="AP54" i="125"/>
  <c r="AP23" i="125"/>
  <c r="BE33" i="125"/>
  <c r="BE329" i="125"/>
  <c r="BE340" i="125" s="1"/>
  <c r="BA33" i="125"/>
  <c r="BA53" i="125" s="1"/>
  <c r="BA329" i="125"/>
  <c r="BA340" i="125" s="1"/>
  <c r="AW33" i="125"/>
  <c r="AW53" i="125" s="1"/>
  <c r="AW329" i="125"/>
  <c r="AW340" i="125" s="1"/>
  <c r="M33" i="125"/>
  <c r="M329" i="125"/>
  <c r="M340" i="125" s="1"/>
  <c r="AO33" i="125"/>
  <c r="AO53" i="125" s="1"/>
  <c r="AO329" i="125"/>
  <c r="AO340" i="125" s="1"/>
  <c r="AB42" i="125"/>
  <c r="AB66" i="125" s="1"/>
  <c r="BH181" i="120"/>
  <c r="AR291" i="120"/>
  <c r="AR47" i="125"/>
  <c r="AR333" i="125"/>
  <c r="AC23" i="125"/>
  <c r="AC181" i="125"/>
  <c r="AC260" i="125"/>
  <c r="AN283" i="125"/>
  <c r="AN282" i="125"/>
  <c r="AN281" i="125"/>
  <c r="AN180" i="125"/>
  <c r="BD21" i="125"/>
  <c r="BD42" i="125"/>
  <c r="BD66" i="125" s="1"/>
  <c r="T21" i="125"/>
  <c r="T42" i="125"/>
  <c r="T66" i="125" s="1"/>
  <c r="AV21" i="125"/>
  <c r="AV42" i="125"/>
  <c r="AV66" i="125" s="1"/>
  <c r="L21" i="125"/>
  <c r="L42" i="125"/>
  <c r="L66" i="125" s="1"/>
  <c r="AN21" i="125"/>
  <c r="AN42" i="125"/>
  <c r="X279" i="125"/>
  <c r="X303" i="125" s="1"/>
  <c r="X258" i="125"/>
  <c r="AZ279" i="125"/>
  <c r="AZ303" i="125" s="1"/>
  <c r="AZ258" i="125"/>
  <c r="AZ269" i="125" s="1"/>
  <c r="AV279" i="125"/>
  <c r="AV303" i="125" s="1"/>
  <c r="AV258" i="125"/>
  <c r="AV269" i="125" s="1"/>
  <c r="L279" i="125"/>
  <c r="L303" i="125" s="1"/>
  <c r="L258" i="125"/>
  <c r="AN279" i="125"/>
  <c r="AN258" i="125"/>
  <c r="AQ334" i="125"/>
  <c r="Y179" i="125"/>
  <c r="Y200" i="125"/>
  <c r="Y224" i="125" s="1"/>
  <c r="BA200" i="125"/>
  <c r="BA224" i="125" s="1"/>
  <c r="BA179" i="125"/>
  <c r="BA190" i="125" s="1"/>
  <c r="Q200" i="125"/>
  <c r="Q224" i="125" s="1"/>
  <c r="Q179" i="125"/>
  <c r="AS200" i="125"/>
  <c r="AS224" i="125" s="1"/>
  <c r="AS179" i="125"/>
  <c r="AS190" i="125" s="1"/>
  <c r="I200" i="125"/>
  <c r="I224" i="125" s="1"/>
  <c r="I179" i="125"/>
  <c r="I190" i="125" s="1"/>
  <c r="Z121" i="125"/>
  <c r="Z145" i="125" s="1"/>
  <c r="Z100" i="125"/>
  <c r="V121" i="125"/>
  <c r="V145" i="125" s="1"/>
  <c r="V100" i="125"/>
  <c r="R121" i="125"/>
  <c r="R145" i="125" s="1"/>
  <c r="R100" i="125"/>
  <c r="N121" i="125"/>
  <c r="N145" i="125" s="1"/>
  <c r="N100" i="125"/>
  <c r="J121" i="125"/>
  <c r="J145" i="125" s="1"/>
  <c r="J100" i="125"/>
  <c r="J111" i="125" s="1"/>
  <c r="BF181" i="125"/>
  <c r="BB181" i="125"/>
  <c r="BB192" i="125" s="1"/>
  <c r="R181" i="125"/>
  <c r="N181" i="125"/>
  <c r="J212" i="125"/>
  <c r="J181" i="125"/>
  <c r="J192" i="125" s="1"/>
  <c r="AS47" i="125"/>
  <c r="AS333" i="125"/>
  <c r="AW335" i="125"/>
  <c r="AN124" i="125"/>
  <c r="AN125" i="125"/>
  <c r="AN123" i="125"/>
  <c r="BI33" i="125"/>
  <c r="BI329" i="125"/>
  <c r="BI340" i="125" s="1"/>
  <c r="BI121" i="125"/>
  <c r="BI145" i="125" s="1"/>
  <c r="BI100" i="125"/>
  <c r="BI200" i="125"/>
  <c r="BI224" i="125" s="1"/>
  <c r="BI179" i="125"/>
  <c r="BI279" i="125"/>
  <c r="BI303" i="125" s="1"/>
  <c r="BI258" i="125"/>
  <c r="AA260" i="125"/>
  <c r="W260" i="125"/>
  <c r="S260" i="125"/>
  <c r="O260" i="125"/>
  <c r="AQ291" i="125"/>
  <c r="AQ260" i="125"/>
  <c r="AQ271" i="125" s="1"/>
  <c r="J334" i="125"/>
  <c r="BE102" i="125"/>
  <c r="U102" i="125"/>
  <c r="AW102" i="125"/>
  <c r="AW113" i="125" s="1"/>
  <c r="AW133" i="125"/>
  <c r="AS133" i="125"/>
  <c r="AS102" i="125"/>
  <c r="AS113" i="125" s="1"/>
  <c r="I133" i="125"/>
  <c r="I102" i="125"/>
  <c r="I113" i="125" s="1"/>
  <c r="Y23" i="125"/>
  <c r="U23" i="125"/>
  <c r="Q23" i="125"/>
  <c r="M23" i="125"/>
  <c r="AO23" i="125"/>
  <c r="AO54" i="125"/>
  <c r="Y33" i="125"/>
  <c r="Y329" i="125"/>
  <c r="Y340" i="125" s="1"/>
  <c r="U33" i="125"/>
  <c r="U329" i="125"/>
  <c r="U340" i="125" s="1"/>
  <c r="Q33" i="125"/>
  <c r="Q329" i="125"/>
  <c r="Q340" i="125" s="1"/>
  <c r="AS33" i="125"/>
  <c r="AS53" i="125" s="1"/>
  <c r="AS329" i="125"/>
  <c r="AS340" i="125" s="1"/>
  <c r="I33" i="125"/>
  <c r="I53" i="125" s="1"/>
  <c r="I329" i="125"/>
  <c r="I340" i="125" s="1"/>
  <c r="BH200" i="125"/>
  <c r="BH224" i="125" s="1"/>
  <c r="BG282" i="120"/>
  <c r="BD284" i="124"/>
  <c r="V334" i="124"/>
  <c r="Z132" i="124"/>
  <c r="BF282" i="120"/>
  <c r="V335" i="124"/>
  <c r="BD284" i="120"/>
  <c r="O284" i="124"/>
  <c r="BD126" i="124"/>
  <c r="AS284" i="120"/>
  <c r="BF290" i="120"/>
  <c r="X335" i="124"/>
  <c r="BG271" i="120"/>
  <c r="AT205" i="124"/>
  <c r="AW205" i="120"/>
  <c r="BC335" i="124"/>
  <c r="O335" i="124"/>
  <c r="AN284" i="120"/>
  <c r="X284" i="124"/>
  <c r="N284" i="124"/>
  <c r="AY205" i="124"/>
  <c r="U205" i="124"/>
  <c r="AV205" i="120"/>
  <c r="BB205" i="120"/>
  <c r="BG192" i="120"/>
  <c r="AZ284" i="124"/>
  <c r="J284" i="124"/>
  <c r="AR205" i="120"/>
  <c r="P205" i="124"/>
  <c r="M284" i="124"/>
  <c r="T126" i="124"/>
  <c r="AT126" i="124"/>
  <c r="T284" i="124"/>
  <c r="J205" i="124"/>
  <c r="AW126" i="124"/>
  <c r="BD205" i="124"/>
  <c r="AY205" i="120"/>
  <c r="AA200" i="124"/>
  <c r="AA224" i="124" s="1"/>
  <c r="AW205" i="124"/>
  <c r="BA205" i="124"/>
  <c r="BC334" i="124"/>
  <c r="AR126" i="124"/>
  <c r="AP205" i="124"/>
  <c r="AU205" i="124"/>
  <c r="AY126" i="124"/>
  <c r="Q205" i="124"/>
  <c r="K126" i="124"/>
  <c r="BA284" i="120"/>
  <c r="K205" i="124"/>
  <c r="AN205" i="120"/>
  <c r="X47" i="124"/>
  <c r="BC126" i="124"/>
  <c r="BF335" i="124"/>
  <c r="AS205" i="120"/>
  <c r="AU126" i="124"/>
  <c r="AQ205" i="120"/>
  <c r="U284" i="124"/>
  <c r="AV126" i="124"/>
  <c r="AP248" i="120"/>
  <c r="AP305" i="120" s="1"/>
  <c r="J248" i="124"/>
  <c r="J305" i="124" s="1"/>
  <c r="AP248" i="124"/>
  <c r="AP305" i="124" s="1"/>
  <c r="AP169" i="120"/>
  <c r="AP226" i="120" s="1"/>
  <c r="AP169" i="124"/>
  <c r="AP226" i="124" s="1"/>
  <c r="J169" i="124"/>
  <c r="J226" i="124" s="1"/>
  <c r="J11" i="124"/>
  <c r="J68" i="124" s="1"/>
  <c r="AP11" i="124"/>
  <c r="AP68" i="124" s="1"/>
  <c r="H121" i="120"/>
  <c r="H145" i="120" s="1"/>
  <c r="AA132" i="124"/>
  <c r="W284" i="124"/>
  <c r="BH21" i="124"/>
  <c r="BH42" i="124"/>
  <c r="BH102" i="124"/>
  <c r="BH259" i="124"/>
  <c r="BH270" i="124" s="1"/>
  <c r="AO47" i="124"/>
  <c r="AO333" i="124"/>
  <c r="AT284" i="124"/>
  <c r="BH179" i="120"/>
  <c r="BH200" i="120"/>
  <c r="BH224" i="120" s="1"/>
  <c r="T205" i="124"/>
  <c r="I126" i="124"/>
  <c r="BF203" i="124"/>
  <c r="BF334" i="124" s="1"/>
  <c r="AQ284" i="124"/>
  <c r="L126" i="124"/>
  <c r="AN187" i="124"/>
  <c r="BO187" i="124" s="1"/>
  <c r="AN203" i="124"/>
  <c r="AN204" i="124"/>
  <c r="AN212" i="124" s="1"/>
  <c r="AN202" i="124"/>
  <c r="AO205" i="120"/>
  <c r="AB228" i="124" a="1"/>
  <c r="AB228" i="124" s="1"/>
  <c r="AB227" i="124" a="1"/>
  <c r="AB227" i="124" s="1"/>
  <c r="AB185" i="124"/>
  <c r="AB184" i="124"/>
  <c r="AB174" i="124"/>
  <c r="AB175" i="124" s="1"/>
  <c r="AB42" i="124"/>
  <c r="AB21" i="124"/>
  <c r="AB102" i="124"/>
  <c r="AB181" i="124"/>
  <c r="AB259" i="124"/>
  <c r="AB270" i="124" s="1"/>
  <c r="S205" i="124"/>
  <c r="AT47" i="124"/>
  <c r="AT333" i="124"/>
  <c r="AQ334" i="124"/>
  <c r="BG46" i="124"/>
  <c r="BG54" i="124" s="1"/>
  <c r="O47" i="124"/>
  <c r="O333" i="124"/>
  <c r="BD200" i="124"/>
  <c r="BD224" i="124" s="1"/>
  <c r="BD179" i="124"/>
  <c r="BD190" i="124" s="1"/>
  <c r="V200" i="124"/>
  <c r="V224" i="124" s="1"/>
  <c r="V179" i="124"/>
  <c r="V190" i="124" s="1"/>
  <c r="AY200" i="124"/>
  <c r="AY224" i="124" s="1"/>
  <c r="AY179" i="124"/>
  <c r="AY190" i="124" s="1"/>
  <c r="P200" i="124"/>
  <c r="P224" i="124" s="1"/>
  <c r="P179" i="124"/>
  <c r="P190" i="124" s="1"/>
  <c r="AT200" i="124"/>
  <c r="AT224" i="124" s="1"/>
  <c r="AT179" i="124"/>
  <c r="AT190" i="124" s="1"/>
  <c r="K179" i="124"/>
  <c r="K190" i="124" s="1"/>
  <c r="K200" i="124"/>
  <c r="K224" i="124" s="1"/>
  <c r="AN179" i="120"/>
  <c r="AN190" i="120" s="1"/>
  <c r="AN200" i="120"/>
  <c r="AN224" i="120" s="1"/>
  <c r="AN56" i="124"/>
  <c r="BC121" i="124"/>
  <c r="BC145" i="124" s="1"/>
  <c r="BC100" i="124"/>
  <c r="BC111" i="124" s="1"/>
  <c r="S121" i="124"/>
  <c r="S145" i="124" s="1"/>
  <c r="S100" i="124"/>
  <c r="S111" i="124" s="1"/>
  <c r="AU121" i="124"/>
  <c r="AU145" i="124" s="1"/>
  <c r="AU100" i="124"/>
  <c r="AU111" i="124" s="1"/>
  <c r="K100" i="124"/>
  <c r="K111" i="124" s="1"/>
  <c r="K121" i="124"/>
  <c r="K145" i="124" s="1"/>
  <c r="AA23" i="124"/>
  <c r="AS205" i="124"/>
  <c r="AZ284" i="120"/>
  <c r="BG33" i="124"/>
  <c r="BG53" i="124" s="1"/>
  <c r="BG329" i="124"/>
  <c r="BG340" i="124" s="1"/>
  <c r="AX334" i="124"/>
  <c r="J47" i="124"/>
  <c r="J333" i="124"/>
  <c r="BF212" i="124"/>
  <c r="BF181" i="124"/>
  <c r="BF192" i="124" s="1"/>
  <c r="BA212" i="124"/>
  <c r="BA181" i="124"/>
  <c r="BA192" i="124" s="1"/>
  <c r="R212" i="124"/>
  <c r="R181" i="124"/>
  <c r="R192" i="124" s="1"/>
  <c r="AS212" i="124"/>
  <c r="AS181" i="124"/>
  <c r="AS192" i="124" s="1"/>
  <c r="J212" i="124"/>
  <c r="J181" i="124"/>
  <c r="J192" i="124" s="1"/>
  <c r="AN181" i="124"/>
  <c r="H180" i="124"/>
  <c r="Q126" i="124"/>
  <c r="BG124" i="124"/>
  <c r="BG104" i="124"/>
  <c r="BG123" i="124" s="1"/>
  <c r="L47" i="124"/>
  <c r="L333" i="124"/>
  <c r="BD212" i="120"/>
  <c r="BB212" i="120"/>
  <c r="BE205" i="120"/>
  <c r="Y279" i="124"/>
  <c r="Y303" i="124" s="1"/>
  <c r="Y258" i="124"/>
  <c r="Y269" i="124" s="1"/>
  <c r="V279" i="124"/>
  <c r="V303" i="124" s="1"/>
  <c r="V258" i="124"/>
  <c r="V269" i="124" s="1"/>
  <c r="AZ279" i="124"/>
  <c r="AZ303" i="124" s="1"/>
  <c r="AZ258" i="124"/>
  <c r="AZ269" i="124" s="1"/>
  <c r="Q258" i="124"/>
  <c r="Q269" i="124" s="1"/>
  <c r="Q279" i="124"/>
  <c r="Q303" i="124" s="1"/>
  <c r="AT279" i="124"/>
  <c r="AT303" i="124" s="1"/>
  <c r="AT258" i="124"/>
  <c r="AT269" i="124" s="1"/>
  <c r="AR287" i="120"/>
  <c r="AR267" i="120" s="1"/>
  <c r="AR289" i="120"/>
  <c r="BG23" i="124"/>
  <c r="H214" i="124"/>
  <c r="BD291" i="124"/>
  <c r="BD260" i="124"/>
  <c r="BD271" i="124" s="1"/>
  <c r="BB260" i="124"/>
  <c r="BB271" i="124" s="1"/>
  <c r="BB291" i="124"/>
  <c r="AY291" i="124"/>
  <c r="AY260" i="124"/>
  <c r="AY271" i="124" s="1"/>
  <c r="N291" i="124"/>
  <c r="N260" i="124"/>
  <c r="N271" i="124" s="1"/>
  <c r="K260" i="124"/>
  <c r="K271" i="124" s="1"/>
  <c r="K291" i="124"/>
  <c r="H260" i="124"/>
  <c r="BC284" i="124"/>
  <c r="AQ212" i="120"/>
  <c r="BG102" i="124"/>
  <c r="R284" i="124"/>
  <c r="BD133" i="124"/>
  <c r="BD102" i="124"/>
  <c r="BD113" i="124" s="1"/>
  <c r="AZ133" i="124"/>
  <c r="AZ102" i="124"/>
  <c r="AZ113" i="124" s="1"/>
  <c r="AV133" i="124"/>
  <c r="AV102" i="124"/>
  <c r="AV113" i="124" s="1"/>
  <c r="AR133" i="124"/>
  <c r="AR102" i="124"/>
  <c r="AR113" i="124" s="1"/>
  <c r="H102" i="124"/>
  <c r="W54" i="124"/>
  <c r="W23" i="124"/>
  <c r="AY54" i="124"/>
  <c r="AY23" i="124"/>
  <c r="AU54" i="124"/>
  <c r="AU23" i="124"/>
  <c r="AQ54" i="124"/>
  <c r="AQ23" i="124"/>
  <c r="H293" i="124"/>
  <c r="W33" i="124"/>
  <c r="W53" i="124" s="1"/>
  <c r="W329" i="124"/>
  <c r="W340" i="124" s="1"/>
  <c r="AY33" i="124"/>
  <c r="AY53" i="124" s="1"/>
  <c r="AY329" i="124"/>
  <c r="AY340" i="124" s="1"/>
  <c r="O33" i="124"/>
  <c r="O53" i="124" s="1"/>
  <c r="O329" i="124"/>
  <c r="O340" i="124" s="1"/>
  <c r="K33" i="124"/>
  <c r="K53" i="124" s="1"/>
  <c r="K329" i="124"/>
  <c r="K340" i="124" s="1"/>
  <c r="Z42" i="124"/>
  <c r="Z66" i="124" s="1"/>
  <c r="Z21" i="124"/>
  <c r="BB42" i="124"/>
  <c r="BB66" i="124" s="1"/>
  <c r="BB21" i="124"/>
  <c r="R42" i="124"/>
  <c r="R66" i="124" s="1"/>
  <c r="R21" i="124"/>
  <c r="N21" i="124"/>
  <c r="N42" i="124"/>
  <c r="N66" i="124" s="1"/>
  <c r="AP21" i="124"/>
  <c r="AP42" i="124"/>
  <c r="AP66" i="124" s="1"/>
  <c r="AS133" i="120"/>
  <c r="AA33" i="124"/>
  <c r="AA53" i="124" s="1"/>
  <c r="AA329" i="124"/>
  <c r="AA340" i="124" s="1"/>
  <c r="BH23" i="124"/>
  <c r="AO335" i="124"/>
  <c r="AN266" i="124"/>
  <c r="BO266" i="124" s="1"/>
  <c r="AN282" i="124"/>
  <c r="AN283" i="124"/>
  <c r="AN291" i="124" s="1"/>
  <c r="AN281" i="124"/>
  <c r="BH258" i="120"/>
  <c r="X126" i="124"/>
  <c r="X333" i="124"/>
  <c r="I205" i="124"/>
  <c r="P335" i="124"/>
  <c r="V126" i="124"/>
  <c r="AU284" i="120"/>
  <c r="AX205" i="124"/>
  <c r="AB307" i="124" a="1"/>
  <c r="AB307" i="124" s="1"/>
  <c r="AB264" i="124"/>
  <c r="AB306" i="124" a="1"/>
  <c r="AB306" i="124" s="1"/>
  <c r="AB263" i="124"/>
  <c r="AB253" i="124"/>
  <c r="AB254" i="124" s="1"/>
  <c r="AB23" i="124"/>
  <c r="AS126" i="124"/>
  <c r="BC205" i="120"/>
  <c r="AT334" i="124"/>
  <c r="V284" i="124"/>
  <c r="BD179" i="120"/>
  <c r="BD190" i="120" s="1"/>
  <c r="BD200" i="120"/>
  <c r="BD224" i="120" s="1"/>
  <c r="BA179" i="124"/>
  <c r="BA190" i="124" s="1"/>
  <c r="BA200" i="124"/>
  <c r="BA224" i="124" s="1"/>
  <c r="AY200" i="120"/>
  <c r="AY224" i="120" s="1"/>
  <c r="AY179" i="120"/>
  <c r="AY190" i="120" s="1"/>
  <c r="AV200" i="124"/>
  <c r="AV224" i="124" s="1"/>
  <c r="AV179" i="124"/>
  <c r="AV190" i="124" s="1"/>
  <c r="AS179" i="124"/>
  <c r="AS190" i="124" s="1"/>
  <c r="AS200" i="124"/>
  <c r="AS224" i="124" s="1"/>
  <c r="AQ179" i="124"/>
  <c r="AQ190" i="124" s="1"/>
  <c r="AQ200" i="124"/>
  <c r="AQ224" i="124" s="1"/>
  <c r="AN200" i="124"/>
  <c r="AN179" i="124"/>
  <c r="Z121" i="124"/>
  <c r="Z145" i="124" s="1"/>
  <c r="Z100" i="124"/>
  <c r="Z111" i="124" s="1"/>
  <c r="V121" i="124"/>
  <c r="V145" i="124" s="1"/>
  <c r="V100" i="124"/>
  <c r="V111" i="124" s="1"/>
  <c r="AX121" i="124"/>
  <c r="AX145" i="124" s="1"/>
  <c r="AX100" i="124"/>
  <c r="AX111" i="124" s="1"/>
  <c r="AT121" i="124"/>
  <c r="AT145" i="124" s="1"/>
  <c r="AT100" i="124"/>
  <c r="AT111" i="124" s="1"/>
  <c r="AP121" i="124"/>
  <c r="AP145" i="124" s="1"/>
  <c r="AP100" i="124"/>
  <c r="AP111" i="124" s="1"/>
  <c r="AA45" i="124"/>
  <c r="AA25" i="124"/>
  <c r="AR47" i="124"/>
  <c r="AR333" i="124"/>
  <c r="AX205" i="120"/>
  <c r="J334" i="124"/>
  <c r="AP126" i="124"/>
  <c r="BF192" i="120"/>
  <c r="W212" i="124"/>
  <c r="W181" i="124"/>
  <c r="W192" i="124" s="1"/>
  <c r="U212" i="124"/>
  <c r="U181" i="124"/>
  <c r="U192" i="124" s="1"/>
  <c r="AX212" i="124"/>
  <c r="AX181" i="124"/>
  <c r="AX192" i="124" s="1"/>
  <c r="O212" i="124"/>
  <c r="O181" i="124"/>
  <c r="O192" i="124" s="1"/>
  <c r="M212" i="124"/>
  <c r="M181" i="124"/>
  <c r="M192" i="124" s="1"/>
  <c r="AN180" i="124"/>
  <c r="AO284" i="120"/>
  <c r="M205" i="124"/>
  <c r="L335" i="124"/>
  <c r="L284" i="124"/>
  <c r="BE287" i="120"/>
  <c r="BE267" i="120" s="1"/>
  <c r="BE289" i="120"/>
  <c r="BB258" i="120"/>
  <c r="BB269" i="120" s="1"/>
  <c r="BB279" i="120"/>
  <c r="BB303" i="120" s="1"/>
  <c r="AY258" i="120"/>
  <c r="AY269" i="120" s="1"/>
  <c r="AY279" i="120"/>
  <c r="AY303" i="120" s="1"/>
  <c r="AW258" i="124"/>
  <c r="AW269" i="124" s="1"/>
  <c r="AW279" i="124"/>
  <c r="AW303" i="124" s="1"/>
  <c r="AT258" i="120"/>
  <c r="AT269" i="120" s="1"/>
  <c r="AT279" i="120"/>
  <c r="AT303" i="120" s="1"/>
  <c r="AQ279" i="124"/>
  <c r="AQ303" i="124" s="1"/>
  <c r="AQ258" i="124"/>
  <c r="AQ269" i="124" s="1"/>
  <c r="I279" i="124"/>
  <c r="I303" i="124" s="1"/>
  <c r="I258" i="124"/>
  <c r="I269" i="124" s="1"/>
  <c r="BG204" i="120"/>
  <c r="BG212" i="120" s="1"/>
  <c r="AP284" i="124"/>
  <c r="AS47" i="124"/>
  <c r="AS333" i="124"/>
  <c r="AU205" i="120"/>
  <c r="V205" i="124"/>
  <c r="AN214" i="124"/>
  <c r="BA291" i="124"/>
  <c r="BA260" i="124"/>
  <c r="BA271" i="124" s="1"/>
  <c r="S291" i="124"/>
  <c r="S260" i="124"/>
  <c r="S271" i="124" s="1"/>
  <c r="AV291" i="124"/>
  <c r="AV260" i="124"/>
  <c r="AV271" i="124" s="1"/>
  <c r="M260" i="124"/>
  <c r="M271" i="124" s="1"/>
  <c r="M291" i="124"/>
  <c r="AQ260" i="120"/>
  <c r="AQ271" i="120" s="1"/>
  <c r="AQ291" i="120"/>
  <c r="AN260" i="124"/>
  <c r="Z202" i="124"/>
  <c r="Z205" i="124" s="1"/>
  <c r="O126" i="124"/>
  <c r="BG21" i="124"/>
  <c r="BG42" i="124"/>
  <c r="BG66" i="124" s="1"/>
  <c r="P284" i="124"/>
  <c r="X133" i="124"/>
  <c r="X102" i="124"/>
  <c r="X113" i="124" s="1"/>
  <c r="T133" i="124"/>
  <c r="T102" i="124"/>
  <c r="T113" i="124" s="1"/>
  <c r="P133" i="124"/>
  <c r="P102" i="124"/>
  <c r="P113" i="124" s="1"/>
  <c r="L133" i="124"/>
  <c r="L102" i="124"/>
  <c r="L113" i="124" s="1"/>
  <c r="AN102" i="124"/>
  <c r="BC54" i="124"/>
  <c r="BC23" i="124"/>
  <c r="S54" i="124"/>
  <c r="S23" i="124"/>
  <c r="O54" i="124"/>
  <c r="O23" i="124"/>
  <c r="K54" i="124"/>
  <c r="K23" i="124"/>
  <c r="BF33" i="124"/>
  <c r="BF53" i="124" s="1"/>
  <c r="BF329" i="124"/>
  <c r="BF340" i="124" s="1"/>
  <c r="BB33" i="124"/>
  <c r="BB53" i="124" s="1"/>
  <c r="BB329" i="124"/>
  <c r="BB340" i="124" s="1"/>
  <c r="AX33" i="124"/>
  <c r="AX53" i="124" s="1"/>
  <c r="AX329" i="124"/>
  <c r="AX340" i="124" s="1"/>
  <c r="AT33" i="124"/>
  <c r="AT53" i="124" s="1"/>
  <c r="AT329" i="124"/>
  <c r="AT340" i="124" s="1"/>
  <c r="AP33" i="124"/>
  <c r="AP53" i="124" s="1"/>
  <c r="AP329" i="124"/>
  <c r="AP340" i="124" s="1"/>
  <c r="Y42" i="124"/>
  <c r="Y66" i="124" s="1"/>
  <c r="Y21" i="124"/>
  <c r="BA42" i="124"/>
  <c r="BA66" i="124" s="1"/>
  <c r="BA21" i="124"/>
  <c r="AW21" i="124"/>
  <c r="AW42" i="124"/>
  <c r="AW66" i="124" s="1"/>
  <c r="AS42" i="124"/>
  <c r="AS66" i="124" s="1"/>
  <c r="AS21" i="124"/>
  <c r="I42" i="124"/>
  <c r="I66" i="124" s="1"/>
  <c r="I21" i="124"/>
  <c r="BG290" i="120"/>
  <c r="K284" i="124"/>
  <c r="BF284" i="124"/>
  <c r="BH16" i="124"/>
  <c r="BH17" i="124" s="1"/>
  <c r="BH70" i="124" a="1"/>
  <c r="BH70" i="124" s="1"/>
  <c r="BH27" i="124"/>
  <c r="BH26" i="124"/>
  <c r="BH69" i="124" a="1"/>
  <c r="BH69" i="124" s="1"/>
  <c r="BH100" i="124"/>
  <c r="BH121" i="124"/>
  <c r="BH145" i="124" s="1"/>
  <c r="BH181" i="124"/>
  <c r="N205" i="124"/>
  <c r="AO334" i="124"/>
  <c r="BH260" i="120"/>
  <c r="AQ205" i="124"/>
  <c r="AU284" i="124"/>
  <c r="W47" i="124"/>
  <c r="W333" i="124"/>
  <c r="AZ205" i="120"/>
  <c r="AU47" i="124"/>
  <c r="AU333" i="124"/>
  <c r="AC302" i="124"/>
  <c r="AC301" i="124"/>
  <c r="AC277" i="124"/>
  <c r="AC275" i="124"/>
  <c r="AC278" i="124"/>
  <c r="AC293" i="124" s="1"/>
  <c r="AC276" i="124"/>
  <c r="AC252" i="124"/>
  <c r="AC223" i="124"/>
  <c r="AC222" i="124"/>
  <c r="AC198" i="124"/>
  <c r="AC196" i="124"/>
  <c r="AC199" i="124"/>
  <c r="AC214" i="124" s="1"/>
  <c r="AC197" i="124"/>
  <c r="AC144" i="124"/>
  <c r="AC143" i="124"/>
  <c r="AC173" i="124"/>
  <c r="AC119" i="124"/>
  <c r="AC117" i="124"/>
  <c r="AC120" i="124"/>
  <c r="AC135" i="124" s="1"/>
  <c r="AC118" i="124"/>
  <c r="AC94" i="124"/>
  <c r="AC65" i="124"/>
  <c r="AC64" i="124"/>
  <c r="AC15" i="124"/>
  <c r="AC41" i="124"/>
  <c r="AC56" i="124" s="1"/>
  <c r="AC39" i="124"/>
  <c r="AD8" i="124"/>
  <c r="AC40" i="124"/>
  <c r="AC38" i="124"/>
  <c r="AC249" i="124"/>
  <c r="AC170" i="124"/>
  <c r="AC12" i="124"/>
  <c r="AC91" i="124"/>
  <c r="AT335" i="124"/>
  <c r="BG179" i="124"/>
  <c r="BG190" i="124" s="1"/>
  <c r="BG200" i="124"/>
  <c r="BG224" i="124" s="1"/>
  <c r="AP47" i="124"/>
  <c r="AP333" i="124"/>
  <c r="O334" i="124"/>
  <c r="BF200" i="124"/>
  <c r="BF224" i="124" s="1"/>
  <c r="BF179" i="124"/>
  <c r="BF190" i="124" s="1"/>
  <c r="X200" i="124"/>
  <c r="X224" i="124" s="1"/>
  <c r="X179" i="124"/>
  <c r="X190" i="124" s="1"/>
  <c r="U200" i="124"/>
  <c r="U224" i="124" s="1"/>
  <c r="U179" i="124"/>
  <c r="U190" i="124" s="1"/>
  <c r="R200" i="124"/>
  <c r="R224" i="124" s="1"/>
  <c r="R179" i="124"/>
  <c r="R190" i="124" s="1"/>
  <c r="AV179" i="120"/>
  <c r="AV190" i="120" s="1"/>
  <c r="AV200" i="120"/>
  <c r="AV224" i="120" s="1"/>
  <c r="M200" i="124"/>
  <c r="M224" i="124" s="1"/>
  <c r="M179" i="124"/>
  <c r="M190" i="124" s="1"/>
  <c r="J200" i="124"/>
  <c r="J224" i="124" s="1"/>
  <c r="J179" i="124"/>
  <c r="J190" i="124" s="1"/>
  <c r="H200" i="124"/>
  <c r="H179" i="124"/>
  <c r="BF121" i="124"/>
  <c r="BF145" i="124" s="1"/>
  <c r="BF100" i="124"/>
  <c r="BF111" i="124" s="1"/>
  <c r="BB121" i="124"/>
  <c r="BB145" i="124" s="1"/>
  <c r="BB100" i="124"/>
  <c r="BB111" i="124" s="1"/>
  <c r="R121" i="124"/>
  <c r="R145" i="124" s="1"/>
  <c r="R100" i="124"/>
  <c r="R111" i="124" s="1"/>
  <c r="N121" i="124"/>
  <c r="N145" i="124" s="1"/>
  <c r="N100" i="124"/>
  <c r="N111" i="124" s="1"/>
  <c r="J121" i="124"/>
  <c r="J145" i="124" s="1"/>
  <c r="J100" i="124"/>
  <c r="J111" i="124" s="1"/>
  <c r="AA46" i="124"/>
  <c r="AA54" i="124" s="1"/>
  <c r="BA47" i="124"/>
  <c r="BA333" i="124"/>
  <c r="AR334" i="124"/>
  <c r="J335" i="124"/>
  <c r="Z212" i="124"/>
  <c r="Z181" i="124"/>
  <c r="Z192" i="124" s="1"/>
  <c r="BC212" i="124"/>
  <c r="BC181" i="124"/>
  <c r="BC192" i="124" s="1"/>
  <c r="AU212" i="124"/>
  <c r="AU181" i="124"/>
  <c r="AU192" i="124" s="1"/>
  <c r="L212" i="124"/>
  <c r="L181" i="124"/>
  <c r="L192" i="124" s="1"/>
  <c r="AP212" i="124"/>
  <c r="AP181" i="124"/>
  <c r="AP192" i="124" s="1"/>
  <c r="BG125" i="124"/>
  <c r="BG133" i="124" s="1"/>
  <c r="L334" i="124"/>
  <c r="AW47" i="124"/>
  <c r="AW333" i="124"/>
  <c r="BD258" i="124"/>
  <c r="BD269" i="124" s="1"/>
  <c r="BD279" i="124"/>
  <c r="BD303" i="124" s="1"/>
  <c r="BB279" i="124"/>
  <c r="BB303" i="124" s="1"/>
  <c r="BB258" i="124"/>
  <c r="BB269" i="124" s="1"/>
  <c r="AY279" i="124"/>
  <c r="AY303" i="124" s="1"/>
  <c r="AY258" i="124"/>
  <c r="AY269" i="124" s="1"/>
  <c r="AV258" i="124"/>
  <c r="AV269" i="124" s="1"/>
  <c r="AV279" i="124"/>
  <c r="AV303" i="124" s="1"/>
  <c r="N279" i="124"/>
  <c r="N303" i="124" s="1"/>
  <c r="N258" i="124"/>
  <c r="N269" i="124" s="1"/>
  <c r="K279" i="124"/>
  <c r="K303" i="124" s="1"/>
  <c r="K258" i="124"/>
  <c r="K269" i="124" s="1"/>
  <c r="H279" i="124"/>
  <c r="H258" i="124"/>
  <c r="BD47" i="124"/>
  <c r="BD333" i="124"/>
  <c r="AS335" i="124"/>
  <c r="BA284" i="124"/>
  <c r="Q284" i="124"/>
  <c r="AU212" i="120"/>
  <c r="Z260" i="124"/>
  <c r="Z271" i="124" s="1"/>
  <c r="X291" i="124"/>
  <c r="X260" i="124"/>
  <c r="X271" i="124" s="1"/>
  <c r="U291" i="124"/>
  <c r="U260" i="124"/>
  <c r="U271" i="124" s="1"/>
  <c r="P291" i="124"/>
  <c r="P260" i="124"/>
  <c r="P271" i="124" s="1"/>
  <c r="AS291" i="124"/>
  <c r="AS260" i="124"/>
  <c r="AS271" i="124" s="1"/>
  <c r="AP291" i="124"/>
  <c r="AP260" i="124"/>
  <c r="AP271" i="124" s="1"/>
  <c r="BD335" i="124"/>
  <c r="BE126" i="124"/>
  <c r="BB205" i="124"/>
  <c r="AX126" i="124"/>
  <c r="BC133" i="124"/>
  <c r="BC102" i="124"/>
  <c r="BC113" i="124" s="1"/>
  <c r="S133" i="124"/>
  <c r="S102" i="124"/>
  <c r="S113" i="124" s="1"/>
  <c r="AU102" i="124"/>
  <c r="AU113" i="124" s="1"/>
  <c r="AU133" i="124"/>
  <c r="AQ133" i="124"/>
  <c r="AQ102" i="124"/>
  <c r="AQ113" i="124" s="1"/>
  <c r="BF23" i="124"/>
  <c r="BF54" i="124"/>
  <c r="BB54" i="124"/>
  <c r="BB23" i="124"/>
  <c r="AX23" i="124"/>
  <c r="AX54" i="124"/>
  <c r="AT54" i="124"/>
  <c r="AT23" i="124"/>
  <c r="AP54" i="124"/>
  <c r="AP23" i="124"/>
  <c r="AZ279" i="120"/>
  <c r="AZ303" i="120" s="1"/>
  <c r="AZ293" i="120"/>
  <c r="Z33" i="124"/>
  <c r="Z53" i="124" s="1"/>
  <c r="Z329" i="124"/>
  <c r="Z340" i="124" s="1"/>
  <c r="V33" i="124"/>
  <c r="V53" i="124" s="1"/>
  <c r="V329" i="124"/>
  <c r="V340" i="124" s="1"/>
  <c r="R33" i="124"/>
  <c r="R53" i="124" s="1"/>
  <c r="R329" i="124"/>
  <c r="R340" i="124" s="1"/>
  <c r="N33" i="124"/>
  <c r="N53" i="124" s="1"/>
  <c r="N329" i="124"/>
  <c r="N340" i="124" s="1"/>
  <c r="J33" i="124"/>
  <c r="J53" i="124" s="1"/>
  <c r="J329" i="124"/>
  <c r="J340" i="124" s="1"/>
  <c r="BE21" i="124"/>
  <c r="BE42" i="124"/>
  <c r="BE66" i="124" s="1"/>
  <c r="U21" i="124"/>
  <c r="U42" i="124"/>
  <c r="U66" i="124" s="1"/>
  <c r="Q42" i="124"/>
  <c r="Q66" i="124" s="1"/>
  <c r="Q21" i="124"/>
  <c r="M21" i="124"/>
  <c r="M42" i="124"/>
  <c r="M66" i="124" s="1"/>
  <c r="AO21" i="124"/>
  <c r="AO42" i="124"/>
  <c r="AO66" i="124" s="1"/>
  <c r="BE291" i="120"/>
  <c r="BI252" i="120"/>
  <c r="BI301" i="120"/>
  <c r="BI197" i="120"/>
  <c r="BI275" i="120"/>
  <c r="BI173" i="120"/>
  <c r="BI302" i="120"/>
  <c r="BI198" i="120"/>
  <c r="BI276" i="120"/>
  <c r="BI199" i="120"/>
  <c r="BI214" i="120" s="1"/>
  <c r="BI277" i="120"/>
  <c r="BI196" i="120"/>
  <c r="BI222" i="120"/>
  <c r="BI143" i="120"/>
  <c r="BI278" i="120"/>
  <c r="BI293" i="120" s="1"/>
  <c r="BI223" i="120"/>
  <c r="BI144" i="120"/>
  <c r="BI249" i="120"/>
  <c r="BI170" i="120"/>
  <c r="H42" i="120"/>
  <c r="H66" i="120" s="1"/>
  <c r="AZ205" i="124"/>
  <c r="L205" i="124"/>
  <c r="BH228" i="124" a="1"/>
  <c r="BH228" i="124" s="1"/>
  <c r="BH227" i="124" a="1"/>
  <c r="BH227" i="124" s="1"/>
  <c r="BH185" i="124"/>
  <c r="BH184" i="124"/>
  <c r="BH174" i="124"/>
  <c r="BH175" i="124" s="1"/>
  <c r="BH211" i="124" s="1"/>
  <c r="BH22" i="124"/>
  <c r="BH279" i="124"/>
  <c r="BH258" i="124"/>
  <c r="BA205" i="120"/>
  <c r="AY284" i="120"/>
  <c r="BC205" i="124"/>
  <c r="W334" i="124"/>
  <c r="BB47" i="124"/>
  <c r="BB333" i="124"/>
  <c r="AR205" i="124"/>
  <c r="AU334" i="124"/>
  <c r="BG179" i="120"/>
  <c r="BG190" i="120" s="1"/>
  <c r="BG200" i="120"/>
  <c r="BG224" i="120" s="1"/>
  <c r="W126" i="124"/>
  <c r="BG132" i="124"/>
  <c r="AP335" i="124"/>
  <c r="J126" i="124"/>
  <c r="BF179" i="120"/>
  <c r="BF190" i="120" s="1"/>
  <c r="BF200" i="120"/>
  <c r="BF224" i="120" s="1"/>
  <c r="BC179" i="124"/>
  <c r="BC190" i="124" s="1"/>
  <c r="BC200" i="124"/>
  <c r="BC224" i="124" s="1"/>
  <c r="BA179" i="120"/>
  <c r="BA190" i="120" s="1"/>
  <c r="BA200" i="120"/>
  <c r="BA224" i="120" s="1"/>
  <c r="AX200" i="124"/>
  <c r="AX224" i="124" s="1"/>
  <c r="AX179" i="124"/>
  <c r="AX190" i="124" s="1"/>
  <c r="AU200" i="124"/>
  <c r="AU224" i="124" s="1"/>
  <c r="AU179" i="124"/>
  <c r="AU190" i="124" s="1"/>
  <c r="AS179" i="120"/>
  <c r="AS190" i="120" s="1"/>
  <c r="AS200" i="120"/>
  <c r="AS224" i="120" s="1"/>
  <c r="AP200" i="124"/>
  <c r="AP224" i="124" s="1"/>
  <c r="AP179" i="124"/>
  <c r="AP190" i="124" s="1"/>
  <c r="Y121" i="124"/>
  <c r="Y145" i="124" s="1"/>
  <c r="Y100" i="124"/>
  <c r="Y111" i="124" s="1"/>
  <c r="BA100" i="124"/>
  <c r="BA111" i="124" s="1"/>
  <c r="BA121" i="124"/>
  <c r="BA145" i="124" s="1"/>
  <c r="Q121" i="124"/>
  <c r="Q145" i="124" s="1"/>
  <c r="Q100" i="124"/>
  <c r="Q111" i="124" s="1"/>
  <c r="AS121" i="124"/>
  <c r="AS145" i="124" s="1"/>
  <c r="AS100" i="124"/>
  <c r="AS111" i="124" s="1"/>
  <c r="AO121" i="124"/>
  <c r="AO145" i="124" s="1"/>
  <c r="AO100" i="124"/>
  <c r="AO111" i="124" s="1"/>
  <c r="H135" i="124"/>
  <c r="K47" i="124"/>
  <c r="K333" i="124"/>
  <c r="AR335" i="124"/>
  <c r="S47" i="124"/>
  <c r="S333" i="124"/>
  <c r="AZ212" i="124"/>
  <c r="AZ181" i="124"/>
  <c r="AZ192" i="124" s="1"/>
  <c r="AO212" i="124"/>
  <c r="AO181" i="124"/>
  <c r="AO192" i="124" s="1"/>
  <c r="BF211" i="124"/>
  <c r="AA42" i="124"/>
  <c r="AA66" i="124" s="1"/>
  <c r="AA21" i="124"/>
  <c r="AV205" i="124"/>
  <c r="AW284" i="120"/>
  <c r="AZ47" i="124"/>
  <c r="AZ333" i="124"/>
  <c r="AW334" i="124"/>
  <c r="BD289" i="120"/>
  <c r="BD287" i="120"/>
  <c r="BD267" i="120" s="1"/>
  <c r="U279" i="124"/>
  <c r="U303" i="124" s="1"/>
  <c r="U258" i="124"/>
  <c r="U269" i="124" s="1"/>
  <c r="S279" i="124"/>
  <c r="S303" i="124" s="1"/>
  <c r="S258" i="124"/>
  <c r="S269" i="124" s="1"/>
  <c r="AV258" i="120"/>
  <c r="AV269" i="120" s="1"/>
  <c r="AV279" i="120"/>
  <c r="AV303" i="120" s="1"/>
  <c r="M258" i="124"/>
  <c r="M269" i="124" s="1"/>
  <c r="M279" i="124"/>
  <c r="M303" i="124" s="1"/>
  <c r="AQ279" i="120"/>
  <c r="AQ303" i="120" s="1"/>
  <c r="AQ258" i="120"/>
  <c r="AQ269" i="120" s="1"/>
  <c r="AN279" i="124"/>
  <c r="AN258" i="124"/>
  <c r="AO284" i="124"/>
  <c r="AS334" i="124"/>
  <c r="S126" i="124"/>
  <c r="H266" i="124"/>
  <c r="AI266" i="124" s="1"/>
  <c r="H283" i="124"/>
  <c r="H291" i="124" s="1"/>
  <c r="H282" i="124"/>
  <c r="H281" i="124"/>
  <c r="BF271" i="120"/>
  <c r="AX291" i="124"/>
  <c r="AX260" i="124"/>
  <c r="AX271" i="124" s="1"/>
  <c r="AU291" i="124"/>
  <c r="AU260" i="124"/>
  <c r="AU271" i="124" s="1"/>
  <c r="J291" i="124"/>
  <c r="J260" i="124"/>
  <c r="J271" i="124" s="1"/>
  <c r="BG211" i="120"/>
  <c r="AP284" i="120"/>
  <c r="U126" i="124"/>
  <c r="BD334" i="124"/>
  <c r="O205" i="124"/>
  <c r="W133" i="124"/>
  <c r="W102" i="124"/>
  <c r="W113" i="124" s="1"/>
  <c r="AY133" i="124"/>
  <c r="AY102" i="124"/>
  <c r="AY113" i="124" s="1"/>
  <c r="O133" i="124"/>
  <c r="O102" i="124"/>
  <c r="O113" i="124" s="1"/>
  <c r="K102" i="124"/>
  <c r="K113" i="124" s="1"/>
  <c r="K133" i="124"/>
  <c r="Z54" i="124"/>
  <c r="Z23" i="124"/>
  <c r="V23" i="124"/>
  <c r="V54" i="124"/>
  <c r="R54" i="124"/>
  <c r="R23" i="124"/>
  <c r="N23" i="124"/>
  <c r="N54" i="124"/>
  <c r="J54" i="124"/>
  <c r="J23" i="124"/>
  <c r="BE33" i="124"/>
  <c r="BE53" i="124" s="1"/>
  <c r="BE329" i="124"/>
  <c r="BE340" i="124" s="1"/>
  <c r="BA33" i="124"/>
  <c r="BA53" i="124" s="1"/>
  <c r="BA329" i="124"/>
  <c r="BA340" i="124" s="1"/>
  <c r="Q33" i="124"/>
  <c r="Q53" i="124" s="1"/>
  <c r="Q329" i="124"/>
  <c r="Q340" i="124" s="1"/>
  <c r="M33" i="124"/>
  <c r="M53" i="124" s="1"/>
  <c r="M329" i="124"/>
  <c r="M340" i="124" s="1"/>
  <c r="I33" i="124"/>
  <c r="I53" i="124" s="1"/>
  <c r="I329" i="124"/>
  <c r="I340" i="124" s="1"/>
  <c r="BD42" i="124"/>
  <c r="BD66" i="124" s="1"/>
  <c r="BD21" i="124"/>
  <c r="AZ21" i="124"/>
  <c r="AZ42" i="124"/>
  <c r="AZ66" i="124" s="1"/>
  <c r="P21" i="124"/>
  <c r="P42" i="124"/>
  <c r="P66" i="124" s="1"/>
  <c r="AR21" i="124"/>
  <c r="AR42" i="124"/>
  <c r="AR66" i="124" s="1"/>
  <c r="H21" i="124"/>
  <c r="H42" i="124"/>
  <c r="H29" i="124"/>
  <c r="H46" i="124"/>
  <c r="H54" i="124" s="1"/>
  <c r="H45" i="124"/>
  <c r="H44" i="124"/>
  <c r="BH105" i="124"/>
  <c r="BH148" i="124" a="1"/>
  <c r="BH148" i="124" s="1"/>
  <c r="BH106" i="124"/>
  <c r="BH149" i="124" a="1"/>
  <c r="BH149" i="124" s="1"/>
  <c r="BH95" i="124"/>
  <c r="BH96" i="124" s="1"/>
  <c r="BH132" i="124" s="1"/>
  <c r="BH260" i="124"/>
  <c r="W335" i="124"/>
  <c r="BB335" i="124"/>
  <c r="AT284" i="120"/>
  <c r="BG262" i="124"/>
  <c r="AS284" i="124"/>
  <c r="AU335" i="124"/>
  <c r="AB66" i="124"/>
  <c r="AB101" i="124"/>
  <c r="AB112" i="124" s="1"/>
  <c r="AA203" i="124"/>
  <c r="AA183" i="124"/>
  <c r="AA202" i="124" s="1"/>
  <c r="S284" i="124"/>
  <c r="R205" i="124"/>
  <c r="AP334" i="124"/>
  <c r="Z200" i="124"/>
  <c r="Z224" i="124" s="1"/>
  <c r="Z179" i="124"/>
  <c r="Z190" i="124" s="1"/>
  <c r="W179" i="124"/>
  <c r="W190" i="124" s="1"/>
  <c r="W200" i="124"/>
  <c r="W224" i="124" s="1"/>
  <c r="AZ179" i="124"/>
  <c r="AZ190" i="124" s="1"/>
  <c r="AZ200" i="124"/>
  <c r="AZ224" i="124" s="1"/>
  <c r="AX179" i="120"/>
  <c r="AX190" i="120" s="1"/>
  <c r="AX200" i="120"/>
  <c r="AX224" i="120" s="1"/>
  <c r="O179" i="124"/>
  <c r="O190" i="124" s="1"/>
  <c r="O200" i="124"/>
  <c r="O224" i="124" s="1"/>
  <c r="AR179" i="124"/>
  <c r="AR190" i="124" s="1"/>
  <c r="AR200" i="124"/>
  <c r="AR224" i="124" s="1"/>
  <c r="AP179" i="120"/>
  <c r="AP190" i="120" s="1"/>
  <c r="AP200" i="120"/>
  <c r="AP224" i="120" s="1"/>
  <c r="BE121" i="124"/>
  <c r="BE145" i="124" s="1"/>
  <c r="BE100" i="124"/>
  <c r="BE111" i="124" s="1"/>
  <c r="U121" i="124"/>
  <c r="U145" i="124" s="1"/>
  <c r="U100" i="124"/>
  <c r="U111" i="124" s="1"/>
  <c r="AW121" i="124"/>
  <c r="AW145" i="124" s="1"/>
  <c r="AW100" i="124"/>
  <c r="AW111" i="124" s="1"/>
  <c r="M121" i="124"/>
  <c r="M145" i="124" s="1"/>
  <c r="M100" i="124"/>
  <c r="M111" i="124" s="1"/>
  <c r="I100" i="124"/>
  <c r="I111" i="124" s="1"/>
  <c r="I121" i="124"/>
  <c r="I145" i="124" s="1"/>
  <c r="AN135" i="124"/>
  <c r="M126" i="124"/>
  <c r="K335" i="124"/>
  <c r="BG183" i="124"/>
  <c r="T47" i="124"/>
  <c r="T333" i="124"/>
  <c r="S334" i="124"/>
  <c r="P126" i="124"/>
  <c r="H101" i="124"/>
  <c r="Y212" i="124"/>
  <c r="Y181" i="124"/>
  <c r="Y192" i="124" s="1"/>
  <c r="T212" i="124"/>
  <c r="T181" i="124"/>
  <c r="T192" i="124" s="1"/>
  <c r="Q212" i="124"/>
  <c r="Q181" i="124"/>
  <c r="Q192" i="124" s="1"/>
  <c r="AT212" i="124"/>
  <c r="AT181" i="124"/>
  <c r="AT192" i="124" s="1"/>
  <c r="AR212" i="124"/>
  <c r="AR181" i="124"/>
  <c r="AR192" i="124" s="1"/>
  <c r="I212" i="124"/>
  <c r="I181" i="124"/>
  <c r="I192" i="124" s="1"/>
  <c r="AA124" i="124"/>
  <c r="AA104" i="124"/>
  <c r="AA123" i="124" s="1"/>
  <c r="AQ126" i="124"/>
  <c r="AZ334" i="124"/>
  <c r="AW335" i="124"/>
  <c r="Z279" i="124"/>
  <c r="Z303" i="124" s="1"/>
  <c r="Z258" i="124"/>
  <c r="Z269" i="124" s="1"/>
  <c r="X279" i="124"/>
  <c r="X303" i="124" s="1"/>
  <c r="X258" i="124"/>
  <c r="X269" i="124" s="1"/>
  <c r="BA279" i="124"/>
  <c r="BA303" i="124" s="1"/>
  <c r="BA258" i="124"/>
  <c r="BA269" i="124" s="1"/>
  <c r="R279" i="124"/>
  <c r="R303" i="124" s="1"/>
  <c r="R258" i="124"/>
  <c r="R269" i="124" s="1"/>
  <c r="P279" i="124"/>
  <c r="P303" i="124" s="1"/>
  <c r="P258" i="124"/>
  <c r="P269" i="124" s="1"/>
  <c r="AS279" i="124"/>
  <c r="AS303" i="124" s="1"/>
  <c r="AS258" i="124"/>
  <c r="AS269" i="124" s="1"/>
  <c r="AP279" i="124"/>
  <c r="AP303" i="124" s="1"/>
  <c r="AP258" i="124"/>
  <c r="AP269" i="124" s="1"/>
  <c r="AN258" i="120"/>
  <c r="AN269" i="120" s="1"/>
  <c r="AN303" i="120"/>
  <c r="BG202" i="120"/>
  <c r="AR284" i="120"/>
  <c r="Q47" i="124"/>
  <c r="Q333" i="124"/>
  <c r="AO200" i="120"/>
  <c r="AO224" i="120" s="1"/>
  <c r="AO214" i="120"/>
  <c r="BF291" i="124"/>
  <c r="BF260" i="124"/>
  <c r="BF271" i="124" s="1"/>
  <c r="BC291" i="124"/>
  <c r="BC260" i="124"/>
  <c r="BC271" i="124" s="1"/>
  <c r="AZ291" i="124"/>
  <c r="AZ260" i="124"/>
  <c r="AZ271" i="124" s="1"/>
  <c r="R291" i="124"/>
  <c r="R260" i="124"/>
  <c r="R271" i="124" s="1"/>
  <c r="O291" i="124"/>
  <c r="O260" i="124"/>
  <c r="O271" i="124" s="1"/>
  <c r="AR291" i="124"/>
  <c r="AR260" i="124"/>
  <c r="AR271" i="124" s="1"/>
  <c r="I284" i="124"/>
  <c r="AW284" i="124"/>
  <c r="I47" i="124"/>
  <c r="I333" i="124"/>
  <c r="AN291" i="120"/>
  <c r="Z133" i="124"/>
  <c r="Z102" i="124"/>
  <c r="Z113" i="124" s="1"/>
  <c r="V133" i="124"/>
  <c r="V102" i="124"/>
  <c r="V113" i="124" s="1"/>
  <c r="R133" i="124"/>
  <c r="R102" i="124"/>
  <c r="R113" i="124" s="1"/>
  <c r="N133" i="124"/>
  <c r="N102" i="124"/>
  <c r="N113" i="124" s="1"/>
  <c r="AP133" i="124"/>
  <c r="AP102" i="124"/>
  <c r="AP113" i="124" s="1"/>
  <c r="Y54" i="124"/>
  <c r="Y23" i="124"/>
  <c r="U54" i="124"/>
  <c r="U23" i="124"/>
  <c r="AW54" i="124"/>
  <c r="AW23" i="124"/>
  <c r="AS54" i="124"/>
  <c r="AS23" i="124"/>
  <c r="AO54" i="124"/>
  <c r="AO23" i="124"/>
  <c r="AR279" i="120"/>
  <c r="AR303" i="120" s="1"/>
  <c r="AR293" i="120"/>
  <c r="AO279" i="120"/>
  <c r="AO303" i="120" s="1"/>
  <c r="AO293" i="120"/>
  <c r="AO294" i="120" s="1"/>
  <c r="Y33" i="124"/>
  <c r="Y53" i="124" s="1"/>
  <c r="Y329" i="124"/>
  <c r="Y340" i="124" s="1"/>
  <c r="U33" i="124"/>
  <c r="U53" i="124" s="1"/>
  <c r="U329" i="124"/>
  <c r="U340" i="124" s="1"/>
  <c r="AW33" i="124"/>
  <c r="AW53" i="124" s="1"/>
  <c r="AW329" i="124"/>
  <c r="AW340" i="124" s="1"/>
  <c r="AS33" i="124"/>
  <c r="AS53" i="124" s="1"/>
  <c r="AS329" i="124"/>
  <c r="AS340" i="124" s="1"/>
  <c r="AO33" i="124"/>
  <c r="AO53" i="124" s="1"/>
  <c r="AO329" i="124"/>
  <c r="AO340" i="124" s="1"/>
  <c r="X21" i="124"/>
  <c r="X42" i="124"/>
  <c r="X66" i="124" s="1"/>
  <c r="T42" i="124"/>
  <c r="T66" i="124" s="1"/>
  <c r="T21" i="124"/>
  <c r="AV42" i="124"/>
  <c r="AV66" i="124" s="1"/>
  <c r="AV21" i="124"/>
  <c r="L42" i="124"/>
  <c r="L66" i="124" s="1"/>
  <c r="L21" i="124"/>
  <c r="AN42" i="124"/>
  <c r="AN21" i="124"/>
  <c r="AA190" i="124"/>
  <c r="BE333" i="124"/>
  <c r="BH253" i="124"/>
  <c r="BH263" i="124"/>
  <c r="BH264" i="124"/>
  <c r="BH307" i="124" a="1"/>
  <c r="BH307" i="124" s="1"/>
  <c r="BH306" i="124" a="1"/>
  <c r="BH306" i="124" s="1"/>
  <c r="AV284" i="124"/>
  <c r="BC47" i="124"/>
  <c r="BC333" i="124"/>
  <c r="AO126" i="124"/>
  <c r="AO205" i="124"/>
  <c r="BH259" i="120"/>
  <c r="BH270" i="120" s="1"/>
  <c r="AV47" i="124"/>
  <c r="AV333" i="124"/>
  <c r="BB126" i="124"/>
  <c r="BB284" i="120"/>
  <c r="BB334" i="124"/>
  <c r="AA283" i="124"/>
  <c r="AA291" i="124" s="1"/>
  <c r="AY284" i="124"/>
  <c r="W205" i="124"/>
  <c r="BB284" i="124"/>
  <c r="V47" i="124"/>
  <c r="V333" i="124"/>
  <c r="Y333" i="124"/>
  <c r="AA102" i="124"/>
  <c r="AB22" i="124"/>
  <c r="AB180" i="124"/>
  <c r="AB191" i="124" s="1"/>
  <c r="AB258" i="124"/>
  <c r="AB279" i="124"/>
  <c r="AB303" i="124" s="1"/>
  <c r="U47" i="124"/>
  <c r="U333" i="124"/>
  <c r="AP205" i="120"/>
  <c r="AY47" i="124"/>
  <c r="AY333" i="124"/>
  <c r="BE208" i="120"/>
  <c r="BE188" i="120" s="1"/>
  <c r="BE210" i="120"/>
  <c r="BC179" i="120"/>
  <c r="BC190" i="120" s="1"/>
  <c r="BC200" i="120"/>
  <c r="BC224" i="120" s="1"/>
  <c r="AZ179" i="120"/>
  <c r="AZ190" i="120" s="1"/>
  <c r="AZ200" i="120"/>
  <c r="AZ224" i="120" s="1"/>
  <c r="AW210" i="120"/>
  <c r="AW208" i="120"/>
  <c r="AW188" i="120" s="1"/>
  <c r="AU179" i="120"/>
  <c r="AU190" i="120" s="1"/>
  <c r="AU200" i="120"/>
  <c r="AU224" i="120" s="1"/>
  <c r="AR179" i="120"/>
  <c r="AR190" i="120" s="1"/>
  <c r="AR200" i="120"/>
  <c r="AR224" i="120" s="1"/>
  <c r="AO210" i="120"/>
  <c r="AO215" i="120" s="1"/>
  <c r="AO231" i="120" s="1"/>
  <c r="AO208" i="120"/>
  <c r="AO188" i="120" s="1"/>
  <c r="X121" i="124"/>
  <c r="X145" i="124" s="1"/>
  <c r="X100" i="124"/>
  <c r="X111" i="124" s="1"/>
  <c r="T121" i="124"/>
  <c r="T145" i="124" s="1"/>
  <c r="T100" i="124"/>
  <c r="T111" i="124" s="1"/>
  <c r="AV121" i="124"/>
  <c r="AV145" i="124" s="1"/>
  <c r="AV100" i="124"/>
  <c r="AV111" i="124" s="1"/>
  <c r="AR100" i="124"/>
  <c r="AR111" i="124" s="1"/>
  <c r="AR121" i="124"/>
  <c r="AR145" i="124" s="1"/>
  <c r="AN121" i="124"/>
  <c r="AN100" i="124"/>
  <c r="Z44" i="124"/>
  <c r="Z47" i="124" s="1"/>
  <c r="N47" i="124"/>
  <c r="N333" i="124"/>
  <c r="K334" i="124"/>
  <c r="T334" i="124"/>
  <c r="S335" i="124"/>
  <c r="AN101" i="124"/>
  <c r="BE212" i="124"/>
  <c r="BE181" i="124"/>
  <c r="BE192" i="124" s="1"/>
  <c r="BB212" i="124"/>
  <c r="BB181" i="124"/>
  <c r="BB192" i="124" s="1"/>
  <c r="AY212" i="124"/>
  <c r="AY181" i="124"/>
  <c r="AY192" i="124" s="1"/>
  <c r="AW212" i="124"/>
  <c r="AW181" i="124"/>
  <c r="AW192" i="124" s="1"/>
  <c r="N212" i="124"/>
  <c r="N181" i="124"/>
  <c r="N192" i="124" s="1"/>
  <c r="K212" i="124"/>
  <c r="K181" i="124"/>
  <c r="K192" i="124" s="1"/>
  <c r="AA279" i="124"/>
  <c r="AA303" i="124" s="1"/>
  <c r="AA258" i="124"/>
  <c r="AA269" i="124" s="1"/>
  <c r="AY212" i="120"/>
  <c r="M47" i="124"/>
  <c r="M333" i="124"/>
  <c r="BG258" i="124"/>
  <c r="BG269" i="124" s="1"/>
  <c r="BG279" i="124"/>
  <c r="BG303" i="124" s="1"/>
  <c r="R47" i="124"/>
  <c r="R333" i="124"/>
  <c r="AZ335" i="124"/>
  <c r="BF258" i="120"/>
  <c r="BF269" i="120" s="1"/>
  <c r="BF279" i="120"/>
  <c r="BF303" i="120" s="1"/>
  <c r="BC258" i="120"/>
  <c r="BC269" i="120" s="1"/>
  <c r="BC279" i="120"/>
  <c r="BC303" i="120" s="1"/>
  <c r="BA258" i="120"/>
  <c r="BA269" i="120" s="1"/>
  <c r="BA279" i="120"/>
  <c r="BA303" i="120" s="1"/>
  <c r="AX258" i="120"/>
  <c r="AX269" i="120" s="1"/>
  <c r="AX279" i="120"/>
  <c r="AX303" i="120" s="1"/>
  <c r="O279" i="124"/>
  <c r="O303" i="124" s="1"/>
  <c r="O258" i="124"/>
  <c r="O269" i="124" s="1"/>
  <c r="AS258" i="120"/>
  <c r="AS269" i="120" s="1"/>
  <c r="AS279" i="120"/>
  <c r="AS303" i="120" s="1"/>
  <c r="J279" i="124"/>
  <c r="J303" i="124" s="1"/>
  <c r="J258" i="124"/>
  <c r="J269" i="124" s="1"/>
  <c r="Q335" i="124"/>
  <c r="BE200" i="120"/>
  <c r="BE224" i="120" s="1"/>
  <c r="BE214" i="120"/>
  <c r="AW200" i="120"/>
  <c r="AW224" i="120" s="1"/>
  <c r="AW214" i="120"/>
  <c r="W291" i="124"/>
  <c r="W260" i="124"/>
  <c r="W271" i="124" s="1"/>
  <c r="T291" i="124"/>
  <c r="T260" i="124"/>
  <c r="T271" i="124" s="1"/>
  <c r="Q291" i="124"/>
  <c r="Q260" i="124"/>
  <c r="Q271" i="124" s="1"/>
  <c r="L291" i="124"/>
  <c r="L260" i="124"/>
  <c r="L271" i="124" s="1"/>
  <c r="I291" i="124"/>
  <c r="I260" i="124"/>
  <c r="I271" i="124" s="1"/>
  <c r="AN29" i="124"/>
  <c r="AN46" i="124"/>
  <c r="AN54" i="124" s="1"/>
  <c r="AN45" i="124"/>
  <c r="AN44" i="124"/>
  <c r="I335" i="124"/>
  <c r="BF133" i="124"/>
  <c r="BF102" i="124"/>
  <c r="BF113" i="124" s="1"/>
  <c r="BB133" i="124"/>
  <c r="BB102" i="124"/>
  <c r="BB113" i="124" s="1"/>
  <c r="AX133" i="124"/>
  <c r="AX102" i="124"/>
  <c r="AX113" i="124" s="1"/>
  <c r="AT133" i="124"/>
  <c r="AT102" i="124"/>
  <c r="AT113" i="124" s="1"/>
  <c r="J133" i="124"/>
  <c r="J102" i="124"/>
  <c r="J113" i="124" s="1"/>
  <c r="BE54" i="124"/>
  <c r="BE23" i="124"/>
  <c r="BA54" i="124"/>
  <c r="BA23" i="124"/>
  <c r="Q54" i="124"/>
  <c r="Q23" i="124"/>
  <c r="M54" i="124"/>
  <c r="M23" i="124"/>
  <c r="I54" i="124"/>
  <c r="I23" i="124"/>
  <c r="BE279" i="120"/>
  <c r="BE303" i="120" s="1"/>
  <c r="BE293" i="120"/>
  <c r="BD33" i="124"/>
  <c r="BD53" i="124" s="1"/>
  <c r="BD329" i="124"/>
  <c r="BD340" i="124" s="1"/>
  <c r="AZ33" i="124"/>
  <c r="AZ53" i="124" s="1"/>
  <c r="AZ329" i="124"/>
  <c r="AZ340" i="124" s="1"/>
  <c r="AV33" i="124"/>
  <c r="AV53" i="124" s="1"/>
  <c r="AV329" i="124"/>
  <c r="AV340" i="124" s="1"/>
  <c r="L33" i="124"/>
  <c r="L53" i="124" s="1"/>
  <c r="L329" i="124"/>
  <c r="L340" i="124" s="1"/>
  <c r="H22" i="124"/>
  <c r="W21" i="124"/>
  <c r="W42" i="124"/>
  <c r="W66" i="124" s="1"/>
  <c r="AY21" i="124"/>
  <c r="AY42" i="124"/>
  <c r="AY66" i="124" s="1"/>
  <c r="AU42" i="124"/>
  <c r="AU66" i="124" s="1"/>
  <c r="AU21" i="124"/>
  <c r="AQ21" i="124"/>
  <c r="AQ42" i="124"/>
  <c r="AQ66" i="124" s="1"/>
  <c r="AP90" i="124"/>
  <c r="AP147" i="124" s="1"/>
  <c r="J90" i="124"/>
  <c r="J147" i="124" s="1"/>
  <c r="BG258" i="120"/>
  <c r="BG269" i="120" s="1"/>
  <c r="BG279" i="120"/>
  <c r="BG303" i="120" s="1"/>
  <c r="BH66" i="124"/>
  <c r="BH179" i="124"/>
  <c r="BH200" i="124"/>
  <c r="BH224" i="124" s="1"/>
  <c r="BH303" i="124"/>
  <c r="BH306" i="120" a="1"/>
  <c r="BH306" i="120" s="1"/>
  <c r="BH264" i="120"/>
  <c r="BH263" i="120"/>
  <c r="BH307" i="120" a="1"/>
  <c r="BH307" i="120" s="1"/>
  <c r="BH253" i="120"/>
  <c r="AV334" i="124"/>
  <c r="H187" i="124"/>
  <c r="AI187" i="124" s="1"/>
  <c r="H203" i="124"/>
  <c r="H204" i="124"/>
  <c r="H212" i="124" s="1"/>
  <c r="H202" i="124"/>
  <c r="AA282" i="124"/>
  <c r="AA262" i="124"/>
  <c r="AA281" i="124" s="1"/>
  <c r="AB27" i="124"/>
  <c r="AB70" i="124" a="1"/>
  <c r="AB70" i="124" s="1"/>
  <c r="AB16" i="124"/>
  <c r="AB17" i="124" s="1"/>
  <c r="AB26" i="124"/>
  <c r="AB69" i="124" a="1"/>
  <c r="AB69" i="124" s="1"/>
  <c r="AB260" i="124"/>
  <c r="AA204" i="124"/>
  <c r="AA212" i="124" s="1"/>
  <c r="U334" i="124"/>
  <c r="AQ47" i="124"/>
  <c r="AQ333" i="124"/>
  <c r="AY334" i="124"/>
  <c r="Y200" i="124"/>
  <c r="Y224" i="124" s="1"/>
  <c r="Y179" i="124"/>
  <c r="Y190" i="124" s="1"/>
  <c r="BB179" i="120"/>
  <c r="BB190" i="120" s="1"/>
  <c r="BB200" i="120"/>
  <c r="BB224" i="120" s="1"/>
  <c r="T200" i="124"/>
  <c r="T224" i="124" s="1"/>
  <c r="T179" i="124"/>
  <c r="T190" i="124" s="1"/>
  <c r="Q200" i="124"/>
  <c r="Q224" i="124" s="1"/>
  <c r="Q179" i="124"/>
  <c r="Q190" i="124" s="1"/>
  <c r="AT179" i="120"/>
  <c r="AT190" i="120" s="1"/>
  <c r="AT200" i="120"/>
  <c r="AT224" i="120" s="1"/>
  <c r="L200" i="124"/>
  <c r="L224" i="124" s="1"/>
  <c r="L179" i="124"/>
  <c r="L190" i="124" s="1"/>
  <c r="AO200" i="124"/>
  <c r="AO224" i="124" s="1"/>
  <c r="AO179" i="124"/>
  <c r="AO190" i="124" s="1"/>
  <c r="BD121" i="124"/>
  <c r="BD145" i="124" s="1"/>
  <c r="BD100" i="124"/>
  <c r="BD111" i="124" s="1"/>
  <c r="AZ100" i="124"/>
  <c r="AZ111" i="124" s="1"/>
  <c r="AZ121" i="124"/>
  <c r="AZ145" i="124" s="1"/>
  <c r="P121" i="124"/>
  <c r="P145" i="124" s="1"/>
  <c r="P100" i="124"/>
  <c r="P111" i="124" s="1"/>
  <c r="L121" i="124"/>
  <c r="L145" i="124" s="1"/>
  <c r="L100" i="124"/>
  <c r="L111" i="124" s="1"/>
  <c r="H121" i="124"/>
  <c r="H100" i="124"/>
  <c r="N335" i="124"/>
  <c r="AX47" i="124"/>
  <c r="AX333" i="124"/>
  <c r="T335" i="124"/>
  <c r="AN259" i="124"/>
  <c r="BD212" i="124"/>
  <c r="BD181" i="124"/>
  <c r="BD192" i="124" s="1"/>
  <c r="V212" i="124"/>
  <c r="V181" i="124"/>
  <c r="V192" i="124" s="1"/>
  <c r="P212" i="124"/>
  <c r="P181" i="124"/>
  <c r="P192" i="124" s="1"/>
  <c r="M334" i="124"/>
  <c r="BG181" i="124"/>
  <c r="R335" i="124"/>
  <c r="AX284" i="120"/>
  <c r="BF279" i="124"/>
  <c r="BF303" i="124" s="1"/>
  <c r="BF258" i="124"/>
  <c r="BF269" i="124" s="1"/>
  <c r="W279" i="124"/>
  <c r="W303" i="124" s="1"/>
  <c r="W258" i="124"/>
  <c r="W269" i="124" s="1"/>
  <c r="T279" i="124"/>
  <c r="T303" i="124" s="1"/>
  <c r="T258" i="124"/>
  <c r="T269" i="124" s="1"/>
  <c r="AX279" i="124"/>
  <c r="AX303" i="124" s="1"/>
  <c r="AX258" i="124"/>
  <c r="AX269" i="124" s="1"/>
  <c r="AU258" i="120"/>
  <c r="AU269" i="120" s="1"/>
  <c r="AU279" i="120"/>
  <c r="AU303" i="120" s="1"/>
  <c r="L279" i="124"/>
  <c r="L303" i="124" s="1"/>
  <c r="L258" i="124"/>
  <c r="L269" i="124" s="1"/>
  <c r="AP258" i="120"/>
  <c r="AP269" i="120" s="1"/>
  <c r="AP279" i="120"/>
  <c r="AP303" i="120" s="1"/>
  <c r="BF44" i="124"/>
  <c r="BF47" i="124" s="1"/>
  <c r="AS212" i="120"/>
  <c r="BC284" i="120"/>
  <c r="BG260" i="124"/>
  <c r="AW212" i="120"/>
  <c r="Q334" i="124"/>
  <c r="BE291" i="124"/>
  <c r="BE260" i="124"/>
  <c r="BE271" i="124" s="1"/>
  <c r="V291" i="124"/>
  <c r="V260" i="124"/>
  <c r="V271" i="124" s="1"/>
  <c r="AT291" i="124"/>
  <c r="AT260" i="124"/>
  <c r="AT271" i="124" s="1"/>
  <c r="BG283" i="120"/>
  <c r="BG291" i="120" s="1"/>
  <c r="BG254" i="124"/>
  <c r="BG282" i="124" s="1"/>
  <c r="AT212" i="120"/>
  <c r="I334" i="124"/>
  <c r="Y133" i="124"/>
  <c r="Y102" i="124"/>
  <c r="Y113" i="124" s="1"/>
  <c r="U133" i="124"/>
  <c r="U102" i="124"/>
  <c r="U113" i="124" s="1"/>
  <c r="Q102" i="124"/>
  <c r="Q113" i="124" s="1"/>
  <c r="Q133" i="124"/>
  <c r="AS133" i="124"/>
  <c r="AS102" i="124"/>
  <c r="AS113" i="124" s="1"/>
  <c r="AO133" i="124"/>
  <c r="AO102" i="124"/>
  <c r="AO113" i="124" s="1"/>
  <c r="BD54" i="124"/>
  <c r="BD23" i="124"/>
  <c r="AZ23" i="124"/>
  <c r="AZ54" i="124"/>
  <c r="P23" i="124"/>
  <c r="P54" i="124"/>
  <c r="AR54" i="124"/>
  <c r="AR23" i="124"/>
  <c r="H23" i="124"/>
  <c r="X33" i="124"/>
  <c r="X53" i="124" s="1"/>
  <c r="X329" i="124"/>
  <c r="X340" i="124" s="1"/>
  <c r="T33" i="124"/>
  <c r="T53" i="124" s="1"/>
  <c r="T329" i="124"/>
  <c r="T340" i="124" s="1"/>
  <c r="P33" i="124"/>
  <c r="P53" i="124" s="1"/>
  <c r="P329" i="124"/>
  <c r="P340" i="124" s="1"/>
  <c r="AR33" i="124"/>
  <c r="AR53" i="124" s="1"/>
  <c r="AR329" i="124"/>
  <c r="AR340" i="124" s="1"/>
  <c r="AN22" i="124"/>
  <c r="BC42" i="124"/>
  <c r="BC66" i="124" s="1"/>
  <c r="BC21" i="124"/>
  <c r="S42" i="124"/>
  <c r="S66" i="124" s="1"/>
  <c r="S21" i="124"/>
  <c r="O21" i="124"/>
  <c r="O42" i="124"/>
  <c r="O66" i="124" s="1"/>
  <c r="K42" i="124"/>
  <c r="K66" i="124" s="1"/>
  <c r="K21" i="124"/>
  <c r="AA111" i="124"/>
  <c r="AN108" i="124"/>
  <c r="BO108" i="124" s="1"/>
  <c r="AN125" i="124"/>
  <c r="AN133" i="124" s="1"/>
  <c r="AN124" i="124"/>
  <c r="AN123" i="124"/>
  <c r="BI302" i="124"/>
  <c r="BI301" i="124"/>
  <c r="BI278" i="124"/>
  <c r="BI293" i="124" s="1"/>
  <c r="BI275" i="124"/>
  <c r="BI252" i="124"/>
  <c r="BI277" i="124"/>
  <c r="BI276" i="124"/>
  <c r="BI222" i="124"/>
  <c r="BI223" i="124"/>
  <c r="BI199" i="124"/>
  <c r="BI214" i="124" s="1"/>
  <c r="BI197" i="124"/>
  <c r="BI198" i="124"/>
  <c r="BI196" i="124"/>
  <c r="BI173" i="124"/>
  <c r="BI143" i="124"/>
  <c r="BI144" i="124"/>
  <c r="BI120" i="124"/>
  <c r="BI135" i="124" s="1"/>
  <c r="BI118" i="124"/>
  <c r="BI119" i="124"/>
  <c r="BI117" i="124"/>
  <c r="BI64" i="124"/>
  <c r="BI94" i="124"/>
  <c r="BI65" i="124"/>
  <c r="BI40" i="124"/>
  <c r="BI38" i="124"/>
  <c r="BJ8" i="124"/>
  <c r="BI15" i="124"/>
  <c r="BI41" i="124"/>
  <c r="BI56" i="124" s="1"/>
  <c r="BI39" i="124"/>
  <c r="BI249" i="124"/>
  <c r="BI170" i="124"/>
  <c r="BI91" i="124"/>
  <c r="BI12" i="124"/>
  <c r="BH174" i="120"/>
  <c r="BH175" i="120" s="1"/>
  <c r="BH211" i="120" s="1"/>
  <c r="BH184" i="120"/>
  <c r="BH183" i="120" s="1"/>
  <c r="BH228" i="120" a="1"/>
  <c r="BH228" i="120" s="1"/>
  <c r="BH227" i="120" a="1"/>
  <c r="BH227" i="120" s="1"/>
  <c r="BH185" i="120"/>
  <c r="BH279" i="120"/>
  <c r="BH303" i="120" s="1"/>
  <c r="BH293" i="120"/>
  <c r="AQ284" i="120"/>
  <c r="AV335" i="124"/>
  <c r="BF202" i="124"/>
  <c r="BF205" i="124" s="1"/>
  <c r="AA260" i="124"/>
  <c r="P47" i="124"/>
  <c r="P333" i="124"/>
  <c r="AB148" i="124" a="1"/>
  <c r="AB148" i="124" s="1"/>
  <c r="AB149" i="124" a="1"/>
  <c r="AB149" i="124" s="1"/>
  <c r="AB106" i="124"/>
  <c r="AB105" i="124"/>
  <c r="AB95" i="124"/>
  <c r="AB96" i="124" s="1"/>
  <c r="AB121" i="124"/>
  <c r="AB145" i="124" s="1"/>
  <c r="AB100" i="124"/>
  <c r="AB200" i="124"/>
  <c r="AB224" i="124" s="1"/>
  <c r="AB179" i="124"/>
  <c r="U335" i="124"/>
  <c r="AQ335" i="124"/>
  <c r="BG45" i="124"/>
  <c r="BG25" i="124"/>
  <c r="AY335" i="124"/>
  <c r="BE200" i="124"/>
  <c r="BE224" i="124" s="1"/>
  <c r="BE179" i="124"/>
  <c r="BE190" i="124" s="1"/>
  <c r="BB200" i="124"/>
  <c r="BB224" i="124" s="1"/>
  <c r="BB179" i="124"/>
  <c r="BB190" i="124" s="1"/>
  <c r="S200" i="124"/>
  <c r="S224" i="124" s="1"/>
  <c r="S179" i="124"/>
  <c r="S190" i="124" s="1"/>
  <c r="AW200" i="124"/>
  <c r="AW224" i="124" s="1"/>
  <c r="AW179" i="124"/>
  <c r="AW190" i="124" s="1"/>
  <c r="N200" i="124"/>
  <c r="N224" i="124" s="1"/>
  <c r="N179" i="124"/>
  <c r="N190" i="124" s="1"/>
  <c r="AQ200" i="120"/>
  <c r="AQ224" i="120" s="1"/>
  <c r="AQ179" i="120"/>
  <c r="AQ190" i="120" s="1"/>
  <c r="I200" i="124"/>
  <c r="I224" i="124" s="1"/>
  <c r="I179" i="124"/>
  <c r="I190" i="124" s="1"/>
  <c r="H56" i="124"/>
  <c r="W121" i="124"/>
  <c r="W145" i="124" s="1"/>
  <c r="W100" i="124"/>
  <c r="W111" i="124" s="1"/>
  <c r="AY121" i="124"/>
  <c r="AY145" i="124" s="1"/>
  <c r="AY100" i="124"/>
  <c r="AY111" i="124" s="1"/>
  <c r="O121" i="124"/>
  <c r="O145" i="124" s="1"/>
  <c r="O100" i="124"/>
  <c r="O111" i="124" s="1"/>
  <c r="AQ121" i="124"/>
  <c r="AQ145" i="124" s="1"/>
  <c r="AQ100" i="124"/>
  <c r="AQ111" i="124" s="1"/>
  <c r="AA290" i="124"/>
  <c r="N334" i="124"/>
  <c r="AX335" i="124"/>
  <c r="H259" i="124"/>
  <c r="X212" i="124"/>
  <c r="X181" i="124"/>
  <c r="X192" i="124" s="1"/>
  <c r="S212" i="124"/>
  <c r="S181" i="124"/>
  <c r="S192" i="124" s="1"/>
  <c r="AV212" i="124"/>
  <c r="AV181" i="124"/>
  <c r="AV192" i="124" s="1"/>
  <c r="AQ212" i="124"/>
  <c r="AQ181" i="124"/>
  <c r="AQ192" i="124" s="1"/>
  <c r="H181" i="124"/>
  <c r="AA125" i="124"/>
  <c r="M335" i="124"/>
  <c r="BG121" i="124"/>
  <c r="BG145" i="124" s="1"/>
  <c r="BG100" i="124"/>
  <c r="BG111" i="124" s="1"/>
  <c r="R334" i="124"/>
  <c r="BD205" i="120"/>
  <c r="BE258" i="124"/>
  <c r="BE269" i="124" s="1"/>
  <c r="BE279" i="124"/>
  <c r="BE303" i="124" s="1"/>
  <c r="BC279" i="124"/>
  <c r="BC303" i="124" s="1"/>
  <c r="BC258" i="124"/>
  <c r="BC269" i="124" s="1"/>
  <c r="AZ289" i="120"/>
  <c r="AZ287" i="120"/>
  <c r="AZ267" i="120" s="1"/>
  <c r="AW258" i="120"/>
  <c r="AW269" i="120" s="1"/>
  <c r="AW279" i="120"/>
  <c r="AW303" i="120" s="1"/>
  <c r="AU279" i="124"/>
  <c r="AU303" i="124" s="1"/>
  <c r="AU258" i="124"/>
  <c r="AU269" i="124" s="1"/>
  <c r="AR279" i="124"/>
  <c r="AR303" i="124" s="1"/>
  <c r="AR258" i="124"/>
  <c r="AR269" i="124" s="1"/>
  <c r="AO279" i="124"/>
  <c r="AO303" i="124" s="1"/>
  <c r="AO258" i="124"/>
  <c r="AO269" i="124" s="1"/>
  <c r="AA181" i="124"/>
  <c r="BA126" i="124"/>
  <c r="AX284" i="124"/>
  <c r="R126" i="124"/>
  <c r="Y291" i="124"/>
  <c r="Y260" i="124"/>
  <c r="Y271" i="124" s="1"/>
  <c r="AW291" i="124"/>
  <c r="AW260" i="124"/>
  <c r="AW271" i="124" s="1"/>
  <c r="AQ291" i="124"/>
  <c r="AQ260" i="124"/>
  <c r="AQ271" i="124" s="1"/>
  <c r="AO291" i="124"/>
  <c r="AO260" i="124"/>
  <c r="AO271" i="124" s="1"/>
  <c r="BG281" i="120"/>
  <c r="H108" i="124"/>
  <c r="AI108" i="124" s="1"/>
  <c r="H124" i="124"/>
  <c r="H125" i="124"/>
  <c r="H133" i="124" s="1"/>
  <c r="H123" i="124"/>
  <c r="BA291" i="120"/>
  <c r="BG175" i="124"/>
  <c r="BG203" i="124" s="1"/>
  <c r="AT205" i="120"/>
  <c r="BE133" i="124"/>
  <c r="BE102" i="124"/>
  <c r="BE113" i="124" s="1"/>
  <c r="BA102" i="124"/>
  <c r="BA113" i="124" s="1"/>
  <c r="BA133" i="124"/>
  <c r="AW102" i="124"/>
  <c r="AW113" i="124" s="1"/>
  <c r="AW133" i="124"/>
  <c r="M102" i="124"/>
  <c r="M113" i="124" s="1"/>
  <c r="M133" i="124"/>
  <c r="I133" i="124"/>
  <c r="I102" i="124"/>
  <c r="I113" i="124" s="1"/>
  <c r="X23" i="124"/>
  <c r="X54" i="124"/>
  <c r="T54" i="124"/>
  <c r="T23" i="124"/>
  <c r="AV54" i="124"/>
  <c r="AV23" i="124"/>
  <c r="L54" i="124"/>
  <c r="L23" i="124"/>
  <c r="AN23" i="124"/>
  <c r="BD279" i="120"/>
  <c r="BD303" i="120" s="1"/>
  <c r="BD293" i="120"/>
  <c r="AN293" i="124"/>
  <c r="BC33" i="124"/>
  <c r="BC53" i="124" s="1"/>
  <c r="BC329" i="124"/>
  <c r="BC340" i="124" s="1"/>
  <c r="S33" i="124"/>
  <c r="S53" i="124" s="1"/>
  <c r="S329" i="124"/>
  <c r="S340" i="124" s="1"/>
  <c r="AU33" i="124"/>
  <c r="AU53" i="124" s="1"/>
  <c r="AU329" i="124"/>
  <c r="AU340" i="124" s="1"/>
  <c r="AQ33" i="124"/>
  <c r="AQ53" i="124" s="1"/>
  <c r="AQ329" i="124"/>
  <c r="AQ340" i="124" s="1"/>
  <c r="BF21" i="124"/>
  <c r="BF42" i="124"/>
  <c r="BF66" i="124" s="1"/>
  <c r="V21" i="124"/>
  <c r="V42" i="124"/>
  <c r="V66" i="124" s="1"/>
  <c r="AX21" i="124"/>
  <c r="AX42" i="124"/>
  <c r="AX66" i="124" s="1"/>
  <c r="AT42" i="124"/>
  <c r="AT66" i="124" s="1"/>
  <c r="AT21" i="124"/>
  <c r="J42" i="124"/>
  <c r="J66" i="124" s="1"/>
  <c r="J21" i="124"/>
  <c r="AA121" i="124"/>
  <c r="AA145" i="124" s="1"/>
  <c r="BH148" i="120" a="1"/>
  <c r="BH148" i="120" s="1"/>
  <c r="BH149" i="120" a="1"/>
  <c r="BH149" i="120" s="1"/>
  <c r="H126" i="120"/>
  <c r="AA46" i="120"/>
  <c r="AA54" i="120" s="1"/>
  <c r="H47" i="120"/>
  <c r="AA45" i="120"/>
  <c r="AA203" i="120"/>
  <c r="AA204" i="120"/>
  <c r="AA212" i="120" s="1"/>
  <c r="AA211" i="120"/>
  <c r="AA202" i="120"/>
  <c r="AA290" i="120"/>
  <c r="AN337" i="120"/>
  <c r="BP337" i="120" s="1"/>
  <c r="AA282" i="120"/>
  <c r="AA281" i="120"/>
  <c r="BH101" i="120"/>
  <c r="BH112" i="120" s="1"/>
  <c r="BF125" i="120"/>
  <c r="BF133" i="120" s="1"/>
  <c r="AA283" i="120"/>
  <c r="AA291" i="120" s="1"/>
  <c r="AS126" i="120"/>
  <c r="AT126" i="120"/>
  <c r="AQ126" i="120"/>
  <c r="BA126" i="120"/>
  <c r="BF132" i="120"/>
  <c r="BE126" i="120"/>
  <c r="AN126" i="120"/>
  <c r="AA104" i="120"/>
  <c r="AQ333" i="120"/>
  <c r="AY121" i="120"/>
  <c r="AY145" i="120" s="1"/>
  <c r="AY101" i="120"/>
  <c r="AY112" i="120" s="1"/>
  <c r="AY132" i="120" s="1"/>
  <c r="BD126" i="120"/>
  <c r="AW121" i="120"/>
  <c r="AW145" i="120" s="1"/>
  <c r="AW135" i="120"/>
  <c r="BF124" i="120"/>
  <c r="BF334" i="120" s="1"/>
  <c r="BF100" i="120"/>
  <c r="BF111" i="120" s="1"/>
  <c r="BF121" i="120"/>
  <c r="BF145" i="120" s="1"/>
  <c r="AZ100" i="120"/>
  <c r="AZ111" i="120" s="1"/>
  <c r="AZ121" i="120"/>
  <c r="AZ145" i="120" s="1"/>
  <c r="AX100" i="120"/>
  <c r="AX111" i="120" s="1"/>
  <c r="AX121" i="120"/>
  <c r="AX145" i="120" s="1"/>
  <c r="AT100" i="120"/>
  <c r="AT111" i="120" s="1"/>
  <c r="AT121" i="120"/>
  <c r="AT145" i="120" s="1"/>
  <c r="AO126" i="120"/>
  <c r="BG111" i="120"/>
  <c r="J11" i="120"/>
  <c r="AP11" i="120"/>
  <c r="AA96" i="120"/>
  <c r="AA132" i="120" s="1"/>
  <c r="BB100" i="120"/>
  <c r="BB111" i="120" s="1"/>
  <c r="BB121" i="120"/>
  <c r="BB145" i="120" s="1"/>
  <c r="AR100" i="120"/>
  <c r="AR111" i="120" s="1"/>
  <c r="AR121" i="120"/>
  <c r="AR145" i="120" s="1"/>
  <c r="AP100" i="120"/>
  <c r="AP111" i="120" s="1"/>
  <c r="AP121" i="120"/>
  <c r="AP145" i="120" s="1"/>
  <c r="AN100" i="120"/>
  <c r="AN111" i="120" s="1"/>
  <c r="AN121" i="120"/>
  <c r="AN145" i="120" s="1"/>
  <c r="AZ126" i="120"/>
  <c r="BH102" i="120"/>
  <c r="AB106" i="120"/>
  <c r="AB148" i="120" a="1"/>
  <c r="AB148" i="120" s="1"/>
  <c r="AB105" i="120"/>
  <c r="AB104" i="120" s="1"/>
  <c r="AB149" i="120" a="1"/>
  <c r="AB149" i="120" s="1"/>
  <c r="AB95" i="120"/>
  <c r="AB96" i="120" s="1"/>
  <c r="AB132" i="120" s="1"/>
  <c r="AO121" i="120"/>
  <c r="AO145" i="120" s="1"/>
  <c r="AO135" i="120"/>
  <c r="BD100" i="120"/>
  <c r="BD111" i="120" s="1"/>
  <c r="BD121" i="120"/>
  <c r="BD145" i="120" s="1"/>
  <c r="AV100" i="120"/>
  <c r="AV111" i="120" s="1"/>
  <c r="AV121" i="120"/>
  <c r="AV145" i="120" s="1"/>
  <c r="AA25" i="120"/>
  <c r="AQ121" i="120"/>
  <c r="AQ145" i="120" s="1"/>
  <c r="AQ101" i="120"/>
  <c r="AQ112" i="120" s="1"/>
  <c r="AQ132" i="120" s="1"/>
  <c r="BH26" i="120"/>
  <c r="BH25" i="120" s="1"/>
  <c r="BH27" i="120"/>
  <c r="BH69" i="120" a="1"/>
  <c r="BH69" i="120" s="1"/>
  <c r="BH70" i="120" a="1"/>
  <c r="BH70" i="120" s="1"/>
  <c r="BH16" i="120"/>
  <c r="BH17" i="120" s="1"/>
  <c r="AX126" i="120"/>
  <c r="AO133" i="120"/>
  <c r="BB126" i="120"/>
  <c r="AB307" i="120" a="1"/>
  <c r="AB307" i="120" s="1"/>
  <c r="AB253" i="120"/>
  <c r="AB254" i="120" s="1"/>
  <c r="AB290" i="120" s="1"/>
  <c r="AB263" i="120"/>
  <c r="AB262" i="120" s="1"/>
  <c r="AB264" i="120"/>
  <c r="AB306" i="120" a="1"/>
  <c r="AB306" i="120" s="1"/>
  <c r="BG25" i="120"/>
  <c r="AU126" i="120"/>
  <c r="BC100" i="120"/>
  <c r="BC111" i="120" s="1"/>
  <c r="BC121" i="120"/>
  <c r="BC145" i="120" s="1"/>
  <c r="AW129" i="120"/>
  <c r="AW109" i="120" s="1"/>
  <c r="AW131" i="120"/>
  <c r="AW136" i="120" s="1"/>
  <c r="AS100" i="120"/>
  <c r="AS111" i="120" s="1"/>
  <c r="AS121" i="120"/>
  <c r="AS145" i="120" s="1"/>
  <c r="BH95" i="120"/>
  <c r="BH105" i="120"/>
  <c r="BH106" i="120"/>
  <c r="BH100" i="120"/>
  <c r="BH121" i="120"/>
  <c r="BH145" i="120" s="1"/>
  <c r="AR126" i="120"/>
  <c r="AX133" i="120"/>
  <c r="BG104" i="120"/>
  <c r="BG113" i="120" s="1"/>
  <c r="BB133" i="120"/>
  <c r="AB227" i="120" a="1"/>
  <c r="AB227" i="120" s="1"/>
  <c r="AB184" i="120"/>
  <c r="AB228" i="120" a="1"/>
  <c r="AB228" i="120" s="1"/>
  <c r="AB174" i="120"/>
  <c r="AB175" i="120" s="1"/>
  <c r="AB211" i="120" s="1"/>
  <c r="AB185" i="120"/>
  <c r="BC126" i="120"/>
  <c r="BE133" i="120"/>
  <c r="J248" i="120"/>
  <c r="AY126" i="120"/>
  <c r="AV126" i="120"/>
  <c r="BE131" i="120"/>
  <c r="BE129" i="120"/>
  <c r="BE109" i="120" s="1"/>
  <c r="AT133" i="120"/>
  <c r="AB16" i="120"/>
  <c r="AB17" i="120" s="1"/>
  <c r="AB27" i="120"/>
  <c r="AB26" i="120"/>
  <c r="AB25" i="120" s="1"/>
  <c r="AB70" i="120" a="1"/>
  <c r="AB70" i="120" s="1"/>
  <c r="AB69" i="120" a="1"/>
  <c r="AB69" i="120" s="1"/>
  <c r="BC133" i="120"/>
  <c r="AU133" i="120"/>
  <c r="J90" i="120"/>
  <c r="AP90" i="120"/>
  <c r="AP147" i="120" s="1"/>
  <c r="AW126" i="120"/>
  <c r="AP126" i="120"/>
  <c r="AU100" i="120"/>
  <c r="AU111" i="120" s="1"/>
  <c r="AU121" i="120"/>
  <c r="AU145" i="120" s="1"/>
  <c r="AQ131" i="120"/>
  <c r="AQ129" i="120"/>
  <c r="AQ109" i="120" s="1"/>
  <c r="AO129" i="120"/>
  <c r="AO109" i="120" s="1"/>
  <c r="AO131" i="120"/>
  <c r="AR133" i="120"/>
  <c r="AD8" i="120"/>
  <c r="AC302" i="120"/>
  <c r="AC277" i="120"/>
  <c r="AC252" i="120"/>
  <c r="AC223" i="120"/>
  <c r="AC198" i="120"/>
  <c r="AC200" i="120" s="1"/>
  <c r="AC173" i="120"/>
  <c r="AC144" i="120"/>
  <c r="AC120" i="120"/>
  <c r="AC135" i="120" s="1"/>
  <c r="AC41" i="120"/>
  <c r="AC56" i="120" s="1"/>
  <c r="AC65" i="120"/>
  <c r="AC94" i="120"/>
  <c r="AC278" i="120"/>
  <c r="AC293" i="120" s="1"/>
  <c r="AC199" i="120"/>
  <c r="AC214" i="120" s="1"/>
  <c r="AC117" i="120"/>
  <c r="AC38" i="120"/>
  <c r="AC143" i="120"/>
  <c r="AC119" i="120"/>
  <c r="AC121" i="120" s="1"/>
  <c r="AC40" i="120"/>
  <c r="AC23" i="120" s="1"/>
  <c r="AC275" i="120"/>
  <c r="AC196" i="120"/>
  <c r="AC118" i="120"/>
  <c r="AC64" i="120"/>
  <c r="AC39" i="120"/>
  <c r="AC301" i="120"/>
  <c r="AC276" i="120"/>
  <c r="AC279" i="120" s="1"/>
  <c r="AC222" i="120"/>
  <c r="AC197" i="120"/>
  <c r="AC15" i="120"/>
  <c r="AC91" i="120"/>
  <c r="AC249" i="120"/>
  <c r="AC170" i="120"/>
  <c r="AC12" i="120"/>
  <c r="BG96" i="120"/>
  <c r="BG124" i="120" s="1"/>
  <c r="BG17" i="120"/>
  <c r="J169" i="120"/>
  <c r="BA100" i="120"/>
  <c r="BA111" i="120" s="1"/>
  <c r="BA121" i="120"/>
  <c r="BA145" i="120" s="1"/>
  <c r="AY129" i="120"/>
  <c r="AY109" i="120" s="1"/>
  <c r="AY131" i="120"/>
  <c r="BJ8" i="120"/>
  <c r="BI117" i="120"/>
  <c r="BI94" i="120"/>
  <c r="BI118" i="120"/>
  <c r="BI65" i="120"/>
  <c r="BI40" i="120"/>
  <c r="BI15" i="120"/>
  <c r="BI21" i="120" s="1"/>
  <c r="BI120" i="120"/>
  <c r="BI135" i="120" s="1"/>
  <c r="BI41" i="120"/>
  <c r="BI56" i="120" s="1"/>
  <c r="BI119" i="120"/>
  <c r="BI38" i="120"/>
  <c r="BI42" i="120" s="1"/>
  <c r="BI64" i="120"/>
  <c r="BI39" i="120"/>
  <c r="BI91" i="120"/>
  <c r="BI12" i="120"/>
  <c r="BD133" i="120"/>
  <c r="BE121" i="120"/>
  <c r="BE145" i="120" s="1"/>
  <c r="BE135" i="120"/>
  <c r="BG121" i="120"/>
  <c r="BG145" i="120" s="1"/>
  <c r="BG101" i="120"/>
  <c r="BG112" i="120" s="1"/>
  <c r="S335" i="120"/>
  <c r="AT335" i="120"/>
  <c r="Y335" i="120"/>
  <c r="V334" i="120"/>
  <c r="S334" i="120"/>
  <c r="V335" i="120"/>
  <c r="Y334" i="120"/>
  <c r="AT334" i="120"/>
  <c r="M334" i="120"/>
  <c r="BC334" i="120"/>
  <c r="R335" i="120"/>
  <c r="K335" i="120"/>
  <c r="Q284" i="120"/>
  <c r="AQ335" i="120"/>
  <c r="BC335" i="120"/>
  <c r="P126" i="120"/>
  <c r="K334" i="120"/>
  <c r="M335" i="120"/>
  <c r="Y205" i="120"/>
  <c r="T126" i="120"/>
  <c r="U205" i="120"/>
  <c r="V284" i="120"/>
  <c r="W205" i="120"/>
  <c r="H284" i="120"/>
  <c r="V205" i="120"/>
  <c r="X126" i="120"/>
  <c r="H205" i="120"/>
  <c r="W126" i="120"/>
  <c r="R205" i="120"/>
  <c r="K284" i="120"/>
  <c r="M284" i="120"/>
  <c r="Y284" i="120"/>
  <c r="Q205" i="120"/>
  <c r="S205" i="120"/>
  <c r="L126" i="120"/>
  <c r="U126" i="120"/>
  <c r="J284" i="120"/>
  <c r="K205" i="120"/>
  <c r="AQ334" i="120"/>
  <c r="R334" i="120"/>
  <c r="M205" i="120"/>
  <c r="AW335" i="120"/>
  <c r="I205" i="120"/>
  <c r="N284" i="120"/>
  <c r="CC9" i="119"/>
  <c r="I126" i="120"/>
  <c r="AW334" i="120"/>
  <c r="T284" i="120"/>
  <c r="BB335" i="120"/>
  <c r="AS335" i="120"/>
  <c r="AA102" i="120"/>
  <c r="W133" i="120"/>
  <c r="W102" i="120"/>
  <c r="W113" i="120" s="1"/>
  <c r="K133" i="120"/>
  <c r="K102" i="120"/>
  <c r="K113" i="120" s="1"/>
  <c r="BG23" i="120"/>
  <c r="V54" i="120"/>
  <c r="V23" i="120"/>
  <c r="R54" i="120"/>
  <c r="R23" i="120"/>
  <c r="AP54" i="120"/>
  <c r="AP23" i="120"/>
  <c r="AR54" i="120"/>
  <c r="AR23" i="120"/>
  <c r="BE47" i="120"/>
  <c r="BE333" i="120"/>
  <c r="BG33" i="120"/>
  <c r="BC33" i="120"/>
  <c r="BC53" i="120" s="1"/>
  <c r="BC329" i="120"/>
  <c r="BC340" i="120" s="1"/>
  <c r="R33" i="120"/>
  <c r="R53" i="120" s="1"/>
  <c r="R329" i="120"/>
  <c r="R340" i="120" s="1"/>
  <c r="AV33" i="120"/>
  <c r="AV53" i="120" s="1"/>
  <c r="AV329" i="120"/>
  <c r="AV340" i="120" s="1"/>
  <c r="AW33" i="120"/>
  <c r="AW53" i="120" s="1"/>
  <c r="AW329" i="120"/>
  <c r="AW340" i="120" s="1"/>
  <c r="O33" i="120"/>
  <c r="O53" i="120" s="1"/>
  <c r="O329" i="120"/>
  <c r="O340" i="120" s="1"/>
  <c r="BH21" i="120"/>
  <c r="BH42" i="120"/>
  <c r="BH66" i="120" s="1"/>
  <c r="BD42" i="120"/>
  <c r="BD66" i="120" s="1"/>
  <c r="BD21" i="120"/>
  <c r="AZ21" i="120"/>
  <c r="AZ42" i="120"/>
  <c r="AZ66" i="120" s="1"/>
  <c r="AP21" i="120"/>
  <c r="AP42" i="120"/>
  <c r="AP66" i="120" s="1"/>
  <c r="J42" i="120"/>
  <c r="J66" i="120" s="1"/>
  <c r="J21" i="120"/>
  <c r="AU42" i="120"/>
  <c r="AU66" i="120" s="1"/>
  <c r="AU21" i="120"/>
  <c r="BC47" i="120"/>
  <c r="BC333" i="120"/>
  <c r="I47" i="120"/>
  <c r="I333" i="120"/>
  <c r="K126" i="120"/>
  <c r="J291" i="120"/>
  <c r="J260" i="120"/>
  <c r="J271" i="120" s="1"/>
  <c r="X335" i="120"/>
  <c r="I284" i="120"/>
  <c r="W279" i="120"/>
  <c r="W303" i="120" s="1"/>
  <c r="W258" i="120"/>
  <c r="W269" i="120" s="1"/>
  <c r="AC179" i="120"/>
  <c r="U200" i="120"/>
  <c r="U224" i="120" s="1"/>
  <c r="U179" i="120"/>
  <c r="U190" i="120" s="1"/>
  <c r="Z100" i="120"/>
  <c r="Z111" i="120" s="1"/>
  <c r="Z121" i="120"/>
  <c r="Z145" i="120" s="1"/>
  <c r="V121" i="120"/>
  <c r="V145" i="120" s="1"/>
  <c r="V100" i="120"/>
  <c r="V111" i="120" s="1"/>
  <c r="N121" i="120"/>
  <c r="N145" i="120" s="1"/>
  <c r="N100" i="120"/>
  <c r="N111" i="120" s="1"/>
  <c r="AZ335" i="120"/>
  <c r="R126" i="120"/>
  <c r="BA335" i="120"/>
  <c r="G259" i="120"/>
  <c r="X212" i="120"/>
  <c r="X181" i="120"/>
  <c r="X192" i="120" s="1"/>
  <c r="H212" i="120"/>
  <c r="H181" i="120"/>
  <c r="H192" i="120" s="1"/>
  <c r="J212" i="120"/>
  <c r="J181" i="120"/>
  <c r="J192" i="120" s="1"/>
  <c r="AU334" i="120"/>
  <c r="BF47" i="120"/>
  <c r="P334" i="120"/>
  <c r="Z334" i="120"/>
  <c r="U284" i="120"/>
  <c r="BB334" i="120"/>
  <c r="J126" i="120"/>
  <c r="L133" i="120"/>
  <c r="L102" i="120"/>
  <c r="L113" i="120" s="1"/>
  <c r="BF54" i="120"/>
  <c r="BF23" i="120"/>
  <c r="BB54" i="120"/>
  <c r="BB23" i="120"/>
  <c r="AX54" i="120"/>
  <c r="AX23" i="120"/>
  <c r="I54" i="120"/>
  <c r="I23" i="120"/>
  <c r="O23" i="120"/>
  <c r="O54" i="120"/>
  <c r="AX47" i="120"/>
  <c r="AX333" i="120"/>
  <c r="BE334" i="120"/>
  <c r="Z33" i="120"/>
  <c r="Z53" i="120" s="1"/>
  <c r="Z329" i="120"/>
  <c r="Z340" i="120" s="1"/>
  <c r="V33" i="120"/>
  <c r="V53" i="120" s="1"/>
  <c r="V329" i="120"/>
  <c r="V340" i="120" s="1"/>
  <c r="AY33" i="120"/>
  <c r="AY53" i="120" s="1"/>
  <c r="AY329" i="120"/>
  <c r="AY340" i="120" s="1"/>
  <c r="AP33" i="120"/>
  <c r="AP53" i="120" s="1"/>
  <c r="AP329" i="120"/>
  <c r="AP340" i="120" s="1"/>
  <c r="H33" i="120"/>
  <c r="H53" i="120" s="1"/>
  <c r="H329" i="120"/>
  <c r="H340" i="120" s="1"/>
  <c r="AA42" i="120"/>
  <c r="AA66" i="120" s="1"/>
  <c r="AA21" i="120"/>
  <c r="W21" i="120"/>
  <c r="W42" i="120"/>
  <c r="W66" i="120" s="1"/>
  <c r="S42" i="120"/>
  <c r="S66" i="120" s="1"/>
  <c r="S21" i="120"/>
  <c r="AS21" i="120"/>
  <c r="AS42" i="120"/>
  <c r="AS66" i="120" s="1"/>
  <c r="AN21" i="120"/>
  <c r="O21" i="120"/>
  <c r="O42" i="120"/>
  <c r="O66" i="120" s="1"/>
  <c r="L284" i="120"/>
  <c r="O284" i="120"/>
  <c r="I335" i="120"/>
  <c r="S47" i="120"/>
  <c r="S333" i="120"/>
  <c r="AB260" i="120"/>
  <c r="X291" i="120"/>
  <c r="X260" i="120"/>
  <c r="X271" i="120" s="1"/>
  <c r="T291" i="120"/>
  <c r="T260" i="120"/>
  <c r="T271" i="120" s="1"/>
  <c r="K291" i="120"/>
  <c r="K260" i="120"/>
  <c r="K271" i="120" s="1"/>
  <c r="G187" i="120"/>
  <c r="AI187" i="120" s="1"/>
  <c r="G203" i="120"/>
  <c r="G204" i="120"/>
  <c r="G202" i="120"/>
  <c r="T47" i="120"/>
  <c r="T333" i="120"/>
  <c r="Z279" i="120"/>
  <c r="Z303" i="120" s="1"/>
  <c r="Z258" i="120"/>
  <c r="Z269" i="120" s="1"/>
  <c r="V279" i="120"/>
  <c r="V303" i="120" s="1"/>
  <c r="V258" i="120"/>
  <c r="V269" i="120" s="1"/>
  <c r="R279" i="120"/>
  <c r="R303" i="120" s="1"/>
  <c r="R258" i="120"/>
  <c r="R269" i="120" s="1"/>
  <c r="N279" i="120"/>
  <c r="N303" i="120" s="1"/>
  <c r="N258" i="120"/>
  <c r="N269" i="120" s="1"/>
  <c r="H279" i="120"/>
  <c r="H303" i="120" s="1"/>
  <c r="H258" i="120"/>
  <c r="H269" i="120" s="1"/>
  <c r="AB200" i="120"/>
  <c r="AB224" i="120" s="1"/>
  <c r="AB179" i="120"/>
  <c r="X200" i="120"/>
  <c r="X224" i="120" s="1"/>
  <c r="X179" i="120"/>
  <c r="X190" i="120" s="1"/>
  <c r="T200" i="120"/>
  <c r="T224" i="120" s="1"/>
  <c r="T179" i="120"/>
  <c r="T190" i="120" s="1"/>
  <c r="P200" i="120"/>
  <c r="P224" i="120" s="1"/>
  <c r="P179" i="120"/>
  <c r="P190" i="120" s="1"/>
  <c r="K200" i="120"/>
  <c r="K224" i="120" s="1"/>
  <c r="K179" i="120"/>
  <c r="K190" i="120" s="1"/>
  <c r="U121" i="120"/>
  <c r="U145" i="120" s="1"/>
  <c r="U100" i="120"/>
  <c r="U111" i="120" s="1"/>
  <c r="Q121" i="120"/>
  <c r="Q145" i="120" s="1"/>
  <c r="Q100" i="120"/>
  <c r="Q111" i="120" s="1"/>
  <c r="M121" i="120"/>
  <c r="M145" i="120" s="1"/>
  <c r="M100" i="120"/>
  <c r="M111" i="120" s="1"/>
  <c r="G101" i="120"/>
  <c r="N205" i="120"/>
  <c r="AR47" i="120"/>
  <c r="AR333" i="120"/>
  <c r="AZ334" i="120"/>
  <c r="AB181" i="120"/>
  <c r="T212" i="120"/>
  <c r="T181" i="120"/>
  <c r="T192" i="120" s="1"/>
  <c r="I212" i="120"/>
  <c r="I181" i="120"/>
  <c r="I192" i="120" s="1"/>
  <c r="H333" i="120"/>
  <c r="AU335" i="120"/>
  <c r="N47" i="120"/>
  <c r="N333" i="120"/>
  <c r="P335" i="120"/>
  <c r="S126" i="120"/>
  <c r="G266" i="120"/>
  <c r="AI266" i="120" s="1"/>
  <c r="G282" i="120"/>
  <c r="G283" i="120"/>
  <c r="G281" i="120"/>
  <c r="AQ47" i="120"/>
  <c r="Z133" i="120"/>
  <c r="Z102" i="120"/>
  <c r="Z113" i="120" s="1"/>
  <c r="V133" i="120"/>
  <c r="V102" i="120"/>
  <c r="V113" i="120" s="1"/>
  <c r="R133" i="120"/>
  <c r="R102" i="120"/>
  <c r="R113" i="120" s="1"/>
  <c r="Y54" i="120"/>
  <c r="Y23" i="120"/>
  <c r="U54" i="120"/>
  <c r="U23" i="120"/>
  <c r="Q54" i="120"/>
  <c r="Q23" i="120"/>
  <c r="AT54" i="120"/>
  <c r="AT23" i="120"/>
  <c r="AN54" i="120"/>
  <c r="AN23" i="120"/>
  <c r="AX334" i="120"/>
  <c r="BE335" i="120"/>
  <c r="G293" i="120"/>
  <c r="BF33" i="120"/>
  <c r="BF53" i="120" s="1"/>
  <c r="BF329" i="120"/>
  <c r="BF340" i="120" s="1"/>
  <c r="BB33" i="120"/>
  <c r="BB53" i="120" s="1"/>
  <c r="BB329" i="120"/>
  <c r="BB340" i="120" s="1"/>
  <c r="Q33" i="120"/>
  <c r="Q53" i="120" s="1"/>
  <c r="Q329" i="120"/>
  <c r="Q340" i="120" s="1"/>
  <c r="L33" i="120"/>
  <c r="L53" i="120" s="1"/>
  <c r="L329" i="120"/>
  <c r="L340" i="120" s="1"/>
  <c r="N33" i="120"/>
  <c r="N53" i="120" s="1"/>
  <c r="N329" i="120"/>
  <c r="N340" i="120" s="1"/>
  <c r="BG21" i="120"/>
  <c r="BG42" i="120"/>
  <c r="BG66" i="120" s="1"/>
  <c r="V21" i="120"/>
  <c r="V42" i="120"/>
  <c r="V66" i="120" s="1"/>
  <c r="AY21" i="120"/>
  <c r="AY42" i="120"/>
  <c r="AY66" i="120" s="1"/>
  <c r="L42" i="120"/>
  <c r="L66" i="120" s="1"/>
  <c r="L21" i="120"/>
  <c r="AO42" i="120"/>
  <c r="AO66" i="120" s="1"/>
  <c r="AO21" i="120"/>
  <c r="AT42" i="120"/>
  <c r="AT66" i="120" s="1"/>
  <c r="AT21" i="120"/>
  <c r="I334" i="120"/>
  <c r="W291" i="120"/>
  <c r="W260" i="120"/>
  <c r="W271" i="120" s="1"/>
  <c r="T334" i="120"/>
  <c r="L200" i="120"/>
  <c r="L224" i="120" s="1"/>
  <c r="L179" i="120"/>
  <c r="L190" i="120" s="1"/>
  <c r="N200" i="120"/>
  <c r="N224" i="120" s="1"/>
  <c r="N179" i="120"/>
  <c r="N190" i="120" s="1"/>
  <c r="AC100" i="120"/>
  <c r="Y121" i="120"/>
  <c r="Y145" i="120" s="1"/>
  <c r="Y100" i="120"/>
  <c r="Y111" i="120" s="1"/>
  <c r="AR334" i="120"/>
  <c r="T205" i="120"/>
  <c r="S284" i="120"/>
  <c r="W212" i="120"/>
  <c r="W181" i="120"/>
  <c r="W192" i="120" s="1"/>
  <c r="AV47" i="120"/>
  <c r="AV333" i="120"/>
  <c r="H334" i="120"/>
  <c r="N126" i="120"/>
  <c r="AP47" i="120"/>
  <c r="AP333" i="120"/>
  <c r="N335" i="120"/>
  <c r="O47" i="120"/>
  <c r="O333" i="120"/>
  <c r="J47" i="120"/>
  <c r="J333" i="120"/>
  <c r="R47" i="120"/>
  <c r="R333" i="120"/>
  <c r="Y47" i="120"/>
  <c r="Y333" i="120"/>
  <c r="BO108" i="120"/>
  <c r="Y133" i="120"/>
  <c r="Y102" i="120"/>
  <c r="Y113" i="120" s="1"/>
  <c r="Q133" i="120"/>
  <c r="Q102" i="120"/>
  <c r="Q113" i="120" s="1"/>
  <c r="O133" i="120"/>
  <c r="O102" i="120"/>
  <c r="O113" i="120" s="1"/>
  <c r="N133" i="120"/>
  <c r="N102" i="120"/>
  <c r="N113" i="120" s="1"/>
  <c r="BE54" i="120"/>
  <c r="BE23" i="120"/>
  <c r="BA54" i="120"/>
  <c r="BA23" i="120"/>
  <c r="N54" i="120"/>
  <c r="N23" i="120"/>
  <c r="H54" i="120"/>
  <c r="H23" i="120"/>
  <c r="AW54" i="120"/>
  <c r="AW23" i="120"/>
  <c r="AX335" i="120"/>
  <c r="AM29" i="120"/>
  <c r="AM46" i="120"/>
  <c r="AM54" i="120" s="1"/>
  <c r="AM45" i="120"/>
  <c r="AM44" i="120"/>
  <c r="Y33" i="120"/>
  <c r="Y53" i="120" s="1"/>
  <c r="Y329" i="120"/>
  <c r="Y340" i="120" s="1"/>
  <c r="U33" i="120"/>
  <c r="U53" i="120" s="1"/>
  <c r="U329" i="120"/>
  <c r="U340" i="120" s="1"/>
  <c r="AX33" i="120"/>
  <c r="AX53" i="120" s="1"/>
  <c r="AX329" i="120"/>
  <c r="AX340" i="120" s="1"/>
  <c r="K33" i="120"/>
  <c r="K53" i="120" s="1"/>
  <c r="K329" i="120"/>
  <c r="K340" i="120" s="1"/>
  <c r="J33" i="120"/>
  <c r="J53" i="120" s="1"/>
  <c r="J329" i="120"/>
  <c r="J340" i="120" s="1"/>
  <c r="Z42" i="120"/>
  <c r="Z66" i="120" s="1"/>
  <c r="Z21" i="120"/>
  <c r="BC42" i="120"/>
  <c r="BC66" i="120" s="1"/>
  <c r="BC21" i="120"/>
  <c r="R42" i="120"/>
  <c r="R66" i="120" s="1"/>
  <c r="R21" i="120"/>
  <c r="M42" i="120"/>
  <c r="M66" i="120" s="1"/>
  <c r="M21" i="120"/>
  <c r="I21" i="120"/>
  <c r="I42" i="120"/>
  <c r="I66" i="120" s="1"/>
  <c r="BD47" i="120"/>
  <c r="BD333" i="120"/>
  <c r="AA260" i="120"/>
  <c r="AA271" i="120" s="1"/>
  <c r="S291" i="120"/>
  <c r="S260" i="120"/>
  <c r="S271" i="120" s="1"/>
  <c r="M291" i="120"/>
  <c r="M260" i="120"/>
  <c r="M271" i="120" s="1"/>
  <c r="L47" i="120"/>
  <c r="L333" i="120"/>
  <c r="T335" i="120"/>
  <c r="Y279" i="120"/>
  <c r="Y303" i="120" s="1"/>
  <c r="Y258" i="120"/>
  <c r="Y269" i="120" s="1"/>
  <c r="Q279" i="120"/>
  <c r="Q303" i="120" s="1"/>
  <c r="Q258" i="120"/>
  <c r="Q269" i="120" s="1"/>
  <c r="O258" i="120"/>
  <c r="O269" i="120" s="1"/>
  <c r="O279" i="120"/>
  <c r="O303" i="120" s="1"/>
  <c r="M258" i="120"/>
  <c r="M269" i="120" s="1"/>
  <c r="M279" i="120"/>
  <c r="M303" i="120" s="1"/>
  <c r="AA200" i="120"/>
  <c r="AA224" i="120" s="1"/>
  <c r="AA179" i="120"/>
  <c r="AA190" i="120" s="1"/>
  <c r="W179" i="120"/>
  <c r="W190" i="120" s="1"/>
  <c r="W200" i="120"/>
  <c r="W224" i="120" s="1"/>
  <c r="O200" i="120"/>
  <c r="O224" i="120" s="1"/>
  <c r="O179" i="120"/>
  <c r="O190" i="120" s="1"/>
  <c r="I200" i="120"/>
  <c r="I224" i="120" s="1"/>
  <c r="I179" i="120"/>
  <c r="I190" i="120" s="1"/>
  <c r="T121" i="120"/>
  <c r="T145" i="120" s="1"/>
  <c r="T100" i="120"/>
  <c r="T111" i="120" s="1"/>
  <c r="P121" i="120"/>
  <c r="P145" i="120" s="1"/>
  <c r="P100" i="120"/>
  <c r="P111" i="120" s="1"/>
  <c r="AR335" i="120"/>
  <c r="G135" i="120"/>
  <c r="AA181" i="120"/>
  <c r="AA192" i="120" s="1"/>
  <c r="S212" i="120"/>
  <c r="S181" i="120"/>
  <c r="S192" i="120" s="1"/>
  <c r="O212" i="120"/>
  <c r="O181" i="120"/>
  <c r="O192" i="120" s="1"/>
  <c r="AV335" i="120"/>
  <c r="H335" i="120"/>
  <c r="U47" i="120"/>
  <c r="U333" i="120"/>
  <c r="AP335" i="120"/>
  <c r="N334" i="120"/>
  <c r="O335" i="120"/>
  <c r="J334" i="120"/>
  <c r="AT47" i="120"/>
  <c r="AT333" i="120"/>
  <c r="V47" i="120"/>
  <c r="V333" i="120"/>
  <c r="U133" i="120"/>
  <c r="U102" i="120"/>
  <c r="U113" i="120" s="1"/>
  <c r="H113" i="120"/>
  <c r="H133" i="120"/>
  <c r="G102" i="120"/>
  <c r="AB23" i="120"/>
  <c r="X54" i="120"/>
  <c r="X23" i="120"/>
  <c r="T54" i="120"/>
  <c r="T23" i="120"/>
  <c r="AQ23" i="120"/>
  <c r="AQ54" i="120"/>
  <c r="G23" i="120"/>
  <c r="AS54" i="120"/>
  <c r="AS23" i="120"/>
  <c r="Q126" i="120"/>
  <c r="R284" i="120"/>
  <c r="AB33" i="120"/>
  <c r="AB329" i="120"/>
  <c r="AB340" i="120" s="1"/>
  <c r="X33" i="120"/>
  <c r="X53" i="120" s="1"/>
  <c r="X329" i="120"/>
  <c r="X340" i="120" s="1"/>
  <c r="BA33" i="120"/>
  <c r="BA53" i="120" s="1"/>
  <c r="BA329" i="120"/>
  <c r="BA340" i="120" s="1"/>
  <c r="AS33" i="120"/>
  <c r="AS53" i="120" s="1"/>
  <c r="AS329" i="120"/>
  <c r="AS340" i="120" s="1"/>
  <c r="AO33" i="120"/>
  <c r="AO53" i="120" s="1"/>
  <c r="AO329" i="120"/>
  <c r="AO340" i="120" s="1"/>
  <c r="AU33" i="120"/>
  <c r="AU53" i="120" s="1"/>
  <c r="AU329" i="120"/>
  <c r="AU340" i="120" s="1"/>
  <c r="G180" i="120"/>
  <c r="BF21" i="120"/>
  <c r="BF42" i="120"/>
  <c r="BF66" i="120" s="1"/>
  <c r="U42" i="120"/>
  <c r="U66" i="120" s="1"/>
  <c r="U21" i="120"/>
  <c r="Q21" i="120"/>
  <c r="Q42" i="120"/>
  <c r="Q66" i="120" s="1"/>
  <c r="AQ21" i="120"/>
  <c r="AQ42" i="120"/>
  <c r="AQ66" i="120" s="1"/>
  <c r="AM42" i="120"/>
  <c r="AM66" i="120" s="1"/>
  <c r="AM21" i="120"/>
  <c r="BO187" i="120"/>
  <c r="P205" i="120"/>
  <c r="BD334" i="120"/>
  <c r="Z205" i="120"/>
  <c r="Z260" i="120"/>
  <c r="Z271" i="120" s="1"/>
  <c r="P291" i="120"/>
  <c r="P260" i="120"/>
  <c r="P271" i="120" s="1"/>
  <c r="G260" i="120"/>
  <c r="H291" i="120"/>
  <c r="H260" i="120"/>
  <c r="H271" i="120" s="1"/>
  <c r="L334" i="120"/>
  <c r="P284" i="120"/>
  <c r="AY47" i="120"/>
  <c r="AY333" i="120"/>
  <c r="AC258" i="120"/>
  <c r="U279" i="120"/>
  <c r="U303" i="120" s="1"/>
  <c r="U258" i="120"/>
  <c r="U269" i="120" s="1"/>
  <c r="L279" i="120"/>
  <c r="L303" i="120" s="1"/>
  <c r="L258" i="120"/>
  <c r="L269" i="120" s="1"/>
  <c r="J279" i="120"/>
  <c r="J303" i="120" s="1"/>
  <c r="J258" i="120"/>
  <c r="J269" i="120" s="1"/>
  <c r="S200" i="120"/>
  <c r="S224" i="120" s="1"/>
  <c r="S179" i="120"/>
  <c r="S190" i="120" s="1"/>
  <c r="J200" i="120"/>
  <c r="J224" i="120" s="1"/>
  <c r="J179" i="120"/>
  <c r="J190" i="120" s="1"/>
  <c r="AB100" i="120"/>
  <c r="AB121" i="120"/>
  <c r="AB145" i="120" s="1"/>
  <c r="X121" i="120"/>
  <c r="X145" i="120" s="1"/>
  <c r="X100" i="120"/>
  <c r="X111" i="120" s="1"/>
  <c r="I121" i="120"/>
  <c r="I145" i="120" s="1"/>
  <c r="I100" i="120"/>
  <c r="I111" i="120" s="1"/>
  <c r="H100" i="120"/>
  <c r="H111" i="120" s="1"/>
  <c r="AN47" i="120"/>
  <c r="AN333" i="120"/>
  <c r="J205" i="120"/>
  <c r="Z212" i="120"/>
  <c r="Z181" i="120"/>
  <c r="Z192" i="120" s="1"/>
  <c r="R212" i="120"/>
  <c r="R181" i="120"/>
  <c r="R192" i="120" s="1"/>
  <c r="M212" i="120"/>
  <c r="M181" i="120"/>
  <c r="M192" i="120" s="1"/>
  <c r="G181" i="120"/>
  <c r="AV334" i="120"/>
  <c r="L205" i="120"/>
  <c r="U334" i="120"/>
  <c r="AP334" i="120"/>
  <c r="O334" i="120"/>
  <c r="Q47" i="120"/>
  <c r="Q333" i="120"/>
  <c r="J335" i="120"/>
  <c r="G108" i="120"/>
  <c r="AI108" i="120" s="1"/>
  <c r="G125" i="120"/>
  <c r="G124" i="120"/>
  <c r="G123" i="120"/>
  <c r="M126" i="120"/>
  <c r="X133" i="120"/>
  <c r="X102" i="120"/>
  <c r="X113" i="120" s="1"/>
  <c r="I133" i="120"/>
  <c r="I102" i="120"/>
  <c r="I113" i="120" s="1"/>
  <c r="AA23" i="120"/>
  <c r="W54" i="120"/>
  <c r="W23" i="120"/>
  <c r="S54" i="120"/>
  <c r="S23" i="120"/>
  <c r="J54" i="120"/>
  <c r="J23" i="120"/>
  <c r="K54" i="120"/>
  <c r="K23" i="120"/>
  <c r="AV54" i="120"/>
  <c r="AV23" i="120"/>
  <c r="BE33" i="120"/>
  <c r="BE53" i="120" s="1"/>
  <c r="BE329" i="120"/>
  <c r="BE340" i="120" s="1"/>
  <c r="T33" i="120"/>
  <c r="T53" i="120" s="1"/>
  <c r="T329" i="120"/>
  <c r="T340" i="120" s="1"/>
  <c r="M33" i="120"/>
  <c r="M53" i="120" s="1"/>
  <c r="M329" i="120"/>
  <c r="M340" i="120" s="1"/>
  <c r="I33" i="120"/>
  <c r="I53" i="120" s="1"/>
  <c r="I329" i="120"/>
  <c r="I340" i="120" s="1"/>
  <c r="G22" i="120"/>
  <c r="AC21" i="120"/>
  <c r="Y21" i="120"/>
  <c r="Y42" i="120"/>
  <c r="Y66" i="120" s="1"/>
  <c r="BB42" i="120"/>
  <c r="BB66" i="120" s="1"/>
  <c r="BB21" i="120"/>
  <c r="AX21" i="120"/>
  <c r="AX42" i="120"/>
  <c r="AX66" i="120" s="1"/>
  <c r="K42" i="120"/>
  <c r="K66" i="120" s="1"/>
  <c r="K21" i="120"/>
  <c r="AV42" i="120"/>
  <c r="AV66" i="120" s="1"/>
  <c r="AV21" i="120"/>
  <c r="BD335" i="120"/>
  <c r="O126" i="120"/>
  <c r="V291" i="120"/>
  <c r="V260" i="120"/>
  <c r="V271" i="120" s="1"/>
  <c r="R291" i="120"/>
  <c r="R260" i="120"/>
  <c r="R271" i="120" s="1"/>
  <c r="N260" i="120"/>
  <c r="N271" i="120" s="1"/>
  <c r="N291" i="120"/>
  <c r="O291" i="120"/>
  <c r="O260" i="120"/>
  <c r="O271" i="120" s="1"/>
  <c r="W47" i="120"/>
  <c r="W333" i="120"/>
  <c r="L335" i="120"/>
  <c r="AO47" i="120"/>
  <c r="AO333" i="120"/>
  <c r="AY335" i="120"/>
  <c r="AB279" i="120"/>
  <c r="AB303" i="120" s="1"/>
  <c r="AB258" i="120"/>
  <c r="X279" i="120"/>
  <c r="X303" i="120" s="1"/>
  <c r="X258" i="120"/>
  <c r="X269" i="120" s="1"/>
  <c r="T258" i="120"/>
  <c r="T269" i="120" s="1"/>
  <c r="T279" i="120"/>
  <c r="T303" i="120" s="1"/>
  <c r="P279" i="120"/>
  <c r="P303" i="120" s="1"/>
  <c r="P258" i="120"/>
  <c r="P269" i="120" s="1"/>
  <c r="G279" i="120"/>
  <c r="G303" i="120" s="1"/>
  <c r="G258" i="120"/>
  <c r="M200" i="120"/>
  <c r="M224" i="120" s="1"/>
  <c r="M179" i="120"/>
  <c r="M190" i="120" s="1"/>
  <c r="AA121" i="120"/>
  <c r="AA145" i="120" s="1"/>
  <c r="AA100" i="120"/>
  <c r="AA111" i="120" s="1"/>
  <c r="W121" i="120"/>
  <c r="W145" i="120" s="1"/>
  <c r="W100" i="120"/>
  <c r="W111" i="120" s="1"/>
  <c r="S121" i="120"/>
  <c r="S145" i="120" s="1"/>
  <c r="S100" i="120"/>
  <c r="S111" i="120" s="1"/>
  <c r="J121" i="120"/>
  <c r="J145" i="120" s="1"/>
  <c r="J100" i="120"/>
  <c r="J111" i="120" s="1"/>
  <c r="O121" i="120"/>
  <c r="O145" i="120" s="1"/>
  <c r="O100" i="120"/>
  <c r="O111" i="120" s="1"/>
  <c r="AN335" i="120"/>
  <c r="V212" i="120"/>
  <c r="V181" i="120"/>
  <c r="V192" i="120" s="1"/>
  <c r="V126" i="120"/>
  <c r="U335" i="120"/>
  <c r="Q334" i="120"/>
  <c r="K47" i="120"/>
  <c r="K333" i="120"/>
  <c r="W284" i="120"/>
  <c r="X205" i="120"/>
  <c r="AS47" i="120"/>
  <c r="AS333" i="120"/>
  <c r="AB102" i="120"/>
  <c r="T133" i="120"/>
  <c r="T102" i="120"/>
  <c r="T113" i="120" s="1"/>
  <c r="P133" i="120"/>
  <c r="P102" i="120"/>
  <c r="P113" i="120" s="1"/>
  <c r="J133" i="120"/>
  <c r="J102" i="120"/>
  <c r="J113" i="120" s="1"/>
  <c r="BH23" i="120"/>
  <c r="BD54" i="120"/>
  <c r="BD23" i="120"/>
  <c r="AZ54" i="120"/>
  <c r="AZ23" i="120"/>
  <c r="AU54" i="120"/>
  <c r="AU23" i="120"/>
  <c r="AO23" i="120"/>
  <c r="AO54" i="120"/>
  <c r="P54" i="120"/>
  <c r="P23" i="120"/>
  <c r="AA33" i="120"/>
  <c r="AA53" i="120" s="1"/>
  <c r="AA329" i="120"/>
  <c r="AA340" i="120" s="1"/>
  <c r="BD33" i="120"/>
  <c r="BD53" i="120" s="1"/>
  <c r="BD329" i="120"/>
  <c r="BD340" i="120" s="1"/>
  <c r="AZ33" i="120"/>
  <c r="AZ53" i="120" s="1"/>
  <c r="AZ329" i="120"/>
  <c r="AZ340" i="120" s="1"/>
  <c r="AR33" i="120"/>
  <c r="AR53" i="120" s="1"/>
  <c r="AR329" i="120"/>
  <c r="AR340" i="120" s="1"/>
  <c r="AN33" i="120"/>
  <c r="AN53" i="120" s="1"/>
  <c r="AN329" i="120"/>
  <c r="AN340" i="120" s="1"/>
  <c r="P33" i="120"/>
  <c r="P53" i="120" s="1"/>
  <c r="P329" i="120"/>
  <c r="P340" i="120" s="1"/>
  <c r="X21" i="120"/>
  <c r="X42" i="120"/>
  <c r="X66" i="120" s="1"/>
  <c r="T42" i="120"/>
  <c r="T66" i="120" s="1"/>
  <c r="T21" i="120"/>
  <c r="AW42" i="120"/>
  <c r="AW66" i="120" s="1"/>
  <c r="AW21" i="120"/>
  <c r="AR21" i="120"/>
  <c r="AR42" i="120"/>
  <c r="AR66" i="120" s="1"/>
  <c r="H21" i="120"/>
  <c r="Q291" i="120"/>
  <c r="Q260" i="120"/>
  <c r="Q271" i="120" s="1"/>
  <c r="L291" i="120"/>
  <c r="L260" i="120"/>
  <c r="L271" i="120" s="1"/>
  <c r="W335" i="120"/>
  <c r="AO335" i="120"/>
  <c r="X47" i="120"/>
  <c r="X333" i="120"/>
  <c r="AY334" i="120"/>
  <c r="I279" i="120"/>
  <c r="I303" i="120" s="1"/>
  <c r="I258" i="120"/>
  <c r="I269" i="120" s="1"/>
  <c r="K279" i="120"/>
  <c r="K303" i="120" s="1"/>
  <c r="K258" i="120"/>
  <c r="K269" i="120" s="1"/>
  <c r="Z200" i="120"/>
  <c r="Z224" i="120" s="1"/>
  <c r="Z179" i="120"/>
  <c r="Z190" i="120" s="1"/>
  <c r="V200" i="120"/>
  <c r="V224" i="120" s="1"/>
  <c r="V179" i="120"/>
  <c r="V190" i="120" s="1"/>
  <c r="R200" i="120"/>
  <c r="R224" i="120" s="1"/>
  <c r="R179" i="120"/>
  <c r="R190" i="120" s="1"/>
  <c r="G179" i="120"/>
  <c r="G200" i="120"/>
  <c r="G224" i="120" s="1"/>
  <c r="G56" i="120"/>
  <c r="AM56" i="120"/>
  <c r="G121" i="120"/>
  <c r="G145" i="120" s="1"/>
  <c r="G100" i="120"/>
  <c r="K121" i="120"/>
  <c r="K145" i="120" s="1"/>
  <c r="K100" i="120"/>
  <c r="K111" i="120" s="1"/>
  <c r="L121" i="120"/>
  <c r="L145" i="120" s="1"/>
  <c r="L100" i="120"/>
  <c r="L111" i="120" s="1"/>
  <c r="AN334" i="120"/>
  <c r="BA47" i="120"/>
  <c r="BA333" i="120"/>
  <c r="AC181" i="120"/>
  <c r="Y212" i="120"/>
  <c r="Y181" i="120"/>
  <c r="Y192" i="120" s="1"/>
  <c r="U212" i="120"/>
  <c r="U181" i="120"/>
  <c r="U192" i="120" s="1"/>
  <c r="Q212" i="120"/>
  <c r="Q181" i="120"/>
  <c r="Q192" i="120" s="1"/>
  <c r="P212" i="120"/>
  <c r="P181" i="120"/>
  <c r="P192" i="120" s="1"/>
  <c r="N212" i="120"/>
  <c r="N181" i="120"/>
  <c r="N192" i="120" s="1"/>
  <c r="BO266" i="120"/>
  <c r="Q335" i="120"/>
  <c r="X284" i="120"/>
  <c r="AW47" i="120"/>
  <c r="AW333" i="120"/>
  <c r="M47" i="120"/>
  <c r="M333" i="120"/>
  <c r="BB47" i="120"/>
  <c r="BB333" i="120"/>
  <c r="G29" i="120"/>
  <c r="G46" i="120"/>
  <c r="G45" i="120"/>
  <c r="G44" i="120"/>
  <c r="AS334" i="120"/>
  <c r="S102" i="120"/>
  <c r="S113" i="120" s="1"/>
  <c r="S133" i="120"/>
  <c r="M133" i="120"/>
  <c r="M102" i="120"/>
  <c r="M113" i="120" s="1"/>
  <c r="Z54" i="120"/>
  <c r="Z23" i="120"/>
  <c r="BC54" i="120"/>
  <c r="BC23" i="120"/>
  <c r="AY23" i="120"/>
  <c r="AY54" i="120"/>
  <c r="M54" i="120"/>
  <c r="M23" i="120"/>
  <c r="L54" i="120"/>
  <c r="L23" i="120"/>
  <c r="AM23" i="120"/>
  <c r="BH33" i="120"/>
  <c r="BH329" i="120"/>
  <c r="BH340" i="120" s="1"/>
  <c r="W33" i="120"/>
  <c r="W53" i="120" s="1"/>
  <c r="W329" i="120"/>
  <c r="W340" i="120" s="1"/>
  <c r="S33" i="120"/>
  <c r="S53" i="120" s="1"/>
  <c r="S329" i="120"/>
  <c r="S340" i="120" s="1"/>
  <c r="AQ33" i="120"/>
  <c r="AQ53" i="120" s="1"/>
  <c r="AQ329" i="120"/>
  <c r="AQ340" i="120" s="1"/>
  <c r="AM22" i="120"/>
  <c r="AT33" i="120"/>
  <c r="AT53" i="120" s="1"/>
  <c r="AT329" i="120"/>
  <c r="AT340" i="120" s="1"/>
  <c r="AB42" i="120"/>
  <c r="AB66" i="120" s="1"/>
  <c r="AB21" i="120"/>
  <c r="BE42" i="120"/>
  <c r="BE66" i="120" s="1"/>
  <c r="BE21" i="120"/>
  <c r="BA21" i="120"/>
  <c r="BA42" i="120"/>
  <c r="BA66" i="120" s="1"/>
  <c r="P21" i="120"/>
  <c r="P42" i="120"/>
  <c r="P66" i="120" s="1"/>
  <c r="N21" i="120"/>
  <c r="N42" i="120"/>
  <c r="N66" i="120" s="1"/>
  <c r="G21" i="120"/>
  <c r="G42" i="120"/>
  <c r="G66" i="120" s="1"/>
  <c r="AC260" i="120"/>
  <c r="Y291" i="120"/>
  <c r="Y260" i="120"/>
  <c r="Y271" i="120" s="1"/>
  <c r="U291" i="120"/>
  <c r="U260" i="120"/>
  <c r="U271" i="120" s="1"/>
  <c r="I291" i="120"/>
  <c r="I260" i="120"/>
  <c r="I271" i="120" s="1"/>
  <c r="W334" i="120"/>
  <c r="AO334" i="120"/>
  <c r="X334" i="120"/>
  <c r="AA279" i="120"/>
  <c r="AA303" i="120" s="1"/>
  <c r="AA258" i="120"/>
  <c r="AA269" i="120" s="1"/>
  <c r="S279" i="120"/>
  <c r="S303" i="120" s="1"/>
  <c r="S258" i="120"/>
  <c r="S269" i="120" s="1"/>
  <c r="Y200" i="120"/>
  <c r="Y224" i="120" s="1"/>
  <c r="Y179" i="120"/>
  <c r="Y190" i="120" s="1"/>
  <c r="Q200" i="120"/>
  <c r="Q224" i="120" s="1"/>
  <c r="Q179" i="120"/>
  <c r="Q190" i="120" s="1"/>
  <c r="H200" i="120"/>
  <c r="H224" i="120" s="1"/>
  <c r="H179" i="120"/>
  <c r="H190" i="120" s="1"/>
  <c r="R121" i="120"/>
  <c r="R145" i="120" s="1"/>
  <c r="R100" i="120"/>
  <c r="R111" i="120" s="1"/>
  <c r="AZ47" i="120"/>
  <c r="AZ333" i="120"/>
  <c r="O205" i="120"/>
  <c r="BA334" i="120"/>
  <c r="L212" i="120"/>
  <c r="L181" i="120"/>
  <c r="L192" i="120" s="1"/>
  <c r="K212" i="120"/>
  <c r="K181" i="120"/>
  <c r="K192" i="120" s="1"/>
  <c r="AU47" i="120"/>
  <c r="AU333" i="120"/>
  <c r="G214" i="120"/>
  <c r="P47" i="120"/>
  <c r="P333" i="120"/>
  <c r="Y126" i="120"/>
  <c r="Z47" i="120"/>
  <c r="CC9" i="118"/>
  <c r="CC9" i="117"/>
  <c r="CC60" i="119"/>
  <c r="CC11" i="119"/>
  <c r="CB12" i="119"/>
  <c r="CB10" i="119"/>
  <c r="CC43" i="119"/>
  <c r="CA11" i="119"/>
  <c r="CC12" i="119"/>
  <c r="CA10" i="119"/>
  <c r="CA12" i="119"/>
  <c r="BZ11" i="119"/>
  <c r="CC37" i="119"/>
  <c r="CC45" i="119"/>
  <c r="CB9" i="119"/>
  <c r="CB11" i="119"/>
  <c r="BZ10" i="119"/>
  <c r="CC10" i="119"/>
  <c r="CA9" i="119"/>
  <c r="BZ12" i="119"/>
  <c r="BZ9" i="119"/>
  <c r="CQ6" i="119"/>
  <c r="CC60" i="118"/>
  <c r="CC12" i="118"/>
  <c r="CA10" i="118"/>
  <c r="CA12" i="118"/>
  <c r="BZ11" i="118"/>
  <c r="CC37" i="118"/>
  <c r="CC45" i="118"/>
  <c r="CB9" i="118"/>
  <c r="CB11" i="118"/>
  <c r="BZ10" i="118"/>
  <c r="CC10" i="118"/>
  <c r="CA9" i="118"/>
  <c r="BZ12" i="118"/>
  <c r="BZ9" i="118"/>
  <c r="CC11" i="118"/>
  <c r="CB12" i="118"/>
  <c r="CB10" i="118"/>
  <c r="CC43" i="118"/>
  <c r="CA11" i="118"/>
  <c r="CP6" i="118"/>
  <c r="CC10" i="117"/>
  <c r="CA9" i="117"/>
  <c r="BZ12" i="117"/>
  <c r="BZ9" i="117"/>
  <c r="CC11" i="117"/>
  <c r="CB12" i="117"/>
  <c r="CB10" i="117"/>
  <c r="CA11" i="117"/>
  <c r="CC12" i="117"/>
  <c r="CA10" i="117"/>
  <c r="CA12" i="117"/>
  <c r="BZ11" i="117"/>
  <c r="CC37" i="117"/>
  <c r="CC45" i="117"/>
  <c r="CD44" i="67"/>
  <c r="CB9" i="117"/>
  <c r="CB11" i="117"/>
  <c r="BZ10" i="117"/>
  <c r="CQ6" i="117"/>
  <c r="CC60" i="117"/>
  <c r="CE13" i="67"/>
  <c r="CB11" i="67"/>
  <c r="CC12" i="67"/>
  <c r="CA11" i="67"/>
  <c r="CC10" i="67"/>
  <c r="CB10" i="67"/>
  <c r="CB12" i="67"/>
  <c r="CD11" i="67"/>
  <c r="CA12" i="67"/>
  <c r="CA10" i="67"/>
  <c r="CD12" i="67"/>
  <c r="CC11" i="67"/>
  <c r="CD10" i="67"/>
  <c r="I14" i="77"/>
  <c r="I13" i="77"/>
  <c r="I15" i="77"/>
  <c r="I12" i="77"/>
  <c r="CF6" i="67"/>
  <c r="CA43" i="118" a="1"/>
  <c r="BZ23" i="118" a="1"/>
  <c r="CC40" i="118" a="1"/>
  <c r="BE108" i="125"/>
  <c r="L95" i="125"/>
  <c r="BZ25" i="118" a="1"/>
  <c r="BZ37" i="117" a="1"/>
  <c r="BE128" i="125"/>
  <c r="CA24" i="67" a="1"/>
  <c r="CC19" i="119" a="1"/>
  <c r="CB45" i="117" a="1"/>
  <c r="M266" i="125"/>
  <c r="M286" i="125"/>
  <c r="CC17" i="117" a="1"/>
  <c r="CB24" i="118" a="1"/>
  <c r="CC23" i="118" a="1"/>
  <c r="BD106" i="125"/>
  <c r="CE45" i="67" a="1"/>
  <c r="BD185" i="125"/>
  <c r="BZ23" i="67" a="1"/>
  <c r="CC39" i="117" a="1"/>
  <c r="L228" i="125" a="1"/>
  <c r="CE11" i="67" a="1"/>
  <c r="M91" i="125"/>
  <c r="CA23" i="119" a="1"/>
  <c r="CB9" i="67" a="1"/>
  <c r="CC24" i="119" a="1"/>
  <c r="CA9" i="67" a="1"/>
  <c r="BD306" i="125" a="1"/>
  <c r="CA24" i="119" a="1"/>
  <c r="M49" i="125"/>
  <c r="CC24" i="118" a="1"/>
  <c r="CC25" i="119" a="1"/>
  <c r="BZ25" i="119" a="1"/>
  <c r="BZ43" i="119" a="1"/>
  <c r="BZ23" i="117" a="1"/>
  <c r="CB45" i="118" a="1"/>
  <c r="CC17" i="118" a="1"/>
  <c r="L148" i="125" a="1"/>
  <c r="CC23" i="67" a="1"/>
  <c r="BE286" i="125"/>
  <c r="BD148" i="125" a="1"/>
  <c r="BZ45" i="118" a="1"/>
  <c r="CA45" i="118" a="1"/>
  <c r="BD27" i="125"/>
  <c r="BE12" i="125"/>
  <c r="L253" i="125"/>
  <c r="CB37" i="118" a="1"/>
  <c r="AN108" i="125"/>
  <c r="CB23" i="117" a="1"/>
  <c r="CB17" i="118" a="1"/>
  <c r="CA45" i="67" a="1"/>
  <c r="CC43" i="117" a="1"/>
  <c r="L27" i="125"/>
  <c r="G266" i="125"/>
  <c r="BC262" i="125"/>
  <c r="CB24" i="117" a="1"/>
  <c r="M249" i="125"/>
  <c r="CA43" i="67" a="1"/>
  <c r="CC25" i="67" a="1"/>
  <c r="BE49" i="125"/>
  <c r="BZ17" i="117" a="1"/>
  <c r="CA24" i="118" a="1"/>
  <c r="CC23" i="119" a="1"/>
  <c r="M12" i="125"/>
  <c r="CA43" i="119" a="1"/>
  <c r="BZ24" i="67" a="1"/>
  <c r="M187" i="125"/>
  <c r="CA37" i="117" a="1"/>
  <c r="BD227" i="125" a="1"/>
  <c r="BD263" i="125"/>
  <c r="BZ37" i="119" a="1"/>
  <c r="CF13" i="67" a="1"/>
  <c r="CB25" i="67" a="1"/>
  <c r="CA23" i="67" a="1"/>
  <c r="CB25" i="119" a="1"/>
  <c r="CB23" i="119" a="1"/>
  <c r="CC45" i="67" a="1"/>
  <c r="CA25" i="119" a="1"/>
  <c r="CB43" i="117" a="1"/>
  <c r="CB24" i="67" a="1"/>
  <c r="CA24" i="117" a="1"/>
  <c r="CB37" i="119" a="1"/>
  <c r="BZ25" i="117" a="1"/>
  <c r="L264" i="125"/>
  <c r="CA45" i="119" a="1"/>
  <c r="BD26" i="125"/>
  <c r="BE170" i="125"/>
  <c r="L185" i="125"/>
  <c r="L184" i="125"/>
  <c r="L174" i="125"/>
  <c r="H187" i="125"/>
  <c r="K183" i="125"/>
  <c r="BE266" i="125"/>
  <c r="CC24" i="117" a="1"/>
  <c r="L105" i="125"/>
  <c r="CA25" i="117" a="1"/>
  <c r="CA25" i="67" a="1"/>
  <c r="L106" i="125"/>
  <c r="BE207" i="125"/>
  <c r="G29" i="125"/>
  <c r="CA43" i="117" a="1"/>
  <c r="G187" i="125"/>
  <c r="CB25" i="118" a="1"/>
  <c r="CC40" i="117" a="1"/>
  <c r="BE91" i="125"/>
  <c r="M108" i="125"/>
  <c r="CC40" i="119" a="1"/>
  <c r="BZ24" i="117" a="1"/>
  <c r="CB23" i="118" a="1"/>
  <c r="BC25" i="125"/>
  <c r="CC24" i="67" a="1"/>
  <c r="L263" i="125"/>
  <c r="CD43" i="67" a="1"/>
  <c r="CE12" i="67" a="1"/>
  <c r="CB17" i="119" a="1"/>
  <c r="BD184" i="125"/>
  <c r="BD149" i="125" a="1"/>
  <c r="L26" i="125"/>
  <c r="BZ24" i="118" a="1"/>
  <c r="BE187" i="125"/>
  <c r="CC19" i="117" a="1"/>
  <c r="CA37" i="119" a="1"/>
  <c r="BD253" i="125"/>
  <c r="L70" i="125" a="1"/>
  <c r="CD45" i="67" a="1"/>
  <c r="CC39" i="119" a="1"/>
  <c r="M29" i="125"/>
  <c r="CB43" i="67" a="1"/>
  <c r="H29" i="125"/>
  <c r="CA17" i="117" a="1"/>
  <c r="BE249" i="125"/>
  <c r="BZ43" i="117" a="1"/>
  <c r="CE10" i="67" a="1"/>
  <c r="CB45" i="67" a="1"/>
  <c r="CB23" i="67" a="1"/>
  <c r="BD69" i="125" a="1"/>
  <c r="L69" i="125" a="1"/>
  <c r="CB24" i="119" a="1"/>
  <c r="CC23" i="117" a="1"/>
  <c r="BZ23" i="119" a="1"/>
  <c r="AN266" i="125"/>
  <c r="CB40" i="118" a="1"/>
  <c r="M170" i="125"/>
  <c r="BD174" i="125"/>
  <c r="CB37" i="117" a="1"/>
  <c r="BZ17" i="119" a="1"/>
  <c r="BZ24" i="119" a="1"/>
  <c r="M207" i="125"/>
  <c r="BZ43" i="118" a="1"/>
  <c r="BD264" i="125"/>
  <c r="AM108" i="125"/>
  <c r="CC25" i="118" a="1"/>
  <c r="K25" i="125"/>
  <c r="K104" i="125"/>
  <c r="CA20" i="118" a="1"/>
  <c r="BE29" i="125"/>
  <c r="L227" i="125" a="1"/>
  <c r="CC9" i="67" a="1"/>
  <c r="CB43" i="118" a="1"/>
  <c r="CA17" i="119" a="1"/>
  <c r="BZ17" i="118" a="1"/>
  <c r="BD95" i="125"/>
  <c r="CB20" i="67" a="1"/>
  <c r="CA45" i="117" a="1"/>
  <c r="AM29" i="125"/>
  <c r="CA23" i="118" a="1"/>
  <c r="H108" i="125"/>
  <c r="CD9" i="67" a="1"/>
  <c r="L306" i="125" a="1"/>
  <c r="BC183" i="125"/>
  <c r="BC104" i="125"/>
  <c r="CC43" i="67" a="1"/>
  <c r="BD228" i="125" a="1"/>
  <c r="CB43" i="119" a="1"/>
  <c r="CC25" i="117" a="1"/>
  <c r="G108" i="125"/>
  <c r="CE44" i="67" a="1"/>
  <c r="BD70" i="125" a="1"/>
  <c r="CA25" i="118" a="1"/>
  <c r="H266" i="125"/>
  <c r="L16" i="125"/>
  <c r="CB17" i="117" a="1"/>
  <c r="BZ37" i="118" a="1"/>
  <c r="CA17" i="118" a="1"/>
  <c r="AN29" i="125"/>
  <c r="L307" i="125" a="1"/>
  <c r="CB25" i="117" a="1"/>
  <c r="AN187" i="125"/>
  <c r="CB45" i="119" a="1"/>
  <c r="CC39" i="118" a="1"/>
  <c r="L149" i="125" a="1"/>
  <c r="BD16" i="125"/>
  <c r="CC19" i="118" a="1"/>
  <c r="K262" i="125"/>
  <c r="CE43" i="67" a="1"/>
  <c r="CC17" i="119" a="1"/>
  <c r="BD307" i="125" a="1"/>
  <c r="CA23" i="117" a="1"/>
  <c r="CA37" i="118" a="1"/>
  <c r="CA40" i="118" a="1"/>
  <c r="BZ45" i="119" a="1"/>
  <c r="BD105" i="125"/>
  <c r="M128" i="125"/>
  <c r="BZ45" i="117" a="1"/>
  <c r="Z126" i="120" l="1"/>
  <c r="BG47" i="126"/>
  <c r="BI111" i="126"/>
  <c r="AA284" i="126"/>
  <c r="BG271" i="124"/>
  <c r="AA291" i="126"/>
  <c r="AA335" i="126"/>
  <c r="G341" i="125"/>
  <c r="Z335" i="120"/>
  <c r="Z291" i="120"/>
  <c r="J335" i="125"/>
  <c r="J126" i="125"/>
  <c r="BB47" i="125"/>
  <c r="Z126" i="124"/>
  <c r="BF126" i="124"/>
  <c r="BG205" i="120"/>
  <c r="BB126" i="125"/>
  <c r="BI269" i="126"/>
  <c r="Z284" i="124"/>
  <c r="Z334" i="124"/>
  <c r="BB335" i="125"/>
  <c r="BB54" i="125"/>
  <c r="BF333" i="120"/>
  <c r="Z291" i="124"/>
  <c r="BH271" i="126"/>
  <c r="AB190" i="124"/>
  <c r="AC190" i="126"/>
  <c r="AC210" i="126" s="1"/>
  <c r="BC53" i="125"/>
  <c r="AC269" i="126"/>
  <c r="AC289" i="126" s="1"/>
  <c r="AA205" i="126"/>
  <c r="AB269" i="120"/>
  <c r="AB287" i="120" s="1"/>
  <c r="AB267" i="120" s="1"/>
  <c r="BB205" i="125"/>
  <c r="BH205" i="126"/>
  <c r="BB333" i="125"/>
  <c r="BH190" i="124"/>
  <c r="BH210" i="124" s="1"/>
  <c r="AD101" i="126"/>
  <c r="AD112" i="126" s="1"/>
  <c r="BG192" i="124"/>
  <c r="BF284" i="120"/>
  <c r="BJ180" i="126"/>
  <c r="BJ191" i="126" s="1"/>
  <c r="J333" i="125"/>
  <c r="K211" i="125"/>
  <c r="BC45" i="125"/>
  <c r="BG333" i="126"/>
  <c r="AB334" i="126"/>
  <c r="AC125" i="126"/>
  <c r="AC133" i="126" s="1"/>
  <c r="BH123" i="126"/>
  <c r="AB126" i="126"/>
  <c r="AB46" i="126"/>
  <c r="K45" i="125"/>
  <c r="K204" i="125"/>
  <c r="K212" i="125" s="1"/>
  <c r="K53" i="125"/>
  <c r="BC204" i="125"/>
  <c r="BC212" i="125" s="1"/>
  <c r="BH113" i="126"/>
  <c r="AB192" i="126"/>
  <c r="O289" i="126"/>
  <c r="O294" i="126" s="1"/>
  <c r="O287" i="126"/>
  <c r="O267" i="126" s="1"/>
  <c r="AP131" i="126"/>
  <c r="AP136" i="126" s="1"/>
  <c r="AP152" i="126" s="1"/>
  <c r="AP129" i="126"/>
  <c r="AP109" i="126" s="1"/>
  <c r="BF131" i="126"/>
  <c r="BF136" i="126" s="1"/>
  <c r="BF129" i="126"/>
  <c r="BF109" i="126" s="1"/>
  <c r="S210" i="126"/>
  <c r="S215" i="126" s="1"/>
  <c r="S208" i="126"/>
  <c r="S188" i="126" s="1"/>
  <c r="AB281" i="126"/>
  <c r="AB284" i="126" s="1"/>
  <c r="BI190" i="126"/>
  <c r="BI204" i="126"/>
  <c r="BI212" i="126" s="1"/>
  <c r="S32" i="126"/>
  <c r="S328" i="126"/>
  <c r="H113" i="126"/>
  <c r="AZ289" i="126"/>
  <c r="AZ294" i="126" s="1"/>
  <c r="AZ287" i="126"/>
  <c r="AZ267" i="126" s="1"/>
  <c r="AX131" i="126"/>
  <c r="AX136" i="126" s="1"/>
  <c r="AX129" i="126"/>
  <c r="AX109" i="126" s="1"/>
  <c r="AQ208" i="126"/>
  <c r="AQ188" i="126" s="1"/>
  <c r="AQ210" i="126"/>
  <c r="AQ215" i="126" s="1"/>
  <c r="AN205" i="126"/>
  <c r="K32" i="126"/>
  <c r="K328" i="126"/>
  <c r="BH208" i="126"/>
  <c r="BH188" i="126" s="1"/>
  <c r="BH210" i="126"/>
  <c r="BH215" i="126" s="1"/>
  <c r="BC34" i="126"/>
  <c r="BC330" i="126"/>
  <c r="BC341" i="126" s="1"/>
  <c r="BH34" i="126"/>
  <c r="BH330" i="126"/>
  <c r="P289" i="126"/>
  <c r="P294" i="126" s="1"/>
  <c r="P287" i="126"/>
  <c r="P267" i="126" s="1"/>
  <c r="K129" i="126"/>
  <c r="K109" i="126" s="1"/>
  <c r="K131" i="126"/>
  <c r="K136" i="126" s="1"/>
  <c r="AA129" i="126"/>
  <c r="AA109" i="126" s="1"/>
  <c r="AA131" i="126"/>
  <c r="AA136" i="126" s="1"/>
  <c r="AV210" i="126"/>
  <c r="AV215" i="126" s="1"/>
  <c r="AV208" i="126"/>
  <c r="AV188" i="126" s="1"/>
  <c r="AC111" i="126"/>
  <c r="K34" i="126"/>
  <c r="K330" i="126"/>
  <c r="K341" i="126" s="1"/>
  <c r="BG34" i="126"/>
  <c r="BG330" i="126"/>
  <c r="P208" i="126"/>
  <c r="P188" i="126" s="1"/>
  <c r="P210" i="126"/>
  <c r="P215" i="126" s="1"/>
  <c r="BJ21" i="126"/>
  <c r="BJ42" i="126"/>
  <c r="AD22" i="126"/>
  <c r="H284" i="126"/>
  <c r="H34" i="126"/>
  <c r="H330" i="126"/>
  <c r="BD34" i="126"/>
  <c r="BD330" i="126"/>
  <c r="BD341" i="126" s="1"/>
  <c r="H112" i="126"/>
  <c r="AR129" i="126"/>
  <c r="AR109" i="126" s="1"/>
  <c r="AR131" i="126"/>
  <c r="AR136" i="126" s="1"/>
  <c r="Y208" i="126"/>
  <c r="Y188" i="126" s="1"/>
  <c r="Y210" i="126"/>
  <c r="Y215" i="126" s="1"/>
  <c r="P34" i="126"/>
  <c r="P330" i="126"/>
  <c r="P341" i="126" s="1"/>
  <c r="AB34" i="126"/>
  <c r="AB330" i="126"/>
  <c r="L131" i="126"/>
  <c r="L136" i="126" s="1"/>
  <c r="L129" i="126"/>
  <c r="L109" i="126" s="1"/>
  <c r="I208" i="126"/>
  <c r="I188" i="126" s="1"/>
  <c r="I210" i="126"/>
  <c r="I215" i="126" s="1"/>
  <c r="BE210" i="126"/>
  <c r="BE215" i="126" s="1"/>
  <c r="BE208" i="126"/>
  <c r="BE188" i="126" s="1"/>
  <c r="H192" i="126"/>
  <c r="AN112" i="126"/>
  <c r="AO131" i="126"/>
  <c r="AO136" i="126" s="1"/>
  <c r="AO129" i="126"/>
  <c r="AO109" i="126" s="1"/>
  <c r="BI282" i="126"/>
  <c r="BI262" i="126"/>
  <c r="BI281" i="126" s="1"/>
  <c r="N32" i="126"/>
  <c r="N328" i="126"/>
  <c r="I34" i="126"/>
  <c r="I330" i="126"/>
  <c r="I341" i="126" s="1"/>
  <c r="BE34" i="126"/>
  <c r="BE330" i="126"/>
  <c r="BE341" i="126" s="1"/>
  <c r="R32" i="126"/>
  <c r="R328" i="126"/>
  <c r="AN337" i="126"/>
  <c r="BP337" i="126" s="1"/>
  <c r="BO29" i="126"/>
  <c r="N34" i="126"/>
  <c r="N330" i="126"/>
  <c r="N341" i="126" s="1"/>
  <c r="AN192" i="126"/>
  <c r="W32" i="126"/>
  <c r="W328" i="126"/>
  <c r="BH44" i="126"/>
  <c r="AX34" i="126"/>
  <c r="AX330" i="126"/>
  <c r="AX341" i="126" s="1"/>
  <c r="BG210" i="126"/>
  <c r="BG215" i="126" s="1"/>
  <c r="BG208" i="126"/>
  <c r="BG188" i="126" s="1"/>
  <c r="AN284" i="126"/>
  <c r="AM330" i="125"/>
  <c r="AM341" i="125" s="1"/>
  <c r="AM34" i="125"/>
  <c r="BH32" i="126"/>
  <c r="BH328" i="126"/>
  <c r="AZ208" i="126"/>
  <c r="AZ188" i="126" s="1"/>
  <c r="AZ210" i="126"/>
  <c r="AZ215" i="126" s="1"/>
  <c r="AV32" i="126"/>
  <c r="AV328" i="126"/>
  <c r="AW287" i="126"/>
  <c r="AW267" i="126" s="1"/>
  <c r="AW289" i="126"/>
  <c r="AW294" i="126" s="1"/>
  <c r="AQ129" i="126"/>
  <c r="AQ109" i="126" s="1"/>
  <c r="AQ131" i="126"/>
  <c r="AQ136" i="126" s="1"/>
  <c r="BG129" i="126"/>
  <c r="BG109" i="126" s="1"/>
  <c r="BG131" i="126"/>
  <c r="BG136" i="126" s="1"/>
  <c r="BK302" i="126"/>
  <c r="BK301" i="126"/>
  <c r="BK277" i="126"/>
  <c r="BK275" i="126"/>
  <c r="BK276" i="126"/>
  <c r="BK278" i="126"/>
  <c r="BK293" i="126" s="1"/>
  <c r="BK252" i="126"/>
  <c r="BK198" i="126"/>
  <c r="BK196" i="126"/>
  <c r="BK223" i="126"/>
  <c r="BK222" i="126"/>
  <c r="BK197" i="126"/>
  <c r="BK199" i="126"/>
  <c r="BK214" i="126" s="1"/>
  <c r="BK173" i="126"/>
  <c r="BK144" i="126"/>
  <c r="BK119" i="126"/>
  <c r="BK117" i="126"/>
  <c r="BK120" i="126"/>
  <c r="BK143" i="126"/>
  <c r="BK94" i="126"/>
  <c r="BK118" i="126"/>
  <c r="BK64" i="126"/>
  <c r="BK41" i="126"/>
  <c r="BK56" i="126" s="1"/>
  <c r="BK39" i="126"/>
  <c r="BK65" i="126"/>
  <c r="BK40" i="126"/>
  <c r="BK38" i="126"/>
  <c r="BL8" i="126"/>
  <c r="BK15" i="126"/>
  <c r="BK249" i="126"/>
  <c r="BK170" i="126"/>
  <c r="BK12" i="126"/>
  <c r="BK91" i="126"/>
  <c r="BJ259" i="126"/>
  <c r="BJ270" i="126" s="1"/>
  <c r="AE302" i="126"/>
  <c r="AE301" i="126"/>
  <c r="AE276" i="126"/>
  <c r="AE278" i="126"/>
  <c r="AE293" i="126" s="1"/>
  <c r="AE277" i="126"/>
  <c r="AE275" i="126"/>
  <c r="AE252" i="126"/>
  <c r="AE222" i="126"/>
  <c r="AE199" i="126"/>
  <c r="AE214" i="126" s="1"/>
  <c r="AE197" i="126"/>
  <c r="AE223" i="126"/>
  <c r="AE196" i="126"/>
  <c r="AE198" i="126"/>
  <c r="AE173" i="126"/>
  <c r="AE120" i="126"/>
  <c r="AE118" i="126"/>
  <c r="AE143" i="126"/>
  <c r="AE144" i="126"/>
  <c r="AE119" i="126"/>
  <c r="AE117" i="126"/>
  <c r="AE94" i="126"/>
  <c r="AE65" i="126"/>
  <c r="AE40" i="126"/>
  <c r="AE38" i="126"/>
  <c r="AE64" i="126"/>
  <c r="AE41" i="126"/>
  <c r="AE56" i="126" s="1"/>
  <c r="AE39" i="126"/>
  <c r="AF8" i="126"/>
  <c r="AE15" i="126"/>
  <c r="AE170" i="126"/>
  <c r="AE249" i="126"/>
  <c r="AE12" i="126"/>
  <c r="AE91" i="126"/>
  <c r="AD279" i="126"/>
  <c r="AD258" i="126"/>
  <c r="L32" i="126"/>
  <c r="L328" i="126"/>
  <c r="BA287" i="126"/>
  <c r="BA267" i="126" s="1"/>
  <c r="BA289" i="126"/>
  <c r="BA294" i="126" s="1"/>
  <c r="AO210" i="126"/>
  <c r="AO215" i="126" s="1"/>
  <c r="AO208" i="126"/>
  <c r="AO188" i="126" s="1"/>
  <c r="U32" i="126"/>
  <c r="U328" i="126"/>
  <c r="V289" i="126"/>
  <c r="V294" i="126" s="1"/>
  <c r="V287" i="126"/>
  <c r="V267" i="126" s="1"/>
  <c r="BI330" i="126"/>
  <c r="AC203" i="126"/>
  <c r="AC183" i="126"/>
  <c r="AC202" i="126" s="1"/>
  <c r="AW32" i="126"/>
  <c r="AW328" i="126"/>
  <c r="Q34" i="126"/>
  <c r="Q330" i="126"/>
  <c r="Q341" i="126" s="1"/>
  <c r="H212" i="126"/>
  <c r="BH281" i="126"/>
  <c r="AX289" i="126"/>
  <c r="AX294" i="126" s="1"/>
  <c r="AX287" i="126"/>
  <c r="AX267" i="126" s="1"/>
  <c r="AS129" i="126"/>
  <c r="AS109" i="126" s="1"/>
  <c r="AS131" i="126"/>
  <c r="AS136" i="126" s="1"/>
  <c r="BB210" i="126"/>
  <c r="BB215" i="126" s="1"/>
  <c r="BB208" i="126"/>
  <c r="BB188" i="126" s="1"/>
  <c r="AN191" i="126"/>
  <c r="I129" i="126"/>
  <c r="I109" i="126" s="1"/>
  <c r="I131" i="126"/>
  <c r="I136" i="126" s="1"/>
  <c r="AX210" i="126"/>
  <c r="AX215" i="126" s="1"/>
  <c r="AX208" i="126"/>
  <c r="AX188" i="126" s="1"/>
  <c r="V32" i="126"/>
  <c r="V328" i="126"/>
  <c r="R34" i="126"/>
  <c r="R330" i="126"/>
  <c r="R341" i="126" s="1"/>
  <c r="AN212" i="126"/>
  <c r="K90" i="126"/>
  <c r="K147" i="126" s="1"/>
  <c r="AQ90" i="126"/>
  <c r="AQ147" i="126" s="1"/>
  <c r="AC102" i="120"/>
  <c r="AT129" i="126"/>
  <c r="AT109" i="126" s="1"/>
  <c r="AT131" i="126"/>
  <c r="AT136" i="126" s="1"/>
  <c r="BC210" i="126"/>
  <c r="BC215" i="126" s="1"/>
  <c r="BC208" i="126"/>
  <c r="BC188" i="126" s="1"/>
  <c r="BI129" i="126"/>
  <c r="BI109" i="126" s="1"/>
  <c r="BI131" i="126"/>
  <c r="AM328" i="125"/>
  <c r="AM32" i="125"/>
  <c r="H269" i="126"/>
  <c r="X289" i="126"/>
  <c r="X294" i="126" s="1"/>
  <c r="X287" i="126"/>
  <c r="X267" i="126" s="1"/>
  <c r="BB129" i="126"/>
  <c r="BB109" i="126" s="1"/>
  <c r="BB131" i="126"/>
  <c r="BB136" i="126" s="1"/>
  <c r="O208" i="126"/>
  <c r="O188" i="126" s="1"/>
  <c r="O210" i="126"/>
  <c r="O215" i="126" s="1"/>
  <c r="BI33" i="126"/>
  <c r="BI53" i="126" s="1"/>
  <c r="BI329" i="126"/>
  <c r="BI340" i="126" s="1"/>
  <c r="AU32" i="126"/>
  <c r="AU328" i="126"/>
  <c r="AQ34" i="126"/>
  <c r="AQ330" i="126"/>
  <c r="AQ341" i="126" s="1"/>
  <c r="AA34" i="126"/>
  <c r="AA330" i="126"/>
  <c r="AU129" i="126"/>
  <c r="AU109" i="126" s="1"/>
  <c r="AU131" i="126"/>
  <c r="AU136" i="126" s="1"/>
  <c r="BI211" i="126"/>
  <c r="AZ32" i="126"/>
  <c r="AZ328" i="126"/>
  <c r="AB44" i="126"/>
  <c r="AU34" i="126"/>
  <c r="AU330" i="126"/>
  <c r="AU341" i="126" s="1"/>
  <c r="BI290" i="126"/>
  <c r="BJ23" i="126"/>
  <c r="AD121" i="126"/>
  <c r="AD100" i="126"/>
  <c r="AD200" i="126"/>
  <c r="AD179" i="126"/>
  <c r="P32" i="126"/>
  <c r="P328" i="126"/>
  <c r="BH46" i="126"/>
  <c r="L34" i="126"/>
  <c r="L330" i="126"/>
  <c r="L341" i="126" s="1"/>
  <c r="AV131" i="126"/>
  <c r="AV136" i="126" s="1"/>
  <c r="AV129" i="126"/>
  <c r="AV109" i="126" s="1"/>
  <c r="AS208" i="126"/>
  <c r="AS188" i="126" s="1"/>
  <c r="AS210" i="126"/>
  <c r="AS215" i="126" s="1"/>
  <c r="Y32" i="126"/>
  <c r="Y328" i="126"/>
  <c r="T34" i="126"/>
  <c r="T330" i="126"/>
  <c r="T341" i="126" s="1"/>
  <c r="BH53" i="126"/>
  <c r="P129" i="126"/>
  <c r="P109" i="126" s="1"/>
  <c r="P131" i="126"/>
  <c r="P136" i="126" s="1"/>
  <c r="AC204" i="126"/>
  <c r="AC212" i="126" s="1"/>
  <c r="BA32" i="126"/>
  <c r="BA328" i="126"/>
  <c r="BH282" i="126"/>
  <c r="BI32" i="126"/>
  <c r="BI328" i="126"/>
  <c r="AX32" i="126"/>
  <c r="AX328" i="126"/>
  <c r="AB131" i="126"/>
  <c r="AB136" i="126" s="1"/>
  <c r="AB129" i="126"/>
  <c r="AB109" i="126" s="1"/>
  <c r="M34" i="126"/>
  <c r="M330" i="126"/>
  <c r="M341" i="126" s="1"/>
  <c r="AB205" i="126"/>
  <c r="AU287" i="126"/>
  <c r="AU267" i="126" s="1"/>
  <c r="AU289" i="126"/>
  <c r="AU294" i="126" s="1"/>
  <c r="BE131" i="126"/>
  <c r="BE136" i="126" s="1"/>
  <c r="BE129" i="126"/>
  <c r="BE109" i="126" s="1"/>
  <c r="BI45" i="126"/>
  <c r="BI25" i="126"/>
  <c r="BI34" i="126" s="1"/>
  <c r="AA192" i="124"/>
  <c r="BC283" i="125"/>
  <c r="BC291" i="125" s="1"/>
  <c r="S287" i="126"/>
  <c r="S267" i="126" s="1"/>
  <c r="S289" i="126"/>
  <c r="S294" i="126" s="1"/>
  <c r="AM208" i="125"/>
  <c r="AM210" i="125"/>
  <c r="AM215" i="125" s="1"/>
  <c r="AQ32" i="126"/>
  <c r="AQ328" i="126"/>
  <c r="BB34" i="126"/>
  <c r="BB330" i="126"/>
  <c r="BB341" i="126" s="1"/>
  <c r="H303" i="126"/>
  <c r="AY32" i="126"/>
  <c r="AY328" i="126"/>
  <c r="T287" i="126"/>
  <c r="T267" i="126" s="1"/>
  <c r="T289" i="126"/>
  <c r="T294" i="126" s="1"/>
  <c r="H190" i="126"/>
  <c r="BD210" i="126"/>
  <c r="BD215" i="126" s="1"/>
  <c r="BD208" i="126"/>
  <c r="BD188" i="126" s="1"/>
  <c r="H47" i="126"/>
  <c r="H333" i="126"/>
  <c r="U287" i="126"/>
  <c r="U267" i="126" s="1"/>
  <c r="U289" i="126"/>
  <c r="U294" i="126" s="1"/>
  <c r="O129" i="126"/>
  <c r="O109" i="126" s="1"/>
  <c r="O131" i="126"/>
  <c r="O136" i="126" s="1"/>
  <c r="T210" i="126"/>
  <c r="T215" i="126" s="1"/>
  <c r="T208" i="126"/>
  <c r="T188" i="126" s="1"/>
  <c r="BJ26" i="126"/>
  <c r="BJ69" i="126" a="1"/>
  <c r="BJ69" i="126" s="1"/>
  <c r="BJ16" i="126"/>
  <c r="BJ17" i="126" s="1"/>
  <c r="BJ70" i="126" a="1"/>
  <c r="BJ70" i="126" s="1"/>
  <c r="BJ27" i="126"/>
  <c r="BJ279" i="126"/>
  <c r="BJ258" i="126"/>
  <c r="AD27" i="126"/>
  <c r="AD69" i="126" a="1"/>
  <c r="AD69" i="126" s="1"/>
  <c r="AD16" i="126"/>
  <c r="AD17" i="126" s="1"/>
  <c r="AD70" i="126" a="1"/>
  <c r="AD70" i="126" s="1"/>
  <c r="AD26" i="126"/>
  <c r="AD102" i="126"/>
  <c r="AD181" i="126"/>
  <c r="AD260" i="126"/>
  <c r="AN33" i="126"/>
  <c r="AN329" i="126"/>
  <c r="BE287" i="126"/>
  <c r="BE267" i="126" s="1"/>
  <c r="BE289" i="126"/>
  <c r="BE294" i="126" s="1"/>
  <c r="AO32" i="126"/>
  <c r="AO328" i="126"/>
  <c r="AP289" i="126"/>
  <c r="AP294" i="126" s="1"/>
  <c r="AP310" i="126" s="1"/>
  <c r="AP287" i="126"/>
  <c r="AP267" i="126" s="1"/>
  <c r="Z289" i="126"/>
  <c r="Z294" i="126" s="1"/>
  <c r="Z287" i="126"/>
  <c r="Z267" i="126" s="1"/>
  <c r="M210" i="126"/>
  <c r="M215" i="126" s="1"/>
  <c r="M208" i="126"/>
  <c r="M188" i="126" s="1"/>
  <c r="BA34" i="126"/>
  <c r="BA330" i="126"/>
  <c r="BA341" i="126" s="1"/>
  <c r="BB289" i="126"/>
  <c r="BB294" i="126" s="1"/>
  <c r="BB287" i="126"/>
  <c r="BB267" i="126" s="1"/>
  <c r="Q129" i="126"/>
  <c r="Q109" i="126" s="1"/>
  <c r="Q131" i="126"/>
  <c r="Q136" i="126" s="1"/>
  <c r="AP208" i="126"/>
  <c r="AP188" i="126" s="1"/>
  <c r="AP210" i="126"/>
  <c r="AP215" i="126" s="1"/>
  <c r="Z208" i="126"/>
  <c r="Z188" i="126" s="1"/>
  <c r="Z210" i="126"/>
  <c r="Z215" i="126" s="1"/>
  <c r="AC330" i="126"/>
  <c r="AY289" i="126"/>
  <c r="AY294" i="126" s="1"/>
  <c r="AY287" i="126"/>
  <c r="AY267" i="126" s="1"/>
  <c r="M131" i="126"/>
  <c r="M136" i="126" s="1"/>
  <c r="M129" i="126"/>
  <c r="M109" i="126" s="1"/>
  <c r="V208" i="126"/>
  <c r="V188" i="126" s="1"/>
  <c r="V210" i="126"/>
  <c r="V215" i="126" s="1"/>
  <c r="AN270" i="126"/>
  <c r="BI23" i="120"/>
  <c r="AN269" i="126"/>
  <c r="W289" i="126"/>
  <c r="W294" i="126" s="1"/>
  <c r="W287" i="126"/>
  <c r="W267" i="126" s="1"/>
  <c r="R129" i="126"/>
  <c r="R109" i="126" s="1"/>
  <c r="R131" i="126"/>
  <c r="R136" i="126" s="1"/>
  <c r="K210" i="126"/>
  <c r="K215" i="126" s="1"/>
  <c r="K208" i="126"/>
  <c r="K188" i="126" s="1"/>
  <c r="AA210" i="126"/>
  <c r="AA215" i="126" s="1"/>
  <c r="AA208" i="126"/>
  <c r="AA188" i="126" s="1"/>
  <c r="AA32" i="126"/>
  <c r="AA328" i="126"/>
  <c r="AN126" i="126"/>
  <c r="H270" i="126"/>
  <c r="AR289" i="126"/>
  <c r="AR294" i="126" s="1"/>
  <c r="AR287" i="126"/>
  <c r="AR267" i="126" s="1"/>
  <c r="J129" i="126"/>
  <c r="J109" i="126" s="1"/>
  <c r="J131" i="126"/>
  <c r="J136" i="126" s="1"/>
  <c r="J152" i="126" s="1"/>
  <c r="Z129" i="126"/>
  <c r="Z109" i="126" s="1"/>
  <c r="Z131" i="126"/>
  <c r="Z136" i="126" s="1"/>
  <c r="AY208" i="126"/>
  <c r="AY188" i="126" s="1"/>
  <c r="AY210" i="126"/>
  <c r="AY215" i="126" s="1"/>
  <c r="BI125" i="126"/>
  <c r="BI133" i="126" s="1"/>
  <c r="AB287" i="126"/>
  <c r="AB267" i="126" s="1"/>
  <c r="AB289" i="126"/>
  <c r="AB294" i="126" s="1"/>
  <c r="O34" i="126"/>
  <c r="O330" i="126"/>
  <c r="O341" i="126" s="1"/>
  <c r="G287" i="125"/>
  <c r="G289" i="125"/>
  <c r="G294" i="125" s="1"/>
  <c r="S129" i="126"/>
  <c r="S109" i="126" s="1"/>
  <c r="S131" i="126"/>
  <c r="S136" i="126" s="1"/>
  <c r="H224" i="126"/>
  <c r="BH132" i="126"/>
  <c r="H32" i="126"/>
  <c r="H328" i="126"/>
  <c r="AY34" i="126"/>
  <c r="AY330" i="126"/>
  <c r="AY341" i="126" s="1"/>
  <c r="H334" i="126"/>
  <c r="AN224" i="126"/>
  <c r="X208" i="126"/>
  <c r="X188" i="126" s="1"/>
  <c r="X210" i="126"/>
  <c r="X215" i="126" s="1"/>
  <c r="BJ227" i="126" a="1"/>
  <c r="BJ227" i="126" s="1"/>
  <c r="BJ184" i="126"/>
  <c r="BJ228" i="126" a="1"/>
  <c r="BJ228" i="126" s="1"/>
  <c r="BJ185" i="126"/>
  <c r="BJ174" i="126"/>
  <c r="BJ175" i="126" s="1"/>
  <c r="BJ211" i="126" s="1"/>
  <c r="BJ121" i="126"/>
  <c r="BJ100" i="126"/>
  <c r="BJ200" i="126"/>
  <c r="BJ179" i="126"/>
  <c r="BJ260" i="126"/>
  <c r="AD105" i="126"/>
  <c r="AD148" i="126" a="1"/>
  <c r="AD148" i="126" s="1"/>
  <c r="AD106" i="126"/>
  <c r="AD149" i="126" a="1"/>
  <c r="AD149" i="126" s="1"/>
  <c r="AD95" i="126"/>
  <c r="AD224" i="126"/>
  <c r="BH289" i="126"/>
  <c r="BH287" i="126"/>
  <c r="BH267" i="126" s="1"/>
  <c r="AB32" i="126"/>
  <c r="AB328" i="126"/>
  <c r="AV34" i="126"/>
  <c r="AV330" i="126"/>
  <c r="AV341" i="126" s="1"/>
  <c r="I287" i="126"/>
  <c r="I267" i="126" s="1"/>
  <c r="I289" i="126"/>
  <c r="I294" i="126" s="1"/>
  <c r="AZ129" i="126"/>
  <c r="AZ109" i="126" s="1"/>
  <c r="AZ131" i="126"/>
  <c r="AZ136" i="126" s="1"/>
  <c r="Q208" i="126"/>
  <c r="Q188" i="126" s="1"/>
  <c r="Q210" i="126"/>
  <c r="Q215" i="126" s="1"/>
  <c r="AS32" i="126"/>
  <c r="AS328" i="126"/>
  <c r="H33" i="126"/>
  <c r="H329" i="126"/>
  <c r="AN34" i="126"/>
  <c r="AN330" i="126"/>
  <c r="X34" i="126"/>
  <c r="X330" i="126"/>
  <c r="X341" i="126" s="1"/>
  <c r="T131" i="126"/>
  <c r="T136" i="126" s="1"/>
  <c r="T129" i="126"/>
  <c r="T109" i="126" s="1"/>
  <c r="AB53" i="126"/>
  <c r="I32" i="126"/>
  <c r="I328" i="126"/>
  <c r="AW34" i="126"/>
  <c r="AW330" i="126"/>
  <c r="AW341" i="126" s="1"/>
  <c r="BI46" i="126"/>
  <c r="BI54" i="126" s="1"/>
  <c r="AC32" i="126"/>
  <c r="AC328" i="126"/>
  <c r="J32" i="126"/>
  <c r="J328" i="126"/>
  <c r="Z32" i="126"/>
  <c r="Z328" i="126"/>
  <c r="V34" i="126"/>
  <c r="V330" i="126"/>
  <c r="V341" i="126" s="1"/>
  <c r="K11" i="126"/>
  <c r="K68" i="126" s="1"/>
  <c r="AQ11" i="126"/>
  <c r="AQ68" i="126" s="1"/>
  <c r="AC42" i="120"/>
  <c r="AZ294" i="120"/>
  <c r="AZ296" i="120" s="1"/>
  <c r="AN303" i="126"/>
  <c r="BI203" i="126"/>
  <c r="BI183" i="126"/>
  <c r="BI202" i="126" s="1"/>
  <c r="O32" i="126"/>
  <c r="O328" i="126"/>
  <c r="BH124" i="126"/>
  <c r="J34" i="126"/>
  <c r="J330" i="126"/>
  <c r="J341" i="126" s="1"/>
  <c r="Z34" i="126"/>
  <c r="Z330" i="126"/>
  <c r="Z341" i="126" s="1"/>
  <c r="BI124" i="126"/>
  <c r="BI104" i="126"/>
  <c r="BI123" i="126" s="1"/>
  <c r="G328" i="125"/>
  <c r="G32" i="125"/>
  <c r="H271" i="126"/>
  <c r="BD287" i="126"/>
  <c r="BD267" i="126" s="1"/>
  <c r="BD289" i="126"/>
  <c r="BD294" i="126" s="1"/>
  <c r="AR208" i="126"/>
  <c r="AR188" i="126" s="1"/>
  <c r="AR210" i="126"/>
  <c r="AR215" i="126" s="1"/>
  <c r="H66" i="126"/>
  <c r="BD32" i="126"/>
  <c r="BD328" i="126"/>
  <c r="BH192" i="126"/>
  <c r="H335" i="126"/>
  <c r="AO287" i="126"/>
  <c r="AO267" i="126" s="1"/>
  <c r="AO289" i="126"/>
  <c r="AO294" i="126" s="1"/>
  <c r="Y287" i="126"/>
  <c r="Y267" i="126" s="1"/>
  <c r="Y289" i="126"/>
  <c r="Y294" i="126" s="1"/>
  <c r="AY129" i="126"/>
  <c r="AY109" i="126" s="1"/>
  <c r="AY131" i="126"/>
  <c r="AY136" i="126" s="1"/>
  <c r="AN190" i="126"/>
  <c r="BJ148" i="126" a="1"/>
  <c r="BJ148" i="126" s="1"/>
  <c r="BJ95" i="126"/>
  <c r="BJ96" i="126" s="1"/>
  <c r="BJ106" i="126"/>
  <c r="BJ149" i="126" a="1"/>
  <c r="BJ149" i="126" s="1"/>
  <c r="BJ105" i="126"/>
  <c r="BJ22" i="126"/>
  <c r="BJ102" i="126"/>
  <c r="BJ181" i="126"/>
  <c r="AD227" i="126" a="1"/>
  <c r="AD227" i="126" s="1"/>
  <c r="AD185" i="126"/>
  <c r="AD228" i="126" a="1"/>
  <c r="AD228" i="126" s="1"/>
  <c r="AD184" i="126"/>
  <c r="AD174" i="126"/>
  <c r="AD42" i="126"/>
  <c r="AD66" i="126" s="1"/>
  <c r="AD21" i="126"/>
  <c r="AD180" i="126"/>
  <c r="AD191" i="126" s="1"/>
  <c r="AD259" i="126"/>
  <c r="AD270" i="126" s="1"/>
  <c r="T32" i="126"/>
  <c r="T328" i="126"/>
  <c r="AC33" i="126"/>
  <c r="AC53" i="126" s="1"/>
  <c r="AC329" i="126"/>
  <c r="AC340" i="126" s="1"/>
  <c r="H191" i="126"/>
  <c r="AT289" i="126"/>
  <c r="AT294" i="126" s="1"/>
  <c r="AT287" i="126"/>
  <c r="AT267" i="126" s="1"/>
  <c r="AW210" i="126"/>
  <c r="AW215" i="126" s="1"/>
  <c r="AW208" i="126"/>
  <c r="AW188" i="126" s="1"/>
  <c r="BE32" i="126"/>
  <c r="BE328" i="126"/>
  <c r="AO34" i="126"/>
  <c r="AO330" i="126"/>
  <c r="AO341" i="126" s="1"/>
  <c r="Y34" i="126"/>
  <c r="Y330" i="126"/>
  <c r="J289" i="126"/>
  <c r="J294" i="126" s="1"/>
  <c r="J310" i="126" s="1"/>
  <c r="J287" i="126"/>
  <c r="J267" i="126" s="1"/>
  <c r="BF289" i="126"/>
  <c r="BF294" i="126" s="1"/>
  <c r="BF287" i="126"/>
  <c r="BF267" i="126" s="1"/>
  <c r="BA129" i="126"/>
  <c r="BA109" i="126" s="1"/>
  <c r="BA131" i="126"/>
  <c r="BA136" i="126" s="1"/>
  <c r="AT208" i="126"/>
  <c r="AT188" i="126" s="1"/>
  <c r="AT210" i="126"/>
  <c r="AT215" i="126" s="1"/>
  <c r="AC283" i="126"/>
  <c r="AC291" i="126" s="1"/>
  <c r="BB32" i="126"/>
  <c r="BB328" i="126"/>
  <c r="AM287" i="125"/>
  <c r="AM289" i="125"/>
  <c r="AM294" i="125" s="1"/>
  <c r="J208" i="126"/>
  <c r="J188" i="126" s="1"/>
  <c r="J210" i="126"/>
  <c r="J215" i="126" s="1"/>
  <c r="J231" i="126" s="1"/>
  <c r="BF210" i="126"/>
  <c r="BF215" i="126" s="1"/>
  <c r="BF208" i="126"/>
  <c r="BF188" i="126" s="1"/>
  <c r="AC211" i="126"/>
  <c r="AA333" i="126"/>
  <c r="AN47" i="126"/>
  <c r="AN333" i="126"/>
  <c r="AP34" i="126"/>
  <c r="AP330" i="126"/>
  <c r="AP341" i="126" s="1"/>
  <c r="BH283" i="126"/>
  <c r="BH291" i="126" s="1"/>
  <c r="K248" i="126"/>
  <c r="K305" i="126" s="1"/>
  <c r="AQ248" i="126"/>
  <c r="AQ305" i="126" s="1"/>
  <c r="BC132" i="125"/>
  <c r="BC282" i="125"/>
  <c r="BC124" i="125"/>
  <c r="BG289" i="126"/>
  <c r="BG294" i="126" s="1"/>
  <c r="BG287" i="126"/>
  <c r="BG267" i="126" s="1"/>
  <c r="V131" i="126"/>
  <c r="V136" i="126" s="1"/>
  <c r="V129" i="126"/>
  <c r="V109" i="126" s="1"/>
  <c r="AU210" i="126"/>
  <c r="AU215" i="126" s="1"/>
  <c r="AU208" i="126"/>
  <c r="AU188" i="126" s="1"/>
  <c r="H126" i="126"/>
  <c r="N131" i="126"/>
  <c r="N136" i="126" s="1"/>
  <c r="N129" i="126"/>
  <c r="N109" i="126" s="1"/>
  <c r="G210" i="125"/>
  <c r="G215" i="125" s="1"/>
  <c r="G208" i="125"/>
  <c r="W208" i="126"/>
  <c r="W188" i="126" s="1"/>
  <c r="W210" i="126"/>
  <c r="W215" i="126" s="1"/>
  <c r="BC32" i="126"/>
  <c r="BC328" i="126"/>
  <c r="H291" i="126"/>
  <c r="S34" i="126"/>
  <c r="S330" i="126"/>
  <c r="S341" i="126" s="1"/>
  <c r="AM131" i="125"/>
  <c r="AM136" i="125" s="1"/>
  <c r="AM129" i="125"/>
  <c r="W129" i="126"/>
  <c r="W109" i="126" s="1"/>
  <c r="W131" i="126"/>
  <c r="W136" i="126" s="1"/>
  <c r="AR32" i="126"/>
  <c r="AR328" i="126"/>
  <c r="BH129" i="126"/>
  <c r="BH109" i="126" s="1"/>
  <c r="BH131" i="126"/>
  <c r="AN271" i="126"/>
  <c r="W34" i="126"/>
  <c r="W330" i="126"/>
  <c r="W341" i="126" s="1"/>
  <c r="H337" i="126"/>
  <c r="AJ337" i="126" s="1"/>
  <c r="AI29" i="126"/>
  <c r="L210" i="126"/>
  <c r="L215" i="126" s="1"/>
  <c r="L208" i="126"/>
  <c r="L188" i="126" s="1"/>
  <c r="BJ306" i="126" a="1"/>
  <c r="BJ306" i="126" s="1"/>
  <c r="BJ264" i="126"/>
  <c r="BJ253" i="126"/>
  <c r="BJ254" i="126" s="1"/>
  <c r="BJ307" i="126" a="1"/>
  <c r="BJ307" i="126" s="1"/>
  <c r="BJ263" i="126"/>
  <c r="BJ303" i="126"/>
  <c r="AD253" i="126"/>
  <c r="AD254" i="126" s="1"/>
  <c r="AD263" i="126"/>
  <c r="AD307" i="126" a="1"/>
  <c r="AD307" i="126" s="1"/>
  <c r="AD306" i="126" a="1"/>
  <c r="AD306" i="126" s="1"/>
  <c r="AD264" i="126"/>
  <c r="AD23" i="126"/>
  <c r="AD145" i="126"/>
  <c r="AN66" i="126"/>
  <c r="X32" i="126"/>
  <c r="X328" i="126"/>
  <c r="AZ34" i="126"/>
  <c r="AZ330" i="126"/>
  <c r="AZ341" i="126" s="1"/>
  <c r="AS287" i="126"/>
  <c r="AS267" i="126" s="1"/>
  <c r="AS289" i="126"/>
  <c r="AS294" i="126" s="1"/>
  <c r="H111" i="126"/>
  <c r="X129" i="126"/>
  <c r="X109" i="126" s="1"/>
  <c r="X131" i="126"/>
  <c r="X136" i="126" s="1"/>
  <c r="BA208" i="126"/>
  <c r="BA188" i="126" s="1"/>
  <c r="BA210" i="126"/>
  <c r="BA215" i="126" s="1"/>
  <c r="Q32" i="126"/>
  <c r="Q328" i="126"/>
  <c r="AR34" i="126"/>
  <c r="AR330" i="126"/>
  <c r="AR341" i="126" s="1"/>
  <c r="AN111" i="126"/>
  <c r="BD131" i="126"/>
  <c r="BD136" i="126" s="1"/>
  <c r="BD129" i="126"/>
  <c r="BD109" i="126" s="1"/>
  <c r="BI283" i="126"/>
  <c r="BI291" i="126" s="1"/>
  <c r="AC282" i="126"/>
  <c r="AC262" i="126"/>
  <c r="AC281" i="126" s="1"/>
  <c r="AP32" i="126"/>
  <c r="AP328" i="126"/>
  <c r="BF32" i="126"/>
  <c r="BF328" i="126"/>
  <c r="U34" i="126"/>
  <c r="U330" i="126"/>
  <c r="U341" i="126" s="1"/>
  <c r="AN113" i="126"/>
  <c r="BC287" i="126"/>
  <c r="BC267" i="126" s="1"/>
  <c r="BC289" i="126"/>
  <c r="BC294" i="126" s="1"/>
  <c r="AW131" i="126"/>
  <c r="AW136" i="126" s="1"/>
  <c r="AW129" i="126"/>
  <c r="AW109" i="126" s="1"/>
  <c r="AC45" i="126"/>
  <c r="AC25" i="126"/>
  <c r="AT32" i="126"/>
  <c r="AT328" i="126"/>
  <c r="AN334" i="126"/>
  <c r="BF34" i="126"/>
  <c r="BF330" i="126"/>
  <c r="BF341" i="126" s="1"/>
  <c r="AQ169" i="126"/>
  <c r="AQ226" i="126" s="1"/>
  <c r="K169" i="126"/>
  <c r="K226" i="126" s="1"/>
  <c r="K231" i="126" s="1"/>
  <c r="BG284" i="120"/>
  <c r="K290" i="125"/>
  <c r="K287" i="126"/>
  <c r="K267" i="126" s="1"/>
  <c r="K289" i="126"/>
  <c r="K294" i="126" s="1"/>
  <c r="AC124" i="126"/>
  <c r="AC104" i="126"/>
  <c r="AC123" i="126" s="1"/>
  <c r="AT34" i="126"/>
  <c r="AT330" i="126"/>
  <c r="AT341" i="126" s="1"/>
  <c r="AV287" i="126"/>
  <c r="AV267" i="126" s="1"/>
  <c r="AV289" i="126"/>
  <c r="AV294" i="126" s="1"/>
  <c r="BI287" i="126"/>
  <c r="BI267" i="126" s="1"/>
  <c r="BI289" i="126"/>
  <c r="BG32" i="126"/>
  <c r="BG328" i="126"/>
  <c r="L287" i="126"/>
  <c r="L267" i="126" s="1"/>
  <c r="L289" i="126"/>
  <c r="L294" i="126" s="1"/>
  <c r="AN291" i="126"/>
  <c r="M287" i="126"/>
  <c r="M267" i="126" s="1"/>
  <c r="M289" i="126"/>
  <c r="M294" i="126" s="1"/>
  <c r="G131" i="125"/>
  <c r="G136" i="125" s="1"/>
  <c r="G129" i="125"/>
  <c r="BC129" i="126"/>
  <c r="BC109" i="126" s="1"/>
  <c r="BC131" i="126"/>
  <c r="BC136" i="126" s="1"/>
  <c r="BJ66" i="126"/>
  <c r="BJ145" i="126"/>
  <c r="BJ224" i="126"/>
  <c r="AD303" i="126"/>
  <c r="AN32" i="126"/>
  <c r="AN328" i="126"/>
  <c r="Q287" i="126"/>
  <c r="Q267" i="126" s="1"/>
  <c r="Q289" i="126"/>
  <c r="Q294" i="126" s="1"/>
  <c r="H145" i="126"/>
  <c r="H205" i="126"/>
  <c r="R289" i="126"/>
  <c r="R294" i="126" s="1"/>
  <c r="R287" i="126"/>
  <c r="R267" i="126" s="1"/>
  <c r="AN145" i="126"/>
  <c r="U210" i="126"/>
  <c r="U215" i="126" s="1"/>
  <c r="U208" i="126"/>
  <c r="U188" i="126" s="1"/>
  <c r="M32" i="126"/>
  <c r="M328" i="126"/>
  <c r="AB210" i="126"/>
  <c r="AB215" i="126" s="1"/>
  <c r="AB208" i="126"/>
  <c r="AB188" i="126" s="1"/>
  <c r="AS34" i="126"/>
  <c r="AS330" i="126"/>
  <c r="AS341" i="126" s="1"/>
  <c r="N289" i="126"/>
  <c r="N294" i="126" s="1"/>
  <c r="N287" i="126"/>
  <c r="N267" i="126" s="1"/>
  <c r="Y129" i="126"/>
  <c r="Y109" i="126" s="1"/>
  <c r="Y131" i="126"/>
  <c r="Y136" i="126" s="1"/>
  <c r="R208" i="126"/>
  <c r="R188" i="126" s="1"/>
  <c r="R210" i="126"/>
  <c r="R215" i="126" s="1"/>
  <c r="AB113" i="126"/>
  <c r="AN133" i="126"/>
  <c r="AQ289" i="126"/>
  <c r="AQ294" i="126" s="1"/>
  <c r="AQ287" i="126"/>
  <c r="AQ267" i="126" s="1"/>
  <c r="AA287" i="126"/>
  <c r="AA267" i="126" s="1"/>
  <c r="AA289" i="126"/>
  <c r="U131" i="126"/>
  <c r="U136" i="126" s="1"/>
  <c r="U129" i="126"/>
  <c r="U109" i="126" s="1"/>
  <c r="N208" i="126"/>
  <c r="N188" i="126" s="1"/>
  <c r="N210" i="126"/>
  <c r="N215" i="126" s="1"/>
  <c r="AC46" i="126"/>
  <c r="AC54" i="126" s="1"/>
  <c r="AN335" i="126"/>
  <c r="AB269" i="124"/>
  <c r="AB289" i="124" s="1"/>
  <c r="BC211" i="125"/>
  <c r="K132" i="125"/>
  <c r="K282" i="125"/>
  <c r="M134" i="125"/>
  <c r="L227" i="125"/>
  <c r="M292" i="125"/>
  <c r="K202" i="125"/>
  <c r="BE213" i="125"/>
  <c r="M337" i="125"/>
  <c r="M55" i="125"/>
  <c r="BD17" i="125"/>
  <c r="BD53" i="125" s="1"/>
  <c r="L228" i="125"/>
  <c r="L69" i="125"/>
  <c r="L96" i="125"/>
  <c r="L132" i="125" s="1"/>
  <c r="BD70" i="125"/>
  <c r="BD96" i="125"/>
  <c r="BD132" i="125" s="1"/>
  <c r="BD307" i="125"/>
  <c r="L175" i="125"/>
  <c r="L211" i="125" s="1"/>
  <c r="M213" i="125"/>
  <c r="L307" i="125"/>
  <c r="L70" i="125"/>
  <c r="L149" i="125"/>
  <c r="K44" i="125"/>
  <c r="BD227" i="125"/>
  <c r="BC44" i="125"/>
  <c r="BC47" i="125" s="1"/>
  <c r="G337" i="125"/>
  <c r="L306" i="125"/>
  <c r="L17" i="125"/>
  <c r="L45" i="125" s="1"/>
  <c r="L148" i="125"/>
  <c r="K123" i="125"/>
  <c r="BD69" i="125"/>
  <c r="BD306" i="125"/>
  <c r="BD175" i="125"/>
  <c r="BD211" i="125" s="1"/>
  <c r="CA37" i="117"/>
  <c r="K281" i="125"/>
  <c r="BD148" i="125"/>
  <c r="BC123" i="125"/>
  <c r="BD254" i="125"/>
  <c r="BD290" i="125" s="1"/>
  <c r="BD228" i="125"/>
  <c r="BE337" i="125"/>
  <c r="BD149" i="125"/>
  <c r="BE134" i="125"/>
  <c r="BE55" i="125"/>
  <c r="CA37" i="118"/>
  <c r="CA37" i="119"/>
  <c r="L254" i="125"/>
  <c r="L290" i="125" s="1"/>
  <c r="BC202" i="125"/>
  <c r="BC281" i="125"/>
  <c r="AM337" i="125"/>
  <c r="BE292" i="125"/>
  <c r="K335" i="125"/>
  <c r="K133" i="125"/>
  <c r="BC54" i="125"/>
  <c r="K271" i="125"/>
  <c r="K124" i="125"/>
  <c r="BD111" i="125"/>
  <c r="BD269" i="125"/>
  <c r="BC192" i="125"/>
  <c r="BC113" i="125"/>
  <c r="L111" i="125"/>
  <c r="L269" i="125"/>
  <c r="K192" i="125"/>
  <c r="K113" i="125"/>
  <c r="BC271" i="125"/>
  <c r="BD190" i="125"/>
  <c r="L190" i="125"/>
  <c r="CA24" i="67"/>
  <c r="CA58" i="67" s="1"/>
  <c r="CA45" i="118"/>
  <c r="CA43" i="119"/>
  <c r="CA23" i="119"/>
  <c r="CA45" i="119"/>
  <c r="CA59" i="119" s="1"/>
  <c r="CA24" i="119"/>
  <c r="CA58" i="119" s="1"/>
  <c r="CA24" i="117"/>
  <c r="CA58" i="117" s="1"/>
  <c r="CA25" i="119"/>
  <c r="CA23" i="118"/>
  <c r="CA24" i="118"/>
  <c r="CA58" i="118" s="1"/>
  <c r="CA25" i="118"/>
  <c r="CA23" i="67"/>
  <c r="CA43" i="118"/>
  <c r="CA57" i="118" s="1"/>
  <c r="AN133" i="125"/>
  <c r="H133" i="125"/>
  <c r="AB328" i="125"/>
  <c r="Y330" i="125"/>
  <c r="AN284" i="125"/>
  <c r="AP129" i="125"/>
  <c r="AP131" i="125"/>
  <c r="AP136" i="125" s="1"/>
  <c r="AP152" i="125" s="1"/>
  <c r="AS287" i="125"/>
  <c r="AS289" i="125"/>
  <c r="AS294" i="125" s="1"/>
  <c r="AO32" i="125"/>
  <c r="AO328" i="125"/>
  <c r="BE328" i="125"/>
  <c r="R330" i="125"/>
  <c r="AX210" i="125"/>
  <c r="AX215" i="125" s="1"/>
  <c r="AX208" i="125"/>
  <c r="BC34" i="125"/>
  <c r="BC330" i="125"/>
  <c r="AP208" i="125"/>
  <c r="AP210" i="125"/>
  <c r="AP215" i="125" s="1"/>
  <c r="AP231" i="125" s="1"/>
  <c r="AQ34" i="125"/>
  <c r="AQ330" i="125"/>
  <c r="AQ341" i="125" s="1"/>
  <c r="BG330" i="125"/>
  <c r="AY208" i="125"/>
  <c r="AY210" i="125"/>
  <c r="AY215" i="125" s="1"/>
  <c r="H337" i="125"/>
  <c r="AV34" i="125"/>
  <c r="AV330" i="125"/>
  <c r="AV341" i="125" s="1"/>
  <c r="H145" i="125"/>
  <c r="BC287" i="125"/>
  <c r="BC289" i="125"/>
  <c r="AY32" i="125"/>
  <c r="AY328" i="125"/>
  <c r="H113" i="125"/>
  <c r="AS129" i="125"/>
  <c r="AS131" i="125"/>
  <c r="AS136" i="125" s="1"/>
  <c r="K287" i="125"/>
  <c r="K289" i="125"/>
  <c r="AN33" i="125"/>
  <c r="AN329" i="125"/>
  <c r="AN190" i="125"/>
  <c r="H32" i="125"/>
  <c r="H328" i="125"/>
  <c r="X328" i="125"/>
  <c r="AD42" i="125"/>
  <c r="AD21" i="125"/>
  <c r="AD102" i="125"/>
  <c r="AD279" i="125"/>
  <c r="AD258" i="125"/>
  <c r="AQ11" i="125"/>
  <c r="AQ68" i="125" s="1"/>
  <c r="K11" i="125"/>
  <c r="K68" i="125" s="1"/>
  <c r="AO34" i="125"/>
  <c r="AO330" i="125"/>
  <c r="AO341" i="125" s="1"/>
  <c r="I208" i="125"/>
  <c r="I210" i="125"/>
  <c r="I215" i="125" s="1"/>
  <c r="AN269" i="125"/>
  <c r="AV32" i="125"/>
  <c r="AV328" i="125"/>
  <c r="AX34" i="125"/>
  <c r="AX330" i="125"/>
  <c r="AX341" i="125" s="1"/>
  <c r="H126" i="125"/>
  <c r="I32" i="125"/>
  <c r="I328" i="125"/>
  <c r="Y328" i="125"/>
  <c r="AX289" i="125"/>
  <c r="AX294" i="125" s="1"/>
  <c r="AX287" i="125"/>
  <c r="O330" i="125"/>
  <c r="R328" i="125"/>
  <c r="BC210" i="125"/>
  <c r="BC208" i="125"/>
  <c r="P330" i="125"/>
  <c r="AZ208" i="125"/>
  <c r="AZ210" i="125"/>
  <c r="AZ215" i="125" s="1"/>
  <c r="BC32" i="125"/>
  <c r="BC328" i="125"/>
  <c r="H66" i="125"/>
  <c r="AD23" i="125"/>
  <c r="AD260" i="125"/>
  <c r="AN303" i="125"/>
  <c r="H271" i="125"/>
  <c r="BH330" i="125"/>
  <c r="AT131" i="125"/>
  <c r="AT136" i="125" s="1"/>
  <c r="AT129" i="125"/>
  <c r="AO210" i="125"/>
  <c r="AO215" i="125" s="1"/>
  <c r="AO208" i="125"/>
  <c r="V330" i="125"/>
  <c r="BI330" i="125"/>
  <c r="K129" i="125"/>
  <c r="K131" i="125"/>
  <c r="AB330" i="125"/>
  <c r="AW287" i="125"/>
  <c r="AW289" i="125"/>
  <c r="AW294" i="125" s="1"/>
  <c r="M328" i="125"/>
  <c r="K34" i="125"/>
  <c r="K330" i="125"/>
  <c r="AA330" i="125"/>
  <c r="AY131" i="125"/>
  <c r="AY136" i="125" s="1"/>
  <c r="AY129" i="125"/>
  <c r="AT32" i="125"/>
  <c r="AT328" i="125"/>
  <c r="AN111" i="125"/>
  <c r="AP289" i="125"/>
  <c r="AP294" i="125" s="1"/>
  <c r="AP310" i="125" s="1"/>
  <c r="AP287" i="125"/>
  <c r="T330" i="125"/>
  <c r="BK301" i="125"/>
  <c r="BK302" i="125"/>
  <c r="BK277" i="125"/>
  <c r="BK275" i="125"/>
  <c r="BK278" i="125"/>
  <c r="BK276" i="125"/>
  <c r="BK252" i="125"/>
  <c r="BK222" i="125"/>
  <c r="BK223" i="125"/>
  <c r="BK198" i="125"/>
  <c r="BK196" i="125"/>
  <c r="BK199" i="125"/>
  <c r="BK197" i="125"/>
  <c r="BK173" i="125"/>
  <c r="BK120" i="125"/>
  <c r="BK118" i="125"/>
  <c r="BK144" i="125"/>
  <c r="BK117" i="125"/>
  <c r="BK119" i="125"/>
  <c r="BK94" i="125"/>
  <c r="BK65" i="125"/>
  <c r="BK143" i="125"/>
  <c r="BK41" i="125"/>
  <c r="BK56" i="125" s="1"/>
  <c r="BK39" i="125"/>
  <c r="BK64" i="125"/>
  <c r="BK15" i="125"/>
  <c r="BK38" i="125"/>
  <c r="BK40" i="125"/>
  <c r="BL8" i="125"/>
  <c r="AQ287" i="125"/>
  <c r="AQ289" i="125"/>
  <c r="AQ294" i="125" s="1"/>
  <c r="W328" i="125"/>
  <c r="AW131" i="125"/>
  <c r="AW136" i="125" s="1"/>
  <c r="AW129" i="125"/>
  <c r="AQ32" i="125"/>
  <c r="AQ328" i="125"/>
  <c r="AW34" i="125"/>
  <c r="AW330" i="125"/>
  <c r="AW341" i="125" s="1"/>
  <c r="AR32" i="125"/>
  <c r="AR328" i="125"/>
  <c r="AE302" i="125"/>
  <c r="AE278" i="125"/>
  <c r="AE276" i="125"/>
  <c r="AE301" i="125"/>
  <c r="AE277" i="125"/>
  <c r="AE275" i="125"/>
  <c r="AE252" i="125"/>
  <c r="AE223" i="125"/>
  <c r="AE222" i="125"/>
  <c r="AE199" i="125"/>
  <c r="AE197" i="125"/>
  <c r="AE198" i="125"/>
  <c r="AE196" i="125"/>
  <c r="AE173" i="125"/>
  <c r="AE143" i="125"/>
  <c r="AE144" i="125"/>
  <c r="AE119" i="125"/>
  <c r="AE117" i="125"/>
  <c r="AE118" i="125"/>
  <c r="AE94" i="125"/>
  <c r="AE120" i="125"/>
  <c r="AE64" i="125"/>
  <c r="AF8" i="125"/>
  <c r="AE40" i="125"/>
  <c r="AE38" i="125"/>
  <c r="AE65" i="125"/>
  <c r="AE15" i="125"/>
  <c r="AE41" i="125"/>
  <c r="AE39" i="125"/>
  <c r="AD101" i="125"/>
  <c r="AD112" i="125" s="1"/>
  <c r="K169" i="125"/>
  <c r="K226" i="125" s="1"/>
  <c r="AQ169" i="125"/>
  <c r="AQ226" i="125" s="1"/>
  <c r="M330" i="125"/>
  <c r="AN126" i="125"/>
  <c r="AS208" i="125"/>
  <c r="AS210" i="125"/>
  <c r="AS215" i="125" s="1"/>
  <c r="T328" i="125"/>
  <c r="AC330" i="125"/>
  <c r="BB34" i="125"/>
  <c r="BB330" i="125"/>
  <c r="AS32" i="125"/>
  <c r="AS328" i="125"/>
  <c r="H191" i="125"/>
  <c r="BB287" i="125"/>
  <c r="BB289" i="125"/>
  <c r="BB294" i="125" s="1"/>
  <c r="AX32" i="125"/>
  <c r="AX328" i="125"/>
  <c r="S330" i="125"/>
  <c r="AN145" i="125"/>
  <c r="BB32" i="125"/>
  <c r="BB328" i="125"/>
  <c r="BJ21" i="125"/>
  <c r="BJ42" i="125"/>
  <c r="BJ66" i="125" s="1"/>
  <c r="BJ180" i="125"/>
  <c r="BJ191" i="125" s="1"/>
  <c r="BJ260" i="125"/>
  <c r="K210" i="125"/>
  <c r="K208" i="125"/>
  <c r="H33" i="125"/>
  <c r="H329" i="125"/>
  <c r="AZ34" i="125"/>
  <c r="AZ330" i="125"/>
  <c r="AZ341" i="125" s="1"/>
  <c r="H190" i="125"/>
  <c r="AN47" i="125"/>
  <c r="AN333" i="125"/>
  <c r="AA328" i="125"/>
  <c r="BA34" i="125"/>
  <c r="BA330" i="125"/>
  <c r="BA341" i="125" s="1"/>
  <c r="AV210" i="125"/>
  <c r="AV215" i="125" s="1"/>
  <c r="AV208" i="125"/>
  <c r="AD303" i="125"/>
  <c r="Q330" i="125"/>
  <c r="AN66" i="125"/>
  <c r="AX131" i="125"/>
  <c r="AX136" i="125" s="1"/>
  <c r="AX129" i="125"/>
  <c r="BA287" i="125"/>
  <c r="BA289" i="125"/>
  <c r="BA294" i="125" s="1"/>
  <c r="AW32" i="125"/>
  <c r="AW328" i="125"/>
  <c r="AC328" i="125"/>
  <c r="J34" i="125"/>
  <c r="J330" i="125"/>
  <c r="Z330" i="125"/>
  <c r="AN271" i="125"/>
  <c r="AU131" i="125"/>
  <c r="AU136" i="125" s="1"/>
  <c r="AU129" i="125"/>
  <c r="J208" i="125"/>
  <c r="J210" i="125"/>
  <c r="J215" i="125" s="1"/>
  <c r="J231" i="125" s="1"/>
  <c r="AU34" i="125"/>
  <c r="AU330" i="125"/>
  <c r="AU341" i="125" s="1"/>
  <c r="H192" i="125"/>
  <c r="BC129" i="125"/>
  <c r="BC131" i="125"/>
  <c r="AR131" i="125"/>
  <c r="AR136" i="125" s="1"/>
  <c r="AR129" i="125"/>
  <c r="AQ208" i="125"/>
  <c r="AQ210" i="125"/>
  <c r="AQ215" i="125" s="1"/>
  <c r="AC33" i="125"/>
  <c r="AC329" i="125"/>
  <c r="AC340" i="125" s="1"/>
  <c r="AN34" i="125"/>
  <c r="AN330" i="125"/>
  <c r="X330" i="125"/>
  <c r="BJ23" i="125"/>
  <c r="BJ101" i="125"/>
  <c r="BJ112" i="125" s="1"/>
  <c r="BJ179" i="125"/>
  <c r="BJ200" i="125"/>
  <c r="BJ224" i="125" s="1"/>
  <c r="BJ279" i="125"/>
  <c r="BJ258" i="125"/>
  <c r="AN205" i="125"/>
  <c r="AU287" i="125"/>
  <c r="AU289" i="125"/>
  <c r="AU294" i="125" s="1"/>
  <c r="BG328" i="125"/>
  <c r="BH328" i="125"/>
  <c r="BA129" i="125"/>
  <c r="BA131" i="125"/>
  <c r="BA136" i="125" s="1"/>
  <c r="H224" i="125"/>
  <c r="AN335" i="125"/>
  <c r="O328" i="125"/>
  <c r="P328" i="125"/>
  <c r="AD22" i="125"/>
  <c r="AD66" i="125"/>
  <c r="AQ248" i="125"/>
  <c r="AQ305" i="125" s="1"/>
  <c r="K248" i="125"/>
  <c r="K305" i="125" s="1"/>
  <c r="AV289" i="125"/>
  <c r="AV294" i="125" s="1"/>
  <c r="AV287" i="125"/>
  <c r="AN32" i="125"/>
  <c r="AN328" i="125"/>
  <c r="BD32" i="125"/>
  <c r="BD328" i="125"/>
  <c r="AP34" i="125"/>
  <c r="AP330" i="125"/>
  <c r="AP341" i="125" s="1"/>
  <c r="BF330" i="125"/>
  <c r="AN291" i="125"/>
  <c r="Q328" i="125"/>
  <c r="J287" i="125"/>
  <c r="J289" i="125"/>
  <c r="J294" i="125" s="1"/>
  <c r="V328" i="125"/>
  <c r="J32" i="125"/>
  <c r="J328" i="125"/>
  <c r="Z328" i="125"/>
  <c r="H47" i="125"/>
  <c r="H333" i="125"/>
  <c r="BJ181" i="125"/>
  <c r="AZ131" i="125"/>
  <c r="AZ136" i="125" s="1"/>
  <c r="AZ129" i="125"/>
  <c r="K32" i="125"/>
  <c r="K328" i="125"/>
  <c r="H34" i="125"/>
  <c r="H330" i="125"/>
  <c r="BD330" i="125"/>
  <c r="AN112" i="125"/>
  <c r="AR208" i="125"/>
  <c r="AR210" i="125"/>
  <c r="AR215" i="125" s="1"/>
  <c r="AN334" i="125"/>
  <c r="I34" i="125"/>
  <c r="I330" i="125"/>
  <c r="I341" i="125" s="1"/>
  <c r="H270" i="125"/>
  <c r="AO129" i="125"/>
  <c r="AO131" i="125"/>
  <c r="AO136" i="125" s="1"/>
  <c r="H269" i="125"/>
  <c r="BB131" i="125"/>
  <c r="BB136" i="125" s="1"/>
  <c r="BB129" i="125"/>
  <c r="AW210" i="125"/>
  <c r="AW215" i="125" s="1"/>
  <c r="AW208" i="125"/>
  <c r="I287" i="125"/>
  <c r="I289" i="125"/>
  <c r="I294" i="125" s="1"/>
  <c r="N330" i="125"/>
  <c r="AT208" i="125"/>
  <c r="AT210" i="125"/>
  <c r="AT215" i="125" s="1"/>
  <c r="AO287" i="125"/>
  <c r="AO289" i="125"/>
  <c r="AO294" i="125" s="1"/>
  <c r="U328" i="125"/>
  <c r="AQ131" i="125"/>
  <c r="AQ136" i="125" s="1"/>
  <c r="AQ129" i="125"/>
  <c r="BB208" i="125"/>
  <c r="BB210" i="125"/>
  <c r="BB215" i="125" s="1"/>
  <c r="W330" i="125"/>
  <c r="H205" i="125"/>
  <c r="AV131" i="125"/>
  <c r="AV136" i="125" s="1"/>
  <c r="AV129" i="125"/>
  <c r="AU210" i="125"/>
  <c r="AU215" i="125" s="1"/>
  <c r="AU208" i="125"/>
  <c r="N328" i="125"/>
  <c r="H335" i="125"/>
  <c r="AR34" i="125"/>
  <c r="AR330" i="125"/>
  <c r="AR341" i="125" s="1"/>
  <c r="BJ33" i="125"/>
  <c r="BJ121" i="125"/>
  <c r="BJ145" i="125" s="1"/>
  <c r="BJ100" i="125"/>
  <c r="BJ259" i="125"/>
  <c r="BJ270" i="125" s="1"/>
  <c r="H112" i="125"/>
  <c r="AY289" i="125"/>
  <c r="AY294" i="125" s="1"/>
  <c r="AY287" i="125"/>
  <c r="H54" i="125"/>
  <c r="I129" i="125"/>
  <c r="I131" i="125"/>
  <c r="I136" i="125" s="1"/>
  <c r="AN337" i="125"/>
  <c r="BE330" i="125"/>
  <c r="H303" i="125"/>
  <c r="AZ32" i="125"/>
  <c r="AZ328" i="125"/>
  <c r="AD200" i="125"/>
  <c r="AD224" i="125" s="1"/>
  <c r="AD179" i="125"/>
  <c r="K90" i="125"/>
  <c r="K147" i="125" s="1"/>
  <c r="AQ90" i="125"/>
  <c r="AQ147" i="125" s="1"/>
  <c r="U330" i="125"/>
  <c r="J131" i="125"/>
  <c r="J136" i="125" s="1"/>
  <c r="J129" i="125"/>
  <c r="BA208" i="125"/>
  <c r="BA210" i="125"/>
  <c r="BA215" i="125" s="1"/>
  <c r="AZ289" i="125"/>
  <c r="AZ294" i="125" s="1"/>
  <c r="AZ287" i="125"/>
  <c r="L32" i="125"/>
  <c r="L328" i="125"/>
  <c r="AN191" i="125"/>
  <c r="AT34" i="125"/>
  <c r="AT330" i="125"/>
  <c r="AT341" i="125" s="1"/>
  <c r="BA32" i="125"/>
  <c r="BA328" i="125"/>
  <c r="AY34" i="125"/>
  <c r="AY330" i="125"/>
  <c r="AY341" i="125" s="1"/>
  <c r="BI328" i="125"/>
  <c r="AT287" i="125"/>
  <c r="AT289" i="125"/>
  <c r="AT294" i="125" s="1"/>
  <c r="AP32" i="125"/>
  <c r="AP328" i="125"/>
  <c r="BF328" i="125"/>
  <c r="AN192" i="125"/>
  <c r="H334" i="125"/>
  <c r="AN113" i="125"/>
  <c r="BJ102" i="125"/>
  <c r="H111" i="125"/>
  <c r="AU32" i="125"/>
  <c r="AU328" i="125"/>
  <c r="L330" i="125"/>
  <c r="AN270" i="125"/>
  <c r="S328" i="125"/>
  <c r="AS34" i="125"/>
  <c r="AS330" i="125"/>
  <c r="AS341" i="125" s="1"/>
  <c r="AN224" i="125"/>
  <c r="H284" i="125"/>
  <c r="AR289" i="125"/>
  <c r="AR294" i="125" s="1"/>
  <c r="AR287" i="125"/>
  <c r="AD121" i="125"/>
  <c r="AD100" i="125"/>
  <c r="AD181" i="125"/>
  <c r="AA284" i="124"/>
  <c r="Z333" i="124"/>
  <c r="BI101" i="124"/>
  <c r="BI112" i="124" s="1"/>
  <c r="AA334" i="124"/>
  <c r="AB111" i="124"/>
  <c r="AB131" i="124" s="1"/>
  <c r="BG290" i="124"/>
  <c r="AC22" i="124"/>
  <c r="BI259" i="124"/>
  <c r="BI270" i="124" s="1"/>
  <c r="BF333" i="124"/>
  <c r="BG113" i="124"/>
  <c r="AA335" i="124"/>
  <c r="AA271" i="124"/>
  <c r="AA113" i="124"/>
  <c r="AC180" i="124"/>
  <c r="AC191" i="124" s="1"/>
  <c r="AO297" i="120"/>
  <c r="AO296" i="120"/>
  <c r="AO309" i="120"/>
  <c r="AO311" i="120"/>
  <c r="AO312" i="120"/>
  <c r="AO310" i="120"/>
  <c r="BH202" i="120"/>
  <c r="BH192" i="120"/>
  <c r="BG334" i="124"/>
  <c r="AC303" i="120"/>
  <c r="AC145" i="120"/>
  <c r="BF32" i="124"/>
  <c r="BF328" i="124"/>
  <c r="L34" i="124"/>
  <c r="L330" i="124"/>
  <c r="L341" i="124" s="1"/>
  <c r="AQ129" i="124"/>
  <c r="AQ109" i="124" s="1"/>
  <c r="AQ131" i="124"/>
  <c r="AQ136" i="124" s="1"/>
  <c r="AW208" i="124"/>
  <c r="AW188" i="124" s="1"/>
  <c r="AW210" i="124"/>
  <c r="AW215" i="124" s="1"/>
  <c r="BI263" i="124"/>
  <c r="BI306" i="124" a="1"/>
  <c r="BI306" i="124" s="1"/>
  <c r="BI253" i="124"/>
  <c r="BI254" i="124" s="1"/>
  <c r="BI290" i="124" s="1"/>
  <c r="BI307" i="124" a="1"/>
  <c r="BI307" i="124" s="1"/>
  <c r="BI264" i="124"/>
  <c r="K32" i="124"/>
  <c r="K328" i="124"/>
  <c r="P34" i="124"/>
  <c r="P330" i="124"/>
  <c r="P341" i="124" s="1"/>
  <c r="BF287" i="124"/>
  <c r="BF267" i="124" s="1"/>
  <c r="BF289" i="124"/>
  <c r="BF294" i="124" s="1"/>
  <c r="H145" i="124"/>
  <c r="W32" i="124"/>
  <c r="W328" i="124"/>
  <c r="BG287" i="124"/>
  <c r="BG267" i="124" s="1"/>
  <c r="BG289" i="124"/>
  <c r="AN145" i="124"/>
  <c r="AW215" i="120"/>
  <c r="AB33" i="124"/>
  <c r="AB53" i="124" s="1"/>
  <c r="AB329" i="124"/>
  <c r="AB340" i="124" s="1"/>
  <c r="AA208" i="124"/>
  <c r="AA188" i="124" s="1"/>
  <c r="AA210" i="124"/>
  <c r="AA215" i="124" s="1"/>
  <c r="T32" i="124"/>
  <c r="T328" i="124"/>
  <c r="U34" i="124"/>
  <c r="U330" i="124"/>
  <c r="U341" i="124" s="1"/>
  <c r="H112" i="124"/>
  <c r="M129" i="124"/>
  <c r="M109" i="124" s="1"/>
  <c r="M131" i="124"/>
  <c r="M136" i="124" s="1"/>
  <c r="AN303" i="124"/>
  <c r="AO129" i="124"/>
  <c r="AO109" i="124" s="1"/>
  <c r="AO131" i="124"/>
  <c r="AO136" i="124" s="1"/>
  <c r="Y129" i="124"/>
  <c r="Y109" i="124" s="1"/>
  <c r="Y131" i="124"/>
  <c r="Y136" i="124" s="1"/>
  <c r="AX208" i="124"/>
  <c r="AX188" i="124" s="1"/>
  <c r="AX210" i="124"/>
  <c r="AX215" i="124" s="1"/>
  <c r="BH269" i="124"/>
  <c r="BI259" i="120"/>
  <c r="BI270" i="120" s="1"/>
  <c r="AP34" i="124"/>
  <c r="AP330" i="124"/>
  <c r="AP341" i="124" s="1"/>
  <c r="BF208" i="124"/>
  <c r="BF188" i="124" s="1"/>
  <c r="BF210" i="124"/>
  <c r="BF215" i="124" s="1"/>
  <c r="AC264" i="124"/>
  <c r="AC306" i="124" a="1"/>
  <c r="AC306" i="124" s="1"/>
  <c r="AC263" i="124"/>
  <c r="AC253" i="124"/>
  <c r="AC254" i="124" s="1"/>
  <c r="AC307" i="124" a="1"/>
  <c r="AC307" i="124" s="1"/>
  <c r="AW32" i="124"/>
  <c r="AW328" i="124"/>
  <c r="AN113" i="124"/>
  <c r="BB289" i="120"/>
  <c r="BB294" i="120" s="1"/>
  <c r="BB287" i="120"/>
  <c r="BB267" i="120" s="1"/>
  <c r="AT129" i="124"/>
  <c r="AT109" i="124" s="1"/>
  <c r="AT131" i="124"/>
  <c r="AT136" i="124" s="1"/>
  <c r="AB282" i="124"/>
  <c r="AB262" i="124"/>
  <c r="AB281" i="124" s="1"/>
  <c r="W34" i="124"/>
  <c r="W330" i="124"/>
  <c r="W341" i="124" s="1"/>
  <c r="AT287" i="124"/>
  <c r="AT267" i="124" s="1"/>
  <c r="AT289" i="124"/>
  <c r="AT294" i="124" s="1"/>
  <c r="Y287" i="124"/>
  <c r="Y267" i="124" s="1"/>
  <c r="Y289" i="124"/>
  <c r="Y294" i="124" s="1"/>
  <c r="AA34" i="124"/>
  <c r="AA330" i="124"/>
  <c r="BC129" i="124"/>
  <c r="BC109" i="124" s="1"/>
  <c r="BC131" i="124"/>
  <c r="BC136" i="124" s="1"/>
  <c r="AT210" i="124"/>
  <c r="AT215" i="124" s="1"/>
  <c r="AT208" i="124"/>
  <c r="AT188" i="124" s="1"/>
  <c r="BD208" i="124"/>
  <c r="BD188" i="124" s="1"/>
  <c r="BD210" i="124"/>
  <c r="BD215" i="124" s="1"/>
  <c r="K11" i="124"/>
  <c r="K68" i="124" s="1"/>
  <c r="AQ11" i="124"/>
  <c r="AQ68" i="124" s="1"/>
  <c r="AT32" i="124"/>
  <c r="AT328" i="124"/>
  <c r="AW287" i="120"/>
  <c r="AW267" i="120" s="1"/>
  <c r="AW289" i="120"/>
  <c r="AW294" i="120" s="1"/>
  <c r="BI22" i="124"/>
  <c r="AN33" i="124"/>
  <c r="AN329" i="124"/>
  <c r="AU289" i="120"/>
  <c r="AU294" i="120" s="1"/>
  <c r="AU287" i="120"/>
  <c r="AU267" i="120" s="1"/>
  <c r="L131" i="124"/>
  <c r="L136" i="124" s="1"/>
  <c r="L129" i="124"/>
  <c r="L109" i="124" s="1"/>
  <c r="AO208" i="124"/>
  <c r="AO188" i="124" s="1"/>
  <c r="AO210" i="124"/>
  <c r="AO215" i="124" s="1"/>
  <c r="T208" i="124"/>
  <c r="T188" i="124" s="1"/>
  <c r="T210" i="124"/>
  <c r="T215" i="124" s="1"/>
  <c r="H205" i="124"/>
  <c r="BH254" i="120"/>
  <c r="BH290" i="120" s="1"/>
  <c r="Q34" i="124"/>
  <c r="Q330" i="124"/>
  <c r="Q341" i="124" s="1"/>
  <c r="AS287" i="120"/>
  <c r="AS267" i="120" s="1"/>
  <c r="AS289" i="120"/>
  <c r="AS294" i="120" s="1"/>
  <c r="BC287" i="120"/>
  <c r="BC267" i="120" s="1"/>
  <c r="BC289" i="120"/>
  <c r="BC294" i="120" s="1"/>
  <c r="AA133" i="124"/>
  <c r="AS287" i="124"/>
  <c r="AS267" i="124" s="1"/>
  <c r="AS289" i="124"/>
  <c r="AS294" i="124" s="1"/>
  <c r="X287" i="124"/>
  <c r="X267" i="124" s="1"/>
  <c r="X289" i="124"/>
  <c r="X294" i="124" s="1"/>
  <c r="AA126" i="124"/>
  <c r="AP210" i="120"/>
  <c r="AP215" i="120" s="1"/>
  <c r="AP231" i="120" s="1"/>
  <c r="AP208" i="120"/>
  <c r="AP188" i="120" s="1"/>
  <c r="AZ210" i="124"/>
  <c r="AZ215" i="124" s="1"/>
  <c r="AZ208" i="124"/>
  <c r="AZ188" i="124" s="1"/>
  <c r="BH125" i="124"/>
  <c r="BH133" i="124" s="1"/>
  <c r="AZ32" i="124"/>
  <c r="AZ328" i="124"/>
  <c r="N34" i="124"/>
  <c r="N330" i="124"/>
  <c r="N341" i="124" s="1"/>
  <c r="AQ289" i="120"/>
  <c r="AQ294" i="120" s="1"/>
  <c r="AQ287" i="120"/>
  <c r="AQ267" i="120" s="1"/>
  <c r="U289" i="124"/>
  <c r="U294" i="124" s="1"/>
  <c r="U287" i="124"/>
  <c r="U267" i="124" s="1"/>
  <c r="BI181" i="120"/>
  <c r="U32" i="124"/>
  <c r="U328" i="124"/>
  <c r="BF34" i="124"/>
  <c r="BF330" i="124"/>
  <c r="AV289" i="124"/>
  <c r="AV294" i="124" s="1"/>
  <c r="AV287" i="124"/>
  <c r="AV267" i="124" s="1"/>
  <c r="N131" i="124"/>
  <c r="N136" i="124" s="1"/>
  <c r="N129" i="124"/>
  <c r="N109" i="124" s="1"/>
  <c r="AV208" i="120"/>
  <c r="AV188" i="120" s="1"/>
  <c r="AV210" i="120"/>
  <c r="AV215" i="120" s="1"/>
  <c r="AC21" i="124"/>
  <c r="AC42" i="124"/>
  <c r="AC66" i="124" s="1"/>
  <c r="BH111" i="124"/>
  <c r="BA32" i="124"/>
  <c r="BA328" i="124"/>
  <c r="O34" i="124"/>
  <c r="O330" i="124"/>
  <c r="O341" i="124" s="1"/>
  <c r="AN271" i="124"/>
  <c r="BE294" i="120"/>
  <c r="AN191" i="124"/>
  <c r="AN190" i="124"/>
  <c r="AY208" i="120"/>
  <c r="AY188" i="120" s="1"/>
  <c r="AY210" i="120"/>
  <c r="AY215" i="120" s="1"/>
  <c r="AN284" i="124"/>
  <c r="N32" i="124"/>
  <c r="N328" i="124"/>
  <c r="AQ248" i="120"/>
  <c r="AQ305" i="120" s="1"/>
  <c r="AQ248" i="124"/>
  <c r="AQ305" i="124" s="1"/>
  <c r="K248" i="124"/>
  <c r="K305" i="124" s="1"/>
  <c r="BI66" i="120"/>
  <c r="AC66" i="120"/>
  <c r="AV34" i="124"/>
  <c r="AV330" i="124"/>
  <c r="AV341" i="124" s="1"/>
  <c r="AO289" i="124"/>
  <c r="AO294" i="124" s="1"/>
  <c r="AO287" i="124"/>
  <c r="AO267" i="124" s="1"/>
  <c r="BG129" i="124"/>
  <c r="BG109" i="124" s="1"/>
  <c r="BG131" i="124"/>
  <c r="BG136" i="124" s="1"/>
  <c r="O131" i="124"/>
  <c r="O136" i="124" s="1"/>
  <c r="O129" i="124"/>
  <c r="O109" i="124" s="1"/>
  <c r="I210" i="124"/>
  <c r="I215" i="124" s="1"/>
  <c r="I208" i="124"/>
  <c r="I188" i="124" s="1"/>
  <c r="S208" i="124"/>
  <c r="S188" i="124" s="1"/>
  <c r="S210" i="124"/>
  <c r="S215" i="124" s="1"/>
  <c r="BG44" i="124"/>
  <c r="BG47" i="124" s="1"/>
  <c r="BH204" i="120"/>
  <c r="BH212" i="120" s="1"/>
  <c r="AN126" i="124"/>
  <c r="AZ34" i="124"/>
  <c r="AZ330" i="124"/>
  <c r="AZ341" i="124" s="1"/>
  <c r="AO238" i="120"/>
  <c r="AO237" i="120"/>
  <c r="AX289" i="124"/>
  <c r="AX294" i="124" s="1"/>
  <c r="AX287" i="124"/>
  <c r="AX267" i="124" s="1"/>
  <c r="AB45" i="124"/>
  <c r="AB25" i="124"/>
  <c r="AB34" i="124" s="1"/>
  <c r="AQ32" i="124"/>
  <c r="AQ328" i="124"/>
  <c r="H33" i="124"/>
  <c r="H329" i="124"/>
  <c r="AN47" i="124"/>
  <c r="AN333" i="124"/>
  <c r="O287" i="124"/>
  <c r="O267" i="124" s="1"/>
  <c r="O289" i="124"/>
  <c r="O294" i="124" s="1"/>
  <c r="AR131" i="124"/>
  <c r="AR136" i="124" s="1"/>
  <c r="AR129" i="124"/>
  <c r="AR109" i="124" s="1"/>
  <c r="AO218" i="120"/>
  <c r="AO217" i="120"/>
  <c r="AO230" i="120"/>
  <c r="AO232" i="120"/>
  <c r="AO233" i="120"/>
  <c r="AZ208" i="120"/>
  <c r="AZ188" i="120" s="1"/>
  <c r="AZ210" i="120"/>
  <c r="AZ215" i="120" s="1"/>
  <c r="AN32" i="124"/>
  <c r="AN328" i="124"/>
  <c r="AO34" i="124"/>
  <c r="AO330" i="124"/>
  <c r="AO341" i="124" s="1"/>
  <c r="Y34" i="124"/>
  <c r="Y330" i="124"/>
  <c r="Y341" i="124" s="1"/>
  <c r="AW129" i="124"/>
  <c r="AW109" i="124" s="1"/>
  <c r="AW131" i="124"/>
  <c r="AW136" i="124" s="1"/>
  <c r="AA205" i="124"/>
  <c r="H66" i="124"/>
  <c r="BD32" i="124"/>
  <c r="BD328" i="124"/>
  <c r="R34" i="124"/>
  <c r="R330" i="124"/>
  <c r="R341" i="124" s="1"/>
  <c r="AA32" i="124"/>
  <c r="AA328" i="124"/>
  <c r="AS129" i="124"/>
  <c r="AS109" i="124" s="1"/>
  <c r="AS131" i="124"/>
  <c r="AS136" i="124" s="1"/>
  <c r="AP208" i="124"/>
  <c r="AP188" i="124" s="1"/>
  <c r="AP210" i="124"/>
  <c r="AP215" i="124" s="1"/>
  <c r="AT34" i="124"/>
  <c r="AT330" i="124"/>
  <c r="AT341" i="124" s="1"/>
  <c r="H269" i="124"/>
  <c r="AY287" i="124"/>
  <c r="AY267" i="124" s="1"/>
  <c r="AY289" i="124"/>
  <c r="AY294" i="124" s="1"/>
  <c r="H190" i="124"/>
  <c r="R210" i="124"/>
  <c r="R215" i="124" s="1"/>
  <c r="R208" i="124"/>
  <c r="R188" i="124" s="1"/>
  <c r="AC23" i="124"/>
  <c r="AT287" i="120"/>
  <c r="AT267" i="120" s="1"/>
  <c r="AT289" i="120"/>
  <c r="AT294" i="120" s="1"/>
  <c r="BG204" i="124"/>
  <c r="BG212" i="124" s="1"/>
  <c r="AX131" i="124"/>
  <c r="AX136" i="124" s="1"/>
  <c r="AX129" i="124"/>
  <c r="AX109" i="124" s="1"/>
  <c r="AN224" i="124"/>
  <c r="AB283" i="124"/>
  <c r="AB291" i="124" s="1"/>
  <c r="BH330" i="124"/>
  <c r="R32" i="124"/>
  <c r="R328" i="124"/>
  <c r="AQ34" i="124"/>
  <c r="AQ330" i="124"/>
  <c r="AQ341" i="124" s="1"/>
  <c r="P210" i="124"/>
  <c r="P215" i="124" s="1"/>
  <c r="P208" i="124"/>
  <c r="P188" i="124" s="1"/>
  <c r="AB290" i="124"/>
  <c r="AB203" i="124"/>
  <c r="AB183" i="124"/>
  <c r="AB202" i="124" s="1"/>
  <c r="K169" i="124"/>
  <c r="K226" i="124" s="1"/>
  <c r="AQ169" i="124"/>
  <c r="AQ226" i="124" s="1"/>
  <c r="AQ169" i="120"/>
  <c r="AQ226" i="120" s="1"/>
  <c r="H270" i="124"/>
  <c r="O32" i="124"/>
  <c r="O328" i="124"/>
  <c r="H34" i="124"/>
  <c r="H330" i="124"/>
  <c r="BD34" i="124"/>
  <c r="BD330" i="124"/>
  <c r="BD341" i="124" s="1"/>
  <c r="P131" i="124"/>
  <c r="P136" i="124" s="1"/>
  <c r="P129" i="124"/>
  <c r="P109" i="124" s="1"/>
  <c r="L208" i="124"/>
  <c r="L188" i="124" s="1"/>
  <c r="L210" i="124"/>
  <c r="L215" i="124" s="1"/>
  <c r="BH262" i="120"/>
  <c r="AU32" i="124"/>
  <c r="AU328" i="124"/>
  <c r="BA34" i="124"/>
  <c r="BA330" i="124"/>
  <c r="BA341" i="124" s="1"/>
  <c r="AN334" i="124"/>
  <c r="BF287" i="120"/>
  <c r="BF267" i="120" s="1"/>
  <c r="BF289" i="120"/>
  <c r="BF294" i="120" s="1"/>
  <c r="AV131" i="124"/>
  <c r="AV136" i="124" s="1"/>
  <c r="AV129" i="124"/>
  <c r="AV109" i="124" s="1"/>
  <c r="BH262" i="124"/>
  <c r="BH271" i="124" s="1"/>
  <c r="AN66" i="124"/>
  <c r="X32" i="124"/>
  <c r="X328" i="124"/>
  <c r="P287" i="124"/>
  <c r="P267" i="124" s="1"/>
  <c r="P289" i="124"/>
  <c r="P294" i="124" s="1"/>
  <c r="Z287" i="124"/>
  <c r="Z267" i="124" s="1"/>
  <c r="Z289" i="124"/>
  <c r="AR210" i="124"/>
  <c r="AR215" i="124" s="1"/>
  <c r="AR208" i="124"/>
  <c r="AR188" i="124" s="1"/>
  <c r="W208" i="124"/>
  <c r="W188" i="124" s="1"/>
  <c r="W210" i="124"/>
  <c r="W215" i="124" s="1"/>
  <c r="BH124" i="124"/>
  <c r="BH104" i="124"/>
  <c r="BH123" i="124" s="1"/>
  <c r="H32" i="124"/>
  <c r="H328" i="124"/>
  <c r="BA208" i="120"/>
  <c r="BA188" i="120" s="1"/>
  <c r="BA210" i="120"/>
  <c r="BA215" i="120" s="1"/>
  <c r="BH33" i="124"/>
  <c r="BH53" i="124" s="1"/>
  <c r="BH329" i="124"/>
  <c r="BH340" i="124" s="1"/>
  <c r="BI179" i="120"/>
  <c r="BI200" i="120"/>
  <c r="BI224" i="120" s="1"/>
  <c r="AO32" i="124"/>
  <c r="AO328" i="124"/>
  <c r="BE32" i="124"/>
  <c r="BE328" i="124"/>
  <c r="H303" i="124"/>
  <c r="R129" i="124"/>
  <c r="R109" i="124" s="1"/>
  <c r="R131" i="124"/>
  <c r="R136" i="124" s="1"/>
  <c r="H224" i="124"/>
  <c r="AD302" i="124"/>
  <c r="AD278" i="124"/>
  <c r="AD293" i="124" s="1"/>
  <c r="AD276" i="124"/>
  <c r="AD301" i="124"/>
  <c r="AD277" i="124"/>
  <c r="AD275" i="124"/>
  <c r="AD252" i="124"/>
  <c r="AD223" i="124"/>
  <c r="AD222" i="124"/>
  <c r="AD198" i="124"/>
  <c r="AD196" i="124"/>
  <c r="AD199" i="124"/>
  <c r="AD214" i="124" s="1"/>
  <c r="AD197" i="124"/>
  <c r="AD143" i="124"/>
  <c r="AD173" i="124"/>
  <c r="AD144" i="124"/>
  <c r="AD120" i="124"/>
  <c r="AD118" i="124"/>
  <c r="AD65" i="124"/>
  <c r="AD117" i="124"/>
  <c r="AD119" i="124"/>
  <c r="AD64" i="124"/>
  <c r="AD41" i="124"/>
  <c r="AD39" i="124"/>
  <c r="AE8" i="124"/>
  <c r="AD40" i="124"/>
  <c r="AD38" i="124"/>
  <c r="AD15" i="124"/>
  <c r="AD94" i="124"/>
  <c r="AD249" i="124"/>
  <c r="AD12" i="124"/>
  <c r="AD91" i="124"/>
  <c r="AD170" i="124"/>
  <c r="BH45" i="124"/>
  <c r="BH25" i="124"/>
  <c r="BH34" i="124" s="1"/>
  <c r="I32" i="124"/>
  <c r="I328" i="124"/>
  <c r="Y32" i="124"/>
  <c r="Y328" i="124"/>
  <c r="S34" i="124"/>
  <c r="S330" i="124"/>
  <c r="S341" i="124" s="1"/>
  <c r="AA44" i="124"/>
  <c r="AA47" i="124" s="1"/>
  <c r="BH269" i="120"/>
  <c r="H113" i="124"/>
  <c r="BG34" i="124"/>
  <c r="BG330" i="124"/>
  <c r="Q287" i="124"/>
  <c r="Q267" i="124" s="1"/>
  <c r="Q289" i="124"/>
  <c r="Q294" i="124" s="1"/>
  <c r="H191" i="124"/>
  <c r="K129" i="124"/>
  <c r="K109" i="124" s="1"/>
  <c r="K131" i="124"/>
  <c r="K136" i="124" s="1"/>
  <c r="AB204" i="124"/>
  <c r="AB212" i="124" s="1"/>
  <c r="BI102" i="120"/>
  <c r="AX32" i="124"/>
  <c r="AX328" i="124"/>
  <c r="T34" i="124"/>
  <c r="T330" i="124"/>
  <c r="T341" i="124" s="1"/>
  <c r="AR287" i="124"/>
  <c r="AR267" i="124" s="1"/>
  <c r="AR289" i="124"/>
  <c r="AR294" i="124" s="1"/>
  <c r="BC289" i="124"/>
  <c r="BC294" i="124" s="1"/>
  <c r="BC287" i="124"/>
  <c r="BC267" i="124" s="1"/>
  <c r="AY131" i="124"/>
  <c r="AY136" i="124" s="1"/>
  <c r="AY129" i="124"/>
  <c r="AY109" i="124" s="1"/>
  <c r="AQ208" i="120"/>
  <c r="AQ188" i="120" s="1"/>
  <c r="AQ210" i="120"/>
  <c r="AQ215" i="120" s="1"/>
  <c r="BB210" i="124"/>
  <c r="BB215" i="124" s="1"/>
  <c r="BB208" i="124"/>
  <c r="BB188" i="124" s="1"/>
  <c r="BJ301" i="124"/>
  <c r="BJ302" i="124"/>
  <c r="BJ277" i="124"/>
  <c r="BJ275" i="124"/>
  <c r="BJ276" i="124"/>
  <c r="BJ278" i="124"/>
  <c r="BJ252" i="124"/>
  <c r="BJ222" i="124"/>
  <c r="BJ223" i="124"/>
  <c r="BJ199" i="124"/>
  <c r="BJ214" i="124" s="1"/>
  <c r="BJ197" i="124"/>
  <c r="BJ198" i="124"/>
  <c r="BJ196" i="124"/>
  <c r="BJ120" i="124"/>
  <c r="BJ135" i="124" s="1"/>
  <c r="BJ144" i="124"/>
  <c r="BJ119" i="124"/>
  <c r="BJ117" i="124"/>
  <c r="BJ173" i="124"/>
  <c r="BJ143" i="124"/>
  <c r="BJ64" i="124"/>
  <c r="BJ118" i="124"/>
  <c r="BJ94" i="124"/>
  <c r="BJ65" i="124"/>
  <c r="BJ40" i="124"/>
  <c r="BJ38" i="124"/>
  <c r="BK8" i="124"/>
  <c r="BJ15" i="124"/>
  <c r="BJ41" i="124"/>
  <c r="BJ56" i="124" s="1"/>
  <c r="BJ39" i="124"/>
  <c r="BJ249" i="124"/>
  <c r="BJ170" i="124"/>
  <c r="BJ91" i="124"/>
  <c r="BJ12" i="124"/>
  <c r="BI121" i="124"/>
  <c r="BI145" i="124" s="1"/>
  <c r="BI100" i="124"/>
  <c r="BI179" i="124"/>
  <c r="BI200" i="124"/>
  <c r="BI260" i="124"/>
  <c r="S32" i="124"/>
  <c r="S328" i="124"/>
  <c r="T289" i="124"/>
  <c r="T294" i="124" s="1"/>
  <c r="T287" i="124"/>
  <c r="T267" i="124" s="1"/>
  <c r="BB208" i="120"/>
  <c r="BB188" i="120" s="1"/>
  <c r="BB210" i="120"/>
  <c r="BB215" i="120" s="1"/>
  <c r="BG287" i="120"/>
  <c r="BG267" i="120" s="1"/>
  <c r="BG289" i="120"/>
  <c r="BG294" i="120" s="1"/>
  <c r="AN335" i="124"/>
  <c r="AN112" i="124"/>
  <c r="AR210" i="120"/>
  <c r="AR215" i="120" s="1"/>
  <c r="AR208" i="120"/>
  <c r="AR188" i="120" s="1"/>
  <c r="BC210" i="120"/>
  <c r="BC215" i="120" s="1"/>
  <c r="BC208" i="120"/>
  <c r="BC188" i="120" s="1"/>
  <c r="L32" i="124"/>
  <c r="L328" i="124"/>
  <c r="AS34" i="124"/>
  <c r="AS330" i="124"/>
  <c r="AS341" i="124" s="1"/>
  <c r="U129" i="124"/>
  <c r="U109" i="124" s="1"/>
  <c r="U131" i="124"/>
  <c r="U136" i="124" s="1"/>
  <c r="Z210" i="124"/>
  <c r="Z215" i="124" s="1"/>
  <c r="Z208" i="124"/>
  <c r="Z188" i="124" s="1"/>
  <c r="H47" i="124"/>
  <c r="H333" i="124"/>
  <c r="M289" i="124"/>
  <c r="M294" i="124" s="1"/>
  <c r="M287" i="124"/>
  <c r="M267" i="124" s="1"/>
  <c r="BD294" i="120"/>
  <c r="Q129" i="124"/>
  <c r="Q109" i="124" s="1"/>
  <c r="Q131" i="124"/>
  <c r="Q136" i="124" s="1"/>
  <c r="BI174" i="120"/>
  <c r="BI175" i="120" s="1"/>
  <c r="BI228" i="120" a="1"/>
  <c r="BI228" i="120" s="1"/>
  <c r="BI185" i="120"/>
  <c r="BI184" i="120"/>
  <c r="BI183" i="120" s="1"/>
  <c r="BI227" i="120" a="1"/>
  <c r="BI227" i="120" s="1"/>
  <c r="BI258" i="120"/>
  <c r="BI279" i="120"/>
  <c r="BI303" i="120" s="1"/>
  <c r="K287" i="124"/>
  <c r="K267" i="124" s="1"/>
  <c r="K289" i="124"/>
  <c r="K294" i="124" s="1"/>
  <c r="BB287" i="124"/>
  <c r="BB267" i="124" s="1"/>
  <c r="BB289" i="124"/>
  <c r="BB294" i="124" s="1"/>
  <c r="J210" i="124"/>
  <c r="J215" i="124" s="1"/>
  <c r="J231" i="124" s="1"/>
  <c r="J208" i="124"/>
  <c r="J188" i="124" s="1"/>
  <c r="U208" i="124"/>
  <c r="U188" i="124" s="1"/>
  <c r="U210" i="124"/>
  <c r="U215" i="124" s="1"/>
  <c r="AC101" i="124"/>
  <c r="AC112" i="124" s="1"/>
  <c r="AC259" i="124"/>
  <c r="AC270" i="124" s="1"/>
  <c r="BH46" i="124"/>
  <c r="BH54" i="124" s="1"/>
  <c r="BG32" i="124"/>
  <c r="BG328" i="124"/>
  <c r="AW289" i="124"/>
  <c r="AW294" i="124" s="1"/>
  <c r="AW287" i="124"/>
  <c r="AW267" i="124" s="1"/>
  <c r="V131" i="124"/>
  <c r="V136" i="124" s="1"/>
  <c r="V129" i="124"/>
  <c r="V109" i="124" s="1"/>
  <c r="AQ208" i="124"/>
  <c r="AQ188" i="124" s="1"/>
  <c r="AQ210" i="124"/>
  <c r="AQ215" i="124" s="1"/>
  <c r="BA210" i="124"/>
  <c r="BA215" i="124" s="1"/>
  <c r="BA208" i="124"/>
  <c r="BA188" i="124" s="1"/>
  <c r="BB32" i="124"/>
  <c r="BB328" i="124"/>
  <c r="AU34" i="124"/>
  <c r="AU330" i="124"/>
  <c r="AU341" i="124" s="1"/>
  <c r="H271" i="124"/>
  <c r="AZ287" i="124"/>
  <c r="AZ267" i="124" s="1"/>
  <c r="AZ289" i="124"/>
  <c r="AZ294" i="124" s="1"/>
  <c r="AU129" i="124"/>
  <c r="AU109" i="124" s="1"/>
  <c r="AU131" i="124"/>
  <c r="AU136" i="124" s="1"/>
  <c r="AY208" i="124"/>
  <c r="AY188" i="124" s="1"/>
  <c r="AY210" i="124"/>
  <c r="AY215" i="124" s="1"/>
  <c r="BG283" i="124"/>
  <c r="BG291" i="124" s="1"/>
  <c r="BJ278" i="120"/>
  <c r="BJ293" i="120" s="1"/>
  <c r="BJ252" i="120"/>
  <c r="BJ301" i="120"/>
  <c r="BJ197" i="120"/>
  <c r="BJ275" i="120"/>
  <c r="BJ173" i="120"/>
  <c r="BJ302" i="120"/>
  <c r="BJ198" i="120"/>
  <c r="BJ276" i="120"/>
  <c r="BJ199" i="120"/>
  <c r="BJ214" i="120" s="1"/>
  <c r="BJ277" i="120"/>
  <c r="BJ222" i="120"/>
  <c r="BJ143" i="120"/>
  <c r="BJ223" i="120"/>
  <c r="BJ196" i="120"/>
  <c r="BJ144" i="120"/>
  <c r="BJ170" i="120"/>
  <c r="BJ249" i="120"/>
  <c r="H126" i="124"/>
  <c r="BG211" i="124"/>
  <c r="AB124" i="124"/>
  <c r="AB104" i="124"/>
  <c r="AB123" i="124" s="1"/>
  <c r="BI69" i="124" a="1"/>
  <c r="BI69" i="124" s="1"/>
  <c r="BI16" i="124"/>
  <c r="BI17" i="124" s="1"/>
  <c r="BI70" i="124" a="1"/>
  <c r="BI70" i="124" s="1"/>
  <c r="BI27" i="124"/>
  <c r="BI26" i="124"/>
  <c r="BI42" i="124"/>
  <c r="BI66" i="124" s="1"/>
  <c r="BI21" i="124"/>
  <c r="BI102" i="124"/>
  <c r="BI181" i="124"/>
  <c r="AR34" i="124"/>
  <c r="AR330" i="124"/>
  <c r="AR341" i="124" s="1"/>
  <c r="AP287" i="120"/>
  <c r="AP267" i="120" s="1"/>
  <c r="AP289" i="120"/>
  <c r="AP294" i="120" s="1"/>
  <c r="AP310" i="120" s="1"/>
  <c r="Y210" i="124"/>
  <c r="Y215" i="124" s="1"/>
  <c r="Y208" i="124"/>
  <c r="Y188" i="124" s="1"/>
  <c r="AB46" i="124"/>
  <c r="AB54" i="124" s="1"/>
  <c r="I34" i="124"/>
  <c r="I330" i="124"/>
  <c r="I341" i="124" s="1"/>
  <c r="BE34" i="124"/>
  <c r="BE330" i="124"/>
  <c r="BE341" i="124" s="1"/>
  <c r="AN337" i="124"/>
  <c r="BO337" i="124" s="1"/>
  <c r="BO29" i="124"/>
  <c r="AX287" i="120"/>
  <c r="AX267" i="120" s="1"/>
  <c r="AX289" i="120"/>
  <c r="AX294" i="120" s="1"/>
  <c r="AA287" i="124"/>
  <c r="AA267" i="124" s="1"/>
  <c r="AA289" i="124"/>
  <c r="AA294" i="124" s="1"/>
  <c r="T131" i="124"/>
  <c r="T136" i="124" s="1"/>
  <c r="T129" i="124"/>
  <c r="T109" i="124" s="1"/>
  <c r="BE215" i="120"/>
  <c r="R287" i="124"/>
  <c r="R267" i="124" s="1"/>
  <c r="R289" i="124"/>
  <c r="R294" i="124" s="1"/>
  <c r="O208" i="124"/>
  <c r="O188" i="124" s="1"/>
  <c r="O210" i="124"/>
  <c r="O215" i="124" s="1"/>
  <c r="AB132" i="124"/>
  <c r="H334" i="124"/>
  <c r="AR32" i="124"/>
  <c r="AR328" i="124"/>
  <c r="V34" i="124"/>
  <c r="V330" i="124"/>
  <c r="V341" i="124" s="1"/>
  <c r="H284" i="124"/>
  <c r="AS210" i="120"/>
  <c r="AS215" i="120" s="1"/>
  <c r="AS208" i="120"/>
  <c r="AS188" i="120" s="1"/>
  <c r="BC208" i="124"/>
  <c r="BC188" i="124" s="1"/>
  <c r="BC210" i="124"/>
  <c r="BC215" i="124" s="1"/>
  <c r="BH203" i="124"/>
  <c r="BH183" i="124"/>
  <c r="BH202" i="124" s="1"/>
  <c r="BI307" i="120" a="1"/>
  <c r="BI307" i="120" s="1"/>
  <c r="BI253" i="120"/>
  <c r="BI254" i="120" s="1"/>
  <c r="BI264" i="120"/>
  <c r="BI306" i="120" a="1"/>
  <c r="BI306" i="120" s="1"/>
  <c r="BI263" i="120"/>
  <c r="BI262" i="120" s="1"/>
  <c r="BI260" i="120"/>
  <c r="BI180" i="120"/>
  <c r="BI191" i="120" s="1"/>
  <c r="M32" i="124"/>
  <c r="M328" i="124"/>
  <c r="AX34" i="124"/>
  <c r="AX330" i="124"/>
  <c r="AX341" i="124" s="1"/>
  <c r="BB129" i="124"/>
  <c r="BB109" i="124" s="1"/>
  <c r="BB131" i="124"/>
  <c r="BB136" i="124" s="1"/>
  <c r="AC148" i="124" a="1"/>
  <c r="AC148" i="124" s="1"/>
  <c r="AC149" i="124" a="1"/>
  <c r="AC149" i="124" s="1"/>
  <c r="AC106" i="124"/>
  <c r="AC105" i="124"/>
  <c r="AC95" i="124"/>
  <c r="AC33" i="124"/>
  <c r="AS32" i="124"/>
  <c r="AS328" i="124"/>
  <c r="BC34" i="124"/>
  <c r="BC330" i="124"/>
  <c r="BC341" i="124" s="1"/>
  <c r="I287" i="124"/>
  <c r="I267" i="124" s="1"/>
  <c r="I289" i="124"/>
  <c r="I294" i="124" s="1"/>
  <c r="AB330" i="124"/>
  <c r="AN192" i="124"/>
  <c r="AN210" i="120"/>
  <c r="AN215" i="120" s="1"/>
  <c r="AN208" i="120"/>
  <c r="AN188" i="120" s="1"/>
  <c r="K90" i="124"/>
  <c r="K147" i="124" s="1"/>
  <c r="AQ90" i="124"/>
  <c r="AQ147" i="124" s="1"/>
  <c r="AC224" i="120"/>
  <c r="V32" i="124"/>
  <c r="V328" i="124"/>
  <c r="AN34" i="124"/>
  <c r="AN330" i="124"/>
  <c r="AU287" i="124"/>
  <c r="AU267" i="124" s="1"/>
  <c r="AU289" i="124"/>
  <c r="AU294" i="124" s="1"/>
  <c r="W129" i="124"/>
  <c r="W109" i="124" s="1"/>
  <c r="W131" i="124"/>
  <c r="W136" i="124" s="1"/>
  <c r="N208" i="124"/>
  <c r="N188" i="124" s="1"/>
  <c r="N210" i="124"/>
  <c r="N215" i="124" s="1"/>
  <c r="BE208" i="124"/>
  <c r="BE188" i="124" s="1"/>
  <c r="BE210" i="124"/>
  <c r="BE215" i="124" s="1"/>
  <c r="AB125" i="124"/>
  <c r="AB133" i="124" s="1"/>
  <c r="BH190" i="120"/>
  <c r="BH203" i="120"/>
  <c r="BI106" i="124"/>
  <c r="BI148" i="124" a="1"/>
  <c r="BI148" i="124" s="1"/>
  <c r="BI95" i="124"/>
  <c r="BI96" i="124" s="1"/>
  <c r="BI105" i="124"/>
  <c r="BI149" i="124" a="1"/>
  <c r="BI149" i="124" s="1"/>
  <c r="BI23" i="124"/>
  <c r="BI180" i="124"/>
  <c r="BI191" i="124" s="1"/>
  <c r="BI279" i="124"/>
  <c r="BI258" i="124"/>
  <c r="BC32" i="124"/>
  <c r="BC328" i="124"/>
  <c r="L289" i="124"/>
  <c r="L294" i="124" s="1"/>
  <c r="L287" i="124"/>
  <c r="L267" i="124" s="1"/>
  <c r="W287" i="124"/>
  <c r="W267" i="124" s="1"/>
  <c r="W289" i="124"/>
  <c r="W294" i="124" s="1"/>
  <c r="AZ131" i="124"/>
  <c r="AZ136" i="124" s="1"/>
  <c r="AZ129" i="124"/>
  <c r="AZ109" i="124" s="1"/>
  <c r="AT208" i="120"/>
  <c r="AT188" i="120" s="1"/>
  <c r="AT210" i="120"/>
  <c r="AT215" i="120" s="1"/>
  <c r="AY32" i="124"/>
  <c r="AY328" i="124"/>
  <c r="J287" i="124"/>
  <c r="J267" i="124" s="1"/>
  <c r="J289" i="124"/>
  <c r="J294" i="124" s="1"/>
  <c r="AU210" i="120"/>
  <c r="AU215" i="120" s="1"/>
  <c r="AU208" i="120"/>
  <c r="AU188" i="120" s="1"/>
  <c r="AV32" i="124"/>
  <c r="AV328" i="124"/>
  <c r="AW34" i="124"/>
  <c r="AW330" i="124"/>
  <c r="AW341" i="124" s="1"/>
  <c r="AN289" i="120"/>
  <c r="AN294" i="120" s="1"/>
  <c r="AN297" i="120" s="1"/>
  <c r="AN287" i="120"/>
  <c r="AN267" i="120" s="1"/>
  <c r="BG202" i="124"/>
  <c r="BE129" i="124"/>
  <c r="BE109" i="124" s="1"/>
  <c r="BE131" i="124"/>
  <c r="BE136" i="124" s="1"/>
  <c r="BG281" i="124"/>
  <c r="H335" i="124"/>
  <c r="J34" i="124"/>
  <c r="J330" i="124"/>
  <c r="J341" i="124" s="1"/>
  <c r="Z34" i="124"/>
  <c r="Z330" i="124"/>
  <c r="AV287" i="120"/>
  <c r="AV267" i="120" s="1"/>
  <c r="AV289" i="120"/>
  <c r="AV294" i="120" s="1"/>
  <c r="AU208" i="124"/>
  <c r="AU188" i="124" s="1"/>
  <c r="AU210" i="124"/>
  <c r="AU215" i="124" s="1"/>
  <c r="BG208" i="120"/>
  <c r="BG188" i="120" s="1"/>
  <c r="BG210" i="120"/>
  <c r="BG215" i="120" s="1"/>
  <c r="BH204" i="124"/>
  <c r="BH212" i="124" s="1"/>
  <c r="Q32" i="124"/>
  <c r="Q328" i="124"/>
  <c r="BB34" i="124"/>
  <c r="BB330" i="124"/>
  <c r="BB341" i="124" s="1"/>
  <c r="N289" i="124"/>
  <c r="N294" i="124" s="1"/>
  <c r="N287" i="124"/>
  <c r="N267" i="124" s="1"/>
  <c r="M208" i="124"/>
  <c r="M188" i="124" s="1"/>
  <c r="M210" i="124"/>
  <c r="M215" i="124" s="1"/>
  <c r="X210" i="124"/>
  <c r="X215" i="124" s="1"/>
  <c r="X208" i="124"/>
  <c r="X188" i="124" s="1"/>
  <c r="BG208" i="124"/>
  <c r="BG188" i="124" s="1"/>
  <c r="BG210" i="124"/>
  <c r="AC69" i="124" a="1"/>
  <c r="AC69" i="124" s="1"/>
  <c r="AC26" i="124"/>
  <c r="AC27" i="124"/>
  <c r="AC70" i="124" a="1"/>
  <c r="AC70" i="124" s="1"/>
  <c r="AC16" i="124"/>
  <c r="AC17" i="124" s="1"/>
  <c r="AC121" i="124"/>
  <c r="AC145" i="124" s="1"/>
  <c r="AC100" i="124"/>
  <c r="AC200" i="124"/>
  <c r="AC224" i="124" s="1"/>
  <c r="AC179" i="124"/>
  <c r="AC279" i="124"/>
  <c r="AC258" i="124"/>
  <c r="AY289" i="120"/>
  <c r="AY294" i="120" s="1"/>
  <c r="AY287" i="120"/>
  <c r="AY267" i="120" s="1"/>
  <c r="AP131" i="124"/>
  <c r="AP136" i="124" s="1"/>
  <c r="AP152" i="124" s="1"/>
  <c r="AP129" i="124"/>
  <c r="AP109" i="124" s="1"/>
  <c r="Z129" i="124"/>
  <c r="Z109" i="124" s="1"/>
  <c r="Z131" i="124"/>
  <c r="Z136" i="124" s="1"/>
  <c r="AS210" i="124"/>
  <c r="AS215" i="124" s="1"/>
  <c r="AS208" i="124"/>
  <c r="AS188" i="124" s="1"/>
  <c r="BD210" i="120"/>
  <c r="BD215" i="120" s="1"/>
  <c r="BD208" i="120"/>
  <c r="BD188" i="120" s="1"/>
  <c r="Z32" i="124"/>
  <c r="Z328" i="124"/>
  <c r="AY34" i="124"/>
  <c r="AY330" i="124"/>
  <c r="AY341" i="124" s="1"/>
  <c r="AR294" i="120"/>
  <c r="V287" i="124"/>
  <c r="V267" i="124" s="1"/>
  <c r="V289" i="124"/>
  <c r="V294" i="124" s="1"/>
  <c r="S129" i="124"/>
  <c r="S109" i="124" s="1"/>
  <c r="S131" i="124"/>
  <c r="S136" i="124" s="1"/>
  <c r="V208" i="124"/>
  <c r="V188" i="124" s="1"/>
  <c r="V210" i="124"/>
  <c r="V215" i="124" s="1"/>
  <c r="BH32" i="124"/>
  <c r="BH328" i="124"/>
  <c r="J32" i="124"/>
  <c r="J328" i="124"/>
  <c r="X34" i="124"/>
  <c r="X330" i="124"/>
  <c r="X341" i="124" s="1"/>
  <c r="BE289" i="124"/>
  <c r="BE294" i="124" s="1"/>
  <c r="BE287" i="124"/>
  <c r="BE267" i="124" s="1"/>
  <c r="H192" i="124"/>
  <c r="AB208" i="124"/>
  <c r="AB188" i="124" s="1"/>
  <c r="AB210" i="124"/>
  <c r="BI228" i="124" a="1"/>
  <c r="BI228" i="124" s="1"/>
  <c r="BI227" i="124" a="1"/>
  <c r="BI227" i="124" s="1"/>
  <c r="BI174" i="124"/>
  <c r="BI175" i="124" s="1"/>
  <c r="BI185" i="124"/>
  <c r="BI184" i="124"/>
  <c r="AA129" i="124"/>
  <c r="AA109" i="124" s="1"/>
  <c r="AA131" i="124"/>
  <c r="AN270" i="124"/>
  <c r="H111" i="124"/>
  <c r="BD131" i="124"/>
  <c r="BD136" i="124" s="1"/>
  <c r="BD129" i="124"/>
  <c r="BD109" i="124" s="1"/>
  <c r="Q210" i="124"/>
  <c r="Q215" i="124" s="1"/>
  <c r="Q208" i="124"/>
  <c r="Q188" i="124" s="1"/>
  <c r="M34" i="124"/>
  <c r="M330" i="124"/>
  <c r="M341" i="124" s="1"/>
  <c r="BA287" i="120"/>
  <c r="BA267" i="120" s="1"/>
  <c r="BA289" i="120"/>
  <c r="BA294" i="120" s="1"/>
  <c r="AN111" i="124"/>
  <c r="X131" i="124"/>
  <c r="X136" i="124" s="1"/>
  <c r="X129" i="124"/>
  <c r="X109" i="124" s="1"/>
  <c r="AB211" i="124"/>
  <c r="AP287" i="124"/>
  <c r="AP267" i="124" s="1"/>
  <c r="AP289" i="124"/>
  <c r="AP294" i="124" s="1"/>
  <c r="AP310" i="124" s="1"/>
  <c r="BA287" i="124"/>
  <c r="BA267" i="124" s="1"/>
  <c r="BA289" i="124"/>
  <c r="BA294" i="124" s="1"/>
  <c r="I129" i="124"/>
  <c r="I109" i="124" s="1"/>
  <c r="I131" i="124"/>
  <c r="I136" i="124" s="1"/>
  <c r="AX208" i="120"/>
  <c r="AX188" i="120" s="1"/>
  <c r="AX210" i="120"/>
  <c r="AX215" i="120" s="1"/>
  <c r="H337" i="124"/>
  <c r="AI337" i="124" s="1"/>
  <c r="AI29" i="124"/>
  <c r="P32" i="124"/>
  <c r="P328" i="124"/>
  <c r="AN269" i="124"/>
  <c r="S287" i="124"/>
  <c r="S267" i="124" s="1"/>
  <c r="S289" i="124"/>
  <c r="S294" i="124" s="1"/>
  <c r="BA129" i="124"/>
  <c r="BA109" i="124" s="1"/>
  <c r="BA131" i="124"/>
  <c r="BA136" i="124" s="1"/>
  <c r="BF210" i="120"/>
  <c r="BF215" i="120" s="1"/>
  <c r="BF208" i="120"/>
  <c r="BF188" i="120" s="1"/>
  <c r="BD289" i="124"/>
  <c r="BD294" i="124" s="1"/>
  <c r="BD287" i="124"/>
  <c r="BD267" i="124" s="1"/>
  <c r="J129" i="124"/>
  <c r="J109" i="124" s="1"/>
  <c r="J131" i="124"/>
  <c r="J136" i="124" s="1"/>
  <c r="J152" i="124" s="1"/>
  <c r="BF131" i="124"/>
  <c r="BF136" i="124" s="1"/>
  <c r="BF129" i="124"/>
  <c r="BF109" i="124" s="1"/>
  <c r="AC227" i="124" a="1"/>
  <c r="AC227" i="124" s="1"/>
  <c r="AC185" i="124"/>
  <c r="AC184" i="124"/>
  <c r="AC228" i="124" a="1"/>
  <c r="AC228" i="124" s="1"/>
  <c r="AC174" i="124"/>
  <c r="AC102" i="124"/>
  <c r="AC181" i="124"/>
  <c r="AC260" i="124"/>
  <c r="K34" i="124"/>
  <c r="K330" i="124"/>
  <c r="K341" i="124" s="1"/>
  <c r="AQ287" i="124"/>
  <c r="AQ267" i="124" s="1"/>
  <c r="AQ289" i="124"/>
  <c r="AQ294" i="124" s="1"/>
  <c r="AV208" i="124"/>
  <c r="AV188" i="124" s="1"/>
  <c r="AV210" i="124"/>
  <c r="AV215" i="124" s="1"/>
  <c r="BH254" i="124"/>
  <c r="AP32" i="124"/>
  <c r="AP328" i="124"/>
  <c r="BG126" i="124"/>
  <c r="K208" i="124"/>
  <c r="K188" i="124" s="1"/>
  <c r="K210" i="124"/>
  <c r="K215" i="124" s="1"/>
  <c r="AB32" i="124"/>
  <c r="AB328" i="124"/>
  <c r="AN205" i="124"/>
  <c r="BF126" i="120"/>
  <c r="AA284" i="120"/>
  <c r="AY136" i="120"/>
  <c r="AY151" i="120" s="1"/>
  <c r="AW151" i="120"/>
  <c r="AW153" i="120"/>
  <c r="AW154" i="120"/>
  <c r="BI148" i="120" a="1"/>
  <c r="BI148" i="120" s="1"/>
  <c r="BI149" i="120" a="1"/>
  <c r="BI149" i="120" s="1"/>
  <c r="AB190" i="120"/>
  <c r="AB208" i="120" s="1"/>
  <c r="AB188" i="120" s="1"/>
  <c r="AA205" i="120"/>
  <c r="BF335" i="120"/>
  <c r="AA113" i="120"/>
  <c r="CB37" i="119"/>
  <c r="CB37" i="118"/>
  <c r="CB37" i="117"/>
  <c r="CB45" i="118"/>
  <c r="CB23" i="118"/>
  <c r="CB23" i="119"/>
  <c r="CB25" i="118"/>
  <c r="CB24" i="119"/>
  <c r="CB58" i="119" s="1"/>
  <c r="CB23" i="117"/>
  <c r="CB24" i="118"/>
  <c r="CB58" i="118" s="1"/>
  <c r="CB25" i="119"/>
  <c r="CB23" i="67"/>
  <c r="CB43" i="119"/>
  <c r="CB43" i="118"/>
  <c r="CB24" i="67"/>
  <c r="CB58" i="67" s="1"/>
  <c r="CB43" i="67"/>
  <c r="CB45" i="119"/>
  <c r="BI101" i="120"/>
  <c r="BI112" i="120" s="1"/>
  <c r="AC180" i="120"/>
  <c r="AC191" i="120" s="1"/>
  <c r="AC259" i="120"/>
  <c r="AC270" i="120" s="1"/>
  <c r="BH53" i="120"/>
  <c r="BG53" i="120"/>
  <c r="BH44" i="120"/>
  <c r="AB111" i="120"/>
  <c r="AB129" i="120" s="1"/>
  <c r="AB109" i="120" s="1"/>
  <c r="AB271" i="120"/>
  <c r="BH111" i="120"/>
  <c r="AO136" i="120"/>
  <c r="AB113" i="120"/>
  <c r="AB204" i="120"/>
  <c r="AB212" i="120" s="1"/>
  <c r="AB53" i="120"/>
  <c r="AQ136" i="120"/>
  <c r="BG132" i="120"/>
  <c r="AB44" i="120"/>
  <c r="BI22" i="120"/>
  <c r="BK8" i="120"/>
  <c r="BJ120" i="120"/>
  <c r="BJ117" i="120"/>
  <c r="BJ94" i="120"/>
  <c r="BJ118" i="120"/>
  <c r="BJ119" i="120"/>
  <c r="BJ39" i="120"/>
  <c r="BJ65" i="120"/>
  <c r="BJ40" i="120"/>
  <c r="BJ15" i="120"/>
  <c r="BJ64" i="120"/>
  <c r="BJ41" i="120"/>
  <c r="BJ38" i="120"/>
  <c r="BJ91" i="120"/>
  <c r="BJ12" i="120"/>
  <c r="AB46" i="120"/>
  <c r="BH104" i="120"/>
  <c r="BH113" i="120" s="1"/>
  <c r="BG44" i="120"/>
  <c r="AP129" i="120"/>
  <c r="AP109" i="120" s="1"/>
  <c r="AP131" i="120"/>
  <c r="AP136" i="120" s="1"/>
  <c r="BG131" i="120"/>
  <c r="BG129" i="120"/>
  <c r="BG109" i="120" s="1"/>
  <c r="BI100" i="120"/>
  <c r="BI121" i="120"/>
  <c r="BI145" i="120" s="1"/>
  <c r="AB203" i="120"/>
  <c r="BG123" i="120"/>
  <c r="AS129" i="120"/>
  <c r="AS109" i="120" s="1"/>
  <c r="AS131" i="120"/>
  <c r="AS136" i="120" s="1"/>
  <c r="BC129" i="120"/>
  <c r="BC109" i="120" s="1"/>
  <c r="BC131" i="120"/>
  <c r="BC136" i="120" s="1"/>
  <c r="AB281" i="120"/>
  <c r="AA44" i="120"/>
  <c r="AB123" i="120"/>
  <c r="AT131" i="120"/>
  <c r="AT136" i="120" s="1"/>
  <c r="AT129" i="120"/>
  <c r="AT109" i="120" s="1"/>
  <c r="AQ11" i="120"/>
  <c r="K11" i="120"/>
  <c r="AC27" i="120"/>
  <c r="AC16" i="120"/>
  <c r="AC17" i="120" s="1"/>
  <c r="AC69" i="120" a="1"/>
  <c r="AC69" i="120" s="1"/>
  <c r="AC26" i="120"/>
  <c r="AC25" i="120" s="1"/>
  <c r="AC70" i="120" a="1"/>
  <c r="AC70" i="120" s="1"/>
  <c r="BH46" i="120"/>
  <c r="BD131" i="120"/>
  <c r="BD136" i="120" s="1"/>
  <c r="BD129" i="120"/>
  <c r="BD109" i="120" s="1"/>
  <c r="AR129" i="120"/>
  <c r="AR109" i="120" s="1"/>
  <c r="AR131" i="120"/>
  <c r="AR136" i="120" s="1"/>
  <c r="AA125" i="120"/>
  <c r="AA124" i="120"/>
  <c r="AA334" i="120" s="1"/>
  <c r="AC228" i="120" a="1"/>
  <c r="AC228" i="120" s="1"/>
  <c r="AC174" i="120"/>
  <c r="AC175" i="120" s="1"/>
  <c r="AC185" i="120"/>
  <c r="AC184" i="120"/>
  <c r="AC183" i="120" s="1"/>
  <c r="AC227" i="120" a="1"/>
  <c r="AC227" i="120" s="1"/>
  <c r="AC22" i="120"/>
  <c r="AB283" i="120"/>
  <c r="AB291" i="120" s="1"/>
  <c r="BG125" i="120"/>
  <c r="BH45" i="120"/>
  <c r="BF131" i="120"/>
  <c r="BF136" i="120" s="1"/>
  <c r="BF129" i="120"/>
  <c r="BF109" i="120" s="1"/>
  <c r="K248" i="120"/>
  <c r="K169" i="120"/>
  <c r="BI27" i="120"/>
  <c r="BI70" i="120" a="1"/>
  <c r="BI70" i="120" s="1"/>
  <c r="BI69" i="120" a="1"/>
  <c r="BI69" i="120" s="1"/>
  <c r="BI16" i="120"/>
  <c r="BI26" i="120"/>
  <c r="BI25" i="120" s="1"/>
  <c r="BA129" i="120"/>
  <c r="BA109" i="120" s="1"/>
  <c r="BA131" i="120"/>
  <c r="BA136" i="120" s="1"/>
  <c r="AC307" i="120" a="1"/>
  <c r="AC307" i="120" s="1"/>
  <c r="AC263" i="120"/>
  <c r="AC306" i="120" a="1"/>
  <c r="AC306" i="120" s="1"/>
  <c r="AC264" i="120"/>
  <c r="AC253" i="120"/>
  <c r="AC254" i="120" s="1"/>
  <c r="AW138" i="120"/>
  <c r="AW139" i="120"/>
  <c r="AB282" i="120"/>
  <c r="AV129" i="120"/>
  <c r="AV109" i="120" s="1"/>
  <c r="AV131" i="120"/>
  <c r="AV136" i="120" s="1"/>
  <c r="AB124" i="120"/>
  <c r="BB129" i="120"/>
  <c r="BB109" i="120" s="1"/>
  <c r="BB131" i="120"/>
  <c r="BB136" i="120" s="1"/>
  <c r="BG329" i="120"/>
  <c r="BG340" i="120" s="1"/>
  <c r="AC95" i="120"/>
  <c r="AC96" i="120" s="1"/>
  <c r="AC148" i="120" a="1"/>
  <c r="AC148" i="120" s="1"/>
  <c r="AC149" i="120" a="1"/>
  <c r="AC149" i="120" s="1"/>
  <c r="AC105" i="120"/>
  <c r="AC111" i="120" s="1"/>
  <c r="AC106" i="120"/>
  <c r="AC101" i="120"/>
  <c r="AC112" i="120" s="1"/>
  <c r="AU131" i="120"/>
  <c r="AU136" i="120" s="1"/>
  <c r="AU129" i="120"/>
  <c r="AU109" i="120" s="1"/>
  <c r="AB183" i="120"/>
  <c r="AB192" i="120" s="1"/>
  <c r="AX131" i="120"/>
  <c r="AX136" i="120" s="1"/>
  <c r="AX129" i="120"/>
  <c r="AX109" i="120" s="1"/>
  <c r="BI105" i="120"/>
  <c r="BI104" i="120" s="1"/>
  <c r="BI95" i="120"/>
  <c r="BI106" i="120"/>
  <c r="AE8" i="120"/>
  <c r="AD15" i="120"/>
  <c r="AD302" i="120"/>
  <c r="AD277" i="120"/>
  <c r="AD252" i="120"/>
  <c r="AD223" i="120"/>
  <c r="AD198" i="120"/>
  <c r="AD173" i="120"/>
  <c r="AD144" i="120"/>
  <c r="AD120" i="120"/>
  <c r="AD41" i="120"/>
  <c r="AD118" i="120"/>
  <c r="AD196" i="120"/>
  <c r="AD64" i="120"/>
  <c r="AD278" i="120"/>
  <c r="AD199" i="120"/>
  <c r="AD117" i="120"/>
  <c r="AD38" i="120"/>
  <c r="AD39" i="120"/>
  <c r="AD301" i="120"/>
  <c r="AD275" i="120"/>
  <c r="AD143" i="120"/>
  <c r="AD65" i="120"/>
  <c r="AD40" i="120"/>
  <c r="AD276" i="120"/>
  <c r="AD222" i="120"/>
  <c r="AD94" i="120"/>
  <c r="AD197" i="120"/>
  <c r="AD119" i="120"/>
  <c r="AD170" i="120"/>
  <c r="AD12" i="120"/>
  <c r="AD249" i="120"/>
  <c r="AD91" i="120"/>
  <c r="AB125" i="120"/>
  <c r="AB133" i="120" s="1"/>
  <c r="AN131" i="120"/>
  <c r="AN136" i="120" s="1"/>
  <c r="AN129" i="120"/>
  <c r="AN109" i="120" s="1"/>
  <c r="BH96" i="120"/>
  <c r="AA123" i="120"/>
  <c r="AQ90" i="120"/>
  <c r="AQ147" i="120" s="1"/>
  <c r="K90" i="120"/>
  <c r="K147" i="120" s="1"/>
  <c r="BG45" i="120"/>
  <c r="BG334" i="120" s="1"/>
  <c r="BG46" i="120"/>
  <c r="AB45" i="120"/>
  <c r="BE136" i="120"/>
  <c r="AZ129" i="120"/>
  <c r="AZ109" i="120" s="1"/>
  <c r="AZ131" i="120"/>
  <c r="AZ136" i="120" s="1"/>
  <c r="G212" i="120"/>
  <c r="G133" i="120"/>
  <c r="G291" i="120"/>
  <c r="CC17" i="119"/>
  <c r="P32" i="120"/>
  <c r="P328" i="120"/>
  <c r="K131" i="120"/>
  <c r="K136" i="120" s="1"/>
  <c r="K129" i="120"/>
  <c r="K109" i="120" s="1"/>
  <c r="G190" i="120"/>
  <c r="AZ34" i="120"/>
  <c r="AZ330" i="120"/>
  <c r="AZ341" i="120" s="1"/>
  <c r="J131" i="120"/>
  <c r="J136" i="120" s="1"/>
  <c r="J129" i="120"/>
  <c r="J109" i="120" s="1"/>
  <c r="AA131" i="120"/>
  <c r="AA129" i="120"/>
  <c r="AA109" i="120" s="1"/>
  <c r="P287" i="120"/>
  <c r="P267" i="120" s="1"/>
  <c r="P289" i="120"/>
  <c r="P294" i="120" s="1"/>
  <c r="J34" i="120"/>
  <c r="J330" i="120"/>
  <c r="J341" i="120" s="1"/>
  <c r="H129" i="120"/>
  <c r="H109" i="120" s="1"/>
  <c r="H131" i="120"/>
  <c r="H136" i="120" s="1"/>
  <c r="U287" i="120"/>
  <c r="U267" i="120" s="1"/>
  <c r="U289" i="120"/>
  <c r="U294" i="120" s="1"/>
  <c r="AQ32" i="120"/>
  <c r="AQ328" i="120"/>
  <c r="G34" i="120"/>
  <c r="G330" i="120"/>
  <c r="O287" i="120"/>
  <c r="O267" i="120" s="1"/>
  <c r="O289" i="120"/>
  <c r="O294" i="120" s="1"/>
  <c r="BO29" i="120"/>
  <c r="AM337" i="120"/>
  <c r="BO337" i="120" s="1"/>
  <c r="Y131" i="120"/>
  <c r="Y136" i="120" s="1"/>
  <c r="Y129" i="120"/>
  <c r="Y109" i="120" s="1"/>
  <c r="AT32" i="120"/>
  <c r="AT328" i="120"/>
  <c r="U34" i="120"/>
  <c r="U330" i="120"/>
  <c r="U341" i="120" s="1"/>
  <c r="R289" i="120"/>
  <c r="R294" i="120" s="1"/>
  <c r="R287" i="120"/>
  <c r="R267" i="120" s="1"/>
  <c r="V129" i="120"/>
  <c r="V109" i="120" s="1"/>
  <c r="V131" i="120"/>
  <c r="V136" i="120" s="1"/>
  <c r="W287" i="120"/>
  <c r="W267" i="120" s="1"/>
  <c r="W289" i="120"/>
  <c r="W294" i="120" s="1"/>
  <c r="AU32" i="120"/>
  <c r="AU328" i="120"/>
  <c r="BD32" i="120"/>
  <c r="BD328" i="120"/>
  <c r="R131" i="120"/>
  <c r="R136" i="120" s="1"/>
  <c r="R129" i="120"/>
  <c r="R109" i="120" s="1"/>
  <c r="Y208" i="120"/>
  <c r="Y188" i="120" s="1"/>
  <c r="Y210" i="120"/>
  <c r="Y215" i="120" s="1"/>
  <c r="Z210" i="120"/>
  <c r="Z215" i="120" s="1"/>
  <c r="Z208" i="120"/>
  <c r="Z188" i="120" s="1"/>
  <c r="AV32" i="120"/>
  <c r="AV328" i="120"/>
  <c r="G33" i="120"/>
  <c r="G329" i="120"/>
  <c r="G126" i="120"/>
  <c r="G192" i="120"/>
  <c r="X129" i="120"/>
  <c r="X109" i="120" s="1"/>
  <c r="X131" i="120"/>
  <c r="X136" i="120" s="1"/>
  <c r="I208" i="120"/>
  <c r="I188" i="120" s="1"/>
  <c r="I210" i="120"/>
  <c r="I215" i="120" s="1"/>
  <c r="Q289" i="120"/>
  <c r="Q294" i="120" s="1"/>
  <c r="Q287" i="120"/>
  <c r="Q267" i="120" s="1"/>
  <c r="BC32" i="120"/>
  <c r="BC328" i="120"/>
  <c r="N34" i="120"/>
  <c r="N330" i="120"/>
  <c r="N341" i="120" s="1"/>
  <c r="L208" i="120"/>
  <c r="L188" i="120" s="1"/>
  <c r="L210" i="120"/>
  <c r="L215" i="120" s="1"/>
  <c r="V32" i="120"/>
  <c r="V328" i="120"/>
  <c r="K208" i="120"/>
  <c r="K188" i="120" s="1"/>
  <c r="K210" i="120"/>
  <c r="K215" i="120" s="1"/>
  <c r="AS32" i="120"/>
  <c r="AS328" i="120"/>
  <c r="BB34" i="120"/>
  <c r="BB330" i="120"/>
  <c r="BB341" i="120" s="1"/>
  <c r="G270" i="120"/>
  <c r="AR34" i="120"/>
  <c r="AR330" i="120"/>
  <c r="AR341" i="120" s="1"/>
  <c r="BG34" i="120"/>
  <c r="BG330" i="120"/>
  <c r="AQ68" i="120"/>
  <c r="K68" i="120"/>
  <c r="BA32" i="120"/>
  <c r="BA328" i="120"/>
  <c r="AY34" i="120"/>
  <c r="AY330" i="120"/>
  <c r="AY341" i="120" s="1"/>
  <c r="H32" i="120"/>
  <c r="H50" i="120" s="1"/>
  <c r="H328" i="120"/>
  <c r="H339" i="120" s="1"/>
  <c r="X32" i="120"/>
  <c r="X328" i="120"/>
  <c r="P34" i="120"/>
  <c r="P330" i="120"/>
  <c r="P341" i="120" s="1"/>
  <c r="BD34" i="120"/>
  <c r="BD330" i="120"/>
  <c r="BD341" i="120" s="1"/>
  <c r="Y32" i="120"/>
  <c r="Y328" i="120"/>
  <c r="S34" i="120"/>
  <c r="S330" i="120"/>
  <c r="S341" i="120" s="1"/>
  <c r="J289" i="120"/>
  <c r="J294" i="120" s="1"/>
  <c r="J287" i="120"/>
  <c r="J267" i="120" s="1"/>
  <c r="Q32" i="120"/>
  <c r="Q328" i="120"/>
  <c r="G191" i="120"/>
  <c r="AQ34" i="120"/>
  <c r="AQ330" i="120"/>
  <c r="AQ341" i="120" s="1"/>
  <c r="W210" i="120"/>
  <c r="W215" i="120" s="1"/>
  <c r="W208" i="120"/>
  <c r="W188" i="120" s="1"/>
  <c r="AO32" i="120"/>
  <c r="AO328" i="120"/>
  <c r="AN34" i="120"/>
  <c r="AN330" i="120"/>
  <c r="AN341" i="120" s="1"/>
  <c r="Y34" i="120"/>
  <c r="Y330" i="120"/>
  <c r="Y341" i="120" s="1"/>
  <c r="M129" i="120"/>
  <c r="M109" i="120" s="1"/>
  <c r="M131" i="120"/>
  <c r="M136" i="120" s="1"/>
  <c r="V287" i="120"/>
  <c r="V267" i="120" s="1"/>
  <c r="V289" i="120"/>
  <c r="V294" i="120" s="1"/>
  <c r="S32" i="120"/>
  <c r="S328" i="120"/>
  <c r="J32" i="120"/>
  <c r="J328" i="120"/>
  <c r="K305" i="120"/>
  <c r="H210" i="120"/>
  <c r="H215" i="120" s="1"/>
  <c r="H208" i="120"/>
  <c r="H188" i="120" s="1"/>
  <c r="AA289" i="120"/>
  <c r="AA294" i="120" s="1"/>
  <c r="AA287" i="120"/>
  <c r="AA267" i="120" s="1"/>
  <c r="BE32" i="120"/>
  <c r="BE328" i="120"/>
  <c r="AM34" i="120"/>
  <c r="AM330" i="120"/>
  <c r="BC34" i="120"/>
  <c r="BC330" i="120"/>
  <c r="BC341" i="120" s="1"/>
  <c r="G47" i="120"/>
  <c r="G333" i="120"/>
  <c r="G111" i="120"/>
  <c r="T287" i="120"/>
  <c r="T267" i="120" s="1"/>
  <c r="T289" i="120"/>
  <c r="T294" i="120" s="1"/>
  <c r="K32" i="120"/>
  <c r="K328" i="120"/>
  <c r="AC328" i="120"/>
  <c r="U32" i="120"/>
  <c r="U328" i="120"/>
  <c r="T34" i="120"/>
  <c r="T330" i="120"/>
  <c r="T341" i="120" s="1"/>
  <c r="AA208" i="120"/>
  <c r="AA188" i="120" s="1"/>
  <c r="AA210" i="120"/>
  <c r="AA215" i="120" s="1"/>
  <c r="Z32" i="120"/>
  <c r="Z328" i="120"/>
  <c r="BA34" i="120"/>
  <c r="BA330" i="120"/>
  <c r="BA341" i="120" s="1"/>
  <c r="BG32" i="120"/>
  <c r="BG328" i="120"/>
  <c r="P210" i="120"/>
  <c r="P215" i="120" s="1"/>
  <c r="P208" i="120"/>
  <c r="P188" i="120" s="1"/>
  <c r="BF34" i="120"/>
  <c r="BF330" i="120"/>
  <c r="Z131" i="120"/>
  <c r="Z136" i="120" s="1"/>
  <c r="Z129" i="120"/>
  <c r="Z109" i="120" s="1"/>
  <c r="U208" i="120"/>
  <c r="U188" i="120" s="1"/>
  <c r="U210" i="120"/>
  <c r="U215" i="120" s="1"/>
  <c r="BH32" i="120"/>
  <c r="BH328" i="120"/>
  <c r="AP34" i="120"/>
  <c r="AP330" i="120"/>
  <c r="AP341" i="120" s="1"/>
  <c r="K226" i="120"/>
  <c r="G32" i="120"/>
  <c r="G328" i="120"/>
  <c r="G334" i="120"/>
  <c r="AR32" i="120"/>
  <c r="AR328" i="120"/>
  <c r="BI328" i="120"/>
  <c r="BH34" i="120"/>
  <c r="BH330" i="120"/>
  <c r="S131" i="120"/>
  <c r="S136" i="120" s="1"/>
  <c r="S129" i="120"/>
  <c r="S109" i="120" s="1"/>
  <c r="M208" i="120"/>
  <c r="M188" i="120" s="1"/>
  <c r="M210" i="120"/>
  <c r="M215" i="120" s="1"/>
  <c r="X287" i="120"/>
  <c r="X267" i="120" s="1"/>
  <c r="X289" i="120"/>
  <c r="X294" i="120" s="1"/>
  <c r="AV34" i="120"/>
  <c r="AV330" i="120"/>
  <c r="AV341" i="120" s="1"/>
  <c r="W34" i="120"/>
  <c r="W330" i="120"/>
  <c r="W341" i="120" s="1"/>
  <c r="L287" i="120"/>
  <c r="L267" i="120" s="1"/>
  <c r="L289" i="120"/>
  <c r="L294" i="120" s="1"/>
  <c r="G271" i="120"/>
  <c r="AS34" i="120"/>
  <c r="AS330" i="120"/>
  <c r="AS341" i="120" s="1"/>
  <c r="I32" i="120"/>
  <c r="I328" i="120"/>
  <c r="L32" i="120"/>
  <c r="L328" i="120"/>
  <c r="AT34" i="120"/>
  <c r="AT330" i="120"/>
  <c r="AT341" i="120" s="1"/>
  <c r="G284" i="120"/>
  <c r="Q131" i="120"/>
  <c r="Q136" i="120" s="1"/>
  <c r="Q129" i="120"/>
  <c r="Q109" i="120" s="1"/>
  <c r="H287" i="120"/>
  <c r="H267" i="120" s="1"/>
  <c r="H289" i="120"/>
  <c r="H294" i="120" s="1"/>
  <c r="Z289" i="120"/>
  <c r="Z294" i="120" s="1"/>
  <c r="Z287" i="120"/>
  <c r="Z267" i="120" s="1"/>
  <c r="O34" i="120"/>
  <c r="O330" i="120"/>
  <c r="O341" i="120" s="1"/>
  <c r="N129" i="120"/>
  <c r="N109" i="120" s="1"/>
  <c r="N131" i="120"/>
  <c r="N136" i="120" s="1"/>
  <c r="Q208" i="120"/>
  <c r="Q188" i="120" s="1"/>
  <c r="Q210" i="120"/>
  <c r="Q215" i="120" s="1"/>
  <c r="AB32" i="120"/>
  <c r="AB328" i="120"/>
  <c r="AM33" i="120"/>
  <c r="AM329" i="120"/>
  <c r="L34" i="120"/>
  <c r="L330" i="120"/>
  <c r="L341" i="120" s="1"/>
  <c r="Z34" i="120"/>
  <c r="Z330" i="120"/>
  <c r="G335" i="120"/>
  <c r="R208" i="120"/>
  <c r="R188" i="120" s="1"/>
  <c r="R210" i="120"/>
  <c r="R215" i="120" s="1"/>
  <c r="K289" i="120"/>
  <c r="K294" i="120" s="1"/>
  <c r="K287" i="120"/>
  <c r="K267" i="120" s="1"/>
  <c r="AW32" i="120"/>
  <c r="AW328" i="120"/>
  <c r="AO34" i="120"/>
  <c r="AO330" i="120"/>
  <c r="AO341" i="120" s="1"/>
  <c r="I131" i="120"/>
  <c r="I136" i="120" s="1"/>
  <c r="I129" i="120"/>
  <c r="I109" i="120" s="1"/>
  <c r="J210" i="120"/>
  <c r="J215" i="120" s="1"/>
  <c r="J208" i="120"/>
  <c r="J188" i="120" s="1"/>
  <c r="AM32" i="120"/>
  <c r="AM328" i="120"/>
  <c r="X34" i="120"/>
  <c r="X330" i="120"/>
  <c r="X341" i="120" s="1"/>
  <c r="P129" i="120"/>
  <c r="P109" i="120" s="1"/>
  <c r="P131" i="120"/>
  <c r="P136" i="120" s="1"/>
  <c r="O210" i="120"/>
  <c r="O215" i="120" s="1"/>
  <c r="O208" i="120"/>
  <c r="O188" i="120" s="1"/>
  <c r="Y289" i="120"/>
  <c r="Y294" i="120" s="1"/>
  <c r="Y287" i="120"/>
  <c r="Y267" i="120" s="1"/>
  <c r="M32" i="120"/>
  <c r="M328" i="120"/>
  <c r="AM47" i="120"/>
  <c r="AM333" i="120"/>
  <c r="AW34" i="120"/>
  <c r="AW330" i="120"/>
  <c r="AW341" i="120" s="1"/>
  <c r="BE34" i="120"/>
  <c r="BE330" i="120"/>
  <c r="BE341" i="120" s="1"/>
  <c r="T208" i="120"/>
  <c r="T188" i="120" s="1"/>
  <c r="T210" i="120"/>
  <c r="T215" i="120" s="1"/>
  <c r="O32" i="120"/>
  <c r="O328" i="120"/>
  <c r="W32" i="120"/>
  <c r="W328" i="120"/>
  <c r="I34" i="120"/>
  <c r="I330" i="120"/>
  <c r="I341" i="120" s="1"/>
  <c r="AC330" i="120"/>
  <c r="AP32" i="120"/>
  <c r="AP328" i="120"/>
  <c r="R34" i="120"/>
  <c r="R330" i="120"/>
  <c r="R341" i="120" s="1"/>
  <c r="N32" i="120"/>
  <c r="N328" i="120"/>
  <c r="AI29" i="120"/>
  <c r="G337" i="120"/>
  <c r="AI337" i="120" s="1"/>
  <c r="L129" i="120"/>
  <c r="L109" i="120" s="1"/>
  <c r="L131" i="120"/>
  <c r="L136" i="120" s="1"/>
  <c r="AU34" i="120"/>
  <c r="AU330" i="120"/>
  <c r="AU341" i="120" s="1"/>
  <c r="O129" i="120"/>
  <c r="O109" i="120" s="1"/>
  <c r="O131" i="120"/>
  <c r="O136" i="120" s="1"/>
  <c r="W129" i="120"/>
  <c r="W109" i="120" s="1"/>
  <c r="W131" i="120"/>
  <c r="W136" i="120" s="1"/>
  <c r="G269" i="120"/>
  <c r="AX32" i="120"/>
  <c r="AX328" i="120"/>
  <c r="K34" i="120"/>
  <c r="K330" i="120"/>
  <c r="K341" i="120" s="1"/>
  <c r="AA34" i="120"/>
  <c r="AA330" i="120"/>
  <c r="BF32" i="120"/>
  <c r="BF328" i="120"/>
  <c r="G54" i="120"/>
  <c r="G113" i="120"/>
  <c r="M289" i="120"/>
  <c r="M294" i="120" s="1"/>
  <c r="M287" i="120"/>
  <c r="M267" i="120" s="1"/>
  <c r="AM334" i="120"/>
  <c r="Q34" i="120"/>
  <c r="Q330" i="120"/>
  <c r="Q341" i="120" s="1"/>
  <c r="G112" i="120"/>
  <c r="U129" i="120"/>
  <c r="U109" i="120" s="1"/>
  <c r="U131" i="120"/>
  <c r="U136" i="120" s="1"/>
  <c r="N287" i="120"/>
  <c r="N267" i="120" s="1"/>
  <c r="N289" i="120"/>
  <c r="N294" i="120" s="1"/>
  <c r="G205" i="120"/>
  <c r="AN32" i="120"/>
  <c r="AN328" i="120"/>
  <c r="AA32" i="120"/>
  <c r="AA328" i="120"/>
  <c r="S289" i="120"/>
  <c r="S294" i="120" s="1"/>
  <c r="S309" i="120" s="1"/>
  <c r="S287" i="120"/>
  <c r="S267" i="120" s="1"/>
  <c r="M34" i="120"/>
  <c r="M330" i="120"/>
  <c r="M341" i="120" s="1"/>
  <c r="V210" i="120"/>
  <c r="V215" i="120" s="1"/>
  <c r="V208" i="120"/>
  <c r="V188" i="120" s="1"/>
  <c r="I289" i="120"/>
  <c r="I294" i="120" s="1"/>
  <c r="I287" i="120"/>
  <c r="I267" i="120" s="1"/>
  <c r="T32" i="120"/>
  <c r="T328" i="120"/>
  <c r="BB32" i="120"/>
  <c r="BB328" i="120"/>
  <c r="S208" i="120"/>
  <c r="S188" i="120" s="1"/>
  <c r="S210" i="120"/>
  <c r="S215" i="120" s="1"/>
  <c r="AB34" i="120"/>
  <c r="AB330" i="120"/>
  <c r="T129" i="120"/>
  <c r="T109" i="120" s="1"/>
  <c r="T131" i="120"/>
  <c r="T136" i="120" s="1"/>
  <c r="R32" i="120"/>
  <c r="R328" i="120"/>
  <c r="AM335" i="120"/>
  <c r="H34" i="120"/>
  <c r="H330" i="120"/>
  <c r="H341" i="120" s="1"/>
  <c r="BI330" i="120"/>
  <c r="N210" i="120"/>
  <c r="N215" i="120" s="1"/>
  <c r="N208" i="120"/>
  <c r="N188" i="120" s="1"/>
  <c r="AY32" i="120"/>
  <c r="AY328" i="120"/>
  <c r="X210" i="120"/>
  <c r="X215" i="120" s="1"/>
  <c r="X208" i="120"/>
  <c r="X188" i="120" s="1"/>
  <c r="AX34" i="120"/>
  <c r="AX330" i="120"/>
  <c r="AX341" i="120" s="1"/>
  <c r="AZ32" i="120"/>
  <c r="AZ328" i="120"/>
  <c r="V34" i="120"/>
  <c r="V330" i="120"/>
  <c r="V341" i="120" s="1"/>
  <c r="CA23" i="117"/>
  <c r="CB43" i="117"/>
  <c r="CA43" i="117"/>
  <c r="CB24" i="117"/>
  <c r="CB58" i="117" s="1"/>
  <c r="CC43" i="117"/>
  <c r="CC48" i="117" s="1"/>
  <c r="CA25" i="117"/>
  <c r="CC24" i="117"/>
  <c r="CC58" i="117" s="1"/>
  <c r="CB45" i="117"/>
  <c r="CB25" i="117"/>
  <c r="CA45" i="117"/>
  <c r="CC24" i="67"/>
  <c r="CC58" i="67" s="1"/>
  <c r="CC48" i="119"/>
  <c r="CC48" i="118"/>
  <c r="CC24" i="119"/>
  <c r="CC58" i="119" s="1"/>
  <c r="CC24" i="118"/>
  <c r="CC58" i="118" s="1"/>
  <c r="CC17" i="118"/>
  <c r="CC17" i="117"/>
  <c r="BZ37" i="119"/>
  <c r="CC25" i="119"/>
  <c r="CC59" i="119" s="1"/>
  <c r="CB17" i="119"/>
  <c r="CC19" i="119"/>
  <c r="BZ17" i="119"/>
  <c r="CC23" i="119"/>
  <c r="CC57" i="119" s="1"/>
  <c r="BZ43" i="119"/>
  <c r="BZ45" i="119"/>
  <c r="BZ23" i="119"/>
  <c r="CC39" i="119"/>
  <c r="BZ25" i="119"/>
  <c r="CC40" i="119"/>
  <c r="BZ24" i="119"/>
  <c r="BZ58" i="119" s="1"/>
  <c r="CA17" i="119"/>
  <c r="CR6" i="119"/>
  <c r="CC25" i="118"/>
  <c r="CC59" i="118" s="1"/>
  <c r="CB17" i="118"/>
  <c r="CC19" i="118"/>
  <c r="CB40" i="118"/>
  <c r="BZ17" i="118"/>
  <c r="CC23" i="118"/>
  <c r="CC57" i="118" s="1"/>
  <c r="BZ43" i="118"/>
  <c r="BZ45" i="118"/>
  <c r="BZ23" i="118"/>
  <c r="CC39" i="118"/>
  <c r="BZ25" i="118"/>
  <c r="CC40" i="118"/>
  <c r="BZ24" i="118"/>
  <c r="BZ58" i="118" s="1"/>
  <c r="CA17" i="118"/>
  <c r="CA20" i="118"/>
  <c r="CA40" i="118"/>
  <c r="BZ37" i="118"/>
  <c r="CQ6" i="118"/>
  <c r="CC19" i="117"/>
  <c r="BZ17" i="117"/>
  <c r="CC23" i="117"/>
  <c r="BZ43" i="117"/>
  <c r="CE44" i="67"/>
  <c r="CA17" i="117"/>
  <c r="BZ45" i="117"/>
  <c r="BZ23" i="117"/>
  <c r="CC39" i="117"/>
  <c r="BZ25" i="117"/>
  <c r="CC40" i="117"/>
  <c r="BZ24" i="117"/>
  <c r="BZ58" i="117" s="1"/>
  <c r="BZ37" i="117"/>
  <c r="CC25" i="117"/>
  <c r="CC59" i="117" s="1"/>
  <c r="CB17" i="117"/>
  <c r="CR6" i="117"/>
  <c r="BZ24" i="67"/>
  <c r="BZ58" i="67" s="1"/>
  <c r="CA25" i="67"/>
  <c r="CC23" i="67"/>
  <c r="CB25" i="67"/>
  <c r="CB9" i="67"/>
  <c r="CA9" i="67"/>
  <c r="CC9" i="67"/>
  <c r="CD9" i="67"/>
  <c r="CE43" i="67"/>
  <c r="CF13" i="67"/>
  <c r="CD45" i="67"/>
  <c r="CC43" i="67"/>
  <c r="CA43" i="67"/>
  <c r="CB45" i="67"/>
  <c r="CE11" i="67"/>
  <c r="CB20" i="67"/>
  <c r="CE12" i="67"/>
  <c r="CC25" i="67"/>
  <c r="CE10" i="67"/>
  <c r="CE45" i="67"/>
  <c r="CD43" i="67"/>
  <c r="CC45" i="67"/>
  <c r="CA45" i="67"/>
  <c r="J12" i="77"/>
  <c r="J15" i="77"/>
  <c r="J13" i="77"/>
  <c r="J14" i="77"/>
  <c r="BZ23" i="67"/>
  <c r="CG6" i="67"/>
  <c r="N108" i="125"/>
  <c r="BA188" i="125"/>
  <c r="BF187" i="125"/>
  <c r="BF249" i="125"/>
  <c r="I267" i="125"/>
  <c r="BC109" i="125"/>
  <c r="L262" i="125"/>
  <c r="K109" i="125"/>
  <c r="AQ109" i="125"/>
  <c r="M27" i="125"/>
  <c r="BE185" i="125"/>
  <c r="M227" i="125" a="1"/>
  <c r="AT267" i="125"/>
  <c r="BZ20" i="118" a="1"/>
  <c r="AV109" i="125"/>
  <c r="AR188" i="125"/>
  <c r="AO188" i="125"/>
  <c r="AQ188" i="125"/>
  <c r="I109" i="125"/>
  <c r="AO267" i="125"/>
  <c r="BE70" i="125" a="1"/>
  <c r="AV267" i="125"/>
  <c r="AY267" i="125"/>
  <c r="CC40" i="67" a="1"/>
  <c r="BB188" i="125"/>
  <c r="BE26" i="125"/>
  <c r="M307" i="125" a="1"/>
  <c r="BE264" i="125"/>
  <c r="BD183" i="125"/>
  <c r="BE95" i="125"/>
  <c r="N207" i="125"/>
  <c r="BF49" i="125"/>
  <c r="BE106" i="125"/>
  <c r="AZ267" i="125"/>
  <c r="CD23" i="67" a="1"/>
  <c r="AO109" i="125"/>
  <c r="CC20" i="67" a="1"/>
  <c r="J188" i="125"/>
  <c r="BE307" i="125" a="1"/>
  <c r="BF170" i="125"/>
  <c r="CF44" i="67" a="1"/>
  <c r="M105" i="125"/>
  <c r="J267" i="125"/>
  <c r="N12" i="125"/>
  <c r="BC267" i="125"/>
  <c r="CG13" i="67" a="1"/>
  <c r="AX109" i="125"/>
  <c r="N286" i="125"/>
  <c r="BE105" i="125"/>
  <c r="CA20" i="117" a="1"/>
  <c r="AP188" i="125"/>
  <c r="BF286" i="125"/>
  <c r="BZ40" i="117" a="1"/>
  <c r="AZ109" i="125"/>
  <c r="AS109" i="125"/>
  <c r="CB40" i="119" a="1"/>
  <c r="M149" i="125" a="1"/>
  <c r="BF128" i="125"/>
  <c r="AS267" i="125"/>
  <c r="L183" i="125"/>
  <c r="J109" i="125"/>
  <c r="M253" i="125"/>
  <c r="N91" i="125"/>
  <c r="AM188" i="125"/>
  <c r="AU188" i="125"/>
  <c r="BZ20" i="117" a="1"/>
  <c r="BF91" i="125"/>
  <c r="M184" i="125"/>
  <c r="N128" i="125"/>
  <c r="AX188" i="125"/>
  <c r="BE227" i="125" a="1"/>
  <c r="AY188" i="125"/>
  <c r="CE40" i="67" a="1"/>
  <c r="CA40" i="119" a="1"/>
  <c r="CF10" i="67" a="1"/>
  <c r="M306" i="125" a="1"/>
  <c r="BF266" i="125"/>
  <c r="AR109" i="125"/>
  <c r="BE253" i="125"/>
  <c r="BD262" i="125"/>
  <c r="AW109" i="125"/>
  <c r="CB20" i="119" a="1"/>
  <c r="BB109" i="125"/>
  <c r="AQ267" i="125"/>
  <c r="CE9" i="67" a="1"/>
  <c r="CA40" i="117" a="1"/>
  <c r="M16" i="125"/>
  <c r="BE148" i="125" a="1"/>
  <c r="AW267" i="125"/>
  <c r="CC20" i="119" a="1"/>
  <c r="N249" i="125"/>
  <c r="AR267" i="125"/>
  <c r="CA20" i="67" a="1"/>
  <c r="L25" i="125"/>
  <c r="M185" i="125"/>
  <c r="M263" i="125"/>
  <c r="BZ20" i="119" a="1"/>
  <c r="BE263" i="125"/>
  <c r="BD25" i="125"/>
  <c r="M106" i="125"/>
  <c r="CA20" i="119" a="1"/>
  <c r="AT109" i="125"/>
  <c r="AX267" i="125"/>
  <c r="CB20" i="117" a="1"/>
  <c r="BE174" i="125"/>
  <c r="BE228" i="125" a="1"/>
  <c r="BE149" i="125" a="1"/>
  <c r="N29" i="125"/>
  <c r="BE16" i="125"/>
  <c r="AP109" i="125"/>
  <c r="M148" i="125" a="1"/>
  <c r="CB40" i="67" a="1"/>
  <c r="AM267" i="125"/>
  <c r="BZ40" i="118" a="1"/>
  <c r="AU267" i="125"/>
  <c r="BE306" i="125" a="1"/>
  <c r="AU109" i="125"/>
  <c r="K188" i="125"/>
  <c r="BA267" i="125"/>
  <c r="BF29" i="125"/>
  <c r="AZ188" i="125"/>
  <c r="N266" i="125"/>
  <c r="M69" i="125" a="1"/>
  <c r="BF207" i="125"/>
  <c r="BD104" i="125"/>
  <c r="CA40" i="67" a="1"/>
  <c r="N49" i="125"/>
  <c r="AV188" i="125"/>
  <c r="BF12" i="125"/>
  <c r="CC20" i="118" a="1"/>
  <c r="CD24" i="67" a="1"/>
  <c r="CB20" i="118" a="1"/>
  <c r="CD40" i="67" a="1"/>
  <c r="BB267" i="125"/>
  <c r="CF40" i="67" a="1"/>
  <c r="CF12" i="67" a="1"/>
  <c r="M174" i="125"/>
  <c r="CF11" i="67" a="1"/>
  <c r="M95" i="125"/>
  <c r="AW188" i="125"/>
  <c r="BF108" i="125"/>
  <c r="BE69" i="125" a="1"/>
  <c r="BZ40" i="119" a="1"/>
  <c r="CC20" i="117" a="1"/>
  <c r="BA109" i="125"/>
  <c r="BE27" i="125"/>
  <c r="M26" i="125"/>
  <c r="AP267" i="125"/>
  <c r="M228" i="125" a="1"/>
  <c r="K267" i="125"/>
  <c r="AM109" i="125"/>
  <c r="N187" i="125"/>
  <c r="N170" i="125"/>
  <c r="L104" i="125"/>
  <c r="AT188" i="125"/>
  <c r="CF43" i="67" a="1"/>
  <c r="AY109" i="125"/>
  <c r="M70" i="125" a="1"/>
  <c r="I188" i="125"/>
  <c r="CF45" i="67" a="1"/>
  <c r="AS188" i="125"/>
  <c r="CB40" i="117" a="1"/>
  <c r="BC188" i="125"/>
  <c r="M264" i="125"/>
  <c r="BZ25" i="67" a="1"/>
  <c r="BE184" i="125"/>
  <c r="Z341" i="120" l="1"/>
  <c r="AB289" i="120"/>
  <c r="AA294" i="126"/>
  <c r="BC205" i="125"/>
  <c r="AI337" i="126"/>
  <c r="BO337" i="126"/>
  <c r="CA48" i="119"/>
  <c r="AZ297" i="120"/>
  <c r="AZ312" i="120"/>
  <c r="AZ320" i="120" s="1"/>
  <c r="AZ311" i="120"/>
  <c r="AZ309" i="120"/>
  <c r="BB341" i="125"/>
  <c r="K47" i="125"/>
  <c r="K215" i="125"/>
  <c r="K231" i="125" s="1"/>
  <c r="AB287" i="124"/>
  <c r="AB267" i="124" s="1"/>
  <c r="BH208" i="124"/>
  <c r="BH188" i="124" s="1"/>
  <c r="AC208" i="126"/>
  <c r="AC188" i="126" s="1"/>
  <c r="CA28" i="119"/>
  <c r="Z294" i="124"/>
  <c r="Z297" i="124" s="1"/>
  <c r="J341" i="125"/>
  <c r="BC294" i="125"/>
  <c r="BC296" i="125" s="1"/>
  <c r="L289" i="125"/>
  <c r="AQ231" i="126"/>
  <c r="AQ237" i="126" s="1"/>
  <c r="BC335" i="125"/>
  <c r="BC136" i="125"/>
  <c r="BC138" i="125" s="1"/>
  <c r="BI271" i="126"/>
  <c r="K152" i="126"/>
  <c r="K158" i="126" s="1"/>
  <c r="CA48" i="118"/>
  <c r="K152" i="124"/>
  <c r="BI192" i="126"/>
  <c r="BC126" i="125"/>
  <c r="BD289" i="125"/>
  <c r="CA28" i="118"/>
  <c r="CA59" i="118"/>
  <c r="CB59" i="118"/>
  <c r="L208" i="125"/>
  <c r="AC287" i="126"/>
  <c r="AC267" i="126" s="1"/>
  <c r="CB28" i="67"/>
  <c r="AB294" i="124"/>
  <c r="AB312" i="124" s="1"/>
  <c r="AB321" i="124" s="1"/>
  <c r="K205" i="125"/>
  <c r="BD287" i="125"/>
  <c r="BC334" i="125"/>
  <c r="BC339" i="125" s="1"/>
  <c r="K334" i="125"/>
  <c r="K339" i="125" s="1"/>
  <c r="BC284" i="125"/>
  <c r="CA57" i="119"/>
  <c r="AB47" i="126"/>
  <c r="BK101" i="126"/>
  <c r="BK112" i="126" s="1"/>
  <c r="BK259" i="126"/>
  <c r="BK270" i="126" s="1"/>
  <c r="BK180" i="126"/>
  <c r="BK191" i="126" s="1"/>
  <c r="CA28" i="67"/>
  <c r="BC215" i="125"/>
  <c r="BC232" i="125" s="1"/>
  <c r="CA57" i="67"/>
  <c r="AC269" i="124"/>
  <c r="AQ310" i="125"/>
  <c r="AQ317" i="125" s="1"/>
  <c r="BH136" i="126"/>
  <c r="BH139" i="126" s="1"/>
  <c r="BD129" i="125"/>
  <c r="BG341" i="126"/>
  <c r="L203" i="125"/>
  <c r="AB333" i="126"/>
  <c r="AC334" i="126"/>
  <c r="AC339" i="126" s="1"/>
  <c r="BD210" i="125"/>
  <c r="BD45" i="125"/>
  <c r="AQ152" i="126"/>
  <c r="AQ159" i="126" s="1"/>
  <c r="K136" i="125"/>
  <c r="K152" i="125" s="1"/>
  <c r="BI334" i="126"/>
  <c r="BI339" i="126" s="1"/>
  <c r="BD131" i="125"/>
  <c r="AC284" i="126"/>
  <c r="BJ190" i="126"/>
  <c r="BJ210" i="126" s="1"/>
  <c r="BD208" i="125"/>
  <c r="BD46" i="125"/>
  <c r="BD54" i="125" s="1"/>
  <c r="AB54" i="126"/>
  <c r="AB335" i="126"/>
  <c r="BJ132" i="126"/>
  <c r="J158" i="126"/>
  <c r="J159" i="126"/>
  <c r="J316" i="126"/>
  <c r="J317" i="126"/>
  <c r="J237" i="126"/>
  <c r="J238" i="126"/>
  <c r="L53" i="125"/>
  <c r="R218" i="126"/>
  <c r="R217" i="126"/>
  <c r="R230" i="126"/>
  <c r="R233" i="126"/>
  <c r="R232" i="126"/>
  <c r="U217" i="126"/>
  <c r="U218" i="126"/>
  <c r="U230" i="126"/>
  <c r="U232" i="126"/>
  <c r="U233" i="126"/>
  <c r="AN331" i="126"/>
  <c r="AN339" i="126"/>
  <c r="BI294" i="126"/>
  <c r="AC126" i="126"/>
  <c r="AC44" i="126"/>
  <c r="AC333" i="126" s="1"/>
  <c r="G231" i="125"/>
  <c r="G232" i="125"/>
  <c r="G233" i="125"/>
  <c r="G217" i="125"/>
  <c r="G230" i="125"/>
  <c r="G218" i="125"/>
  <c r="AN210" i="126"/>
  <c r="AN208" i="126"/>
  <c r="BI126" i="126"/>
  <c r="J52" i="126"/>
  <c r="J57" i="126" s="1"/>
  <c r="J50" i="126"/>
  <c r="J30" i="126" s="1"/>
  <c r="AS52" i="126"/>
  <c r="AS57" i="126" s="1"/>
  <c r="AS50" i="126"/>
  <c r="AS30" i="126" s="1"/>
  <c r="X218" i="126"/>
  <c r="X217" i="126"/>
  <c r="X230" i="126"/>
  <c r="X233" i="126"/>
  <c r="X232" i="126"/>
  <c r="G296" i="125"/>
  <c r="G309" i="125"/>
  <c r="G297" i="125"/>
  <c r="G312" i="125"/>
  <c r="G311" i="125"/>
  <c r="G310" i="125"/>
  <c r="H290" i="126"/>
  <c r="AA218" i="126"/>
  <c r="AA217" i="126"/>
  <c r="AA230" i="126"/>
  <c r="AA232" i="126"/>
  <c r="AA233" i="126"/>
  <c r="AN287" i="126"/>
  <c r="AN289" i="126"/>
  <c r="M139" i="126"/>
  <c r="M138" i="126"/>
  <c r="M151" i="126"/>
  <c r="M153" i="126"/>
  <c r="M154" i="126"/>
  <c r="AP217" i="126"/>
  <c r="AP218" i="126"/>
  <c r="AP230" i="126"/>
  <c r="AP233" i="126"/>
  <c r="AP232" i="126"/>
  <c r="AO339" i="126"/>
  <c r="AO342" i="126" s="1"/>
  <c r="AO331" i="126"/>
  <c r="BJ45" i="126"/>
  <c r="BJ25" i="126"/>
  <c r="BJ34" i="126" s="1"/>
  <c r="AY339" i="126"/>
  <c r="AY342" i="126" s="1"/>
  <c r="AY331" i="126"/>
  <c r="AQ339" i="126"/>
  <c r="AQ342" i="126" s="1"/>
  <c r="AQ331" i="126"/>
  <c r="BE139" i="126"/>
  <c r="BE138" i="126"/>
  <c r="BE151" i="126"/>
  <c r="BE154" i="126"/>
  <c r="BE153" i="126"/>
  <c r="AX331" i="126"/>
  <c r="AX339" i="126"/>
  <c r="AX342" i="126" s="1"/>
  <c r="BA52" i="126"/>
  <c r="BA57" i="126" s="1"/>
  <c r="BA50" i="126"/>
  <c r="BA30" i="126" s="1"/>
  <c r="Y52" i="126"/>
  <c r="Y57" i="126" s="1"/>
  <c r="Y50" i="126"/>
  <c r="Y30" i="126" s="1"/>
  <c r="BB139" i="126"/>
  <c r="BB138" i="126"/>
  <c r="BB151" i="126"/>
  <c r="BB154" i="126"/>
  <c r="BB153" i="126"/>
  <c r="AM331" i="125"/>
  <c r="AM339" i="125"/>
  <c r="V50" i="126"/>
  <c r="V30" i="126" s="1"/>
  <c r="V52" i="126"/>
  <c r="V57" i="126" s="1"/>
  <c r="BA296" i="126"/>
  <c r="BA297" i="126"/>
  <c r="BA309" i="126"/>
  <c r="BA311" i="126"/>
  <c r="BA312" i="126"/>
  <c r="AE106" i="126"/>
  <c r="AE148" i="126" a="1"/>
  <c r="AE148" i="126" s="1"/>
  <c r="AE105" i="126"/>
  <c r="AE95" i="126"/>
  <c r="AE96" i="126" s="1"/>
  <c r="AE149" i="126" a="1"/>
  <c r="AE149" i="126" s="1"/>
  <c r="AE102" i="126"/>
  <c r="AE260" i="126"/>
  <c r="BK21" i="126"/>
  <c r="BK42" i="126"/>
  <c r="AQ139" i="126"/>
  <c r="AQ138" i="126"/>
  <c r="AQ151" i="126"/>
  <c r="AQ154" i="126"/>
  <c r="AQ153" i="126"/>
  <c r="AP231" i="126"/>
  <c r="W50" i="126"/>
  <c r="W30" i="126" s="1"/>
  <c r="W52" i="126"/>
  <c r="W57" i="126" s="1"/>
  <c r="AN132" i="126"/>
  <c r="L139" i="126"/>
  <c r="L138" i="126"/>
  <c r="L151" i="126"/>
  <c r="L154" i="126"/>
  <c r="L153" i="126"/>
  <c r="Y218" i="126"/>
  <c r="Y217" i="126"/>
  <c r="Y233" i="126"/>
  <c r="Y232" i="126"/>
  <c r="Y230" i="126"/>
  <c r="AD96" i="126"/>
  <c r="AD125" i="126" s="1"/>
  <c r="AC294" i="126"/>
  <c r="BI210" i="126"/>
  <c r="BI215" i="126" s="1"/>
  <c r="BI208" i="126"/>
  <c r="BI188" i="126" s="1"/>
  <c r="AP139" i="126"/>
  <c r="AP138" i="126"/>
  <c r="AP151" i="126"/>
  <c r="AP153" i="126"/>
  <c r="AP154" i="126"/>
  <c r="U139" i="126"/>
  <c r="U138" i="126"/>
  <c r="U151" i="126"/>
  <c r="U154" i="126"/>
  <c r="U153" i="126"/>
  <c r="AN50" i="126"/>
  <c r="AN52" i="126"/>
  <c r="H129" i="126"/>
  <c r="H131" i="126"/>
  <c r="AD283" i="126"/>
  <c r="AD291" i="126" s="1"/>
  <c r="L217" i="126"/>
  <c r="L218" i="126"/>
  <c r="L230" i="126"/>
  <c r="L233" i="126"/>
  <c r="L232" i="126"/>
  <c r="AM312" i="125"/>
  <c r="AM309" i="125"/>
  <c r="AM297" i="125"/>
  <c r="AM296" i="125"/>
  <c r="AM310" i="125"/>
  <c r="AM311" i="125"/>
  <c r="BA139" i="126"/>
  <c r="BA138" i="126"/>
  <c r="BA151" i="126"/>
  <c r="BA154" i="126"/>
  <c r="BA153" i="126"/>
  <c r="T339" i="126"/>
  <c r="T342" i="126" s="1"/>
  <c r="T331" i="126"/>
  <c r="AD183" i="126"/>
  <c r="AD192" i="126" s="1"/>
  <c r="BJ33" i="126"/>
  <c r="BJ53" i="126" s="1"/>
  <c r="BJ329" i="126"/>
  <c r="BJ340" i="126" s="1"/>
  <c r="AY139" i="126"/>
  <c r="AY138" i="126"/>
  <c r="AY151" i="126"/>
  <c r="AY153" i="126"/>
  <c r="AY154" i="126"/>
  <c r="BD297" i="126"/>
  <c r="BD296" i="126"/>
  <c r="BD309" i="126"/>
  <c r="BD312" i="126"/>
  <c r="BD311" i="126"/>
  <c r="O339" i="126"/>
  <c r="O342" i="126" s="1"/>
  <c r="O331" i="126"/>
  <c r="AC331" i="126"/>
  <c r="Q218" i="126"/>
  <c r="Q217" i="126"/>
  <c r="Q230" i="126"/>
  <c r="Q232" i="126"/>
  <c r="Q233" i="126"/>
  <c r="AB331" i="126"/>
  <c r="AB339" i="126"/>
  <c r="BJ111" i="126"/>
  <c r="H339" i="126"/>
  <c r="H331" i="126"/>
  <c r="Z138" i="126"/>
  <c r="Z139" i="126"/>
  <c r="Z151" i="126"/>
  <c r="Z154" i="126"/>
  <c r="Z153" i="126"/>
  <c r="BH126" i="126"/>
  <c r="AO50" i="126"/>
  <c r="AO30" i="126" s="1"/>
  <c r="AO52" i="126"/>
  <c r="AO57" i="126" s="1"/>
  <c r="AD46" i="126"/>
  <c r="AD54" i="126" s="1"/>
  <c r="AY50" i="126"/>
  <c r="AY30" i="126" s="1"/>
  <c r="AY52" i="126"/>
  <c r="AY57" i="126" s="1"/>
  <c r="AQ50" i="126"/>
  <c r="AQ30" i="126" s="1"/>
  <c r="AQ52" i="126"/>
  <c r="AQ57" i="126" s="1"/>
  <c r="AQ73" i="126" s="1"/>
  <c r="AU296" i="126"/>
  <c r="AU297" i="126"/>
  <c r="AU309" i="126"/>
  <c r="AU311" i="126"/>
  <c r="AU312" i="126"/>
  <c r="AX50" i="126"/>
  <c r="AX30" i="126" s="1"/>
  <c r="AX52" i="126"/>
  <c r="AX57" i="126" s="1"/>
  <c r="AS218" i="126"/>
  <c r="AS217" i="126"/>
  <c r="AS230" i="126"/>
  <c r="AS233" i="126"/>
  <c r="AS232" i="126"/>
  <c r="P339" i="126"/>
  <c r="P342" i="126" s="1"/>
  <c r="P331" i="126"/>
  <c r="BI136" i="126"/>
  <c r="BB218" i="126"/>
  <c r="BB217" i="126"/>
  <c r="BB230" i="126"/>
  <c r="BB233" i="126"/>
  <c r="BB232" i="126"/>
  <c r="AE26" i="126"/>
  <c r="AE69" i="126" a="1"/>
  <c r="AE69" i="126" s="1"/>
  <c r="AE27" i="126"/>
  <c r="AE70" i="126" a="1"/>
  <c r="AE70" i="126" s="1"/>
  <c r="AE16" i="126"/>
  <c r="AE17" i="126" s="1"/>
  <c r="BK148" i="126" a="1"/>
  <c r="BK148" i="126" s="1"/>
  <c r="BK105" i="126"/>
  <c r="BK149" i="126" a="1"/>
  <c r="BK149" i="126" s="1"/>
  <c r="BK95" i="126"/>
  <c r="BK96" i="126" s="1"/>
  <c r="BK132" i="126" s="1"/>
  <c r="BK106" i="126"/>
  <c r="BK23" i="126"/>
  <c r="BH331" i="126"/>
  <c r="BG218" i="126"/>
  <c r="BG217" i="126"/>
  <c r="BG233" i="126"/>
  <c r="BG230" i="126"/>
  <c r="BG232" i="126"/>
  <c r="AC271" i="126"/>
  <c r="R339" i="126"/>
  <c r="R342" i="126" s="1"/>
  <c r="R331" i="126"/>
  <c r="N339" i="126"/>
  <c r="N342" i="126" s="1"/>
  <c r="N331" i="126"/>
  <c r="H341" i="126"/>
  <c r="AD33" i="126"/>
  <c r="AD53" i="126" s="1"/>
  <c r="AD329" i="126"/>
  <c r="AD340" i="126" s="1"/>
  <c r="K139" i="126"/>
  <c r="K138" i="126"/>
  <c r="K151" i="126"/>
  <c r="K154" i="126"/>
  <c r="K153" i="126"/>
  <c r="AR11" i="126"/>
  <c r="AR68" i="126" s="1"/>
  <c r="L11" i="126"/>
  <c r="L68" i="126" s="1"/>
  <c r="AA296" i="126"/>
  <c r="AA297" i="126"/>
  <c r="AA311" i="126"/>
  <c r="AA312" i="126"/>
  <c r="AA309" i="126"/>
  <c r="Y139" i="126"/>
  <c r="Y138" i="126"/>
  <c r="Y151" i="126"/>
  <c r="Y153" i="126"/>
  <c r="Y154" i="126"/>
  <c r="BC139" i="126"/>
  <c r="BC138" i="126"/>
  <c r="BC151" i="126"/>
  <c r="BC153" i="126"/>
  <c r="BC154" i="126"/>
  <c r="L297" i="126"/>
  <c r="L296" i="126"/>
  <c r="L309" i="126"/>
  <c r="L311" i="126"/>
  <c r="L312" i="126"/>
  <c r="AV297" i="126"/>
  <c r="AV296" i="126"/>
  <c r="AV309" i="126"/>
  <c r="AV312" i="126"/>
  <c r="AV311" i="126"/>
  <c r="K296" i="126"/>
  <c r="K297" i="126"/>
  <c r="K309" i="126"/>
  <c r="K312" i="126"/>
  <c r="K311" i="126"/>
  <c r="Q339" i="126"/>
  <c r="Q342" i="126" s="1"/>
  <c r="Q331" i="126"/>
  <c r="AS296" i="126"/>
  <c r="AS297" i="126"/>
  <c r="AS309" i="126"/>
  <c r="AS311" i="126"/>
  <c r="AS312" i="126"/>
  <c r="AR339" i="126"/>
  <c r="AR342" i="126" s="1"/>
  <c r="AR331" i="126"/>
  <c r="N139" i="126"/>
  <c r="N138" i="126"/>
  <c r="N151" i="126"/>
  <c r="N154" i="126"/>
  <c r="N153" i="126"/>
  <c r="AU218" i="126"/>
  <c r="AU217" i="126"/>
  <c r="AU230" i="126"/>
  <c r="AU233" i="126"/>
  <c r="AU232" i="126"/>
  <c r="AQ310" i="126"/>
  <c r="AT296" i="126"/>
  <c r="AT297" i="126"/>
  <c r="AT309" i="126"/>
  <c r="AT311" i="126"/>
  <c r="AT312" i="126"/>
  <c r="T50" i="126"/>
  <c r="T30" i="126" s="1"/>
  <c r="T52" i="126"/>
  <c r="T57" i="126" s="1"/>
  <c r="BJ124" i="126"/>
  <c r="BJ104" i="126"/>
  <c r="BJ123" i="126" s="1"/>
  <c r="O50" i="126"/>
  <c r="O30" i="126" s="1"/>
  <c r="O52" i="126"/>
  <c r="O57" i="126" s="1"/>
  <c r="AC50" i="126"/>
  <c r="AC30" i="126" s="1"/>
  <c r="AC52" i="126"/>
  <c r="AC57" i="126" s="1"/>
  <c r="I339" i="126"/>
  <c r="I342" i="126" s="1"/>
  <c r="I331" i="126"/>
  <c r="AN341" i="126"/>
  <c r="AB50" i="126"/>
  <c r="AB30" i="126" s="1"/>
  <c r="AB52" i="126"/>
  <c r="H50" i="126"/>
  <c r="H52" i="126"/>
  <c r="K218" i="126"/>
  <c r="K217" i="126"/>
  <c r="K230" i="126"/>
  <c r="K232" i="126"/>
  <c r="K233" i="126"/>
  <c r="AY297" i="126"/>
  <c r="AY296" i="126"/>
  <c r="AY309" i="126"/>
  <c r="AY311" i="126"/>
  <c r="AY312" i="126"/>
  <c r="Q139" i="126"/>
  <c r="Q138" i="126"/>
  <c r="Q151" i="126"/>
  <c r="Q154" i="126"/>
  <c r="Q153" i="126"/>
  <c r="M217" i="126"/>
  <c r="M218" i="126"/>
  <c r="M230" i="126"/>
  <c r="M233" i="126"/>
  <c r="M232" i="126"/>
  <c r="BE297" i="126"/>
  <c r="BE296" i="126"/>
  <c r="BE312" i="126"/>
  <c r="BE309" i="126"/>
  <c r="BE311" i="126"/>
  <c r="BJ269" i="126"/>
  <c r="T217" i="126"/>
  <c r="T218" i="126"/>
  <c r="T230" i="126"/>
  <c r="T232" i="126"/>
  <c r="T233" i="126"/>
  <c r="AC113" i="126"/>
  <c r="BI331" i="126"/>
  <c r="P138" i="126"/>
  <c r="P139" i="126"/>
  <c r="P151" i="126"/>
  <c r="P153" i="126"/>
  <c r="P154" i="126"/>
  <c r="P50" i="126"/>
  <c r="P30" i="126" s="1"/>
  <c r="P52" i="126"/>
  <c r="P57" i="126" s="1"/>
  <c r="AA341" i="126"/>
  <c r="AX217" i="126"/>
  <c r="AX218" i="126"/>
  <c r="AX230" i="126"/>
  <c r="AX232" i="126"/>
  <c r="AX233" i="126"/>
  <c r="V297" i="126"/>
  <c r="V296" i="126"/>
  <c r="V309" i="126"/>
  <c r="V312" i="126"/>
  <c r="V311" i="126"/>
  <c r="AE306" i="126" a="1"/>
  <c r="AE306" i="126" s="1"/>
  <c r="AE264" i="126"/>
  <c r="AE307" i="126" a="1"/>
  <c r="AE307" i="126" s="1"/>
  <c r="AE263" i="126"/>
  <c r="AE253" i="126"/>
  <c r="AE254" i="126" s="1"/>
  <c r="AE42" i="126"/>
  <c r="AE66" i="126" s="1"/>
  <c r="AE21" i="126"/>
  <c r="AE180" i="126"/>
  <c r="AE259" i="126"/>
  <c r="AE270" i="126" s="1"/>
  <c r="BK16" i="126"/>
  <c r="BK17" i="126" s="1"/>
  <c r="BK69" i="126" a="1"/>
  <c r="BK69" i="126" s="1"/>
  <c r="BK26" i="126"/>
  <c r="BK27" i="126"/>
  <c r="BK70" i="126" a="1"/>
  <c r="BK70" i="126" s="1"/>
  <c r="BK135" i="126"/>
  <c r="BK279" i="126"/>
  <c r="BK258" i="126"/>
  <c r="AW297" i="126"/>
  <c r="AW296" i="126"/>
  <c r="AW309" i="126"/>
  <c r="AW312" i="126"/>
  <c r="AW311" i="126"/>
  <c r="BH50" i="126"/>
  <c r="BH30" i="126" s="1"/>
  <c r="BH52" i="126"/>
  <c r="R52" i="126"/>
  <c r="R57" i="126" s="1"/>
  <c r="R50" i="126"/>
  <c r="R30" i="126" s="1"/>
  <c r="N50" i="126"/>
  <c r="N30" i="126" s="1"/>
  <c r="N52" i="126"/>
  <c r="N57" i="126" s="1"/>
  <c r="AR139" i="126"/>
  <c r="AR138" i="126"/>
  <c r="AR151" i="126"/>
  <c r="AR154" i="126"/>
  <c r="AR153" i="126"/>
  <c r="BH218" i="126"/>
  <c r="BH217" i="126"/>
  <c r="BH230" i="126"/>
  <c r="BH233" i="126"/>
  <c r="BH232" i="126"/>
  <c r="AQ218" i="126"/>
  <c r="AQ217" i="126"/>
  <c r="AQ230" i="126"/>
  <c r="AQ233" i="126"/>
  <c r="AQ232" i="126"/>
  <c r="O297" i="126"/>
  <c r="O296" i="126"/>
  <c r="O309" i="126"/>
  <c r="O311" i="126"/>
  <c r="O312" i="126"/>
  <c r="AR169" i="126"/>
  <c r="AR226" i="126" s="1"/>
  <c r="AR231" i="126" s="1"/>
  <c r="L169" i="126"/>
  <c r="L226" i="126" s="1"/>
  <c r="L231" i="126" s="1"/>
  <c r="BJ260" i="120"/>
  <c r="L210" i="125"/>
  <c r="L287" i="125"/>
  <c r="AC335" i="126"/>
  <c r="Q296" i="126"/>
  <c r="Q297" i="126"/>
  <c r="Q309" i="126"/>
  <c r="Q312" i="126"/>
  <c r="Q311" i="126"/>
  <c r="BF339" i="126"/>
  <c r="BF342" i="126" s="1"/>
  <c r="BF331" i="126"/>
  <c r="Q52" i="126"/>
  <c r="Q57" i="126" s="1"/>
  <c r="Q50" i="126"/>
  <c r="Q30" i="126" s="1"/>
  <c r="BJ282" i="126"/>
  <c r="BJ262" i="126"/>
  <c r="BJ281" i="126" s="1"/>
  <c r="AR50" i="126"/>
  <c r="AR30" i="126" s="1"/>
  <c r="AR52" i="126"/>
  <c r="AR57" i="126" s="1"/>
  <c r="BC339" i="126"/>
  <c r="BC342" i="126" s="1"/>
  <c r="BC331" i="126"/>
  <c r="K310" i="126"/>
  <c r="Y296" i="126"/>
  <c r="Y297" i="126"/>
  <c r="Y311" i="126"/>
  <c r="Y312" i="126"/>
  <c r="Y309" i="126"/>
  <c r="BD331" i="126"/>
  <c r="BD339" i="126"/>
  <c r="BD342" i="126" s="1"/>
  <c r="BI205" i="126"/>
  <c r="BI335" i="126"/>
  <c r="I52" i="126"/>
  <c r="I57" i="126" s="1"/>
  <c r="I50" i="126"/>
  <c r="I30" i="126" s="1"/>
  <c r="AZ138" i="126"/>
  <c r="AZ139" i="126"/>
  <c r="AZ151" i="126"/>
  <c r="AZ153" i="126"/>
  <c r="AZ154" i="126"/>
  <c r="J138" i="126"/>
  <c r="J139" i="126"/>
  <c r="J151" i="126"/>
  <c r="J153" i="126"/>
  <c r="J154" i="126"/>
  <c r="R138" i="126"/>
  <c r="R139" i="126"/>
  <c r="R151" i="126"/>
  <c r="R154" i="126"/>
  <c r="R153" i="126"/>
  <c r="AN290" i="126"/>
  <c r="O139" i="126"/>
  <c r="O138" i="126"/>
  <c r="O151" i="126"/>
  <c r="O153" i="126"/>
  <c r="O154" i="126"/>
  <c r="BD217" i="126"/>
  <c r="BD218" i="126"/>
  <c r="BD230" i="126"/>
  <c r="BD232" i="126"/>
  <c r="BD233" i="126"/>
  <c r="AM232" i="125"/>
  <c r="AM231" i="125"/>
  <c r="AM217" i="125"/>
  <c r="AM233" i="125"/>
  <c r="AM230" i="125"/>
  <c r="AM218" i="125"/>
  <c r="BI44" i="126"/>
  <c r="BI333" i="126" s="1"/>
  <c r="BI52" i="126"/>
  <c r="BI57" i="126" s="1"/>
  <c r="BI50" i="126"/>
  <c r="BI30" i="126" s="1"/>
  <c r="AC215" i="126"/>
  <c r="X297" i="126"/>
  <c r="X296" i="126"/>
  <c r="X309" i="126"/>
  <c r="X312" i="126"/>
  <c r="X311" i="126"/>
  <c r="I138" i="126"/>
  <c r="I139" i="126"/>
  <c r="I151" i="126"/>
  <c r="I153" i="126"/>
  <c r="I154" i="126"/>
  <c r="I152" i="126"/>
  <c r="AS139" i="126"/>
  <c r="AS138" i="126"/>
  <c r="AS151" i="126"/>
  <c r="AS154" i="126"/>
  <c r="AS153" i="126"/>
  <c r="AW339" i="126"/>
  <c r="AW342" i="126" s="1"/>
  <c r="AW331" i="126"/>
  <c r="AE185" i="126"/>
  <c r="AE227" i="126" a="1"/>
  <c r="AE227" i="126" s="1"/>
  <c r="AE228" i="126" a="1"/>
  <c r="AE228" i="126" s="1"/>
  <c r="AE174" i="126"/>
  <c r="AE175" i="126" s="1"/>
  <c r="AE184" i="126"/>
  <c r="AE23" i="126"/>
  <c r="AE101" i="126"/>
  <c r="BK227" i="126" a="1"/>
  <c r="BK227" i="126" s="1"/>
  <c r="BK184" i="126"/>
  <c r="BK228" i="126" a="1"/>
  <c r="BK228" i="126" s="1"/>
  <c r="BK174" i="126"/>
  <c r="BK175" i="126" s="1"/>
  <c r="BK211" i="126" s="1"/>
  <c r="BK185" i="126"/>
  <c r="BK121" i="126"/>
  <c r="BK145" i="126" s="1"/>
  <c r="BK100" i="126"/>
  <c r="BK260" i="126"/>
  <c r="BI284" i="126"/>
  <c r="AB217" i="126"/>
  <c r="AB218" i="126"/>
  <c r="AB230" i="126"/>
  <c r="AB233" i="126"/>
  <c r="AB232" i="126"/>
  <c r="R296" i="126"/>
  <c r="R297" i="126"/>
  <c r="R309" i="126"/>
  <c r="R312" i="126"/>
  <c r="R311" i="126"/>
  <c r="AP317" i="126"/>
  <c r="AP316" i="126"/>
  <c r="AW138" i="126"/>
  <c r="AW139" i="126"/>
  <c r="AW151" i="126"/>
  <c r="AW153" i="126"/>
  <c r="AW154" i="126"/>
  <c r="BF50" i="126"/>
  <c r="BF30" i="126" s="1"/>
  <c r="BF52" i="126"/>
  <c r="BF57" i="126" s="1"/>
  <c r="BD139" i="126"/>
  <c r="BD138" i="126"/>
  <c r="BD151" i="126"/>
  <c r="BD153" i="126"/>
  <c r="BD154" i="126"/>
  <c r="BA218" i="126"/>
  <c r="BA217" i="126"/>
  <c r="BA230" i="126"/>
  <c r="BA233" i="126"/>
  <c r="BA232" i="126"/>
  <c r="AD282" i="126"/>
  <c r="AD262" i="126"/>
  <c r="AD281" i="126" s="1"/>
  <c r="W139" i="126"/>
  <c r="W138" i="126"/>
  <c r="W151" i="126"/>
  <c r="W154" i="126"/>
  <c r="W153" i="126"/>
  <c r="BC52" i="126"/>
  <c r="BC57" i="126" s="1"/>
  <c r="BC50" i="126"/>
  <c r="BC30" i="126" s="1"/>
  <c r="V139" i="126"/>
  <c r="V138" i="126"/>
  <c r="V151" i="126"/>
  <c r="V153" i="126"/>
  <c r="V154" i="126"/>
  <c r="BB339" i="126"/>
  <c r="BB342" i="126" s="1"/>
  <c r="BB331" i="126"/>
  <c r="BF297" i="126"/>
  <c r="BF296" i="126"/>
  <c r="BF311" i="126"/>
  <c r="BF309" i="126"/>
  <c r="BF312" i="126"/>
  <c r="BE339" i="126"/>
  <c r="BE342" i="126" s="1"/>
  <c r="BE331" i="126"/>
  <c r="AD290" i="126"/>
  <c r="BJ125" i="126"/>
  <c r="BD50" i="126"/>
  <c r="BD30" i="126" s="1"/>
  <c r="BD52" i="126"/>
  <c r="BD57" i="126" s="1"/>
  <c r="BH294" i="126"/>
  <c r="AD104" i="126"/>
  <c r="BJ204" i="126"/>
  <c r="AB297" i="126"/>
  <c r="AB296" i="126"/>
  <c r="AB311" i="126"/>
  <c r="AB312" i="126"/>
  <c r="AB309" i="126"/>
  <c r="AA331" i="126"/>
  <c r="AA339" i="126"/>
  <c r="V217" i="126"/>
  <c r="V218" i="126"/>
  <c r="V230" i="126"/>
  <c r="V232" i="126"/>
  <c r="V233" i="126"/>
  <c r="Z296" i="126"/>
  <c r="Z297" i="126"/>
  <c r="Z312" i="126"/>
  <c r="Z309" i="126"/>
  <c r="Z311" i="126"/>
  <c r="BJ46" i="126"/>
  <c r="BJ54" i="126" s="1"/>
  <c r="AV138" i="126"/>
  <c r="AV139" i="126"/>
  <c r="AV151" i="126"/>
  <c r="AV153" i="126"/>
  <c r="AV154" i="126"/>
  <c r="AZ339" i="126"/>
  <c r="AZ342" i="126" s="1"/>
  <c r="AZ331" i="126"/>
  <c r="BC218" i="126"/>
  <c r="BC217" i="126"/>
  <c r="BC230" i="126"/>
  <c r="BC233" i="126"/>
  <c r="BC232" i="126"/>
  <c r="AW50" i="126"/>
  <c r="AW30" i="126" s="1"/>
  <c r="AW52" i="126"/>
  <c r="AW57" i="126" s="1"/>
  <c r="U339" i="126"/>
  <c r="U342" i="126" s="1"/>
  <c r="U331" i="126"/>
  <c r="L339" i="126"/>
  <c r="L342" i="126" s="1"/>
  <c r="L331" i="126"/>
  <c r="AE135" i="126"/>
  <c r="AJ135" i="126" s="1"/>
  <c r="BK263" i="126"/>
  <c r="BK307" i="126" a="1"/>
  <c r="BK307" i="126" s="1"/>
  <c r="BK264" i="126"/>
  <c r="BK253" i="126"/>
  <c r="BK254" i="126" s="1"/>
  <c r="BK290" i="126" s="1"/>
  <c r="BK306" i="126" a="1"/>
  <c r="BK306" i="126" s="1"/>
  <c r="BK22" i="126"/>
  <c r="BK102" i="126"/>
  <c r="BK200" i="126"/>
  <c r="BK179" i="126"/>
  <c r="BK303" i="126"/>
  <c r="AV331" i="126"/>
  <c r="AV339" i="126"/>
  <c r="AV342" i="126" s="1"/>
  <c r="BE217" i="126"/>
  <c r="BE218" i="126"/>
  <c r="BE230" i="126"/>
  <c r="BE232" i="126"/>
  <c r="BE233" i="126"/>
  <c r="AC131" i="126"/>
  <c r="AC136" i="126" s="1"/>
  <c r="AC129" i="126"/>
  <c r="AC109" i="126" s="1"/>
  <c r="P297" i="126"/>
  <c r="P296" i="126"/>
  <c r="P309" i="126"/>
  <c r="P312" i="126"/>
  <c r="P311" i="126"/>
  <c r="K339" i="126"/>
  <c r="K342" i="126" s="1"/>
  <c r="K331" i="126"/>
  <c r="S218" i="126"/>
  <c r="S217" i="126"/>
  <c r="S230" i="126"/>
  <c r="S233" i="126"/>
  <c r="S232" i="126"/>
  <c r="BH334" i="126"/>
  <c r="BH339" i="126" s="1"/>
  <c r="BJ259" i="120"/>
  <c r="BJ270" i="120" s="1"/>
  <c r="K294" i="125"/>
  <c r="K311" i="125" s="1"/>
  <c r="AQ297" i="126"/>
  <c r="AQ296" i="126"/>
  <c r="AQ309" i="126"/>
  <c r="AQ311" i="126"/>
  <c r="AQ312" i="126"/>
  <c r="N297" i="126"/>
  <c r="N296" i="126"/>
  <c r="N309" i="126"/>
  <c r="N311" i="126"/>
  <c r="N312" i="126"/>
  <c r="M339" i="126"/>
  <c r="M342" i="126" s="1"/>
  <c r="M331" i="126"/>
  <c r="G153" i="125"/>
  <c r="G154" i="125"/>
  <c r="G152" i="125"/>
  <c r="G138" i="125"/>
  <c r="G139" i="125"/>
  <c r="G151" i="125"/>
  <c r="BG339" i="126"/>
  <c r="BG331" i="126"/>
  <c r="BC296" i="126"/>
  <c r="BC297" i="126"/>
  <c r="BC309" i="126"/>
  <c r="BC311" i="126"/>
  <c r="BC312" i="126"/>
  <c r="AP339" i="126"/>
  <c r="AP342" i="126" s="1"/>
  <c r="AP331" i="126"/>
  <c r="W218" i="126"/>
  <c r="W217" i="126"/>
  <c r="W230" i="126"/>
  <c r="W232" i="126"/>
  <c r="W233" i="126"/>
  <c r="BB52" i="126"/>
  <c r="BB57" i="126" s="1"/>
  <c r="BB50" i="126"/>
  <c r="BB30" i="126" s="1"/>
  <c r="BE50" i="126"/>
  <c r="BE30" i="126" s="1"/>
  <c r="BE52" i="126"/>
  <c r="BE57" i="126" s="1"/>
  <c r="H211" i="126"/>
  <c r="AO297" i="126"/>
  <c r="AO296" i="126"/>
  <c r="AO309" i="126"/>
  <c r="AO312" i="126"/>
  <c r="AO311" i="126"/>
  <c r="AO310" i="126"/>
  <c r="G50" i="125"/>
  <c r="G52" i="125"/>
  <c r="G57" i="125" s="1"/>
  <c r="Z339" i="126"/>
  <c r="Z342" i="126" s="1"/>
  <c r="Z331" i="126"/>
  <c r="H340" i="126"/>
  <c r="I296" i="126"/>
  <c r="I297" i="126"/>
  <c r="I309" i="126"/>
  <c r="I311" i="126"/>
  <c r="I312" i="126"/>
  <c r="I310" i="126"/>
  <c r="AA52" i="126"/>
  <c r="AA57" i="126" s="1"/>
  <c r="AA50" i="126"/>
  <c r="AA30" i="126" s="1"/>
  <c r="AC34" i="126"/>
  <c r="BB296" i="126"/>
  <c r="BB297" i="126"/>
  <c r="BB309" i="126"/>
  <c r="BB311" i="126"/>
  <c r="BB312" i="126"/>
  <c r="AN340" i="126"/>
  <c r="AD45" i="126"/>
  <c r="AD25" i="126"/>
  <c r="AD34" i="126" s="1"/>
  <c r="U297" i="126"/>
  <c r="U296" i="126"/>
  <c r="U309" i="126"/>
  <c r="U312" i="126"/>
  <c r="U311" i="126"/>
  <c r="H208" i="126"/>
  <c r="H210" i="126"/>
  <c r="S296" i="126"/>
  <c r="S297" i="126"/>
  <c r="S309" i="126"/>
  <c r="S311" i="126"/>
  <c r="S312" i="126"/>
  <c r="AD190" i="126"/>
  <c r="BJ330" i="126"/>
  <c r="AZ50" i="126"/>
  <c r="AZ30" i="126" s="1"/>
  <c r="AZ52" i="126"/>
  <c r="AZ57" i="126" s="1"/>
  <c r="H289" i="126"/>
  <c r="H287" i="126"/>
  <c r="AT138" i="126"/>
  <c r="AT139" i="126"/>
  <c r="AT151" i="126"/>
  <c r="AT153" i="126"/>
  <c r="AT154" i="126"/>
  <c r="AC205" i="126"/>
  <c r="U50" i="126"/>
  <c r="U30" i="126" s="1"/>
  <c r="U52" i="126"/>
  <c r="U57" i="126" s="1"/>
  <c r="L50" i="126"/>
  <c r="L30" i="126" s="1"/>
  <c r="L52" i="126"/>
  <c r="L57" i="126" s="1"/>
  <c r="AF302" i="126"/>
  <c r="AF301" i="126"/>
  <c r="AF278" i="126"/>
  <c r="AF293" i="126" s="1"/>
  <c r="AJ293" i="126" s="1"/>
  <c r="AF277" i="126"/>
  <c r="AF275" i="126"/>
  <c r="AF252" i="126"/>
  <c r="AF276" i="126"/>
  <c r="AJ276" i="126" s="1"/>
  <c r="AF222" i="126"/>
  <c r="AF223" i="126"/>
  <c r="AF198" i="126"/>
  <c r="AF196" i="126"/>
  <c r="AF199" i="126"/>
  <c r="AF173" i="126"/>
  <c r="AF197" i="126"/>
  <c r="AJ197" i="126" s="1"/>
  <c r="AF143" i="126"/>
  <c r="AF120" i="126"/>
  <c r="AF135" i="126" s="1"/>
  <c r="AF119" i="126"/>
  <c r="AF117" i="126"/>
  <c r="AF144" i="126"/>
  <c r="AF94" i="126"/>
  <c r="AF118" i="126"/>
  <c r="AF40" i="126"/>
  <c r="AF38" i="126"/>
  <c r="AJ38" i="126" s="1"/>
  <c r="AF64" i="126"/>
  <c r="AF41" i="126"/>
  <c r="AF39" i="126"/>
  <c r="AG8" i="126"/>
  <c r="AF15" i="126"/>
  <c r="AF65" i="126"/>
  <c r="AF249" i="126"/>
  <c r="AF12" i="126"/>
  <c r="AF170" i="126"/>
  <c r="AF91" i="126"/>
  <c r="AC192" i="126"/>
  <c r="BK181" i="126"/>
  <c r="AV50" i="126"/>
  <c r="AV30" i="126" s="1"/>
  <c r="AV52" i="126"/>
  <c r="AV57" i="126" s="1"/>
  <c r="BH333" i="126"/>
  <c r="I218" i="126"/>
  <c r="I217" i="126"/>
  <c r="I230" i="126"/>
  <c r="I232" i="126"/>
  <c r="I233" i="126"/>
  <c r="I231" i="126"/>
  <c r="H132" i="126"/>
  <c r="BJ32" i="126"/>
  <c r="BJ328" i="126"/>
  <c r="K52" i="126"/>
  <c r="K57" i="126" s="1"/>
  <c r="K50" i="126"/>
  <c r="K30" i="126" s="1"/>
  <c r="AX138" i="126"/>
  <c r="AX139" i="126"/>
  <c r="AX151" i="126"/>
  <c r="AX154" i="126"/>
  <c r="AX153" i="126"/>
  <c r="S339" i="126"/>
  <c r="S342" i="126" s="1"/>
  <c r="S331" i="126"/>
  <c r="BJ181" i="120"/>
  <c r="AP159" i="126"/>
  <c r="AP158" i="126"/>
  <c r="N217" i="126"/>
  <c r="N218" i="126"/>
  <c r="N230" i="126"/>
  <c r="N232" i="126"/>
  <c r="N233" i="126"/>
  <c r="M50" i="126"/>
  <c r="M30" i="126" s="1"/>
  <c r="M52" i="126"/>
  <c r="M57" i="126" s="1"/>
  <c r="M297" i="126"/>
  <c r="M296" i="126"/>
  <c r="M309" i="126"/>
  <c r="M312" i="126"/>
  <c r="M311" i="126"/>
  <c r="BG50" i="126"/>
  <c r="BG30" i="126" s="1"/>
  <c r="BG52" i="126"/>
  <c r="BG57" i="126" s="1"/>
  <c r="AT339" i="126"/>
  <c r="AT342" i="126" s="1"/>
  <c r="AT331" i="126"/>
  <c r="AP50" i="126"/>
  <c r="AP30" i="126" s="1"/>
  <c r="AP52" i="126"/>
  <c r="AP57" i="126" s="1"/>
  <c r="AN131" i="126"/>
  <c r="AN129" i="126"/>
  <c r="X139" i="126"/>
  <c r="X138" i="126"/>
  <c r="X151" i="126"/>
  <c r="X153" i="126"/>
  <c r="X154" i="126"/>
  <c r="X339" i="126"/>
  <c r="X342" i="126" s="1"/>
  <c r="X331" i="126"/>
  <c r="BJ283" i="126"/>
  <c r="BJ291" i="126" s="1"/>
  <c r="BG297" i="126"/>
  <c r="BG296" i="126"/>
  <c r="BG311" i="126"/>
  <c r="BG309" i="126"/>
  <c r="BG312" i="126"/>
  <c r="BF217" i="126"/>
  <c r="BF218" i="126"/>
  <c r="BF230" i="126"/>
  <c r="BF232" i="126"/>
  <c r="BF233" i="126"/>
  <c r="J296" i="126"/>
  <c r="J297" i="126"/>
  <c r="J309" i="126"/>
  <c r="J311" i="126"/>
  <c r="J312" i="126"/>
  <c r="AD32" i="126"/>
  <c r="AD328" i="126"/>
  <c r="G331" i="125"/>
  <c r="G339" i="125"/>
  <c r="Z52" i="126"/>
  <c r="Z57" i="126" s="1"/>
  <c r="Z50" i="126"/>
  <c r="Z30" i="126" s="1"/>
  <c r="T139" i="126"/>
  <c r="T138" i="126"/>
  <c r="T151" i="126"/>
  <c r="T153" i="126"/>
  <c r="T154" i="126"/>
  <c r="H53" i="126"/>
  <c r="BJ203" i="126"/>
  <c r="BJ183" i="126"/>
  <c r="BJ202" i="126" s="1"/>
  <c r="S139" i="126"/>
  <c r="S138" i="126"/>
  <c r="S151" i="126"/>
  <c r="S153" i="126"/>
  <c r="S154" i="126"/>
  <c r="AR297" i="126"/>
  <c r="AR296" i="126"/>
  <c r="AR309" i="126"/>
  <c r="AR311" i="126"/>
  <c r="AR312" i="126"/>
  <c r="W297" i="126"/>
  <c r="W296" i="126"/>
  <c r="W309" i="126"/>
  <c r="W311" i="126"/>
  <c r="W312" i="126"/>
  <c r="Z218" i="126"/>
  <c r="Z217" i="126"/>
  <c r="Z230" i="126"/>
  <c r="Z232" i="126"/>
  <c r="Z233" i="126"/>
  <c r="AP297" i="126"/>
  <c r="AP296" i="126"/>
  <c r="AP309" i="126"/>
  <c r="AP311" i="126"/>
  <c r="AP312" i="126"/>
  <c r="AN53" i="126"/>
  <c r="T297" i="126"/>
  <c r="T296" i="126"/>
  <c r="T309" i="126"/>
  <c r="T311" i="126"/>
  <c r="T312" i="126"/>
  <c r="BI113" i="126"/>
  <c r="AU339" i="126"/>
  <c r="AU342" i="126" s="1"/>
  <c r="AU331" i="126"/>
  <c r="O218" i="126"/>
  <c r="O217" i="126"/>
  <c r="O230" i="126"/>
  <c r="O233" i="126"/>
  <c r="O232" i="126"/>
  <c r="AN211" i="126"/>
  <c r="AX297" i="126"/>
  <c r="AX296" i="126"/>
  <c r="AX309" i="126"/>
  <c r="AX311" i="126"/>
  <c r="AX312" i="126"/>
  <c r="AD269" i="126"/>
  <c r="AE121" i="126"/>
  <c r="AE145" i="126" s="1"/>
  <c r="AE100" i="126"/>
  <c r="AE181" i="126"/>
  <c r="BJ290" i="126"/>
  <c r="BK66" i="126"/>
  <c r="BG139" i="126"/>
  <c r="BG138" i="126"/>
  <c r="BG154" i="126"/>
  <c r="BG153" i="126"/>
  <c r="BG151" i="126"/>
  <c r="AZ218" i="126"/>
  <c r="AZ217" i="126"/>
  <c r="AZ230" i="126"/>
  <c r="AZ233" i="126"/>
  <c r="AZ232" i="126"/>
  <c r="BH47" i="126"/>
  <c r="AO139" i="126"/>
  <c r="AO138" i="126"/>
  <c r="AO151" i="126"/>
  <c r="AO153" i="126"/>
  <c r="AO154" i="126"/>
  <c r="AO152" i="126"/>
  <c r="AD175" i="126"/>
  <c r="P218" i="126"/>
  <c r="P217" i="126"/>
  <c r="P230" i="126"/>
  <c r="P233" i="126"/>
  <c r="P232" i="126"/>
  <c r="AV217" i="126"/>
  <c r="AV218" i="126"/>
  <c r="AV230" i="126"/>
  <c r="AV232" i="126"/>
  <c r="AV233" i="126"/>
  <c r="S52" i="126"/>
  <c r="S57" i="126" s="1"/>
  <c r="S50" i="126"/>
  <c r="S30" i="126" s="1"/>
  <c r="BF139" i="126"/>
  <c r="BF138" i="126"/>
  <c r="BF151" i="126"/>
  <c r="BF153" i="126"/>
  <c r="BF154" i="126"/>
  <c r="AR90" i="126"/>
  <c r="AR147" i="126" s="1"/>
  <c r="AR152" i="126" s="1"/>
  <c r="L90" i="126"/>
  <c r="L147" i="126" s="1"/>
  <c r="L152" i="126" s="1"/>
  <c r="L248" i="126"/>
  <c r="L305" i="126" s="1"/>
  <c r="L310" i="126" s="1"/>
  <c r="AR248" i="126"/>
  <c r="AR305" i="126" s="1"/>
  <c r="AR310" i="126" s="1"/>
  <c r="L131" i="125"/>
  <c r="K237" i="126"/>
  <c r="K238" i="126"/>
  <c r="AT52" i="126"/>
  <c r="AT57" i="126" s="1"/>
  <c r="AT50" i="126"/>
  <c r="AT30" i="126" s="1"/>
  <c r="X50" i="126"/>
  <c r="X30" i="126" s="1"/>
  <c r="X52" i="126"/>
  <c r="X57" i="126" s="1"/>
  <c r="AD330" i="126"/>
  <c r="AM151" i="125"/>
  <c r="AM138" i="125"/>
  <c r="AM139" i="125"/>
  <c r="AM153" i="125"/>
  <c r="AM152" i="125"/>
  <c r="AM154" i="125"/>
  <c r="J218" i="126"/>
  <c r="J217" i="126"/>
  <c r="J230" i="126"/>
  <c r="J232" i="126"/>
  <c r="J233" i="126"/>
  <c r="AT218" i="126"/>
  <c r="AT217" i="126"/>
  <c r="AT230" i="126"/>
  <c r="AT233" i="126"/>
  <c r="AT232" i="126"/>
  <c r="AW217" i="126"/>
  <c r="AW218" i="126"/>
  <c r="AW230" i="126"/>
  <c r="AW232" i="126"/>
  <c r="AW233" i="126"/>
  <c r="AR218" i="126"/>
  <c r="AR217" i="126"/>
  <c r="AR230" i="126"/>
  <c r="AR232" i="126"/>
  <c r="AR233" i="126"/>
  <c r="J339" i="126"/>
  <c r="J342" i="126" s="1"/>
  <c r="J331" i="126"/>
  <c r="AS339" i="126"/>
  <c r="AS342" i="126" s="1"/>
  <c r="AS331" i="126"/>
  <c r="BJ208" i="126"/>
  <c r="BJ188" i="126" s="1"/>
  <c r="AY218" i="126"/>
  <c r="AY217" i="126"/>
  <c r="AY230" i="126"/>
  <c r="AY233" i="126"/>
  <c r="AY232" i="126"/>
  <c r="AB139" i="126"/>
  <c r="AB138" i="126"/>
  <c r="AB151" i="126"/>
  <c r="AB153" i="126"/>
  <c r="AB154" i="126"/>
  <c r="BA339" i="126"/>
  <c r="BA342" i="126" s="1"/>
  <c r="BA331" i="126"/>
  <c r="Y339" i="126"/>
  <c r="Y331" i="126"/>
  <c r="BH335" i="126"/>
  <c r="BH54" i="126"/>
  <c r="AD111" i="126"/>
  <c r="AU139" i="126"/>
  <c r="AU138" i="126"/>
  <c r="AU151" i="126"/>
  <c r="AU154" i="126"/>
  <c r="AU153" i="126"/>
  <c r="AU52" i="126"/>
  <c r="AU57" i="126" s="1"/>
  <c r="AU50" i="126"/>
  <c r="AU30" i="126" s="1"/>
  <c r="AM50" i="125"/>
  <c r="AM52" i="125"/>
  <c r="AM57" i="125" s="1"/>
  <c r="V339" i="126"/>
  <c r="V342" i="126" s="1"/>
  <c r="V331" i="126"/>
  <c r="BH284" i="126"/>
  <c r="AO217" i="126"/>
  <c r="AO218" i="126"/>
  <c r="AO230" i="126"/>
  <c r="AO232" i="126"/>
  <c r="AO233" i="126"/>
  <c r="AO231" i="126"/>
  <c r="AE22" i="126"/>
  <c r="AJ39" i="126"/>
  <c r="AE200" i="126"/>
  <c r="AE179" i="126"/>
  <c r="AJ196" i="126"/>
  <c r="AE258" i="126"/>
  <c r="AE279" i="126"/>
  <c r="AJ275" i="126"/>
  <c r="BL302" i="126"/>
  <c r="BL301" i="126"/>
  <c r="BL276" i="126"/>
  <c r="BL278" i="126"/>
  <c r="BL277" i="126"/>
  <c r="BL275" i="126"/>
  <c r="BP275" i="126" s="1"/>
  <c r="BL252" i="126"/>
  <c r="BL223" i="126"/>
  <c r="BL222" i="126"/>
  <c r="BL199" i="126"/>
  <c r="BL197" i="126"/>
  <c r="BL196" i="126"/>
  <c r="BP196" i="126" s="1"/>
  <c r="BL198" i="126"/>
  <c r="BL173" i="126"/>
  <c r="BL119" i="126"/>
  <c r="BL120" i="126"/>
  <c r="BL135" i="126" s="1"/>
  <c r="BL118" i="126"/>
  <c r="BL143" i="126"/>
  <c r="BL144" i="126"/>
  <c r="BL94" i="126"/>
  <c r="BL117" i="126"/>
  <c r="BL41" i="126"/>
  <c r="BL39" i="126"/>
  <c r="BL65" i="126"/>
  <c r="BL40" i="126"/>
  <c r="BL38" i="126"/>
  <c r="BL15" i="126"/>
  <c r="BM8" i="126"/>
  <c r="BL64" i="126"/>
  <c r="BL249" i="126"/>
  <c r="BL91" i="126"/>
  <c r="BL12" i="126"/>
  <c r="BL170" i="126"/>
  <c r="W339" i="126"/>
  <c r="W342" i="126" s="1"/>
  <c r="W331" i="126"/>
  <c r="AA139" i="126"/>
  <c r="AA138" i="126"/>
  <c r="AA151" i="126"/>
  <c r="AA153" i="126"/>
  <c r="AA154" i="126"/>
  <c r="AZ297" i="126"/>
  <c r="AZ296" i="126"/>
  <c r="AZ309" i="126"/>
  <c r="AZ312" i="126"/>
  <c r="AZ311" i="126"/>
  <c r="Z341" i="124"/>
  <c r="BG205" i="124"/>
  <c r="AB271" i="124"/>
  <c r="BH283" i="120"/>
  <c r="BH291" i="120" s="1"/>
  <c r="BD125" i="125"/>
  <c r="BD133" i="125" s="1"/>
  <c r="L46" i="125"/>
  <c r="L54" i="125" s="1"/>
  <c r="L129" i="125"/>
  <c r="K284" i="125"/>
  <c r="BG215" i="124"/>
  <c r="BG217" i="124" s="1"/>
  <c r="BF341" i="124"/>
  <c r="N337" i="125"/>
  <c r="M307" i="125"/>
  <c r="M148" i="125"/>
  <c r="M175" i="125"/>
  <c r="M211" i="125" s="1"/>
  <c r="N213" i="125"/>
  <c r="BE269" i="125"/>
  <c r="BD44" i="125"/>
  <c r="BD34" i="125"/>
  <c r="BE17" i="125"/>
  <c r="BE53" i="125" s="1"/>
  <c r="BE254" i="125"/>
  <c r="BE290" i="125" s="1"/>
  <c r="M228" i="125"/>
  <c r="N292" i="125"/>
  <c r="M96" i="125"/>
  <c r="M132" i="125" s="1"/>
  <c r="M227" i="125"/>
  <c r="M269" i="125"/>
  <c r="M111" i="125"/>
  <c r="BD281" i="125"/>
  <c r="BD271" i="125"/>
  <c r="BF134" i="125"/>
  <c r="M70" i="125"/>
  <c r="L281" i="125"/>
  <c r="L271" i="125"/>
  <c r="M190" i="125"/>
  <c r="BE96" i="125"/>
  <c r="BE125" i="125" s="1"/>
  <c r="BE133" i="125" s="1"/>
  <c r="BE175" i="125"/>
  <c r="BE211" i="125" s="1"/>
  <c r="BF213" i="125"/>
  <c r="N55" i="125"/>
  <c r="M32" i="125"/>
  <c r="L44" i="125"/>
  <c r="L34" i="125"/>
  <c r="L123" i="125"/>
  <c r="L113" i="125"/>
  <c r="BE149" i="125"/>
  <c r="BE228" i="125"/>
  <c r="M17" i="125"/>
  <c r="M53" i="125" s="1"/>
  <c r="M254" i="125"/>
  <c r="M290" i="125" s="1"/>
  <c r="L202" i="125"/>
  <c r="L192" i="125"/>
  <c r="BF292" i="125"/>
  <c r="BE32" i="125"/>
  <c r="BE148" i="125"/>
  <c r="BD202" i="125"/>
  <c r="BD192" i="125"/>
  <c r="BE307" i="125"/>
  <c r="BE227" i="125"/>
  <c r="BF55" i="125"/>
  <c r="BE70" i="125"/>
  <c r="BD123" i="125"/>
  <c r="BD113" i="125"/>
  <c r="M69" i="125"/>
  <c r="M306" i="125"/>
  <c r="M149" i="125"/>
  <c r="N134" i="125"/>
  <c r="BE111" i="125"/>
  <c r="BE306" i="125"/>
  <c r="BE190" i="125"/>
  <c r="BF337" i="125"/>
  <c r="BE69" i="125"/>
  <c r="BD204" i="125"/>
  <c r="BD212" i="125" s="1"/>
  <c r="BC333" i="125"/>
  <c r="K333" i="125"/>
  <c r="K341" i="125" s="1"/>
  <c r="L283" i="125"/>
  <c r="L291" i="125" s="1"/>
  <c r="BD203" i="125"/>
  <c r="L282" i="125"/>
  <c r="K126" i="125"/>
  <c r="CB48" i="118"/>
  <c r="L124" i="125"/>
  <c r="BD283" i="125"/>
  <c r="BD291" i="125" s="1"/>
  <c r="BD282" i="125"/>
  <c r="AB131" i="120"/>
  <c r="BD124" i="125"/>
  <c r="BI283" i="120"/>
  <c r="BI291" i="120" s="1"/>
  <c r="BK101" i="125"/>
  <c r="BK112" i="125" s="1"/>
  <c r="L125" i="125"/>
  <c r="L204" i="125"/>
  <c r="L212" i="125" s="1"/>
  <c r="AQ152" i="124"/>
  <c r="AQ159" i="124" s="1"/>
  <c r="BK259" i="125"/>
  <c r="BK270" i="125" s="1"/>
  <c r="CA20" i="67"/>
  <c r="CA20" i="119"/>
  <c r="CA40" i="119"/>
  <c r="AY138" i="120"/>
  <c r="BI269" i="124"/>
  <c r="BI287" i="124" s="1"/>
  <c r="BI267" i="124" s="1"/>
  <c r="AB129" i="124"/>
  <c r="AB109" i="124" s="1"/>
  <c r="AA136" i="124"/>
  <c r="AA154" i="124" s="1"/>
  <c r="AR296" i="125"/>
  <c r="AR297" i="125"/>
  <c r="AR309" i="125"/>
  <c r="AR312" i="125"/>
  <c r="AR311" i="125"/>
  <c r="H131" i="125"/>
  <c r="H129" i="125"/>
  <c r="BF331" i="125"/>
  <c r="L50" i="125"/>
  <c r="L52" i="125"/>
  <c r="J138" i="125"/>
  <c r="J139" i="125"/>
  <c r="J151" i="125"/>
  <c r="J153" i="125"/>
  <c r="J154" i="125"/>
  <c r="BJ329" i="125"/>
  <c r="BJ340" i="125" s="1"/>
  <c r="BB217" i="125"/>
  <c r="BB218" i="125"/>
  <c r="BB230" i="125"/>
  <c r="BB233" i="125"/>
  <c r="BB232" i="125"/>
  <c r="BD331" i="125"/>
  <c r="AC331" i="125"/>
  <c r="AE23" i="125"/>
  <c r="AE102" i="125"/>
  <c r="AE214" i="125"/>
  <c r="AE259" i="125"/>
  <c r="AR339" i="125"/>
  <c r="AR342" i="125" s="1"/>
  <c r="AR331" i="125"/>
  <c r="BK214" i="125"/>
  <c r="BK293" i="125"/>
  <c r="AX296" i="125"/>
  <c r="AX297" i="125"/>
  <c r="AX309" i="125"/>
  <c r="AX312" i="125"/>
  <c r="AX311" i="125"/>
  <c r="H52" i="125"/>
  <c r="H50" i="125"/>
  <c r="AP237" i="125"/>
  <c r="AP238" i="125"/>
  <c r="BJ303" i="125"/>
  <c r="BE331" i="125"/>
  <c r="AU339" i="125"/>
  <c r="AU342" i="125" s="1"/>
  <c r="AU331" i="125"/>
  <c r="AU218" i="125"/>
  <c r="AU217" i="125"/>
  <c r="AU230" i="125"/>
  <c r="AU233" i="125"/>
  <c r="AU232" i="125"/>
  <c r="AW218" i="125"/>
  <c r="AW217" i="125"/>
  <c r="AW230" i="125"/>
  <c r="AW232" i="125"/>
  <c r="AW233" i="125"/>
  <c r="H290" i="125"/>
  <c r="Z331" i="125"/>
  <c r="J297" i="125"/>
  <c r="J296" i="125"/>
  <c r="J309" i="125"/>
  <c r="J312" i="125"/>
  <c r="J311" i="125"/>
  <c r="BD50" i="125"/>
  <c r="BD52" i="125"/>
  <c r="BG331" i="125"/>
  <c r="AN341" i="125"/>
  <c r="BJ328" i="125"/>
  <c r="AF302" i="125"/>
  <c r="AF278" i="125"/>
  <c r="AF293" i="125" s="1"/>
  <c r="AF276" i="125"/>
  <c r="AF301" i="125"/>
  <c r="AF277" i="125"/>
  <c r="AF275" i="125"/>
  <c r="AF252" i="125"/>
  <c r="AF223" i="125"/>
  <c r="AF222" i="125"/>
  <c r="AF198" i="125"/>
  <c r="AF196" i="125"/>
  <c r="AF199" i="125"/>
  <c r="AF214" i="125" s="1"/>
  <c r="AF197" i="125"/>
  <c r="AF173" i="125"/>
  <c r="AF143" i="125"/>
  <c r="AF144" i="125"/>
  <c r="AF120" i="125"/>
  <c r="AF135" i="125" s="1"/>
  <c r="AF118" i="125"/>
  <c r="AF119" i="125"/>
  <c r="AF64" i="125"/>
  <c r="AF117" i="125"/>
  <c r="AF40" i="125"/>
  <c r="AF38" i="125"/>
  <c r="AF65" i="125"/>
  <c r="AF15" i="125"/>
  <c r="AF41" i="125"/>
  <c r="AF56" i="125" s="1"/>
  <c r="AF39" i="125"/>
  <c r="AF94" i="125"/>
  <c r="AG8" i="125"/>
  <c r="AE293" i="125"/>
  <c r="AR52" i="125"/>
  <c r="AR57" i="125" s="1"/>
  <c r="AR50" i="125"/>
  <c r="W331" i="125"/>
  <c r="BK121" i="125"/>
  <c r="BK145" i="125" s="1"/>
  <c r="BK100" i="125"/>
  <c r="BK179" i="125"/>
  <c r="BK200" i="125"/>
  <c r="BK279" i="125"/>
  <c r="BK258" i="125"/>
  <c r="AN131" i="125"/>
  <c r="AN129" i="125"/>
  <c r="Y331" i="125"/>
  <c r="AN289" i="125"/>
  <c r="AN287" i="125"/>
  <c r="AN340" i="125"/>
  <c r="AY339" i="125"/>
  <c r="AY342" i="125" s="1"/>
  <c r="AY331" i="125"/>
  <c r="AX218" i="125"/>
  <c r="AX217" i="125"/>
  <c r="AX230" i="125"/>
  <c r="AX233" i="125"/>
  <c r="AX232" i="125"/>
  <c r="BH281" i="120"/>
  <c r="AP317" i="125"/>
  <c r="AP316" i="125"/>
  <c r="AN290" i="125"/>
  <c r="AU50" i="125"/>
  <c r="AU52" i="125"/>
  <c r="AU57" i="125" s="1"/>
  <c r="AP339" i="125"/>
  <c r="AP342" i="125" s="1"/>
  <c r="AP331" i="125"/>
  <c r="AZ296" i="125"/>
  <c r="AZ297" i="125"/>
  <c r="AZ309" i="125"/>
  <c r="AZ311" i="125"/>
  <c r="AZ312" i="125"/>
  <c r="AO297" i="125"/>
  <c r="AO296" i="125"/>
  <c r="AO309" i="125"/>
  <c r="AO311" i="125"/>
  <c r="AO312" i="125"/>
  <c r="AO310" i="125"/>
  <c r="AN132" i="125"/>
  <c r="AD145" i="125"/>
  <c r="O331" i="125"/>
  <c r="BA139" i="125"/>
  <c r="BA138" i="125"/>
  <c r="BA151" i="125"/>
  <c r="BA154" i="125"/>
  <c r="BA153" i="125"/>
  <c r="AX139" i="125"/>
  <c r="AX138" i="125"/>
  <c r="AX151" i="125"/>
  <c r="AX154" i="125"/>
  <c r="AX153" i="125"/>
  <c r="H340" i="125"/>
  <c r="AE22" i="125"/>
  <c r="AQ339" i="125"/>
  <c r="AQ342" i="125" s="1"/>
  <c r="AQ331" i="125"/>
  <c r="BK22" i="125"/>
  <c r="BK181" i="125"/>
  <c r="BK260" i="125"/>
  <c r="AT339" i="125"/>
  <c r="AT342" i="125" s="1"/>
  <c r="AT331" i="125"/>
  <c r="I217" i="125"/>
  <c r="I218" i="125"/>
  <c r="I230" i="125"/>
  <c r="I233" i="125"/>
  <c r="I232" i="125"/>
  <c r="I231" i="125"/>
  <c r="AN53" i="125"/>
  <c r="AS139" i="125"/>
  <c r="AS138" i="125"/>
  <c r="AS151" i="125"/>
  <c r="AS154" i="125"/>
  <c r="AS153" i="125"/>
  <c r="AY50" i="125"/>
  <c r="AY52" i="125"/>
  <c r="AY57" i="125" s="1"/>
  <c r="AY218" i="125"/>
  <c r="AY217" i="125"/>
  <c r="AY230" i="125"/>
  <c r="AY233" i="125"/>
  <c r="AY232" i="125"/>
  <c r="AO339" i="125"/>
  <c r="AO342" i="125" s="1"/>
  <c r="AO331" i="125"/>
  <c r="AP139" i="125"/>
  <c r="AP138" i="125"/>
  <c r="AP151" i="125"/>
  <c r="AP153" i="125"/>
  <c r="AP154" i="125"/>
  <c r="AP50" i="125"/>
  <c r="AP52" i="125"/>
  <c r="AP57" i="125" s="1"/>
  <c r="BA217" i="125"/>
  <c r="BA218" i="125"/>
  <c r="BA230" i="125"/>
  <c r="BA233" i="125"/>
  <c r="BA232" i="125"/>
  <c r="AZ339" i="125"/>
  <c r="AZ342" i="125" s="1"/>
  <c r="AZ331" i="125"/>
  <c r="H132" i="125"/>
  <c r="N331" i="125"/>
  <c r="AV138" i="125"/>
  <c r="AV139" i="125"/>
  <c r="AV151" i="125"/>
  <c r="AV153" i="125"/>
  <c r="AV154" i="125"/>
  <c r="BB139" i="125"/>
  <c r="BB138" i="125"/>
  <c r="BB151" i="125"/>
  <c r="BB154" i="125"/>
  <c r="BB153" i="125"/>
  <c r="H289" i="125"/>
  <c r="H287" i="125"/>
  <c r="J339" i="125"/>
  <c r="J331" i="125"/>
  <c r="AN339" i="125"/>
  <c r="AN331" i="125"/>
  <c r="AU297" i="125"/>
  <c r="AU296" i="125"/>
  <c r="AU309" i="125"/>
  <c r="AU312" i="125"/>
  <c r="AU311" i="125"/>
  <c r="AQ218" i="125"/>
  <c r="AQ217" i="125"/>
  <c r="AQ230" i="125"/>
  <c r="AQ232" i="125"/>
  <c r="AQ233" i="125"/>
  <c r="AW339" i="125"/>
  <c r="AW342" i="125" s="1"/>
  <c r="AW331" i="125"/>
  <c r="H53" i="125"/>
  <c r="AS217" i="125"/>
  <c r="AS218" i="125"/>
  <c r="AS230" i="125"/>
  <c r="AS232" i="125"/>
  <c r="AS233" i="125"/>
  <c r="AQ231" i="125"/>
  <c r="AE56" i="125"/>
  <c r="AE135" i="125"/>
  <c r="AQ50" i="125"/>
  <c r="AQ52" i="125"/>
  <c r="AQ57" i="125" s="1"/>
  <c r="AQ73" i="125" s="1"/>
  <c r="AP297" i="125"/>
  <c r="AP296" i="125"/>
  <c r="AP309" i="125"/>
  <c r="AP312" i="125"/>
  <c r="AP311" i="125"/>
  <c r="AT52" i="125"/>
  <c r="AT57" i="125" s="1"/>
  <c r="AT50" i="125"/>
  <c r="R331" i="125"/>
  <c r="I339" i="125"/>
  <c r="I342" i="125" s="1"/>
  <c r="I331" i="125"/>
  <c r="AN210" i="125"/>
  <c r="AN208" i="125"/>
  <c r="BC309" i="125"/>
  <c r="BC312" i="125"/>
  <c r="AO50" i="125"/>
  <c r="AO52" i="125"/>
  <c r="AO57" i="125" s="1"/>
  <c r="AT296" i="125"/>
  <c r="AT297" i="125"/>
  <c r="AT309" i="125"/>
  <c r="AT312" i="125"/>
  <c r="AT311" i="125"/>
  <c r="AQ152" i="125"/>
  <c r="AZ52" i="125"/>
  <c r="AZ57" i="125" s="1"/>
  <c r="AZ50" i="125"/>
  <c r="AT217" i="125"/>
  <c r="AT218" i="125"/>
  <c r="AT230" i="125"/>
  <c r="AT232" i="125"/>
  <c r="AT233" i="125"/>
  <c r="K331" i="125"/>
  <c r="J52" i="125"/>
  <c r="J57" i="125" s="1"/>
  <c r="J50" i="125"/>
  <c r="AN50" i="125"/>
  <c r="AN52" i="125"/>
  <c r="AD33" i="125"/>
  <c r="AD329" i="125"/>
  <c r="AD340" i="125" s="1"/>
  <c r="J217" i="125"/>
  <c r="J218" i="125"/>
  <c r="J230" i="125"/>
  <c r="J233" i="125"/>
  <c r="J232" i="125"/>
  <c r="AW50" i="125"/>
  <c r="AW52" i="125"/>
  <c r="AW57" i="125" s="1"/>
  <c r="AA331" i="125"/>
  <c r="H208" i="125"/>
  <c r="H210" i="125"/>
  <c r="AX339" i="125"/>
  <c r="AX342" i="125" s="1"/>
  <c r="AX331" i="125"/>
  <c r="BL301" i="125"/>
  <c r="BL302" i="125"/>
  <c r="BL277" i="125"/>
  <c r="BL275" i="125"/>
  <c r="BL278" i="125"/>
  <c r="BL293" i="125" s="1"/>
  <c r="BL276" i="125"/>
  <c r="BL252" i="125"/>
  <c r="BL223" i="125"/>
  <c r="BL222" i="125"/>
  <c r="BL199" i="125"/>
  <c r="BL214" i="125" s="1"/>
  <c r="BL197" i="125"/>
  <c r="BL180" i="125" s="1"/>
  <c r="BL191" i="125" s="1"/>
  <c r="BL198" i="125"/>
  <c r="BL196" i="125"/>
  <c r="BL173" i="125"/>
  <c r="BL144" i="125"/>
  <c r="BL143" i="125"/>
  <c r="BL120" i="125"/>
  <c r="BL135" i="125" s="1"/>
  <c r="BL119" i="125"/>
  <c r="BL117" i="125"/>
  <c r="BL118" i="125"/>
  <c r="BL94" i="125"/>
  <c r="BL41" i="125"/>
  <c r="BL56" i="125" s="1"/>
  <c r="BL39" i="125"/>
  <c r="BL64" i="125"/>
  <c r="BL65" i="125"/>
  <c r="BL40" i="125"/>
  <c r="BL38" i="125"/>
  <c r="BM8" i="125"/>
  <c r="BL15" i="125"/>
  <c r="BK135" i="125"/>
  <c r="BK303" i="125"/>
  <c r="BC331" i="125"/>
  <c r="BC230" i="125"/>
  <c r="I52" i="125"/>
  <c r="I57" i="125" s="1"/>
  <c r="I50" i="125"/>
  <c r="AV339" i="125"/>
  <c r="AV342" i="125" s="1"/>
  <c r="AV331" i="125"/>
  <c r="X331" i="125"/>
  <c r="AP159" i="125"/>
  <c r="AP158" i="125"/>
  <c r="AS297" i="125"/>
  <c r="AS296" i="125"/>
  <c r="AS309" i="125"/>
  <c r="AS312" i="125"/>
  <c r="AS311" i="125"/>
  <c r="AR248" i="125"/>
  <c r="AR305" i="125" s="1"/>
  <c r="AR310" i="125" s="1"/>
  <c r="L248" i="125"/>
  <c r="L305" i="125" s="1"/>
  <c r="L11" i="125"/>
  <c r="L68" i="125" s="1"/>
  <c r="AR11" i="125"/>
  <c r="AR68" i="125" s="1"/>
  <c r="L169" i="125"/>
  <c r="L226" i="125" s="1"/>
  <c r="AR169" i="125"/>
  <c r="AR226" i="125" s="1"/>
  <c r="AR231" i="125" s="1"/>
  <c r="S331" i="125"/>
  <c r="AQ138" i="125"/>
  <c r="AQ139" i="125"/>
  <c r="AQ151" i="125"/>
  <c r="AQ153" i="125"/>
  <c r="AQ154" i="125"/>
  <c r="K50" i="125"/>
  <c r="K52" i="125"/>
  <c r="K57" i="125" s="1"/>
  <c r="K73" i="125" s="1"/>
  <c r="V331" i="125"/>
  <c r="Q331" i="125"/>
  <c r="BH331" i="125"/>
  <c r="BA297" i="125"/>
  <c r="BA296" i="125"/>
  <c r="BA309" i="125"/>
  <c r="BA311" i="125"/>
  <c r="BA312" i="125"/>
  <c r="AX50" i="125"/>
  <c r="AX52" i="125"/>
  <c r="AX57" i="125" s="1"/>
  <c r="H211" i="125"/>
  <c r="AE200" i="125"/>
  <c r="AE224" i="125" s="1"/>
  <c r="AE179" i="125"/>
  <c r="AE279" i="125"/>
  <c r="AE258" i="125"/>
  <c r="AQ296" i="125"/>
  <c r="AQ297" i="125"/>
  <c r="AQ309" i="125"/>
  <c r="AQ311" i="125"/>
  <c r="AQ312" i="125"/>
  <c r="BK23" i="125"/>
  <c r="M331" i="125"/>
  <c r="AO218" i="125"/>
  <c r="AO217" i="125"/>
  <c r="AO230" i="125"/>
  <c r="AO232" i="125"/>
  <c r="AO233" i="125"/>
  <c r="AO231" i="125"/>
  <c r="BC50" i="125"/>
  <c r="BC52" i="125"/>
  <c r="BC57" i="125" s="1"/>
  <c r="AV50" i="125"/>
  <c r="AV52" i="125"/>
  <c r="AV57" i="125" s="1"/>
  <c r="AD328" i="125"/>
  <c r="BI331" i="125"/>
  <c r="BA339" i="125"/>
  <c r="BA342" i="125" s="1"/>
  <c r="BA331" i="125"/>
  <c r="AN211" i="125"/>
  <c r="I139" i="125"/>
  <c r="I138" i="125"/>
  <c r="I151" i="125"/>
  <c r="I153" i="125"/>
  <c r="I154" i="125"/>
  <c r="I152" i="125"/>
  <c r="AY297" i="125"/>
  <c r="AY296" i="125"/>
  <c r="AY309" i="125"/>
  <c r="AY311" i="125"/>
  <c r="AY312" i="125"/>
  <c r="U331" i="125"/>
  <c r="I296" i="125"/>
  <c r="I297" i="125"/>
  <c r="I309" i="125"/>
  <c r="I311" i="125"/>
  <c r="I312" i="125"/>
  <c r="I310" i="125"/>
  <c r="AO139" i="125"/>
  <c r="AO138" i="125"/>
  <c r="AO151" i="125"/>
  <c r="AO154" i="125"/>
  <c r="AO153" i="125"/>
  <c r="AO152" i="125"/>
  <c r="H341" i="125"/>
  <c r="AV297" i="125"/>
  <c r="AV296" i="125"/>
  <c r="AV309" i="125"/>
  <c r="AV311" i="125"/>
  <c r="AV312" i="125"/>
  <c r="P331" i="125"/>
  <c r="AR139" i="125"/>
  <c r="AR138" i="125"/>
  <c r="AR151" i="125"/>
  <c r="AR153" i="125"/>
  <c r="AR154" i="125"/>
  <c r="AV218" i="125"/>
  <c r="AV217" i="125"/>
  <c r="AV230" i="125"/>
  <c r="AV232" i="125"/>
  <c r="AV233" i="125"/>
  <c r="BB339" i="125"/>
  <c r="BB331" i="125"/>
  <c r="BB297" i="125"/>
  <c r="BB296" i="125"/>
  <c r="BB309" i="125"/>
  <c r="BB312" i="125"/>
  <c r="BB311" i="125"/>
  <c r="AS339" i="125"/>
  <c r="AS342" i="125" s="1"/>
  <c r="AS331" i="125"/>
  <c r="AE101" i="125"/>
  <c r="AE181" i="125"/>
  <c r="AE260" i="125"/>
  <c r="BK21" i="125"/>
  <c r="BK42" i="125"/>
  <c r="AZ217" i="125"/>
  <c r="AZ218" i="125"/>
  <c r="AZ230" i="125"/>
  <c r="AZ233" i="125"/>
  <c r="AZ232" i="125"/>
  <c r="AR90" i="125"/>
  <c r="AR147" i="125" s="1"/>
  <c r="AR152" i="125" s="1"/>
  <c r="L90" i="125"/>
  <c r="L147" i="125" s="1"/>
  <c r="AC329" i="124"/>
  <c r="AC340" i="124" s="1"/>
  <c r="AB192" i="124"/>
  <c r="J237" i="125"/>
  <c r="J238" i="125"/>
  <c r="J152" i="125"/>
  <c r="BA52" i="125"/>
  <c r="BA57" i="125" s="1"/>
  <c r="BA50" i="125"/>
  <c r="L331" i="125"/>
  <c r="AR217" i="125"/>
  <c r="AR218" i="125"/>
  <c r="AR230" i="125"/>
  <c r="AR233" i="125"/>
  <c r="AR232" i="125"/>
  <c r="AZ139" i="125"/>
  <c r="AZ138" i="125"/>
  <c r="AZ151" i="125"/>
  <c r="AZ153" i="125"/>
  <c r="AZ154" i="125"/>
  <c r="BJ330" i="125"/>
  <c r="AU138" i="125"/>
  <c r="AU139" i="125"/>
  <c r="AU151" i="125"/>
  <c r="AU154" i="125"/>
  <c r="AU153" i="125"/>
  <c r="BB52" i="125"/>
  <c r="BB57" i="125" s="1"/>
  <c r="BB50" i="125"/>
  <c r="AS52" i="125"/>
  <c r="AS57" i="125" s="1"/>
  <c r="AS50" i="125"/>
  <c r="T331" i="125"/>
  <c r="AE42" i="125"/>
  <c r="AE66" i="125" s="1"/>
  <c r="AE21" i="125"/>
  <c r="AE121" i="125"/>
  <c r="AE100" i="125"/>
  <c r="AE180" i="125"/>
  <c r="AW139" i="125"/>
  <c r="AW138" i="125"/>
  <c r="AW151" i="125"/>
  <c r="AW153" i="125"/>
  <c r="AW154" i="125"/>
  <c r="BK102" i="125"/>
  <c r="BK180" i="125"/>
  <c r="AY139" i="125"/>
  <c r="AY138" i="125"/>
  <c r="AY151" i="125"/>
  <c r="AY154" i="125"/>
  <c r="AY153" i="125"/>
  <c r="AW297" i="125"/>
  <c r="AW296" i="125"/>
  <c r="AW309" i="125"/>
  <c r="AW312" i="125"/>
  <c r="AW311" i="125"/>
  <c r="AT139" i="125"/>
  <c r="AT138" i="125"/>
  <c r="AT151" i="125"/>
  <c r="AT153" i="125"/>
  <c r="AT154" i="125"/>
  <c r="AD330" i="125"/>
  <c r="J310" i="125"/>
  <c r="H339" i="125"/>
  <c r="H331" i="125"/>
  <c r="AP218" i="125"/>
  <c r="AP217" i="125"/>
  <c r="AP230" i="125"/>
  <c r="AP232" i="125"/>
  <c r="AP233" i="125"/>
  <c r="AB331" i="125"/>
  <c r="BH282" i="120"/>
  <c r="BG284" i="124"/>
  <c r="AC111" i="124"/>
  <c r="AB335" i="124"/>
  <c r="AC290" i="124"/>
  <c r="BH113" i="124"/>
  <c r="AB113" i="124"/>
  <c r="BH205" i="124"/>
  <c r="AB210" i="120"/>
  <c r="AB215" i="120" s="1"/>
  <c r="AB217" i="120" s="1"/>
  <c r="AB334" i="124"/>
  <c r="AB339" i="124" s="1"/>
  <c r="BI202" i="120"/>
  <c r="BI211" i="120"/>
  <c r="BF341" i="120"/>
  <c r="BI281" i="120"/>
  <c r="BJ101" i="124"/>
  <c r="BJ112" i="124" s="1"/>
  <c r="BJ259" i="124"/>
  <c r="BJ270" i="124" s="1"/>
  <c r="AA333" i="124"/>
  <c r="AA341" i="124" s="1"/>
  <c r="AD180" i="124"/>
  <c r="AD191" i="124" s="1"/>
  <c r="BH271" i="120"/>
  <c r="AP159" i="124"/>
  <c r="AP158" i="124"/>
  <c r="BI132" i="124"/>
  <c r="AP316" i="124"/>
  <c r="AP317" i="124"/>
  <c r="AQ296" i="124"/>
  <c r="AQ297" i="124"/>
  <c r="AQ309" i="124"/>
  <c r="AQ311" i="124"/>
  <c r="AQ312" i="124"/>
  <c r="H131" i="124"/>
  <c r="H129" i="124"/>
  <c r="BE296" i="124"/>
  <c r="BE297" i="124"/>
  <c r="BE311" i="124"/>
  <c r="BE312" i="124"/>
  <c r="BE309" i="124"/>
  <c r="AC45" i="124"/>
  <c r="AC25" i="124"/>
  <c r="AC34" i="124" s="1"/>
  <c r="J297" i="124"/>
  <c r="J296" i="124"/>
  <c r="J309" i="124"/>
  <c r="J312" i="124"/>
  <c r="J311" i="124"/>
  <c r="BH290" i="124"/>
  <c r="AR50" i="124"/>
  <c r="AR30" i="124" s="1"/>
  <c r="AR52" i="124"/>
  <c r="AR57" i="124" s="1"/>
  <c r="R297" i="124"/>
  <c r="R296" i="124"/>
  <c r="R309" i="124"/>
  <c r="R312" i="124"/>
  <c r="R311" i="124"/>
  <c r="BI46" i="124"/>
  <c r="BI54" i="124" s="1"/>
  <c r="BJ258" i="120"/>
  <c r="BJ279" i="120"/>
  <c r="BJ303" i="120" s="1"/>
  <c r="V139" i="124"/>
  <c r="V138" i="124"/>
  <c r="V151" i="124"/>
  <c r="V153" i="124"/>
  <c r="V154" i="124"/>
  <c r="L50" i="124"/>
  <c r="L30" i="124" s="1"/>
  <c r="L52" i="124"/>
  <c r="L57" i="124" s="1"/>
  <c r="BJ307" i="124" a="1"/>
  <c r="BJ307" i="124" s="1"/>
  <c r="BJ306" i="124" a="1"/>
  <c r="BJ306" i="124" s="1"/>
  <c r="BJ264" i="124"/>
  <c r="BJ253" i="124"/>
  <c r="BJ254" i="124" s="1"/>
  <c r="BJ263" i="124"/>
  <c r="BJ102" i="124"/>
  <c r="AY139" i="124"/>
  <c r="AY138" i="124"/>
  <c r="AY151" i="124"/>
  <c r="AY153" i="124"/>
  <c r="AY154" i="124"/>
  <c r="AX52" i="124"/>
  <c r="AX57" i="124" s="1"/>
  <c r="AX50" i="124"/>
  <c r="AX30" i="124" s="1"/>
  <c r="K139" i="124"/>
  <c r="K138" i="124"/>
  <c r="K151" i="124"/>
  <c r="K153" i="124"/>
  <c r="K154" i="124"/>
  <c r="AD102" i="124"/>
  <c r="AO339" i="124"/>
  <c r="AO331" i="124"/>
  <c r="AQ231" i="120"/>
  <c r="P218" i="124"/>
  <c r="P217" i="124"/>
  <c r="P230" i="124"/>
  <c r="P232" i="124"/>
  <c r="P233" i="124"/>
  <c r="AT297" i="120"/>
  <c r="AT296" i="120"/>
  <c r="AT309" i="120"/>
  <c r="AT312" i="120"/>
  <c r="AT311" i="120"/>
  <c r="H210" i="124"/>
  <c r="H208" i="124"/>
  <c r="BH283" i="124"/>
  <c r="BH291" i="124" s="1"/>
  <c r="H340" i="124"/>
  <c r="O139" i="124"/>
  <c r="O138" i="124"/>
  <c r="O151" i="124"/>
  <c r="O153" i="124"/>
  <c r="O154" i="124"/>
  <c r="AV297" i="124"/>
  <c r="AV296" i="124"/>
  <c r="AV309" i="124"/>
  <c r="AV312" i="124"/>
  <c r="AV311" i="124"/>
  <c r="U296" i="124"/>
  <c r="U297" i="124"/>
  <c r="U309" i="124"/>
  <c r="U311" i="124"/>
  <c r="U312" i="124"/>
  <c r="BI224" i="124"/>
  <c r="AW297" i="120"/>
  <c r="AW296" i="120"/>
  <c r="AW309" i="120"/>
  <c r="AW312" i="120"/>
  <c r="AW311" i="120"/>
  <c r="BD217" i="124"/>
  <c r="BD218" i="124"/>
  <c r="BD233" i="124"/>
  <c r="BD230" i="124"/>
  <c r="BD232" i="124"/>
  <c r="Y296" i="124"/>
  <c r="Y297" i="124"/>
  <c r="Y309" i="124"/>
  <c r="Y311" i="124"/>
  <c r="Y312" i="124"/>
  <c r="AB284" i="124"/>
  <c r="AW339" i="124"/>
  <c r="AW342" i="124" s="1"/>
  <c r="AW331" i="124"/>
  <c r="BF217" i="124"/>
  <c r="BF218" i="124"/>
  <c r="BF230" i="124"/>
  <c r="BF233" i="124"/>
  <c r="BF232" i="124"/>
  <c r="Y139" i="124"/>
  <c r="Y138" i="124"/>
  <c r="Y151" i="124"/>
  <c r="Y153" i="124"/>
  <c r="Y154" i="124"/>
  <c r="W50" i="124"/>
  <c r="W30" i="124" s="1"/>
  <c r="W52" i="124"/>
  <c r="W57" i="124" s="1"/>
  <c r="K331" i="124"/>
  <c r="K339" i="124"/>
  <c r="K342" i="124" s="1"/>
  <c r="AO316" i="120"/>
  <c r="AO317" i="120"/>
  <c r="L90" i="124"/>
  <c r="L147" i="124" s="1"/>
  <c r="L152" i="124" s="1"/>
  <c r="AR90" i="124"/>
  <c r="AR147" i="124" s="1"/>
  <c r="AR152" i="124" s="1"/>
  <c r="AR248" i="124"/>
  <c r="AR305" i="124" s="1"/>
  <c r="AR310" i="124" s="1"/>
  <c r="L248" i="124"/>
  <c r="L305" i="124" s="1"/>
  <c r="L310" i="124" s="1"/>
  <c r="AR248" i="120"/>
  <c r="AR305" i="120" s="1"/>
  <c r="AR310" i="120" s="1"/>
  <c r="J237" i="124"/>
  <c r="J238" i="124"/>
  <c r="AP339" i="124"/>
  <c r="AP342" i="124" s="1"/>
  <c r="AP331" i="124"/>
  <c r="AX233" i="120"/>
  <c r="AX217" i="120"/>
  <c r="AX218" i="120"/>
  <c r="AX230" i="120"/>
  <c r="AX232" i="120"/>
  <c r="V296" i="124"/>
  <c r="V297" i="124"/>
  <c r="V312" i="124"/>
  <c r="V309" i="124"/>
  <c r="V311" i="124"/>
  <c r="BD217" i="120"/>
  <c r="BD218" i="120"/>
  <c r="BD233" i="120"/>
  <c r="BD232" i="120"/>
  <c r="BD230" i="120"/>
  <c r="AY296" i="120"/>
  <c r="AY297" i="120"/>
  <c r="AY309" i="120"/>
  <c r="AY311" i="120"/>
  <c r="AY312" i="120"/>
  <c r="AC190" i="124"/>
  <c r="N296" i="124"/>
  <c r="N297" i="124"/>
  <c r="N309" i="124"/>
  <c r="N312" i="124"/>
  <c r="N311" i="124"/>
  <c r="AV331" i="124"/>
  <c r="AV339" i="124"/>
  <c r="AV342" i="124" s="1"/>
  <c r="W296" i="124"/>
  <c r="W297" i="124"/>
  <c r="W309" i="124"/>
  <c r="W312" i="124"/>
  <c r="W311" i="124"/>
  <c r="BI211" i="124"/>
  <c r="BI125" i="124"/>
  <c r="W139" i="124"/>
  <c r="W138" i="124"/>
  <c r="W151" i="124"/>
  <c r="W153" i="124"/>
  <c r="W154" i="124"/>
  <c r="V331" i="124"/>
  <c r="V339" i="124"/>
  <c r="V342" i="124" s="1"/>
  <c r="I297" i="124"/>
  <c r="I296" i="124"/>
  <c r="I309" i="124"/>
  <c r="I311" i="124"/>
  <c r="I312" i="124"/>
  <c r="I310" i="124"/>
  <c r="AC53" i="124"/>
  <c r="BJ306" i="120" a="1"/>
  <c r="BJ306" i="120" s="1"/>
  <c r="BJ264" i="120"/>
  <c r="BJ263" i="120"/>
  <c r="BJ307" i="120" a="1"/>
  <c r="BJ307" i="120" s="1"/>
  <c r="BJ253" i="120"/>
  <c r="BJ254" i="120" s="1"/>
  <c r="BJ290" i="120" s="1"/>
  <c r="BJ180" i="120"/>
  <c r="BJ191" i="120" s="1"/>
  <c r="AU138" i="124"/>
  <c r="AU139" i="124"/>
  <c r="AU151" i="124"/>
  <c r="AU154" i="124"/>
  <c r="AU153" i="124"/>
  <c r="BB339" i="124"/>
  <c r="BB342" i="124" s="1"/>
  <c r="BB331" i="124"/>
  <c r="BB297" i="124"/>
  <c r="BB296" i="124"/>
  <c r="BB309" i="124"/>
  <c r="BB312" i="124"/>
  <c r="BB311" i="124"/>
  <c r="BI204" i="120"/>
  <c r="BI212" i="120" s="1"/>
  <c r="BD296" i="120"/>
  <c r="BD297" i="120"/>
  <c r="BD309" i="120"/>
  <c r="BD312" i="120"/>
  <c r="BD311" i="120"/>
  <c r="Z218" i="124"/>
  <c r="Z217" i="124"/>
  <c r="Z232" i="124"/>
  <c r="Z233" i="124"/>
  <c r="Z230" i="124"/>
  <c r="BJ22" i="124"/>
  <c r="Y339" i="124"/>
  <c r="Y342" i="124" s="1"/>
  <c r="Y331" i="124"/>
  <c r="AD21" i="124"/>
  <c r="AD42" i="124"/>
  <c r="AO50" i="124"/>
  <c r="AO30" i="124" s="1"/>
  <c r="AO52" i="124"/>
  <c r="AO57" i="124" s="1"/>
  <c r="AR218" i="124"/>
  <c r="AR217" i="124"/>
  <c r="AR230" i="124"/>
  <c r="AR232" i="124"/>
  <c r="AR233" i="124"/>
  <c r="AQ231" i="124"/>
  <c r="AY297" i="124"/>
  <c r="AY296" i="124"/>
  <c r="AY309" i="124"/>
  <c r="AY311" i="124"/>
  <c r="AY312" i="124"/>
  <c r="AZ233" i="120"/>
  <c r="AZ217" i="120"/>
  <c r="AZ218" i="120"/>
  <c r="AZ230" i="120"/>
  <c r="AZ232" i="120"/>
  <c r="AR139" i="124"/>
  <c r="AR138" i="124"/>
  <c r="AR151" i="124"/>
  <c r="AR154" i="124"/>
  <c r="AR153" i="124"/>
  <c r="H53" i="124"/>
  <c r="BG333" i="124"/>
  <c r="BG139" i="124"/>
  <c r="BG138" i="124"/>
  <c r="BG151" i="124"/>
  <c r="BG153" i="124"/>
  <c r="BG154" i="124"/>
  <c r="AN208" i="124"/>
  <c r="AN210" i="124"/>
  <c r="BA339" i="124"/>
  <c r="BA342" i="124" s="1"/>
  <c r="BA331" i="124"/>
  <c r="AZ218" i="124"/>
  <c r="AZ217" i="124"/>
  <c r="AZ230" i="124"/>
  <c r="AZ232" i="124"/>
  <c r="AZ233" i="124"/>
  <c r="AW50" i="124"/>
  <c r="AW30" i="124" s="1"/>
  <c r="AW52" i="124"/>
  <c r="AW57" i="124" s="1"/>
  <c r="H132" i="124"/>
  <c r="K52" i="124"/>
  <c r="K57" i="124" s="1"/>
  <c r="K73" i="124" s="1"/>
  <c r="K50" i="124"/>
  <c r="K30" i="124" s="1"/>
  <c r="AO320" i="120"/>
  <c r="AO321" i="120"/>
  <c r="AR11" i="124"/>
  <c r="AR68" i="124" s="1"/>
  <c r="L11" i="124"/>
  <c r="L68" i="124" s="1"/>
  <c r="AP50" i="124"/>
  <c r="AP30" i="124" s="1"/>
  <c r="AP52" i="124"/>
  <c r="AP57" i="124" s="1"/>
  <c r="AN289" i="124"/>
  <c r="AN287" i="124"/>
  <c r="J158" i="124"/>
  <c r="J159" i="124"/>
  <c r="AN290" i="124"/>
  <c r="BH331" i="124"/>
  <c r="BG218" i="124"/>
  <c r="BE138" i="124"/>
  <c r="BE139" i="124"/>
  <c r="BE154" i="124"/>
  <c r="BE153" i="124"/>
  <c r="BE151" i="124"/>
  <c r="AV50" i="124"/>
  <c r="AV30" i="124" s="1"/>
  <c r="AV52" i="124"/>
  <c r="AV57" i="124" s="1"/>
  <c r="AY339" i="124"/>
  <c r="AY342" i="124" s="1"/>
  <c r="AY331" i="124"/>
  <c r="V50" i="124"/>
  <c r="V30" i="124" s="1"/>
  <c r="V52" i="124"/>
  <c r="V57" i="124" s="1"/>
  <c r="AS217" i="120"/>
  <c r="AS218" i="120"/>
  <c r="AS230" i="120"/>
  <c r="AS232" i="120"/>
  <c r="AS233" i="120"/>
  <c r="BE217" i="120"/>
  <c r="BE218" i="120"/>
  <c r="BE230" i="120"/>
  <c r="BE232" i="120"/>
  <c r="BE233" i="120"/>
  <c r="BJ227" i="120" a="1"/>
  <c r="BJ227" i="120" s="1"/>
  <c r="BJ228" i="120" a="1"/>
  <c r="BJ228" i="120" s="1"/>
  <c r="BJ185" i="120"/>
  <c r="BJ184" i="120"/>
  <c r="BJ174" i="120"/>
  <c r="BB52" i="124"/>
  <c r="BB57" i="124" s="1"/>
  <c r="BB50" i="124"/>
  <c r="BB30" i="124" s="1"/>
  <c r="U138" i="124"/>
  <c r="U139" i="124"/>
  <c r="U151" i="124"/>
  <c r="U153" i="124"/>
  <c r="U154" i="124"/>
  <c r="BG309" i="120"/>
  <c r="BG297" i="120"/>
  <c r="BG296" i="120"/>
  <c r="BG311" i="120"/>
  <c r="BG312" i="120"/>
  <c r="T297" i="124"/>
  <c r="T296" i="124"/>
  <c r="T309" i="124"/>
  <c r="T312" i="124"/>
  <c r="T311" i="124"/>
  <c r="BI190" i="124"/>
  <c r="BC297" i="124"/>
  <c r="BC296" i="124"/>
  <c r="BC311" i="124"/>
  <c r="BC312" i="124"/>
  <c r="BC309" i="124"/>
  <c r="J310" i="124"/>
  <c r="Y50" i="124"/>
  <c r="Y30" i="124" s="1"/>
  <c r="Y52" i="124"/>
  <c r="Y57" i="124" s="1"/>
  <c r="AC96" i="124"/>
  <c r="AD23" i="124"/>
  <c r="AD121" i="124"/>
  <c r="AD145" i="124" s="1"/>
  <c r="AD100" i="124"/>
  <c r="AD258" i="124"/>
  <c r="AD279" i="124"/>
  <c r="R139" i="124"/>
  <c r="R138" i="124"/>
  <c r="R151" i="124"/>
  <c r="R153" i="124"/>
  <c r="R154" i="124"/>
  <c r="BI203" i="120"/>
  <c r="H339" i="124"/>
  <c r="H331" i="124"/>
  <c r="Z312" i="124"/>
  <c r="BH281" i="124"/>
  <c r="H341" i="124"/>
  <c r="H290" i="124"/>
  <c r="K231" i="124"/>
  <c r="AP217" i="124"/>
  <c r="AP218" i="124"/>
  <c r="AP230" i="124"/>
  <c r="AP233" i="124"/>
  <c r="AP232" i="124"/>
  <c r="BD339" i="124"/>
  <c r="BD342" i="124" s="1"/>
  <c r="BD331" i="124"/>
  <c r="O296" i="124"/>
  <c r="O297" i="124"/>
  <c r="O309" i="124"/>
  <c r="O312" i="124"/>
  <c r="O311" i="124"/>
  <c r="AQ339" i="124"/>
  <c r="AQ342" i="124" s="1"/>
  <c r="AQ331" i="124"/>
  <c r="AX296" i="124"/>
  <c r="AX297" i="124"/>
  <c r="AX309" i="124"/>
  <c r="AX312" i="124"/>
  <c r="AX311" i="124"/>
  <c r="K310" i="124"/>
  <c r="N331" i="124"/>
  <c r="N339" i="124"/>
  <c r="N342" i="124" s="1"/>
  <c r="BA50" i="124"/>
  <c r="BA30" i="124" s="1"/>
  <c r="BA52" i="124"/>
  <c r="BA57" i="124" s="1"/>
  <c r="AC32" i="124"/>
  <c r="AC328" i="124"/>
  <c r="AQ296" i="120"/>
  <c r="AQ297" i="120"/>
  <c r="AQ309" i="120"/>
  <c r="AQ312" i="120"/>
  <c r="AQ311" i="120"/>
  <c r="L138" i="124"/>
  <c r="L139" i="124"/>
  <c r="L151" i="124"/>
  <c r="L154" i="124"/>
  <c r="L153" i="124"/>
  <c r="AT339" i="124"/>
  <c r="AT342" i="124" s="1"/>
  <c r="AT331" i="124"/>
  <c r="AT297" i="124"/>
  <c r="AT296" i="124"/>
  <c r="AT309" i="124"/>
  <c r="AT311" i="124"/>
  <c r="AT312" i="124"/>
  <c r="AT139" i="124"/>
  <c r="AT138" i="124"/>
  <c r="AT151" i="124"/>
  <c r="AT154" i="124"/>
  <c r="AT153" i="124"/>
  <c r="AC303" i="124"/>
  <c r="AO138" i="124"/>
  <c r="AO139" i="124"/>
  <c r="AO151" i="124"/>
  <c r="AO153" i="124"/>
  <c r="AO154" i="124"/>
  <c r="AO152" i="124"/>
  <c r="AW218" i="120"/>
  <c r="AW217" i="120"/>
  <c r="AW230" i="120"/>
  <c r="AW233" i="120"/>
  <c r="AW232" i="120"/>
  <c r="BI303" i="124"/>
  <c r="AO319" i="120"/>
  <c r="AO318" i="120"/>
  <c r="AR169" i="124"/>
  <c r="AR226" i="124" s="1"/>
  <c r="AR231" i="124" s="1"/>
  <c r="AR169" i="120"/>
  <c r="AR226" i="120" s="1"/>
  <c r="AR231" i="120" s="1"/>
  <c r="L169" i="124"/>
  <c r="L226" i="124" s="1"/>
  <c r="L231" i="124" s="1"/>
  <c r="BF139" i="124"/>
  <c r="BF138" i="124"/>
  <c r="BF154" i="124"/>
  <c r="BF151" i="124"/>
  <c r="BF153" i="124"/>
  <c r="BF218" i="120"/>
  <c r="BF217" i="120"/>
  <c r="BF233" i="120"/>
  <c r="BF232" i="120"/>
  <c r="BF230" i="120"/>
  <c r="I139" i="124"/>
  <c r="I138" i="124"/>
  <c r="I151" i="124"/>
  <c r="I154" i="124"/>
  <c r="I153" i="124"/>
  <c r="I152" i="124"/>
  <c r="X139" i="124"/>
  <c r="X138" i="124"/>
  <c r="X151" i="124"/>
  <c r="X153" i="124"/>
  <c r="X154" i="124"/>
  <c r="AB215" i="124"/>
  <c r="BH50" i="124"/>
  <c r="BH30" i="124" s="1"/>
  <c r="BH52" i="124"/>
  <c r="BH57" i="124" s="1"/>
  <c r="AR312" i="120"/>
  <c r="AR296" i="120"/>
  <c r="AR297" i="120"/>
  <c r="AR309" i="120"/>
  <c r="AR311" i="120"/>
  <c r="AS218" i="124"/>
  <c r="AS217" i="124"/>
  <c r="AS230" i="124"/>
  <c r="AS233" i="124"/>
  <c r="AS232" i="124"/>
  <c r="BG217" i="120"/>
  <c r="BG218" i="120"/>
  <c r="BG232" i="120"/>
  <c r="BG233" i="120"/>
  <c r="BG230" i="120"/>
  <c r="AY50" i="124"/>
  <c r="AY30" i="124" s="1"/>
  <c r="AY52" i="124"/>
  <c r="AY57" i="124" s="1"/>
  <c r="BI330" i="124"/>
  <c r="BH208" i="120"/>
  <c r="BH188" i="120" s="1"/>
  <c r="BH210" i="120"/>
  <c r="BH215" i="120" s="1"/>
  <c r="AU297" i="124"/>
  <c r="AU296" i="124"/>
  <c r="AU309" i="124"/>
  <c r="AU312" i="124"/>
  <c r="AU311" i="124"/>
  <c r="AN233" i="120"/>
  <c r="AN217" i="120"/>
  <c r="AN218" i="120"/>
  <c r="AN230" i="120"/>
  <c r="AN232" i="120"/>
  <c r="AN231" i="120"/>
  <c r="AC104" i="124"/>
  <c r="M339" i="124"/>
  <c r="M342" i="124" s="1"/>
  <c r="M331" i="124"/>
  <c r="Y218" i="124"/>
  <c r="Y217" i="124"/>
  <c r="Y230" i="124"/>
  <c r="Y233" i="124"/>
  <c r="Y232" i="124"/>
  <c r="AZ297" i="124"/>
  <c r="AZ296" i="124"/>
  <c r="AZ309" i="124"/>
  <c r="AZ312" i="124"/>
  <c r="AZ311" i="124"/>
  <c r="AW296" i="124"/>
  <c r="AW297" i="124"/>
  <c r="AW309" i="124"/>
  <c r="AW311" i="124"/>
  <c r="AW312" i="124"/>
  <c r="K297" i="124"/>
  <c r="K296" i="124"/>
  <c r="K309" i="124"/>
  <c r="K312" i="124"/>
  <c r="K311" i="124"/>
  <c r="M296" i="124"/>
  <c r="M297" i="124"/>
  <c r="M309" i="124"/>
  <c r="M312" i="124"/>
  <c r="M311" i="124"/>
  <c r="BC217" i="120"/>
  <c r="BC218" i="120"/>
  <c r="BC230" i="120"/>
  <c r="BC233" i="120"/>
  <c r="BC232" i="120"/>
  <c r="BI111" i="124"/>
  <c r="AR297" i="124"/>
  <c r="AR296" i="124"/>
  <c r="AR309" i="124"/>
  <c r="AR311" i="124"/>
  <c r="AR312" i="124"/>
  <c r="H211" i="124"/>
  <c r="BH289" i="120"/>
  <c r="BH287" i="120"/>
  <c r="BH267" i="120" s="1"/>
  <c r="I339" i="124"/>
  <c r="I331" i="124"/>
  <c r="AD184" i="124"/>
  <c r="AD227" i="124" a="1"/>
  <c r="AD227" i="124" s="1"/>
  <c r="AD228" i="124" a="1"/>
  <c r="AD228" i="124" s="1"/>
  <c r="AD174" i="124"/>
  <c r="AD175" i="124" s="1"/>
  <c r="AD211" i="124" s="1"/>
  <c r="AD185" i="124"/>
  <c r="AE301" i="124"/>
  <c r="AE278" i="124"/>
  <c r="AE293" i="124" s="1"/>
  <c r="AE276" i="124"/>
  <c r="AE302" i="124"/>
  <c r="AE277" i="124"/>
  <c r="AE275" i="124"/>
  <c r="AE252" i="124"/>
  <c r="AE223" i="124"/>
  <c r="AE222" i="124"/>
  <c r="AE196" i="124"/>
  <c r="AE197" i="124"/>
  <c r="AE180" i="124" s="1"/>
  <c r="AE198" i="124"/>
  <c r="AE199" i="124"/>
  <c r="AE214" i="124" s="1"/>
  <c r="AE173" i="124"/>
  <c r="AE143" i="124"/>
  <c r="AE144" i="124"/>
  <c r="AE120" i="124"/>
  <c r="AE135" i="124" s="1"/>
  <c r="AE118" i="124"/>
  <c r="AE65" i="124"/>
  <c r="AE117" i="124"/>
  <c r="AE119" i="124"/>
  <c r="AE64" i="124"/>
  <c r="AE94" i="124"/>
  <c r="AE41" i="124"/>
  <c r="AE56" i="124" s="1"/>
  <c r="AE39" i="124"/>
  <c r="AE22" i="124" s="1"/>
  <c r="AF8" i="124"/>
  <c r="AE40" i="124"/>
  <c r="AE38" i="124"/>
  <c r="AE15" i="124"/>
  <c r="AE249" i="124"/>
  <c r="AE170" i="124"/>
  <c r="AE91" i="124"/>
  <c r="AE12" i="124"/>
  <c r="AD260" i="124"/>
  <c r="H50" i="124"/>
  <c r="H52" i="124"/>
  <c r="BH282" i="124"/>
  <c r="BH334" i="124" s="1"/>
  <c r="BH339" i="124" s="1"/>
  <c r="L217" i="124"/>
  <c r="L218" i="124"/>
  <c r="L230" i="124"/>
  <c r="L232" i="124"/>
  <c r="L233" i="124"/>
  <c r="AC330" i="124"/>
  <c r="BD50" i="124"/>
  <c r="BD30" i="124" s="1"/>
  <c r="BD52" i="124"/>
  <c r="BD57" i="124" s="1"/>
  <c r="AO242" i="120"/>
  <c r="AO241" i="120"/>
  <c r="AQ50" i="124"/>
  <c r="AQ30" i="124" s="1"/>
  <c r="AQ52" i="124"/>
  <c r="AQ57" i="124" s="1"/>
  <c r="AQ73" i="124" s="1"/>
  <c r="S218" i="124"/>
  <c r="S217" i="124"/>
  <c r="S230" i="124"/>
  <c r="S232" i="124"/>
  <c r="S233" i="124"/>
  <c r="AQ310" i="124"/>
  <c r="N52" i="124"/>
  <c r="N57" i="124" s="1"/>
  <c r="N50" i="124"/>
  <c r="N30" i="124" s="1"/>
  <c r="AN211" i="124"/>
  <c r="BH131" i="124"/>
  <c r="BH136" i="124" s="1"/>
  <c r="BH129" i="124"/>
  <c r="BH109" i="124" s="1"/>
  <c r="AV218" i="120"/>
  <c r="AV217" i="120"/>
  <c r="AV230" i="120"/>
  <c r="AV233" i="120"/>
  <c r="AV232" i="120"/>
  <c r="U339" i="124"/>
  <c r="U342" i="124" s="1"/>
  <c r="U331" i="124"/>
  <c r="AP232" i="120"/>
  <c r="AP218" i="120"/>
  <c r="AP217" i="120"/>
  <c r="AP230" i="120"/>
  <c r="AP233" i="120"/>
  <c r="BC297" i="120"/>
  <c r="BC296" i="120"/>
  <c r="BC311" i="120"/>
  <c r="BC309" i="120"/>
  <c r="BC312" i="120"/>
  <c r="AT52" i="124"/>
  <c r="AT57" i="124" s="1"/>
  <c r="AT50" i="124"/>
  <c r="AT30" i="124" s="1"/>
  <c r="AT218" i="124"/>
  <c r="AT217" i="124"/>
  <c r="AT230" i="124"/>
  <c r="AT232" i="124"/>
  <c r="AT233" i="124"/>
  <c r="BI282" i="124"/>
  <c r="BI262" i="124"/>
  <c r="BI281" i="124" s="1"/>
  <c r="BF339" i="124"/>
  <c r="BF331" i="124"/>
  <c r="AO314" i="120"/>
  <c r="AO315" i="120"/>
  <c r="BK196" i="120"/>
  <c r="BK278" i="120"/>
  <c r="BK293" i="120" s="1"/>
  <c r="BK252" i="120"/>
  <c r="BK301" i="120"/>
  <c r="BK197" i="120"/>
  <c r="BK275" i="120"/>
  <c r="BK173" i="120"/>
  <c r="BK302" i="120"/>
  <c r="BK198" i="120"/>
  <c r="BK276" i="120"/>
  <c r="BK199" i="120"/>
  <c r="BK214" i="120" s="1"/>
  <c r="BK277" i="120"/>
  <c r="BK222" i="120"/>
  <c r="BK143" i="120"/>
  <c r="BK223" i="120"/>
  <c r="BK144" i="120"/>
  <c r="BK170" i="120"/>
  <c r="BK249" i="120"/>
  <c r="AB331" i="124"/>
  <c r="J139" i="124"/>
  <c r="J138" i="124"/>
  <c r="J151" i="124"/>
  <c r="J154" i="124"/>
  <c r="J153" i="124"/>
  <c r="BA139" i="124"/>
  <c r="BA138" i="124"/>
  <c r="BA151" i="124"/>
  <c r="BA154" i="124"/>
  <c r="BA153" i="124"/>
  <c r="P339" i="124"/>
  <c r="P342" i="124" s="1"/>
  <c r="P331" i="124"/>
  <c r="Q218" i="124"/>
  <c r="Q217" i="124"/>
  <c r="Q230" i="124"/>
  <c r="Q233" i="124"/>
  <c r="Q232" i="124"/>
  <c r="V217" i="124"/>
  <c r="V218" i="124"/>
  <c r="V230" i="124"/>
  <c r="V233" i="124"/>
  <c r="V232" i="124"/>
  <c r="Z139" i="124"/>
  <c r="Z138" i="124"/>
  <c r="Z151" i="124"/>
  <c r="Z154" i="124"/>
  <c r="Z153" i="124"/>
  <c r="Q339" i="124"/>
  <c r="Q342" i="124" s="1"/>
  <c r="Q331" i="124"/>
  <c r="AT233" i="120"/>
  <c r="AT218" i="120"/>
  <c r="AT217" i="120"/>
  <c r="AT230" i="120"/>
  <c r="AT232" i="120"/>
  <c r="L296" i="124"/>
  <c r="L297" i="124"/>
  <c r="L309" i="124"/>
  <c r="L311" i="124"/>
  <c r="L312" i="124"/>
  <c r="M50" i="124"/>
  <c r="M30" i="124" s="1"/>
  <c r="M52" i="124"/>
  <c r="M57" i="124" s="1"/>
  <c r="T138" i="124"/>
  <c r="T139" i="124"/>
  <c r="T151" i="124"/>
  <c r="T154" i="124"/>
  <c r="T153" i="124"/>
  <c r="AP297" i="120"/>
  <c r="AP296" i="120"/>
  <c r="AP309" i="120"/>
  <c r="AP312" i="120"/>
  <c r="AP311" i="120"/>
  <c r="AB126" i="124"/>
  <c r="BJ179" i="120"/>
  <c r="BJ200" i="120"/>
  <c r="BA218" i="124"/>
  <c r="BA217" i="124"/>
  <c r="BA230" i="124"/>
  <c r="BA232" i="124"/>
  <c r="BA233" i="124"/>
  <c r="BG339" i="124"/>
  <c r="BG331" i="124"/>
  <c r="U217" i="124"/>
  <c r="U218" i="124"/>
  <c r="U230" i="124"/>
  <c r="U232" i="124"/>
  <c r="U233" i="124"/>
  <c r="S339" i="124"/>
  <c r="S342" i="124" s="1"/>
  <c r="S331" i="124"/>
  <c r="BK302" i="124"/>
  <c r="BK277" i="124"/>
  <c r="BK278" i="124"/>
  <c r="BK293" i="124" s="1"/>
  <c r="BK301" i="124"/>
  <c r="BK275" i="124"/>
  <c r="BK252" i="124"/>
  <c r="BK276" i="124"/>
  <c r="BK223" i="124"/>
  <c r="BK222" i="124"/>
  <c r="BK197" i="124"/>
  <c r="BK198" i="124"/>
  <c r="BK173" i="124"/>
  <c r="BK199" i="124"/>
  <c r="BK144" i="124"/>
  <c r="BK196" i="124"/>
  <c r="BK143" i="124"/>
  <c r="BK119" i="124"/>
  <c r="BK117" i="124"/>
  <c r="BK64" i="124"/>
  <c r="BK118" i="124"/>
  <c r="BK94" i="124"/>
  <c r="BK120" i="124"/>
  <c r="BK135" i="124" s="1"/>
  <c r="BK65" i="124"/>
  <c r="BK40" i="124"/>
  <c r="BK38" i="124"/>
  <c r="BL8" i="124"/>
  <c r="BK15" i="124"/>
  <c r="BK41" i="124"/>
  <c r="BK56" i="124" s="1"/>
  <c r="BK39" i="124"/>
  <c r="BK249" i="124"/>
  <c r="BK91" i="124"/>
  <c r="BK170" i="124"/>
  <c r="BK12" i="124"/>
  <c r="BJ293" i="124"/>
  <c r="BB218" i="124"/>
  <c r="BB217" i="124"/>
  <c r="BB230" i="124"/>
  <c r="BB232" i="124"/>
  <c r="BB233" i="124"/>
  <c r="Q296" i="124"/>
  <c r="Q297" i="124"/>
  <c r="Q309" i="124"/>
  <c r="Q312" i="124"/>
  <c r="Q311" i="124"/>
  <c r="I50" i="124"/>
  <c r="I30" i="124" s="1"/>
  <c r="I52" i="124"/>
  <c r="I57" i="124" s="1"/>
  <c r="AD105" i="124"/>
  <c r="AD95" i="124"/>
  <c r="AD96" i="124" s="1"/>
  <c r="AD149" i="124" a="1"/>
  <c r="AD149" i="124" s="1"/>
  <c r="AD106" i="124"/>
  <c r="AD148" i="124" a="1"/>
  <c r="AD148" i="124" s="1"/>
  <c r="AD101" i="124"/>
  <c r="AD112" i="124" s="1"/>
  <c r="AD200" i="124"/>
  <c r="AD179" i="124"/>
  <c r="AD303" i="124"/>
  <c r="BI190" i="120"/>
  <c r="BH126" i="124"/>
  <c r="P297" i="124"/>
  <c r="P296" i="124"/>
  <c r="P309" i="124"/>
  <c r="P312" i="124"/>
  <c r="P311" i="124"/>
  <c r="O339" i="124"/>
  <c r="O342" i="124" s="1"/>
  <c r="O331" i="124"/>
  <c r="AZ318" i="120"/>
  <c r="AZ319" i="120"/>
  <c r="AB205" i="124"/>
  <c r="H289" i="124"/>
  <c r="H287" i="124"/>
  <c r="AS139" i="124"/>
  <c r="AS138" i="124"/>
  <c r="AS151" i="124"/>
  <c r="AS153" i="124"/>
  <c r="AS154" i="124"/>
  <c r="AO239" i="120"/>
  <c r="AO240" i="120"/>
  <c r="AO296" i="124"/>
  <c r="AO297" i="124"/>
  <c r="AO309" i="124"/>
  <c r="AO311" i="124"/>
  <c r="AO312" i="124"/>
  <c r="AO310" i="124"/>
  <c r="AQ310" i="120"/>
  <c r="BE296" i="120"/>
  <c r="BE297" i="120"/>
  <c r="BE311" i="120"/>
  <c r="BE312" i="120"/>
  <c r="BE309" i="120"/>
  <c r="U50" i="124"/>
  <c r="U30" i="124" s="1"/>
  <c r="U52" i="124"/>
  <c r="U57" i="124" s="1"/>
  <c r="AU296" i="120"/>
  <c r="AU297" i="120"/>
  <c r="AU309" i="120"/>
  <c r="AU312" i="120"/>
  <c r="AU311" i="120"/>
  <c r="BI33" i="124"/>
  <c r="BI53" i="124" s="1"/>
  <c r="BI329" i="124"/>
  <c r="BI340" i="124" s="1"/>
  <c r="BC138" i="124"/>
  <c r="BC139" i="124"/>
  <c r="BC151" i="124"/>
  <c r="BC153" i="124"/>
  <c r="BC154" i="124"/>
  <c r="BI290" i="120"/>
  <c r="T339" i="124"/>
  <c r="T342" i="124" s="1"/>
  <c r="T331" i="124"/>
  <c r="BF296" i="124"/>
  <c r="BF297" i="124"/>
  <c r="BF309" i="124"/>
  <c r="BF311" i="124"/>
  <c r="BF312" i="124"/>
  <c r="AW217" i="124"/>
  <c r="AW218" i="124"/>
  <c r="AW230" i="124"/>
  <c r="AW233" i="124"/>
  <c r="AW232" i="124"/>
  <c r="BF50" i="124"/>
  <c r="BF30" i="124" s="1"/>
  <c r="BF52" i="124"/>
  <c r="BF57" i="124" s="1"/>
  <c r="BH205" i="120"/>
  <c r="AB50" i="124"/>
  <c r="AB30" i="124" s="1"/>
  <c r="AB52" i="124"/>
  <c r="AB57" i="124" s="1"/>
  <c r="P50" i="124"/>
  <c r="P30" i="124" s="1"/>
  <c r="P52" i="124"/>
  <c r="P57" i="124" s="1"/>
  <c r="BA296" i="124"/>
  <c r="BA297" i="124"/>
  <c r="BA309" i="124"/>
  <c r="BA312" i="124"/>
  <c r="BA311" i="124"/>
  <c r="AN131" i="124"/>
  <c r="AN129" i="124"/>
  <c r="BI203" i="124"/>
  <c r="BI183" i="124"/>
  <c r="BI202" i="124" s="1"/>
  <c r="J339" i="124"/>
  <c r="J342" i="124" s="1"/>
  <c r="J331" i="124"/>
  <c r="X218" i="124"/>
  <c r="X217" i="124"/>
  <c r="X230" i="124"/>
  <c r="X233" i="124"/>
  <c r="X232" i="124"/>
  <c r="Q50" i="124"/>
  <c r="Q30" i="124" s="1"/>
  <c r="Q52" i="124"/>
  <c r="Q57" i="124" s="1"/>
  <c r="AU218" i="124"/>
  <c r="AU217" i="124"/>
  <c r="AU230" i="124"/>
  <c r="AU233" i="124"/>
  <c r="AU232" i="124"/>
  <c r="BC331" i="124"/>
  <c r="BC339" i="124"/>
  <c r="BC342" i="124" s="1"/>
  <c r="BE217" i="124"/>
  <c r="BE218" i="124"/>
  <c r="BE233" i="124"/>
  <c r="BE230" i="124"/>
  <c r="BE232" i="124"/>
  <c r="K159" i="124"/>
  <c r="K158" i="124"/>
  <c r="O218" i="124"/>
  <c r="O217" i="124"/>
  <c r="O230" i="124"/>
  <c r="O232" i="124"/>
  <c r="O233" i="124"/>
  <c r="AA297" i="124"/>
  <c r="AA296" i="124"/>
  <c r="AA309" i="124"/>
  <c r="AA312" i="124"/>
  <c r="AA311" i="124"/>
  <c r="BI32" i="124"/>
  <c r="BI328" i="124"/>
  <c r="AP317" i="120"/>
  <c r="AP316" i="120"/>
  <c r="AQ218" i="124"/>
  <c r="AQ217" i="124"/>
  <c r="AQ230" i="124"/>
  <c r="AQ232" i="124"/>
  <c r="AQ233" i="124"/>
  <c r="BG50" i="124"/>
  <c r="BG30" i="124" s="1"/>
  <c r="BG52" i="124"/>
  <c r="BG57" i="124" s="1"/>
  <c r="AR218" i="120"/>
  <c r="AR217" i="120"/>
  <c r="AR230" i="120"/>
  <c r="AR233" i="120"/>
  <c r="AR232" i="120"/>
  <c r="BH215" i="124"/>
  <c r="S52" i="124"/>
  <c r="S57" i="124" s="1"/>
  <c r="S50" i="124"/>
  <c r="S30" i="124" s="1"/>
  <c r="BJ27" i="124"/>
  <c r="BJ69" i="124" a="1"/>
  <c r="BJ69" i="124" s="1"/>
  <c r="BJ26" i="124"/>
  <c r="BJ16" i="124"/>
  <c r="BJ70" i="124" a="1"/>
  <c r="BJ70" i="124" s="1"/>
  <c r="BJ42" i="124"/>
  <c r="BJ21" i="124"/>
  <c r="BJ200" i="124"/>
  <c r="BJ179" i="124"/>
  <c r="AQ217" i="120"/>
  <c r="AQ218" i="120"/>
  <c r="AQ230" i="120"/>
  <c r="AQ233" i="120"/>
  <c r="AQ232" i="120"/>
  <c r="BH44" i="124"/>
  <c r="AD16" i="124"/>
  <c r="AD69" i="124" a="1"/>
  <c r="AD69" i="124" s="1"/>
  <c r="AD26" i="124"/>
  <c r="AD27" i="124"/>
  <c r="AD70" i="124" a="1"/>
  <c r="AD70" i="124" s="1"/>
  <c r="AD22" i="124"/>
  <c r="AD135" i="124"/>
  <c r="AD181" i="124"/>
  <c r="AD259" i="124"/>
  <c r="AD270" i="124" s="1"/>
  <c r="AV138" i="124"/>
  <c r="AV139" i="124"/>
  <c r="AV151" i="124"/>
  <c r="AV154" i="124"/>
  <c r="AV153" i="124"/>
  <c r="AU331" i="124"/>
  <c r="AU339" i="124"/>
  <c r="AU342" i="124" s="1"/>
  <c r="O50" i="124"/>
  <c r="O30" i="124" s="1"/>
  <c r="O52" i="124"/>
  <c r="O57" i="124" s="1"/>
  <c r="AZ314" i="120"/>
  <c r="AZ315" i="120"/>
  <c r="R339" i="124"/>
  <c r="R342" i="124" s="1"/>
  <c r="R331" i="124"/>
  <c r="AO235" i="120"/>
  <c r="AO236" i="120"/>
  <c r="AP238" i="120"/>
  <c r="AP237" i="120"/>
  <c r="BI192" i="120"/>
  <c r="AZ339" i="124"/>
  <c r="AZ342" i="124" s="1"/>
  <c r="AZ331" i="124"/>
  <c r="X297" i="124"/>
  <c r="X296" i="124"/>
  <c r="X309" i="124"/>
  <c r="X311" i="124"/>
  <c r="X312" i="124"/>
  <c r="AS296" i="120"/>
  <c r="AS297" i="120"/>
  <c r="AS309" i="120"/>
  <c r="AS312" i="120"/>
  <c r="AS311" i="120"/>
  <c r="T217" i="124"/>
  <c r="T218" i="124"/>
  <c r="T230" i="124"/>
  <c r="T233" i="124"/>
  <c r="T232" i="124"/>
  <c r="BB296" i="120"/>
  <c r="BB297" i="120"/>
  <c r="BB309" i="120"/>
  <c r="BB312" i="120"/>
  <c r="BB311" i="120"/>
  <c r="AC175" i="124"/>
  <c r="AC211" i="124" s="1"/>
  <c r="AC282" i="124"/>
  <c r="AC262" i="124"/>
  <c r="AC281" i="124" s="1"/>
  <c r="BH287" i="124"/>
  <c r="BH267" i="124" s="1"/>
  <c r="BH289" i="124"/>
  <c r="T50" i="124"/>
  <c r="T30" i="124" s="1"/>
  <c r="T52" i="124"/>
  <c r="T57" i="124" s="1"/>
  <c r="BG294" i="124"/>
  <c r="BG335" i="124"/>
  <c r="K218" i="124"/>
  <c r="K217" i="124"/>
  <c r="K230" i="124"/>
  <c r="K232" i="124"/>
  <c r="K233" i="124"/>
  <c r="AV217" i="124"/>
  <c r="AV218" i="124"/>
  <c r="AV230" i="124"/>
  <c r="AV232" i="124"/>
  <c r="AV233" i="124"/>
  <c r="BA297" i="120"/>
  <c r="BA296" i="120"/>
  <c r="BA309" i="120"/>
  <c r="BA311" i="120"/>
  <c r="BA312" i="120"/>
  <c r="BD138" i="124"/>
  <c r="BD139" i="124"/>
  <c r="BD151" i="124"/>
  <c r="BD154" i="124"/>
  <c r="BD153" i="124"/>
  <c r="BI204" i="124"/>
  <c r="BI212" i="124" s="1"/>
  <c r="J52" i="124"/>
  <c r="J57" i="124" s="1"/>
  <c r="J50" i="124"/>
  <c r="J30" i="124" s="1"/>
  <c r="S139" i="124"/>
  <c r="S138" i="124"/>
  <c r="S151" i="124"/>
  <c r="S153" i="124"/>
  <c r="S154" i="124"/>
  <c r="Z339" i="124"/>
  <c r="Z331" i="124"/>
  <c r="BH192" i="124"/>
  <c r="M217" i="124"/>
  <c r="M218" i="124"/>
  <c r="M230" i="124"/>
  <c r="M233" i="124"/>
  <c r="M232" i="124"/>
  <c r="AN296" i="120"/>
  <c r="AN309" i="120"/>
  <c r="AN311" i="120"/>
  <c r="AN312" i="120"/>
  <c r="AN310" i="120"/>
  <c r="AU217" i="120"/>
  <c r="AU218" i="120"/>
  <c r="AU230" i="120"/>
  <c r="AU232" i="120"/>
  <c r="AU233" i="120"/>
  <c r="BC52" i="124"/>
  <c r="BC57" i="124" s="1"/>
  <c r="BC50" i="124"/>
  <c r="BC30" i="124" s="1"/>
  <c r="BI124" i="124"/>
  <c r="BI104" i="124"/>
  <c r="BI123" i="124" s="1"/>
  <c r="AS339" i="124"/>
  <c r="AS342" i="124" s="1"/>
  <c r="AS331" i="124"/>
  <c r="BI271" i="120"/>
  <c r="BJ148" i="124" a="1"/>
  <c r="BJ148" i="124" s="1"/>
  <c r="BJ105" i="124"/>
  <c r="BJ95" i="124"/>
  <c r="BJ149" i="124" a="1"/>
  <c r="BJ149" i="124" s="1"/>
  <c r="BJ106" i="124"/>
  <c r="BJ23" i="124"/>
  <c r="BJ181" i="124"/>
  <c r="BJ279" i="124"/>
  <c r="BJ258" i="124"/>
  <c r="AD307" i="124" a="1"/>
  <c r="AD307" i="124" s="1"/>
  <c r="AD306" i="124" a="1"/>
  <c r="AD306" i="124" s="1"/>
  <c r="AD263" i="124"/>
  <c r="AD253" i="124"/>
  <c r="AD264" i="124"/>
  <c r="AD56" i="124"/>
  <c r="AD224" i="124"/>
  <c r="BE339" i="124"/>
  <c r="BE342" i="124" s="1"/>
  <c r="BE331" i="124"/>
  <c r="W218" i="124"/>
  <c r="W217" i="124"/>
  <c r="W230" i="124"/>
  <c r="W233" i="124"/>
  <c r="W232" i="124"/>
  <c r="X339" i="124"/>
  <c r="X342" i="124" s="1"/>
  <c r="X331" i="124"/>
  <c r="AU52" i="124"/>
  <c r="AU57" i="124" s="1"/>
  <c r="AU50" i="124"/>
  <c r="AU30" i="124" s="1"/>
  <c r="P139" i="124"/>
  <c r="P138" i="124"/>
  <c r="P151" i="124"/>
  <c r="P154" i="124"/>
  <c r="P153" i="124"/>
  <c r="R52" i="124"/>
  <c r="R57" i="124" s="1"/>
  <c r="R50" i="124"/>
  <c r="R30" i="124" s="1"/>
  <c r="AX139" i="124"/>
  <c r="AX138" i="124"/>
  <c r="AX151" i="124"/>
  <c r="AX153" i="124"/>
  <c r="AX154" i="124"/>
  <c r="R218" i="124"/>
  <c r="R217" i="124"/>
  <c r="R230" i="124"/>
  <c r="R232" i="124"/>
  <c r="R233" i="124"/>
  <c r="AA339" i="124"/>
  <c r="AA331" i="124"/>
  <c r="AN331" i="124"/>
  <c r="AN339" i="124"/>
  <c r="AB44" i="124"/>
  <c r="AB333" i="124" s="1"/>
  <c r="I218" i="124"/>
  <c r="I217" i="124"/>
  <c r="I230" i="124"/>
  <c r="I232" i="124"/>
  <c r="I233" i="124"/>
  <c r="I231" i="124"/>
  <c r="AY218" i="120"/>
  <c r="AY217" i="120"/>
  <c r="AY230" i="120"/>
  <c r="AY233" i="120"/>
  <c r="AY232" i="120"/>
  <c r="N139" i="124"/>
  <c r="N138" i="124"/>
  <c r="N151" i="124"/>
  <c r="N153" i="124"/>
  <c r="N154" i="124"/>
  <c r="AZ50" i="124"/>
  <c r="AZ30" i="124" s="1"/>
  <c r="AZ52" i="124"/>
  <c r="AZ57" i="124" s="1"/>
  <c r="AN340" i="124"/>
  <c r="AB136" i="124"/>
  <c r="AP231" i="124"/>
  <c r="AX217" i="124"/>
  <c r="AX218" i="124"/>
  <c r="AX230" i="124"/>
  <c r="AX232" i="124"/>
  <c r="AX233" i="124"/>
  <c r="M138" i="124"/>
  <c r="M139" i="124"/>
  <c r="M151" i="124"/>
  <c r="M153" i="124"/>
  <c r="M154" i="124"/>
  <c r="AA218" i="124"/>
  <c r="AA217" i="124"/>
  <c r="AA233" i="124"/>
  <c r="AA230" i="124"/>
  <c r="AA232" i="124"/>
  <c r="AQ139" i="124"/>
  <c r="AQ138" i="124"/>
  <c r="AQ151" i="124"/>
  <c r="AQ153" i="124"/>
  <c r="AQ154" i="124"/>
  <c r="AC183" i="124"/>
  <c r="BD296" i="124"/>
  <c r="BD297" i="124"/>
  <c r="BD309" i="124"/>
  <c r="BD311" i="124"/>
  <c r="BD312" i="124"/>
  <c r="S297" i="124"/>
  <c r="S296" i="124"/>
  <c r="S309" i="124"/>
  <c r="S312" i="124"/>
  <c r="S311" i="124"/>
  <c r="AP296" i="124"/>
  <c r="AP297" i="124"/>
  <c r="AP309" i="124"/>
  <c r="AP311" i="124"/>
  <c r="AP312" i="124"/>
  <c r="Z52" i="124"/>
  <c r="Z57" i="124" s="1"/>
  <c r="Z50" i="124"/>
  <c r="Z30" i="124" s="1"/>
  <c r="AP139" i="124"/>
  <c r="AP138" i="124"/>
  <c r="AP151" i="124"/>
  <c r="AP153" i="124"/>
  <c r="AP154" i="124"/>
  <c r="AC289" i="124"/>
  <c r="AC287" i="124"/>
  <c r="AC267" i="124" s="1"/>
  <c r="AC46" i="124"/>
  <c r="AV297" i="120"/>
  <c r="AV296" i="120"/>
  <c r="AV309" i="120"/>
  <c r="AV311" i="120"/>
  <c r="AV312" i="120"/>
  <c r="AZ139" i="124"/>
  <c r="AZ138" i="124"/>
  <c r="AZ151" i="124"/>
  <c r="AZ153" i="124"/>
  <c r="AZ154" i="124"/>
  <c r="N217" i="124"/>
  <c r="N218" i="124"/>
  <c r="N230" i="124"/>
  <c r="N233" i="124"/>
  <c r="N232" i="124"/>
  <c r="AN341" i="124"/>
  <c r="AS50" i="124"/>
  <c r="AS30" i="124" s="1"/>
  <c r="AS52" i="124"/>
  <c r="AS57" i="124" s="1"/>
  <c r="BB139" i="124"/>
  <c r="BB138" i="124"/>
  <c r="BB151" i="124"/>
  <c r="BB154" i="124"/>
  <c r="BB153" i="124"/>
  <c r="BI269" i="120"/>
  <c r="BI282" i="120"/>
  <c r="BC218" i="124"/>
  <c r="BC217" i="124"/>
  <c r="BC230" i="124"/>
  <c r="BC232" i="124"/>
  <c r="BC233" i="124"/>
  <c r="AR339" i="124"/>
  <c r="AR342" i="124" s="1"/>
  <c r="AR331" i="124"/>
  <c r="AX297" i="120"/>
  <c r="AX296" i="120"/>
  <c r="AX309" i="120"/>
  <c r="AX312" i="120"/>
  <c r="AX311" i="120"/>
  <c r="BI45" i="124"/>
  <c r="BI25" i="124"/>
  <c r="BJ224" i="120"/>
  <c r="AY218" i="124"/>
  <c r="AY217" i="124"/>
  <c r="AY230" i="124"/>
  <c r="AY232" i="124"/>
  <c r="AY233" i="124"/>
  <c r="J218" i="124"/>
  <c r="J217" i="124"/>
  <c r="J230" i="124"/>
  <c r="J232" i="124"/>
  <c r="J233" i="124"/>
  <c r="Q139" i="124"/>
  <c r="Q138" i="124"/>
  <c r="Q151" i="124"/>
  <c r="Q153" i="124"/>
  <c r="Q154" i="124"/>
  <c r="L339" i="124"/>
  <c r="L342" i="124" s="1"/>
  <c r="L331" i="124"/>
  <c r="AN132" i="124"/>
  <c r="BB218" i="120"/>
  <c r="BB217" i="120"/>
  <c r="BB230" i="120"/>
  <c r="BB232" i="120"/>
  <c r="BB233" i="120"/>
  <c r="BJ227" i="124" a="1"/>
  <c r="BJ227" i="124" s="1"/>
  <c r="BJ228" i="124" a="1"/>
  <c r="BJ228" i="124" s="1"/>
  <c r="BJ184" i="124"/>
  <c r="BJ174" i="124"/>
  <c r="BJ175" i="124" s="1"/>
  <c r="BJ185" i="124"/>
  <c r="BJ121" i="124"/>
  <c r="BJ100" i="124"/>
  <c r="BJ180" i="124"/>
  <c r="BJ191" i="124" s="1"/>
  <c r="BJ260" i="124"/>
  <c r="AX339" i="124"/>
  <c r="AX342" i="124" s="1"/>
  <c r="AX331" i="124"/>
  <c r="AD66" i="124"/>
  <c r="BE50" i="124"/>
  <c r="BE30" i="124" s="1"/>
  <c r="BE52" i="124"/>
  <c r="BE57" i="124" s="1"/>
  <c r="BA218" i="120"/>
  <c r="BA217" i="120"/>
  <c r="BA230" i="120"/>
  <c r="BA233" i="120"/>
  <c r="BA232" i="120"/>
  <c r="X50" i="124"/>
  <c r="X30" i="124" s="1"/>
  <c r="X52" i="124"/>
  <c r="X57" i="124" s="1"/>
  <c r="BF312" i="120"/>
  <c r="BF296" i="120"/>
  <c r="BF297" i="120"/>
  <c r="BF311" i="120"/>
  <c r="BF309" i="120"/>
  <c r="AA52" i="124"/>
  <c r="AA57" i="124" s="1"/>
  <c r="AA50" i="124"/>
  <c r="AA30" i="124" s="1"/>
  <c r="AW138" i="124"/>
  <c r="AW139" i="124"/>
  <c r="AW151" i="124"/>
  <c r="AW153" i="124"/>
  <c r="AW154" i="124"/>
  <c r="AN50" i="124"/>
  <c r="AN52" i="124"/>
  <c r="AS296" i="124"/>
  <c r="AS297" i="124"/>
  <c r="AS309" i="124"/>
  <c r="AS311" i="124"/>
  <c r="AS312" i="124"/>
  <c r="AO217" i="124"/>
  <c r="AO218" i="124"/>
  <c r="AO230" i="124"/>
  <c r="AO232" i="124"/>
  <c r="AO233" i="124"/>
  <c r="AO231" i="124"/>
  <c r="AN53" i="124"/>
  <c r="AC283" i="124"/>
  <c r="W339" i="124"/>
  <c r="W342" i="124" s="1"/>
  <c r="W331" i="124"/>
  <c r="BI283" i="124"/>
  <c r="BI291" i="124" s="1"/>
  <c r="AC32" i="120"/>
  <c r="AC52" i="120" s="1"/>
  <c r="AY139" i="120"/>
  <c r="AY153" i="120"/>
  <c r="AY161" i="120" s="1"/>
  <c r="AY154" i="120"/>
  <c r="AY162" i="120" s="1"/>
  <c r="AX151" i="120"/>
  <c r="AX154" i="120"/>
  <c r="AX153" i="120"/>
  <c r="AQ139" i="120"/>
  <c r="AQ151" i="120"/>
  <c r="AQ152" i="120"/>
  <c r="AQ153" i="120"/>
  <c r="AQ154" i="120"/>
  <c r="AW162" i="120"/>
  <c r="AW163" i="120"/>
  <c r="AZ151" i="120"/>
  <c r="AZ154" i="120"/>
  <c r="AZ153" i="120"/>
  <c r="AW160" i="120"/>
  <c r="AW161" i="120"/>
  <c r="BE151" i="120"/>
  <c r="BE154" i="120"/>
  <c r="BE153" i="120"/>
  <c r="AV151" i="120"/>
  <c r="AV153" i="120"/>
  <c r="AV154" i="120"/>
  <c r="AP151" i="120"/>
  <c r="AP152" i="120"/>
  <c r="AP153" i="120"/>
  <c r="AP154" i="120"/>
  <c r="AW156" i="120"/>
  <c r="AW157" i="120"/>
  <c r="BA151" i="120"/>
  <c r="BA153" i="120"/>
  <c r="BA154" i="120"/>
  <c r="AR151" i="120"/>
  <c r="AR153" i="120"/>
  <c r="AR154" i="120"/>
  <c r="BD151" i="120"/>
  <c r="BD153" i="120"/>
  <c r="BD154" i="120"/>
  <c r="AT151" i="120"/>
  <c r="AT154" i="120"/>
  <c r="AT153" i="120"/>
  <c r="BF151" i="120"/>
  <c r="BF153" i="120"/>
  <c r="BF154" i="120"/>
  <c r="BJ149" i="120" a="1"/>
  <c r="BJ149" i="120" s="1"/>
  <c r="BJ148" i="120" a="1"/>
  <c r="BJ148" i="120" s="1"/>
  <c r="AN151" i="120"/>
  <c r="AN154" i="120"/>
  <c r="AN153" i="120"/>
  <c r="AN152" i="120"/>
  <c r="BC151" i="120"/>
  <c r="BC154" i="120"/>
  <c r="BC153" i="120"/>
  <c r="AU151" i="120"/>
  <c r="AU153" i="120"/>
  <c r="AU154" i="120"/>
  <c r="AO151" i="120"/>
  <c r="AO152" i="120"/>
  <c r="AO154" i="120"/>
  <c r="AO153" i="120"/>
  <c r="BB151" i="120"/>
  <c r="BB153" i="120"/>
  <c r="BB154" i="120"/>
  <c r="AS151" i="120"/>
  <c r="AS154" i="120"/>
  <c r="AS153" i="120"/>
  <c r="AY156" i="120"/>
  <c r="AY157" i="120"/>
  <c r="CB59" i="119"/>
  <c r="CB57" i="117"/>
  <c r="N309" i="120"/>
  <c r="N312" i="120"/>
  <c r="N311" i="120"/>
  <c r="M309" i="120"/>
  <c r="M311" i="120"/>
  <c r="M312" i="120"/>
  <c r="X309" i="120"/>
  <c r="X312" i="120"/>
  <c r="X311" i="120"/>
  <c r="J309" i="120"/>
  <c r="J312" i="120"/>
  <c r="J311" i="120"/>
  <c r="Q309" i="120"/>
  <c r="Q311" i="120"/>
  <c r="Q312" i="120"/>
  <c r="K310" i="120"/>
  <c r="P309" i="120"/>
  <c r="P312" i="120"/>
  <c r="P311" i="120"/>
  <c r="V309" i="120"/>
  <c r="V311" i="120"/>
  <c r="V312" i="120"/>
  <c r="Z309" i="120"/>
  <c r="Z311" i="120"/>
  <c r="Z312" i="120"/>
  <c r="O309" i="120"/>
  <c r="O311" i="120"/>
  <c r="O312" i="120"/>
  <c r="I309" i="120"/>
  <c r="I312" i="120"/>
  <c r="I311" i="120"/>
  <c r="I310" i="120"/>
  <c r="Y309" i="120"/>
  <c r="Y311" i="120"/>
  <c r="Y312" i="120"/>
  <c r="T309" i="120"/>
  <c r="T311" i="120"/>
  <c r="T312" i="120"/>
  <c r="AA309" i="120"/>
  <c r="AA312" i="120"/>
  <c r="AA311" i="120"/>
  <c r="S311" i="120"/>
  <c r="S312" i="120"/>
  <c r="K309" i="120"/>
  <c r="K311" i="120"/>
  <c r="K312" i="120"/>
  <c r="L309" i="120"/>
  <c r="L311" i="120"/>
  <c r="L312" i="120"/>
  <c r="R309" i="120"/>
  <c r="R311" i="120"/>
  <c r="R312" i="120"/>
  <c r="U309" i="120"/>
  <c r="U311" i="120"/>
  <c r="U312" i="120"/>
  <c r="W309" i="120"/>
  <c r="W311" i="120"/>
  <c r="W312" i="120"/>
  <c r="H311" i="120"/>
  <c r="H312" i="120"/>
  <c r="H309" i="120"/>
  <c r="H310" i="120"/>
  <c r="H232" i="120"/>
  <c r="H233" i="120"/>
  <c r="K152" i="120"/>
  <c r="K159" i="120" s="1"/>
  <c r="H230" i="120"/>
  <c r="H231" i="120"/>
  <c r="V230" i="120"/>
  <c r="V233" i="120"/>
  <c r="V232" i="120"/>
  <c r="T230" i="120"/>
  <c r="T233" i="120"/>
  <c r="T232" i="120"/>
  <c r="O230" i="120"/>
  <c r="O233" i="120"/>
  <c r="O232" i="120"/>
  <c r="J230" i="120"/>
  <c r="J232" i="120"/>
  <c r="J233" i="120"/>
  <c r="R230" i="120"/>
  <c r="R232" i="120"/>
  <c r="R233" i="120"/>
  <c r="Z230" i="120"/>
  <c r="Z233" i="120"/>
  <c r="Z232" i="120"/>
  <c r="X230" i="120"/>
  <c r="X233" i="120"/>
  <c r="X232" i="120"/>
  <c r="M230" i="120"/>
  <c r="M233" i="120"/>
  <c r="M232" i="120"/>
  <c r="K231" i="120"/>
  <c r="K237" i="120" s="1"/>
  <c r="W230" i="120"/>
  <c r="W233" i="120"/>
  <c r="W232" i="120"/>
  <c r="L230" i="120"/>
  <c r="L233" i="120"/>
  <c r="L232" i="120"/>
  <c r="I230" i="120"/>
  <c r="I232" i="120"/>
  <c r="I233" i="120"/>
  <c r="I231" i="120"/>
  <c r="S230" i="120"/>
  <c r="S232" i="120"/>
  <c r="S233" i="120"/>
  <c r="N230" i="120"/>
  <c r="N232" i="120"/>
  <c r="N233" i="120"/>
  <c r="U230" i="120"/>
  <c r="U233" i="120"/>
  <c r="U232" i="120"/>
  <c r="Y230" i="120"/>
  <c r="Y232" i="120"/>
  <c r="Y233" i="120"/>
  <c r="Q230" i="120"/>
  <c r="Q233" i="120"/>
  <c r="Q232" i="120"/>
  <c r="P230" i="120"/>
  <c r="P233" i="120"/>
  <c r="P232" i="120"/>
  <c r="AA230" i="120"/>
  <c r="AA233" i="120"/>
  <c r="AA232" i="120"/>
  <c r="K230" i="120"/>
  <c r="K233" i="120"/>
  <c r="K232" i="120"/>
  <c r="CB48" i="119"/>
  <c r="CB28" i="118"/>
  <c r="CB57" i="118"/>
  <c r="CB57" i="119"/>
  <c r="T151" i="120"/>
  <c r="T154" i="120"/>
  <c r="T153" i="120"/>
  <c r="U151" i="120"/>
  <c r="U154" i="120"/>
  <c r="U153" i="120"/>
  <c r="W151" i="120"/>
  <c r="W153" i="120"/>
  <c r="W154" i="120"/>
  <c r="N151" i="120"/>
  <c r="N153" i="120"/>
  <c r="N154" i="120"/>
  <c r="X151" i="120"/>
  <c r="X154" i="120"/>
  <c r="X153" i="120"/>
  <c r="Z151" i="120"/>
  <c r="Z154" i="120"/>
  <c r="Z153" i="120"/>
  <c r="R151" i="120"/>
  <c r="R154" i="120"/>
  <c r="R153" i="120"/>
  <c r="J151" i="120"/>
  <c r="J154" i="120"/>
  <c r="J153" i="120"/>
  <c r="O151" i="120"/>
  <c r="O154" i="120"/>
  <c r="O153" i="120"/>
  <c r="L151" i="120"/>
  <c r="L153" i="120"/>
  <c r="L154" i="120"/>
  <c r="P151" i="120"/>
  <c r="P154" i="120"/>
  <c r="P153" i="120"/>
  <c r="I151" i="120"/>
  <c r="I154" i="120"/>
  <c r="I153" i="120"/>
  <c r="I152" i="120"/>
  <c r="Y151" i="120"/>
  <c r="Y153" i="120"/>
  <c r="Y154" i="120"/>
  <c r="K151" i="120"/>
  <c r="K154" i="120"/>
  <c r="K153" i="120"/>
  <c r="Q151" i="120"/>
  <c r="Q153" i="120"/>
  <c r="Q154" i="120"/>
  <c r="CB57" i="67"/>
  <c r="V151" i="120"/>
  <c r="V153" i="120"/>
  <c r="V154" i="120"/>
  <c r="S151" i="120"/>
  <c r="S154" i="120"/>
  <c r="S153" i="120"/>
  <c r="M151" i="120"/>
  <c r="M154" i="120"/>
  <c r="M153" i="120"/>
  <c r="H153" i="120"/>
  <c r="H154" i="120"/>
  <c r="H151" i="120"/>
  <c r="H152" i="120"/>
  <c r="CB28" i="119"/>
  <c r="AB294" i="120"/>
  <c r="AB296" i="120" s="1"/>
  <c r="BI32" i="120"/>
  <c r="BH129" i="120"/>
  <c r="BH109" i="120" s="1"/>
  <c r="CB20" i="119"/>
  <c r="CB40" i="119"/>
  <c r="CB20" i="118"/>
  <c r="AO138" i="120"/>
  <c r="AC190" i="120"/>
  <c r="AC210" i="120" s="1"/>
  <c r="AQ138" i="120"/>
  <c r="AA126" i="120"/>
  <c r="AC34" i="120"/>
  <c r="BI34" i="120"/>
  <c r="AO139" i="120"/>
  <c r="AB136" i="120"/>
  <c r="AB139" i="120" s="1"/>
  <c r="AB334" i="120"/>
  <c r="AB339" i="120" s="1"/>
  <c r="AC104" i="120"/>
  <c r="AC113" i="120" s="1"/>
  <c r="AC129" i="120"/>
  <c r="AC109" i="120" s="1"/>
  <c r="AC131" i="120"/>
  <c r="AC290" i="120"/>
  <c r="AC211" i="120"/>
  <c r="L90" i="120"/>
  <c r="AR90" i="120"/>
  <c r="AR147" i="120" s="1"/>
  <c r="AR152" i="120" s="1"/>
  <c r="L248" i="120"/>
  <c r="AZ138" i="120"/>
  <c r="AZ139" i="120"/>
  <c r="AD181" i="120"/>
  <c r="AC125" i="120"/>
  <c r="AC133" i="120" s="1"/>
  <c r="AC282" i="120"/>
  <c r="BG47" i="120"/>
  <c r="BG333" i="120"/>
  <c r="BJ22" i="120"/>
  <c r="BJ135" i="120"/>
  <c r="AD200" i="120"/>
  <c r="AD224" i="120" s="1"/>
  <c r="AD179" i="120"/>
  <c r="AB202" i="120"/>
  <c r="AB333" i="120" s="1"/>
  <c r="AU138" i="120"/>
  <c r="AU139" i="120"/>
  <c r="AC124" i="120"/>
  <c r="BG133" i="120"/>
  <c r="BG136" i="120" s="1"/>
  <c r="AC329" i="120"/>
  <c r="AC340" i="120" s="1"/>
  <c r="AC33" i="120"/>
  <c r="AC53" i="120" s="1"/>
  <c r="AA133" i="120"/>
  <c r="AA136" i="120" s="1"/>
  <c r="AA335" i="120"/>
  <c r="BJ100" i="120"/>
  <c r="BJ121" i="120"/>
  <c r="BJ145" i="120" s="1"/>
  <c r="BI33" i="120"/>
  <c r="BI329" i="120"/>
  <c r="BI340" i="120" s="1"/>
  <c r="L11" i="120"/>
  <c r="AR11" i="120"/>
  <c r="BG335" i="120"/>
  <c r="BG54" i="120"/>
  <c r="AN139" i="120"/>
  <c r="AN138" i="120"/>
  <c r="AD148" i="120" a="1"/>
  <c r="AD148" i="120" s="1"/>
  <c r="AD149" i="120" a="1"/>
  <c r="AD149" i="120" s="1"/>
  <c r="AD95" i="120"/>
  <c r="AD96" i="120" s="1"/>
  <c r="AD106" i="120"/>
  <c r="AD105" i="120"/>
  <c r="AD104" i="120" s="1"/>
  <c r="AD259" i="120"/>
  <c r="AD22" i="120"/>
  <c r="BI111" i="120"/>
  <c r="AX138" i="120"/>
  <c r="AX139" i="120"/>
  <c r="AV138" i="120"/>
  <c r="AV139" i="120"/>
  <c r="BA139" i="120"/>
  <c r="BA138" i="120"/>
  <c r="BH47" i="120"/>
  <c r="AC202" i="120"/>
  <c r="AR139" i="120"/>
  <c r="AR138" i="120"/>
  <c r="AC46" i="120"/>
  <c r="AB284" i="120"/>
  <c r="BH124" i="120"/>
  <c r="BJ95" i="120"/>
  <c r="BJ106" i="120"/>
  <c r="BJ105" i="120"/>
  <c r="BJ102" i="120"/>
  <c r="L169" i="120"/>
  <c r="L226" i="120" s="1"/>
  <c r="L231" i="120" s="1"/>
  <c r="AD306" i="120" a="1"/>
  <c r="AD306" i="120" s="1"/>
  <c r="AD263" i="120"/>
  <c r="AD262" i="120" s="1"/>
  <c r="AD253" i="120"/>
  <c r="AD254" i="120" s="1"/>
  <c r="AD307" i="120" a="1"/>
  <c r="AD307" i="120" s="1"/>
  <c r="AD264" i="120"/>
  <c r="AD23" i="120"/>
  <c r="AD101" i="120"/>
  <c r="AD260" i="120"/>
  <c r="BI96" i="120"/>
  <c r="BI123" i="120" s="1"/>
  <c r="AT139" i="120"/>
  <c r="AT138" i="120"/>
  <c r="AA333" i="120"/>
  <c r="AA47" i="120"/>
  <c r="BC139" i="120"/>
  <c r="BC138" i="120"/>
  <c r="BH123" i="120"/>
  <c r="BL8" i="120"/>
  <c r="BK120" i="120"/>
  <c r="BK135" i="120" s="1"/>
  <c r="BK117" i="120"/>
  <c r="BK64" i="120"/>
  <c r="BK39" i="120"/>
  <c r="BK65" i="120"/>
  <c r="BK40" i="120"/>
  <c r="BK15" i="120"/>
  <c r="BK118" i="120"/>
  <c r="BK94" i="120"/>
  <c r="BK119" i="120"/>
  <c r="BK41" i="120"/>
  <c r="BK56" i="120" s="1"/>
  <c r="BK38" i="120"/>
  <c r="BK91" i="120"/>
  <c r="BK12" i="120"/>
  <c r="BE139" i="120"/>
  <c r="BE138" i="120"/>
  <c r="AD69" i="120" a="1"/>
  <c r="AD69" i="120" s="1"/>
  <c r="AD26" i="120"/>
  <c r="AD70" i="120" a="1"/>
  <c r="AD70" i="120" s="1"/>
  <c r="AD16" i="120"/>
  <c r="AD17" i="120" s="1"/>
  <c r="AD27" i="120"/>
  <c r="AD21" i="120"/>
  <c r="AD42" i="120"/>
  <c r="AD66" i="120" s="1"/>
  <c r="AD56" i="120"/>
  <c r="BI113" i="120"/>
  <c r="BB139" i="120"/>
  <c r="BB138" i="120"/>
  <c r="AC262" i="120"/>
  <c r="BF138" i="120"/>
  <c r="BF139" i="120"/>
  <c r="AC203" i="120"/>
  <c r="BJ21" i="120"/>
  <c r="BJ42" i="120"/>
  <c r="BJ66" i="120" s="1"/>
  <c r="BJ101" i="120"/>
  <c r="AD174" i="120"/>
  <c r="AD175" i="120" s="1"/>
  <c r="AD227" i="120" a="1"/>
  <c r="AD227" i="120" s="1"/>
  <c r="AD228" i="120" a="1"/>
  <c r="AD228" i="120" s="1"/>
  <c r="AD184" i="120"/>
  <c r="AD183" i="120" s="1"/>
  <c r="AD185" i="120"/>
  <c r="AD121" i="120"/>
  <c r="AD145" i="120" s="1"/>
  <c r="AD100" i="120"/>
  <c r="AD135" i="120"/>
  <c r="AC204" i="120"/>
  <c r="BD139" i="120"/>
  <c r="BD138" i="120"/>
  <c r="AC44" i="120"/>
  <c r="AC192" i="120"/>
  <c r="AB126" i="120"/>
  <c r="AS138" i="120"/>
  <c r="AS139" i="120"/>
  <c r="AD102" i="120"/>
  <c r="AD279" i="120"/>
  <c r="AD303" i="120" s="1"/>
  <c r="AD258" i="120"/>
  <c r="AD214" i="120"/>
  <c r="AF8" i="120"/>
  <c r="AE301" i="120"/>
  <c r="AE276" i="120"/>
  <c r="AE222" i="120"/>
  <c r="AE197" i="120"/>
  <c r="AE143" i="120"/>
  <c r="AE119" i="120"/>
  <c r="AE94" i="120"/>
  <c r="AE65" i="120"/>
  <c r="AE40" i="120"/>
  <c r="AE15" i="120"/>
  <c r="AE302" i="120"/>
  <c r="AE277" i="120"/>
  <c r="AE252" i="120"/>
  <c r="AE223" i="120"/>
  <c r="AE198" i="120"/>
  <c r="AE173" i="120"/>
  <c r="AE144" i="120"/>
  <c r="AE120" i="120"/>
  <c r="AE135" i="120" s="1"/>
  <c r="AE41" i="120"/>
  <c r="AE56" i="120" s="1"/>
  <c r="AE118" i="120"/>
  <c r="AE39" i="120"/>
  <c r="AE278" i="120"/>
  <c r="AE293" i="120" s="1"/>
  <c r="AE199" i="120"/>
  <c r="AE214" i="120" s="1"/>
  <c r="AE117" i="120"/>
  <c r="AE38" i="120"/>
  <c r="AE64" i="120"/>
  <c r="AE275" i="120"/>
  <c r="AE196" i="120"/>
  <c r="AE12" i="120"/>
  <c r="AE91" i="120"/>
  <c r="AE170" i="120"/>
  <c r="AE249" i="120"/>
  <c r="AC132" i="120"/>
  <c r="AC283" i="120"/>
  <c r="AC291" i="120" s="1"/>
  <c r="BI17" i="120"/>
  <c r="BI45" i="120" s="1"/>
  <c r="BH54" i="120"/>
  <c r="BG126" i="120"/>
  <c r="AC269" i="120"/>
  <c r="AB335" i="120"/>
  <c r="AB54" i="120"/>
  <c r="BJ56" i="120"/>
  <c r="BJ23" i="120"/>
  <c r="AB47" i="120"/>
  <c r="BH125" i="120"/>
  <c r="BH133" i="120" s="1"/>
  <c r="BH132" i="120"/>
  <c r="AD180" i="120"/>
  <c r="AD293" i="120"/>
  <c r="BH131" i="120"/>
  <c r="AC45" i="120"/>
  <c r="AP139" i="120"/>
  <c r="AP138" i="120"/>
  <c r="BJ70" i="120" a="1"/>
  <c r="BJ70" i="120" s="1"/>
  <c r="BJ27" i="120"/>
  <c r="BJ69" i="120" a="1"/>
  <c r="BJ69" i="120" s="1"/>
  <c r="BJ16" i="120"/>
  <c r="BJ17" i="120" s="1"/>
  <c r="BJ26" i="120"/>
  <c r="BJ25" i="120" s="1"/>
  <c r="BB339" i="120"/>
  <c r="BB342" i="120" s="1"/>
  <c r="BB331" i="120"/>
  <c r="T331" i="120"/>
  <c r="T339" i="120"/>
  <c r="T342" i="120" s="1"/>
  <c r="O339" i="120"/>
  <c r="O342" i="120" s="1"/>
  <c r="O331" i="120"/>
  <c r="O218" i="120"/>
  <c r="O217" i="120"/>
  <c r="R218" i="120"/>
  <c r="R217" i="120"/>
  <c r="AM53" i="120"/>
  <c r="N138" i="120"/>
  <c r="N139" i="120"/>
  <c r="Z297" i="120"/>
  <c r="Z296" i="120"/>
  <c r="Q139" i="120"/>
  <c r="Q138" i="120"/>
  <c r="BH331" i="120"/>
  <c r="BG339" i="120"/>
  <c r="BG331" i="120"/>
  <c r="Z339" i="120"/>
  <c r="Z342" i="120" s="1"/>
  <c r="Z331" i="120"/>
  <c r="U331" i="120"/>
  <c r="U339" i="120"/>
  <c r="U342" i="120" s="1"/>
  <c r="K50" i="120"/>
  <c r="K30" i="120" s="1"/>
  <c r="K52" i="120"/>
  <c r="K57" i="120" s="1"/>
  <c r="AM341" i="120"/>
  <c r="S339" i="120"/>
  <c r="S342" i="120" s="1"/>
  <c r="S331" i="120"/>
  <c r="M139" i="120"/>
  <c r="M138" i="120"/>
  <c r="AO52" i="120"/>
  <c r="AO57" i="120" s="1"/>
  <c r="AO50" i="120"/>
  <c r="AO30" i="120" s="1"/>
  <c r="BA339" i="120"/>
  <c r="BA342" i="120" s="1"/>
  <c r="BA331" i="120"/>
  <c r="V339" i="120"/>
  <c r="V342" i="120" s="1"/>
  <c r="V331" i="120"/>
  <c r="BC50" i="120"/>
  <c r="BC30" i="120" s="1"/>
  <c r="BC52" i="120"/>
  <c r="BC57" i="120" s="1"/>
  <c r="AV339" i="120"/>
  <c r="AV342" i="120" s="1"/>
  <c r="AV331" i="120"/>
  <c r="AU50" i="120"/>
  <c r="AU30" i="120" s="1"/>
  <c r="AU52" i="120"/>
  <c r="AU57" i="120" s="1"/>
  <c r="AT339" i="120"/>
  <c r="AT342" i="120" s="1"/>
  <c r="AT331" i="120"/>
  <c r="BB50" i="120"/>
  <c r="BB30" i="120" s="1"/>
  <c r="BB52" i="120"/>
  <c r="BB57" i="120" s="1"/>
  <c r="T50" i="120"/>
  <c r="T30" i="120" s="1"/>
  <c r="T52" i="120"/>
  <c r="T57" i="120" s="1"/>
  <c r="AA339" i="120"/>
  <c r="AA331" i="120"/>
  <c r="N296" i="120"/>
  <c r="N297" i="120"/>
  <c r="O52" i="120"/>
  <c r="O57" i="120" s="1"/>
  <c r="O50" i="120"/>
  <c r="O30" i="120" s="1"/>
  <c r="AM50" i="120"/>
  <c r="AM52" i="120"/>
  <c r="I139" i="120"/>
  <c r="I138" i="120"/>
  <c r="AB331" i="120"/>
  <c r="H297" i="120"/>
  <c r="H296" i="120"/>
  <c r="L339" i="120"/>
  <c r="L342" i="120" s="1"/>
  <c r="L331" i="120"/>
  <c r="BH50" i="120"/>
  <c r="BH30" i="120" s="1"/>
  <c r="BH52" i="120"/>
  <c r="Z138" i="120"/>
  <c r="Z139" i="120"/>
  <c r="BG52" i="120"/>
  <c r="BG50" i="120"/>
  <c r="BG30" i="120" s="1"/>
  <c r="Z50" i="120"/>
  <c r="Z30" i="120" s="1"/>
  <c r="Z52" i="120"/>
  <c r="Z57" i="120" s="1"/>
  <c r="U52" i="120"/>
  <c r="U57" i="120" s="1"/>
  <c r="U50" i="120"/>
  <c r="U30" i="120" s="1"/>
  <c r="T297" i="120"/>
  <c r="T296" i="120"/>
  <c r="S50" i="120"/>
  <c r="S30" i="120" s="1"/>
  <c r="S52" i="120"/>
  <c r="S57" i="120" s="1"/>
  <c r="BA50" i="120"/>
  <c r="BA30" i="120" s="1"/>
  <c r="BA52" i="120"/>
  <c r="BA57" i="120" s="1"/>
  <c r="V52" i="120"/>
  <c r="V57" i="120" s="1"/>
  <c r="V50" i="120"/>
  <c r="V30" i="120" s="1"/>
  <c r="AV50" i="120"/>
  <c r="AV30" i="120" s="1"/>
  <c r="AV52" i="120"/>
  <c r="AV57" i="120" s="1"/>
  <c r="W296" i="120"/>
  <c r="W297" i="120"/>
  <c r="V138" i="120"/>
  <c r="V139" i="120"/>
  <c r="AT50" i="120"/>
  <c r="AT30" i="120" s="1"/>
  <c r="AT52" i="120"/>
  <c r="AT57" i="120" s="1"/>
  <c r="K139" i="120"/>
  <c r="K138" i="120"/>
  <c r="L68" i="120"/>
  <c r="AR68" i="120"/>
  <c r="X218" i="120"/>
  <c r="X217" i="120"/>
  <c r="N217" i="120"/>
  <c r="N218" i="120"/>
  <c r="AA50" i="120"/>
  <c r="AA30" i="120" s="1"/>
  <c r="AA52" i="120"/>
  <c r="AA57" i="120" s="1"/>
  <c r="G132" i="120"/>
  <c r="W139" i="120"/>
  <c r="W138" i="120"/>
  <c r="N339" i="120"/>
  <c r="N342" i="120" s="1"/>
  <c r="N331" i="120"/>
  <c r="T217" i="120"/>
  <c r="T218" i="120"/>
  <c r="M331" i="120"/>
  <c r="M339" i="120"/>
  <c r="M342" i="120" s="1"/>
  <c r="AW331" i="120"/>
  <c r="AW339" i="120"/>
  <c r="AW342" i="120" s="1"/>
  <c r="AB50" i="120"/>
  <c r="AB30" i="120" s="1"/>
  <c r="AB52" i="120"/>
  <c r="L50" i="120"/>
  <c r="L30" i="120" s="1"/>
  <c r="L52" i="120"/>
  <c r="L57" i="120" s="1"/>
  <c r="L297" i="120"/>
  <c r="L296" i="120"/>
  <c r="M217" i="120"/>
  <c r="M218" i="120"/>
  <c r="G339" i="120"/>
  <c r="G331" i="120"/>
  <c r="V296" i="120"/>
  <c r="V297" i="120"/>
  <c r="W218" i="120"/>
  <c r="W217" i="120"/>
  <c r="Y339" i="120"/>
  <c r="Y342" i="120" s="1"/>
  <c r="Y331" i="120"/>
  <c r="X339" i="120"/>
  <c r="X342" i="120" s="1"/>
  <c r="X331" i="120"/>
  <c r="Q296" i="120"/>
  <c r="Q297" i="120"/>
  <c r="Y218" i="120"/>
  <c r="Y217" i="120"/>
  <c r="G341" i="120"/>
  <c r="S218" i="120"/>
  <c r="S217" i="120"/>
  <c r="AN339" i="120"/>
  <c r="AN331" i="120"/>
  <c r="N52" i="120"/>
  <c r="N57" i="120" s="1"/>
  <c r="N50" i="120"/>
  <c r="N30" i="120" s="1"/>
  <c r="M52" i="120"/>
  <c r="M57" i="120" s="1"/>
  <c r="M50" i="120"/>
  <c r="M30" i="120" s="1"/>
  <c r="P138" i="120"/>
  <c r="P139" i="120"/>
  <c r="AW52" i="120"/>
  <c r="AW57" i="120" s="1"/>
  <c r="AW50" i="120"/>
  <c r="AW30" i="120" s="1"/>
  <c r="BI331" i="120"/>
  <c r="BE331" i="120"/>
  <c r="BE339" i="120"/>
  <c r="BE342" i="120" s="1"/>
  <c r="J339" i="120"/>
  <c r="J342" i="120" s="1"/>
  <c r="J331" i="120"/>
  <c r="J297" i="120"/>
  <c r="J296" i="120"/>
  <c r="Y50" i="120"/>
  <c r="Y30" i="120" s="1"/>
  <c r="Y52" i="120"/>
  <c r="Y57" i="120" s="1"/>
  <c r="X50" i="120"/>
  <c r="X30" i="120" s="1"/>
  <c r="X52" i="120"/>
  <c r="X57" i="120" s="1"/>
  <c r="G290" i="120"/>
  <c r="I218" i="120"/>
  <c r="I217" i="120"/>
  <c r="T139" i="120"/>
  <c r="T138" i="120"/>
  <c r="S297" i="120"/>
  <c r="S296" i="120"/>
  <c r="AN50" i="120"/>
  <c r="AN30" i="120" s="1"/>
  <c r="AN52" i="120"/>
  <c r="AN57" i="120" s="1"/>
  <c r="M297" i="120"/>
  <c r="M296" i="120"/>
  <c r="O139" i="120"/>
  <c r="O138" i="120"/>
  <c r="G52" i="120"/>
  <c r="G50" i="120"/>
  <c r="AA218" i="120"/>
  <c r="AA217" i="120"/>
  <c r="BE52" i="120"/>
  <c r="BE57" i="120" s="1"/>
  <c r="BE50" i="120"/>
  <c r="BE30" i="120" s="1"/>
  <c r="H218" i="120"/>
  <c r="H217" i="120"/>
  <c r="J50" i="120"/>
  <c r="J30" i="120" s="1"/>
  <c r="J52" i="120"/>
  <c r="J57" i="120" s="1"/>
  <c r="G211" i="120"/>
  <c r="H342" i="120"/>
  <c r="H331" i="120"/>
  <c r="K218" i="120"/>
  <c r="K217" i="120"/>
  <c r="X138" i="120"/>
  <c r="X139" i="120"/>
  <c r="Z218" i="120"/>
  <c r="Z217" i="120"/>
  <c r="O296" i="120"/>
  <c r="O297" i="120"/>
  <c r="AY339" i="120"/>
  <c r="AY342" i="120" s="1"/>
  <c r="AY331" i="120"/>
  <c r="R339" i="120"/>
  <c r="R342" i="120" s="1"/>
  <c r="R331" i="120"/>
  <c r="I297" i="120"/>
  <c r="I296" i="120"/>
  <c r="G287" i="120"/>
  <c r="G289" i="120"/>
  <c r="L139" i="120"/>
  <c r="L138" i="120"/>
  <c r="J218" i="120"/>
  <c r="J217" i="120"/>
  <c r="I339" i="120"/>
  <c r="I342" i="120" s="1"/>
  <c r="I331" i="120"/>
  <c r="S139" i="120"/>
  <c r="S138" i="120"/>
  <c r="AR339" i="120"/>
  <c r="AR342" i="120" s="1"/>
  <c r="AR331" i="120"/>
  <c r="AC331" i="120"/>
  <c r="G129" i="120"/>
  <c r="G131" i="120"/>
  <c r="H30" i="120"/>
  <c r="H52" i="120"/>
  <c r="H57" i="120" s="1"/>
  <c r="G340" i="120"/>
  <c r="BD339" i="120"/>
  <c r="BD342" i="120" s="1"/>
  <c r="BD331" i="120"/>
  <c r="AQ339" i="120"/>
  <c r="AQ342" i="120" s="1"/>
  <c r="AQ331" i="120"/>
  <c r="H138" i="120"/>
  <c r="H139" i="120"/>
  <c r="AZ339" i="120"/>
  <c r="AZ342" i="120" s="1"/>
  <c r="AZ331" i="120"/>
  <c r="AY52" i="120"/>
  <c r="AY57" i="120" s="1"/>
  <c r="AY50" i="120"/>
  <c r="AY30" i="120" s="1"/>
  <c r="R50" i="120"/>
  <c r="R30" i="120" s="1"/>
  <c r="R52" i="120"/>
  <c r="R57" i="120" s="1"/>
  <c r="BF339" i="120"/>
  <c r="BF331" i="120"/>
  <c r="AX339" i="120"/>
  <c r="AX342" i="120" s="1"/>
  <c r="AX331" i="120"/>
  <c r="AP339" i="120"/>
  <c r="AP342" i="120" s="1"/>
  <c r="AP331" i="120"/>
  <c r="W339" i="120"/>
  <c r="W342" i="120" s="1"/>
  <c r="W331" i="120"/>
  <c r="Y296" i="120"/>
  <c r="Y297" i="120"/>
  <c r="AM340" i="120"/>
  <c r="I50" i="120"/>
  <c r="I30" i="120" s="1"/>
  <c r="I52" i="120"/>
  <c r="I57" i="120" s="1"/>
  <c r="X296" i="120"/>
  <c r="X297" i="120"/>
  <c r="AR50" i="120"/>
  <c r="AR30" i="120" s="1"/>
  <c r="AR52" i="120"/>
  <c r="AR57" i="120" s="1"/>
  <c r="U217" i="120"/>
  <c r="U218" i="120"/>
  <c r="AA297" i="120"/>
  <c r="AA296" i="120"/>
  <c r="Q339" i="120"/>
  <c r="Q342" i="120" s="1"/>
  <c r="Q331" i="120"/>
  <c r="AS339" i="120"/>
  <c r="AS342" i="120" s="1"/>
  <c r="AS331" i="120"/>
  <c r="L217" i="120"/>
  <c r="L218" i="120"/>
  <c r="BD50" i="120"/>
  <c r="BD30" i="120" s="1"/>
  <c r="BD52" i="120"/>
  <c r="BD57" i="120" s="1"/>
  <c r="R297" i="120"/>
  <c r="R296" i="120"/>
  <c r="AQ52" i="120"/>
  <c r="AQ57" i="120" s="1"/>
  <c r="AQ50" i="120"/>
  <c r="AQ30" i="120" s="1"/>
  <c r="J139" i="120"/>
  <c r="J138" i="120"/>
  <c r="P339" i="120"/>
  <c r="P342" i="120" s="1"/>
  <c r="P331" i="120"/>
  <c r="L147" i="120"/>
  <c r="L152" i="120" s="1"/>
  <c r="L305" i="120"/>
  <c r="L310" i="120" s="1"/>
  <c r="AZ50" i="120"/>
  <c r="AZ30" i="120" s="1"/>
  <c r="AZ52" i="120"/>
  <c r="AZ57" i="120" s="1"/>
  <c r="V217" i="120"/>
  <c r="V218" i="120"/>
  <c r="U139" i="120"/>
  <c r="U138" i="120"/>
  <c r="BF52" i="120"/>
  <c r="BF57" i="120" s="1"/>
  <c r="BF50" i="120"/>
  <c r="BF30" i="120" s="1"/>
  <c r="AX52" i="120"/>
  <c r="AX57" i="120" s="1"/>
  <c r="AX50" i="120"/>
  <c r="AX30" i="120" s="1"/>
  <c r="AP52" i="120"/>
  <c r="AP57" i="120" s="1"/>
  <c r="AP50" i="120"/>
  <c r="AP30" i="120" s="1"/>
  <c r="W52" i="120"/>
  <c r="W57" i="120" s="1"/>
  <c r="W50" i="120"/>
  <c r="W30" i="120" s="1"/>
  <c r="AM339" i="120"/>
  <c r="AM331" i="120"/>
  <c r="K297" i="120"/>
  <c r="K296" i="120"/>
  <c r="Q218" i="120"/>
  <c r="Q217" i="120"/>
  <c r="P218" i="120"/>
  <c r="P217" i="120"/>
  <c r="K339" i="120"/>
  <c r="K342" i="120" s="1"/>
  <c r="K331" i="120"/>
  <c r="AO339" i="120"/>
  <c r="AO342" i="120" s="1"/>
  <c r="AO331" i="120"/>
  <c r="Q50" i="120"/>
  <c r="Q30" i="120" s="1"/>
  <c r="Q52" i="120"/>
  <c r="Q57" i="120" s="1"/>
  <c r="AS50" i="120"/>
  <c r="AS30" i="120" s="1"/>
  <c r="AS52" i="120"/>
  <c r="AS57" i="120" s="1"/>
  <c r="BC339" i="120"/>
  <c r="BC342" i="120" s="1"/>
  <c r="BC331" i="120"/>
  <c r="G53" i="120"/>
  <c r="R139" i="120"/>
  <c r="R138" i="120"/>
  <c r="AU339" i="120"/>
  <c r="AU342" i="120" s="1"/>
  <c r="AU331" i="120"/>
  <c r="Y139" i="120"/>
  <c r="Y138" i="120"/>
  <c r="U297" i="120"/>
  <c r="U296" i="120"/>
  <c r="P297" i="120"/>
  <c r="P296" i="120"/>
  <c r="G210" i="120"/>
  <c r="G208" i="120"/>
  <c r="P50" i="120"/>
  <c r="P30" i="120" s="1"/>
  <c r="P52" i="120"/>
  <c r="P57" i="120" s="1"/>
  <c r="CB28" i="117"/>
  <c r="CA57" i="117"/>
  <c r="CB59" i="117"/>
  <c r="CA28" i="117"/>
  <c r="BZ28" i="117"/>
  <c r="CC57" i="117"/>
  <c r="CA59" i="117"/>
  <c r="CB48" i="117"/>
  <c r="CA48" i="117"/>
  <c r="CA40" i="117"/>
  <c r="CB20" i="117"/>
  <c r="CB40" i="117"/>
  <c r="CA20" i="117"/>
  <c r="BZ48" i="119"/>
  <c r="BZ48" i="117"/>
  <c r="BZ48" i="118"/>
  <c r="BZ59" i="119"/>
  <c r="BZ28" i="119"/>
  <c r="BZ20" i="119"/>
  <c r="BZ40" i="119"/>
  <c r="CC20" i="119"/>
  <c r="BZ57" i="119"/>
  <c r="BZ28" i="118"/>
  <c r="CC28" i="119"/>
  <c r="CC62" i="119" s="1"/>
  <c r="BZ59" i="118"/>
  <c r="CS6" i="119"/>
  <c r="CC20" i="118"/>
  <c r="BZ20" i="118"/>
  <c r="BZ40" i="118"/>
  <c r="CR6" i="118"/>
  <c r="BZ57" i="118"/>
  <c r="CC28" i="118"/>
  <c r="CC62" i="118" s="1"/>
  <c r="BZ59" i="117"/>
  <c r="BZ40" i="117"/>
  <c r="CC20" i="117"/>
  <c r="CF44" i="67"/>
  <c r="BZ20" i="117"/>
  <c r="BZ57" i="117"/>
  <c r="CC28" i="117"/>
  <c r="CC62" i="117" s="1"/>
  <c r="CS6" i="117"/>
  <c r="CD24" i="67"/>
  <c r="CD58" i="67" s="1"/>
  <c r="CC57" i="67"/>
  <c r="CC28" i="67"/>
  <c r="CB59" i="67"/>
  <c r="CA59" i="67"/>
  <c r="BZ25" i="67"/>
  <c r="CE9" i="67"/>
  <c r="CF43" i="67"/>
  <c r="CF45" i="67"/>
  <c r="CG13" i="67"/>
  <c r="CE48" i="67"/>
  <c r="CC48" i="67"/>
  <c r="CE40" i="67"/>
  <c r="CA48" i="67"/>
  <c r="CF11" i="67"/>
  <c r="CF10" i="67"/>
  <c r="CF12" i="67"/>
  <c r="CF40" i="67"/>
  <c r="CB40" i="67"/>
  <c r="CC20" i="67"/>
  <c r="CD23" i="67"/>
  <c r="CD57" i="67" s="1"/>
  <c r="CA40" i="67"/>
  <c r="CC40" i="67"/>
  <c r="CD40" i="67"/>
  <c r="CC59" i="67"/>
  <c r="CD48" i="67"/>
  <c r="CB48" i="67"/>
  <c r="K14" i="77"/>
  <c r="K12" i="77"/>
  <c r="K13" i="77"/>
  <c r="K15" i="77"/>
  <c r="CH6" i="67"/>
  <c r="N16" i="125"/>
  <c r="AS30" i="125"/>
  <c r="CB19" i="119" a="1"/>
  <c r="CD21" i="67" a="1"/>
  <c r="BD267" i="125"/>
  <c r="N253" i="125"/>
  <c r="CF9" i="67" a="1"/>
  <c r="BZ18" i="118" a="1"/>
  <c r="CB38" i="117" a="1"/>
  <c r="CG11" i="67" a="1"/>
  <c r="CC38" i="67" a="1"/>
  <c r="BZ18" i="119" a="1"/>
  <c r="BZ27" i="117" a="1"/>
  <c r="BF306" i="125" a="1"/>
  <c r="CD19" i="67" a="1"/>
  <c r="O286" i="125"/>
  <c r="CF38" i="67" a="1"/>
  <c r="CA39" i="117" a="1"/>
  <c r="CH13" i="67" a="1"/>
  <c r="CA38" i="119" a="1"/>
  <c r="CA26" i="67" a="1"/>
  <c r="BF16" i="125"/>
  <c r="AT30" i="125"/>
  <c r="BZ38" i="117" a="1"/>
  <c r="CG46" i="67" a="1"/>
  <c r="BD109" i="125"/>
  <c r="M183" i="125"/>
  <c r="CG47" i="67" a="1"/>
  <c r="CA19" i="119" a="1"/>
  <c r="K30" i="125"/>
  <c r="BZ19" i="118" a="1"/>
  <c r="AV30" i="125"/>
  <c r="CB19" i="67" a="1"/>
  <c r="CB19" i="117" a="1"/>
  <c r="BC30" i="125"/>
  <c r="BG29" i="125"/>
  <c r="CB27" i="117" a="1"/>
  <c r="BF174" i="125"/>
  <c r="BG49" i="125"/>
  <c r="N306" i="125" a="1"/>
  <c r="CA19" i="117" a="1"/>
  <c r="BG187" i="125"/>
  <c r="BZ19" i="117" a="1"/>
  <c r="N307" i="125" a="1"/>
  <c r="CB18" i="117" a="1"/>
  <c r="AQ30" i="125"/>
  <c r="CE26" i="67" a="1"/>
  <c r="N27" i="125"/>
  <c r="BZ27" i="119" a="1"/>
  <c r="BZ11" i="67" a="1"/>
  <c r="N105" i="125"/>
  <c r="CB18" i="118" a="1"/>
  <c r="BG207" i="125"/>
  <c r="N149" i="125" a="1"/>
  <c r="AY30" i="125"/>
  <c r="BG12" i="125"/>
  <c r="BF228" i="125" a="1"/>
  <c r="O108" i="125"/>
  <c r="BF70" i="125" a="1"/>
  <c r="CE46" i="67" a="1"/>
  <c r="BF105" i="125"/>
  <c r="CE47" i="67" a="1"/>
  <c r="BF307" i="125" a="1"/>
  <c r="N263" i="125"/>
  <c r="CC41" i="67" a="1"/>
  <c r="AO30" i="125"/>
  <c r="CB47" i="67" a="1"/>
  <c r="CA27" i="119" a="1"/>
  <c r="CC38" i="118" a="1"/>
  <c r="CG41" i="67" a="1"/>
  <c r="CE24" i="67" a="1"/>
  <c r="BG91" i="125"/>
  <c r="BF149" i="125" a="1"/>
  <c r="L30" i="125"/>
  <c r="N184" i="125"/>
  <c r="AR30" i="125"/>
  <c r="CC38" i="119" a="1"/>
  <c r="CG39" i="67" a="1"/>
  <c r="CA47" i="117" a="1"/>
  <c r="L267" i="125"/>
  <c r="CB26" i="67" a="1"/>
  <c r="BZ47" i="118" a="1"/>
  <c r="O266" i="125"/>
  <c r="N148" i="125" a="1"/>
  <c r="CC18" i="67" a="1"/>
  <c r="BZ38" i="119" a="1"/>
  <c r="CA38" i="117" a="1"/>
  <c r="CC47" i="117" a="1"/>
  <c r="O207" i="125"/>
  <c r="CB39" i="118" a="1"/>
  <c r="CA47" i="118" a="1"/>
  <c r="CD46" i="67" a="1"/>
  <c r="CG45" i="67" a="1"/>
  <c r="CC49" i="117" a="1"/>
  <c r="BZ39" i="117" a="1"/>
  <c r="CB18" i="67" a="1"/>
  <c r="CC27" i="117" a="1"/>
  <c r="AW30" i="125"/>
  <c r="CB19" i="118" a="1"/>
  <c r="O128" i="125"/>
  <c r="CA46" i="67" a="1"/>
  <c r="CC39" i="67" a="1"/>
  <c r="BE25" i="125"/>
  <c r="CD38" i="67" a="1"/>
  <c r="M104" i="125"/>
  <c r="O29" i="125"/>
  <c r="AP30" i="125"/>
  <c r="BE183" i="125"/>
  <c r="CA21" i="67" a="1"/>
  <c r="O170" i="125"/>
  <c r="M262" i="125"/>
  <c r="CB47" i="118" a="1"/>
  <c r="N174" i="125"/>
  <c r="CF39" i="67" a="1"/>
  <c r="CA19" i="67" a="1"/>
  <c r="BZ27" i="118" a="1"/>
  <c r="BF185" i="125"/>
  <c r="BF263" i="125"/>
  <c r="CD47" i="67" a="1"/>
  <c r="CB41" i="67" a="1"/>
  <c r="CC18" i="118" a="1"/>
  <c r="CG44" i="67" a="1"/>
  <c r="BZ39" i="118" a="1"/>
  <c r="BG286" i="125"/>
  <c r="CA19" i="118" a="1"/>
  <c r="CC51" i="118" a="1"/>
  <c r="CC18" i="119" a="1"/>
  <c r="CB21" i="67" a="1"/>
  <c r="CC47" i="67" a="1"/>
  <c r="N185" i="125"/>
  <c r="BZ39" i="119" a="1"/>
  <c r="N95" i="125"/>
  <c r="BZ38" i="118" a="1"/>
  <c r="CA27" i="118" a="1"/>
  <c r="BG128" i="125"/>
  <c r="CB39" i="117" a="1"/>
  <c r="BE262" i="125"/>
  <c r="CC19" i="67" a="1"/>
  <c r="CD39" i="67" a="1"/>
  <c r="CD26" i="67" a="1"/>
  <c r="CB27" i="67" a="1"/>
  <c r="BF264" i="125"/>
  <c r="BF69" i="125" a="1"/>
  <c r="CB47" i="119" a="1"/>
  <c r="CG12" i="67" a="1"/>
  <c r="N228" i="125" a="1"/>
  <c r="CB27" i="118" a="1"/>
  <c r="CC27" i="119" a="1"/>
  <c r="CC47" i="118" a="1"/>
  <c r="CG37" i="67" a="1"/>
  <c r="N264" i="125"/>
  <c r="L109" i="125"/>
  <c r="BD188" i="125"/>
  <c r="CB38" i="118" a="1"/>
  <c r="CC49" i="119" a="1"/>
  <c r="CA18" i="119" a="1"/>
  <c r="CC49" i="118" a="1"/>
  <c r="CC47" i="119" a="1"/>
  <c r="CC38" i="117" a="1"/>
  <c r="N26" i="125"/>
  <c r="CD41" i="67" a="1"/>
  <c r="CG43" i="67" a="1"/>
  <c r="N106" i="125"/>
  <c r="N227" i="125" a="1"/>
  <c r="CE41" i="67" a="1"/>
  <c r="BZ47" i="119" a="1"/>
  <c r="CB27" i="119" a="1"/>
  <c r="N69" i="125" a="1"/>
  <c r="BF253" i="125"/>
  <c r="CB46" i="67" a="1"/>
  <c r="CE23" i="67" a="1"/>
  <c r="CG40" i="67" a="1"/>
  <c r="CC27" i="67" a="1"/>
  <c r="BF27" i="125"/>
  <c r="BF227" i="125" a="1"/>
  <c r="CA27" i="117" a="1"/>
  <c r="CD25" i="67" a="1"/>
  <c r="AZ30" i="125"/>
  <c r="CC51" i="119" a="1"/>
  <c r="CA27" i="67" a="1"/>
  <c r="M25" i="125"/>
  <c r="AX30" i="125"/>
  <c r="CA18" i="117" a="1"/>
  <c r="O49" i="125"/>
  <c r="I30" i="125"/>
  <c r="BF148" i="125" a="1"/>
  <c r="CC51" i="117" a="1"/>
  <c r="CA47" i="119" a="1"/>
  <c r="CB38" i="67" a="1"/>
  <c r="O249" i="125"/>
  <c r="CA41" i="67" a="1"/>
  <c r="CE38" i="67" a="1"/>
  <c r="BG249" i="125"/>
  <c r="L188" i="125"/>
  <c r="O187" i="125"/>
  <c r="BZ18" i="117" a="1"/>
  <c r="BE104" i="125"/>
  <c r="CB47" i="117" a="1"/>
  <c r="AU30" i="125"/>
  <c r="BF106" i="125"/>
  <c r="BZ19" i="119" a="1"/>
  <c r="CB18" i="119" a="1"/>
  <c r="CA38" i="67" a="1"/>
  <c r="CF47" i="67" a="1"/>
  <c r="CB39" i="119" a="1"/>
  <c r="BA30" i="125"/>
  <c r="CD27" i="67" a="1"/>
  <c r="BZ47" i="117" a="1"/>
  <c r="O91" i="125"/>
  <c r="BG266" i="125"/>
  <c r="CB39" i="67" a="1"/>
  <c r="BB30" i="125"/>
  <c r="BF26" i="125"/>
  <c r="CA18" i="67" a="1"/>
  <c r="CG10" i="67" a="1"/>
  <c r="BD30" i="125"/>
  <c r="CC26" i="67" a="1"/>
  <c r="CC27" i="118" a="1"/>
  <c r="CC18" i="117" a="1"/>
  <c r="CG38" i="67" a="1"/>
  <c r="CD18" i="67" a="1"/>
  <c r="CD20" i="67" a="1"/>
  <c r="N70" i="125" a="1"/>
  <c r="BF184" i="125"/>
  <c r="CC46" i="67" a="1"/>
  <c r="CB38" i="119" a="1"/>
  <c r="O12" i="125"/>
  <c r="CA39" i="67" a="1"/>
  <c r="BF95" i="125"/>
  <c r="J30" i="125"/>
  <c r="CA18" i="118" a="1"/>
  <c r="CA39" i="119" a="1"/>
  <c r="CE39" i="67" a="1"/>
  <c r="CA47" i="67" a="1"/>
  <c r="CA39" i="118" a="1"/>
  <c r="BG170" i="125"/>
  <c r="CF41" i="67" a="1"/>
  <c r="CF46" i="67" a="1"/>
  <c r="CA38" i="118" a="1"/>
  <c r="BE30" i="125"/>
  <c r="BG108" i="125"/>
  <c r="Z342" i="124" l="1"/>
  <c r="CA62" i="119"/>
  <c r="AQ238" i="126"/>
  <c r="AZ321" i="120"/>
  <c r="BF342" i="120"/>
  <c r="BC153" i="125"/>
  <c r="BC160" i="125" s="1"/>
  <c r="K312" i="125"/>
  <c r="K320" i="125" s="1"/>
  <c r="BC154" i="125"/>
  <c r="BC163" i="125" s="1"/>
  <c r="K296" i="125"/>
  <c r="BC151" i="125"/>
  <c r="K297" i="125"/>
  <c r="BC139" i="125"/>
  <c r="BG342" i="126"/>
  <c r="BG345" i="126" s="1"/>
  <c r="K310" i="125"/>
  <c r="K317" i="125" s="1"/>
  <c r="I342" i="124"/>
  <c r="AB297" i="124"/>
  <c r="AB320" i="124"/>
  <c r="AN342" i="120"/>
  <c r="AM342" i="125"/>
  <c r="G342" i="125"/>
  <c r="AO342" i="124"/>
  <c r="CA62" i="118"/>
  <c r="BB342" i="125"/>
  <c r="BB344" i="125" s="1"/>
  <c r="J342" i="125"/>
  <c r="J345" i="125" s="1"/>
  <c r="BC311" i="125"/>
  <c r="K233" i="125"/>
  <c r="BC297" i="125"/>
  <c r="BD215" i="125"/>
  <c r="BD217" i="125" s="1"/>
  <c r="K154" i="125"/>
  <c r="K163" i="125" s="1"/>
  <c r="K153" i="125"/>
  <c r="K160" i="125" s="1"/>
  <c r="K151" i="125"/>
  <c r="K156" i="125" s="1"/>
  <c r="CB62" i="118"/>
  <c r="BI289" i="124"/>
  <c r="K139" i="125"/>
  <c r="BD294" i="125"/>
  <c r="BC341" i="125"/>
  <c r="BC342" i="125" s="1"/>
  <c r="BC344" i="125" s="1"/>
  <c r="K138" i="125"/>
  <c r="BH294" i="120"/>
  <c r="BH312" i="120" s="1"/>
  <c r="K230" i="125"/>
  <c r="K235" i="125" s="1"/>
  <c r="CB62" i="67"/>
  <c r="AQ316" i="125"/>
  <c r="K217" i="125"/>
  <c r="L294" i="125"/>
  <c r="K218" i="125"/>
  <c r="K232" i="125"/>
  <c r="K239" i="125" s="1"/>
  <c r="Z311" i="124"/>
  <c r="Z319" i="124" s="1"/>
  <c r="BC217" i="125"/>
  <c r="Z309" i="124"/>
  <c r="Z315" i="124" s="1"/>
  <c r="BC218" i="125"/>
  <c r="Z296" i="124"/>
  <c r="BC233" i="125"/>
  <c r="K159" i="126"/>
  <c r="K309" i="125"/>
  <c r="K315" i="125" s="1"/>
  <c r="BJ269" i="124"/>
  <c r="BJ289" i="124" s="1"/>
  <c r="AC131" i="124"/>
  <c r="BG230" i="124"/>
  <c r="BG235" i="124" s="1"/>
  <c r="BG233" i="124"/>
  <c r="AB296" i="124"/>
  <c r="L215" i="125"/>
  <c r="L218" i="125" s="1"/>
  <c r="AB57" i="126"/>
  <c r="AB59" i="126" s="1"/>
  <c r="AB311" i="124"/>
  <c r="AB319" i="124" s="1"/>
  <c r="AB309" i="124"/>
  <c r="AB314" i="124" s="1"/>
  <c r="CA62" i="67"/>
  <c r="BD136" i="125"/>
  <c r="BD139" i="125" s="1"/>
  <c r="BG232" i="124"/>
  <c r="BJ113" i="126"/>
  <c r="BH335" i="124"/>
  <c r="AA139" i="124"/>
  <c r="L334" i="125"/>
  <c r="L339" i="125" s="1"/>
  <c r="BH154" i="126"/>
  <c r="BH163" i="126" s="1"/>
  <c r="M50" i="125"/>
  <c r="AC129" i="124"/>
  <c r="AC109" i="124" s="1"/>
  <c r="AC50" i="120"/>
  <c r="AC30" i="120" s="1"/>
  <c r="AA153" i="124"/>
  <c r="BJ271" i="126"/>
  <c r="BG341" i="124"/>
  <c r="BG342" i="124" s="1"/>
  <c r="AA138" i="124"/>
  <c r="CB62" i="119"/>
  <c r="L57" i="125"/>
  <c r="L73" i="125" s="1"/>
  <c r="AA151" i="124"/>
  <c r="AA157" i="124" s="1"/>
  <c r="AQ158" i="124"/>
  <c r="AB138" i="120"/>
  <c r="BI271" i="124"/>
  <c r="AB341" i="126"/>
  <c r="AB342" i="126" s="1"/>
  <c r="BI341" i="126"/>
  <c r="BI342" i="126" s="1"/>
  <c r="AB297" i="120"/>
  <c r="M52" i="125"/>
  <c r="AD124" i="126"/>
  <c r="AD271" i="126"/>
  <c r="BD334" i="125"/>
  <c r="BD339" i="125" s="1"/>
  <c r="BE45" i="125"/>
  <c r="BL22" i="126"/>
  <c r="BH153" i="126"/>
  <c r="BH161" i="126" s="1"/>
  <c r="AC125" i="124"/>
  <c r="AC133" i="124" s="1"/>
  <c r="BD57" i="125"/>
  <c r="BD59" i="125" s="1"/>
  <c r="BD47" i="125"/>
  <c r="AQ158" i="126"/>
  <c r="BH151" i="126"/>
  <c r="BH157" i="126" s="1"/>
  <c r="BH138" i="126"/>
  <c r="BF342" i="124"/>
  <c r="BF345" i="124" s="1"/>
  <c r="BI284" i="120"/>
  <c r="AC123" i="124"/>
  <c r="BH341" i="126"/>
  <c r="BH342" i="126" s="1"/>
  <c r="AC341" i="126"/>
  <c r="AC342" i="126" s="1"/>
  <c r="K158" i="125"/>
  <c r="K159" i="125"/>
  <c r="BH284" i="120"/>
  <c r="BJ205" i="126"/>
  <c r="AD123" i="126"/>
  <c r="BJ335" i="126"/>
  <c r="BJ334" i="126"/>
  <c r="BJ339" i="126" s="1"/>
  <c r="AD133" i="126"/>
  <c r="M11" i="126"/>
  <c r="M68" i="126" s="1"/>
  <c r="M73" i="126" s="1"/>
  <c r="AS11" i="126"/>
  <c r="AS68" i="126" s="1"/>
  <c r="AS73" i="126" s="1"/>
  <c r="M169" i="126"/>
  <c r="M226" i="126" s="1"/>
  <c r="M231" i="126" s="1"/>
  <c r="AS169" i="126"/>
  <c r="AS226" i="126" s="1"/>
  <c r="AS231" i="126" s="1"/>
  <c r="BH294" i="124"/>
  <c r="BL105" i="126"/>
  <c r="BL106" i="126"/>
  <c r="BL148" i="126" a="1"/>
  <c r="BL148" i="126" s="1"/>
  <c r="BL95" i="126"/>
  <c r="BL96" i="126" s="1"/>
  <c r="BL149" i="126" a="1"/>
  <c r="BL149" i="126" s="1"/>
  <c r="BL101" i="126"/>
  <c r="BP118" i="126"/>
  <c r="BL180" i="126"/>
  <c r="BL259" i="126"/>
  <c r="BP276" i="126"/>
  <c r="AE190" i="126"/>
  <c r="AB156" i="126"/>
  <c r="AB157" i="126"/>
  <c r="AY241" i="126"/>
  <c r="AY242" i="126"/>
  <c r="AT241" i="126"/>
  <c r="AT242" i="126"/>
  <c r="BF161" i="126"/>
  <c r="BF160" i="126"/>
  <c r="AV239" i="126"/>
  <c r="AV240" i="126"/>
  <c r="BG162" i="126"/>
  <c r="BG163" i="126"/>
  <c r="AD289" i="126"/>
  <c r="AD294" i="126" s="1"/>
  <c r="AD287" i="126"/>
  <c r="AD267" i="126" s="1"/>
  <c r="O240" i="126"/>
  <c r="O239" i="126"/>
  <c r="T321" i="126"/>
  <c r="T320" i="126"/>
  <c r="AP320" i="126"/>
  <c r="AP321" i="126"/>
  <c r="AR318" i="126"/>
  <c r="AR319" i="126"/>
  <c r="AD50" i="126"/>
  <c r="AD30" i="126" s="1"/>
  <c r="AD52" i="126"/>
  <c r="AD57" i="126" s="1"/>
  <c r="BF236" i="126"/>
  <c r="BF235" i="126"/>
  <c r="AV60" i="126"/>
  <c r="AV59" i="126"/>
  <c r="AV72" i="126"/>
  <c r="AV74" i="126"/>
  <c r="AV75" i="126"/>
  <c r="AF174" i="126"/>
  <c r="AF175" i="126" s="1"/>
  <c r="AF227" i="126" a="1"/>
  <c r="AF227" i="126" s="1"/>
  <c r="AF228" i="126" a="1"/>
  <c r="AF228" i="126" s="1"/>
  <c r="AF185" i="126"/>
  <c r="AF184" i="126"/>
  <c r="AF56" i="126"/>
  <c r="AJ56" i="126" s="1"/>
  <c r="AJ41" i="126"/>
  <c r="AF121" i="126"/>
  <c r="AF100" i="126"/>
  <c r="AJ117" i="126"/>
  <c r="AF200" i="126"/>
  <c r="AF179" i="126"/>
  <c r="AF260" i="126"/>
  <c r="H294" i="126"/>
  <c r="S314" i="126"/>
  <c r="S315" i="126"/>
  <c r="U314" i="126"/>
  <c r="U315" i="126"/>
  <c r="BB320" i="126"/>
  <c r="BB321" i="126"/>
  <c r="AO319" i="126"/>
  <c r="AO318" i="126"/>
  <c r="W240" i="126"/>
  <c r="W239" i="126"/>
  <c r="BC321" i="126"/>
  <c r="BC320" i="126"/>
  <c r="N319" i="126"/>
  <c r="N318" i="126"/>
  <c r="BK190" i="126"/>
  <c r="BK283" i="126"/>
  <c r="BK291" i="126" s="1"/>
  <c r="AJ120" i="126"/>
  <c r="AV163" i="126"/>
  <c r="AV162" i="126"/>
  <c r="Z318" i="126"/>
  <c r="Z319" i="126"/>
  <c r="V235" i="126"/>
  <c r="V236" i="126"/>
  <c r="BF315" i="126"/>
  <c r="BF314" i="126"/>
  <c r="V157" i="126"/>
  <c r="V156" i="126"/>
  <c r="R318" i="126"/>
  <c r="R319" i="126"/>
  <c r="BK204" i="126"/>
  <c r="BK212" i="126" s="1"/>
  <c r="BI60" i="126"/>
  <c r="BI59" i="126"/>
  <c r="BI72" i="126"/>
  <c r="BI74" i="126"/>
  <c r="BI75" i="126"/>
  <c r="AM240" i="125"/>
  <c r="AM239" i="125"/>
  <c r="O160" i="126"/>
  <c r="O161" i="126"/>
  <c r="R160" i="126"/>
  <c r="R161" i="126"/>
  <c r="J156" i="126"/>
  <c r="J157" i="126"/>
  <c r="Y315" i="126"/>
  <c r="Y314" i="126"/>
  <c r="BC344" i="126"/>
  <c r="BC345" i="126"/>
  <c r="BF345" i="126"/>
  <c r="BF344" i="126"/>
  <c r="BH239" i="126"/>
  <c r="BH240" i="126"/>
  <c r="AR163" i="126"/>
  <c r="AR162" i="126"/>
  <c r="AX235" i="126"/>
  <c r="AX236" i="126"/>
  <c r="P162" i="126"/>
  <c r="P163" i="126"/>
  <c r="T242" i="126"/>
  <c r="T241" i="126"/>
  <c r="BE321" i="126"/>
  <c r="BE320" i="126"/>
  <c r="Q160" i="126"/>
  <c r="Q161" i="126"/>
  <c r="BJ126" i="126"/>
  <c r="N163" i="126"/>
  <c r="N162" i="126"/>
  <c r="AS319" i="126"/>
  <c r="AS318" i="126"/>
  <c r="K314" i="126"/>
  <c r="K315" i="126"/>
  <c r="L321" i="126"/>
  <c r="L320" i="126"/>
  <c r="AA320" i="126"/>
  <c r="AA321" i="126"/>
  <c r="K162" i="126"/>
  <c r="K163" i="126"/>
  <c r="BG242" i="126"/>
  <c r="BG241" i="126"/>
  <c r="AS239" i="126"/>
  <c r="AS240" i="126"/>
  <c r="AU318" i="126"/>
  <c r="AU319" i="126"/>
  <c r="Z163" i="126"/>
  <c r="Z162" i="126"/>
  <c r="AD202" i="126"/>
  <c r="L239" i="126"/>
  <c r="L240" i="126"/>
  <c r="H109" i="126"/>
  <c r="U163" i="126"/>
  <c r="U162" i="126"/>
  <c r="Y241" i="126"/>
  <c r="Y242" i="126"/>
  <c r="AQ157" i="126"/>
  <c r="AQ156" i="126"/>
  <c r="AE125" i="126"/>
  <c r="AE133" i="126" s="1"/>
  <c r="BE161" i="126"/>
  <c r="BE160" i="126"/>
  <c r="AY345" i="126"/>
  <c r="AY344" i="126"/>
  <c r="AP236" i="126"/>
  <c r="AP235" i="126"/>
  <c r="X239" i="126"/>
  <c r="X240" i="126"/>
  <c r="U239" i="126"/>
  <c r="U240" i="126"/>
  <c r="BL253" i="126"/>
  <c r="BL254" i="126" s="1"/>
  <c r="BL307" i="126" a="1"/>
  <c r="BL307" i="126" s="1"/>
  <c r="BL264" i="126"/>
  <c r="BL306" i="126" a="1"/>
  <c r="BL306" i="126" s="1"/>
  <c r="BL263" i="126"/>
  <c r="BL33" i="126"/>
  <c r="BL329" i="126"/>
  <c r="BL340" i="126" s="1"/>
  <c r="BL214" i="126"/>
  <c r="BP214" i="126" s="1"/>
  <c r="BP199" i="126"/>
  <c r="BP301" i="126"/>
  <c r="AJ200" i="126"/>
  <c r="AU60" i="126"/>
  <c r="AU59" i="126"/>
  <c r="AU72" i="126"/>
  <c r="AU74" i="126"/>
  <c r="AU75" i="126"/>
  <c r="AY236" i="126"/>
  <c r="AY235" i="126"/>
  <c r="J345" i="126"/>
  <c r="J344" i="126"/>
  <c r="AW242" i="126"/>
  <c r="AW241" i="126"/>
  <c r="AT235" i="126"/>
  <c r="AT236" i="126"/>
  <c r="BF157" i="126"/>
  <c r="BF156" i="126"/>
  <c r="AV235" i="126"/>
  <c r="AV236" i="126"/>
  <c r="AZ239" i="126"/>
  <c r="AZ240" i="126"/>
  <c r="AX320" i="126"/>
  <c r="AX321" i="126"/>
  <c r="O241" i="126"/>
  <c r="O242" i="126"/>
  <c r="T319" i="126"/>
  <c r="T318" i="126"/>
  <c r="AP319" i="126"/>
  <c r="AP318" i="126"/>
  <c r="AR315" i="126"/>
  <c r="AR314" i="126"/>
  <c r="J320" i="126"/>
  <c r="J321" i="126"/>
  <c r="AN109" i="126"/>
  <c r="M318" i="126"/>
  <c r="M319" i="126"/>
  <c r="N242" i="126"/>
  <c r="N241" i="126"/>
  <c r="I238" i="126"/>
  <c r="I237" i="126"/>
  <c r="AF27" i="126"/>
  <c r="AF69" i="126" a="1"/>
  <c r="AF69" i="126" s="1"/>
  <c r="AF70" i="126" a="1"/>
  <c r="AF70" i="126" s="1"/>
  <c r="AF26" i="126"/>
  <c r="AF16" i="126"/>
  <c r="AF17" i="126" s="1"/>
  <c r="AJ64" i="126"/>
  <c r="AF102" i="126"/>
  <c r="AF181" i="126"/>
  <c r="AJ198" i="126"/>
  <c r="AT162" i="126"/>
  <c r="AT163" i="126"/>
  <c r="AZ60" i="126"/>
  <c r="AZ59" i="126"/>
  <c r="AZ72" i="126"/>
  <c r="AZ74" i="126"/>
  <c r="AZ75" i="126"/>
  <c r="BB318" i="126"/>
  <c r="BB319" i="126"/>
  <c r="I317" i="126"/>
  <c r="I316" i="126"/>
  <c r="AO321" i="126"/>
  <c r="AO320" i="126"/>
  <c r="W236" i="126"/>
  <c r="W235" i="126"/>
  <c r="BC318" i="126"/>
  <c r="BC319" i="126"/>
  <c r="N314" i="126"/>
  <c r="N315" i="126"/>
  <c r="AC139" i="126"/>
  <c r="AC138" i="126"/>
  <c r="AC151" i="126"/>
  <c r="AC153" i="126"/>
  <c r="AC154" i="126"/>
  <c r="AV344" i="126"/>
  <c r="AV345" i="126"/>
  <c r="BC239" i="126"/>
  <c r="BC240" i="126"/>
  <c r="AV161" i="126"/>
  <c r="AV160" i="126"/>
  <c r="Z314" i="126"/>
  <c r="Z315" i="126"/>
  <c r="BD60" i="126"/>
  <c r="BD59" i="126"/>
  <c r="BD75" i="126"/>
  <c r="BD72" i="126"/>
  <c r="BD74" i="126"/>
  <c r="BF319" i="126"/>
  <c r="BF318" i="126"/>
  <c r="AW163" i="126"/>
  <c r="AW162" i="126"/>
  <c r="R320" i="126"/>
  <c r="R321" i="126"/>
  <c r="AE204" i="126"/>
  <c r="AE212" i="126" s="1"/>
  <c r="X319" i="126"/>
  <c r="X318" i="126"/>
  <c r="O157" i="126"/>
  <c r="O156" i="126"/>
  <c r="R163" i="126"/>
  <c r="R162" i="126"/>
  <c r="Y320" i="126"/>
  <c r="Y321" i="126"/>
  <c r="Y333" i="126" s="1"/>
  <c r="AR60" i="126"/>
  <c r="AR59" i="126"/>
  <c r="AR72" i="126"/>
  <c r="AR74" i="126"/>
  <c r="AR75" i="126"/>
  <c r="BH241" i="126"/>
  <c r="BH242" i="126"/>
  <c r="AR157" i="126"/>
  <c r="AR156" i="126"/>
  <c r="R60" i="126"/>
  <c r="R59" i="126"/>
  <c r="R72" i="126"/>
  <c r="R74" i="126"/>
  <c r="R75" i="126"/>
  <c r="BP120" i="126"/>
  <c r="AE290" i="126"/>
  <c r="V319" i="126"/>
  <c r="V318" i="126"/>
  <c r="P160" i="126"/>
  <c r="P161" i="126"/>
  <c r="T239" i="126"/>
  <c r="T240" i="126"/>
  <c r="Q163" i="126"/>
  <c r="Q162" i="126"/>
  <c r="H57" i="126"/>
  <c r="AQ317" i="126"/>
  <c r="AQ316" i="126"/>
  <c r="N157" i="126"/>
  <c r="N156" i="126"/>
  <c r="AS315" i="126"/>
  <c r="AS314" i="126"/>
  <c r="L319" i="126"/>
  <c r="L318" i="126"/>
  <c r="AA319" i="126"/>
  <c r="AA318" i="126"/>
  <c r="K156" i="126"/>
  <c r="K157" i="126"/>
  <c r="BK124" i="126"/>
  <c r="BK104" i="126"/>
  <c r="BK123" i="126" s="1"/>
  <c r="AS241" i="126"/>
  <c r="AS242" i="126"/>
  <c r="AU314" i="126"/>
  <c r="AU315" i="126"/>
  <c r="Z156" i="126"/>
  <c r="Z157" i="126"/>
  <c r="AQ80" i="126"/>
  <c r="AQ79" i="126"/>
  <c r="AY162" i="126"/>
  <c r="AY163" i="126"/>
  <c r="AD203" i="126"/>
  <c r="AM318" i="125"/>
  <c r="AM319" i="125"/>
  <c r="L242" i="126"/>
  <c r="L241" i="126"/>
  <c r="U156" i="126"/>
  <c r="U157" i="126"/>
  <c r="AJ119" i="126"/>
  <c r="BA320" i="126"/>
  <c r="BA321" i="126"/>
  <c r="BE163" i="126"/>
  <c r="BE162" i="126"/>
  <c r="BJ44" i="126"/>
  <c r="BJ47" i="126" s="1"/>
  <c r="AN294" i="126"/>
  <c r="X242" i="126"/>
  <c r="X241" i="126"/>
  <c r="J60" i="126"/>
  <c r="J59" i="126"/>
  <c r="J72" i="126"/>
  <c r="J74" i="126"/>
  <c r="J75" i="126"/>
  <c r="J73" i="126"/>
  <c r="G235" i="125"/>
  <c r="G236" i="125"/>
  <c r="U235" i="126"/>
  <c r="U236" i="126"/>
  <c r="AR73" i="125"/>
  <c r="AR80" i="125" s="1"/>
  <c r="AA162" i="126"/>
  <c r="AA163" i="126"/>
  <c r="W345" i="126"/>
  <c r="W344" i="126"/>
  <c r="BL56" i="126"/>
  <c r="BP56" i="126" s="1"/>
  <c r="BP41" i="126"/>
  <c r="BL102" i="126"/>
  <c r="BP119" i="126"/>
  <c r="BP222" i="126"/>
  <c r="AU161" i="126"/>
  <c r="AU160" i="126"/>
  <c r="AR241" i="126"/>
  <c r="AR242" i="126"/>
  <c r="AW240" i="126"/>
  <c r="AW239" i="126"/>
  <c r="AM163" i="125"/>
  <c r="AM162" i="125"/>
  <c r="AO159" i="126"/>
  <c r="AO158" i="126"/>
  <c r="AZ241" i="126"/>
  <c r="AZ242" i="126"/>
  <c r="AX319" i="126"/>
  <c r="AX318" i="126"/>
  <c r="O236" i="126"/>
  <c r="O235" i="126"/>
  <c r="T314" i="126"/>
  <c r="T315" i="126"/>
  <c r="AP315" i="126"/>
  <c r="AP314" i="126"/>
  <c r="W321" i="126"/>
  <c r="W320" i="126"/>
  <c r="J318" i="126"/>
  <c r="J319" i="126"/>
  <c r="X345" i="126"/>
  <c r="X344" i="126"/>
  <c r="AN136" i="126"/>
  <c r="M320" i="126"/>
  <c r="M321" i="126"/>
  <c r="N240" i="126"/>
  <c r="N239" i="126"/>
  <c r="K60" i="126"/>
  <c r="K59" i="126"/>
  <c r="K72" i="126"/>
  <c r="K74" i="126"/>
  <c r="K75" i="126"/>
  <c r="I241" i="126"/>
  <c r="I242" i="126"/>
  <c r="AF253" i="126"/>
  <c r="AF254" i="126" s="1"/>
  <c r="AF306" i="126" a="1"/>
  <c r="AF306" i="126" s="1"/>
  <c r="AF307" i="126" a="1"/>
  <c r="AF307" i="126" s="1"/>
  <c r="AF264" i="126"/>
  <c r="AF263" i="126"/>
  <c r="AF42" i="126"/>
  <c r="AJ42" i="126" s="1"/>
  <c r="AF21" i="126"/>
  <c r="AJ301" i="126"/>
  <c r="AT160" i="126"/>
  <c r="AT161" i="126"/>
  <c r="BB314" i="126"/>
  <c r="BB315" i="126"/>
  <c r="I320" i="126"/>
  <c r="I321" i="126"/>
  <c r="Z345" i="126"/>
  <c r="Z344" i="126"/>
  <c r="AO314" i="126"/>
  <c r="AO315" i="126"/>
  <c r="BE59" i="126"/>
  <c r="BE60" i="126"/>
  <c r="BE72" i="126"/>
  <c r="BE75" i="126"/>
  <c r="BE74" i="126"/>
  <c r="BC314" i="126"/>
  <c r="BC315" i="126"/>
  <c r="G159" i="125"/>
  <c r="G158" i="125"/>
  <c r="K344" i="126"/>
  <c r="K345" i="126"/>
  <c r="BK282" i="126"/>
  <c r="BK262" i="126"/>
  <c r="BK281" i="126" s="1"/>
  <c r="BC242" i="126"/>
  <c r="BC241" i="126"/>
  <c r="AV156" i="126"/>
  <c r="AV157" i="126"/>
  <c r="Z320" i="126"/>
  <c r="Z321" i="126"/>
  <c r="BD163" i="126"/>
  <c r="BD162" i="126"/>
  <c r="AW161" i="126"/>
  <c r="AW160" i="126"/>
  <c r="R314" i="126"/>
  <c r="R315" i="126"/>
  <c r="AE112" i="126"/>
  <c r="I158" i="126"/>
  <c r="I159" i="126"/>
  <c r="X320" i="126"/>
  <c r="X321" i="126"/>
  <c r="BI47" i="126"/>
  <c r="BD242" i="126"/>
  <c r="BD241" i="126"/>
  <c r="R156" i="126"/>
  <c r="R157" i="126"/>
  <c r="Y319" i="126"/>
  <c r="Y318" i="126"/>
  <c r="Q318" i="126"/>
  <c r="Q319" i="126"/>
  <c r="BH236" i="126"/>
  <c r="BH235" i="126"/>
  <c r="BH57" i="126"/>
  <c r="BK269" i="126"/>
  <c r="BP135" i="126"/>
  <c r="AE32" i="126"/>
  <c r="AE328" i="126"/>
  <c r="V321" i="126"/>
  <c r="V320" i="126"/>
  <c r="P157" i="126"/>
  <c r="P156" i="126"/>
  <c r="T235" i="126"/>
  <c r="T236" i="126"/>
  <c r="Q156" i="126"/>
  <c r="Q157" i="126"/>
  <c r="K241" i="126"/>
  <c r="K242" i="126"/>
  <c r="H30" i="126"/>
  <c r="I345" i="126"/>
  <c r="I344" i="126"/>
  <c r="T60" i="126"/>
  <c r="T59" i="126"/>
  <c r="T72" i="126"/>
  <c r="T74" i="126"/>
  <c r="T75" i="126"/>
  <c r="AU239" i="126"/>
  <c r="AU240" i="126"/>
  <c r="L314" i="126"/>
  <c r="L315" i="126"/>
  <c r="Y163" i="126"/>
  <c r="Y162" i="126"/>
  <c r="N345" i="126"/>
  <c r="N344" i="126"/>
  <c r="AE46" i="126"/>
  <c r="AE54" i="126" s="1"/>
  <c r="AS236" i="126"/>
  <c r="AS235" i="126"/>
  <c r="Q241" i="126"/>
  <c r="Q242" i="126"/>
  <c r="AY161" i="126"/>
  <c r="AY160" i="126"/>
  <c r="AM316" i="125"/>
  <c r="AM317" i="125"/>
  <c r="L235" i="126"/>
  <c r="L236" i="126"/>
  <c r="BP197" i="126"/>
  <c r="BA319" i="126"/>
  <c r="BA318" i="126"/>
  <c r="BE157" i="126"/>
  <c r="BE156" i="126"/>
  <c r="AN267" i="126"/>
  <c r="G316" i="125"/>
  <c r="G317" i="125"/>
  <c r="X236" i="126"/>
  <c r="X235" i="126"/>
  <c r="BI296" i="126"/>
  <c r="BI297" i="126"/>
  <c r="BI309" i="126"/>
  <c r="BI311" i="126"/>
  <c r="BI312" i="126"/>
  <c r="BE204" i="125"/>
  <c r="BE212" i="125" s="1"/>
  <c r="AA160" i="126"/>
  <c r="AA161" i="126"/>
  <c r="BP64" i="126"/>
  <c r="AE33" i="126"/>
  <c r="AE329" i="126"/>
  <c r="AU162" i="126"/>
  <c r="AU163" i="126"/>
  <c r="AR239" i="126"/>
  <c r="AR240" i="126"/>
  <c r="AW235" i="126"/>
  <c r="AW236" i="126"/>
  <c r="AM159" i="125"/>
  <c r="AM158" i="125"/>
  <c r="X60" i="126"/>
  <c r="X59" i="126"/>
  <c r="X72" i="126"/>
  <c r="X74" i="126"/>
  <c r="X75" i="126"/>
  <c r="AR317" i="126"/>
  <c r="AR316" i="126"/>
  <c r="AO163" i="126"/>
  <c r="AO162" i="126"/>
  <c r="AZ236" i="126"/>
  <c r="AZ235" i="126"/>
  <c r="AX315" i="126"/>
  <c r="AX314" i="126"/>
  <c r="W319" i="126"/>
  <c r="W318" i="126"/>
  <c r="Z60" i="126"/>
  <c r="Z59" i="126"/>
  <c r="Z74" i="126"/>
  <c r="Z75" i="126"/>
  <c r="Z72" i="126"/>
  <c r="J314" i="126"/>
  <c r="J315" i="126"/>
  <c r="BG321" i="126"/>
  <c r="BG320" i="126"/>
  <c r="X162" i="126"/>
  <c r="X163" i="126"/>
  <c r="AP59" i="126"/>
  <c r="AP60" i="126"/>
  <c r="AP72" i="126"/>
  <c r="AP74" i="126"/>
  <c r="AP75" i="126"/>
  <c r="AP73" i="126"/>
  <c r="M314" i="126"/>
  <c r="M315" i="126"/>
  <c r="N235" i="126"/>
  <c r="N236" i="126"/>
  <c r="S344" i="126"/>
  <c r="S345" i="126"/>
  <c r="I239" i="126"/>
  <c r="I240" i="126"/>
  <c r="AF23" i="126"/>
  <c r="AJ40" i="126"/>
  <c r="AF145" i="126"/>
  <c r="AJ145" i="126" s="1"/>
  <c r="AJ143" i="126"/>
  <c r="AT156" i="126"/>
  <c r="AT157" i="126"/>
  <c r="AD44" i="126"/>
  <c r="AD47" i="126" s="1"/>
  <c r="I318" i="126"/>
  <c r="I319" i="126"/>
  <c r="G163" i="125"/>
  <c r="G162" i="125"/>
  <c r="P319" i="126"/>
  <c r="P318" i="126"/>
  <c r="BE242" i="126"/>
  <c r="BE241" i="126"/>
  <c r="AE224" i="126"/>
  <c r="BC235" i="126"/>
  <c r="BC236" i="126"/>
  <c r="AA342" i="126"/>
  <c r="BJ133" i="126"/>
  <c r="AD284" i="126"/>
  <c r="BD161" i="126"/>
  <c r="BD160" i="126"/>
  <c r="AW157" i="126"/>
  <c r="AW156" i="126"/>
  <c r="BK203" i="126"/>
  <c r="BK183" i="126"/>
  <c r="BK202" i="126" s="1"/>
  <c r="AE330" i="126"/>
  <c r="I163" i="126"/>
  <c r="I162" i="126"/>
  <c r="X315" i="126"/>
  <c r="X314" i="126"/>
  <c r="BD239" i="126"/>
  <c r="BD240" i="126"/>
  <c r="I60" i="126"/>
  <c r="I59" i="126"/>
  <c r="I72" i="126"/>
  <c r="I75" i="126"/>
  <c r="I74" i="126"/>
  <c r="I73" i="126"/>
  <c r="BJ284" i="126"/>
  <c r="Q320" i="126"/>
  <c r="Q321" i="126"/>
  <c r="L237" i="126"/>
  <c r="L238" i="126"/>
  <c r="AQ240" i="126"/>
  <c r="AQ239" i="126"/>
  <c r="AE191" i="126"/>
  <c r="V314" i="126"/>
  <c r="V315" i="126"/>
  <c r="M239" i="126"/>
  <c r="M240" i="126"/>
  <c r="K239" i="126"/>
  <c r="K240" i="126"/>
  <c r="AC59" i="126"/>
  <c r="AC60" i="126"/>
  <c r="AC74" i="126"/>
  <c r="AC75" i="126"/>
  <c r="AC72" i="126"/>
  <c r="AU242" i="126"/>
  <c r="AU241" i="126"/>
  <c r="AV318" i="126"/>
  <c r="AV319" i="126"/>
  <c r="Y160" i="126"/>
  <c r="Y161" i="126"/>
  <c r="Q239" i="126"/>
  <c r="Q240" i="126"/>
  <c r="O345" i="126"/>
  <c r="O344" i="126"/>
  <c r="AY157" i="126"/>
  <c r="AY156" i="126"/>
  <c r="T344" i="126"/>
  <c r="T345" i="126"/>
  <c r="AN57" i="126"/>
  <c r="BI218" i="126"/>
  <c r="BI217" i="126"/>
  <c r="BI230" i="126"/>
  <c r="BI233" i="126"/>
  <c r="BI232" i="126"/>
  <c r="L160" i="126"/>
  <c r="L161" i="126"/>
  <c r="W59" i="126"/>
  <c r="W60" i="126"/>
  <c r="W72" i="126"/>
  <c r="W75" i="126"/>
  <c r="W74" i="126"/>
  <c r="BA315" i="126"/>
  <c r="BA314" i="126"/>
  <c r="BB160" i="126"/>
  <c r="BB161" i="126"/>
  <c r="Y60" i="126"/>
  <c r="Y59" i="126"/>
  <c r="Y75" i="126"/>
  <c r="Y72" i="126"/>
  <c r="Y74" i="126"/>
  <c r="M163" i="126"/>
  <c r="M162" i="126"/>
  <c r="AA241" i="126"/>
  <c r="AA242" i="126"/>
  <c r="G319" i="125"/>
  <c r="G318" i="125"/>
  <c r="G241" i="125"/>
  <c r="G242" i="125"/>
  <c r="BJ290" i="124"/>
  <c r="AZ318" i="126"/>
  <c r="AZ319" i="126"/>
  <c r="AA156" i="126"/>
  <c r="AA157" i="126"/>
  <c r="BM302" i="126"/>
  <c r="BM301" i="126"/>
  <c r="BM276" i="126"/>
  <c r="BM259" i="126" s="1"/>
  <c r="BM270" i="126" s="1"/>
  <c r="BM278" i="126"/>
  <c r="BM293" i="126" s="1"/>
  <c r="BM277" i="126"/>
  <c r="BM275" i="126"/>
  <c r="BM252" i="126"/>
  <c r="BM223" i="126"/>
  <c r="BM222" i="126"/>
  <c r="BM199" i="126"/>
  <c r="BM214" i="126" s="1"/>
  <c r="BM197" i="126"/>
  <c r="BM180" i="126" s="1"/>
  <c r="BM191" i="126" s="1"/>
  <c r="BM196" i="126"/>
  <c r="BM198" i="126"/>
  <c r="BM173" i="126"/>
  <c r="BO173" i="126" s="1"/>
  <c r="BM144" i="126"/>
  <c r="BM120" i="126"/>
  <c r="BM135" i="126" s="1"/>
  <c r="BM118" i="126"/>
  <c r="BM143" i="126"/>
  <c r="BM117" i="126"/>
  <c r="BM119" i="126"/>
  <c r="BM41" i="126"/>
  <c r="BM56" i="126" s="1"/>
  <c r="BM39" i="126"/>
  <c r="BM94" i="126"/>
  <c r="BM65" i="126"/>
  <c r="BM40" i="126"/>
  <c r="BM38" i="126"/>
  <c r="BM64" i="126"/>
  <c r="BM15" i="126"/>
  <c r="BO15" i="126" s="1"/>
  <c r="BM249" i="126"/>
  <c r="BM91" i="126"/>
  <c r="BM12" i="126"/>
  <c r="BM170" i="126"/>
  <c r="BL121" i="126"/>
  <c r="BL100" i="126"/>
  <c r="BP117" i="126"/>
  <c r="BO252" i="126"/>
  <c r="AO237" i="126"/>
  <c r="AO238" i="126"/>
  <c r="AU156" i="126"/>
  <c r="AU157" i="126"/>
  <c r="AR236" i="126"/>
  <c r="AR235" i="126"/>
  <c r="J241" i="126"/>
  <c r="J242" i="126"/>
  <c r="AM161" i="125"/>
  <c r="AM160" i="125"/>
  <c r="L316" i="126"/>
  <c r="L317" i="126"/>
  <c r="P240" i="126"/>
  <c r="P239" i="126"/>
  <c r="AO161" i="126"/>
  <c r="AO160" i="126"/>
  <c r="W315" i="126"/>
  <c r="W314" i="126"/>
  <c r="S162" i="126"/>
  <c r="S163" i="126"/>
  <c r="G345" i="125"/>
  <c r="G344" i="125"/>
  <c r="BG315" i="126"/>
  <c r="BG314" i="126"/>
  <c r="X160" i="126"/>
  <c r="X161" i="126"/>
  <c r="AX161" i="126"/>
  <c r="AX160" i="126"/>
  <c r="BJ331" i="126"/>
  <c r="I236" i="126"/>
  <c r="I235" i="126"/>
  <c r="AF101" i="126"/>
  <c r="AF112" i="126" s="1"/>
  <c r="AJ118" i="126"/>
  <c r="AF224" i="126"/>
  <c r="AJ222" i="126"/>
  <c r="L60" i="126"/>
  <c r="L59" i="126"/>
  <c r="L72" i="126"/>
  <c r="L75" i="126"/>
  <c r="L74" i="126"/>
  <c r="H215" i="126"/>
  <c r="I315" i="126"/>
  <c r="I314" i="126"/>
  <c r="G73" i="125"/>
  <c r="G72" i="125"/>
  <c r="G60" i="125"/>
  <c r="G59" i="125"/>
  <c r="G74" i="125"/>
  <c r="G75" i="125"/>
  <c r="G160" i="125"/>
  <c r="G161" i="125"/>
  <c r="AQ321" i="126"/>
  <c r="AQ320" i="126"/>
  <c r="S239" i="126"/>
  <c r="S240" i="126"/>
  <c r="P320" i="126"/>
  <c r="P321" i="126"/>
  <c r="BE240" i="126"/>
  <c r="BE239" i="126"/>
  <c r="BP39" i="126"/>
  <c r="L344" i="126"/>
  <c r="L345" i="126"/>
  <c r="BJ212" i="126"/>
  <c r="BJ215" i="126" s="1"/>
  <c r="BC60" i="126"/>
  <c r="BC59" i="126"/>
  <c r="BC72" i="126"/>
  <c r="BC75" i="126"/>
  <c r="BC74" i="126"/>
  <c r="BD156" i="126"/>
  <c r="BD157" i="126"/>
  <c r="AW344" i="126"/>
  <c r="AW345" i="126"/>
  <c r="I160" i="126"/>
  <c r="I161" i="126"/>
  <c r="AM235" i="125"/>
  <c r="AM236" i="125"/>
  <c r="BD235" i="126"/>
  <c r="BD236" i="126"/>
  <c r="AD113" i="126"/>
  <c r="AZ163" i="126"/>
  <c r="AZ162" i="126"/>
  <c r="Q315" i="126"/>
  <c r="Q314" i="126"/>
  <c r="AR238" i="126"/>
  <c r="AR237" i="126"/>
  <c r="AQ242" i="126"/>
  <c r="AQ241" i="126"/>
  <c r="AW319" i="126"/>
  <c r="AW318" i="126"/>
  <c r="BK46" i="126"/>
  <c r="BK54" i="126" s="1"/>
  <c r="M242" i="126"/>
  <c r="M241" i="126"/>
  <c r="K235" i="126"/>
  <c r="K236" i="126"/>
  <c r="AT320" i="126"/>
  <c r="AT321" i="126"/>
  <c r="AU235" i="126"/>
  <c r="AU236" i="126"/>
  <c r="AV320" i="126"/>
  <c r="AV321" i="126"/>
  <c r="Y156" i="126"/>
  <c r="Y157" i="126"/>
  <c r="L73" i="126"/>
  <c r="R345" i="126"/>
  <c r="R344" i="126"/>
  <c r="BK330" i="126"/>
  <c r="AE45" i="126"/>
  <c r="AE25" i="126"/>
  <c r="AE34" i="126" s="1"/>
  <c r="BI139" i="126"/>
  <c r="BI138" i="126"/>
  <c r="BI151" i="126"/>
  <c r="BI153" i="126"/>
  <c r="BI154" i="126"/>
  <c r="AQ59" i="126"/>
  <c r="AQ60" i="126"/>
  <c r="AQ72" i="126"/>
  <c r="AQ74" i="126"/>
  <c r="AQ75" i="126"/>
  <c r="AO59" i="126"/>
  <c r="AO60" i="126"/>
  <c r="AO72" i="126"/>
  <c r="AO75" i="126"/>
  <c r="AO74" i="126"/>
  <c r="AO73" i="126"/>
  <c r="Q236" i="126"/>
  <c r="Q235" i="126"/>
  <c r="BD318" i="126"/>
  <c r="BD319" i="126"/>
  <c r="BA160" i="126"/>
  <c r="BA161" i="126"/>
  <c r="AN30" i="126"/>
  <c r="AC297" i="126"/>
  <c r="AC296" i="126"/>
  <c r="AC311" i="126"/>
  <c r="AC309" i="126"/>
  <c r="AC312" i="126"/>
  <c r="L162" i="126"/>
  <c r="L163" i="126"/>
  <c r="BB162" i="126"/>
  <c r="BB163" i="126"/>
  <c r="M161" i="126"/>
  <c r="M160" i="126"/>
  <c r="AA239" i="126"/>
  <c r="AA240" i="126"/>
  <c r="G321" i="125"/>
  <c r="G320" i="125"/>
  <c r="G240" i="125"/>
  <c r="G239" i="125"/>
  <c r="R240" i="126"/>
  <c r="R239" i="126"/>
  <c r="AS90" i="126"/>
  <c r="AS147" i="126" s="1"/>
  <c r="AS152" i="126" s="1"/>
  <c r="M90" i="126"/>
  <c r="M147" i="126" s="1"/>
  <c r="M152" i="126" s="1"/>
  <c r="AF259" i="125"/>
  <c r="AF270" i="125" s="1"/>
  <c r="BD335" i="125"/>
  <c r="L47" i="125"/>
  <c r="AZ320" i="126"/>
  <c r="AZ321" i="126"/>
  <c r="BL181" i="126"/>
  <c r="BP198" i="126"/>
  <c r="BL279" i="126"/>
  <c r="BL303" i="126" s="1"/>
  <c r="BP303" i="126" s="1"/>
  <c r="BL258" i="126"/>
  <c r="AO242" i="126"/>
  <c r="AO241" i="126"/>
  <c r="V345" i="126"/>
  <c r="V344" i="126"/>
  <c r="BA345" i="126"/>
  <c r="BA344" i="126"/>
  <c r="J240" i="126"/>
  <c r="J239" i="126"/>
  <c r="L158" i="126"/>
  <c r="L159" i="126"/>
  <c r="S60" i="126"/>
  <c r="S59" i="126"/>
  <c r="S72" i="126"/>
  <c r="S74" i="126"/>
  <c r="S75" i="126"/>
  <c r="P241" i="126"/>
  <c r="P242" i="126"/>
  <c r="AO157" i="126"/>
  <c r="AO156" i="126"/>
  <c r="Z241" i="126"/>
  <c r="Z242" i="126"/>
  <c r="S160" i="126"/>
  <c r="S161" i="126"/>
  <c r="T162" i="126"/>
  <c r="T163" i="126"/>
  <c r="BG319" i="126"/>
  <c r="BG318" i="126"/>
  <c r="X157" i="126"/>
  <c r="X156" i="126"/>
  <c r="AX163" i="126"/>
  <c r="AX162" i="126"/>
  <c r="BJ52" i="126"/>
  <c r="BJ57" i="126" s="1"/>
  <c r="BJ50" i="126"/>
  <c r="BJ30" i="126" s="1"/>
  <c r="AG302" i="126"/>
  <c r="AG301" i="126"/>
  <c r="AG278" i="126"/>
  <c r="AG293" i="126" s="1"/>
  <c r="AG277" i="126"/>
  <c r="AG275" i="126"/>
  <c r="AG252" i="126"/>
  <c r="AI252" i="126" s="1"/>
  <c r="AG276" i="126"/>
  <c r="AG222" i="126"/>
  <c r="AG223" i="126"/>
  <c r="AG198" i="126"/>
  <c r="AG196" i="126"/>
  <c r="AG173" i="126"/>
  <c r="AG197" i="126"/>
  <c r="AG180" i="126" s="1"/>
  <c r="AG191" i="126" s="1"/>
  <c r="AG143" i="126"/>
  <c r="AG199" i="126"/>
  <c r="AG214" i="126" s="1"/>
  <c r="AG119" i="126"/>
  <c r="AG117" i="126"/>
  <c r="AG144" i="126"/>
  <c r="AG94" i="126"/>
  <c r="AG118" i="126"/>
  <c r="AG120" i="126"/>
  <c r="AG135" i="126" s="1"/>
  <c r="AG40" i="126"/>
  <c r="AG38" i="126"/>
  <c r="AG64" i="126"/>
  <c r="AG41" i="126"/>
  <c r="AG56" i="126" s="1"/>
  <c r="AG39" i="126"/>
  <c r="AG65" i="126"/>
  <c r="AG15" i="126"/>
  <c r="AI15" i="126" s="1"/>
  <c r="AG249" i="126"/>
  <c r="AG170" i="126"/>
  <c r="AG12" i="126"/>
  <c r="AG91" i="126"/>
  <c r="AF180" i="126"/>
  <c r="AF191" i="126" s="1"/>
  <c r="AF259" i="126"/>
  <c r="AD210" i="126"/>
  <c r="AD208" i="126"/>
  <c r="AD188" i="126" s="1"/>
  <c r="H188" i="126"/>
  <c r="BB60" i="126"/>
  <c r="BB59" i="126"/>
  <c r="BB72" i="126"/>
  <c r="BB74" i="126"/>
  <c r="BB75" i="126"/>
  <c r="AQ319" i="126"/>
  <c r="AQ318" i="126"/>
  <c r="S241" i="126"/>
  <c r="S242" i="126"/>
  <c r="P315" i="126"/>
  <c r="P314" i="126"/>
  <c r="BE235" i="126"/>
  <c r="BE236" i="126"/>
  <c r="BK33" i="126"/>
  <c r="BK329" i="126"/>
  <c r="AB314" i="126"/>
  <c r="AB315" i="126"/>
  <c r="BB344" i="126"/>
  <c r="BB345" i="126"/>
  <c r="W160" i="126"/>
  <c r="W161" i="126"/>
  <c r="BA239" i="126"/>
  <c r="BA240" i="126"/>
  <c r="AB239" i="126"/>
  <c r="AB240" i="126"/>
  <c r="AE303" i="126"/>
  <c r="AE203" i="126"/>
  <c r="AE183" i="126"/>
  <c r="AE202" i="126" s="1"/>
  <c r="AS160" i="126"/>
  <c r="AS161" i="126"/>
  <c r="I156" i="126"/>
  <c r="I157" i="126"/>
  <c r="AM241" i="125"/>
  <c r="AM242" i="125"/>
  <c r="AJ278" i="126"/>
  <c r="AZ161" i="126"/>
  <c r="AZ160" i="126"/>
  <c r="AD204" i="126"/>
  <c r="O321" i="126"/>
  <c r="O320" i="126"/>
  <c r="AQ236" i="126"/>
  <c r="AQ235" i="126"/>
  <c r="BO94" i="126"/>
  <c r="AW321" i="126"/>
  <c r="AW320" i="126"/>
  <c r="BK224" i="126"/>
  <c r="BK45" i="126"/>
  <c r="BK25" i="126"/>
  <c r="BK34" i="126" s="1"/>
  <c r="AE282" i="126"/>
  <c r="AE262" i="126"/>
  <c r="AE281" i="126" s="1"/>
  <c r="BJ289" i="126"/>
  <c r="BJ294" i="126" s="1"/>
  <c r="BJ287" i="126"/>
  <c r="BJ267" i="126" s="1"/>
  <c r="M235" i="126"/>
  <c r="M236" i="126"/>
  <c r="AY321" i="126"/>
  <c r="AY320" i="126"/>
  <c r="AB60" i="126"/>
  <c r="K73" i="126"/>
  <c r="AT319" i="126"/>
  <c r="AT318" i="126"/>
  <c r="Q345" i="126"/>
  <c r="Q344" i="126"/>
  <c r="AV314" i="126"/>
  <c r="AV315" i="126"/>
  <c r="BC162" i="126"/>
  <c r="BC163" i="126"/>
  <c r="AR73" i="126"/>
  <c r="BB239" i="126"/>
  <c r="BB240" i="126"/>
  <c r="AX59" i="126"/>
  <c r="AX60" i="126"/>
  <c r="AX72" i="126"/>
  <c r="AX74" i="126"/>
  <c r="AX75" i="126"/>
  <c r="BD320" i="126"/>
  <c r="BD321" i="126"/>
  <c r="BA162" i="126"/>
  <c r="BA163" i="126"/>
  <c r="AM314" i="125"/>
  <c r="AM315" i="125"/>
  <c r="AP163" i="126"/>
  <c r="AP162" i="126"/>
  <c r="AD132" i="126"/>
  <c r="L156" i="126"/>
  <c r="L157" i="126"/>
  <c r="AP237" i="126"/>
  <c r="AP238" i="126"/>
  <c r="BK32" i="126"/>
  <c r="BK328" i="126"/>
  <c r="BB156" i="126"/>
  <c r="BB157" i="126"/>
  <c r="BA60" i="126"/>
  <c r="BA59" i="126"/>
  <c r="BA72" i="126"/>
  <c r="BA74" i="126"/>
  <c r="BA75" i="126"/>
  <c r="AO344" i="126"/>
  <c r="AO345" i="126"/>
  <c r="M156" i="126"/>
  <c r="M157" i="126"/>
  <c r="AA235" i="126"/>
  <c r="AA236" i="126"/>
  <c r="AN188" i="126"/>
  <c r="G238" i="125"/>
  <c r="G237" i="125"/>
  <c r="AN342" i="126"/>
  <c r="R241" i="126"/>
  <c r="R242" i="126"/>
  <c r="M248" i="126"/>
  <c r="M305" i="126" s="1"/>
  <c r="M310" i="126" s="1"/>
  <c r="AS248" i="126"/>
  <c r="AS305" i="126" s="1"/>
  <c r="AS310" i="126" s="1"/>
  <c r="AF101" i="125"/>
  <c r="AF112" i="125" s="1"/>
  <c r="AZ315" i="126"/>
  <c r="AZ314" i="126"/>
  <c r="BL227" i="126" a="1"/>
  <c r="BL227" i="126" s="1"/>
  <c r="BL228" i="126" a="1"/>
  <c r="BL228" i="126" s="1"/>
  <c r="BL184" i="126"/>
  <c r="BL174" i="126"/>
  <c r="BL185" i="126"/>
  <c r="BL21" i="126"/>
  <c r="BL42" i="126"/>
  <c r="BP42" i="126" s="1"/>
  <c r="BP38" i="126"/>
  <c r="BL179" i="126"/>
  <c r="BL200" i="126"/>
  <c r="BL224" i="126" s="1"/>
  <c r="BL260" i="126"/>
  <c r="BP277" i="126"/>
  <c r="AE269" i="126"/>
  <c r="AO240" i="126"/>
  <c r="AO239" i="126"/>
  <c r="AM59" i="125"/>
  <c r="AM60" i="125"/>
  <c r="AM72" i="125"/>
  <c r="AM75" i="125"/>
  <c r="AM74" i="125"/>
  <c r="AM73" i="125"/>
  <c r="AB162" i="126"/>
  <c r="AB163" i="126"/>
  <c r="J235" i="126"/>
  <c r="J236" i="126"/>
  <c r="AT60" i="126"/>
  <c r="AT59" i="126"/>
  <c r="AT72" i="126"/>
  <c r="AT74" i="126"/>
  <c r="AT75" i="126"/>
  <c r="AR159" i="126"/>
  <c r="AR158" i="126"/>
  <c r="P236" i="126"/>
  <c r="P235" i="126"/>
  <c r="BG157" i="126"/>
  <c r="BG156" i="126"/>
  <c r="AE111" i="126"/>
  <c r="AU344" i="126"/>
  <c r="AU345" i="126"/>
  <c r="Z240" i="126"/>
  <c r="Z239" i="126"/>
  <c r="S156" i="126"/>
  <c r="S157" i="126"/>
  <c r="T160" i="126"/>
  <c r="T161" i="126"/>
  <c r="BF242" i="126"/>
  <c r="BF241" i="126"/>
  <c r="AT344" i="126"/>
  <c r="AT345" i="126"/>
  <c r="M59" i="126"/>
  <c r="M60" i="126"/>
  <c r="M72" i="126"/>
  <c r="M75" i="126"/>
  <c r="M74" i="126"/>
  <c r="AX157" i="126"/>
  <c r="AX156" i="126"/>
  <c r="U59" i="126"/>
  <c r="U60" i="126"/>
  <c r="U72" i="126"/>
  <c r="U75" i="126"/>
  <c r="U74" i="126"/>
  <c r="S320" i="126"/>
  <c r="S321" i="126"/>
  <c r="U318" i="126"/>
  <c r="U319" i="126"/>
  <c r="BJ192" i="126"/>
  <c r="M345" i="126"/>
  <c r="M344" i="126"/>
  <c r="AQ315" i="126"/>
  <c r="AQ314" i="126"/>
  <c r="S235" i="126"/>
  <c r="S236" i="126"/>
  <c r="U344" i="126"/>
  <c r="U345" i="126"/>
  <c r="V242" i="126"/>
  <c r="V241" i="126"/>
  <c r="AB321" i="126"/>
  <c r="AB320" i="126"/>
  <c r="BE344" i="126"/>
  <c r="BE345" i="126"/>
  <c r="V163" i="126"/>
  <c r="V162" i="126"/>
  <c r="W162" i="126"/>
  <c r="W163" i="126"/>
  <c r="BA241" i="126"/>
  <c r="BA242" i="126"/>
  <c r="AB242" i="126"/>
  <c r="AB241" i="126"/>
  <c r="BK111" i="126"/>
  <c r="AS163" i="126"/>
  <c r="AS162" i="126"/>
  <c r="AC217" i="126"/>
  <c r="AC218" i="126"/>
  <c r="AC233" i="126"/>
  <c r="AC230" i="126"/>
  <c r="AC232" i="126"/>
  <c r="J163" i="126"/>
  <c r="J162" i="126"/>
  <c r="AZ157" i="126"/>
  <c r="AZ156" i="126"/>
  <c r="BD344" i="126"/>
  <c r="BD345" i="126"/>
  <c r="K316" i="126"/>
  <c r="K317" i="126"/>
  <c r="Q60" i="126"/>
  <c r="Q59" i="126"/>
  <c r="Q72" i="126"/>
  <c r="Q75" i="126"/>
  <c r="Q74" i="126"/>
  <c r="O319" i="126"/>
  <c r="O318" i="126"/>
  <c r="N59" i="126"/>
  <c r="N60" i="126"/>
  <c r="N72" i="126"/>
  <c r="N74" i="126"/>
  <c r="N75" i="126"/>
  <c r="AW314" i="126"/>
  <c r="AW315" i="126"/>
  <c r="AX242" i="126"/>
  <c r="AX241" i="126"/>
  <c r="P60" i="126"/>
  <c r="P59" i="126"/>
  <c r="P72" i="126"/>
  <c r="P74" i="126"/>
  <c r="P75" i="126"/>
  <c r="BE319" i="126"/>
  <c r="BE318" i="126"/>
  <c r="AY319" i="126"/>
  <c r="AY318" i="126"/>
  <c r="O59" i="126"/>
  <c r="O60" i="126"/>
  <c r="O72" i="126"/>
  <c r="O74" i="126"/>
  <c r="O75" i="126"/>
  <c r="AT314" i="126"/>
  <c r="AT315" i="126"/>
  <c r="AR345" i="126"/>
  <c r="AR344" i="126"/>
  <c r="K319" i="126"/>
  <c r="K318" i="126"/>
  <c r="BC161" i="126"/>
  <c r="BC160" i="126"/>
  <c r="BG240" i="126"/>
  <c r="BG239" i="126"/>
  <c r="BK125" i="126"/>
  <c r="BK133" i="126" s="1"/>
  <c r="BB241" i="126"/>
  <c r="BB242" i="126"/>
  <c r="AY59" i="126"/>
  <c r="AY60" i="126"/>
  <c r="AY72" i="126"/>
  <c r="AY74" i="126"/>
  <c r="AY75" i="126"/>
  <c r="H342" i="126"/>
  <c r="BD314" i="126"/>
  <c r="BD315" i="126"/>
  <c r="BA156" i="126"/>
  <c r="BA157" i="126"/>
  <c r="AM320" i="125"/>
  <c r="AM321" i="125"/>
  <c r="AP161" i="126"/>
  <c r="AP160" i="126"/>
  <c r="Y236" i="126"/>
  <c r="Y235" i="126"/>
  <c r="AQ161" i="126"/>
  <c r="AQ160" i="126"/>
  <c r="AJ277" i="126"/>
  <c r="AE124" i="126"/>
  <c r="AE104" i="126"/>
  <c r="AE123" i="126" s="1"/>
  <c r="AX345" i="126"/>
  <c r="AX344" i="126"/>
  <c r="AQ345" i="126"/>
  <c r="AQ344" i="126"/>
  <c r="AP240" i="126"/>
  <c r="AP239" i="126"/>
  <c r="G314" i="125"/>
  <c r="G315" i="125"/>
  <c r="AN215" i="126"/>
  <c r="AC47" i="126"/>
  <c r="R235" i="126"/>
  <c r="R236" i="126"/>
  <c r="BL27" i="126"/>
  <c r="BL69" i="126" a="1"/>
  <c r="BL69" i="126" s="1"/>
  <c r="BL16" i="126"/>
  <c r="BL70" i="126" a="1"/>
  <c r="BL70" i="126" s="1"/>
  <c r="BL26" i="126"/>
  <c r="BL23" i="126"/>
  <c r="BP40" i="126"/>
  <c r="BL145" i="126"/>
  <c r="BP145" i="126" s="1"/>
  <c r="BP143" i="126"/>
  <c r="BL293" i="126"/>
  <c r="BP293" i="126" s="1"/>
  <c r="BP278" i="126"/>
  <c r="AO235" i="126"/>
  <c r="AO236" i="126"/>
  <c r="AD131" i="126"/>
  <c r="AD129" i="126"/>
  <c r="AD109" i="126" s="1"/>
  <c r="AB160" i="126"/>
  <c r="AB161" i="126"/>
  <c r="AY240" i="126"/>
  <c r="AY239" i="126"/>
  <c r="AS345" i="126"/>
  <c r="AS344" i="126"/>
  <c r="AT239" i="126"/>
  <c r="AT240" i="126"/>
  <c r="AM156" i="125"/>
  <c r="AM157" i="125"/>
  <c r="BF163" i="126"/>
  <c r="BF162" i="126"/>
  <c r="AV242" i="126"/>
  <c r="AV241" i="126"/>
  <c r="BG161" i="126"/>
  <c r="BG160" i="126"/>
  <c r="AJ121" i="126"/>
  <c r="Z235" i="126"/>
  <c r="Z236" i="126"/>
  <c r="AR320" i="126"/>
  <c r="AR321" i="126"/>
  <c r="T156" i="126"/>
  <c r="T157" i="126"/>
  <c r="AD331" i="126"/>
  <c r="BF240" i="126"/>
  <c r="BF239" i="126"/>
  <c r="BG59" i="126"/>
  <c r="BG60" i="126"/>
  <c r="BG75" i="126"/>
  <c r="BG74" i="126"/>
  <c r="BG72" i="126"/>
  <c r="AF105" i="126"/>
  <c r="AF149" i="126" a="1"/>
  <c r="AF149" i="126" s="1"/>
  <c r="AF148" i="126" a="1"/>
  <c r="AF148" i="126" s="1"/>
  <c r="AF106" i="126"/>
  <c r="AF95" i="126"/>
  <c r="AF96" i="126" s="1"/>
  <c r="AF22" i="126"/>
  <c r="AF214" i="126"/>
  <c r="AJ214" i="126" s="1"/>
  <c r="AJ199" i="126"/>
  <c r="AF279" i="126"/>
  <c r="AJ279" i="126" s="1"/>
  <c r="AF258" i="126"/>
  <c r="H267" i="126"/>
  <c r="S319" i="126"/>
  <c r="S318" i="126"/>
  <c r="U320" i="126"/>
  <c r="U321" i="126"/>
  <c r="AA60" i="126"/>
  <c r="AA59" i="126"/>
  <c r="AA72" i="126"/>
  <c r="AA74" i="126"/>
  <c r="AA75" i="126"/>
  <c r="AO317" i="126"/>
  <c r="AO316" i="126"/>
  <c r="AD211" i="126"/>
  <c r="W241" i="126"/>
  <c r="W242" i="126"/>
  <c r="AP345" i="126"/>
  <c r="AP344" i="126"/>
  <c r="G157" i="125"/>
  <c r="G156" i="125"/>
  <c r="N320" i="126"/>
  <c r="N321" i="126"/>
  <c r="AW59" i="126"/>
  <c r="AW60" i="126"/>
  <c r="AW72" i="126"/>
  <c r="AW74" i="126"/>
  <c r="AW75" i="126"/>
  <c r="AZ345" i="126"/>
  <c r="AZ344" i="126"/>
  <c r="V240" i="126"/>
  <c r="V239" i="126"/>
  <c r="AB319" i="126"/>
  <c r="AB318" i="126"/>
  <c r="BH297" i="126"/>
  <c r="BH296" i="126"/>
  <c r="BH309" i="126"/>
  <c r="BH311" i="126"/>
  <c r="BH312" i="126"/>
  <c r="BF320" i="126"/>
  <c r="BF321" i="126"/>
  <c r="V161" i="126"/>
  <c r="V160" i="126"/>
  <c r="W157" i="126"/>
  <c r="W156" i="126"/>
  <c r="BA236" i="126"/>
  <c r="BA235" i="126"/>
  <c r="BF59" i="126"/>
  <c r="BF60" i="126"/>
  <c r="BF75" i="126"/>
  <c r="BF72" i="126"/>
  <c r="BF74" i="126"/>
  <c r="AB235" i="126"/>
  <c r="AB236" i="126"/>
  <c r="BP121" i="126"/>
  <c r="AS156" i="126"/>
  <c r="AS157" i="126"/>
  <c r="AM237" i="125"/>
  <c r="AM238" i="125"/>
  <c r="O162" i="126"/>
  <c r="O163" i="126"/>
  <c r="J160" i="126"/>
  <c r="J161" i="126"/>
  <c r="O315" i="126"/>
  <c r="O314" i="126"/>
  <c r="AR161" i="126"/>
  <c r="AR160" i="126"/>
  <c r="AE283" i="126"/>
  <c r="AE291" i="126" s="1"/>
  <c r="AX240" i="126"/>
  <c r="AX239" i="126"/>
  <c r="BE314" i="126"/>
  <c r="BE315" i="126"/>
  <c r="AY315" i="126"/>
  <c r="AY314" i="126"/>
  <c r="N161" i="126"/>
  <c r="N160" i="126"/>
  <c r="AS320" i="126"/>
  <c r="AS321" i="126"/>
  <c r="K320" i="126"/>
  <c r="K321" i="126"/>
  <c r="BC156" i="126"/>
  <c r="BC157" i="126"/>
  <c r="AA314" i="126"/>
  <c r="AA315" i="126"/>
  <c r="K160" i="126"/>
  <c r="K161" i="126"/>
  <c r="BG236" i="126"/>
  <c r="BG235" i="126"/>
  <c r="BB236" i="126"/>
  <c r="BB235" i="126"/>
  <c r="P345" i="126"/>
  <c r="P344" i="126"/>
  <c r="AU321" i="126"/>
  <c r="AU320" i="126"/>
  <c r="Z160" i="126"/>
  <c r="Z161" i="126"/>
  <c r="BJ129" i="126"/>
  <c r="BJ109" i="126" s="1"/>
  <c r="BJ131" i="126"/>
  <c r="H136" i="126"/>
  <c r="U161" i="126"/>
  <c r="U160" i="126"/>
  <c r="AP157" i="126"/>
  <c r="AP156" i="126"/>
  <c r="Y239" i="126"/>
  <c r="Y240" i="126"/>
  <c r="AQ162" i="126"/>
  <c r="AQ163" i="126"/>
  <c r="V59" i="126"/>
  <c r="V60" i="126"/>
  <c r="V72" i="126"/>
  <c r="V74" i="126"/>
  <c r="V75" i="126"/>
  <c r="AP242" i="126"/>
  <c r="AP241" i="126"/>
  <c r="AS60" i="126"/>
  <c r="AS59" i="126"/>
  <c r="AS72" i="126"/>
  <c r="AS75" i="126"/>
  <c r="AS74" i="126"/>
  <c r="U242" i="126"/>
  <c r="U241" i="126"/>
  <c r="BD297" i="125"/>
  <c r="BD296" i="125"/>
  <c r="BD311" i="125"/>
  <c r="BD318" i="125" s="1"/>
  <c r="BD138" i="125"/>
  <c r="L311" i="125"/>
  <c r="L318" i="125" s="1"/>
  <c r="L312" i="125"/>
  <c r="L321" i="125" s="1"/>
  <c r="L296" i="125"/>
  <c r="L297" i="125"/>
  <c r="L309" i="125"/>
  <c r="L315" i="125" s="1"/>
  <c r="AC124" i="124"/>
  <c r="BE203" i="125"/>
  <c r="L231" i="125"/>
  <c r="L238" i="125" s="1"/>
  <c r="L233" i="125"/>
  <c r="L242" i="125" s="1"/>
  <c r="BH333" i="124"/>
  <c r="L310" i="125"/>
  <c r="L316" i="125" s="1"/>
  <c r="L217" i="125"/>
  <c r="BE52" i="125"/>
  <c r="M124" i="125"/>
  <c r="M283" i="125"/>
  <c r="M291" i="125" s="1"/>
  <c r="BE50" i="125"/>
  <c r="L333" i="125"/>
  <c r="N227" i="125"/>
  <c r="O337" i="125"/>
  <c r="N307" i="125"/>
  <c r="N175" i="125"/>
  <c r="N211" i="125" s="1"/>
  <c r="N149" i="125"/>
  <c r="N228" i="125"/>
  <c r="N69" i="125"/>
  <c r="M123" i="125"/>
  <c r="M113" i="125"/>
  <c r="N148" i="125"/>
  <c r="O292" i="125"/>
  <c r="N32" i="125"/>
  <c r="O213" i="125"/>
  <c r="N254" i="125"/>
  <c r="N290" i="125" s="1"/>
  <c r="O134" i="125"/>
  <c r="N96" i="125"/>
  <c r="N132" i="125" s="1"/>
  <c r="N17" i="125"/>
  <c r="N53" i="125" s="1"/>
  <c r="N306" i="125"/>
  <c r="O55" i="125"/>
  <c r="M44" i="125"/>
  <c r="M34" i="125"/>
  <c r="N70" i="125"/>
  <c r="BE44" i="125"/>
  <c r="BE34" i="125"/>
  <c r="BG213" i="125"/>
  <c r="BE281" i="125"/>
  <c r="BE271" i="125"/>
  <c r="BG337" i="125"/>
  <c r="BF111" i="125"/>
  <c r="BF306" i="125"/>
  <c r="BE202" i="125"/>
  <c r="BE192" i="125"/>
  <c r="N111" i="125"/>
  <c r="M281" i="125"/>
  <c r="M271" i="125"/>
  <c r="BF32" i="125"/>
  <c r="BF149" i="125"/>
  <c r="BF269" i="125"/>
  <c r="BF175" i="125"/>
  <c r="BF203" i="125" s="1"/>
  <c r="BF69" i="125"/>
  <c r="BF148" i="125"/>
  <c r="BF307" i="125"/>
  <c r="N190" i="125"/>
  <c r="N269" i="125"/>
  <c r="M202" i="125"/>
  <c r="M192" i="125"/>
  <c r="BF70" i="125"/>
  <c r="BF96" i="125"/>
  <c r="BF125" i="125" s="1"/>
  <c r="BF227" i="125"/>
  <c r="BG134" i="125"/>
  <c r="BG292" i="125"/>
  <c r="BF17" i="125"/>
  <c r="BF46" i="125" s="1"/>
  <c r="BF54" i="125" s="1"/>
  <c r="BF254" i="125"/>
  <c r="BF290" i="125" s="1"/>
  <c r="BF228" i="125"/>
  <c r="BG55" i="125"/>
  <c r="BF190" i="125"/>
  <c r="BE113" i="125"/>
  <c r="BD232" i="125"/>
  <c r="BD239" i="125" s="1"/>
  <c r="BD218" i="125"/>
  <c r="K342" i="125"/>
  <c r="K344" i="125" s="1"/>
  <c r="BE129" i="125"/>
  <c r="BE131" i="125"/>
  <c r="BD126" i="125"/>
  <c r="M203" i="125"/>
  <c r="M131" i="125"/>
  <c r="M129" i="125"/>
  <c r="M125" i="125"/>
  <c r="M133" i="125" s="1"/>
  <c r="BE282" i="125"/>
  <c r="BE124" i="125"/>
  <c r="M46" i="125"/>
  <c r="M45" i="125"/>
  <c r="AC132" i="124"/>
  <c r="BD312" i="125"/>
  <c r="BD320" i="125" s="1"/>
  <c r="L126" i="125"/>
  <c r="L284" i="125"/>
  <c r="M287" i="125"/>
  <c r="M289" i="125"/>
  <c r="BD309" i="125"/>
  <c r="BD315" i="125" s="1"/>
  <c r="M204" i="125"/>
  <c r="M212" i="125" s="1"/>
  <c r="M282" i="125"/>
  <c r="BD333" i="125"/>
  <c r="BE210" i="125"/>
  <c r="BE208" i="125"/>
  <c r="BE46" i="125"/>
  <c r="BE283" i="125"/>
  <c r="BE291" i="125" s="1"/>
  <c r="L73" i="124"/>
  <c r="L80" i="124" s="1"/>
  <c r="BE123" i="125"/>
  <c r="BE132" i="125"/>
  <c r="L133" i="125"/>
  <c r="L136" i="125" s="1"/>
  <c r="L152" i="125" s="1"/>
  <c r="L335" i="125"/>
  <c r="BD205" i="125"/>
  <c r="L205" i="125"/>
  <c r="M210" i="125"/>
  <c r="M208" i="125"/>
  <c r="BD284" i="125"/>
  <c r="BE287" i="125"/>
  <c r="BE289" i="125"/>
  <c r="CA39" i="118"/>
  <c r="CA19" i="119"/>
  <c r="CA39" i="117"/>
  <c r="CA19" i="117"/>
  <c r="CA19" i="118"/>
  <c r="CA39" i="119"/>
  <c r="AY160" i="125"/>
  <c r="AY161" i="125"/>
  <c r="AZ239" i="125"/>
  <c r="AZ240" i="125"/>
  <c r="AS345" i="125"/>
  <c r="AS344" i="125"/>
  <c r="AR161" i="125"/>
  <c r="AR160" i="125"/>
  <c r="AO157" i="125"/>
  <c r="AO156" i="125"/>
  <c r="BA345" i="125"/>
  <c r="BA344" i="125"/>
  <c r="AQ315" i="125"/>
  <c r="AQ314" i="125"/>
  <c r="BL260" i="125"/>
  <c r="AW59" i="125"/>
  <c r="AW60" i="125"/>
  <c r="AW72" i="125"/>
  <c r="AW75" i="125"/>
  <c r="AW74" i="125"/>
  <c r="AN57" i="125"/>
  <c r="AQ238" i="125"/>
  <c r="AQ237" i="125"/>
  <c r="AW344" i="125"/>
  <c r="AW345" i="125"/>
  <c r="AZ345" i="125"/>
  <c r="AZ344" i="125"/>
  <c r="I235" i="125"/>
  <c r="I236" i="125"/>
  <c r="AX157" i="125"/>
  <c r="AX156" i="125"/>
  <c r="AO315" i="125"/>
  <c r="AO314" i="125"/>
  <c r="AZ314" i="125"/>
  <c r="AZ315" i="125"/>
  <c r="AG301" i="125"/>
  <c r="AG302" i="125"/>
  <c r="AG277" i="125"/>
  <c r="AJ277" i="125" s="1"/>
  <c r="AG275" i="125"/>
  <c r="AJ275" i="125" s="1"/>
  <c r="AG276" i="125"/>
  <c r="AG278" i="125"/>
  <c r="AG252" i="125"/>
  <c r="AG222" i="125"/>
  <c r="AG198" i="125"/>
  <c r="AJ198" i="125" s="1"/>
  <c r="AG196" i="125"/>
  <c r="AJ196" i="125" s="1"/>
  <c r="AG223" i="125"/>
  <c r="AG173" i="125"/>
  <c r="AG199" i="125"/>
  <c r="AG143" i="125"/>
  <c r="AJ143" i="125" s="1"/>
  <c r="AG144" i="125"/>
  <c r="AG197" i="125"/>
  <c r="AJ197" i="125" s="1"/>
  <c r="AG119" i="125"/>
  <c r="AJ119" i="125" s="1"/>
  <c r="AG118" i="125"/>
  <c r="AG94" i="125"/>
  <c r="AG117" i="125"/>
  <c r="AJ117" i="125" s="1"/>
  <c r="AG65" i="125"/>
  <c r="AG64" i="125"/>
  <c r="AJ64" i="125" s="1"/>
  <c r="AG15" i="125"/>
  <c r="AG41" i="125"/>
  <c r="AG39" i="125"/>
  <c r="AG40" i="125"/>
  <c r="AG38" i="125"/>
  <c r="AJ38" i="125" s="1"/>
  <c r="AG120" i="125"/>
  <c r="AG135" i="125" s="1"/>
  <c r="AF23" i="125"/>
  <c r="AU235" i="125"/>
  <c r="AU236" i="125"/>
  <c r="AU344" i="125"/>
  <c r="AU345" i="125"/>
  <c r="BK22" i="124"/>
  <c r="AY162" i="125"/>
  <c r="AY163" i="125"/>
  <c r="AW162" i="125"/>
  <c r="AW163" i="125"/>
  <c r="AZ242" i="125"/>
  <c r="AZ241" i="125"/>
  <c r="BB319" i="125"/>
  <c r="BB318" i="125"/>
  <c r="AV242" i="125"/>
  <c r="AV241" i="125"/>
  <c r="AR157" i="125"/>
  <c r="AR156" i="125"/>
  <c r="AV320" i="125"/>
  <c r="AV321" i="125"/>
  <c r="BL22" i="125"/>
  <c r="AE145" i="125"/>
  <c r="AS241" i="125"/>
  <c r="AS242" i="125"/>
  <c r="AU318" i="125"/>
  <c r="AU319" i="125"/>
  <c r="H294" i="125"/>
  <c r="BA239" i="125"/>
  <c r="BA240" i="125"/>
  <c r="AP162" i="125"/>
  <c r="AP163" i="125"/>
  <c r="AN136" i="125"/>
  <c r="AF121" i="125"/>
  <c r="AF100" i="125"/>
  <c r="BC156" i="125"/>
  <c r="BC157" i="125"/>
  <c r="AW241" i="125"/>
  <c r="AW242" i="125"/>
  <c r="AX318" i="125"/>
  <c r="AX319" i="125"/>
  <c r="BB240" i="125"/>
  <c r="BB239" i="125"/>
  <c r="J162" i="125"/>
  <c r="J163" i="125"/>
  <c r="H342" i="125"/>
  <c r="AY157" i="125"/>
  <c r="AY156" i="125"/>
  <c r="AW161" i="125"/>
  <c r="AW160" i="125"/>
  <c r="AE328" i="125"/>
  <c r="AZ235" i="125"/>
  <c r="AZ236" i="125"/>
  <c r="BB321" i="125"/>
  <c r="BB320" i="125"/>
  <c r="AV239" i="125"/>
  <c r="AV240" i="125"/>
  <c r="AV318" i="125"/>
  <c r="AV319" i="125"/>
  <c r="I158" i="125"/>
  <c r="I159" i="125"/>
  <c r="BC241" i="125"/>
  <c r="BC242" i="125"/>
  <c r="K237" i="125"/>
  <c r="K238" i="125"/>
  <c r="J240" i="125"/>
  <c r="J239" i="125"/>
  <c r="AT319" i="125"/>
  <c r="AT318" i="125"/>
  <c r="AS239" i="125"/>
  <c r="AS240" i="125"/>
  <c r="AQ241" i="125"/>
  <c r="AQ242" i="125"/>
  <c r="AU321" i="125"/>
  <c r="AU320" i="125"/>
  <c r="BA241" i="125"/>
  <c r="BA242" i="125"/>
  <c r="AP161" i="125"/>
  <c r="AP160" i="125"/>
  <c r="AY60" i="125"/>
  <c r="AY59" i="125"/>
  <c r="AY72" i="125"/>
  <c r="AY74" i="125"/>
  <c r="AY75" i="125"/>
  <c r="BK66" i="125"/>
  <c r="J318" i="125"/>
  <c r="J319" i="125"/>
  <c r="AW240" i="125"/>
  <c r="AW239" i="125"/>
  <c r="AX321" i="125"/>
  <c r="AX320" i="125"/>
  <c r="BB241" i="125"/>
  <c r="BB242" i="125"/>
  <c r="J160" i="125"/>
  <c r="J161" i="125"/>
  <c r="M90" i="125"/>
  <c r="M147" i="125" s="1"/>
  <c r="AS90" i="125"/>
  <c r="AS147" i="125" s="1"/>
  <c r="AS152" i="125" s="1"/>
  <c r="BK259" i="120"/>
  <c r="BK270" i="120" s="1"/>
  <c r="K321" i="125"/>
  <c r="AW318" i="125"/>
  <c r="AW319" i="125"/>
  <c r="AW157" i="125"/>
  <c r="AW156" i="125"/>
  <c r="AR239" i="125"/>
  <c r="AR240" i="125"/>
  <c r="BK328" i="125"/>
  <c r="BB314" i="125"/>
  <c r="BB315" i="125"/>
  <c r="AV236" i="125"/>
  <c r="AV235" i="125"/>
  <c r="AV315" i="125"/>
  <c r="AV314" i="125"/>
  <c r="I316" i="125"/>
  <c r="I317" i="125"/>
  <c r="I162" i="125"/>
  <c r="I163" i="125"/>
  <c r="AX59" i="125"/>
  <c r="AX60" i="125"/>
  <c r="AX72" i="125"/>
  <c r="AX74" i="125"/>
  <c r="AX75" i="125"/>
  <c r="K60" i="125"/>
  <c r="K59" i="125"/>
  <c r="K72" i="125"/>
  <c r="K75" i="125"/>
  <c r="K74" i="125"/>
  <c r="AR316" i="125"/>
  <c r="AR317" i="125"/>
  <c r="BC239" i="125"/>
  <c r="BC240" i="125"/>
  <c r="BM302" i="125"/>
  <c r="BM278" i="125"/>
  <c r="BM293" i="125" s="1"/>
  <c r="BP293" i="125" s="1"/>
  <c r="BM276" i="125"/>
  <c r="BP276" i="125" s="1"/>
  <c r="BM275" i="125"/>
  <c r="BM277" i="125"/>
  <c r="BP277" i="125" s="1"/>
  <c r="BM252" i="125"/>
  <c r="BM301" i="125"/>
  <c r="BP301" i="125" s="1"/>
  <c r="BM222" i="125"/>
  <c r="BP222" i="125" s="1"/>
  <c r="BM223" i="125"/>
  <c r="BM199" i="125"/>
  <c r="BM214" i="125" s="1"/>
  <c r="BM197" i="125"/>
  <c r="BP197" i="125" s="1"/>
  <c r="BM198" i="125"/>
  <c r="BP198" i="125" s="1"/>
  <c r="BM196" i="125"/>
  <c r="BP196" i="125" s="1"/>
  <c r="BM144" i="125"/>
  <c r="BM173" i="125"/>
  <c r="BM143" i="125"/>
  <c r="BP143" i="125" s="1"/>
  <c r="BM120" i="125"/>
  <c r="BM135" i="125" s="1"/>
  <c r="BP135" i="125" s="1"/>
  <c r="BM118" i="125"/>
  <c r="BM101" i="125" s="1"/>
  <c r="BM112" i="125" s="1"/>
  <c r="BM119" i="125"/>
  <c r="BP119" i="125" s="1"/>
  <c r="BM94" i="125"/>
  <c r="BM117" i="125"/>
  <c r="BP117" i="125" s="1"/>
  <c r="BM65" i="125"/>
  <c r="BM64" i="125"/>
  <c r="BP64" i="125" s="1"/>
  <c r="BM40" i="125"/>
  <c r="BP40" i="125" s="1"/>
  <c r="BM38" i="125"/>
  <c r="BP38" i="125" s="1"/>
  <c r="BM15" i="125"/>
  <c r="BM41" i="125"/>
  <c r="BM39" i="125"/>
  <c r="BP39" i="125" s="1"/>
  <c r="BO94" i="125"/>
  <c r="J241" i="125"/>
  <c r="J242" i="125"/>
  <c r="J60" i="125"/>
  <c r="J59" i="125"/>
  <c r="J72" i="125"/>
  <c r="J75" i="125"/>
  <c r="J74" i="125"/>
  <c r="J73" i="125"/>
  <c r="AT241" i="125"/>
  <c r="AT242" i="125"/>
  <c r="AZ59" i="125"/>
  <c r="AZ60" i="125"/>
  <c r="AZ72" i="125"/>
  <c r="AZ75" i="125"/>
  <c r="AZ74" i="125"/>
  <c r="AT321" i="125"/>
  <c r="AT320" i="125"/>
  <c r="AT60" i="125"/>
  <c r="AT59" i="125"/>
  <c r="AT72" i="125"/>
  <c r="AT74" i="125"/>
  <c r="AT75" i="125"/>
  <c r="AS235" i="125"/>
  <c r="AS236" i="125"/>
  <c r="AQ239" i="125"/>
  <c r="AQ240" i="125"/>
  <c r="AU314" i="125"/>
  <c r="AU315" i="125"/>
  <c r="AN342" i="125"/>
  <c r="BB160" i="125"/>
  <c r="BB161" i="125"/>
  <c r="BA236" i="125"/>
  <c r="BA235" i="125"/>
  <c r="AP157" i="125"/>
  <c r="AP156" i="125"/>
  <c r="AF22" i="125"/>
  <c r="AF102" i="125"/>
  <c r="AF180" i="125"/>
  <c r="AF191" i="125" s="1"/>
  <c r="AF279" i="125"/>
  <c r="AF258" i="125"/>
  <c r="J321" i="125"/>
  <c r="J320" i="125"/>
  <c r="AW235" i="125"/>
  <c r="AW236" i="125"/>
  <c r="AX315" i="125"/>
  <c r="AX314" i="125"/>
  <c r="BB235" i="125"/>
  <c r="BB236" i="125"/>
  <c r="J156" i="125"/>
  <c r="J157" i="125"/>
  <c r="M248" i="125"/>
  <c r="M305" i="125" s="1"/>
  <c r="AS248" i="125"/>
  <c r="AS305" i="125" s="1"/>
  <c r="AS310" i="125" s="1"/>
  <c r="BK180" i="124"/>
  <c r="BK191" i="124" s="1"/>
  <c r="BK181" i="120"/>
  <c r="AP242" i="125"/>
  <c r="AP241" i="125"/>
  <c r="K319" i="125"/>
  <c r="K318" i="125"/>
  <c r="J316" i="125"/>
  <c r="J317" i="125"/>
  <c r="AT163" i="125"/>
  <c r="AT162" i="125"/>
  <c r="AW320" i="125"/>
  <c r="AW321" i="125"/>
  <c r="BK191" i="125"/>
  <c r="AR242" i="125"/>
  <c r="AR241" i="125"/>
  <c r="BA60" i="125"/>
  <c r="BA59" i="125"/>
  <c r="BA72" i="125"/>
  <c r="BA74" i="125"/>
  <c r="BA75" i="125"/>
  <c r="AR159" i="125"/>
  <c r="AR158" i="125"/>
  <c r="AE112" i="125"/>
  <c r="I320" i="125"/>
  <c r="I321" i="125"/>
  <c r="I161" i="125"/>
  <c r="I160" i="125"/>
  <c r="AD331" i="125"/>
  <c r="AV60" i="125"/>
  <c r="AV59" i="125"/>
  <c r="AV72" i="125"/>
  <c r="AV74" i="125"/>
  <c r="AV75" i="125"/>
  <c r="AO237" i="125"/>
  <c r="AO238" i="125"/>
  <c r="BK330" i="125"/>
  <c r="AQ162" i="125"/>
  <c r="AQ163" i="125"/>
  <c r="AS319" i="125"/>
  <c r="AS318" i="125"/>
  <c r="BC235" i="125"/>
  <c r="BC236" i="125"/>
  <c r="BK224" i="125"/>
  <c r="BL21" i="125"/>
  <c r="BL42" i="125"/>
  <c r="BL66" i="125" s="1"/>
  <c r="BO252" i="125"/>
  <c r="AX345" i="125"/>
  <c r="AX344" i="125"/>
  <c r="J235" i="125"/>
  <c r="J236" i="125"/>
  <c r="AT240" i="125"/>
  <c r="AT239" i="125"/>
  <c r="AQ159" i="125"/>
  <c r="AQ158" i="125"/>
  <c r="AT314" i="125"/>
  <c r="AT315" i="125"/>
  <c r="AN215" i="125"/>
  <c r="I345" i="125"/>
  <c r="I344" i="125"/>
  <c r="AP318" i="125"/>
  <c r="AP319" i="125"/>
  <c r="AQ60" i="125"/>
  <c r="AQ59" i="125"/>
  <c r="AQ72" i="125"/>
  <c r="AQ74" i="125"/>
  <c r="AQ75" i="125"/>
  <c r="AJ120" i="125"/>
  <c r="AQ235" i="125"/>
  <c r="AQ236" i="125"/>
  <c r="BB163" i="125"/>
  <c r="BB162" i="125"/>
  <c r="AS160" i="125"/>
  <c r="AS161" i="125"/>
  <c r="BK33" i="125"/>
  <c r="BK329" i="125"/>
  <c r="BK340" i="125" s="1"/>
  <c r="AE33" i="125"/>
  <c r="AE329" i="125"/>
  <c r="AE340" i="125" s="1"/>
  <c r="AX240" i="125"/>
  <c r="AX239" i="125"/>
  <c r="AR60" i="125"/>
  <c r="AR59" i="125"/>
  <c r="AR72" i="125"/>
  <c r="AR75" i="125"/>
  <c r="AR74" i="125"/>
  <c r="AF260" i="125"/>
  <c r="J314" i="125"/>
  <c r="J315" i="125"/>
  <c r="AR345" i="125"/>
  <c r="AR344" i="125"/>
  <c r="AJ40" i="125"/>
  <c r="H136" i="125"/>
  <c r="AS11" i="125"/>
  <c r="AS68" i="125" s="1"/>
  <c r="AS73" i="125" s="1"/>
  <c r="M11" i="125"/>
  <c r="M68" i="125" s="1"/>
  <c r="AP240" i="125"/>
  <c r="AP239" i="125"/>
  <c r="AT160" i="125"/>
  <c r="AT161" i="125"/>
  <c r="AW315" i="125"/>
  <c r="AW314" i="125"/>
  <c r="AE191" i="125"/>
  <c r="AS60" i="125"/>
  <c r="AS59" i="125"/>
  <c r="AS72" i="125"/>
  <c r="AS75" i="125"/>
  <c r="AS74" i="125"/>
  <c r="AU160" i="125"/>
  <c r="AU161" i="125"/>
  <c r="AZ162" i="125"/>
  <c r="AZ163" i="125"/>
  <c r="AR235" i="125"/>
  <c r="AR236" i="125"/>
  <c r="AO158" i="125"/>
  <c r="AO159" i="125"/>
  <c r="I319" i="125"/>
  <c r="I318" i="125"/>
  <c r="AY321" i="125"/>
  <c r="AY320" i="125"/>
  <c r="I156" i="125"/>
  <c r="I157" i="125"/>
  <c r="AO241" i="125"/>
  <c r="AO242" i="125"/>
  <c r="BA320" i="125"/>
  <c r="BA321" i="125"/>
  <c r="AQ160" i="125"/>
  <c r="AQ161" i="125"/>
  <c r="AS320" i="125"/>
  <c r="AS321" i="125"/>
  <c r="AV344" i="125"/>
  <c r="AV345" i="125"/>
  <c r="BL23" i="125"/>
  <c r="BL101" i="125"/>
  <c r="BL179" i="125"/>
  <c r="BL200" i="125"/>
  <c r="BL259" i="125"/>
  <c r="AT235" i="125"/>
  <c r="AT236" i="125"/>
  <c r="AO59" i="125"/>
  <c r="AO60" i="125"/>
  <c r="AO72" i="125"/>
  <c r="AO74" i="125"/>
  <c r="AO75" i="125"/>
  <c r="AO73" i="125"/>
  <c r="BC318" i="125"/>
  <c r="BC319" i="125"/>
  <c r="AP321" i="125"/>
  <c r="AP320" i="125"/>
  <c r="AJ135" i="125"/>
  <c r="BB156" i="125"/>
  <c r="BB157" i="125"/>
  <c r="AV163" i="125"/>
  <c r="AV162" i="125"/>
  <c r="AY239" i="125"/>
  <c r="AY240" i="125"/>
  <c r="AS162" i="125"/>
  <c r="AS163" i="125"/>
  <c r="I237" i="125"/>
  <c r="I238" i="125"/>
  <c r="AT344" i="125"/>
  <c r="AT345" i="125"/>
  <c r="AQ345" i="125"/>
  <c r="AQ344" i="125"/>
  <c r="BA160" i="125"/>
  <c r="BA161" i="125"/>
  <c r="AO317" i="125"/>
  <c r="AO316" i="125"/>
  <c r="AP345" i="125"/>
  <c r="AP344" i="125"/>
  <c r="AX241" i="125"/>
  <c r="AX242" i="125"/>
  <c r="AF200" i="125"/>
  <c r="AF179" i="125"/>
  <c r="AF303" i="125"/>
  <c r="AJ301" i="125"/>
  <c r="BP214" i="125"/>
  <c r="AJ276" i="125"/>
  <c r="AR319" i="125"/>
  <c r="AR318" i="125"/>
  <c r="AS169" i="125"/>
  <c r="AS226" i="125" s="1"/>
  <c r="AS231" i="125" s="1"/>
  <c r="M169" i="125"/>
  <c r="M226" i="125" s="1"/>
  <c r="AE259" i="124"/>
  <c r="AE270" i="124" s="1"/>
  <c r="AP236" i="125"/>
  <c r="AP235" i="125"/>
  <c r="AT156" i="125"/>
  <c r="AT157" i="125"/>
  <c r="AU163" i="125"/>
  <c r="AU162" i="125"/>
  <c r="AZ160" i="125"/>
  <c r="AZ161" i="125"/>
  <c r="AO161" i="125"/>
  <c r="AO160" i="125"/>
  <c r="I314" i="125"/>
  <c r="I315" i="125"/>
  <c r="AY318" i="125"/>
  <c r="AY319" i="125"/>
  <c r="K80" i="125"/>
  <c r="K79" i="125"/>
  <c r="AO240" i="125"/>
  <c r="AO239" i="125"/>
  <c r="AQ321" i="125"/>
  <c r="AQ320" i="125"/>
  <c r="BA319" i="125"/>
  <c r="BA318" i="125"/>
  <c r="AQ157" i="125"/>
  <c r="AQ156" i="125"/>
  <c r="AR237" i="125"/>
  <c r="AR238" i="125"/>
  <c r="AS314" i="125"/>
  <c r="AS315" i="125"/>
  <c r="BL121" i="125"/>
  <c r="BL145" i="125" s="1"/>
  <c r="BL100" i="125"/>
  <c r="BL181" i="125"/>
  <c r="H215" i="125"/>
  <c r="BC320" i="125"/>
  <c r="BC321" i="125"/>
  <c r="AP315" i="125"/>
  <c r="AP314" i="125"/>
  <c r="AV161" i="125"/>
  <c r="AV160" i="125"/>
  <c r="AP59" i="125"/>
  <c r="AP60" i="125"/>
  <c r="AP72" i="125"/>
  <c r="AP75" i="125"/>
  <c r="AP74" i="125"/>
  <c r="AP73" i="125"/>
  <c r="AY241" i="125"/>
  <c r="AY242" i="125"/>
  <c r="AS156" i="125"/>
  <c r="AS157" i="125"/>
  <c r="I239" i="125"/>
  <c r="I240" i="125"/>
  <c r="AX161" i="125"/>
  <c r="AX160" i="125"/>
  <c r="BA162" i="125"/>
  <c r="BA163" i="125"/>
  <c r="AO321" i="125"/>
  <c r="AO320" i="125"/>
  <c r="AZ320" i="125"/>
  <c r="AZ321" i="125"/>
  <c r="AX236" i="125"/>
  <c r="AX235" i="125"/>
  <c r="AF181" i="125"/>
  <c r="BJ331" i="125"/>
  <c r="AU239" i="125"/>
  <c r="AU240" i="125"/>
  <c r="AE270" i="125"/>
  <c r="AE330" i="125"/>
  <c r="L60" i="125"/>
  <c r="AR321" i="125"/>
  <c r="AR320" i="125"/>
  <c r="AE303" i="125"/>
  <c r="BB60" i="125"/>
  <c r="BB59" i="125"/>
  <c r="BB72" i="125"/>
  <c r="BB74" i="125"/>
  <c r="BB75" i="125"/>
  <c r="AU156" i="125"/>
  <c r="AU157" i="125"/>
  <c r="AZ157" i="125"/>
  <c r="AZ156" i="125"/>
  <c r="J159" i="125"/>
  <c r="J158" i="125"/>
  <c r="AQ79" i="125"/>
  <c r="AQ80" i="125"/>
  <c r="AR162" i="125"/>
  <c r="AR163" i="125"/>
  <c r="AO162" i="125"/>
  <c r="AO163" i="125"/>
  <c r="AY315" i="125"/>
  <c r="AY314" i="125"/>
  <c r="BC60" i="125"/>
  <c r="BC59" i="125"/>
  <c r="BC72" i="125"/>
  <c r="BC75" i="125"/>
  <c r="BC74" i="125"/>
  <c r="AO236" i="125"/>
  <c r="AO235" i="125"/>
  <c r="AQ319" i="125"/>
  <c r="AQ318" i="125"/>
  <c r="K241" i="125"/>
  <c r="K242" i="125"/>
  <c r="BA314" i="125"/>
  <c r="BA315" i="125"/>
  <c r="I60" i="125"/>
  <c r="I59" i="125"/>
  <c r="I72" i="125"/>
  <c r="I74" i="125"/>
  <c r="I75" i="125"/>
  <c r="I73" i="125"/>
  <c r="BL102" i="125"/>
  <c r="BL279" i="125"/>
  <c r="BL303" i="125" s="1"/>
  <c r="BL258" i="125"/>
  <c r="BC314" i="125"/>
  <c r="BC315" i="125"/>
  <c r="AV156" i="125"/>
  <c r="AV157" i="125"/>
  <c r="AO344" i="125"/>
  <c r="AO345" i="125"/>
  <c r="AY236" i="125"/>
  <c r="AY235" i="125"/>
  <c r="I241" i="125"/>
  <c r="I242" i="125"/>
  <c r="AX162" i="125"/>
  <c r="AX163" i="125"/>
  <c r="BA156" i="125"/>
  <c r="BA157" i="125"/>
  <c r="AO318" i="125"/>
  <c r="AO319" i="125"/>
  <c r="AZ318" i="125"/>
  <c r="AZ319" i="125"/>
  <c r="AU60" i="125"/>
  <c r="AU59" i="125"/>
  <c r="AU72" i="125"/>
  <c r="AU75" i="125"/>
  <c r="AU74" i="125"/>
  <c r="AY345" i="125"/>
  <c r="AY344" i="125"/>
  <c r="AN294" i="125"/>
  <c r="BP275" i="125"/>
  <c r="AF42" i="125"/>
  <c r="AF21" i="125"/>
  <c r="AF224" i="125"/>
  <c r="AJ222" i="125"/>
  <c r="AU241" i="125"/>
  <c r="AU242" i="125"/>
  <c r="H57" i="125"/>
  <c r="AR314" i="125"/>
  <c r="AR315" i="125"/>
  <c r="AR73" i="124"/>
  <c r="AR80" i="124" s="1"/>
  <c r="AD190" i="124"/>
  <c r="AD208" i="124" s="1"/>
  <c r="AD188" i="124" s="1"/>
  <c r="BI205" i="120"/>
  <c r="AY163" i="120"/>
  <c r="AY160" i="120"/>
  <c r="BJ190" i="124"/>
  <c r="BJ210" i="124" s="1"/>
  <c r="BJ190" i="120"/>
  <c r="AC202" i="124"/>
  <c r="AC203" i="124"/>
  <c r="AA342" i="124"/>
  <c r="AA344" i="124" s="1"/>
  <c r="AC271" i="124"/>
  <c r="AE101" i="124"/>
  <c r="AE112" i="124" s="1"/>
  <c r="M90" i="124"/>
  <c r="M147" i="124" s="1"/>
  <c r="M152" i="124" s="1"/>
  <c r="AS90" i="124"/>
  <c r="AS147" i="124" s="1"/>
  <c r="AS152" i="124" s="1"/>
  <c r="W345" i="124"/>
  <c r="W344" i="124"/>
  <c r="AO237" i="124"/>
  <c r="AO238" i="124"/>
  <c r="AS315" i="124"/>
  <c r="AS314" i="124"/>
  <c r="AW161" i="124"/>
  <c r="AW160" i="124"/>
  <c r="BF314" i="120"/>
  <c r="BF315" i="120"/>
  <c r="BA241" i="120"/>
  <c r="BA242" i="120"/>
  <c r="AX345" i="124"/>
  <c r="AX344" i="124"/>
  <c r="BJ203" i="124"/>
  <c r="BJ183" i="124"/>
  <c r="BJ202" i="124" s="1"/>
  <c r="AY240" i="124"/>
  <c r="AY239" i="124"/>
  <c r="AS60" i="124"/>
  <c r="AS59" i="124"/>
  <c r="AS72" i="124"/>
  <c r="AS75" i="124"/>
  <c r="AS74" i="124"/>
  <c r="BD314" i="124"/>
  <c r="BD315" i="124"/>
  <c r="AQ163" i="124"/>
  <c r="AQ162" i="124"/>
  <c r="AX239" i="124"/>
  <c r="AX240" i="124"/>
  <c r="I241" i="124"/>
  <c r="I242" i="124"/>
  <c r="R60" i="124"/>
  <c r="R59" i="124"/>
  <c r="R72" i="124"/>
  <c r="R75" i="124"/>
  <c r="R74" i="124"/>
  <c r="AU235" i="120"/>
  <c r="AU236" i="120"/>
  <c r="Z345" i="124"/>
  <c r="Z344" i="124"/>
  <c r="BA319" i="120"/>
  <c r="BA318" i="120"/>
  <c r="T239" i="124"/>
  <c r="T240" i="124"/>
  <c r="AQ235" i="120"/>
  <c r="AQ236" i="120"/>
  <c r="BJ145" i="124"/>
  <c r="AA314" i="124"/>
  <c r="AA315" i="124"/>
  <c r="BC344" i="124"/>
  <c r="BC345" i="124"/>
  <c r="J345" i="124"/>
  <c r="J344" i="124"/>
  <c r="BA314" i="124"/>
  <c r="BA315" i="124"/>
  <c r="BC157" i="124"/>
  <c r="BC156" i="124"/>
  <c r="AU315" i="120"/>
  <c r="AU314" i="120"/>
  <c r="BE318" i="120"/>
  <c r="BE319" i="120"/>
  <c r="AO314" i="124"/>
  <c r="AO315" i="124"/>
  <c r="AS162" i="124"/>
  <c r="AS163" i="124"/>
  <c r="AD125" i="124"/>
  <c r="AD133" i="124" s="1"/>
  <c r="Q315" i="124"/>
  <c r="Q314" i="124"/>
  <c r="BK101" i="124"/>
  <c r="BK259" i="124"/>
  <c r="S344" i="124"/>
  <c r="S345" i="124"/>
  <c r="Q236" i="124"/>
  <c r="Q235" i="124"/>
  <c r="BK260" i="120"/>
  <c r="BK180" i="120"/>
  <c r="BK191" i="120" s="1"/>
  <c r="AT239" i="124"/>
  <c r="AT240" i="124"/>
  <c r="BC319" i="120"/>
  <c r="BC318" i="120"/>
  <c r="BH139" i="124"/>
  <c r="BH138" i="124"/>
  <c r="BH151" i="124"/>
  <c r="BH154" i="124"/>
  <c r="BH153" i="124"/>
  <c r="S236" i="124"/>
  <c r="S235" i="124"/>
  <c r="L242" i="124"/>
  <c r="L241" i="124"/>
  <c r="H30" i="124"/>
  <c r="AE21" i="124"/>
  <c r="AE42" i="124"/>
  <c r="AE102" i="124"/>
  <c r="AD204" i="124"/>
  <c r="AD212" i="124" s="1"/>
  <c r="BC239" i="120"/>
  <c r="BC240" i="120"/>
  <c r="AZ315" i="124"/>
  <c r="AZ314" i="124"/>
  <c r="Y236" i="124"/>
  <c r="Y235" i="124"/>
  <c r="AN237" i="120"/>
  <c r="AN238" i="120"/>
  <c r="AU314" i="124"/>
  <c r="AU315" i="124"/>
  <c r="AS240" i="124"/>
  <c r="AS239" i="124"/>
  <c r="I161" i="124"/>
  <c r="I160" i="124"/>
  <c r="AW239" i="120"/>
  <c r="AW240" i="120"/>
  <c r="AO161" i="124"/>
  <c r="AO160" i="124"/>
  <c r="AT344" i="124"/>
  <c r="AT345" i="124"/>
  <c r="AQ321" i="120"/>
  <c r="AQ320" i="120"/>
  <c r="K238" i="124"/>
  <c r="K237" i="124"/>
  <c r="R161" i="124"/>
  <c r="R160" i="124"/>
  <c r="BJ224" i="124"/>
  <c r="T315" i="124"/>
  <c r="T314" i="124"/>
  <c r="U162" i="124"/>
  <c r="U163" i="124"/>
  <c r="BE241" i="120"/>
  <c r="BE242" i="120"/>
  <c r="AV60" i="124"/>
  <c r="AV59" i="124"/>
  <c r="AV72" i="124"/>
  <c r="AV74" i="124"/>
  <c r="AV75" i="124"/>
  <c r="BG242" i="124"/>
  <c r="BG241" i="124"/>
  <c r="BG156" i="124"/>
  <c r="BG157" i="124"/>
  <c r="AR156" i="124"/>
  <c r="AR157" i="124"/>
  <c r="AY321" i="124"/>
  <c r="AY320" i="124"/>
  <c r="AO59" i="124"/>
  <c r="AO60" i="124"/>
  <c r="AO72" i="124"/>
  <c r="AO75" i="124"/>
  <c r="AO74" i="124"/>
  <c r="AO73" i="124"/>
  <c r="Y345" i="124"/>
  <c r="Y344" i="124"/>
  <c r="BJ33" i="124"/>
  <c r="BJ329" i="124"/>
  <c r="BJ340" i="124" s="1"/>
  <c r="BD321" i="120"/>
  <c r="BD320" i="120"/>
  <c r="BI192" i="124"/>
  <c r="BI133" i="124"/>
  <c r="AY318" i="120"/>
  <c r="AY319" i="120"/>
  <c r="AR316" i="120"/>
  <c r="AR317" i="120"/>
  <c r="BD241" i="124"/>
  <c r="BD242" i="124"/>
  <c r="AV314" i="124"/>
  <c r="AV315" i="124"/>
  <c r="AT321" i="120"/>
  <c r="AT320" i="120"/>
  <c r="K160" i="124"/>
  <c r="K161" i="124"/>
  <c r="AY156" i="124"/>
  <c r="AY157" i="124"/>
  <c r="R320" i="124"/>
  <c r="R321" i="124"/>
  <c r="H136" i="124"/>
  <c r="AS248" i="124"/>
  <c r="AS305" i="124" s="1"/>
  <c r="AS310" i="124" s="1"/>
  <c r="M248" i="124"/>
  <c r="M305" i="124" s="1"/>
  <c r="M310" i="124" s="1"/>
  <c r="AS248" i="120"/>
  <c r="AS305" i="120" s="1"/>
  <c r="AS310" i="120" s="1"/>
  <c r="AO242" i="124"/>
  <c r="AO241" i="124"/>
  <c r="AW157" i="124"/>
  <c r="AW156" i="124"/>
  <c r="BF318" i="120"/>
  <c r="BF319" i="120"/>
  <c r="BA235" i="120"/>
  <c r="BA236" i="120"/>
  <c r="AY235" i="124"/>
  <c r="AY236" i="124"/>
  <c r="AC54" i="124"/>
  <c r="S319" i="124"/>
  <c r="S318" i="124"/>
  <c r="AQ160" i="124"/>
  <c r="AQ161" i="124"/>
  <c r="AX236" i="124"/>
  <c r="AX235" i="124"/>
  <c r="I240" i="124"/>
  <c r="I239" i="124"/>
  <c r="AN342" i="124"/>
  <c r="P160" i="124"/>
  <c r="P161" i="124"/>
  <c r="BE344" i="124"/>
  <c r="BE345" i="124"/>
  <c r="AS345" i="124"/>
  <c r="AS344" i="124"/>
  <c r="M239" i="124"/>
  <c r="M240" i="124"/>
  <c r="S163" i="124"/>
  <c r="S162" i="124"/>
  <c r="BA314" i="120"/>
  <c r="BA315" i="120"/>
  <c r="BG296" i="124"/>
  <c r="BG297" i="124"/>
  <c r="BG309" i="124"/>
  <c r="BG311" i="124"/>
  <c r="BG312" i="124"/>
  <c r="T242" i="124"/>
  <c r="T241" i="124"/>
  <c r="AZ345" i="124"/>
  <c r="AZ344" i="124"/>
  <c r="AV161" i="124"/>
  <c r="AV160" i="124"/>
  <c r="AD25" i="124"/>
  <c r="AD34" i="124" s="1"/>
  <c r="X240" i="124"/>
  <c r="X239" i="124"/>
  <c r="BI205" i="124"/>
  <c r="T344" i="124"/>
  <c r="T345" i="124"/>
  <c r="AS161" i="124"/>
  <c r="AS160" i="124"/>
  <c r="BL301" i="124"/>
  <c r="BL302" i="124"/>
  <c r="BL278" i="124"/>
  <c r="BL293" i="124" s="1"/>
  <c r="BL276" i="124"/>
  <c r="BL275" i="124"/>
  <c r="BL252" i="124"/>
  <c r="BL277" i="124"/>
  <c r="BL223" i="124"/>
  <c r="BL222" i="124"/>
  <c r="BL198" i="124"/>
  <c r="BL196" i="124"/>
  <c r="BL173" i="124"/>
  <c r="BL199" i="124"/>
  <c r="BL214" i="124" s="1"/>
  <c r="BL144" i="124"/>
  <c r="BL143" i="124"/>
  <c r="BL197" i="124"/>
  <c r="BL119" i="124"/>
  <c r="BL117" i="124"/>
  <c r="BL118" i="124"/>
  <c r="BL94" i="124"/>
  <c r="BL120" i="124"/>
  <c r="BL135" i="124" s="1"/>
  <c r="BL65" i="124"/>
  <c r="BL40" i="124"/>
  <c r="BL38" i="124"/>
  <c r="BM8" i="124"/>
  <c r="BL15" i="124"/>
  <c r="BL64" i="124"/>
  <c r="BL41" i="124"/>
  <c r="BL56" i="124" s="1"/>
  <c r="BL39" i="124"/>
  <c r="BL249" i="124"/>
  <c r="BL170" i="124"/>
  <c r="BL12" i="124"/>
  <c r="BL91" i="124"/>
  <c r="BK214" i="124"/>
  <c r="T160" i="124"/>
  <c r="T161" i="124"/>
  <c r="AT239" i="120"/>
  <c r="AT240" i="120"/>
  <c r="V240" i="124"/>
  <c r="V239" i="124"/>
  <c r="BK264" i="120"/>
  <c r="BK306" i="120" a="1"/>
  <c r="BK306" i="120" s="1"/>
  <c r="BK307" i="120" a="1"/>
  <c r="BK307" i="120" s="1"/>
  <c r="BK263" i="120"/>
  <c r="BK262" i="120" s="1"/>
  <c r="BK253" i="120"/>
  <c r="AT235" i="124"/>
  <c r="AT236" i="124"/>
  <c r="U344" i="124"/>
  <c r="U345" i="124"/>
  <c r="L239" i="124"/>
  <c r="L240" i="124"/>
  <c r="AE23" i="124"/>
  <c r="BC241" i="120"/>
  <c r="BC242" i="120"/>
  <c r="AW320" i="124"/>
  <c r="AW321" i="124"/>
  <c r="AN239" i="120"/>
  <c r="AN240" i="120"/>
  <c r="BG235" i="120"/>
  <c r="BG236" i="120"/>
  <c r="AS241" i="124"/>
  <c r="AS242" i="124"/>
  <c r="AR321" i="120"/>
  <c r="AR320" i="120"/>
  <c r="I162" i="124"/>
  <c r="I163" i="124"/>
  <c r="L237" i="124"/>
  <c r="L238" i="124"/>
  <c r="AW241" i="120"/>
  <c r="AW242" i="120"/>
  <c r="AO156" i="124"/>
  <c r="AO157" i="124"/>
  <c r="AQ314" i="120"/>
  <c r="AQ315" i="120"/>
  <c r="N345" i="124"/>
  <c r="N344" i="124"/>
  <c r="BD344" i="124"/>
  <c r="BD345" i="124"/>
  <c r="R156" i="124"/>
  <c r="R157" i="124"/>
  <c r="AD111" i="124"/>
  <c r="J317" i="124"/>
  <c r="J316" i="124"/>
  <c r="U161" i="124"/>
  <c r="U160" i="124"/>
  <c r="BE240" i="120"/>
  <c r="BE239" i="120"/>
  <c r="BG240" i="124"/>
  <c r="BG239" i="124"/>
  <c r="AY319" i="124"/>
  <c r="AY318" i="124"/>
  <c r="BD315" i="120"/>
  <c r="BD314" i="120"/>
  <c r="V345" i="124"/>
  <c r="V344" i="124"/>
  <c r="N319" i="124"/>
  <c r="N318" i="124"/>
  <c r="AY315" i="120"/>
  <c r="AY314" i="120"/>
  <c r="V318" i="124"/>
  <c r="V319" i="124"/>
  <c r="L316" i="124"/>
  <c r="L317" i="124"/>
  <c r="W59" i="124"/>
  <c r="W60" i="124"/>
  <c r="W72" i="124"/>
  <c r="W74" i="124"/>
  <c r="W75" i="124"/>
  <c r="BF239" i="124"/>
  <c r="BF240" i="124"/>
  <c r="Y320" i="124"/>
  <c r="Y321" i="124"/>
  <c r="U321" i="124"/>
  <c r="U320" i="124"/>
  <c r="AT314" i="120"/>
  <c r="AT315" i="120"/>
  <c r="AQ237" i="120"/>
  <c r="AQ238" i="120"/>
  <c r="K157" i="124"/>
  <c r="K156" i="124"/>
  <c r="R315" i="124"/>
  <c r="R314" i="124"/>
  <c r="J319" i="124"/>
  <c r="J318" i="124"/>
  <c r="BE314" i="124"/>
  <c r="BE315" i="124"/>
  <c r="AS11" i="124"/>
  <c r="AS68" i="124" s="1"/>
  <c r="AS73" i="124" s="1"/>
  <c r="M11" i="124"/>
  <c r="M68" i="124" s="1"/>
  <c r="M73" i="124" s="1"/>
  <c r="AE180" i="120"/>
  <c r="AE191" i="120" s="1"/>
  <c r="AC291" i="124"/>
  <c r="AC294" i="124" s="1"/>
  <c r="AO240" i="124"/>
  <c r="AO239" i="124"/>
  <c r="J241" i="124"/>
  <c r="J242" i="124"/>
  <c r="BI44" i="124"/>
  <c r="BI47" i="124" s="1"/>
  <c r="BI289" i="120"/>
  <c r="BI294" i="120" s="1"/>
  <c r="BI287" i="120"/>
  <c r="BI267" i="120" s="1"/>
  <c r="AB341" i="124"/>
  <c r="AB342" i="124" s="1"/>
  <c r="Z60" i="124"/>
  <c r="Z59" i="124"/>
  <c r="Z75" i="124"/>
  <c r="Z72" i="124"/>
  <c r="Z74" i="124"/>
  <c r="S321" i="124"/>
  <c r="S320" i="124"/>
  <c r="AQ156" i="124"/>
  <c r="AQ157" i="124"/>
  <c r="M162" i="124"/>
  <c r="M163" i="124"/>
  <c r="AZ60" i="124"/>
  <c r="AZ59" i="124"/>
  <c r="AZ72" i="124"/>
  <c r="AZ75" i="124"/>
  <c r="AZ74" i="124"/>
  <c r="AY239" i="120"/>
  <c r="AY240" i="120"/>
  <c r="I236" i="124"/>
  <c r="I235" i="124"/>
  <c r="AX163" i="124"/>
  <c r="AX162" i="124"/>
  <c r="P163" i="124"/>
  <c r="P162" i="124"/>
  <c r="X345" i="124"/>
  <c r="X344" i="124"/>
  <c r="BJ104" i="124"/>
  <c r="BJ113" i="124" s="1"/>
  <c r="BI126" i="124"/>
  <c r="M241" i="124"/>
  <c r="M242" i="124"/>
  <c r="S160" i="124"/>
  <c r="S161" i="124"/>
  <c r="BD161" i="124"/>
  <c r="BD160" i="124"/>
  <c r="K241" i="124"/>
  <c r="K242" i="124"/>
  <c r="T60" i="124"/>
  <c r="T59" i="124"/>
  <c r="T72" i="124"/>
  <c r="T75" i="124"/>
  <c r="T74" i="124"/>
  <c r="BB318" i="120"/>
  <c r="BB319" i="120"/>
  <c r="T235" i="124"/>
  <c r="T236" i="124"/>
  <c r="R345" i="124"/>
  <c r="R344" i="124"/>
  <c r="AV162" i="124"/>
  <c r="AV163" i="124"/>
  <c r="AR237" i="120"/>
  <c r="AR238" i="120"/>
  <c r="AU239" i="124"/>
  <c r="AU240" i="124"/>
  <c r="X241" i="124"/>
  <c r="X242" i="124"/>
  <c r="BF320" i="124"/>
  <c r="BF321" i="124"/>
  <c r="AS156" i="124"/>
  <c r="AS157" i="124"/>
  <c r="BK70" i="124" a="1"/>
  <c r="BK70" i="124" s="1"/>
  <c r="BK27" i="124"/>
  <c r="BK26" i="124"/>
  <c r="BK69" i="124" a="1"/>
  <c r="BK69" i="124" s="1"/>
  <c r="BK16" i="124"/>
  <c r="BK17" i="124" s="1"/>
  <c r="BK42" i="124"/>
  <c r="BK66" i="124" s="1"/>
  <c r="BK21" i="124"/>
  <c r="BK279" i="124"/>
  <c r="BK303" i="124" s="1"/>
  <c r="BK258" i="124"/>
  <c r="T163" i="124"/>
  <c r="T162" i="124"/>
  <c r="AT236" i="120"/>
  <c r="AT235" i="120"/>
  <c r="V241" i="124"/>
  <c r="V242" i="124"/>
  <c r="J161" i="124"/>
  <c r="J160" i="124"/>
  <c r="BK174" i="120"/>
  <c r="BK184" i="120"/>
  <c r="BK185" i="120"/>
  <c r="BK227" i="120" a="1"/>
  <c r="BK227" i="120" s="1"/>
  <c r="BK228" i="120" a="1"/>
  <c r="BK228" i="120" s="1"/>
  <c r="AV239" i="120"/>
  <c r="AV240" i="120"/>
  <c r="L235" i="124"/>
  <c r="L236" i="124"/>
  <c r="AF302" i="124"/>
  <c r="AF301" i="124"/>
  <c r="AF277" i="124"/>
  <c r="AF275" i="124"/>
  <c r="AF278" i="124"/>
  <c r="AF276" i="124"/>
  <c r="AF252" i="124"/>
  <c r="AF222" i="124"/>
  <c r="AF223" i="124"/>
  <c r="AF199" i="124"/>
  <c r="AF197" i="124"/>
  <c r="AF196" i="124"/>
  <c r="AF198" i="124"/>
  <c r="AF173" i="124"/>
  <c r="AF143" i="124"/>
  <c r="AF144" i="124"/>
  <c r="AF120" i="124"/>
  <c r="AF118" i="124"/>
  <c r="AF117" i="124"/>
  <c r="AF119" i="124"/>
  <c r="AF64" i="124"/>
  <c r="AF94" i="124"/>
  <c r="AF41" i="124"/>
  <c r="AF39" i="124"/>
  <c r="AG8" i="124"/>
  <c r="AF40" i="124"/>
  <c r="AF38" i="124"/>
  <c r="AF65" i="124"/>
  <c r="AF15" i="124"/>
  <c r="AF249" i="124"/>
  <c r="AF12" i="124"/>
  <c r="AF170" i="124"/>
  <c r="AF91" i="124"/>
  <c r="AE121" i="124"/>
  <c r="AE145" i="124" s="1"/>
  <c r="AE100" i="124"/>
  <c r="AE279" i="124"/>
  <c r="AE258" i="124"/>
  <c r="BJ66" i="124"/>
  <c r="BC235" i="120"/>
  <c r="BC236" i="120"/>
  <c r="AW319" i="124"/>
  <c r="AW318" i="124"/>
  <c r="AN236" i="120"/>
  <c r="AN235" i="120"/>
  <c r="BG242" i="120"/>
  <c r="BG241" i="120"/>
  <c r="AS236" i="124"/>
  <c r="AS235" i="124"/>
  <c r="BH60" i="124"/>
  <c r="BH59" i="124"/>
  <c r="BH72" i="124"/>
  <c r="BH74" i="124"/>
  <c r="BH75" i="124"/>
  <c r="X163" i="124"/>
  <c r="X162" i="124"/>
  <c r="I156" i="124"/>
  <c r="I157" i="124"/>
  <c r="BF160" i="124"/>
  <c r="BF161" i="124"/>
  <c r="AW236" i="120"/>
  <c r="AW235" i="120"/>
  <c r="AT320" i="124"/>
  <c r="AT321" i="124"/>
  <c r="L160" i="124"/>
  <c r="L161" i="124"/>
  <c r="AQ345" i="124"/>
  <c r="AQ344" i="124"/>
  <c r="AP239" i="124"/>
  <c r="AP240" i="124"/>
  <c r="BC314" i="124"/>
  <c r="BC315" i="124"/>
  <c r="U156" i="124"/>
  <c r="U157" i="124"/>
  <c r="BJ175" i="120"/>
  <c r="BE235" i="120"/>
  <c r="BE236" i="120"/>
  <c r="BE156" i="124"/>
  <c r="BE157" i="124"/>
  <c r="AW59" i="124"/>
  <c r="AW60" i="124"/>
  <c r="AW72" i="124"/>
  <c r="AW75" i="124"/>
  <c r="AW74" i="124"/>
  <c r="BA345" i="124"/>
  <c r="BA344" i="124"/>
  <c r="AY315" i="124"/>
  <c r="AY314" i="124"/>
  <c r="BJ303" i="124"/>
  <c r="Z235" i="124"/>
  <c r="Z236" i="124"/>
  <c r="W319" i="124"/>
  <c r="W318" i="124"/>
  <c r="N320" i="124"/>
  <c r="N321" i="124"/>
  <c r="V315" i="124"/>
  <c r="V314" i="124"/>
  <c r="AX242" i="120"/>
  <c r="AX241" i="120"/>
  <c r="AR317" i="124"/>
  <c r="AR316" i="124"/>
  <c r="BF241" i="124"/>
  <c r="BF242" i="124"/>
  <c r="Y318" i="124"/>
  <c r="Y319" i="124"/>
  <c r="U319" i="124"/>
  <c r="U318" i="124"/>
  <c r="J321" i="124"/>
  <c r="J320" i="124"/>
  <c r="BE320" i="124"/>
  <c r="BE321" i="124"/>
  <c r="AC204" i="124"/>
  <c r="AS169" i="120"/>
  <c r="AS226" i="120" s="1"/>
  <c r="AS231" i="120" s="1"/>
  <c r="AS169" i="124"/>
  <c r="AS226" i="124" s="1"/>
  <c r="AS231" i="124" s="1"/>
  <c r="M169" i="124"/>
  <c r="M226" i="124" s="1"/>
  <c r="M231" i="124" s="1"/>
  <c r="BG57" i="120"/>
  <c r="BG72" i="120" s="1"/>
  <c r="AO235" i="124"/>
  <c r="AO236" i="124"/>
  <c r="BJ211" i="124"/>
  <c r="J239" i="124"/>
  <c r="J240" i="124"/>
  <c r="BI334" i="124"/>
  <c r="BI339" i="124" s="1"/>
  <c r="AR345" i="124"/>
  <c r="AR344" i="124"/>
  <c r="BB161" i="124"/>
  <c r="BB160" i="124"/>
  <c r="BI294" i="124"/>
  <c r="AV321" i="120"/>
  <c r="AV320" i="120"/>
  <c r="S314" i="124"/>
  <c r="S315" i="124"/>
  <c r="M161" i="124"/>
  <c r="M160" i="124"/>
  <c r="AY241" i="120"/>
  <c r="AY242" i="120"/>
  <c r="AX160" i="124"/>
  <c r="AX161" i="124"/>
  <c r="P156" i="124"/>
  <c r="P157" i="124"/>
  <c r="W239" i="124"/>
  <c r="W240" i="124"/>
  <c r="AD262" i="124"/>
  <c r="AN316" i="120"/>
  <c r="AN317" i="120"/>
  <c r="M235" i="124"/>
  <c r="M236" i="124"/>
  <c r="S157" i="124"/>
  <c r="S156" i="124"/>
  <c r="BD162" i="124"/>
  <c r="BD163" i="124"/>
  <c r="K239" i="124"/>
  <c r="K240" i="124"/>
  <c r="BB320" i="120"/>
  <c r="BB321" i="120"/>
  <c r="X321" i="124"/>
  <c r="X320" i="124"/>
  <c r="AV157" i="124"/>
  <c r="AV156" i="124"/>
  <c r="BJ32" i="124"/>
  <c r="BJ328" i="124"/>
  <c r="S60" i="124"/>
  <c r="S59" i="124"/>
  <c r="S72" i="124"/>
  <c r="S74" i="124"/>
  <c r="S75" i="124"/>
  <c r="BG59" i="124"/>
  <c r="BG60" i="124"/>
  <c r="BG74" i="124"/>
  <c r="BG75" i="124"/>
  <c r="BG72" i="124"/>
  <c r="O242" i="124"/>
  <c r="O241" i="124"/>
  <c r="BE240" i="124"/>
  <c r="BE239" i="124"/>
  <c r="AU242" i="124"/>
  <c r="AU241" i="124"/>
  <c r="X235" i="124"/>
  <c r="X236" i="124"/>
  <c r="P60" i="124"/>
  <c r="P59" i="124"/>
  <c r="P72" i="124"/>
  <c r="P74" i="124"/>
  <c r="P75" i="124"/>
  <c r="BF59" i="124"/>
  <c r="BF60" i="124"/>
  <c r="BF72" i="124"/>
  <c r="BF74" i="124"/>
  <c r="BF75" i="124"/>
  <c r="BF318" i="124"/>
  <c r="BF319" i="124"/>
  <c r="AQ80" i="124"/>
  <c r="AQ79" i="124"/>
  <c r="BI208" i="120"/>
  <c r="BI188" i="120" s="1"/>
  <c r="BI210" i="120"/>
  <c r="BI215" i="120" s="1"/>
  <c r="AD124" i="124"/>
  <c r="AD104" i="124"/>
  <c r="AD123" i="124" s="1"/>
  <c r="BB241" i="124"/>
  <c r="BB242" i="124"/>
  <c r="BK184" i="124"/>
  <c r="BK227" i="124" a="1"/>
  <c r="BK227" i="124" s="1"/>
  <c r="BK228" i="124" a="1"/>
  <c r="BK228" i="124" s="1"/>
  <c r="BK185" i="124"/>
  <c r="BK174" i="124"/>
  <c r="BK175" i="124" s="1"/>
  <c r="BK211" i="124" s="1"/>
  <c r="BK23" i="124"/>
  <c r="BK121" i="124"/>
  <c r="BK100" i="124"/>
  <c r="BK181" i="124"/>
  <c r="BA241" i="124"/>
  <c r="BA242" i="124"/>
  <c r="T157" i="124"/>
  <c r="T156" i="124"/>
  <c r="Q345" i="124"/>
  <c r="Q344" i="124"/>
  <c r="V235" i="124"/>
  <c r="V236" i="124"/>
  <c r="J162" i="124"/>
  <c r="J163" i="124"/>
  <c r="BI284" i="124"/>
  <c r="AP241" i="120"/>
  <c r="AP242" i="120"/>
  <c r="AV242" i="120"/>
  <c r="AV241" i="120"/>
  <c r="AQ59" i="124"/>
  <c r="AQ60" i="124"/>
  <c r="AQ72" i="124"/>
  <c r="AQ75" i="124"/>
  <c r="AQ74" i="124"/>
  <c r="AE16" i="124"/>
  <c r="AE17" i="124" s="1"/>
  <c r="AE69" i="124" a="1"/>
  <c r="AE69" i="124" s="1"/>
  <c r="AE27" i="124"/>
  <c r="AE70" i="124" a="1"/>
  <c r="AE70" i="124" s="1"/>
  <c r="AE26" i="124"/>
  <c r="AE181" i="124"/>
  <c r="AE260" i="124"/>
  <c r="AR320" i="124"/>
  <c r="AR321" i="124"/>
  <c r="K319" i="124"/>
  <c r="K318" i="124"/>
  <c r="AW314" i="124"/>
  <c r="AW315" i="124"/>
  <c r="BH218" i="120"/>
  <c r="BH217" i="120"/>
  <c r="BH230" i="120"/>
  <c r="BH233" i="120"/>
  <c r="BH232" i="120"/>
  <c r="BG240" i="120"/>
  <c r="BG239" i="120"/>
  <c r="X160" i="124"/>
  <c r="X161" i="124"/>
  <c r="BF156" i="124"/>
  <c r="BF157" i="124"/>
  <c r="AR238" i="124"/>
  <c r="AR237" i="124"/>
  <c r="AT318" i="124"/>
  <c r="AT319" i="124"/>
  <c r="L163" i="124"/>
  <c r="L162" i="124"/>
  <c r="K316" i="124"/>
  <c r="K317" i="124"/>
  <c r="O318" i="124"/>
  <c r="O319" i="124"/>
  <c r="AP241" i="124"/>
  <c r="AP242" i="124"/>
  <c r="BC321" i="124"/>
  <c r="BC320" i="124"/>
  <c r="BG321" i="120"/>
  <c r="BG320" i="120"/>
  <c r="BJ183" i="120"/>
  <c r="BE161" i="124"/>
  <c r="BE160" i="124"/>
  <c r="AN267" i="124"/>
  <c r="AZ239" i="120"/>
  <c r="AZ240" i="120"/>
  <c r="AR241" i="124"/>
  <c r="AR242" i="124"/>
  <c r="AD254" i="124"/>
  <c r="AD283" i="124" s="1"/>
  <c r="Z241" i="124"/>
  <c r="Z242" i="124"/>
  <c r="BB344" i="124"/>
  <c r="BB345" i="124"/>
  <c r="I316" i="124"/>
  <c r="I317" i="124"/>
  <c r="W163" i="124"/>
  <c r="W162" i="124"/>
  <c r="W320" i="124"/>
  <c r="W321" i="124"/>
  <c r="N315" i="124"/>
  <c r="N314" i="124"/>
  <c r="V320" i="124"/>
  <c r="V321" i="124"/>
  <c r="AR158" i="124"/>
  <c r="AR159" i="124"/>
  <c r="BF236" i="124"/>
  <c r="BF235" i="124"/>
  <c r="Y314" i="124"/>
  <c r="Y315" i="124"/>
  <c r="AW318" i="120"/>
  <c r="AW319" i="120"/>
  <c r="U315" i="124"/>
  <c r="U314" i="124"/>
  <c r="O163" i="124"/>
  <c r="O162" i="124"/>
  <c r="L60" i="124"/>
  <c r="L59" i="124"/>
  <c r="L72" i="124"/>
  <c r="L74" i="124"/>
  <c r="L75" i="124"/>
  <c r="BJ269" i="120"/>
  <c r="J315" i="124"/>
  <c r="J314" i="124"/>
  <c r="BE319" i="124"/>
  <c r="BE318" i="124"/>
  <c r="AC192" i="124"/>
  <c r="BF321" i="120"/>
  <c r="BF320" i="120"/>
  <c r="BJ111" i="124"/>
  <c r="BB241" i="120"/>
  <c r="BB242" i="120"/>
  <c r="L344" i="124"/>
  <c r="L345" i="124"/>
  <c r="J235" i="124"/>
  <c r="J236" i="124"/>
  <c r="BC242" i="124"/>
  <c r="BC241" i="124"/>
  <c r="BB162" i="124"/>
  <c r="BB163" i="124"/>
  <c r="AV318" i="120"/>
  <c r="AV319" i="120"/>
  <c r="AP162" i="124"/>
  <c r="AP163" i="124"/>
  <c r="AP320" i="124"/>
  <c r="AP321" i="124"/>
  <c r="M156" i="124"/>
  <c r="M157" i="124"/>
  <c r="N162" i="124"/>
  <c r="N163" i="124"/>
  <c r="AY235" i="120"/>
  <c r="AY236" i="120"/>
  <c r="AX157" i="124"/>
  <c r="AX156" i="124"/>
  <c r="W242" i="124"/>
  <c r="W241" i="124"/>
  <c r="AN320" i="120"/>
  <c r="AN321" i="120"/>
  <c r="BD157" i="124"/>
  <c r="BD156" i="124"/>
  <c r="K236" i="124"/>
  <c r="K235" i="124"/>
  <c r="BH297" i="124"/>
  <c r="BH296" i="124"/>
  <c r="BH309" i="124"/>
  <c r="BH311" i="124"/>
  <c r="BH312" i="124"/>
  <c r="BB315" i="120"/>
  <c r="BB314" i="120"/>
  <c r="X318" i="124"/>
  <c r="X319" i="124"/>
  <c r="BH218" i="124"/>
  <c r="BH217" i="124"/>
  <c r="BH233" i="124"/>
  <c r="BH232" i="124"/>
  <c r="BH230" i="124"/>
  <c r="BI331" i="124"/>
  <c r="O239" i="124"/>
  <c r="O240" i="124"/>
  <c r="BE235" i="124"/>
  <c r="BE236" i="124"/>
  <c r="AU236" i="124"/>
  <c r="AU235" i="124"/>
  <c r="AN109" i="124"/>
  <c r="BF314" i="124"/>
  <c r="BF315" i="124"/>
  <c r="U59" i="124"/>
  <c r="U60" i="124"/>
  <c r="U72" i="124"/>
  <c r="U74" i="124"/>
  <c r="U75" i="124"/>
  <c r="AQ317" i="120"/>
  <c r="AQ316" i="120"/>
  <c r="O345" i="124"/>
  <c r="O344" i="124"/>
  <c r="I60" i="124"/>
  <c r="I59" i="124"/>
  <c r="I72" i="124"/>
  <c r="I75" i="124"/>
  <c r="I74" i="124"/>
  <c r="I73" i="124"/>
  <c r="BB239" i="124"/>
  <c r="BB240" i="124"/>
  <c r="BK148" i="124" a="1"/>
  <c r="BK148" i="124" s="1"/>
  <c r="BK95" i="124"/>
  <c r="BK96" i="124" s="1"/>
  <c r="BK149" i="124" a="1"/>
  <c r="BK149" i="124" s="1"/>
  <c r="BK105" i="124"/>
  <c r="BK106" i="124"/>
  <c r="BK102" i="124"/>
  <c r="U241" i="124"/>
  <c r="U242" i="124"/>
  <c r="BA240" i="124"/>
  <c r="BA239" i="124"/>
  <c r="AP318" i="120"/>
  <c r="AP319" i="120"/>
  <c r="L320" i="124"/>
  <c r="L321" i="124"/>
  <c r="Z161" i="124"/>
  <c r="Z160" i="124"/>
  <c r="P345" i="124"/>
  <c r="P344" i="124"/>
  <c r="J156" i="124"/>
  <c r="J157" i="124"/>
  <c r="BK179" i="120"/>
  <c r="BK200" i="120"/>
  <c r="BK224" i="120" s="1"/>
  <c r="AP235" i="120"/>
  <c r="AP236" i="120"/>
  <c r="AV235" i="120"/>
  <c r="AV236" i="120"/>
  <c r="N59" i="124"/>
  <c r="N60" i="124"/>
  <c r="N72" i="124"/>
  <c r="N75" i="124"/>
  <c r="N74" i="124"/>
  <c r="AE148" i="124" a="1"/>
  <c r="AE148" i="124" s="1"/>
  <c r="AE105" i="124"/>
  <c r="AE149" i="124" a="1"/>
  <c r="AE149" i="124" s="1"/>
  <c r="AE95" i="124"/>
  <c r="AE96" i="124" s="1"/>
  <c r="AE132" i="124" s="1"/>
  <c r="AE106" i="124"/>
  <c r="AE33" i="124"/>
  <c r="AE329" i="124"/>
  <c r="AE340" i="124" s="1"/>
  <c r="AE191" i="124"/>
  <c r="AD203" i="124"/>
  <c r="AD183" i="124"/>
  <c r="AD202" i="124" s="1"/>
  <c r="AR318" i="124"/>
  <c r="AR319" i="124"/>
  <c r="K321" i="124"/>
  <c r="K320" i="124"/>
  <c r="AB217" i="124"/>
  <c r="AB218" i="124"/>
  <c r="AB230" i="124"/>
  <c r="AB233" i="124"/>
  <c r="AB232" i="124"/>
  <c r="X156" i="124"/>
  <c r="X157" i="124"/>
  <c r="BF162" i="124"/>
  <c r="BF163" i="124"/>
  <c r="AT315" i="124"/>
  <c r="AT314" i="124"/>
  <c r="L157" i="124"/>
  <c r="L156" i="124"/>
  <c r="AC331" i="124"/>
  <c r="AX319" i="124"/>
  <c r="AX318" i="124"/>
  <c r="O320" i="124"/>
  <c r="O321" i="124"/>
  <c r="AP236" i="124"/>
  <c r="AP235" i="124"/>
  <c r="BC319" i="124"/>
  <c r="BC318" i="124"/>
  <c r="BG319" i="120"/>
  <c r="BG318" i="120"/>
  <c r="V59" i="124"/>
  <c r="V60" i="124"/>
  <c r="V72" i="124"/>
  <c r="V74" i="124"/>
  <c r="V75" i="124"/>
  <c r="BE162" i="124"/>
  <c r="BE163" i="124"/>
  <c r="AN294" i="124"/>
  <c r="AZ241" i="124"/>
  <c r="AZ242" i="124"/>
  <c r="AN215" i="124"/>
  <c r="AZ236" i="120"/>
  <c r="AZ235" i="120"/>
  <c r="AR239" i="124"/>
  <c r="AR240" i="124"/>
  <c r="Z239" i="124"/>
  <c r="Z240" i="124"/>
  <c r="AU160" i="124"/>
  <c r="AU161" i="124"/>
  <c r="I320" i="124"/>
  <c r="I321" i="124"/>
  <c r="W160" i="124"/>
  <c r="W161" i="124"/>
  <c r="W314" i="124"/>
  <c r="W315" i="124"/>
  <c r="BD235" i="120"/>
  <c r="BD236" i="120"/>
  <c r="L159" i="124"/>
  <c r="L158" i="124"/>
  <c r="Y162" i="124"/>
  <c r="Y163" i="124"/>
  <c r="AW320" i="120"/>
  <c r="AW321" i="120"/>
  <c r="O160" i="124"/>
  <c r="O161" i="124"/>
  <c r="P241" i="124"/>
  <c r="P242" i="124"/>
  <c r="AR60" i="124"/>
  <c r="AR59" i="124"/>
  <c r="AR72" i="124"/>
  <c r="AR74" i="124"/>
  <c r="AR75" i="124"/>
  <c r="AQ320" i="124"/>
  <c r="AQ321" i="124"/>
  <c r="AN57" i="124"/>
  <c r="AA60" i="124"/>
  <c r="AA59" i="124"/>
  <c r="AA72" i="124"/>
  <c r="AA75" i="124"/>
  <c r="AA74" i="124"/>
  <c r="X60" i="124"/>
  <c r="X59" i="124"/>
  <c r="X72" i="124"/>
  <c r="X74" i="124"/>
  <c r="X75" i="124"/>
  <c r="BE59" i="124"/>
  <c r="BE60" i="124"/>
  <c r="BE75" i="124"/>
  <c r="BE72" i="124"/>
  <c r="BE74" i="124"/>
  <c r="BB239" i="120"/>
  <c r="BB240" i="120"/>
  <c r="Q162" i="124"/>
  <c r="Q163" i="124"/>
  <c r="AX318" i="120"/>
  <c r="AX319" i="120"/>
  <c r="BC239" i="124"/>
  <c r="BC240" i="124"/>
  <c r="BB156" i="124"/>
  <c r="BB157" i="124"/>
  <c r="N240" i="124"/>
  <c r="N239" i="124"/>
  <c r="AZ163" i="124"/>
  <c r="AZ162" i="124"/>
  <c r="AV315" i="120"/>
  <c r="AV314" i="120"/>
  <c r="AP160" i="124"/>
  <c r="AP161" i="124"/>
  <c r="AP319" i="124"/>
  <c r="AP318" i="124"/>
  <c r="AA239" i="124"/>
  <c r="AA240" i="124"/>
  <c r="N161" i="124"/>
  <c r="N160" i="124"/>
  <c r="R241" i="124"/>
  <c r="R242" i="124"/>
  <c r="W236" i="124"/>
  <c r="W235" i="124"/>
  <c r="BJ330" i="124"/>
  <c r="BC60" i="124"/>
  <c r="BC59" i="124"/>
  <c r="BC72" i="124"/>
  <c r="BC74" i="124"/>
  <c r="BC75" i="124"/>
  <c r="AN319" i="120"/>
  <c r="AN318" i="120"/>
  <c r="AV241" i="124"/>
  <c r="AV242" i="124"/>
  <c r="AS319" i="120"/>
  <c r="AS318" i="120"/>
  <c r="X315" i="124"/>
  <c r="X314" i="124"/>
  <c r="O59" i="124"/>
  <c r="O60" i="124"/>
  <c r="O72" i="124"/>
  <c r="O75" i="124"/>
  <c r="O74" i="124"/>
  <c r="BH47" i="124"/>
  <c r="AR239" i="120"/>
  <c r="AR240" i="120"/>
  <c r="AQ242" i="124"/>
  <c r="AQ241" i="124"/>
  <c r="BI50" i="124"/>
  <c r="BI30" i="124" s="1"/>
  <c r="BI52" i="124"/>
  <c r="BI57" i="124" s="1"/>
  <c r="O236" i="124"/>
  <c r="O235" i="124"/>
  <c r="BE242" i="124"/>
  <c r="BE241" i="124"/>
  <c r="AN136" i="124"/>
  <c r="AW240" i="124"/>
  <c r="AW239" i="124"/>
  <c r="AO316" i="124"/>
  <c r="AO317" i="124"/>
  <c r="P319" i="124"/>
  <c r="P318" i="124"/>
  <c r="BB235" i="124"/>
  <c r="BB236" i="124"/>
  <c r="BK307" i="124" a="1"/>
  <c r="BK307" i="124" s="1"/>
  <c r="BK264" i="124"/>
  <c r="BK263" i="124"/>
  <c r="BK306" i="124" a="1"/>
  <c r="BK306" i="124" s="1"/>
  <c r="BK253" i="124"/>
  <c r="BK145" i="124"/>
  <c r="BK260" i="124"/>
  <c r="U239" i="124"/>
  <c r="U240" i="124"/>
  <c r="BA236" i="124"/>
  <c r="BA235" i="124"/>
  <c r="AP320" i="120"/>
  <c r="AP321" i="120"/>
  <c r="L318" i="124"/>
  <c r="L319" i="124"/>
  <c r="AT242" i="120"/>
  <c r="AT241" i="120"/>
  <c r="Z162" i="124"/>
  <c r="Z163" i="124"/>
  <c r="BA161" i="124"/>
  <c r="BA160" i="124"/>
  <c r="AT60" i="124"/>
  <c r="AT59" i="124"/>
  <c r="AT72" i="124"/>
  <c r="AT74" i="124"/>
  <c r="AT75" i="124"/>
  <c r="AQ317" i="124"/>
  <c r="AQ316" i="124"/>
  <c r="AE228" i="124" a="1"/>
  <c r="AE228" i="124" s="1"/>
  <c r="AE184" i="124"/>
  <c r="AE227" i="124" a="1"/>
  <c r="AE227" i="124" s="1"/>
  <c r="AE174" i="124"/>
  <c r="AE175" i="124" s="1"/>
  <c r="AE185" i="124"/>
  <c r="AE179" i="124"/>
  <c r="AE200" i="124"/>
  <c r="AR315" i="124"/>
  <c r="AR314" i="124"/>
  <c r="M319" i="124"/>
  <c r="M318" i="124"/>
  <c r="K314" i="124"/>
  <c r="K315" i="124"/>
  <c r="BI113" i="124"/>
  <c r="M344" i="124"/>
  <c r="M345" i="124"/>
  <c r="AN241" i="120"/>
  <c r="AN242" i="120"/>
  <c r="AR318" i="120"/>
  <c r="AR319" i="120"/>
  <c r="BF236" i="120"/>
  <c r="BF235" i="120"/>
  <c r="AT161" i="124"/>
  <c r="AT160" i="124"/>
  <c r="AC50" i="124"/>
  <c r="AC30" i="124" s="1"/>
  <c r="AC52" i="124"/>
  <c r="AX320" i="124"/>
  <c r="AX321" i="124"/>
  <c r="O314" i="124"/>
  <c r="O315" i="124"/>
  <c r="BH284" i="124"/>
  <c r="H342" i="124"/>
  <c r="AD330" i="124"/>
  <c r="BI210" i="124"/>
  <c r="BI215" i="124" s="1"/>
  <c r="BI208" i="124"/>
  <c r="BI188" i="124" s="1"/>
  <c r="AS241" i="120"/>
  <c r="AS242" i="120"/>
  <c r="AC113" i="124"/>
  <c r="AZ239" i="124"/>
  <c r="AZ240" i="124"/>
  <c r="AN188" i="124"/>
  <c r="AR236" i="124"/>
  <c r="AR235" i="124"/>
  <c r="BB318" i="124"/>
  <c r="BB319" i="124"/>
  <c r="AU163" i="124"/>
  <c r="AU162" i="124"/>
  <c r="BJ262" i="120"/>
  <c r="BJ271" i="120" s="1"/>
  <c r="BJ282" i="120"/>
  <c r="I318" i="124"/>
  <c r="I319" i="124"/>
  <c r="W157" i="124"/>
  <c r="W156" i="124"/>
  <c r="BD240" i="120"/>
  <c r="BD239" i="120"/>
  <c r="AP345" i="124"/>
  <c r="AP344" i="124"/>
  <c r="Y161" i="124"/>
  <c r="Y160" i="124"/>
  <c r="AW315" i="120"/>
  <c r="AW314" i="120"/>
  <c r="O157" i="124"/>
  <c r="O156" i="124"/>
  <c r="H188" i="124"/>
  <c r="P240" i="124"/>
  <c r="P239" i="124"/>
  <c r="AX59" i="124"/>
  <c r="AX60" i="124"/>
  <c r="AX72" i="124"/>
  <c r="AX75" i="124"/>
  <c r="AX74" i="124"/>
  <c r="BJ282" i="124"/>
  <c r="BJ262" i="124"/>
  <c r="BJ281" i="124" s="1"/>
  <c r="V162" i="124"/>
  <c r="V163" i="124"/>
  <c r="BI335" i="124"/>
  <c r="AQ319" i="124"/>
  <c r="AQ318" i="124"/>
  <c r="AS321" i="124"/>
  <c r="AS320" i="124"/>
  <c r="AN30" i="124"/>
  <c r="BJ204" i="124"/>
  <c r="BB235" i="120"/>
  <c r="BB236" i="120"/>
  <c r="Q161" i="124"/>
  <c r="Q160" i="124"/>
  <c r="AX321" i="120"/>
  <c r="AX320" i="120"/>
  <c r="BC236" i="124"/>
  <c r="BC235" i="124"/>
  <c r="N241" i="124"/>
  <c r="N242" i="124"/>
  <c r="AZ161" i="124"/>
  <c r="AZ160" i="124"/>
  <c r="AP156" i="124"/>
  <c r="AP157" i="124"/>
  <c r="AP314" i="124"/>
  <c r="AP315" i="124"/>
  <c r="BD320" i="124"/>
  <c r="BD321" i="124"/>
  <c r="AA236" i="124"/>
  <c r="AA235" i="124"/>
  <c r="AP238" i="124"/>
  <c r="AP237" i="124"/>
  <c r="N157" i="124"/>
  <c r="N156" i="124"/>
  <c r="AB47" i="124"/>
  <c r="R239" i="124"/>
  <c r="R240" i="124"/>
  <c r="AU241" i="120"/>
  <c r="AU242" i="120"/>
  <c r="AN314" i="120"/>
  <c r="AN315" i="120"/>
  <c r="AV239" i="124"/>
  <c r="AV240" i="124"/>
  <c r="AS320" i="120"/>
  <c r="AS321" i="120"/>
  <c r="AD33" i="124"/>
  <c r="AD329" i="124"/>
  <c r="AQ239" i="120"/>
  <c r="AQ240" i="120"/>
  <c r="AR242" i="120"/>
  <c r="AR241" i="120"/>
  <c r="AQ240" i="124"/>
  <c r="AQ239" i="124"/>
  <c r="AA319" i="124"/>
  <c r="AA318" i="124"/>
  <c r="BA319" i="124"/>
  <c r="BA318" i="124"/>
  <c r="AB60" i="124"/>
  <c r="AB59" i="124"/>
  <c r="AB72" i="124"/>
  <c r="AB75" i="124"/>
  <c r="AB74" i="124"/>
  <c r="AW242" i="124"/>
  <c r="AW241" i="124"/>
  <c r="BC163" i="124"/>
  <c r="BC162" i="124"/>
  <c r="AU319" i="120"/>
  <c r="AU318" i="120"/>
  <c r="BE314" i="120"/>
  <c r="BE315" i="120"/>
  <c r="AO320" i="124"/>
  <c r="AO321" i="124"/>
  <c r="H267" i="124"/>
  <c r="P321" i="124"/>
  <c r="P320" i="124"/>
  <c r="AD132" i="124"/>
  <c r="Q318" i="124"/>
  <c r="Q319" i="124"/>
  <c r="BK33" i="124"/>
  <c r="BK329" i="124"/>
  <c r="BK340" i="124" s="1"/>
  <c r="BK179" i="124"/>
  <c r="BK200" i="124"/>
  <c r="BK224" i="124" s="1"/>
  <c r="U235" i="124"/>
  <c r="U236" i="124"/>
  <c r="AP315" i="120"/>
  <c r="AP314" i="120"/>
  <c r="L314" i="124"/>
  <c r="L315" i="124"/>
  <c r="Z156" i="124"/>
  <c r="Z157" i="124"/>
  <c r="Q240" i="124"/>
  <c r="Q239" i="124"/>
  <c r="BA162" i="124"/>
  <c r="BA163" i="124"/>
  <c r="BC320" i="120"/>
  <c r="BC321" i="120"/>
  <c r="S241" i="124"/>
  <c r="S242" i="124"/>
  <c r="AE306" i="124" a="1"/>
  <c r="AE306" i="124" s="1"/>
  <c r="AE307" i="124" a="1"/>
  <c r="AE307" i="124" s="1"/>
  <c r="AE264" i="124"/>
  <c r="AE263" i="124"/>
  <c r="AE253" i="124"/>
  <c r="AE254" i="124" s="1"/>
  <c r="AE290" i="124" s="1"/>
  <c r="I345" i="124"/>
  <c r="I344" i="124"/>
  <c r="BJ17" i="124"/>
  <c r="BJ46" i="124" s="1"/>
  <c r="M320" i="124"/>
  <c r="M321" i="124"/>
  <c r="AZ318" i="124"/>
  <c r="AZ319" i="124"/>
  <c r="Y240" i="124"/>
  <c r="Y239" i="124"/>
  <c r="AU319" i="124"/>
  <c r="AU318" i="124"/>
  <c r="BI34" i="124"/>
  <c r="AR314" i="120"/>
  <c r="AR315" i="120"/>
  <c r="AA163" i="124"/>
  <c r="AA162" i="124"/>
  <c r="BF240" i="120"/>
  <c r="BF239" i="120"/>
  <c r="AO159" i="124"/>
  <c r="AO158" i="124"/>
  <c r="AT162" i="124"/>
  <c r="AT163" i="124"/>
  <c r="BA60" i="124"/>
  <c r="BA59" i="124"/>
  <c r="BA72" i="124"/>
  <c r="BA74" i="124"/>
  <c r="BA75" i="124"/>
  <c r="AX314" i="124"/>
  <c r="AX315" i="124"/>
  <c r="Z321" i="124"/>
  <c r="Z320" i="124"/>
  <c r="AD269" i="124"/>
  <c r="T318" i="124"/>
  <c r="T319" i="124"/>
  <c r="BB60" i="124"/>
  <c r="BB59" i="124"/>
  <c r="BB72" i="124"/>
  <c r="BB74" i="124"/>
  <c r="BB75" i="124"/>
  <c r="AS240" i="120"/>
  <c r="AS239" i="120"/>
  <c r="AP59" i="124"/>
  <c r="AP60" i="124"/>
  <c r="AP72" i="124"/>
  <c r="AP74" i="124"/>
  <c r="AP75" i="124"/>
  <c r="AP73" i="124"/>
  <c r="AZ236" i="124"/>
  <c r="AZ235" i="124"/>
  <c r="BG163" i="124"/>
  <c r="BG162" i="124"/>
  <c r="AR161" i="124"/>
  <c r="AR160" i="124"/>
  <c r="AD32" i="124"/>
  <c r="AD328" i="124"/>
  <c r="BB321" i="124"/>
  <c r="BB320" i="124"/>
  <c r="AU157" i="124"/>
  <c r="AU156" i="124"/>
  <c r="BJ283" i="120"/>
  <c r="BJ291" i="120" s="1"/>
  <c r="I315" i="124"/>
  <c r="I314" i="124"/>
  <c r="AC208" i="124"/>
  <c r="AC188" i="124" s="1"/>
  <c r="AC210" i="124"/>
  <c r="BD242" i="120"/>
  <c r="BD241" i="120"/>
  <c r="AX239" i="120"/>
  <c r="AX240" i="120"/>
  <c r="Y156" i="124"/>
  <c r="Y157" i="124"/>
  <c r="BD239" i="124"/>
  <c r="BD240" i="124"/>
  <c r="AV319" i="124"/>
  <c r="AV318" i="124"/>
  <c r="H215" i="124"/>
  <c r="P235" i="124"/>
  <c r="P236" i="124"/>
  <c r="AD17" i="124"/>
  <c r="AD46" i="124" s="1"/>
  <c r="AY163" i="124"/>
  <c r="AY162" i="124"/>
  <c r="V161" i="124"/>
  <c r="V160" i="124"/>
  <c r="AC44" i="124"/>
  <c r="AC47" i="124" s="1"/>
  <c r="AQ315" i="124"/>
  <c r="AQ314" i="124"/>
  <c r="BL277" i="120"/>
  <c r="BL196" i="120"/>
  <c r="BL278" i="120"/>
  <c r="BL252" i="120"/>
  <c r="BL301" i="120"/>
  <c r="BL197" i="120"/>
  <c r="BL275" i="120"/>
  <c r="BL258" i="120" s="1"/>
  <c r="BL173" i="120"/>
  <c r="BL302" i="120"/>
  <c r="BL198" i="120"/>
  <c r="BL181" i="120" s="1"/>
  <c r="BL276" i="120"/>
  <c r="BL222" i="120"/>
  <c r="BL199" i="120"/>
  <c r="BL214" i="120" s="1"/>
  <c r="BL144" i="120"/>
  <c r="BL143" i="120"/>
  <c r="BL223" i="120"/>
  <c r="BL170" i="120"/>
  <c r="BL249" i="120"/>
  <c r="AS318" i="124"/>
  <c r="AS319" i="124"/>
  <c r="AW162" i="124"/>
  <c r="AW163" i="124"/>
  <c r="BA240" i="120"/>
  <c r="BA239" i="120"/>
  <c r="Q156" i="124"/>
  <c r="Q157" i="124"/>
  <c r="AY242" i="124"/>
  <c r="AY241" i="124"/>
  <c r="AX314" i="120"/>
  <c r="AX315" i="120"/>
  <c r="N235" i="124"/>
  <c r="N236" i="124"/>
  <c r="AZ156" i="124"/>
  <c r="AZ157" i="124"/>
  <c r="BD318" i="124"/>
  <c r="BD319" i="124"/>
  <c r="AA241" i="124"/>
  <c r="AA242" i="124"/>
  <c r="AX241" i="124"/>
  <c r="AX242" i="124"/>
  <c r="AB138" i="124"/>
  <c r="AB139" i="124"/>
  <c r="AB151" i="124"/>
  <c r="AB153" i="124"/>
  <c r="AB154" i="124"/>
  <c r="I238" i="124"/>
  <c r="I237" i="124"/>
  <c r="R235" i="124"/>
  <c r="R236" i="124"/>
  <c r="AU60" i="124"/>
  <c r="AU59" i="124"/>
  <c r="AU72" i="124"/>
  <c r="AU74" i="124"/>
  <c r="AU75" i="124"/>
  <c r="AU239" i="120"/>
  <c r="AU240" i="120"/>
  <c r="J60" i="124"/>
  <c r="J59" i="124"/>
  <c r="J72" i="124"/>
  <c r="J74" i="124"/>
  <c r="J75" i="124"/>
  <c r="J73" i="124"/>
  <c r="BA321" i="120"/>
  <c r="BA320" i="120"/>
  <c r="AV235" i="124"/>
  <c r="AV236" i="124"/>
  <c r="AC284" i="124"/>
  <c r="K79" i="124"/>
  <c r="K80" i="124"/>
  <c r="AS314" i="120"/>
  <c r="AS315" i="120"/>
  <c r="AU344" i="124"/>
  <c r="AU345" i="124"/>
  <c r="AQ241" i="120"/>
  <c r="AQ242" i="120"/>
  <c r="BJ25" i="124"/>
  <c r="BJ34" i="124" s="1"/>
  <c r="AR235" i="120"/>
  <c r="AR236" i="120"/>
  <c r="AQ235" i="124"/>
  <c r="AQ236" i="124"/>
  <c r="AA321" i="124"/>
  <c r="AA320" i="124"/>
  <c r="Q60" i="124"/>
  <c r="Q59" i="124"/>
  <c r="Q72" i="124"/>
  <c r="Q75" i="124"/>
  <c r="Q74" i="124"/>
  <c r="BA321" i="124"/>
  <c r="BA320" i="124"/>
  <c r="AW235" i="124"/>
  <c r="AW236" i="124"/>
  <c r="BC160" i="124"/>
  <c r="BC161" i="124"/>
  <c r="AU320" i="120"/>
  <c r="AU321" i="120"/>
  <c r="BE320" i="120"/>
  <c r="BE321" i="120"/>
  <c r="AO319" i="124"/>
  <c r="AO318" i="124"/>
  <c r="H294" i="124"/>
  <c r="P315" i="124"/>
  <c r="P314" i="124"/>
  <c r="Q320" i="124"/>
  <c r="Q321" i="124"/>
  <c r="M59" i="124"/>
  <c r="M60" i="124"/>
  <c r="M72" i="124"/>
  <c r="M74" i="124"/>
  <c r="M75" i="124"/>
  <c r="Q241" i="124"/>
  <c r="Q242" i="124"/>
  <c r="BA156" i="124"/>
  <c r="BA157" i="124"/>
  <c r="BK258" i="120"/>
  <c r="BK279" i="120"/>
  <c r="BK303" i="120" s="1"/>
  <c r="AT241" i="124"/>
  <c r="AT242" i="124"/>
  <c r="BC314" i="120"/>
  <c r="BC315" i="120"/>
  <c r="AP239" i="120"/>
  <c r="AP240" i="120"/>
  <c r="S239" i="124"/>
  <c r="S240" i="124"/>
  <c r="BD60" i="124"/>
  <c r="BD59" i="124"/>
  <c r="BD75" i="124"/>
  <c r="BD72" i="124"/>
  <c r="BD74" i="124"/>
  <c r="H57" i="124"/>
  <c r="AE66" i="124"/>
  <c r="AE224" i="124"/>
  <c r="AE303" i="124"/>
  <c r="BI129" i="124"/>
  <c r="BI109" i="124" s="1"/>
  <c r="BI131" i="124"/>
  <c r="M314" i="124"/>
  <c r="M315" i="124"/>
  <c r="AZ320" i="124"/>
  <c r="AZ321" i="124"/>
  <c r="Y241" i="124"/>
  <c r="Y242" i="124"/>
  <c r="AU321" i="124"/>
  <c r="AU320" i="124"/>
  <c r="AY59" i="124"/>
  <c r="AY60" i="124"/>
  <c r="AY72" i="124"/>
  <c r="AY75" i="124"/>
  <c r="AY74" i="124"/>
  <c r="AA160" i="124"/>
  <c r="AA161" i="124"/>
  <c r="I158" i="124"/>
  <c r="I159" i="124"/>
  <c r="BF242" i="120"/>
  <c r="BF241" i="120"/>
  <c r="AO162" i="124"/>
  <c r="AO163" i="124"/>
  <c r="AT156" i="124"/>
  <c r="AT157" i="124"/>
  <c r="AQ319" i="120"/>
  <c r="AQ318" i="120"/>
  <c r="R162" i="124"/>
  <c r="R163" i="124"/>
  <c r="Y60" i="124"/>
  <c r="Y59" i="124"/>
  <c r="Y72" i="124"/>
  <c r="Y74" i="124"/>
  <c r="Y75" i="124"/>
  <c r="T320" i="124"/>
  <c r="T321" i="124"/>
  <c r="BG315" i="120"/>
  <c r="BG314" i="120"/>
  <c r="AS236" i="120"/>
  <c r="AS235" i="120"/>
  <c r="AY345" i="124"/>
  <c r="AY344" i="124"/>
  <c r="K60" i="124"/>
  <c r="K59" i="124"/>
  <c r="K72" i="124"/>
  <c r="K75" i="124"/>
  <c r="K74" i="124"/>
  <c r="BG160" i="124"/>
  <c r="BG161" i="124"/>
  <c r="AR163" i="124"/>
  <c r="AR162" i="124"/>
  <c r="AZ242" i="120"/>
  <c r="AZ241" i="120"/>
  <c r="AQ237" i="124"/>
  <c r="AQ238" i="124"/>
  <c r="BJ96" i="124"/>
  <c r="BJ124" i="124" s="1"/>
  <c r="BD319" i="120"/>
  <c r="BD318" i="120"/>
  <c r="BB315" i="124"/>
  <c r="BB314" i="124"/>
  <c r="AV344" i="124"/>
  <c r="AV345" i="124"/>
  <c r="AY320" i="120"/>
  <c r="AY321" i="120"/>
  <c r="AX236" i="120"/>
  <c r="AX235" i="120"/>
  <c r="K344" i="124"/>
  <c r="K345" i="124"/>
  <c r="AW344" i="124"/>
  <c r="AW345" i="124"/>
  <c r="BD235" i="124"/>
  <c r="BD236" i="124"/>
  <c r="AV320" i="124"/>
  <c r="AV321" i="124"/>
  <c r="AT319" i="120"/>
  <c r="AT318" i="120"/>
  <c r="K163" i="124"/>
  <c r="K162" i="124"/>
  <c r="AY160" i="124"/>
  <c r="AY161" i="124"/>
  <c r="BJ283" i="124"/>
  <c r="BJ291" i="124" s="1"/>
  <c r="V156" i="124"/>
  <c r="V157" i="124"/>
  <c r="R319" i="124"/>
  <c r="R318" i="124"/>
  <c r="H109" i="124"/>
  <c r="BB161" i="120"/>
  <c r="BB160" i="120"/>
  <c r="AO158" i="120"/>
  <c r="AO159" i="120"/>
  <c r="AN156" i="120"/>
  <c r="AN157" i="120"/>
  <c r="BF156" i="120"/>
  <c r="BF157" i="120"/>
  <c r="BD156" i="120"/>
  <c r="BD157" i="120"/>
  <c r="BA156" i="120"/>
  <c r="BA157" i="120"/>
  <c r="AQ161" i="120"/>
  <c r="AQ160" i="120"/>
  <c r="BB157" i="120"/>
  <c r="BB156" i="120"/>
  <c r="AO156" i="120"/>
  <c r="AO157" i="120"/>
  <c r="AR158" i="120"/>
  <c r="AR159" i="120"/>
  <c r="AV160" i="120"/>
  <c r="AV161" i="120"/>
  <c r="AZ160" i="120"/>
  <c r="AZ161" i="120"/>
  <c r="AQ159" i="120"/>
  <c r="AQ158" i="120"/>
  <c r="AS160" i="120"/>
  <c r="AS161" i="120"/>
  <c r="AU162" i="120"/>
  <c r="AU163" i="120"/>
  <c r="BC161" i="120"/>
  <c r="BC160" i="120"/>
  <c r="AT161" i="120"/>
  <c r="AT160" i="120"/>
  <c r="AR162" i="120"/>
  <c r="AR163" i="120"/>
  <c r="AV156" i="120"/>
  <c r="AV157" i="120"/>
  <c r="AZ162" i="120"/>
  <c r="AZ163" i="120"/>
  <c r="AQ157" i="120"/>
  <c r="AQ156" i="120"/>
  <c r="AS162" i="120"/>
  <c r="AS163" i="120"/>
  <c r="AU161" i="120"/>
  <c r="AU160" i="120"/>
  <c r="BC163" i="120"/>
  <c r="BC162" i="120"/>
  <c r="AT162" i="120"/>
  <c r="AT163" i="120"/>
  <c r="AR160" i="120"/>
  <c r="AR161" i="120"/>
  <c r="AP163" i="120"/>
  <c r="AP162" i="120"/>
  <c r="BE160" i="120"/>
  <c r="BE161" i="120"/>
  <c r="BK149" i="120" a="1"/>
  <c r="BK149" i="120" s="1"/>
  <c r="BK148" i="120" a="1"/>
  <c r="BK148" i="120" s="1"/>
  <c r="BJ96" i="120"/>
  <c r="BJ124" i="120" s="1"/>
  <c r="BC157" i="120"/>
  <c r="BC156" i="120"/>
  <c r="AT157" i="120"/>
  <c r="AT156" i="120"/>
  <c r="AR156" i="120"/>
  <c r="AR157" i="120"/>
  <c r="AP160" i="120"/>
  <c r="AP161" i="120"/>
  <c r="AZ156" i="120"/>
  <c r="AZ157" i="120"/>
  <c r="AX160" i="120"/>
  <c r="AX161" i="120"/>
  <c r="AS156" i="120"/>
  <c r="AS157" i="120"/>
  <c r="AU157" i="120"/>
  <c r="AU156" i="120"/>
  <c r="AN158" i="120"/>
  <c r="AN159" i="120"/>
  <c r="BF163" i="120"/>
  <c r="BF162" i="120"/>
  <c r="BD162" i="120"/>
  <c r="BD163" i="120"/>
  <c r="BA162" i="120"/>
  <c r="BA163" i="120"/>
  <c r="AP159" i="120"/>
  <c r="AP158" i="120"/>
  <c r="BE162" i="120"/>
  <c r="BE163" i="120"/>
  <c r="AX163" i="120"/>
  <c r="AX162" i="120"/>
  <c r="BG151" i="120"/>
  <c r="BG153" i="120"/>
  <c r="BG154" i="120"/>
  <c r="AO160" i="120"/>
  <c r="AO161" i="120"/>
  <c r="AN160" i="120"/>
  <c r="AN161" i="120"/>
  <c r="BF160" i="120"/>
  <c r="BF161" i="120"/>
  <c r="BA160" i="120"/>
  <c r="BA161" i="120"/>
  <c r="AP156" i="120"/>
  <c r="AP157" i="120"/>
  <c r="BE156" i="120"/>
  <c r="BE157" i="120"/>
  <c r="BB162" i="120"/>
  <c r="BB163" i="120"/>
  <c r="AO162" i="120"/>
  <c r="AO163" i="120"/>
  <c r="AN162" i="120"/>
  <c r="AN163" i="120"/>
  <c r="BD160" i="120"/>
  <c r="BD161" i="120"/>
  <c r="AV162" i="120"/>
  <c r="AV163" i="120"/>
  <c r="AQ163" i="120"/>
  <c r="AQ162" i="120"/>
  <c r="AX156" i="120"/>
  <c r="AX157" i="120"/>
  <c r="AW72" i="120"/>
  <c r="AW74" i="120"/>
  <c r="AW75" i="120"/>
  <c r="BA72" i="120"/>
  <c r="BA74" i="120"/>
  <c r="BA75" i="120"/>
  <c r="AQ72" i="120"/>
  <c r="AQ74" i="120"/>
  <c r="AQ75" i="120"/>
  <c r="BD72" i="120"/>
  <c r="BD75" i="120"/>
  <c r="BD74" i="120"/>
  <c r="BC72" i="120"/>
  <c r="BC75" i="120"/>
  <c r="BC74" i="120"/>
  <c r="AY72" i="120"/>
  <c r="AY75" i="120"/>
  <c r="AY74" i="120"/>
  <c r="AP72" i="120"/>
  <c r="AP75" i="120"/>
  <c r="AP74" i="120"/>
  <c r="AZ72" i="120"/>
  <c r="AZ75" i="120"/>
  <c r="AZ74" i="120"/>
  <c r="AV72" i="120"/>
  <c r="AV75" i="120"/>
  <c r="AV74" i="120"/>
  <c r="AS72" i="120"/>
  <c r="AS74" i="120"/>
  <c r="AS75" i="120"/>
  <c r="AX72" i="120"/>
  <c r="AX75" i="120"/>
  <c r="AX74" i="120"/>
  <c r="AR72" i="120"/>
  <c r="AR75" i="120"/>
  <c r="AR74" i="120"/>
  <c r="BE72" i="120"/>
  <c r="BE75" i="120"/>
  <c r="BE74" i="120"/>
  <c r="AT72" i="120"/>
  <c r="AT75" i="120"/>
  <c r="AT74" i="120"/>
  <c r="AU72" i="120"/>
  <c r="AU75" i="120"/>
  <c r="AU74" i="120"/>
  <c r="BB72" i="120"/>
  <c r="BB75" i="120"/>
  <c r="BB74" i="120"/>
  <c r="AQ73" i="120"/>
  <c r="BF72" i="120"/>
  <c r="BF75" i="120"/>
  <c r="BF74" i="120"/>
  <c r="AR73" i="120"/>
  <c r="AO72" i="120"/>
  <c r="AO75" i="120"/>
  <c r="AO74" i="120"/>
  <c r="AO73" i="120"/>
  <c r="AN74" i="120"/>
  <c r="AN75" i="120"/>
  <c r="AB218" i="120"/>
  <c r="AN72" i="120"/>
  <c r="AN73" i="120"/>
  <c r="AN59" i="120"/>
  <c r="AB309" i="120"/>
  <c r="AB314" i="120" s="1"/>
  <c r="AB312" i="120"/>
  <c r="AB320" i="120" s="1"/>
  <c r="AB311" i="120"/>
  <c r="AB318" i="120" s="1"/>
  <c r="AB230" i="120"/>
  <c r="AB236" i="120" s="1"/>
  <c r="AB233" i="120"/>
  <c r="AB241" i="120" s="1"/>
  <c r="AB232" i="120"/>
  <c r="AB239" i="120" s="1"/>
  <c r="AC123" i="120"/>
  <c r="AC126" i="120" s="1"/>
  <c r="AA151" i="120"/>
  <c r="AA157" i="120" s="1"/>
  <c r="AA153" i="120"/>
  <c r="AA160" i="120" s="1"/>
  <c r="AA154" i="120"/>
  <c r="AA162" i="120" s="1"/>
  <c r="AB151" i="120"/>
  <c r="AB157" i="120" s="1"/>
  <c r="AB154" i="120"/>
  <c r="AB163" i="120" s="1"/>
  <c r="AB153" i="120"/>
  <c r="AB160" i="120" s="1"/>
  <c r="AC334" i="120"/>
  <c r="AC339" i="120" s="1"/>
  <c r="M72" i="120"/>
  <c r="M75" i="120"/>
  <c r="M74" i="120"/>
  <c r="L73" i="120"/>
  <c r="Q72" i="120"/>
  <c r="Q75" i="120"/>
  <c r="Q74" i="120"/>
  <c r="J72" i="120"/>
  <c r="J74" i="120"/>
  <c r="J75" i="120"/>
  <c r="X72" i="120"/>
  <c r="X75" i="120"/>
  <c r="X74" i="120"/>
  <c r="N72" i="120"/>
  <c r="N75" i="120"/>
  <c r="N74" i="120"/>
  <c r="U72" i="120"/>
  <c r="U75" i="120"/>
  <c r="U74" i="120"/>
  <c r="R72" i="120"/>
  <c r="R74" i="120"/>
  <c r="R75" i="120"/>
  <c r="L72" i="120"/>
  <c r="L75" i="120"/>
  <c r="L74" i="120"/>
  <c r="Z72" i="120"/>
  <c r="Z75" i="120"/>
  <c r="Z74" i="120"/>
  <c r="O72" i="120"/>
  <c r="O74" i="120"/>
  <c r="O75" i="120"/>
  <c r="K72" i="120"/>
  <c r="K75" i="120"/>
  <c r="K74" i="120"/>
  <c r="I72" i="120"/>
  <c r="I74" i="120"/>
  <c r="I75" i="120"/>
  <c r="Y72" i="120"/>
  <c r="Y74" i="120"/>
  <c r="Y75" i="120"/>
  <c r="AA72" i="120"/>
  <c r="AA74" i="120"/>
  <c r="AA75" i="120"/>
  <c r="P72" i="120"/>
  <c r="P74" i="120"/>
  <c r="P75" i="120"/>
  <c r="S72" i="120"/>
  <c r="S75" i="120"/>
  <c r="S74" i="120"/>
  <c r="K73" i="120"/>
  <c r="K80" i="120" s="1"/>
  <c r="W72" i="120"/>
  <c r="W75" i="120"/>
  <c r="W74" i="120"/>
  <c r="V72" i="120"/>
  <c r="V74" i="120"/>
  <c r="V75" i="120"/>
  <c r="T72" i="120"/>
  <c r="T75" i="120"/>
  <c r="T74" i="120"/>
  <c r="BH334" i="120"/>
  <c r="H74" i="120"/>
  <c r="H81" i="120" s="1"/>
  <c r="H75" i="120"/>
  <c r="H83" i="120" s="1"/>
  <c r="H72" i="120"/>
  <c r="H77" i="120" s="1"/>
  <c r="H73" i="120"/>
  <c r="H79" i="120" s="1"/>
  <c r="H59" i="120"/>
  <c r="H60" i="120"/>
  <c r="BI52" i="120"/>
  <c r="BH333" i="120"/>
  <c r="AC208" i="120"/>
  <c r="AC188" i="120" s="1"/>
  <c r="AA139" i="120"/>
  <c r="AA138" i="120"/>
  <c r="AA341" i="120"/>
  <c r="AB57" i="120"/>
  <c r="AB59" i="120" s="1"/>
  <c r="CB19" i="117"/>
  <c r="CB39" i="117"/>
  <c r="CB19" i="118"/>
  <c r="CB19" i="119"/>
  <c r="CB39" i="119"/>
  <c r="CB39" i="118"/>
  <c r="AE22" i="120"/>
  <c r="AE101" i="120"/>
  <c r="AE112" i="120" s="1"/>
  <c r="BG341" i="120"/>
  <c r="BG342" i="120" s="1"/>
  <c r="BI50" i="120"/>
  <c r="BI30" i="120" s="1"/>
  <c r="BH57" i="120"/>
  <c r="BI44" i="120"/>
  <c r="BH136" i="120"/>
  <c r="AC335" i="120"/>
  <c r="AD202" i="120"/>
  <c r="BJ44" i="120"/>
  <c r="BJ46" i="120"/>
  <c r="BJ54" i="120" s="1"/>
  <c r="AE102" i="120"/>
  <c r="AB341" i="120"/>
  <c r="AB342" i="120" s="1"/>
  <c r="BK101" i="120"/>
  <c r="BK112" i="120" s="1"/>
  <c r="BK22" i="120"/>
  <c r="BH126" i="120"/>
  <c r="AD112" i="120"/>
  <c r="AD282" i="120"/>
  <c r="AD125" i="120"/>
  <c r="BJ33" i="120"/>
  <c r="BJ329" i="120"/>
  <c r="AE260" i="120"/>
  <c r="AD269" i="120"/>
  <c r="AD204" i="120"/>
  <c r="AD212" i="120" s="1"/>
  <c r="AD45" i="120"/>
  <c r="BG138" i="120"/>
  <c r="BG139" i="120"/>
  <c r="BI125" i="120"/>
  <c r="BI133" i="120" s="1"/>
  <c r="BI132" i="120"/>
  <c r="AC205" i="120"/>
  <c r="AE253" i="120"/>
  <c r="AE254" i="120" s="1"/>
  <c r="AE263" i="120"/>
  <c r="AE262" i="120" s="1"/>
  <c r="AE307" i="120" a="1"/>
  <c r="AE307" i="120" s="1"/>
  <c r="AE264" i="120"/>
  <c r="AE306" i="120" a="1"/>
  <c r="AE306" i="120" s="1"/>
  <c r="AE21" i="120"/>
  <c r="AE42" i="120"/>
  <c r="AE66" i="120" s="1"/>
  <c r="AD203" i="120"/>
  <c r="BK42" i="120"/>
  <c r="BK66" i="120" s="1"/>
  <c r="BK21" i="120"/>
  <c r="BK23" i="120"/>
  <c r="BM8" i="120"/>
  <c r="BL119" i="120"/>
  <c r="BP276" i="120"/>
  <c r="BL120" i="120"/>
  <c r="BL135" i="120" s="1"/>
  <c r="BP135" i="120" s="1"/>
  <c r="BL117" i="120"/>
  <c r="BP117" i="120" s="1"/>
  <c r="BL94" i="120"/>
  <c r="BL118" i="120"/>
  <c r="BL64" i="120"/>
  <c r="BL39" i="120"/>
  <c r="BL22" i="120" s="1"/>
  <c r="BL38" i="120"/>
  <c r="BP38" i="120" s="1"/>
  <c r="BL65" i="120"/>
  <c r="BL40" i="120"/>
  <c r="BL15" i="120"/>
  <c r="BL41" i="120"/>
  <c r="BL91" i="120"/>
  <c r="BL12" i="120"/>
  <c r="AD330" i="120"/>
  <c r="BI124" i="120"/>
  <c r="BI53" i="120"/>
  <c r="AS90" i="120"/>
  <c r="AS147" i="120" s="1"/>
  <c r="AS152" i="120" s="1"/>
  <c r="AS158" i="120" s="1"/>
  <c r="M90" i="120"/>
  <c r="AC289" i="120"/>
  <c r="AC294" i="120" s="1"/>
  <c r="AC287" i="120"/>
  <c r="AC267" i="120" s="1"/>
  <c r="AE174" i="120"/>
  <c r="AE175" i="120" s="1"/>
  <c r="AE211" i="120" s="1"/>
  <c r="AE185" i="120"/>
  <c r="AE228" i="120" a="1"/>
  <c r="AE228" i="120" s="1"/>
  <c r="AE227" i="120" a="1"/>
  <c r="AE227" i="120" s="1"/>
  <c r="AE184" i="120"/>
  <c r="AE183" i="120" s="1"/>
  <c r="AE121" i="120"/>
  <c r="AE145" i="120" s="1"/>
  <c r="AE100" i="120"/>
  <c r="AC212" i="120"/>
  <c r="AC215" i="120" s="1"/>
  <c r="BI129" i="120"/>
  <c r="BI109" i="120" s="1"/>
  <c r="BI131" i="120"/>
  <c r="AD329" i="120"/>
  <c r="AD33" i="120"/>
  <c r="BP120" i="120"/>
  <c r="AD192" i="120"/>
  <c r="AC136" i="120"/>
  <c r="M248" i="120"/>
  <c r="BP197" i="120"/>
  <c r="BH335" i="120"/>
  <c r="AE149" i="120" a="1"/>
  <c r="AE149" i="120" s="1"/>
  <c r="AE106" i="120"/>
  <c r="AE105" i="120"/>
  <c r="AE104" i="120" s="1"/>
  <c r="AE95" i="120"/>
  <c r="AE96" i="120" s="1"/>
  <c r="AE148" i="120" a="1"/>
  <c r="AE148" i="120" s="1"/>
  <c r="AE259" i="120"/>
  <c r="AE270" i="120" s="1"/>
  <c r="AD113" i="120"/>
  <c r="BJ112" i="120"/>
  <c r="AD32" i="120"/>
  <c r="AD328" i="120"/>
  <c r="BK102" i="120"/>
  <c r="AD281" i="120"/>
  <c r="AS11" i="120"/>
  <c r="M11" i="120"/>
  <c r="BJ45" i="120"/>
  <c r="AD191" i="120"/>
  <c r="AE70" i="120" a="1"/>
  <c r="AE70" i="120" s="1"/>
  <c r="AE69" i="120" a="1"/>
  <c r="AE69" i="120" s="1"/>
  <c r="AE16" i="120"/>
  <c r="AE17" i="120" s="1"/>
  <c r="AE26" i="120"/>
  <c r="AE25" i="120" s="1"/>
  <c r="AE27" i="120"/>
  <c r="AE23" i="120"/>
  <c r="AD111" i="120"/>
  <c r="AD25" i="120"/>
  <c r="AD271" i="120"/>
  <c r="AD283" i="120"/>
  <c r="BP199" i="120"/>
  <c r="AC54" i="120"/>
  <c r="AC57" i="120" s="1"/>
  <c r="AD270" i="120"/>
  <c r="BJ111" i="120"/>
  <c r="BP278" i="120"/>
  <c r="M169" i="120"/>
  <c r="BJ34" i="120"/>
  <c r="BJ330" i="120"/>
  <c r="AE179" i="120"/>
  <c r="AE200" i="120"/>
  <c r="AE224" i="120" s="1"/>
  <c r="AE33" i="120"/>
  <c r="AE181" i="120"/>
  <c r="AG8" i="120"/>
  <c r="AF199" i="120"/>
  <c r="AF301" i="120"/>
  <c r="AF276" i="120"/>
  <c r="AF222" i="120"/>
  <c r="AF197" i="120"/>
  <c r="AF143" i="120"/>
  <c r="AF119" i="120"/>
  <c r="AF94" i="120"/>
  <c r="AF65" i="120"/>
  <c r="AF40" i="120"/>
  <c r="AJ40" i="120" s="1"/>
  <c r="AF15" i="120"/>
  <c r="AF117" i="120"/>
  <c r="AJ117" i="120" s="1"/>
  <c r="AF302" i="120"/>
  <c r="AF277" i="120"/>
  <c r="AF252" i="120"/>
  <c r="AF223" i="120"/>
  <c r="AF198" i="120"/>
  <c r="AJ198" i="120" s="1"/>
  <c r="AF173" i="120"/>
  <c r="AF144" i="120"/>
  <c r="AF120" i="120"/>
  <c r="AF135" i="120" s="1"/>
  <c r="AJ135" i="120" s="1"/>
  <c r="AF41" i="120"/>
  <c r="AF56" i="120" s="1"/>
  <c r="AJ56" i="120" s="1"/>
  <c r="AF278" i="120"/>
  <c r="AF38" i="120"/>
  <c r="AJ38" i="120" s="1"/>
  <c r="AF275" i="120"/>
  <c r="AF64" i="120"/>
  <c r="AF196" i="120"/>
  <c r="AJ196" i="120" s="1"/>
  <c r="AF118" i="120"/>
  <c r="AJ118" i="120" s="1"/>
  <c r="AF39" i="120"/>
  <c r="AJ39" i="120" s="1"/>
  <c r="AF249" i="120"/>
  <c r="AF91" i="120"/>
  <c r="AF170" i="120"/>
  <c r="AF12" i="120"/>
  <c r="BI46" i="120"/>
  <c r="AD46" i="120"/>
  <c r="AD54" i="120" s="1"/>
  <c r="BK69" i="120" a="1"/>
  <c r="BK69" i="120" s="1"/>
  <c r="BK16" i="120"/>
  <c r="BK17" i="120" s="1"/>
  <c r="BK70" i="120" a="1"/>
  <c r="BK70" i="120" s="1"/>
  <c r="BK26" i="120"/>
  <c r="BK25" i="120" s="1"/>
  <c r="BK27" i="120"/>
  <c r="BK100" i="120"/>
  <c r="BK121" i="120"/>
  <c r="BK145" i="120" s="1"/>
  <c r="BJ104" i="120"/>
  <c r="AD123" i="120"/>
  <c r="AB205" i="120"/>
  <c r="AE279" i="120"/>
  <c r="AE303" i="120" s="1"/>
  <c r="AE258" i="120"/>
  <c r="AC47" i="120"/>
  <c r="BJ32" i="120"/>
  <c r="BJ328" i="120"/>
  <c r="AC281" i="120"/>
  <c r="AC271" i="120"/>
  <c r="BK105" i="120"/>
  <c r="BK95" i="120"/>
  <c r="BK106" i="120"/>
  <c r="BP196" i="120"/>
  <c r="AD124" i="120"/>
  <c r="AD190" i="120"/>
  <c r="K158" i="120"/>
  <c r="K238" i="120"/>
  <c r="Y235" i="120"/>
  <c r="Y236" i="120"/>
  <c r="Q320" i="120"/>
  <c r="Q321" i="120"/>
  <c r="X235" i="120"/>
  <c r="X236" i="120"/>
  <c r="AV59" i="120"/>
  <c r="AV60" i="120"/>
  <c r="H321" i="120"/>
  <c r="H320" i="120"/>
  <c r="Z345" i="120"/>
  <c r="Z344" i="120"/>
  <c r="Q156" i="120"/>
  <c r="Q157" i="120"/>
  <c r="N160" i="120"/>
  <c r="N161" i="120"/>
  <c r="P319" i="120"/>
  <c r="P318" i="120"/>
  <c r="R163" i="120"/>
  <c r="R162" i="120"/>
  <c r="Q242" i="120"/>
  <c r="Q241" i="120"/>
  <c r="L317" i="120"/>
  <c r="L316" i="120"/>
  <c r="R319" i="120"/>
  <c r="R318" i="120"/>
  <c r="AA320" i="120"/>
  <c r="AA321" i="120"/>
  <c r="U239" i="120"/>
  <c r="U240" i="120"/>
  <c r="X319" i="120"/>
  <c r="X318" i="120"/>
  <c r="BF345" i="120"/>
  <c r="BF344" i="120"/>
  <c r="H156" i="120"/>
  <c r="H157" i="120"/>
  <c r="S160" i="120"/>
  <c r="S161" i="120"/>
  <c r="AY345" i="120"/>
  <c r="AY344" i="120"/>
  <c r="O315" i="120"/>
  <c r="O314" i="120"/>
  <c r="X163" i="120"/>
  <c r="X162" i="120"/>
  <c r="AA241" i="120"/>
  <c r="AA242" i="120"/>
  <c r="O160" i="120"/>
  <c r="O161" i="120"/>
  <c r="J318" i="120"/>
  <c r="J319" i="120"/>
  <c r="J345" i="120"/>
  <c r="J344" i="120"/>
  <c r="M59" i="120"/>
  <c r="M60" i="120"/>
  <c r="Q318" i="120"/>
  <c r="Q319" i="120"/>
  <c r="W235" i="120"/>
  <c r="W236" i="120"/>
  <c r="M236" i="120"/>
  <c r="M235" i="120"/>
  <c r="N241" i="120"/>
  <c r="N242" i="120"/>
  <c r="K160" i="120"/>
  <c r="K161" i="120"/>
  <c r="V163" i="120"/>
  <c r="V162" i="120"/>
  <c r="U59" i="120"/>
  <c r="U60" i="120"/>
  <c r="H315" i="120"/>
  <c r="H314" i="120"/>
  <c r="AM57" i="120"/>
  <c r="AT344" i="120"/>
  <c r="AT345" i="120"/>
  <c r="N163" i="120"/>
  <c r="N162" i="120"/>
  <c r="T344" i="120"/>
  <c r="T345" i="120"/>
  <c r="U241" i="120"/>
  <c r="U242" i="120"/>
  <c r="AR345" i="120"/>
  <c r="AR344" i="120"/>
  <c r="X161" i="120"/>
  <c r="X160" i="120"/>
  <c r="AA240" i="120"/>
  <c r="AA239" i="120"/>
  <c r="O163" i="120"/>
  <c r="O162" i="120"/>
  <c r="W241" i="120"/>
  <c r="W242" i="120"/>
  <c r="V314" i="120"/>
  <c r="V315" i="120"/>
  <c r="N345" i="120"/>
  <c r="N344" i="120"/>
  <c r="W314" i="120"/>
  <c r="W315" i="120"/>
  <c r="P320" i="120"/>
  <c r="P321" i="120"/>
  <c r="R161" i="120"/>
  <c r="R160" i="120"/>
  <c r="Q235" i="120"/>
  <c r="Q236" i="120"/>
  <c r="W60" i="120"/>
  <c r="W59" i="120"/>
  <c r="V239" i="120"/>
  <c r="V240" i="120"/>
  <c r="R320" i="120"/>
  <c r="R321" i="120"/>
  <c r="Q345" i="120"/>
  <c r="Q344" i="120"/>
  <c r="AA318" i="120"/>
  <c r="AA319" i="120"/>
  <c r="U236" i="120"/>
  <c r="U235" i="120"/>
  <c r="X321" i="120"/>
  <c r="X320" i="120"/>
  <c r="S162" i="120"/>
  <c r="S163" i="120"/>
  <c r="J241" i="120"/>
  <c r="J242" i="120"/>
  <c r="X156" i="120"/>
  <c r="X157" i="120"/>
  <c r="K240" i="120"/>
  <c r="K239" i="120"/>
  <c r="BE59" i="120"/>
  <c r="BE60" i="120"/>
  <c r="AA236" i="120"/>
  <c r="AA235" i="120"/>
  <c r="O156" i="120"/>
  <c r="O157" i="120"/>
  <c r="J320" i="120"/>
  <c r="J321" i="120"/>
  <c r="AN344" i="120"/>
  <c r="AN345" i="120"/>
  <c r="L238" i="120"/>
  <c r="L237" i="120"/>
  <c r="Q315" i="120"/>
  <c r="Q314" i="120"/>
  <c r="N239" i="120"/>
  <c r="N240" i="120"/>
  <c r="K162" i="120"/>
  <c r="K163" i="120"/>
  <c r="AT60" i="120"/>
  <c r="AT59" i="120"/>
  <c r="V160" i="120"/>
  <c r="V161" i="120"/>
  <c r="BA60" i="120"/>
  <c r="BA59" i="120"/>
  <c r="I159" i="120"/>
  <c r="I158" i="120"/>
  <c r="AM30" i="120"/>
  <c r="AV344" i="120"/>
  <c r="AV345" i="120"/>
  <c r="N156" i="120"/>
  <c r="N157" i="120"/>
  <c r="O345" i="120"/>
  <c r="O344" i="120"/>
  <c r="L157" i="120"/>
  <c r="L156" i="120"/>
  <c r="S314" i="120"/>
  <c r="S315" i="120"/>
  <c r="P60" i="120"/>
  <c r="P59" i="120"/>
  <c r="P315" i="120"/>
  <c r="P314" i="120"/>
  <c r="Y162" i="120"/>
  <c r="Y163" i="120"/>
  <c r="R157" i="120"/>
  <c r="R156" i="120"/>
  <c r="P242" i="120"/>
  <c r="P241" i="120"/>
  <c r="AM342" i="120"/>
  <c r="AX59" i="120"/>
  <c r="AX60" i="120"/>
  <c r="V241" i="120"/>
  <c r="V242" i="120"/>
  <c r="AQ60" i="120"/>
  <c r="AQ59" i="120"/>
  <c r="R314" i="120"/>
  <c r="R315" i="120"/>
  <c r="AA314" i="120"/>
  <c r="AA315" i="120"/>
  <c r="X315" i="120"/>
  <c r="X314" i="120"/>
  <c r="I60" i="120"/>
  <c r="I59" i="120"/>
  <c r="Y320" i="120"/>
  <c r="Y321" i="120"/>
  <c r="AY60" i="120"/>
  <c r="AY59" i="120"/>
  <c r="K317" i="120"/>
  <c r="K316" i="120"/>
  <c r="S157" i="120"/>
  <c r="S156" i="120"/>
  <c r="J240" i="120"/>
  <c r="J239" i="120"/>
  <c r="I317" i="120"/>
  <c r="I316" i="120"/>
  <c r="K241" i="120"/>
  <c r="K242" i="120"/>
  <c r="H237" i="120"/>
  <c r="H238" i="120"/>
  <c r="G30" i="120"/>
  <c r="T160" i="120"/>
  <c r="T161" i="120"/>
  <c r="J314" i="120"/>
  <c r="J315" i="120"/>
  <c r="P161" i="120"/>
  <c r="P160" i="120"/>
  <c r="N59" i="120"/>
  <c r="N60" i="120"/>
  <c r="L59" i="120"/>
  <c r="L60" i="120"/>
  <c r="M344" i="120"/>
  <c r="M345" i="120"/>
  <c r="N235" i="120"/>
  <c r="N236" i="120"/>
  <c r="K157" i="120"/>
  <c r="K156" i="120"/>
  <c r="V156" i="120"/>
  <c r="V157" i="120"/>
  <c r="V59" i="120"/>
  <c r="V60" i="120"/>
  <c r="S60" i="120"/>
  <c r="S59" i="120"/>
  <c r="T318" i="120"/>
  <c r="T319" i="120"/>
  <c r="Z160" i="120"/>
  <c r="Z161" i="120"/>
  <c r="I161" i="120"/>
  <c r="I160" i="120"/>
  <c r="V345" i="120"/>
  <c r="V344" i="120"/>
  <c r="BA345" i="120"/>
  <c r="BA344" i="120"/>
  <c r="S344" i="120"/>
  <c r="S345" i="120"/>
  <c r="K60" i="120"/>
  <c r="K59" i="120"/>
  <c r="Z320" i="120"/>
  <c r="Z321" i="120"/>
  <c r="R241" i="120"/>
  <c r="R242" i="120"/>
  <c r="Y161" i="120"/>
  <c r="Y160" i="120"/>
  <c r="P239" i="120"/>
  <c r="P240" i="120"/>
  <c r="AP59" i="120"/>
  <c r="AP60" i="120"/>
  <c r="V235" i="120"/>
  <c r="V236" i="120"/>
  <c r="AZ60" i="120"/>
  <c r="AZ59" i="120"/>
  <c r="L158" i="120"/>
  <c r="L159" i="120"/>
  <c r="P345" i="120"/>
  <c r="P344" i="120"/>
  <c r="AS345" i="120"/>
  <c r="AS344" i="120"/>
  <c r="Y318" i="120"/>
  <c r="Y319" i="120"/>
  <c r="I345" i="120"/>
  <c r="I344" i="120"/>
  <c r="J235" i="120"/>
  <c r="J236" i="120"/>
  <c r="G294" i="120"/>
  <c r="I320" i="120"/>
  <c r="I321" i="120"/>
  <c r="K236" i="120"/>
  <c r="K235" i="120"/>
  <c r="H242" i="120"/>
  <c r="H241" i="120"/>
  <c r="M321" i="120"/>
  <c r="M320" i="120"/>
  <c r="T162" i="120"/>
  <c r="T163" i="120"/>
  <c r="I237" i="120"/>
  <c r="I238" i="120"/>
  <c r="BE344" i="120"/>
  <c r="BE345" i="120"/>
  <c r="P162" i="120"/>
  <c r="P163" i="120"/>
  <c r="L318" i="120"/>
  <c r="L319" i="120"/>
  <c r="AW344" i="120"/>
  <c r="AW345" i="120"/>
  <c r="T321" i="120"/>
  <c r="T320" i="120"/>
  <c r="Z163" i="120"/>
  <c r="Z162" i="120"/>
  <c r="I162" i="120"/>
  <c r="I163" i="120"/>
  <c r="N319" i="120"/>
  <c r="N318" i="120"/>
  <c r="AO59" i="120"/>
  <c r="AO60" i="120"/>
  <c r="Z319" i="120"/>
  <c r="Z318" i="120"/>
  <c r="R240" i="120"/>
  <c r="R239" i="120"/>
  <c r="O239" i="120"/>
  <c r="O240" i="120"/>
  <c r="BB344" i="120"/>
  <c r="BB345" i="120"/>
  <c r="M226" i="120"/>
  <c r="M231" i="120" s="1"/>
  <c r="Q239" i="120"/>
  <c r="Q240" i="120"/>
  <c r="U156" i="120"/>
  <c r="U157" i="120"/>
  <c r="R60" i="120"/>
  <c r="R59" i="120"/>
  <c r="O319" i="120"/>
  <c r="O318" i="120"/>
  <c r="M241" i="120"/>
  <c r="M242" i="120"/>
  <c r="W156" i="120"/>
  <c r="W157" i="120"/>
  <c r="BC60" i="120"/>
  <c r="BC59" i="120"/>
  <c r="M147" i="120"/>
  <c r="M152" i="120" s="1"/>
  <c r="Y156" i="120"/>
  <c r="Y157" i="120"/>
  <c r="BC344" i="120"/>
  <c r="BC345" i="120"/>
  <c r="Q60" i="120"/>
  <c r="Q59" i="120"/>
  <c r="AO344" i="120"/>
  <c r="AO345" i="120"/>
  <c r="P235" i="120"/>
  <c r="P236" i="120"/>
  <c r="K320" i="120"/>
  <c r="K321" i="120"/>
  <c r="BF59" i="120"/>
  <c r="BF60" i="120"/>
  <c r="J163" i="120"/>
  <c r="J162" i="120"/>
  <c r="L239" i="120"/>
  <c r="L240" i="120"/>
  <c r="Y315" i="120"/>
  <c r="Y314" i="120"/>
  <c r="AP345" i="120"/>
  <c r="AP344" i="120"/>
  <c r="AZ345" i="120"/>
  <c r="AZ344" i="120"/>
  <c r="AQ345" i="120"/>
  <c r="AQ344" i="120"/>
  <c r="G136" i="120"/>
  <c r="G267" i="120"/>
  <c r="I318" i="120"/>
  <c r="I319" i="120"/>
  <c r="H345" i="120"/>
  <c r="H344" i="120"/>
  <c r="H239" i="120"/>
  <c r="H240" i="120"/>
  <c r="G57" i="120"/>
  <c r="M319" i="120"/>
  <c r="M318" i="120"/>
  <c r="T157" i="120"/>
  <c r="T156" i="120"/>
  <c r="I239" i="120"/>
  <c r="I240" i="120"/>
  <c r="X60" i="120"/>
  <c r="X59" i="120"/>
  <c r="AW59" i="120"/>
  <c r="AW60" i="120"/>
  <c r="P156" i="120"/>
  <c r="P157" i="120"/>
  <c r="S240" i="120"/>
  <c r="S239" i="120"/>
  <c r="L321" i="120"/>
  <c r="L320" i="120"/>
  <c r="T241" i="120"/>
  <c r="T242" i="120"/>
  <c r="T315" i="120"/>
  <c r="T314" i="120"/>
  <c r="Z157" i="120"/>
  <c r="Z156" i="120"/>
  <c r="L344" i="120"/>
  <c r="L345" i="120"/>
  <c r="I156" i="120"/>
  <c r="I157" i="120"/>
  <c r="N320" i="120"/>
  <c r="N321" i="120"/>
  <c r="T59" i="120"/>
  <c r="T60" i="120"/>
  <c r="M160" i="120"/>
  <c r="M161" i="120"/>
  <c r="U344" i="120"/>
  <c r="U345" i="120"/>
  <c r="Z315" i="120"/>
  <c r="Z314" i="120"/>
  <c r="R235" i="120"/>
  <c r="R236" i="120"/>
  <c r="O241" i="120"/>
  <c r="O242" i="120"/>
  <c r="U314" i="120"/>
  <c r="U315" i="120"/>
  <c r="H161" i="120"/>
  <c r="H160" i="120"/>
  <c r="Z235" i="120"/>
  <c r="Z236" i="120"/>
  <c r="J60" i="120"/>
  <c r="J59" i="120"/>
  <c r="M305" i="120"/>
  <c r="M310" i="120" s="1"/>
  <c r="G188" i="120"/>
  <c r="U321" i="120"/>
  <c r="U320" i="120"/>
  <c r="AS60" i="120"/>
  <c r="AS59" i="120"/>
  <c r="K318" i="120"/>
  <c r="K319" i="120"/>
  <c r="U160" i="120"/>
  <c r="U161" i="120"/>
  <c r="J160" i="120"/>
  <c r="J161" i="120"/>
  <c r="BD59" i="120"/>
  <c r="BD60" i="120"/>
  <c r="L241" i="120"/>
  <c r="L242" i="120"/>
  <c r="W345" i="120"/>
  <c r="W344" i="120"/>
  <c r="H158" i="120"/>
  <c r="H159" i="120"/>
  <c r="BD344" i="120"/>
  <c r="BD345" i="120"/>
  <c r="G109" i="120"/>
  <c r="L160" i="120"/>
  <c r="L161" i="120"/>
  <c r="I315" i="120"/>
  <c r="I314" i="120"/>
  <c r="Z240" i="120"/>
  <c r="Z239" i="120"/>
  <c r="H235" i="120"/>
  <c r="H236" i="120"/>
  <c r="M314" i="120"/>
  <c r="M315" i="120"/>
  <c r="AN60" i="120"/>
  <c r="S318" i="120"/>
  <c r="S319" i="120"/>
  <c r="I242" i="120"/>
  <c r="I241" i="120"/>
  <c r="S241" i="120"/>
  <c r="S242" i="120"/>
  <c r="Y242" i="120"/>
  <c r="Y241" i="120"/>
  <c r="Y345" i="120"/>
  <c r="Y344" i="120"/>
  <c r="V321" i="120"/>
  <c r="V320" i="120"/>
  <c r="G342" i="120"/>
  <c r="L314" i="120"/>
  <c r="L315" i="120"/>
  <c r="T239" i="120"/>
  <c r="T240" i="120"/>
  <c r="W160" i="120"/>
  <c r="W161" i="120"/>
  <c r="X239" i="120"/>
  <c r="X240" i="120"/>
  <c r="W320" i="120"/>
  <c r="W321" i="120"/>
  <c r="H317" i="120"/>
  <c r="H316" i="120"/>
  <c r="O60" i="120"/>
  <c r="O59" i="120"/>
  <c r="N314" i="120"/>
  <c r="N315" i="120"/>
  <c r="M162" i="120"/>
  <c r="M163" i="120"/>
  <c r="Q161" i="120"/>
  <c r="Q160" i="120"/>
  <c r="O235" i="120"/>
  <c r="O236" i="120"/>
  <c r="K344" i="120"/>
  <c r="K345" i="120"/>
  <c r="AS68" i="120"/>
  <c r="AS73" i="120" s="1"/>
  <c r="M68" i="120"/>
  <c r="M73" i="120" s="1"/>
  <c r="G215" i="120"/>
  <c r="U319" i="120"/>
  <c r="U318" i="120"/>
  <c r="AU344" i="120"/>
  <c r="AU345" i="120"/>
  <c r="K314" i="120"/>
  <c r="K315" i="120"/>
  <c r="U162" i="120"/>
  <c r="U163" i="120"/>
  <c r="J157" i="120"/>
  <c r="J156" i="120"/>
  <c r="L236" i="120"/>
  <c r="L235" i="120"/>
  <c r="AR60" i="120"/>
  <c r="AR59" i="120"/>
  <c r="AX345" i="120"/>
  <c r="AX344" i="120"/>
  <c r="H163" i="120"/>
  <c r="H162" i="120"/>
  <c r="L162" i="120"/>
  <c r="L163" i="120"/>
  <c r="R345" i="120"/>
  <c r="R344" i="120"/>
  <c r="O320" i="120"/>
  <c r="O321" i="120"/>
  <c r="Z241" i="120"/>
  <c r="Z242" i="120"/>
  <c r="S320" i="120"/>
  <c r="S321" i="120"/>
  <c r="I235" i="120"/>
  <c r="I236" i="120"/>
  <c r="Y60" i="120"/>
  <c r="Y59" i="120"/>
  <c r="S236" i="120"/>
  <c r="S235" i="120"/>
  <c r="Y239" i="120"/>
  <c r="Y240" i="120"/>
  <c r="X345" i="120"/>
  <c r="X344" i="120"/>
  <c r="W239" i="120"/>
  <c r="W240" i="120"/>
  <c r="V319" i="120"/>
  <c r="V318" i="120"/>
  <c r="M239" i="120"/>
  <c r="M240" i="120"/>
  <c r="T236" i="120"/>
  <c r="T235" i="120"/>
  <c r="W163" i="120"/>
  <c r="W162" i="120"/>
  <c r="AA60" i="120"/>
  <c r="AA59" i="120"/>
  <c r="X242" i="120"/>
  <c r="X241" i="120"/>
  <c r="W319" i="120"/>
  <c r="W318" i="120"/>
  <c r="Z60" i="120"/>
  <c r="Z59" i="120"/>
  <c r="H318" i="120"/>
  <c r="H319" i="120"/>
  <c r="BB60" i="120"/>
  <c r="BB59" i="120"/>
  <c r="AU60" i="120"/>
  <c r="AU59" i="120"/>
  <c r="M156" i="120"/>
  <c r="M157" i="120"/>
  <c r="Q162" i="120"/>
  <c r="Q163" i="120"/>
  <c r="CA62" i="117"/>
  <c r="CB62" i="117"/>
  <c r="CE24" i="67"/>
  <c r="CE58" i="67" s="1"/>
  <c r="CC62" i="67"/>
  <c r="CC51" i="117"/>
  <c r="CC49" i="117"/>
  <c r="CC49" i="118"/>
  <c r="CC51" i="118"/>
  <c r="CC49" i="119"/>
  <c r="CC51" i="119"/>
  <c r="BZ62" i="119"/>
  <c r="BZ62" i="118"/>
  <c r="CA38" i="119"/>
  <c r="CC27" i="119"/>
  <c r="CC38" i="119"/>
  <c r="CA47" i="119"/>
  <c r="CC18" i="119"/>
  <c r="CC47" i="119"/>
  <c r="BZ27" i="119"/>
  <c r="CA27" i="119"/>
  <c r="BZ39" i="119"/>
  <c r="BZ18" i="119"/>
  <c r="CA18" i="119"/>
  <c r="BZ47" i="119"/>
  <c r="CB38" i="119"/>
  <c r="BZ38" i="119"/>
  <c r="BZ19" i="119"/>
  <c r="CB47" i="119"/>
  <c r="CB27" i="119"/>
  <c r="CB18" i="119"/>
  <c r="CT6" i="119"/>
  <c r="CB27" i="118"/>
  <c r="CB18" i="118"/>
  <c r="CA38" i="118"/>
  <c r="CC27" i="118"/>
  <c r="CC38" i="118"/>
  <c r="CA47" i="118"/>
  <c r="CC18" i="118"/>
  <c r="CC47" i="118"/>
  <c r="BZ27" i="118"/>
  <c r="CA27" i="118"/>
  <c r="BZ39" i="118"/>
  <c r="BZ18" i="118"/>
  <c r="CA18" i="118"/>
  <c r="BZ47" i="118"/>
  <c r="CB38" i="118"/>
  <c r="BZ38" i="118"/>
  <c r="BZ19" i="118"/>
  <c r="CB47" i="118"/>
  <c r="CS6" i="118"/>
  <c r="BZ62" i="117"/>
  <c r="CB27" i="117"/>
  <c r="CG44" i="67"/>
  <c r="CB18" i="117"/>
  <c r="CA38" i="117"/>
  <c r="CC27" i="117"/>
  <c r="CC38" i="117"/>
  <c r="CA47" i="117"/>
  <c r="CC18" i="117"/>
  <c r="CC47" i="117"/>
  <c r="BZ27" i="117"/>
  <c r="CA27" i="117"/>
  <c r="BZ39" i="117"/>
  <c r="BZ18" i="117"/>
  <c r="CA18" i="117"/>
  <c r="BZ47" i="117"/>
  <c r="CB38" i="117"/>
  <c r="BZ38" i="117"/>
  <c r="BZ19" i="117"/>
  <c r="CB47" i="117"/>
  <c r="CT6" i="117"/>
  <c r="CB21" i="67"/>
  <c r="CB41" i="67"/>
  <c r="CD41" i="67"/>
  <c r="CC41" i="67"/>
  <c r="CA21" i="67"/>
  <c r="CA41" i="67"/>
  <c r="CF41" i="67"/>
  <c r="CE41" i="67"/>
  <c r="CD46" i="67"/>
  <c r="CD25" i="67"/>
  <c r="CD59" i="67" s="1"/>
  <c r="CA26" i="67"/>
  <c r="CC46" i="67"/>
  <c r="CE46" i="67"/>
  <c r="CE26" i="67"/>
  <c r="CA46" i="67"/>
  <c r="CB26" i="67"/>
  <c r="CD26" i="67"/>
  <c r="CB46" i="67"/>
  <c r="CC26" i="67"/>
  <c r="CF46" i="67"/>
  <c r="CC19" i="67"/>
  <c r="CE39" i="67"/>
  <c r="CF39" i="67"/>
  <c r="CB39" i="67"/>
  <c r="CD19" i="67"/>
  <c r="CC39" i="67"/>
  <c r="CD21" i="67"/>
  <c r="CA19" i="67"/>
  <c r="CB19" i="67"/>
  <c r="CD39" i="67"/>
  <c r="CA39" i="67"/>
  <c r="CF9" i="67"/>
  <c r="CG41" i="67"/>
  <c r="CG46" i="67"/>
  <c r="CG37" i="67"/>
  <c r="CG43" i="67"/>
  <c r="CG45" i="67"/>
  <c r="CG39" i="67"/>
  <c r="CG40" i="67"/>
  <c r="CH13" i="67"/>
  <c r="CF48" i="67"/>
  <c r="CB27" i="67"/>
  <c r="CA27" i="67"/>
  <c r="CG11" i="67"/>
  <c r="CB18" i="67"/>
  <c r="CE23" i="67"/>
  <c r="CE57" i="67" s="1"/>
  <c r="CF47" i="67"/>
  <c r="CA18" i="67"/>
  <c r="CG47" i="67"/>
  <c r="CF38" i="67"/>
  <c r="CG10" i="67"/>
  <c r="CG38" i="67"/>
  <c r="CG12" i="67"/>
  <c r="CA47" i="67"/>
  <c r="CC27" i="67"/>
  <c r="CA38" i="67"/>
  <c r="CC18" i="67"/>
  <c r="CD20" i="67"/>
  <c r="CD27" i="67"/>
  <c r="CD38" i="67"/>
  <c r="CB38" i="67"/>
  <c r="CE47" i="67"/>
  <c r="CD18" i="67"/>
  <c r="CD47" i="67"/>
  <c r="CC38" i="67"/>
  <c r="CB47" i="67"/>
  <c r="CE38" i="67"/>
  <c r="CC47" i="67"/>
  <c r="L12" i="77"/>
  <c r="L13" i="77"/>
  <c r="L14" i="77"/>
  <c r="L15" i="77"/>
  <c r="BZ11" i="67"/>
  <c r="CI6" i="67"/>
  <c r="BF104" i="125"/>
  <c r="P108" i="125"/>
  <c r="BF25" i="125"/>
  <c r="BE109" i="125"/>
  <c r="O69" i="125" a="1"/>
  <c r="CA37" i="67" a="1"/>
  <c r="O105" i="125"/>
  <c r="BG26" i="125"/>
  <c r="BG70" i="125" a="1"/>
  <c r="BG227" i="125" a="1"/>
  <c r="BG174" i="125"/>
  <c r="BG264" i="125"/>
  <c r="O185" i="125"/>
  <c r="CE25" i="67" a="1"/>
  <c r="O27" i="125"/>
  <c r="O149" i="125" a="1"/>
  <c r="CB17" i="67" a="1"/>
  <c r="BG27" i="125"/>
  <c r="CG51" i="67" a="1"/>
  <c r="CH49" i="67" a="1"/>
  <c r="BG185" i="125"/>
  <c r="O306" i="125" a="1"/>
  <c r="CF49" i="67" a="1"/>
  <c r="BG16" i="125"/>
  <c r="O16" i="125"/>
  <c r="BG184" i="125"/>
  <c r="CH45" i="67" a="1"/>
  <c r="CH51" i="67" a="1"/>
  <c r="O95" i="125"/>
  <c r="BH108" i="125"/>
  <c r="CA17" i="67" a="1"/>
  <c r="CC17" i="67" a="1"/>
  <c r="BH170" i="125"/>
  <c r="BG69" i="125" a="1"/>
  <c r="BG105" i="125"/>
  <c r="CH11" i="67" a="1"/>
  <c r="BG253" i="125"/>
  <c r="P249" i="125"/>
  <c r="CE49" i="67" a="1"/>
  <c r="CD49" i="67" a="1"/>
  <c r="G267" i="125"/>
  <c r="O26" i="125"/>
  <c r="BH187" i="125"/>
  <c r="CH37" i="67" a="1"/>
  <c r="CC31" i="117" a="1"/>
  <c r="CG9" i="67" a="1"/>
  <c r="H188" i="125"/>
  <c r="CE27" i="67" a="1"/>
  <c r="CE19" i="67" a="1"/>
  <c r="AN267" i="125"/>
  <c r="CC29" i="119" a="1"/>
  <c r="CE37" i="67" a="1"/>
  <c r="O70" i="125" a="1"/>
  <c r="BG95" i="125"/>
  <c r="CD51" i="67" a="1"/>
  <c r="CH40" i="67" a="1"/>
  <c r="CI13" i="67" a="1"/>
  <c r="P128" i="125"/>
  <c r="CH44" i="67" a="1"/>
  <c r="AM30" i="125"/>
  <c r="CC37" i="67" a="1"/>
  <c r="CC31" i="118" a="1"/>
  <c r="BG306" i="125" a="1"/>
  <c r="CE20" i="67" a="1"/>
  <c r="CH38" i="67" a="1"/>
  <c r="CF51" i="67" a="1"/>
  <c r="O227" i="125" a="1"/>
  <c r="BG307" i="125" a="1"/>
  <c r="P187" i="125"/>
  <c r="BH207" i="125"/>
  <c r="CC29" i="117" a="1"/>
  <c r="M109" i="125"/>
  <c r="AN30" i="125"/>
  <c r="N104" i="125"/>
  <c r="CH47" i="67" a="1"/>
  <c r="BF183" i="125"/>
  <c r="O253" i="125"/>
  <c r="N25" i="125"/>
  <c r="CB37" i="67" a="1"/>
  <c r="N262" i="125"/>
  <c r="CG49" i="67" a="1"/>
  <c r="P49" i="125"/>
  <c r="BH286" i="125"/>
  <c r="CD17" i="67" a="1"/>
  <c r="H30" i="125"/>
  <c r="CH41" i="67" a="1"/>
  <c r="CF23" i="67" a="1"/>
  <c r="BH266" i="125"/>
  <c r="M30" i="125"/>
  <c r="BH49" i="125"/>
  <c r="CE18" i="67" a="1"/>
  <c r="BH249" i="125"/>
  <c r="CC31" i="119" a="1"/>
  <c r="O184" i="125"/>
  <c r="CD37" i="67" a="1"/>
  <c r="H267" i="125"/>
  <c r="P286" i="125"/>
  <c r="CH43" i="67" a="1"/>
  <c r="BH128" i="125"/>
  <c r="P207" i="125"/>
  <c r="CE51" i="67" a="1"/>
  <c r="CF24" i="67" a="1"/>
  <c r="O264" i="125"/>
  <c r="O228" i="125" a="1"/>
  <c r="H109" i="125"/>
  <c r="BH29" i="125"/>
  <c r="BG228" i="125" a="1"/>
  <c r="BG263" i="125"/>
  <c r="CC21" i="67" a="1"/>
  <c r="O106" i="125"/>
  <c r="M188" i="125"/>
  <c r="CH46" i="67" a="1"/>
  <c r="O174" i="125"/>
  <c r="BH12" i="125"/>
  <c r="CC29" i="118" a="1"/>
  <c r="CF37" i="67" a="1"/>
  <c r="BE188" i="125"/>
  <c r="BF262" i="125"/>
  <c r="BE267" i="125"/>
  <c r="P12" i="125"/>
  <c r="G30" i="125"/>
  <c r="AN109" i="125"/>
  <c r="G109" i="125"/>
  <c r="CH39" i="67" a="1"/>
  <c r="BH91" i="125"/>
  <c r="O263" i="125"/>
  <c r="CH10" i="67" a="1"/>
  <c r="CH12" i="67" a="1"/>
  <c r="P170" i="125"/>
  <c r="P91" i="125"/>
  <c r="P29" i="125"/>
  <c r="O148" i="125" a="1"/>
  <c r="BG149" i="125" a="1"/>
  <c r="BG148" i="125" a="1"/>
  <c r="P266" i="125"/>
  <c r="BG106" i="125"/>
  <c r="N183" i="125"/>
  <c r="O307" i="125" a="1"/>
  <c r="AN188" i="125"/>
  <c r="G188" i="125"/>
  <c r="CC49" i="67" a="1"/>
  <c r="BG236" i="124" l="1"/>
  <c r="AA156" i="124"/>
  <c r="K236" i="125"/>
  <c r="K157" i="125"/>
  <c r="BD75" i="125"/>
  <c r="BG59" i="120"/>
  <c r="BG60" i="120"/>
  <c r="BB345" i="125"/>
  <c r="J344" i="125"/>
  <c r="BD74" i="125"/>
  <c r="BD154" i="125"/>
  <c r="BD163" i="125" s="1"/>
  <c r="BD60" i="125"/>
  <c r="BD153" i="125"/>
  <c r="BD160" i="125" s="1"/>
  <c r="Z314" i="124"/>
  <c r="L74" i="125"/>
  <c r="L81" i="125" s="1"/>
  <c r="BC162" i="125"/>
  <c r="BD151" i="125"/>
  <c r="BD156" i="125" s="1"/>
  <c r="L72" i="125"/>
  <c r="AM344" i="125"/>
  <c r="AO344" i="124"/>
  <c r="BH309" i="120"/>
  <c r="K161" i="125"/>
  <c r="BH296" i="120"/>
  <c r="BC161" i="125"/>
  <c r="AM345" i="125"/>
  <c r="K316" i="125"/>
  <c r="AO345" i="124"/>
  <c r="BG344" i="126"/>
  <c r="AA342" i="120"/>
  <c r="BH339" i="120"/>
  <c r="K240" i="125"/>
  <c r="K314" i="125"/>
  <c r="BF344" i="124"/>
  <c r="K162" i="125"/>
  <c r="AB318" i="124"/>
  <c r="Z318" i="124"/>
  <c r="BH297" i="120"/>
  <c r="BD233" i="125"/>
  <c r="BD242" i="125" s="1"/>
  <c r="BJ287" i="124"/>
  <c r="BJ267" i="124" s="1"/>
  <c r="BH311" i="120"/>
  <c r="BH319" i="120" s="1"/>
  <c r="BD230" i="125"/>
  <c r="BD235" i="125" s="1"/>
  <c r="BH341" i="124"/>
  <c r="BH342" i="124" s="1"/>
  <c r="BH345" i="124" s="1"/>
  <c r="AB74" i="126"/>
  <c r="AB81" i="126" s="1"/>
  <c r="AB75" i="126"/>
  <c r="AB83" i="126" s="1"/>
  <c r="AB72" i="126"/>
  <c r="AB78" i="126" s="1"/>
  <c r="AB315" i="124"/>
  <c r="L59" i="125"/>
  <c r="BD72" i="125"/>
  <c r="BD78" i="125" s="1"/>
  <c r="L75" i="125"/>
  <c r="L84" i="125" s="1"/>
  <c r="AF269" i="126"/>
  <c r="AF289" i="126" s="1"/>
  <c r="BL269" i="126"/>
  <c r="BL289" i="126" s="1"/>
  <c r="BE215" i="125"/>
  <c r="BE232" i="125" s="1"/>
  <c r="L232" i="125"/>
  <c r="L230" i="125"/>
  <c r="L314" i="125"/>
  <c r="L319" i="125"/>
  <c r="BH162" i="126"/>
  <c r="L317" i="125"/>
  <c r="BL111" i="126"/>
  <c r="BL131" i="126" s="1"/>
  <c r="L79" i="124"/>
  <c r="BD319" i="125"/>
  <c r="AB315" i="120"/>
  <c r="AD126" i="126"/>
  <c r="AC334" i="124"/>
  <c r="AC339" i="124" s="1"/>
  <c r="AC136" i="124"/>
  <c r="AC138" i="124" s="1"/>
  <c r="AB60" i="120"/>
  <c r="AC126" i="124"/>
  <c r="BH160" i="126"/>
  <c r="AD334" i="126"/>
  <c r="BI136" i="124"/>
  <c r="AR79" i="125"/>
  <c r="AC333" i="120"/>
  <c r="BJ136" i="126"/>
  <c r="BJ138" i="126" s="1"/>
  <c r="BK334" i="126"/>
  <c r="BP334" i="126" s="1"/>
  <c r="AB235" i="120"/>
  <c r="AB162" i="120"/>
  <c r="BG75" i="120"/>
  <c r="BG84" i="120" s="1"/>
  <c r="BD240" i="125"/>
  <c r="L320" i="125"/>
  <c r="AC57" i="124"/>
  <c r="AC60" i="124" s="1"/>
  <c r="AB156" i="120"/>
  <c r="AB319" i="120"/>
  <c r="L241" i="125"/>
  <c r="AB321" i="120"/>
  <c r="BD341" i="125"/>
  <c r="BD342" i="125" s="1"/>
  <c r="BD345" i="125" s="1"/>
  <c r="BJ208" i="124"/>
  <c r="BJ188" i="124" s="1"/>
  <c r="BG74" i="120"/>
  <c r="AE334" i="126"/>
  <c r="K79" i="120"/>
  <c r="BE334" i="125"/>
  <c r="BE339" i="125" s="1"/>
  <c r="K345" i="125"/>
  <c r="BK113" i="126"/>
  <c r="BD162" i="125"/>
  <c r="BD321" i="125"/>
  <c r="N203" i="125"/>
  <c r="BJ132" i="120"/>
  <c r="AB161" i="120"/>
  <c r="AB242" i="120"/>
  <c r="BD161" i="125"/>
  <c r="BE205" i="125"/>
  <c r="L79" i="125"/>
  <c r="L80" i="125"/>
  <c r="N204" i="125"/>
  <c r="N212" i="125" s="1"/>
  <c r="AA345" i="124"/>
  <c r="BJ333" i="126"/>
  <c r="BJ341" i="126" s="1"/>
  <c r="BJ342" i="126" s="1"/>
  <c r="BK271" i="126"/>
  <c r="BH156" i="126"/>
  <c r="AA156" i="120"/>
  <c r="BK190" i="120"/>
  <c r="L237" i="125"/>
  <c r="AE205" i="126"/>
  <c r="AD136" i="126"/>
  <c r="AD138" i="126" s="1"/>
  <c r="BM22" i="126"/>
  <c r="BO22" i="126" s="1"/>
  <c r="BL190" i="126"/>
  <c r="AE271" i="126"/>
  <c r="AD290" i="124"/>
  <c r="L341" i="125"/>
  <c r="BC345" i="125"/>
  <c r="AD333" i="126"/>
  <c r="BJ210" i="120"/>
  <c r="BJ192" i="124"/>
  <c r="BK192" i="126"/>
  <c r="BJ218" i="126"/>
  <c r="BJ217" i="126"/>
  <c r="BJ233" i="126"/>
  <c r="BJ230" i="126"/>
  <c r="BJ232" i="126"/>
  <c r="V83" i="126"/>
  <c r="V84" i="126"/>
  <c r="BH320" i="126"/>
  <c r="BH321" i="126"/>
  <c r="AN217" i="126"/>
  <c r="AN218" i="126"/>
  <c r="AN230" i="126"/>
  <c r="AN233" i="126"/>
  <c r="AN232" i="126"/>
  <c r="AN231" i="126"/>
  <c r="P81" i="126"/>
  <c r="P82" i="126"/>
  <c r="N83" i="126"/>
  <c r="N84" i="126"/>
  <c r="Q84" i="126"/>
  <c r="Q83" i="126"/>
  <c r="M78" i="126"/>
  <c r="M77" i="126"/>
  <c r="AE129" i="126"/>
  <c r="AE109" i="126" s="1"/>
  <c r="AE131" i="126"/>
  <c r="AT83" i="126"/>
  <c r="AT84" i="126"/>
  <c r="AX81" i="126"/>
  <c r="AX82" i="126"/>
  <c r="K79" i="126"/>
  <c r="K80" i="126"/>
  <c r="AG22" i="126"/>
  <c r="AI173" i="126"/>
  <c r="AG279" i="126"/>
  <c r="AG303" i="126" s="1"/>
  <c r="AG258" i="126"/>
  <c r="S82" i="126"/>
  <c r="S81" i="126"/>
  <c r="AC320" i="126"/>
  <c r="AC321" i="126"/>
  <c r="AO83" i="126"/>
  <c r="AO84" i="126"/>
  <c r="BC78" i="126"/>
  <c r="BC77" i="126"/>
  <c r="AF132" i="126"/>
  <c r="BM102" i="126"/>
  <c r="BM181" i="126"/>
  <c r="BM279" i="126"/>
  <c r="BM258" i="126"/>
  <c r="Y84" i="126"/>
  <c r="Y83" i="126"/>
  <c r="W83" i="126"/>
  <c r="W84" i="126"/>
  <c r="BI236" i="126"/>
  <c r="BI235" i="126"/>
  <c r="BP279" i="126"/>
  <c r="I79" i="126"/>
  <c r="I80" i="126"/>
  <c r="BI320" i="126"/>
  <c r="BI321" i="126"/>
  <c r="AE331" i="126"/>
  <c r="BE78" i="126"/>
  <c r="BE77" i="126"/>
  <c r="AF303" i="126"/>
  <c r="J83" i="126"/>
  <c r="J84" i="126"/>
  <c r="R77" i="126"/>
  <c r="R78" i="126"/>
  <c r="AR84" i="126"/>
  <c r="AR83" i="126"/>
  <c r="AU82" i="126"/>
  <c r="AU81" i="126"/>
  <c r="H297" i="126"/>
  <c r="H296" i="126"/>
  <c r="H309" i="126"/>
  <c r="H312" i="126"/>
  <c r="H311" i="126"/>
  <c r="H310" i="126"/>
  <c r="AV81" i="126"/>
  <c r="AV82" i="126"/>
  <c r="M80" i="126"/>
  <c r="M79" i="126"/>
  <c r="BP200" i="126"/>
  <c r="AG22" i="125"/>
  <c r="AS81" i="126"/>
  <c r="AS82" i="126"/>
  <c r="V81" i="126"/>
  <c r="V82" i="126"/>
  <c r="BH318" i="126"/>
  <c r="BH319" i="126"/>
  <c r="AF124" i="126"/>
  <c r="AJ124" i="126" s="1"/>
  <c r="AF104" i="126"/>
  <c r="AF123" i="126" s="1"/>
  <c r="BL330" i="126"/>
  <c r="AE126" i="126"/>
  <c r="H345" i="126"/>
  <c r="H344" i="126"/>
  <c r="P77" i="126"/>
  <c r="P78" i="126"/>
  <c r="N81" i="126"/>
  <c r="N82" i="126"/>
  <c r="Q77" i="126"/>
  <c r="Q78" i="126"/>
  <c r="AT82" i="126"/>
  <c r="AT81" i="126"/>
  <c r="AM80" i="125"/>
  <c r="AM79" i="125"/>
  <c r="AI258" i="126"/>
  <c r="AX78" i="126"/>
  <c r="AX77" i="126"/>
  <c r="AB82" i="126"/>
  <c r="BP224" i="126"/>
  <c r="AD212" i="126"/>
  <c r="AD215" i="126" s="1"/>
  <c r="AG148" i="126" a="1"/>
  <c r="AG148" i="126" s="1"/>
  <c r="AG149" i="126" a="1"/>
  <c r="AG149" i="126" s="1"/>
  <c r="AG95" i="126"/>
  <c r="AG96" i="126" s="1"/>
  <c r="AI96" i="126" s="1"/>
  <c r="AG106" i="126"/>
  <c r="AG105" i="126"/>
  <c r="AG200" i="126"/>
  <c r="AG179" i="126"/>
  <c r="AI179" i="126" s="1"/>
  <c r="AG260" i="126"/>
  <c r="S77" i="126"/>
  <c r="S78" i="126"/>
  <c r="AC314" i="126"/>
  <c r="AC315" i="126"/>
  <c r="AO78" i="126"/>
  <c r="AO77" i="126"/>
  <c r="BI162" i="126"/>
  <c r="BI163" i="126"/>
  <c r="BM21" i="126"/>
  <c r="BM42" i="126"/>
  <c r="BM66" i="126" s="1"/>
  <c r="BM100" i="126"/>
  <c r="BM121" i="126"/>
  <c r="BM179" i="126"/>
  <c r="BM200" i="126"/>
  <c r="BM224" i="126" s="1"/>
  <c r="BM260" i="126"/>
  <c r="BO260" i="126" s="1"/>
  <c r="W78" i="126"/>
  <c r="W77" i="126"/>
  <c r="I81" i="126"/>
  <c r="I82" i="126"/>
  <c r="AP80" i="126"/>
  <c r="AP79" i="126"/>
  <c r="BI319" i="126"/>
  <c r="BI318" i="126"/>
  <c r="AE50" i="126"/>
  <c r="AE52" i="126"/>
  <c r="J81" i="126"/>
  <c r="J82" i="126"/>
  <c r="AN297" i="126"/>
  <c r="AN296" i="126"/>
  <c r="AN309" i="126"/>
  <c r="AN312" i="126"/>
  <c r="AN311" i="126"/>
  <c r="AN310" i="126"/>
  <c r="AR81" i="126"/>
  <c r="AR82" i="126"/>
  <c r="AU78" i="126"/>
  <c r="AU77" i="126"/>
  <c r="BL283" i="126"/>
  <c r="AI260" i="126"/>
  <c r="AV78" i="126"/>
  <c r="AV77" i="126"/>
  <c r="AE208" i="126"/>
  <c r="AE210" i="126"/>
  <c r="BH345" i="126"/>
  <c r="BH344" i="126"/>
  <c r="AS83" i="126"/>
  <c r="AS84" i="126"/>
  <c r="V78" i="126"/>
  <c r="V77" i="126"/>
  <c r="BH315" i="126"/>
  <c r="BH314" i="126"/>
  <c r="BG77" i="126"/>
  <c r="BG78" i="126"/>
  <c r="AY84" i="126"/>
  <c r="AY83" i="126"/>
  <c r="N78" i="126"/>
  <c r="N77" i="126"/>
  <c r="AT77" i="126"/>
  <c r="AT78" i="126"/>
  <c r="AM82" i="125"/>
  <c r="AM81" i="125"/>
  <c r="AE289" i="126"/>
  <c r="AE287" i="126"/>
  <c r="BL32" i="126"/>
  <c r="BL328" i="126"/>
  <c r="AN344" i="126"/>
  <c r="AN345" i="126"/>
  <c r="AG16" i="126"/>
  <c r="AG17" i="126" s="1"/>
  <c r="AI17" i="126" s="1"/>
  <c r="AG70" i="126" a="1"/>
  <c r="AG70" i="126" s="1"/>
  <c r="AG27" i="126"/>
  <c r="AG26" i="126"/>
  <c r="AG69" i="126" a="1"/>
  <c r="AG69" i="126" s="1"/>
  <c r="AG121" i="126"/>
  <c r="AG100" i="126"/>
  <c r="AG181" i="126"/>
  <c r="AC318" i="126"/>
  <c r="AC319" i="126"/>
  <c r="BI160" i="126"/>
  <c r="BI161" i="126"/>
  <c r="G84" i="125"/>
  <c r="G83" i="125"/>
  <c r="BM227" i="126" a="1"/>
  <c r="BM227" i="126" s="1"/>
  <c r="BM228" i="126" a="1"/>
  <c r="BM228" i="126" s="1"/>
  <c r="BM185" i="126"/>
  <c r="BM184" i="126"/>
  <c r="BM174" i="126"/>
  <c r="BM175" i="126" s="1"/>
  <c r="BM23" i="126"/>
  <c r="BO23" i="126" s="1"/>
  <c r="I84" i="126"/>
  <c r="I83" i="126"/>
  <c r="AJ224" i="126"/>
  <c r="AP83" i="126"/>
  <c r="AP84" i="126"/>
  <c r="BL66" i="126"/>
  <c r="BP66" i="126" s="1"/>
  <c r="BI315" i="126"/>
  <c r="BI314" i="126"/>
  <c r="J77" i="126"/>
  <c r="J78" i="126"/>
  <c r="AR78" i="126"/>
  <c r="AR77" i="126"/>
  <c r="AC163" i="126"/>
  <c r="AC162" i="126"/>
  <c r="AF66" i="126"/>
  <c r="AJ66" i="126" s="1"/>
  <c r="AF46" i="126"/>
  <c r="BI83" i="126"/>
  <c r="BI84" i="126"/>
  <c r="AF203" i="126"/>
  <c r="AJ203" i="126" s="1"/>
  <c r="AF183" i="126"/>
  <c r="AF202" i="126" s="1"/>
  <c r="AJ202" i="126" s="1"/>
  <c r="AD297" i="126"/>
  <c r="AD296" i="126"/>
  <c r="AD309" i="126"/>
  <c r="AD312" i="126"/>
  <c r="AD311" i="126"/>
  <c r="BL125" i="126"/>
  <c r="BL133" i="126" s="1"/>
  <c r="AS77" i="126"/>
  <c r="AS78" i="126"/>
  <c r="BF81" i="126"/>
  <c r="BF82" i="126"/>
  <c r="AW83" i="126"/>
  <c r="AW84" i="126"/>
  <c r="BG81" i="126"/>
  <c r="BG82" i="126"/>
  <c r="BL25" i="126"/>
  <c r="BL34" i="126" s="1"/>
  <c r="AY81" i="126"/>
  <c r="AY82" i="126"/>
  <c r="AM84" i="125"/>
  <c r="AM83" i="125"/>
  <c r="BJ296" i="126"/>
  <c r="BJ297" i="126"/>
  <c r="BJ311" i="126"/>
  <c r="BJ309" i="126"/>
  <c r="BJ312" i="126"/>
  <c r="BK340" i="126"/>
  <c r="AG228" i="126" a="1"/>
  <c r="AG228" i="126" s="1"/>
  <c r="AG185" i="126"/>
  <c r="AG227" i="126" a="1"/>
  <c r="AG227" i="126" s="1"/>
  <c r="AG184" i="126"/>
  <c r="AG174" i="126"/>
  <c r="AG175" i="126" s="1"/>
  <c r="AG42" i="126"/>
  <c r="AG66" i="126" s="1"/>
  <c r="AG21" i="126"/>
  <c r="AG102" i="126"/>
  <c r="BI156" i="126"/>
  <c r="BI157" i="126"/>
  <c r="G82" i="125"/>
  <c r="G81" i="125"/>
  <c r="H218" i="126"/>
  <c r="H217" i="126"/>
  <c r="H230" i="126"/>
  <c r="H233" i="126"/>
  <c r="H232" i="126"/>
  <c r="H231" i="126"/>
  <c r="BM69" i="126" a="1"/>
  <c r="BM69" i="126" s="1"/>
  <c r="BM27" i="126"/>
  <c r="BM26" i="126"/>
  <c r="BM16" i="126"/>
  <c r="BM17" i="126" s="1"/>
  <c r="BM70" i="126" a="1"/>
  <c r="BM70" i="126" s="1"/>
  <c r="BM145" i="126"/>
  <c r="AC78" i="126"/>
  <c r="AC77" i="126"/>
  <c r="I78" i="126"/>
  <c r="I77" i="126"/>
  <c r="AP81" i="126"/>
  <c r="AP82" i="126"/>
  <c r="AE340" i="126"/>
  <c r="AE335" i="126"/>
  <c r="BO258" i="126"/>
  <c r="AF32" i="126"/>
  <c r="AF328" i="126"/>
  <c r="H60" i="126"/>
  <c r="H59" i="126"/>
  <c r="H72" i="126"/>
  <c r="H75" i="126"/>
  <c r="H74" i="126"/>
  <c r="H73" i="126"/>
  <c r="AC161" i="126"/>
  <c r="AC160" i="126"/>
  <c r="AD205" i="126"/>
  <c r="BI81" i="126"/>
  <c r="BI82" i="126"/>
  <c r="AF190" i="126"/>
  <c r="AF204" i="126"/>
  <c r="AF212" i="126" s="1"/>
  <c r="BL270" i="126"/>
  <c r="BO259" i="126"/>
  <c r="BL124" i="126"/>
  <c r="BP124" i="126" s="1"/>
  <c r="BL104" i="126"/>
  <c r="BL123" i="126" s="1"/>
  <c r="N248" i="126"/>
  <c r="N305" i="126" s="1"/>
  <c r="N310" i="126" s="1"/>
  <c r="AT248" i="126"/>
  <c r="AT305" i="126" s="1"/>
  <c r="AT310" i="126" s="1"/>
  <c r="AD113" i="124"/>
  <c r="AF180" i="124"/>
  <c r="AF191" i="124" s="1"/>
  <c r="BP199" i="125"/>
  <c r="BF78" i="126"/>
  <c r="BF77" i="126"/>
  <c r="AW81" i="126"/>
  <c r="AW82" i="126"/>
  <c r="AA83" i="126"/>
  <c r="AA84" i="126"/>
  <c r="AF33" i="126"/>
  <c r="AF53" i="126" s="1"/>
  <c r="AF329" i="126"/>
  <c r="AF340" i="126" s="1"/>
  <c r="BG84" i="126"/>
  <c r="BG83" i="126"/>
  <c r="AY77" i="126"/>
  <c r="AY78" i="126"/>
  <c r="AC239" i="126"/>
  <c r="AC240" i="126"/>
  <c r="U81" i="126"/>
  <c r="U82" i="126"/>
  <c r="AM78" i="125"/>
  <c r="AM77" i="125"/>
  <c r="AS316" i="126"/>
  <c r="AS317" i="126"/>
  <c r="AE284" i="126"/>
  <c r="BK53" i="126"/>
  <c r="AG306" i="126" a="1"/>
  <c r="AG306" i="126" s="1"/>
  <c r="AG263" i="126"/>
  <c r="AG264" i="126"/>
  <c r="AG307" i="126" a="1"/>
  <c r="AG307" i="126" s="1"/>
  <c r="AG253" i="126"/>
  <c r="AG254" i="126" s="1"/>
  <c r="AI254" i="126" s="1"/>
  <c r="AG23" i="126"/>
  <c r="AG224" i="126"/>
  <c r="AQ84" i="126"/>
  <c r="AQ83" i="126"/>
  <c r="BK335" i="126"/>
  <c r="BP335" i="126" s="1"/>
  <c r="L82" i="126"/>
  <c r="L81" i="126"/>
  <c r="AE192" i="126"/>
  <c r="BM149" i="126" a="1"/>
  <c r="BM149" i="126" s="1"/>
  <c r="BM105" i="126"/>
  <c r="BM95" i="126"/>
  <c r="BM96" i="126" s="1"/>
  <c r="BO96" i="126" s="1"/>
  <c r="BM148" i="126" a="1"/>
  <c r="BM148" i="126" s="1"/>
  <c r="BM106" i="126"/>
  <c r="BM101" i="126"/>
  <c r="BM112" i="126" s="1"/>
  <c r="BM303" i="126"/>
  <c r="AN60" i="126"/>
  <c r="AN59" i="126"/>
  <c r="AN72" i="126"/>
  <c r="AN74" i="126"/>
  <c r="AN75" i="126"/>
  <c r="AN73" i="126"/>
  <c r="AC83" i="126"/>
  <c r="AC84" i="126"/>
  <c r="AP78" i="126"/>
  <c r="AP77" i="126"/>
  <c r="X84" i="126"/>
  <c r="X83" i="126"/>
  <c r="AE53" i="126"/>
  <c r="BK287" i="126"/>
  <c r="BK267" i="126" s="1"/>
  <c r="BK289" i="126"/>
  <c r="BK294" i="126" s="1"/>
  <c r="BK284" i="126"/>
  <c r="BK126" i="126"/>
  <c r="BP123" i="126"/>
  <c r="AC156" i="126"/>
  <c r="AC157" i="126"/>
  <c r="AZ84" i="126"/>
  <c r="AZ83" i="126"/>
  <c r="AC344" i="126"/>
  <c r="AC345" i="126"/>
  <c r="BI77" i="126"/>
  <c r="BI78" i="126"/>
  <c r="BL191" i="126"/>
  <c r="BO180" i="126"/>
  <c r="AT169" i="126"/>
  <c r="AT226" i="126" s="1"/>
  <c r="AT231" i="126" s="1"/>
  <c r="N169" i="126"/>
  <c r="N226" i="126" s="1"/>
  <c r="N231" i="126" s="1"/>
  <c r="AT90" i="126"/>
  <c r="AT147" i="126" s="1"/>
  <c r="AT152" i="126" s="1"/>
  <c r="N90" i="126"/>
  <c r="N147" i="126" s="1"/>
  <c r="N152" i="126" s="1"/>
  <c r="AE132" i="120"/>
  <c r="BP118" i="125"/>
  <c r="M294" i="125"/>
  <c r="M310" i="125" s="1"/>
  <c r="BF83" i="126"/>
  <c r="BF84" i="126"/>
  <c r="AW78" i="126"/>
  <c r="AW77" i="126"/>
  <c r="AA82" i="126"/>
  <c r="AA81" i="126"/>
  <c r="O83" i="126"/>
  <c r="O84" i="126"/>
  <c r="AC235" i="126"/>
  <c r="AC236" i="126"/>
  <c r="BK129" i="126"/>
  <c r="BK109" i="126" s="1"/>
  <c r="BK131" i="126"/>
  <c r="BK136" i="126" s="1"/>
  <c r="U83" i="126"/>
  <c r="U84" i="126"/>
  <c r="BL183" i="126"/>
  <c r="BL192" i="126" s="1"/>
  <c r="M316" i="126"/>
  <c r="M317" i="126"/>
  <c r="BA83" i="126"/>
  <c r="BA84" i="126"/>
  <c r="BO21" i="126"/>
  <c r="AJ303" i="126"/>
  <c r="BB83" i="126"/>
  <c r="BB84" i="126"/>
  <c r="AG145" i="126"/>
  <c r="M158" i="126"/>
  <c r="M159" i="126"/>
  <c r="AQ81" i="126"/>
  <c r="AQ82" i="126"/>
  <c r="L83" i="126"/>
  <c r="L84" i="126"/>
  <c r="BM307" i="126" a="1"/>
  <c r="BM307" i="126" s="1"/>
  <c r="BM264" i="126"/>
  <c r="BM253" i="126"/>
  <c r="BM254" i="126" s="1"/>
  <c r="BO254" i="126" s="1"/>
  <c r="BM306" i="126" a="1"/>
  <c r="BM306" i="126" s="1"/>
  <c r="BM263" i="126"/>
  <c r="BM33" i="126"/>
  <c r="BO33" i="126" s="1"/>
  <c r="AC81" i="126"/>
  <c r="AC82" i="126"/>
  <c r="BP133" i="126"/>
  <c r="Z77" i="126"/>
  <c r="Z78" i="126"/>
  <c r="X81" i="126"/>
  <c r="X82" i="126"/>
  <c r="T83" i="126"/>
  <c r="T84" i="126"/>
  <c r="BH60" i="126"/>
  <c r="BH59" i="126"/>
  <c r="BH75" i="126"/>
  <c r="BH72" i="126"/>
  <c r="BH74" i="126"/>
  <c r="AF282" i="126"/>
  <c r="AJ282" i="126" s="1"/>
  <c r="AF262" i="126"/>
  <c r="AF281" i="126" s="1"/>
  <c r="AJ281" i="126" s="1"/>
  <c r="K83" i="126"/>
  <c r="K84" i="126"/>
  <c r="Y341" i="126"/>
  <c r="BD81" i="126"/>
  <c r="BD82" i="126"/>
  <c r="AZ81" i="126"/>
  <c r="AZ82" i="126"/>
  <c r="AB344" i="126"/>
  <c r="AB345" i="126"/>
  <c r="AS238" i="126"/>
  <c r="AS237" i="126"/>
  <c r="AC205" i="124"/>
  <c r="N124" i="125"/>
  <c r="AA77" i="126"/>
  <c r="AA78" i="126"/>
  <c r="AF125" i="126"/>
  <c r="AF133" i="126" s="1"/>
  <c r="AJ133" i="126" s="1"/>
  <c r="O81" i="126"/>
  <c r="O82" i="126"/>
  <c r="BI345" i="126"/>
  <c r="BI344" i="126"/>
  <c r="AC242" i="126"/>
  <c r="AC241" i="126"/>
  <c r="U78" i="126"/>
  <c r="U77" i="126"/>
  <c r="M81" i="126"/>
  <c r="M82" i="126"/>
  <c r="BA81" i="126"/>
  <c r="BA82" i="126"/>
  <c r="BK331" i="126"/>
  <c r="BK44" i="126"/>
  <c r="BK333" i="126" s="1"/>
  <c r="BP333" i="126" s="1"/>
  <c r="AJ123" i="126"/>
  <c r="BB82" i="126"/>
  <c r="BB81" i="126"/>
  <c r="AF270" i="126"/>
  <c r="AI259" i="126"/>
  <c r="AG101" i="126"/>
  <c r="AG112" i="126" s="1"/>
  <c r="AG259" i="126"/>
  <c r="AG270" i="126" s="1"/>
  <c r="BJ60" i="126"/>
  <c r="BJ59" i="126"/>
  <c r="BJ72" i="126"/>
  <c r="BJ75" i="126"/>
  <c r="BJ74" i="126"/>
  <c r="AS158" i="126"/>
  <c r="AS159" i="126"/>
  <c r="AO80" i="126"/>
  <c r="AO79" i="126"/>
  <c r="AQ77" i="126"/>
  <c r="AQ78" i="126"/>
  <c r="AE44" i="126"/>
  <c r="AE333" i="126" s="1"/>
  <c r="L80" i="126"/>
  <c r="L79" i="126"/>
  <c r="BC82" i="126"/>
  <c r="BC81" i="126"/>
  <c r="G77" i="125"/>
  <c r="G78" i="125"/>
  <c r="L78" i="126"/>
  <c r="L77" i="126"/>
  <c r="Y81" i="126"/>
  <c r="Y82" i="126"/>
  <c r="BI239" i="126"/>
  <c r="BI240" i="126"/>
  <c r="AI180" i="126"/>
  <c r="BK205" i="126"/>
  <c r="BP125" i="126"/>
  <c r="Z83" i="126"/>
  <c r="Z84" i="126"/>
  <c r="X77" i="126"/>
  <c r="X78" i="126"/>
  <c r="BL175" i="126"/>
  <c r="BL204" i="126" s="1"/>
  <c r="T82" i="126"/>
  <c r="T81" i="126"/>
  <c r="BO102" i="126"/>
  <c r="BE81" i="126"/>
  <c r="BE82" i="126"/>
  <c r="AF283" i="126"/>
  <c r="K82" i="126"/>
  <c r="K81" i="126"/>
  <c r="R83" i="126"/>
  <c r="R84" i="126"/>
  <c r="BD78" i="126"/>
  <c r="BD77" i="126"/>
  <c r="AZ78" i="126"/>
  <c r="AZ77" i="126"/>
  <c r="BO179" i="126"/>
  <c r="AF111" i="126"/>
  <c r="BL112" i="126"/>
  <c r="BO101" i="126"/>
  <c r="M237" i="126"/>
  <c r="M238" i="126"/>
  <c r="AT11" i="126"/>
  <c r="AT68" i="126" s="1"/>
  <c r="AT73" i="126" s="1"/>
  <c r="N11" i="126"/>
  <c r="N68" i="126" s="1"/>
  <c r="N73" i="126" s="1"/>
  <c r="AI22" i="125"/>
  <c r="H138" i="126"/>
  <c r="H139" i="126"/>
  <c r="H151" i="126"/>
  <c r="H153" i="126"/>
  <c r="H154" i="126"/>
  <c r="H152" i="126"/>
  <c r="O78" i="126"/>
  <c r="O77" i="126"/>
  <c r="P84" i="126"/>
  <c r="P83" i="126"/>
  <c r="Q81" i="126"/>
  <c r="Q82" i="126"/>
  <c r="M83" i="126"/>
  <c r="M84" i="126"/>
  <c r="BA77" i="126"/>
  <c r="BA78" i="126"/>
  <c r="BK52" i="126"/>
  <c r="BK50" i="126"/>
  <c r="BK30" i="126" s="1"/>
  <c r="AX83" i="126"/>
  <c r="AX84" i="126"/>
  <c r="AR79" i="126"/>
  <c r="AR80" i="126"/>
  <c r="BB77" i="126"/>
  <c r="BB78" i="126"/>
  <c r="AF211" i="126"/>
  <c r="AI94" i="126"/>
  <c r="S83" i="126"/>
  <c r="S84" i="126"/>
  <c r="BL17" i="126"/>
  <c r="BL46" i="126" s="1"/>
  <c r="AO81" i="126"/>
  <c r="AO82" i="126"/>
  <c r="BC83" i="126"/>
  <c r="BC84" i="126"/>
  <c r="G79" i="125"/>
  <c r="G80" i="125"/>
  <c r="Y78" i="126"/>
  <c r="Y77" i="126"/>
  <c r="W81" i="126"/>
  <c r="W82" i="126"/>
  <c r="BI241" i="126"/>
  <c r="BI242" i="126"/>
  <c r="AE211" i="126"/>
  <c r="AI191" i="126"/>
  <c r="AA344" i="126"/>
  <c r="AA345" i="126"/>
  <c r="AF330" i="126"/>
  <c r="Z81" i="126"/>
  <c r="Z82" i="126"/>
  <c r="AE113" i="126"/>
  <c r="T77" i="126"/>
  <c r="T78" i="126"/>
  <c r="AE132" i="126"/>
  <c r="BE83" i="126"/>
  <c r="BE84" i="126"/>
  <c r="K77" i="126"/>
  <c r="K78" i="126"/>
  <c r="AN139" i="126"/>
  <c r="AN138" i="126"/>
  <c r="AN151" i="126"/>
  <c r="AN153" i="126"/>
  <c r="AN154" i="126"/>
  <c r="AN152" i="126"/>
  <c r="J79" i="126"/>
  <c r="J80" i="126"/>
  <c r="R81" i="126"/>
  <c r="R82" i="126"/>
  <c r="BD83" i="126"/>
  <c r="BD84" i="126"/>
  <c r="AF45" i="126"/>
  <c r="AJ45" i="126" s="1"/>
  <c r="AF25" i="126"/>
  <c r="AU83" i="126"/>
  <c r="AU84" i="126"/>
  <c r="BL282" i="126"/>
  <c r="BP282" i="126" s="1"/>
  <c r="BL262" i="126"/>
  <c r="BL281" i="126" s="1"/>
  <c r="BK210" i="126"/>
  <c r="BK208" i="126"/>
  <c r="AV83" i="126"/>
  <c r="AV84" i="126"/>
  <c r="AD59" i="126"/>
  <c r="AD60" i="126"/>
  <c r="AD72" i="126"/>
  <c r="AD74" i="126"/>
  <c r="AD75" i="126"/>
  <c r="AS79" i="126"/>
  <c r="AS80" i="126"/>
  <c r="AD335" i="126"/>
  <c r="M136" i="125"/>
  <c r="M151" i="125" s="1"/>
  <c r="BD314" i="125"/>
  <c r="M126" i="125"/>
  <c r="AB240" i="120"/>
  <c r="N282" i="125"/>
  <c r="BF282" i="125"/>
  <c r="BE333" i="125"/>
  <c r="BF283" i="125"/>
  <c r="BF291" i="125" s="1"/>
  <c r="M152" i="125"/>
  <c r="M158" i="125" s="1"/>
  <c r="O70" i="125"/>
  <c r="O254" i="125"/>
  <c r="O290" i="125" s="1"/>
  <c r="N281" i="125"/>
  <c r="N271" i="125"/>
  <c r="BF44" i="125"/>
  <c r="BF34" i="125"/>
  <c r="BH213" i="125"/>
  <c r="BG32" i="125"/>
  <c r="BG111" i="125"/>
  <c r="BG306" i="125"/>
  <c r="O175" i="125"/>
  <c r="O211" i="125" s="1"/>
  <c r="O17" i="125"/>
  <c r="O53" i="125" s="1"/>
  <c r="BG17" i="125"/>
  <c r="BG53" i="125" s="1"/>
  <c r="BG96" i="125"/>
  <c r="BF123" i="125"/>
  <c r="BF113" i="125"/>
  <c r="BG269" i="125"/>
  <c r="O149" i="125"/>
  <c r="O190" i="125"/>
  <c r="N202" i="125"/>
  <c r="N192" i="125"/>
  <c r="N123" i="125"/>
  <c r="N113" i="125"/>
  <c r="BG228" i="125"/>
  <c r="BG70" i="125"/>
  <c r="BG149" i="125"/>
  <c r="O69" i="125"/>
  <c r="BG190" i="125"/>
  <c r="BH337" i="125"/>
  <c r="BH55" i="125"/>
  <c r="BG69" i="125"/>
  <c r="BF281" i="125"/>
  <c r="BF271" i="125"/>
  <c r="BG254" i="125"/>
  <c r="BG290" i="125" s="1"/>
  <c r="O96" i="125"/>
  <c r="O132" i="125" s="1"/>
  <c r="P337" i="125"/>
  <c r="BG175" i="125"/>
  <c r="BH292" i="125"/>
  <c r="BH134" i="125"/>
  <c r="O148" i="125"/>
  <c r="O306" i="125"/>
  <c r="P213" i="125"/>
  <c r="BG227" i="125"/>
  <c r="O228" i="125"/>
  <c r="O307" i="125"/>
  <c r="P55" i="125"/>
  <c r="P134" i="125"/>
  <c r="O32" i="125"/>
  <c r="O227" i="125"/>
  <c r="P292" i="125"/>
  <c r="N44" i="125"/>
  <c r="N34" i="125"/>
  <c r="O111" i="125"/>
  <c r="O269" i="125"/>
  <c r="BG148" i="125"/>
  <c r="BG307" i="125"/>
  <c r="BF202" i="125"/>
  <c r="BF192" i="125"/>
  <c r="AD210" i="124"/>
  <c r="AD215" i="124" s="1"/>
  <c r="AD232" i="124" s="1"/>
  <c r="L158" i="125"/>
  <c r="L159" i="125"/>
  <c r="BF133" i="125"/>
  <c r="BM56" i="125"/>
  <c r="BP56" i="125" s="1"/>
  <c r="BP41" i="125"/>
  <c r="BJ45" i="124"/>
  <c r="BJ334" i="124" s="1"/>
  <c r="BJ339" i="124" s="1"/>
  <c r="BP278" i="125"/>
  <c r="M334" i="125"/>
  <c r="M339" i="125" s="1"/>
  <c r="BF50" i="125"/>
  <c r="BF52" i="125"/>
  <c r="N46" i="125"/>
  <c r="N125" i="125"/>
  <c r="N133" i="125" s="1"/>
  <c r="AG293" i="125"/>
  <c r="AJ293" i="125" s="1"/>
  <c r="AJ278" i="125"/>
  <c r="BE335" i="125"/>
  <c r="BE54" i="125"/>
  <c r="BE57" i="125" s="1"/>
  <c r="M54" i="125"/>
  <c r="M57" i="125" s="1"/>
  <c r="M335" i="125"/>
  <c r="BF124" i="125"/>
  <c r="BF132" i="125"/>
  <c r="N45" i="125"/>
  <c r="AG214" i="125"/>
  <c r="AJ214" i="125" s="1"/>
  <c r="AJ199" i="125"/>
  <c r="AG259" i="125"/>
  <c r="BE294" i="125"/>
  <c r="L151" i="125"/>
  <c r="L153" i="125"/>
  <c r="L154" i="125"/>
  <c r="L138" i="125"/>
  <c r="L139" i="125"/>
  <c r="BE126" i="125"/>
  <c r="AJ39" i="125"/>
  <c r="BF129" i="125"/>
  <c r="BF131" i="125"/>
  <c r="M333" i="125"/>
  <c r="BE217" i="125"/>
  <c r="BE230" i="125"/>
  <c r="BE218" i="125"/>
  <c r="M284" i="125"/>
  <c r="M47" i="125"/>
  <c r="BE136" i="125"/>
  <c r="BF45" i="125"/>
  <c r="BF53" i="125"/>
  <c r="M205" i="125"/>
  <c r="BF204" i="125"/>
  <c r="BF212" i="125" s="1"/>
  <c r="BF211" i="125"/>
  <c r="N131" i="125"/>
  <c r="N129" i="125"/>
  <c r="N283" i="125"/>
  <c r="N291" i="125" s="1"/>
  <c r="AG101" i="125"/>
  <c r="AJ118" i="125"/>
  <c r="N289" i="125"/>
  <c r="N287" i="125"/>
  <c r="BF287" i="125"/>
  <c r="BF289" i="125"/>
  <c r="BE47" i="125"/>
  <c r="M215" i="125"/>
  <c r="M231" i="125" s="1"/>
  <c r="BP120" i="125"/>
  <c r="AG56" i="125"/>
  <c r="AJ56" i="125" s="1"/>
  <c r="AJ41" i="125"/>
  <c r="BF210" i="125"/>
  <c r="BF208" i="125"/>
  <c r="N208" i="125"/>
  <c r="N210" i="125"/>
  <c r="BE284" i="125"/>
  <c r="N50" i="125"/>
  <c r="N52" i="125"/>
  <c r="AR79" i="124"/>
  <c r="AT248" i="125"/>
  <c r="AT305" i="125" s="1"/>
  <c r="AT310" i="125" s="1"/>
  <c r="N248" i="125"/>
  <c r="N305" i="125" s="1"/>
  <c r="AF259" i="120"/>
  <c r="AF270" i="120" s="1"/>
  <c r="BC82" i="125"/>
  <c r="BC81" i="125"/>
  <c r="BL270" i="125"/>
  <c r="AQ77" i="125"/>
  <c r="AQ78" i="125"/>
  <c r="AN218" i="125"/>
  <c r="AN217" i="125"/>
  <c r="AN230" i="125"/>
  <c r="AN233" i="125"/>
  <c r="AN232" i="125"/>
  <c r="AN231" i="125"/>
  <c r="BL328" i="125"/>
  <c r="AV81" i="125"/>
  <c r="AV82" i="125"/>
  <c r="BA84" i="125"/>
  <c r="BA83" i="125"/>
  <c r="AZ83" i="125"/>
  <c r="AZ84" i="125"/>
  <c r="J84" i="125"/>
  <c r="J83" i="125"/>
  <c r="BO173" i="125"/>
  <c r="AX82" i="125"/>
  <c r="AX81" i="125"/>
  <c r="AF66" i="125"/>
  <c r="AE331" i="125"/>
  <c r="AG102" i="125"/>
  <c r="AG200" i="125"/>
  <c r="AG224" i="125" s="1"/>
  <c r="AJ224" i="125" s="1"/>
  <c r="AG179" i="125"/>
  <c r="AG260" i="125"/>
  <c r="BP279" i="125"/>
  <c r="AT169" i="125"/>
  <c r="AT226" i="125" s="1"/>
  <c r="AT231" i="125" s="1"/>
  <c r="N169" i="125"/>
  <c r="N226" i="125" s="1"/>
  <c r="AN296" i="125"/>
  <c r="AN297" i="125"/>
  <c r="AN309" i="125"/>
  <c r="AN311" i="125"/>
  <c r="AN312" i="125"/>
  <c r="AN310" i="125"/>
  <c r="BC84" i="125"/>
  <c r="BC83" i="125"/>
  <c r="AV78" i="125"/>
  <c r="AV77" i="125"/>
  <c r="BA82" i="125"/>
  <c r="BA81" i="125"/>
  <c r="AS316" i="125"/>
  <c r="AS317" i="125"/>
  <c r="AF33" i="125"/>
  <c r="AF329" i="125"/>
  <c r="AF340" i="125" s="1"/>
  <c r="AZ77" i="125"/>
  <c r="AZ78" i="125"/>
  <c r="J78" i="125"/>
  <c r="J77" i="125"/>
  <c r="BM22" i="125"/>
  <c r="AX77" i="125"/>
  <c r="AX78" i="125"/>
  <c r="BO100" i="125"/>
  <c r="H296" i="125"/>
  <c r="H297" i="125"/>
  <c r="H309" i="125"/>
  <c r="H311" i="125"/>
  <c r="H312" i="125"/>
  <c r="H310" i="125"/>
  <c r="BL224" i="125"/>
  <c r="BP224" i="125" s="1"/>
  <c r="AF145" i="125"/>
  <c r="AI15" i="125"/>
  <c r="AG180" i="125"/>
  <c r="AG329" i="125" s="1"/>
  <c r="AG340" i="125" s="1"/>
  <c r="AI340" i="125" s="1"/>
  <c r="AG181" i="125"/>
  <c r="AT90" i="125"/>
  <c r="AT147" i="125" s="1"/>
  <c r="AT152" i="125" s="1"/>
  <c r="N90" i="125"/>
  <c r="N147" i="125" s="1"/>
  <c r="BC78" i="125"/>
  <c r="BC77" i="125"/>
  <c r="AP79" i="125"/>
  <c r="AP80" i="125"/>
  <c r="AS79" i="125"/>
  <c r="AS80" i="125"/>
  <c r="BA78" i="125"/>
  <c r="BA77" i="125"/>
  <c r="AN344" i="125"/>
  <c r="AN345" i="125"/>
  <c r="BM100" i="125"/>
  <c r="BM121" i="125"/>
  <c r="BP121" i="125" s="1"/>
  <c r="H345" i="125"/>
  <c r="H344" i="125"/>
  <c r="AN138" i="125"/>
  <c r="AN139" i="125"/>
  <c r="AN151" i="125"/>
  <c r="AN154" i="125"/>
  <c r="AN153" i="125"/>
  <c r="AN152" i="125"/>
  <c r="N11" i="125"/>
  <c r="N68" i="125" s="1"/>
  <c r="AT11" i="125"/>
  <c r="AT68" i="125" s="1"/>
  <c r="AT73" i="125" s="1"/>
  <c r="BB84" i="125"/>
  <c r="BB83" i="125"/>
  <c r="L78" i="125"/>
  <c r="L77" i="125"/>
  <c r="AP82" i="125"/>
  <c r="AP81" i="125"/>
  <c r="AS82" i="125"/>
  <c r="AS81" i="125"/>
  <c r="BO15" i="125"/>
  <c r="BM200" i="125"/>
  <c r="BM224" i="125" s="1"/>
  <c r="BM179" i="125"/>
  <c r="AI252" i="125"/>
  <c r="AU82" i="125"/>
  <c r="AU81" i="125"/>
  <c r="I80" i="125"/>
  <c r="I79" i="125"/>
  <c r="BB82" i="125"/>
  <c r="BB81" i="125"/>
  <c r="AP84" i="125"/>
  <c r="AP83" i="125"/>
  <c r="AS238" i="125"/>
  <c r="AS237" i="125"/>
  <c r="AO79" i="125"/>
  <c r="AO80" i="125"/>
  <c r="AS84" i="125"/>
  <c r="AS83" i="125"/>
  <c r="H139" i="125"/>
  <c r="H138" i="125"/>
  <c r="H151" i="125"/>
  <c r="H154" i="125"/>
  <c r="H153" i="125"/>
  <c r="H152" i="125"/>
  <c r="AT84" i="125"/>
  <c r="AT83" i="125"/>
  <c r="BM42" i="125"/>
  <c r="BP42" i="125" s="1"/>
  <c r="BM21" i="125"/>
  <c r="BO21" i="125" s="1"/>
  <c r="BM102" i="125"/>
  <c r="BM181" i="125"/>
  <c r="BM260" i="125"/>
  <c r="BK331" i="125"/>
  <c r="AY84" i="125"/>
  <c r="AY83" i="125"/>
  <c r="BD83" i="125"/>
  <c r="BD84" i="125"/>
  <c r="AG121" i="125"/>
  <c r="AJ121" i="125" s="1"/>
  <c r="AG100" i="125"/>
  <c r="AW82" i="125"/>
  <c r="AW81" i="125"/>
  <c r="H60" i="125"/>
  <c r="H59" i="125"/>
  <c r="H72" i="125"/>
  <c r="H75" i="125"/>
  <c r="H74" i="125"/>
  <c r="H73" i="125"/>
  <c r="AU84" i="125"/>
  <c r="AU83" i="125"/>
  <c r="I83" i="125"/>
  <c r="I84" i="125"/>
  <c r="BB77" i="125"/>
  <c r="BB78" i="125"/>
  <c r="AP77" i="125"/>
  <c r="AP78" i="125"/>
  <c r="AO83" i="125"/>
  <c r="AO84" i="125"/>
  <c r="BL112" i="125"/>
  <c r="BO101" i="125"/>
  <c r="AS78" i="125"/>
  <c r="AS77" i="125"/>
  <c r="AR81" i="125"/>
  <c r="AR82" i="125"/>
  <c r="AT82" i="125"/>
  <c r="AT81" i="125"/>
  <c r="BM23" i="125"/>
  <c r="BO23" i="125" s="1"/>
  <c r="BM180" i="125"/>
  <c r="BM279" i="125"/>
  <c r="BM303" i="125" s="1"/>
  <c r="BP303" i="125" s="1"/>
  <c r="BM258" i="125"/>
  <c r="K82" i="125"/>
  <c r="K81" i="125"/>
  <c r="AS159" i="125"/>
  <c r="AS158" i="125"/>
  <c r="AY82" i="125"/>
  <c r="AY81" i="125"/>
  <c r="BL33" i="125"/>
  <c r="BL329" i="125"/>
  <c r="BL340" i="125" s="1"/>
  <c r="BD81" i="125"/>
  <c r="BD82" i="125"/>
  <c r="AF330" i="125"/>
  <c r="AG21" i="125"/>
  <c r="AG42" i="125"/>
  <c r="AG66" i="125" s="1"/>
  <c r="AI94" i="125"/>
  <c r="AI173" i="125"/>
  <c r="AW83" i="125"/>
  <c r="AW84" i="125"/>
  <c r="BP39" i="120"/>
  <c r="AF328" i="125"/>
  <c r="AU78" i="125"/>
  <c r="AU77" i="125"/>
  <c r="I81" i="125"/>
  <c r="I82" i="125"/>
  <c r="H217" i="125"/>
  <c r="H218" i="125"/>
  <c r="H230" i="125"/>
  <c r="H232" i="125"/>
  <c r="H233" i="125"/>
  <c r="H231" i="125"/>
  <c r="AO82" i="125"/>
  <c r="AO81" i="125"/>
  <c r="BL330" i="125"/>
  <c r="AR83" i="125"/>
  <c r="AR84" i="125"/>
  <c r="AQ84" i="125"/>
  <c r="AQ83" i="125"/>
  <c r="AT77" i="125"/>
  <c r="AT78" i="125"/>
  <c r="J79" i="125"/>
  <c r="J80" i="125"/>
  <c r="BM259" i="125"/>
  <c r="BM270" i="125" s="1"/>
  <c r="K84" i="125"/>
  <c r="K83" i="125"/>
  <c r="AY77" i="125"/>
  <c r="AY78" i="125"/>
  <c r="AG23" i="125"/>
  <c r="AW78" i="125"/>
  <c r="AW77" i="125"/>
  <c r="I77" i="125"/>
  <c r="I78" i="125"/>
  <c r="AO78" i="125"/>
  <c r="AO77" i="125"/>
  <c r="AR77" i="125"/>
  <c r="AR78" i="125"/>
  <c r="AQ81" i="125"/>
  <c r="AQ82" i="125"/>
  <c r="AV83" i="125"/>
  <c r="AV84" i="125"/>
  <c r="AI102" i="125"/>
  <c r="AZ81" i="125"/>
  <c r="AZ82" i="125"/>
  <c r="J82" i="125"/>
  <c r="J81" i="125"/>
  <c r="BM66" i="125"/>
  <c r="BP66" i="125" s="1"/>
  <c r="K77" i="125"/>
  <c r="K78" i="125"/>
  <c r="AX84" i="125"/>
  <c r="AX83" i="125"/>
  <c r="AG33" i="125"/>
  <c r="AG279" i="125"/>
  <c r="AG303" i="125" s="1"/>
  <c r="AJ303" i="125" s="1"/>
  <c r="AG258" i="125"/>
  <c r="AN59" i="125"/>
  <c r="AN60" i="125"/>
  <c r="AN72" i="125"/>
  <c r="AN75" i="125"/>
  <c r="AN74" i="125"/>
  <c r="AN73" i="125"/>
  <c r="BK190" i="124"/>
  <c r="BK210" i="124" s="1"/>
  <c r="BJ125" i="124"/>
  <c r="BJ133" i="124" s="1"/>
  <c r="AD282" i="124"/>
  <c r="BJ125" i="120"/>
  <c r="BJ133" i="120" s="1"/>
  <c r="BJ203" i="120"/>
  <c r="BJ204" i="120"/>
  <c r="BJ212" i="120" s="1"/>
  <c r="BI333" i="124"/>
  <c r="BI341" i="124" s="1"/>
  <c r="BI342" i="124" s="1"/>
  <c r="BJ54" i="124"/>
  <c r="AD291" i="124"/>
  <c r="BK271" i="120"/>
  <c r="AD54" i="124"/>
  <c r="AD335" i="124"/>
  <c r="N90" i="124"/>
  <c r="N147" i="124" s="1"/>
  <c r="N152" i="124" s="1"/>
  <c r="AT90" i="124"/>
  <c r="AT147" i="124" s="1"/>
  <c r="AT152" i="124" s="1"/>
  <c r="AJ64" i="120"/>
  <c r="BI139" i="124"/>
  <c r="BI138" i="124"/>
  <c r="BI151" i="124"/>
  <c r="BI153" i="124"/>
  <c r="BI154" i="124"/>
  <c r="BL253" i="120"/>
  <c r="BL254" i="120" s="1"/>
  <c r="BL290" i="120" s="1"/>
  <c r="BL263" i="120"/>
  <c r="BL269" i="120" s="1"/>
  <c r="BL264" i="120"/>
  <c r="BL307" i="120" a="1"/>
  <c r="BL307" i="120" s="1"/>
  <c r="BL306" i="120" a="1"/>
  <c r="BL306" i="120" s="1"/>
  <c r="BL259" i="120"/>
  <c r="BL270" i="120" s="1"/>
  <c r="BL279" i="120"/>
  <c r="BL293" i="120"/>
  <c r="BP293" i="120" s="1"/>
  <c r="AC333" i="124"/>
  <c r="BA77" i="124"/>
  <c r="BA78" i="124"/>
  <c r="AX78" i="124"/>
  <c r="AX77" i="124"/>
  <c r="AT77" i="124"/>
  <c r="AT78" i="124"/>
  <c r="BI60" i="124"/>
  <c r="BI59" i="124"/>
  <c r="BI72" i="124"/>
  <c r="BI74" i="124"/>
  <c r="BI75" i="124"/>
  <c r="O81" i="124"/>
  <c r="O82" i="124"/>
  <c r="X78" i="124"/>
  <c r="X77" i="124"/>
  <c r="AR78" i="124"/>
  <c r="AR77" i="124"/>
  <c r="AN217" i="124"/>
  <c r="AN218" i="124"/>
  <c r="AN230" i="124"/>
  <c r="AN233" i="124"/>
  <c r="AN232" i="124"/>
  <c r="AN231" i="124"/>
  <c r="V81" i="124"/>
  <c r="V82" i="124"/>
  <c r="AE211" i="124"/>
  <c r="BK125" i="124"/>
  <c r="BK133" i="124" s="1"/>
  <c r="I81" i="124"/>
  <c r="I82" i="124"/>
  <c r="BH318" i="124"/>
  <c r="BH319" i="124"/>
  <c r="BJ281" i="120"/>
  <c r="BJ284" i="120" s="1"/>
  <c r="AQ81" i="124"/>
  <c r="AQ82" i="124"/>
  <c r="AD126" i="124"/>
  <c r="P81" i="124"/>
  <c r="P82" i="124"/>
  <c r="AS238" i="124"/>
  <c r="AS237" i="124"/>
  <c r="AW81" i="124"/>
  <c r="AW82" i="124"/>
  <c r="AF148" i="124" a="1"/>
  <c r="AF148" i="124" s="1"/>
  <c r="AF149" i="124" a="1"/>
  <c r="AF149" i="124" s="1"/>
  <c r="AF95" i="124"/>
  <c r="AF96" i="124" s="1"/>
  <c r="AF105" i="124"/>
  <c r="AF106" i="124"/>
  <c r="AG301" i="124"/>
  <c r="AG302" i="124"/>
  <c r="AG276" i="124"/>
  <c r="AG259" i="124" s="1"/>
  <c r="AG270" i="124" s="1"/>
  <c r="AG278" i="124"/>
  <c r="AG293" i="124" s="1"/>
  <c r="AG277" i="124"/>
  <c r="AJ277" i="124" s="1"/>
  <c r="AG275" i="124"/>
  <c r="AJ275" i="124" s="1"/>
  <c r="AG252" i="124"/>
  <c r="AG222" i="124"/>
  <c r="AG199" i="124"/>
  <c r="AG214" i="124" s="1"/>
  <c r="AG197" i="124"/>
  <c r="AG198" i="124"/>
  <c r="AG196" i="124"/>
  <c r="AG223" i="124"/>
  <c r="AG143" i="124"/>
  <c r="AG173" i="124"/>
  <c r="AG144" i="124"/>
  <c r="AG120" i="124"/>
  <c r="AG135" i="124" s="1"/>
  <c r="AG118" i="124"/>
  <c r="AJ118" i="124" s="1"/>
  <c r="AG119" i="124"/>
  <c r="AG117" i="124"/>
  <c r="AG64" i="124"/>
  <c r="AG94" i="124"/>
  <c r="AI94" i="124" s="1"/>
  <c r="AG65" i="124"/>
  <c r="AG40" i="124"/>
  <c r="AJ40" i="124" s="1"/>
  <c r="AG38" i="124"/>
  <c r="AJ38" i="124" s="1"/>
  <c r="AG15" i="124"/>
  <c r="AG39" i="124"/>
  <c r="AG41" i="124"/>
  <c r="AG56" i="124" s="1"/>
  <c r="AG170" i="124"/>
  <c r="AG91" i="124"/>
  <c r="AG249" i="124"/>
  <c r="AG12" i="124"/>
  <c r="AF100" i="124"/>
  <c r="AF121" i="124"/>
  <c r="AF145" i="124" s="1"/>
  <c r="AF179" i="124"/>
  <c r="AF200" i="124"/>
  <c r="AJ196" i="124"/>
  <c r="AF293" i="124"/>
  <c r="AJ293" i="124" s="1"/>
  <c r="BK183" i="120"/>
  <c r="BL70" i="124" a="1"/>
  <c r="BL70" i="124" s="1"/>
  <c r="BL26" i="124"/>
  <c r="BL27" i="124"/>
  <c r="BL69" i="124" a="1"/>
  <c r="BL69" i="124" s="1"/>
  <c r="BL16" i="124"/>
  <c r="BL17" i="124" s="1"/>
  <c r="BL121" i="124"/>
  <c r="BL100" i="124"/>
  <c r="BL200" i="124"/>
  <c r="BL179" i="124"/>
  <c r="BL259" i="124"/>
  <c r="BL270" i="124" s="1"/>
  <c r="AS316" i="124"/>
  <c r="AS317" i="124"/>
  <c r="AO80" i="124"/>
  <c r="AO79" i="124"/>
  <c r="AV82" i="124"/>
  <c r="AV81" i="124"/>
  <c r="BH161" i="124"/>
  <c r="BH160" i="124"/>
  <c r="BK112" i="124"/>
  <c r="AS84" i="124"/>
  <c r="AS83" i="124"/>
  <c r="H60" i="124"/>
  <c r="H59" i="124"/>
  <c r="H72" i="124"/>
  <c r="H74" i="124"/>
  <c r="H75" i="124"/>
  <c r="H73" i="124"/>
  <c r="J79" i="124"/>
  <c r="J80" i="124"/>
  <c r="BL184" i="120"/>
  <c r="BL183" i="120" s="1"/>
  <c r="BL185" i="120"/>
  <c r="BL174" i="120"/>
  <c r="BL228" i="120" a="1"/>
  <c r="BL228" i="120" s="1"/>
  <c r="BL227" i="120" a="1"/>
  <c r="BL227" i="120" s="1"/>
  <c r="BL179" i="120"/>
  <c r="BL200" i="120"/>
  <c r="AD331" i="124"/>
  <c r="AD287" i="124"/>
  <c r="AD289" i="124"/>
  <c r="BK53" i="124"/>
  <c r="AE203" i="124"/>
  <c r="AE183" i="124"/>
  <c r="AE202" i="124" s="1"/>
  <c r="O83" i="124"/>
  <c r="O84" i="124"/>
  <c r="BE81" i="124"/>
  <c r="BE82" i="124"/>
  <c r="AN60" i="124"/>
  <c r="AN59" i="124"/>
  <c r="AN72" i="124"/>
  <c r="AN74" i="124"/>
  <c r="AN75" i="124"/>
  <c r="AN73" i="124"/>
  <c r="V77" i="124"/>
  <c r="V78" i="124"/>
  <c r="N81" i="124"/>
  <c r="N82" i="124"/>
  <c r="BK124" i="124"/>
  <c r="BK104" i="124"/>
  <c r="BK123" i="124" s="1"/>
  <c r="I84" i="124"/>
  <c r="I83" i="124"/>
  <c r="BH315" i="124"/>
  <c r="BH314" i="124"/>
  <c r="BJ129" i="124"/>
  <c r="BJ109" i="124" s="1"/>
  <c r="BJ131" i="124"/>
  <c r="AQ83" i="124"/>
  <c r="AQ84" i="124"/>
  <c r="P78" i="124"/>
  <c r="P77" i="124"/>
  <c r="S83" i="124"/>
  <c r="S84" i="124"/>
  <c r="AD281" i="124"/>
  <c r="AS237" i="120"/>
  <c r="AS238" i="120"/>
  <c r="AW83" i="124"/>
  <c r="AW84" i="124"/>
  <c r="AF184" i="124"/>
  <c r="AF228" i="124" a="1"/>
  <c r="AF228" i="124" s="1"/>
  <c r="AF227" i="124" a="1"/>
  <c r="AF227" i="124" s="1"/>
  <c r="AF185" i="124"/>
  <c r="AF174" i="124"/>
  <c r="AF175" i="124" s="1"/>
  <c r="AF211" i="124" s="1"/>
  <c r="AF101" i="124"/>
  <c r="AF279" i="124"/>
  <c r="AF258" i="124"/>
  <c r="BK175" i="120"/>
  <c r="BK211" i="120" s="1"/>
  <c r="BK32" i="124"/>
  <c r="BK328" i="124"/>
  <c r="BJ123" i="124"/>
  <c r="AZ81" i="124"/>
  <c r="AZ82" i="124"/>
  <c r="BJ211" i="120"/>
  <c r="BK254" i="120"/>
  <c r="BK282" i="120" s="1"/>
  <c r="BL228" i="124" a="1"/>
  <c r="BL228" i="124" s="1"/>
  <c r="BL185" i="124"/>
  <c r="BL227" i="124" a="1"/>
  <c r="BL227" i="124" s="1"/>
  <c r="BL184" i="124"/>
  <c r="BL174" i="124"/>
  <c r="BL175" i="124" s="1"/>
  <c r="BM301" i="124"/>
  <c r="BP301" i="124" s="1"/>
  <c r="BM277" i="124"/>
  <c r="BM302" i="124"/>
  <c r="BM275" i="124"/>
  <c r="BP275" i="124" s="1"/>
  <c r="BM276" i="124"/>
  <c r="BM278" i="124"/>
  <c r="BM293" i="124" s="1"/>
  <c r="BP293" i="124" s="1"/>
  <c r="BM252" i="124"/>
  <c r="BM223" i="124"/>
  <c r="BM222" i="124"/>
  <c r="BM198" i="124"/>
  <c r="BM196" i="124"/>
  <c r="BP196" i="124" s="1"/>
  <c r="BM199" i="124"/>
  <c r="BM214" i="124" s="1"/>
  <c r="BP214" i="124" s="1"/>
  <c r="BM197" i="124"/>
  <c r="BP197" i="124" s="1"/>
  <c r="BM144" i="124"/>
  <c r="BM143" i="124"/>
  <c r="BM173" i="124"/>
  <c r="BM119" i="124"/>
  <c r="BP119" i="124" s="1"/>
  <c r="BM117" i="124"/>
  <c r="BP117" i="124" s="1"/>
  <c r="BM118" i="124"/>
  <c r="BM94" i="124"/>
  <c r="BM120" i="124"/>
  <c r="BM65" i="124"/>
  <c r="BM64" i="124"/>
  <c r="BM15" i="124"/>
  <c r="BM41" i="124"/>
  <c r="BM39" i="124"/>
  <c r="BM40" i="124"/>
  <c r="BM38" i="124"/>
  <c r="BP38" i="124" s="1"/>
  <c r="BM249" i="124"/>
  <c r="BM91" i="124"/>
  <c r="BM12" i="124"/>
  <c r="BM170" i="124"/>
  <c r="BL102" i="124"/>
  <c r="BL181" i="124"/>
  <c r="BP198" i="124"/>
  <c r="AD45" i="124"/>
  <c r="AO81" i="124"/>
  <c r="AO82" i="124"/>
  <c r="AV77" i="124"/>
  <c r="AV78" i="124"/>
  <c r="BH320" i="120"/>
  <c r="BH321" i="120"/>
  <c r="AE32" i="124"/>
  <c r="AE328" i="124"/>
  <c r="BH163" i="124"/>
  <c r="BH162" i="124"/>
  <c r="R81" i="124"/>
  <c r="R82" i="124"/>
  <c r="AS77" i="124"/>
  <c r="AS78" i="124"/>
  <c r="AJ117" i="124"/>
  <c r="AT248" i="120"/>
  <c r="AT305" i="120" s="1"/>
  <c r="AT310" i="120" s="1"/>
  <c r="N248" i="124"/>
  <c r="N305" i="124" s="1"/>
  <c r="N310" i="124" s="1"/>
  <c r="AT248" i="124"/>
  <c r="AT305" i="124" s="1"/>
  <c r="AT310" i="124" s="1"/>
  <c r="AY81" i="124"/>
  <c r="AY82" i="124"/>
  <c r="BD82" i="124"/>
  <c r="BD81" i="124"/>
  <c r="J84" i="124"/>
  <c r="J83" i="124"/>
  <c r="AU83" i="124"/>
  <c r="AU84" i="124"/>
  <c r="AD52" i="124"/>
  <c r="AD50" i="124"/>
  <c r="AD30" i="124" s="1"/>
  <c r="AP80" i="124"/>
  <c r="AP79" i="124"/>
  <c r="BB83" i="124"/>
  <c r="BB84" i="124"/>
  <c r="BJ212" i="124"/>
  <c r="BJ215" i="124" s="1"/>
  <c r="BI218" i="124"/>
  <c r="BI217" i="124"/>
  <c r="BI230" i="124"/>
  <c r="BI232" i="124"/>
  <c r="BI233" i="124"/>
  <c r="O78" i="124"/>
  <c r="O77" i="124"/>
  <c r="BE77" i="124"/>
  <c r="BE78" i="124"/>
  <c r="N83" i="124"/>
  <c r="N84" i="124"/>
  <c r="I78" i="124"/>
  <c r="I77" i="124"/>
  <c r="U83" i="124"/>
  <c r="U84" i="124"/>
  <c r="BJ192" i="120"/>
  <c r="BJ202" i="120"/>
  <c r="AQ78" i="124"/>
  <c r="AQ77" i="124"/>
  <c r="BK204" i="124"/>
  <c r="BK212" i="124" s="1"/>
  <c r="BF83" i="124"/>
  <c r="BF84" i="124"/>
  <c r="S81" i="124"/>
  <c r="S82" i="124"/>
  <c r="BI297" i="124"/>
  <c r="BI296" i="124"/>
  <c r="BI309" i="124"/>
  <c r="BI311" i="124"/>
  <c r="BI312" i="124"/>
  <c r="AC212" i="124"/>
  <c r="AC215" i="124" s="1"/>
  <c r="AC335" i="124"/>
  <c r="AW77" i="124"/>
  <c r="AW78" i="124"/>
  <c r="AF70" i="124" a="1"/>
  <c r="AF70" i="124" s="1"/>
  <c r="AF26" i="124"/>
  <c r="AF16" i="124"/>
  <c r="AF17" i="124" s="1"/>
  <c r="AF69" i="124" a="1"/>
  <c r="AF69" i="124" s="1"/>
  <c r="AF27" i="124"/>
  <c r="AF22" i="124"/>
  <c r="AJ39" i="124"/>
  <c r="AF135" i="124"/>
  <c r="AJ135" i="124" s="1"/>
  <c r="AJ120" i="124"/>
  <c r="AF214" i="124"/>
  <c r="AJ214" i="124" s="1"/>
  <c r="AJ199" i="124"/>
  <c r="AF260" i="124"/>
  <c r="BJ208" i="120"/>
  <c r="BJ188" i="120" s="1"/>
  <c r="AZ84" i="124"/>
  <c r="AZ83" i="124"/>
  <c r="W83" i="124"/>
  <c r="W84" i="124"/>
  <c r="BK269" i="120"/>
  <c r="BL306" i="124" a="1"/>
  <c r="BL306" i="124" s="1"/>
  <c r="BL253" i="124"/>
  <c r="BL254" i="124" s="1"/>
  <c r="BL263" i="124"/>
  <c r="BL264" i="124"/>
  <c r="BL307" i="124" a="1"/>
  <c r="BL307" i="124" s="1"/>
  <c r="BL42" i="124"/>
  <c r="BL66" i="124" s="1"/>
  <c r="BL21" i="124"/>
  <c r="BL180" i="124"/>
  <c r="BL224" i="124"/>
  <c r="BP222" i="124"/>
  <c r="BG320" i="124"/>
  <c r="BG321" i="124"/>
  <c r="AO83" i="124"/>
  <c r="AO84" i="124"/>
  <c r="BH314" i="120"/>
  <c r="BH315" i="120"/>
  <c r="BH156" i="124"/>
  <c r="BH157" i="124"/>
  <c r="BP278" i="124"/>
  <c r="R84" i="124"/>
  <c r="R83" i="124"/>
  <c r="BM199" i="120"/>
  <c r="BM277" i="120"/>
  <c r="BM196" i="120"/>
  <c r="BM278" i="120"/>
  <c r="BM252" i="120"/>
  <c r="BM301" i="120"/>
  <c r="BM197" i="120"/>
  <c r="BM275" i="120"/>
  <c r="BM173" i="120"/>
  <c r="BM302" i="120"/>
  <c r="BM198" i="120"/>
  <c r="BM223" i="120"/>
  <c r="BM144" i="120"/>
  <c r="BM276" i="120"/>
  <c r="BM222" i="120"/>
  <c r="BM143" i="120"/>
  <c r="BM170" i="120"/>
  <c r="BM249" i="120"/>
  <c r="BJ132" i="124"/>
  <c r="AY83" i="124"/>
  <c r="AY84" i="124"/>
  <c r="BD77" i="124"/>
  <c r="BD78" i="124"/>
  <c r="J81" i="124"/>
  <c r="J82" i="124"/>
  <c r="AU82" i="124"/>
  <c r="AU81" i="124"/>
  <c r="AB163" i="124"/>
  <c r="AB162" i="124"/>
  <c r="BL260" i="120"/>
  <c r="AP83" i="124"/>
  <c r="AP84" i="124"/>
  <c r="BB81" i="124"/>
  <c r="BB82" i="124"/>
  <c r="AB82" i="124"/>
  <c r="AB81" i="124"/>
  <c r="AN138" i="124"/>
  <c r="AN139" i="124"/>
  <c r="AN151" i="124"/>
  <c r="AN154" i="124"/>
  <c r="AN153" i="124"/>
  <c r="AN152" i="124"/>
  <c r="BE83" i="124"/>
  <c r="BE84" i="124"/>
  <c r="AA81" i="124"/>
  <c r="AA82" i="124"/>
  <c r="AE53" i="124"/>
  <c r="N77" i="124"/>
  <c r="N78" i="124"/>
  <c r="U82" i="124"/>
  <c r="U81" i="124"/>
  <c r="BH236" i="124"/>
  <c r="BH235" i="124"/>
  <c r="BH240" i="120"/>
  <c r="BH239" i="120"/>
  <c r="AE45" i="124"/>
  <c r="AE25" i="124"/>
  <c r="AE34" i="124" s="1"/>
  <c r="BF81" i="124"/>
  <c r="BF82" i="124"/>
  <c r="S77" i="124"/>
  <c r="S78" i="124"/>
  <c r="BH84" i="124"/>
  <c r="BH83" i="124"/>
  <c r="AF264" i="124"/>
  <c r="AF253" i="124"/>
  <c r="AF254" i="124" s="1"/>
  <c r="AF307" i="124" a="1"/>
  <c r="AF307" i="124" s="1"/>
  <c r="AF263" i="124"/>
  <c r="AF306" i="124" a="1"/>
  <c r="AF306" i="124" s="1"/>
  <c r="AF56" i="124"/>
  <c r="AJ56" i="124" s="1"/>
  <c r="AJ41" i="124"/>
  <c r="AF303" i="124"/>
  <c r="AJ301" i="124"/>
  <c r="T82" i="124"/>
  <c r="T81" i="124"/>
  <c r="AZ78" i="124"/>
  <c r="AZ77" i="124"/>
  <c r="BI297" i="120"/>
  <c r="BI296" i="120"/>
  <c r="BI309" i="120"/>
  <c r="BI312" i="120"/>
  <c r="BI311" i="120"/>
  <c r="W81" i="124"/>
  <c r="W82" i="124"/>
  <c r="AD131" i="124"/>
  <c r="AD129" i="124"/>
  <c r="AE330" i="124"/>
  <c r="BL23" i="124"/>
  <c r="BP40" i="124"/>
  <c r="BL145" i="124"/>
  <c r="BP143" i="124"/>
  <c r="AD192" i="124"/>
  <c r="BG318" i="124"/>
  <c r="BG319" i="124"/>
  <c r="H139" i="124"/>
  <c r="H138" i="124"/>
  <c r="H151" i="124"/>
  <c r="H154" i="124"/>
  <c r="H153" i="124"/>
  <c r="H152" i="124"/>
  <c r="AO77" i="124"/>
  <c r="AO78" i="124"/>
  <c r="R77" i="124"/>
  <c r="R78" i="124"/>
  <c r="BP64" i="120"/>
  <c r="AS159" i="120"/>
  <c r="K81" i="124"/>
  <c r="K82" i="124"/>
  <c r="Y84" i="124"/>
  <c r="Y83" i="124"/>
  <c r="AY78" i="124"/>
  <c r="AY77" i="124"/>
  <c r="BD83" i="124"/>
  <c r="BD84" i="124"/>
  <c r="M83" i="124"/>
  <c r="M84" i="124"/>
  <c r="Q81" i="124"/>
  <c r="Q82" i="124"/>
  <c r="J77" i="124"/>
  <c r="J78" i="124"/>
  <c r="AU77" i="124"/>
  <c r="AU78" i="124"/>
  <c r="AB160" i="124"/>
  <c r="AB161" i="124"/>
  <c r="H218" i="124"/>
  <c r="H217" i="124"/>
  <c r="H230" i="124"/>
  <c r="H233" i="124"/>
  <c r="H232" i="124"/>
  <c r="H231" i="124"/>
  <c r="AP81" i="124"/>
  <c r="AP82" i="124"/>
  <c r="BB77" i="124"/>
  <c r="BB78" i="124"/>
  <c r="AB83" i="124"/>
  <c r="AB84" i="124"/>
  <c r="AD340" i="124"/>
  <c r="BJ284" i="124"/>
  <c r="AA83" i="124"/>
  <c r="AA84" i="124"/>
  <c r="AN297" i="124"/>
  <c r="AN296" i="124"/>
  <c r="AN309" i="124"/>
  <c r="AN311" i="124"/>
  <c r="AN312" i="124"/>
  <c r="AN310" i="124"/>
  <c r="AB239" i="124"/>
  <c r="AB240" i="124"/>
  <c r="AE125" i="124"/>
  <c r="U77" i="124"/>
  <c r="U78" i="124"/>
  <c r="BH239" i="124"/>
  <c r="BH240" i="124"/>
  <c r="BJ287" i="120"/>
  <c r="BJ267" i="120" s="1"/>
  <c r="BJ289" i="120"/>
  <c r="BJ294" i="120" s="1"/>
  <c r="BH242" i="120"/>
  <c r="BH241" i="120"/>
  <c r="BI218" i="120"/>
  <c r="BI217" i="120"/>
  <c r="BI230" i="120"/>
  <c r="BI232" i="120"/>
  <c r="BI233" i="120"/>
  <c r="BF78" i="124"/>
  <c r="BF77" i="124"/>
  <c r="BG78" i="124"/>
  <c r="BG77" i="124"/>
  <c r="BH81" i="124"/>
  <c r="BH82" i="124"/>
  <c r="AE269" i="124"/>
  <c r="AJ143" i="124"/>
  <c r="AF224" i="124"/>
  <c r="AJ222" i="124"/>
  <c r="BG345" i="124"/>
  <c r="BG344" i="124"/>
  <c r="T83" i="124"/>
  <c r="T84" i="124"/>
  <c r="Z81" i="124"/>
  <c r="Z82" i="124"/>
  <c r="W78" i="124"/>
  <c r="W77" i="124"/>
  <c r="BL22" i="124"/>
  <c r="BP39" i="124"/>
  <c r="BG315" i="124"/>
  <c r="BG314" i="124"/>
  <c r="BJ271" i="124"/>
  <c r="AT169" i="124"/>
  <c r="AT226" i="124" s="1"/>
  <c r="AT231" i="124" s="1"/>
  <c r="N169" i="124"/>
  <c r="N226" i="124" s="1"/>
  <c r="N231" i="124" s="1"/>
  <c r="AT169" i="120"/>
  <c r="AT226" i="120" s="1"/>
  <c r="AT231" i="120" s="1"/>
  <c r="N11" i="124"/>
  <c r="N68" i="124" s="1"/>
  <c r="N73" i="124" s="1"/>
  <c r="AT11" i="124"/>
  <c r="AT68" i="124" s="1"/>
  <c r="AT73" i="124" s="1"/>
  <c r="K83" i="124"/>
  <c r="K84" i="124"/>
  <c r="Y81" i="124"/>
  <c r="Y82" i="124"/>
  <c r="AB344" i="124"/>
  <c r="AB345" i="124"/>
  <c r="M82" i="124"/>
  <c r="M81" i="124"/>
  <c r="Q84" i="124"/>
  <c r="Q83" i="124"/>
  <c r="AB157" i="124"/>
  <c r="AB156" i="124"/>
  <c r="BL180" i="120"/>
  <c r="BL191" i="120" s="1"/>
  <c r="AP78" i="124"/>
  <c r="AP77" i="124"/>
  <c r="AB77" i="124"/>
  <c r="AB78" i="124"/>
  <c r="AD53" i="124"/>
  <c r="AE190" i="124"/>
  <c r="BC83" i="124"/>
  <c r="BC84" i="124"/>
  <c r="AA77" i="124"/>
  <c r="AA78" i="124"/>
  <c r="AB242" i="124"/>
  <c r="AB241" i="124"/>
  <c r="AD205" i="124"/>
  <c r="BH241" i="124"/>
  <c r="BH242" i="124"/>
  <c r="L83" i="124"/>
  <c r="L84" i="124"/>
  <c r="BH235" i="120"/>
  <c r="BH236" i="120"/>
  <c r="AE46" i="124"/>
  <c r="AE54" i="124" s="1"/>
  <c r="BK111" i="124"/>
  <c r="BK203" i="124"/>
  <c r="BK183" i="124"/>
  <c r="BK202" i="124" s="1"/>
  <c r="BG83" i="124"/>
  <c r="BG84" i="124"/>
  <c r="BH78" i="124"/>
  <c r="BH77" i="124"/>
  <c r="AF66" i="124"/>
  <c r="AJ64" i="124"/>
  <c r="BK45" i="124"/>
  <c r="BK25" i="124"/>
  <c r="BK34" i="124" s="1"/>
  <c r="T77" i="124"/>
  <c r="T78" i="124"/>
  <c r="Z77" i="124"/>
  <c r="Z78" i="124"/>
  <c r="AD271" i="124"/>
  <c r="BL260" i="124"/>
  <c r="BP277" i="124"/>
  <c r="BP276" i="124"/>
  <c r="BJ53" i="124"/>
  <c r="AF101" i="120"/>
  <c r="AF112" i="120" s="1"/>
  <c r="K77" i="124"/>
  <c r="K78" i="124"/>
  <c r="Y78" i="124"/>
  <c r="Y77" i="124"/>
  <c r="M77" i="124"/>
  <c r="M78" i="124"/>
  <c r="Q78" i="124"/>
  <c r="Q77" i="124"/>
  <c r="BL303" i="120"/>
  <c r="BA84" i="124"/>
  <c r="BA83" i="124"/>
  <c r="AE282" i="124"/>
  <c r="AE262" i="124"/>
  <c r="AE281" i="124" s="1"/>
  <c r="AX81" i="124"/>
  <c r="AX82" i="124"/>
  <c r="AE204" i="124"/>
  <c r="AE212" i="124" s="1"/>
  <c r="AT83" i="124"/>
  <c r="AT84" i="124"/>
  <c r="BC82" i="124"/>
  <c r="BC81" i="124"/>
  <c r="X83" i="124"/>
  <c r="X84" i="124"/>
  <c r="AR84" i="124"/>
  <c r="AR83" i="124"/>
  <c r="AB235" i="124"/>
  <c r="AB236" i="124"/>
  <c r="L82" i="124"/>
  <c r="L81" i="124"/>
  <c r="BG81" i="124"/>
  <c r="BG82" i="124"/>
  <c r="BJ331" i="124"/>
  <c r="AE111" i="124"/>
  <c r="AF21" i="124"/>
  <c r="AF42" i="124"/>
  <c r="AF102" i="124"/>
  <c r="AJ119" i="124"/>
  <c r="AF181" i="124"/>
  <c r="AJ198" i="124"/>
  <c r="BK269" i="124"/>
  <c r="BK46" i="124"/>
  <c r="BK54" i="124" s="1"/>
  <c r="Z84" i="124"/>
  <c r="Z83" i="124"/>
  <c r="M79" i="124"/>
  <c r="M80" i="124"/>
  <c r="AN344" i="124"/>
  <c r="AN345" i="124"/>
  <c r="AS316" i="120"/>
  <c r="AS317" i="120"/>
  <c r="BJ294" i="124"/>
  <c r="BJ205" i="124"/>
  <c r="AS158" i="124"/>
  <c r="AS159" i="124"/>
  <c r="H297" i="124"/>
  <c r="H296" i="124"/>
  <c r="H309" i="124"/>
  <c r="H311" i="124"/>
  <c r="H312" i="124"/>
  <c r="H310" i="124"/>
  <c r="BJ44" i="124"/>
  <c r="BL224" i="120"/>
  <c r="BA81" i="124"/>
  <c r="BA82" i="124"/>
  <c r="AE283" i="124"/>
  <c r="AE291" i="124" s="1"/>
  <c r="AX83" i="124"/>
  <c r="AX84" i="124"/>
  <c r="H345" i="124"/>
  <c r="H344" i="124"/>
  <c r="AT81" i="124"/>
  <c r="AT82" i="124"/>
  <c r="BK262" i="124"/>
  <c r="BC77" i="124"/>
  <c r="BC78" i="124"/>
  <c r="X81" i="124"/>
  <c r="X82" i="124"/>
  <c r="AR81" i="124"/>
  <c r="AR82" i="124"/>
  <c r="V83" i="124"/>
  <c r="V84" i="124"/>
  <c r="AE124" i="124"/>
  <c r="AE104" i="124"/>
  <c r="AE123" i="124" s="1"/>
  <c r="I79" i="124"/>
  <c r="I80" i="124"/>
  <c r="BH320" i="124"/>
  <c r="BH321" i="124"/>
  <c r="L77" i="124"/>
  <c r="L78" i="124"/>
  <c r="BK330" i="124"/>
  <c r="P83" i="124"/>
  <c r="P84" i="124"/>
  <c r="BJ52" i="124"/>
  <c r="BJ50" i="124"/>
  <c r="AC296" i="124"/>
  <c r="AC297" i="124"/>
  <c r="AC309" i="124"/>
  <c r="AC311" i="124"/>
  <c r="AC312" i="124"/>
  <c r="M237" i="124"/>
  <c r="M238" i="124"/>
  <c r="AF23" i="124"/>
  <c r="AF259" i="124"/>
  <c r="AJ276" i="124"/>
  <c r="AS79" i="124"/>
  <c r="AS80" i="124"/>
  <c r="BK254" i="124"/>
  <c r="BK282" i="124" s="1"/>
  <c r="BL106" i="124"/>
  <c r="BL105" i="124"/>
  <c r="BL148" i="124" a="1"/>
  <c r="BL148" i="124" s="1"/>
  <c r="BL95" i="124"/>
  <c r="BL96" i="124" s="1"/>
  <c r="BL149" i="124" a="1"/>
  <c r="BL149" i="124" s="1"/>
  <c r="BP64" i="124"/>
  <c r="BL101" i="124"/>
  <c r="BL112" i="124" s="1"/>
  <c r="BP118" i="124"/>
  <c r="BL279" i="124"/>
  <c r="BL258" i="124"/>
  <c r="AD44" i="124"/>
  <c r="M316" i="124"/>
  <c r="M317" i="124"/>
  <c r="AV83" i="124"/>
  <c r="AV84" i="124"/>
  <c r="BK270" i="124"/>
  <c r="AS81" i="124"/>
  <c r="AS82" i="124"/>
  <c r="M158" i="124"/>
  <c r="M159" i="124"/>
  <c r="BH139" i="120"/>
  <c r="BH151" i="120"/>
  <c r="BH154" i="120"/>
  <c r="BH153" i="120"/>
  <c r="BL148" i="120" a="1"/>
  <c r="BL148" i="120" s="1"/>
  <c r="BL149" i="120" a="1"/>
  <c r="BL149" i="120" s="1"/>
  <c r="BG163" i="120"/>
  <c r="BG162" i="120"/>
  <c r="BG161" i="120"/>
  <c r="BG160" i="120"/>
  <c r="BG157" i="120"/>
  <c r="BG156" i="120"/>
  <c r="BH60" i="120"/>
  <c r="BH72" i="120"/>
  <c r="BH77" i="120" s="1"/>
  <c r="BH75" i="120"/>
  <c r="BH84" i="120" s="1"/>
  <c r="BH74" i="120"/>
  <c r="BH81" i="120" s="1"/>
  <c r="AM72" i="120"/>
  <c r="AM75" i="120"/>
  <c r="AM74" i="120"/>
  <c r="AM73" i="120"/>
  <c r="AE269" i="120"/>
  <c r="AE287" i="120" s="1"/>
  <c r="AE267" i="120" s="1"/>
  <c r="AC309" i="120"/>
  <c r="AC311" i="120"/>
  <c r="AC312" i="120"/>
  <c r="G309" i="120"/>
  <c r="G312" i="120"/>
  <c r="G311" i="120"/>
  <c r="G310" i="120"/>
  <c r="BI136" i="120"/>
  <c r="BI139" i="120" s="1"/>
  <c r="AC230" i="120"/>
  <c r="AC232" i="120"/>
  <c r="AC233" i="120"/>
  <c r="G230" i="120"/>
  <c r="G232" i="120"/>
  <c r="G233" i="120"/>
  <c r="G231" i="120"/>
  <c r="AA163" i="120"/>
  <c r="AC151" i="120"/>
  <c r="AC154" i="120"/>
  <c r="AC153" i="120"/>
  <c r="G151" i="120"/>
  <c r="G153" i="120"/>
  <c r="G154" i="120"/>
  <c r="G152" i="120"/>
  <c r="AA161" i="120"/>
  <c r="AB72" i="120"/>
  <c r="AB78" i="120" s="1"/>
  <c r="AB74" i="120"/>
  <c r="AB82" i="120" s="1"/>
  <c r="AB75" i="120"/>
  <c r="AB83" i="120" s="1"/>
  <c r="AC72" i="120"/>
  <c r="AC77" i="120" s="1"/>
  <c r="AC75" i="120"/>
  <c r="AC83" i="120" s="1"/>
  <c r="AC74" i="120"/>
  <c r="AC81" i="120" s="1"/>
  <c r="G72" i="120"/>
  <c r="G78" i="120" s="1"/>
  <c r="G74" i="120"/>
  <c r="G75" i="120"/>
  <c r="G73" i="120"/>
  <c r="AB344" i="120"/>
  <c r="AB345" i="120"/>
  <c r="BH138" i="120"/>
  <c r="AD334" i="120"/>
  <c r="AD339" i="120" s="1"/>
  <c r="BH59" i="120"/>
  <c r="BG345" i="120"/>
  <c r="BG344" i="120"/>
  <c r="AE329" i="120"/>
  <c r="AE340" i="120" s="1"/>
  <c r="AE190" i="120"/>
  <c r="AE210" i="120" s="1"/>
  <c r="AE192" i="120"/>
  <c r="AE53" i="120"/>
  <c r="AC59" i="120"/>
  <c r="AC60" i="120"/>
  <c r="BK44" i="120"/>
  <c r="N248" i="120"/>
  <c r="BK96" i="120"/>
  <c r="BK124" i="120" s="1"/>
  <c r="AF293" i="120"/>
  <c r="AJ293" i="120" s="1"/>
  <c r="AJ278" i="120"/>
  <c r="AF260" i="120"/>
  <c r="AF102" i="120"/>
  <c r="AD44" i="120"/>
  <c r="AD333" i="120" s="1"/>
  <c r="AJ119" i="120"/>
  <c r="AD211" i="120"/>
  <c r="AE125" i="120"/>
  <c r="AE133" i="120" s="1"/>
  <c r="BL23" i="120"/>
  <c r="BP40" i="120"/>
  <c r="BM119" i="120"/>
  <c r="BM120" i="120"/>
  <c r="BM38" i="120"/>
  <c r="BM117" i="120"/>
  <c r="BM64" i="120"/>
  <c r="BM39" i="120"/>
  <c r="BM94" i="120"/>
  <c r="BM65" i="120"/>
  <c r="BM40" i="120"/>
  <c r="BM15" i="120"/>
  <c r="BM118" i="120"/>
  <c r="BM41" i="120"/>
  <c r="BM56" i="120" s="1"/>
  <c r="BM91" i="120"/>
  <c r="BM12" i="120"/>
  <c r="AE283" i="120"/>
  <c r="AE291" i="120" s="1"/>
  <c r="BI126" i="120"/>
  <c r="BK33" i="120"/>
  <c r="BK53" i="120" s="1"/>
  <c r="BK329" i="120"/>
  <c r="BK340" i="120" s="1"/>
  <c r="N169" i="120"/>
  <c r="N226" i="120" s="1"/>
  <c r="N231" i="120" s="1"/>
  <c r="BK104" i="120"/>
  <c r="BK113" i="120" s="1"/>
  <c r="AD126" i="120"/>
  <c r="BK111" i="120"/>
  <c r="AD335" i="120"/>
  <c r="BI54" i="120"/>
  <c r="BI335" i="120"/>
  <c r="AF200" i="120"/>
  <c r="AF224" i="120" s="1"/>
  <c r="AJ224" i="120" s="1"/>
  <c r="AF179" i="120"/>
  <c r="AJ143" i="120"/>
  <c r="AD290" i="120"/>
  <c r="AE204" i="120"/>
  <c r="AD133" i="120"/>
  <c r="AE113" i="120"/>
  <c r="AT90" i="120"/>
  <c r="AT147" i="120" s="1"/>
  <c r="AT152" i="120" s="1"/>
  <c r="N90" i="120"/>
  <c r="AD208" i="120"/>
  <c r="AD210" i="120"/>
  <c r="AF121" i="120"/>
  <c r="AJ121" i="120" s="1"/>
  <c r="AF100" i="120"/>
  <c r="AF180" i="120"/>
  <c r="AD291" i="120"/>
  <c r="AE34" i="120"/>
  <c r="AE330" i="120"/>
  <c r="AD284" i="120"/>
  <c r="AE290" i="120"/>
  <c r="AD53" i="120"/>
  <c r="BP143" i="120"/>
  <c r="BL100" i="120"/>
  <c r="BL121" i="120"/>
  <c r="BP121" i="120" s="1"/>
  <c r="BK34" i="120"/>
  <c r="BK330" i="120"/>
  <c r="AE282" i="120"/>
  <c r="AT11" i="120"/>
  <c r="N11" i="120"/>
  <c r="AF16" i="120"/>
  <c r="AF17" i="120" s="1"/>
  <c r="AF70" i="120" a="1"/>
  <c r="AF70" i="120" s="1"/>
  <c r="AF27" i="120"/>
  <c r="AF26" i="120"/>
  <c r="AF25" i="120" s="1"/>
  <c r="AF69" i="120" a="1"/>
  <c r="AF69" i="120" s="1"/>
  <c r="AF279" i="120"/>
  <c r="AF258" i="120"/>
  <c r="AJ222" i="120"/>
  <c r="AC217" i="120"/>
  <c r="AC218" i="120"/>
  <c r="AJ277" i="120"/>
  <c r="AC139" i="120"/>
  <c r="AC138" i="120"/>
  <c r="AD340" i="120"/>
  <c r="AE111" i="120"/>
  <c r="AD34" i="120"/>
  <c r="BL42" i="120"/>
  <c r="BL66" i="120" s="1"/>
  <c r="BL21" i="120"/>
  <c r="BP200" i="120"/>
  <c r="BP214" i="120"/>
  <c r="AJ41" i="120"/>
  <c r="BI333" i="120"/>
  <c r="BJ47" i="120"/>
  <c r="BI334" i="120"/>
  <c r="BK46" i="120"/>
  <c r="BK54" i="120" s="1"/>
  <c r="AF184" i="120"/>
  <c r="AF174" i="120"/>
  <c r="AF175" i="120" s="1"/>
  <c r="AF227" i="120" a="1"/>
  <c r="AF227" i="120" s="1"/>
  <c r="AF228" i="120" a="1"/>
  <c r="AF228" i="120" s="1"/>
  <c r="AF185" i="120"/>
  <c r="AE44" i="120"/>
  <c r="AJ276" i="120"/>
  <c r="AE123" i="120"/>
  <c r="BL27" i="120"/>
  <c r="BL26" i="120"/>
  <c r="BL69" i="120" a="1"/>
  <c r="BL69" i="120" s="1"/>
  <c r="BL16" i="120"/>
  <c r="BL17" i="120" s="1"/>
  <c r="BL70" i="120" a="1"/>
  <c r="BL70" i="120" s="1"/>
  <c r="BP275" i="120"/>
  <c r="BL33" i="120"/>
  <c r="BP301" i="120"/>
  <c r="BP222" i="120"/>
  <c r="BK32" i="120"/>
  <c r="BK328" i="120"/>
  <c r="AD287" i="120"/>
  <c r="AD289" i="120"/>
  <c r="BJ340" i="120"/>
  <c r="BH341" i="120"/>
  <c r="BK45" i="120"/>
  <c r="AF149" i="120" a="1"/>
  <c r="AF149" i="120" s="1"/>
  <c r="AF95" i="120"/>
  <c r="AF96" i="120" s="1"/>
  <c r="AF132" i="120" s="1"/>
  <c r="AF105" i="120"/>
  <c r="AF106" i="120"/>
  <c r="AF148" i="120" a="1"/>
  <c r="AF148" i="120" s="1"/>
  <c r="AF181" i="120"/>
  <c r="AF23" i="120"/>
  <c r="AJ301" i="120"/>
  <c r="AE46" i="120"/>
  <c r="AE54" i="120" s="1"/>
  <c r="AD331" i="120"/>
  <c r="AE202" i="120"/>
  <c r="BP303" i="120"/>
  <c r="AE32" i="120"/>
  <c r="AE328" i="120"/>
  <c r="BI47" i="120"/>
  <c r="BJ53" i="120"/>
  <c r="AC284" i="120"/>
  <c r="BJ331" i="120"/>
  <c r="BJ123" i="120"/>
  <c r="AF253" i="120"/>
  <c r="AF254" i="120" s="1"/>
  <c r="AF290" i="120" s="1"/>
  <c r="AF307" i="120" a="1"/>
  <c r="AF307" i="120" s="1"/>
  <c r="AF264" i="120"/>
  <c r="AF306" i="120" a="1"/>
  <c r="AF306" i="120" s="1"/>
  <c r="AF263" i="120"/>
  <c r="AF262" i="120" s="1"/>
  <c r="AF214" i="120"/>
  <c r="AJ214" i="120" s="1"/>
  <c r="AJ199" i="120"/>
  <c r="AE45" i="120"/>
  <c r="AD52" i="120"/>
  <c r="AD50" i="120"/>
  <c r="BJ113" i="120"/>
  <c r="AE203" i="120"/>
  <c r="AC297" i="120"/>
  <c r="AC296" i="120"/>
  <c r="BL56" i="120"/>
  <c r="BP56" i="120" s="1"/>
  <c r="BP41" i="120"/>
  <c r="BL101" i="120"/>
  <c r="BP118" i="120"/>
  <c r="BL102" i="120"/>
  <c r="BP119" i="120"/>
  <c r="AE281" i="120"/>
  <c r="BP279" i="120"/>
  <c r="AE271" i="120"/>
  <c r="AJ275" i="120"/>
  <c r="BJ50" i="120"/>
  <c r="BJ52" i="120"/>
  <c r="AF22" i="120"/>
  <c r="AF21" i="120"/>
  <c r="AF42" i="120"/>
  <c r="AF66" i="120" s="1"/>
  <c r="AG275" i="120"/>
  <c r="AG196" i="120"/>
  <c r="AG118" i="120"/>
  <c r="AG64" i="120"/>
  <c r="AG39" i="120"/>
  <c r="AG199" i="120"/>
  <c r="AG214" i="120" s="1"/>
  <c r="AG301" i="120"/>
  <c r="AG276" i="120"/>
  <c r="AG222" i="120"/>
  <c r="AG197" i="120"/>
  <c r="AG180" i="120" s="1"/>
  <c r="AG191" i="120" s="1"/>
  <c r="AG143" i="120"/>
  <c r="AG119" i="120"/>
  <c r="AG94" i="120"/>
  <c r="AG65" i="120"/>
  <c r="AG40" i="120"/>
  <c r="AG117" i="120"/>
  <c r="AG15" i="120"/>
  <c r="AG302" i="120"/>
  <c r="AG277" i="120"/>
  <c r="AG252" i="120"/>
  <c r="AI252" i="120" s="1"/>
  <c r="AG223" i="120"/>
  <c r="AG198" i="120"/>
  <c r="AG173" i="120"/>
  <c r="AG144" i="120"/>
  <c r="AG120" i="120"/>
  <c r="AG135" i="120" s="1"/>
  <c r="AG41" i="120"/>
  <c r="AG56" i="120" s="1"/>
  <c r="AG38" i="120"/>
  <c r="AG278" i="120"/>
  <c r="AG293" i="120" s="1"/>
  <c r="AG170" i="120"/>
  <c r="AG91" i="120"/>
  <c r="AG249" i="120"/>
  <c r="AG12" i="120"/>
  <c r="BJ131" i="120"/>
  <c r="BJ129" i="120"/>
  <c r="AD129" i="120"/>
  <c r="AD131" i="120"/>
  <c r="AE124" i="120"/>
  <c r="AJ197" i="120"/>
  <c r="BL105" i="120"/>
  <c r="BL104" i="120" s="1"/>
  <c r="BL95" i="120"/>
  <c r="BL106" i="120"/>
  <c r="BP277" i="120"/>
  <c r="BP198" i="120"/>
  <c r="AJ120" i="120"/>
  <c r="AD132" i="120"/>
  <c r="AD205" i="120"/>
  <c r="AR81" i="120"/>
  <c r="AR82" i="120"/>
  <c r="AP78" i="120"/>
  <c r="AP77" i="120"/>
  <c r="V83" i="120"/>
  <c r="V84" i="120"/>
  <c r="N81" i="120"/>
  <c r="N82" i="120"/>
  <c r="I84" i="120"/>
  <c r="I83" i="120"/>
  <c r="Z84" i="120"/>
  <c r="Z83" i="120"/>
  <c r="AA77" i="120"/>
  <c r="AA78" i="120"/>
  <c r="Y84" i="120"/>
  <c r="Y83" i="120"/>
  <c r="AR77" i="120"/>
  <c r="AR78" i="120"/>
  <c r="AN83" i="120"/>
  <c r="AN84" i="120"/>
  <c r="J77" i="120"/>
  <c r="J78" i="120"/>
  <c r="AW81" i="120"/>
  <c r="AW82" i="120"/>
  <c r="G60" i="120"/>
  <c r="G59" i="120"/>
  <c r="Q77" i="120"/>
  <c r="Q78" i="120"/>
  <c r="R77" i="120"/>
  <c r="R78" i="120"/>
  <c r="AZ77" i="120"/>
  <c r="AZ78" i="120"/>
  <c r="V78" i="120"/>
  <c r="V77" i="120"/>
  <c r="N78" i="120"/>
  <c r="N77" i="120"/>
  <c r="I81" i="120"/>
  <c r="I82" i="120"/>
  <c r="AQ81" i="120"/>
  <c r="AQ82" i="120"/>
  <c r="AM344" i="120"/>
  <c r="AM345" i="120"/>
  <c r="BG78" i="120"/>
  <c r="BG77" i="120"/>
  <c r="AV77" i="120"/>
  <c r="AV78" i="120"/>
  <c r="AA83" i="120"/>
  <c r="AA84" i="120"/>
  <c r="AS79" i="120"/>
  <c r="AS80" i="120"/>
  <c r="AN82" i="120"/>
  <c r="AN81" i="120"/>
  <c r="BF78" i="120"/>
  <c r="BF77" i="120"/>
  <c r="AZ81" i="120"/>
  <c r="AZ82" i="120"/>
  <c r="U77" i="120"/>
  <c r="U78" i="120"/>
  <c r="N305" i="120"/>
  <c r="N310" i="120" s="1"/>
  <c r="Z77" i="120"/>
  <c r="Z78" i="120"/>
  <c r="Y77" i="120"/>
  <c r="Y78" i="120"/>
  <c r="O81" i="120"/>
  <c r="O82" i="120"/>
  <c r="AN77" i="120"/>
  <c r="AN78" i="120"/>
  <c r="BD81" i="120"/>
  <c r="BD82" i="120"/>
  <c r="AW83" i="120"/>
  <c r="AW84" i="120"/>
  <c r="G139" i="120"/>
  <c r="G138" i="120"/>
  <c r="AO80" i="120"/>
  <c r="AO79" i="120"/>
  <c r="S82" i="120"/>
  <c r="S81" i="120"/>
  <c r="L83" i="120"/>
  <c r="L84" i="120"/>
  <c r="AY84" i="120"/>
  <c r="AY83" i="120"/>
  <c r="I77" i="120"/>
  <c r="I78" i="120"/>
  <c r="AQ84" i="120"/>
  <c r="AQ83" i="120"/>
  <c r="P84" i="120"/>
  <c r="P83" i="120"/>
  <c r="W81" i="120"/>
  <c r="W82" i="120"/>
  <c r="J81" i="120"/>
  <c r="J82" i="120"/>
  <c r="BG81" i="120"/>
  <c r="BG82" i="120"/>
  <c r="O83" i="120"/>
  <c r="O84" i="120"/>
  <c r="BD83" i="120"/>
  <c r="BD84" i="120"/>
  <c r="AR79" i="120"/>
  <c r="AR80" i="120"/>
  <c r="AW78" i="120"/>
  <c r="AW77" i="120"/>
  <c r="M159" i="120"/>
  <c r="M158" i="120"/>
  <c r="AO81" i="120"/>
  <c r="AO82" i="120"/>
  <c r="G296" i="120"/>
  <c r="G297" i="120"/>
  <c r="S83" i="120"/>
  <c r="S84" i="120"/>
  <c r="L82" i="120"/>
  <c r="L81" i="120"/>
  <c r="AY81" i="120"/>
  <c r="AY82" i="120"/>
  <c r="AQ78" i="120"/>
  <c r="AQ77" i="120"/>
  <c r="P81" i="120"/>
  <c r="P82" i="120"/>
  <c r="BE81" i="120"/>
  <c r="BE82" i="120"/>
  <c r="W83" i="120"/>
  <c r="W84" i="120"/>
  <c r="AU77" i="120"/>
  <c r="AU78" i="120"/>
  <c r="Y81" i="120"/>
  <c r="Y82" i="120"/>
  <c r="Q84" i="120"/>
  <c r="Q83" i="120"/>
  <c r="R83" i="120"/>
  <c r="R84" i="120"/>
  <c r="BA77" i="120"/>
  <c r="BA78" i="120"/>
  <c r="N147" i="120"/>
  <c r="N152" i="120" s="1"/>
  <c r="G218" i="120"/>
  <c r="G217" i="120"/>
  <c r="O78" i="120"/>
  <c r="O77" i="120"/>
  <c r="BD77" i="120"/>
  <c r="BD78" i="120"/>
  <c r="M317" i="120"/>
  <c r="M316" i="120"/>
  <c r="T83" i="120"/>
  <c r="T84" i="120"/>
  <c r="H80" i="120"/>
  <c r="BC83" i="120"/>
  <c r="BC84" i="120"/>
  <c r="AO83" i="120"/>
  <c r="AO84" i="120"/>
  <c r="S77" i="120"/>
  <c r="S78" i="120"/>
  <c r="L77" i="120"/>
  <c r="L78" i="120"/>
  <c r="AY78" i="120"/>
  <c r="AY77" i="120"/>
  <c r="AX81" i="120"/>
  <c r="AX82" i="120"/>
  <c r="P78" i="120"/>
  <c r="P77" i="120"/>
  <c r="BE83" i="120"/>
  <c r="BE84" i="120"/>
  <c r="W78" i="120"/>
  <c r="W77" i="120"/>
  <c r="AM60" i="120"/>
  <c r="AM59" i="120"/>
  <c r="AT68" i="120"/>
  <c r="AT73" i="120" s="1"/>
  <c r="N68" i="120"/>
  <c r="N73" i="120" s="1"/>
  <c r="BB83" i="120"/>
  <c r="BB84" i="120"/>
  <c r="G345" i="120"/>
  <c r="G344" i="120"/>
  <c r="AQ79" i="120"/>
  <c r="AQ80" i="120"/>
  <c r="AS84" i="120"/>
  <c r="AS83" i="120"/>
  <c r="T82" i="120"/>
  <c r="T81" i="120"/>
  <c r="X81" i="120"/>
  <c r="X82" i="120"/>
  <c r="H84" i="120"/>
  <c r="BC82" i="120"/>
  <c r="BC81" i="120"/>
  <c r="AO78" i="120"/>
  <c r="AO77" i="120"/>
  <c r="K83" i="120"/>
  <c r="K84" i="120"/>
  <c r="AX83" i="120"/>
  <c r="AX84" i="120"/>
  <c r="AT83" i="120"/>
  <c r="AT84" i="120"/>
  <c r="BE78" i="120"/>
  <c r="BE77" i="120"/>
  <c r="M82" i="120"/>
  <c r="M81" i="120"/>
  <c r="Z81" i="120"/>
  <c r="Z82" i="120"/>
  <c r="AV82" i="120"/>
  <c r="AV81" i="120"/>
  <c r="AU83" i="120"/>
  <c r="AU84" i="120"/>
  <c r="BB82" i="120"/>
  <c r="BB81" i="120"/>
  <c r="AS81" i="120"/>
  <c r="AS82" i="120"/>
  <c r="T77" i="120"/>
  <c r="T78" i="120"/>
  <c r="X84" i="120"/>
  <c r="X83" i="120"/>
  <c r="H82" i="120"/>
  <c r="BF83" i="120"/>
  <c r="BF84" i="120"/>
  <c r="BC77" i="120"/>
  <c r="BC78" i="120"/>
  <c r="AP83" i="120"/>
  <c r="AP84" i="120"/>
  <c r="K82" i="120"/>
  <c r="K81" i="120"/>
  <c r="AX78" i="120"/>
  <c r="AX77" i="120"/>
  <c r="BA84" i="120"/>
  <c r="BA83" i="120"/>
  <c r="AT82" i="120"/>
  <c r="AT81" i="120"/>
  <c r="U82" i="120"/>
  <c r="U81" i="120"/>
  <c r="M83" i="120"/>
  <c r="M84" i="120"/>
  <c r="AU82" i="120"/>
  <c r="AU81" i="120"/>
  <c r="BB77" i="120"/>
  <c r="BB78" i="120"/>
  <c r="AA82" i="120"/>
  <c r="AA81" i="120"/>
  <c r="AR84" i="120"/>
  <c r="AR83" i="120"/>
  <c r="M80" i="120"/>
  <c r="M79" i="120"/>
  <c r="L79" i="120"/>
  <c r="L80" i="120"/>
  <c r="AN80" i="120"/>
  <c r="AN79" i="120"/>
  <c r="AS77" i="120"/>
  <c r="AS78" i="120"/>
  <c r="J84" i="120"/>
  <c r="J83" i="120"/>
  <c r="X78" i="120"/>
  <c r="X77" i="120"/>
  <c r="H78" i="120"/>
  <c r="BF81" i="120"/>
  <c r="BF82" i="120"/>
  <c r="Q81" i="120"/>
  <c r="Q82" i="120"/>
  <c r="R81" i="120"/>
  <c r="R82" i="120"/>
  <c r="M238" i="120"/>
  <c r="M237" i="120"/>
  <c r="AZ84" i="120"/>
  <c r="AZ83" i="120"/>
  <c r="AP81" i="120"/>
  <c r="AP82" i="120"/>
  <c r="K77" i="120"/>
  <c r="K78" i="120"/>
  <c r="V81" i="120"/>
  <c r="V82" i="120"/>
  <c r="N83" i="120"/>
  <c r="N84" i="120"/>
  <c r="BG83" i="120"/>
  <c r="BA81" i="120"/>
  <c r="BA82" i="120"/>
  <c r="AT77" i="120"/>
  <c r="AT78" i="120"/>
  <c r="U83" i="120"/>
  <c r="U84" i="120"/>
  <c r="M77" i="120"/>
  <c r="M78" i="120"/>
  <c r="AV83" i="120"/>
  <c r="AV84" i="120"/>
  <c r="CE51" i="67"/>
  <c r="CF51" i="67"/>
  <c r="CG51" i="67"/>
  <c r="CD51" i="67"/>
  <c r="CH51" i="67"/>
  <c r="CE49" i="67"/>
  <c r="CF49" i="67"/>
  <c r="CG49" i="67"/>
  <c r="CD49" i="67"/>
  <c r="CC49" i="67"/>
  <c r="CH49" i="67"/>
  <c r="CB65" i="117"/>
  <c r="CA61" i="119"/>
  <c r="BZ61" i="118"/>
  <c r="CB61" i="117"/>
  <c r="CB65" i="118"/>
  <c r="CA65" i="118"/>
  <c r="CB65" i="119"/>
  <c r="CA65" i="119"/>
  <c r="CC29" i="119"/>
  <c r="CC31" i="119"/>
  <c r="BZ61" i="119"/>
  <c r="CC61" i="119"/>
  <c r="CB61" i="119"/>
  <c r="CU6" i="119"/>
  <c r="CC65" i="119"/>
  <c r="BZ65" i="119"/>
  <c r="CC61" i="118"/>
  <c r="CC65" i="118"/>
  <c r="BZ65" i="117"/>
  <c r="CA65" i="117"/>
  <c r="CC31" i="118"/>
  <c r="CC29" i="118"/>
  <c r="CT6" i="118"/>
  <c r="BZ61" i="117"/>
  <c r="CB61" i="118"/>
  <c r="CA61" i="118"/>
  <c r="BZ65" i="118"/>
  <c r="CC65" i="117"/>
  <c r="CC29" i="117"/>
  <c r="CC31" i="117"/>
  <c r="CH44" i="67"/>
  <c r="CC61" i="117"/>
  <c r="CU6" i="117"/>
  <c r="CA61" i="117"/>
  <c r="CF24" i="67"/>
  <c r="CF58" i="67" s="1"/>
  <c r="CD28" i="67"/>
  <c r="CD62" i="67" s="1"/>
  <c r="CE25" i="67"/>
  <c r="CE59" i="67" s="1"/>
  <c r="CC21" i="67"/>
  <c r="CD60" i="67"/>
  <c r="CE60" i="67"/>
  <c r="CC17" i="67"/>
  <c r="CB60" i="67"/>
  <c r="CC60" i="67"/>
  <c r="CA60" i="67"/>
  <c r="CD37" i="67"/>
  <c r="CB17" i="67"/>
  <c r="CD17" i="67"/>
  <c r="CA17" i="67"/>
  <c r="CE19" i="67"/>
  <c r="CC37" i="67"/>
  <c r="CB37" i="67"/>
  <c r="CF37" i="67"/>
  <c r="CA37" i="67"/>
  <c r="CE37" i="67"/>
  <c r="CG9" i="67"/>
  <c r="CG48" i="67"/>
  <c r="CH41" i="67"/>
  <c r="CH46" i="67"/>
  <c r="CH37" i="67"/>
  <c r="CH43" i="67"/>
  <c r="CH45" i="67"/>
  <c r="CH39" i="67"/>
  <c r="CH40" i="67"/>
  <c r="CH38" i="67"/>
  <c r="CH47" i="67"/>
  <c r="CI13" i="67"/>
  <c r="CH10" i="67"/>
  <c r="CH11" i="67"/>
  <c r="CH12" i="67"/>
  <c r="CF23" i="67"/>
  <c r="CF57" i="67" s="1"/>
  <c r="CC61" i="67"/>
  <c r="CE27" i="67"/>
  <c r="CE61" i="67" s="1"/>
  <c r="CE18" i="67"/>
  <c r="CE20" i="67"/>
  <c r="CB61" i="67"/>
  <c r="CD61" i="67"/>
  <c r="CA61" i="67"/>
  <c r="CB49" i="117" a="1"/>
  <c r="BI207" i="125"/>
  <c r="R12" i="125"/>
  <c r="BI187" i="125"/>
  <c r="O104" i="125"/>
  <c r="CD31" i="67" a="1"/>
  <c r="BI170" i="125"/>
  <c r="Q49" i="125"/>
  <c r="CA29" i="119" a="1"/>
  <c r="BZ49" i="118" a="1"/>
  <c r="BI29" i="125"/>
  <c r="CA29" i="118" a="1"/>
  <c r="N30" i="125"/>
  <c r="P148" i="125" a="1"/>
  <c r="BZ31" i="117" a="1"/>
  <c r="R266" i="125"/>
  <c r="CI10" i="67" a="1"/>
  <c r="R207" i="125"/>
  <c r="N188" i="125"/>
  <c r="BH184" i="125"/>
  <c r="BH227" i="125" a="1"/>
  <c r="Q108" i="125"/>
  <c r="CA31" i="119" a="1"/>
  <c r="Q29" i="125"/>
  <c r="BZ31" i="67" a="1"/>
  <c r="CE21" i="67" a="1"/>
  <c r="P95" i="125"/>
  <c r="CB49" i="67" a="1"/>
  <c r="CB31" i="67" a="1"/>
  <c r="Q207" i="125"/>
  <c r="CB51" i="117" a="1"/>
  <c r="BI286" i="125"/>
  <c r="BH106" i="125"/>
  <c r="CB29" i="118" a="1"/>
  <c r="R187" i="125"/>
  <c r="CA49" i="119" a="1"/>
  <c r="P149" i="125" a="1"/>
  <c r="R286" i="125"/>
  <c r="BZ51" i="117" a="1"/>
  <c r="BG25" i="125"/>
  <c r="CA29" i="117" a="1"/>
  <c r="CC51" i="67" a="1"/>
  <c r="P263" i="125"/>
  <c r="BH253" i="125"/>
  <c r="BH69" i="125" a="1"/>
  <c r="CB51" i="119" a="1"/>
  <c r="BZ29" i="117" a="1"/>
  <c r="BI91" i="125"/>
  <c r="CF25" i="67" a="1"/>
  <c r="CA31" i="67" a="1"/>
  <c r="O183" i="125"/>
  <c r="BF267" i="125"/>
  <c r="BG104" i="125"/>
  <c r="CB51" i="67" a="1"/>
  <c r="CB31" i="119" a="1"/>
  <c r="CA51" i="119" a="1"/>
  <c r="BH228" i="125" a="1"/>
  <c r="P27" i="125"/>
  <c r="CH9" i="67" a="1"/>
  <c r="CC29" i="67" a="1"/>
  <c r="BZ29" i="119" a="1"/>
  <c r="BH306" i="125" a="1"/>
  <c r="CA49" i="117" a="1"/>
  <c r="BZ49" i="67" a="1"/>
  <c r="BH26" i="125"/>
  <c r="BH185" i="125"/>
  <c r="BF188" i="125"/>
  <c r="BH264" i="125"/>
  <c r="P184" i="125"/>
  <c r="P227" i="125" a="1"/>
  <c r="Q128" i="125"/>
  <c r="Q286" i="125"/>
  <c r="BG262" i="125"/>
  <c r="BZ49" i="117" a="1"/>
  <c r="BH95" i="125"/>
  <c r="BH149" i="125" a="1"/>
  <c r="BI128" i="125"/>
  <c r="CB29" i="117" a="1"/>
  <c r="BZ51" i="119" a="1"/>
  <c r="R249" i="125"/>
  <c r="BH174" i="125"/>
  <c r="CA31" i="118" a="1"/>
  <c r="BH148" i="125" a="1"/>
  <c r="O262" i="125"/>
  <c r="BH307" i="125" a="1"/>
  <c r="BF30" i="125"/>
  <c r="BZ51" i="67" a="1"/>
  <c r="CF26" i="67" a="1"/>
  <c r="P105" i="125"/>
  <c r="CA29" i="67" a="1"/>
  <c r="BH70" i="125" a="1"/>
  <c r="CA31" i="117" a="1"/>
  <c r="CA51" i="67" a="1"/>
  <c r="BH27" i="125"/>
  <c r="CE17" i="67" a="1"/>
  <c r="CB31" i="117" a="1"/>
  <c r="CA49" i="67" a="1"/>
  <c r="BI266" i="125"/>
  <c r="CA51" i="117" a="1"/>
  <c r="R49" i="125"/>
  <c r="Q91" i="125"/>
  <c r="P185" i="125"/>
  <c r="BH263" i="125"/>
  <c r="CD29" i="67" a="1"/>
  <c r="CA51" i="118" a="1"/>
  <c r="BF109" i="125"/>
  <c r="R29" i="125"/>
  <c r="P106" i="125"/>
  <c r="P228" i="125" a="1"/>
  <c r="P253" i="125"/>
  <c r="BZ31" i="118" a="1"/>
  <c r="CA49" i="118" a="1"/>
  <c r="CC31" i="67" a="1"/>
  <c r="R128" i="125"/>
  <c r="BZ51" i="118" a="1"/>
  <c r="CB49" i="118" a="1"/>
  <c r="P26" i="125"/>
  <c r="CB29" i="119" a="1"/>
  <c r="P69" i="125" a="1"/>
  <c r="BI49" i="125"/>
  <c r="CB31" i="118" a="1"/>
  <c r="BZ29" i="118" a="1"/>
  <c r="Q170" i="125"/>
  <c r="BH105" i="125"/>
  <c r="P16" i="125"/>
  <c r="BH16" i="125"/>
  <c r="P70" i="125" a="1"/>
  <c r="BI249" i="125"/>
  <c r="P307" i="125" a="1"/>
  <c r="BZ49" i="119" a="1"/>
  <c r="R170" i="125"/>
  <c r="O25" i="125"/>
  <c r="BG183" i="125"/>
  <c r="CI12" i="67" a="1"/>
  <c r="CB49" i="119" a="1"/>
  <c r="CG24" i="67" a="1"/>
  <c r="M267" i="125"/>
  <c r="P306" i="125" a="1"/>
  <c r="Q249" i="125"/>
  <c r="R108" i="125"/>
  <c r="CB51" i="118" a="1"/>
  <c r="P174" i="125"/>
  <c r="P264" i="125"/>
  <c r="BZ31" i="119" a="1"/>
  <c r="CI11" i="67" a="1"/>
  <c r="BI108" i="125"/>
  <c r="Q12" i="125"/>
  <c r="CB29" i="67" a="1"/>
  <c r="BI12" i="125"/>
  <c r="Q187" i="125"/>
  <c r="R91" i="125"/>
  <c r="BZ29" i="67" a="1"/>
  <c r="Q266" i="125"/>
  <c r="Q185" i="125"/>
  <c r="BH318" i="120" l="1"/>
  <c r="BD157" i="125"/>
  <c r="L82" i="125"/>
  <c r="N215" i="125"/>
  <c r="N233" i="125" s="1"/>
  <c r="AC75" i="124"/>
  <c r="BD77" i="125"/>
  <c r="AJ333" i="126"/>
  <c r="AE339" i="126"/>
  <c r="AJ334" i="126"/>
  <c r="AJ335" i="126"/>
  <c r="AA345" i="120"/>
  <c r="BH344" i="124"/>
  <c r="BD241" i="125"/>
  <c r="AA344" i="120"/>
  <c r="AC341" i="120"/>
  <c r="AD339" i="126"/>
  <c r="AJ339" i="126" s="1"/>
  <c r="BK339" i="126"/>
  <c r="BP339" i="126" s="1"/>
  <c r="L342" i="125"/>
  <c r="AB84" i="126"/>
  <c r="AF287" i="126"/>
  <c r="AF267" i="126" s="1"/>
  <c r="BD236" i="125"/>
  <c r="AC153" i="124"/>
  <c r="AC154" i="124"/>
  <c r="AC162" i="124" s="1"/>
  <c r="AC151" i="124"/>
  <c r="AC156" i="124" s="1"/>
  <c r="AC139" i="124"/>
  <c r="L83" i="125"/>
  <c r="AB77" i="126"/>
  <c r="BE233" i="125"/>
  <c r="BE241" i="125" s="1"/>
  <c r="M312" i="125"/>
  <c r="M321" i="125" s="1"/>
  <c r="M296" i="125"/>
  <c r="BL287" i="126"/>
  <c r="BL267" i="126" s="1"/>
  <c r="BJ333" i="124"/>
  <c r="AD233" i="124"/>
  <c r="L239" i="125"/>
  <c r="L240" i="125"/>
  <c r="BD344" i="125"/>
  <c r="L236" i="125"/>
  <c r="L235" i="125"/>
  <c r="AC74" i="124"/>
  <c r="AC82" i="124" s="1"/>
  <c r="AC72" i="124"/>
  <c r="AC77" i="124" s="1"/>
  <c r="AC59" i="124"/>
  <c r="BL129" i="126"/>
  <c r="BL109" i="126" s="1"/>
  <c r="N334" i="125"/>
  <c r="N339" i="125" s="1"/>
  <c r="BJ151" i="126"/>
  <c r="BJ157" i="126" s="1"/>
  <c r="BJ154" i="126"/>
  <c r="BJ162" i="126" s="1"/>
  <c r="AF113" i="126"/>
  <c r="BJ153" i="126"/>
  <c r="BJ161" i="126" s="1"/>
  <c r="BJ139" i="126"/>
  <c r="AD151" i="126"/>
  <c r="AD157" i="126" s="1"/>
  <c r="AD153" i="126"/>
  <c r="AD161" i="126" s="1"/>
  <c r="AD139" i="126"/>
  <c r="BJ215" i="120"/>
  <c r="BJ218" i="120" s="1"/>
  <c r="AD154" i="126"/>
  <c r="AD163" i="126" s="1"/>
  <c r="AD341" i="126"/>
  <c r="N205" i="125"/>
  <c r="AC82" i="120"/>
  <c r="M159" i="125"/>
  <c r="M139" i="125"/>
  <c r="M154" i="125"/>
  <c r="M163" i="125" s="1"/>
  <c r="BM329" i="126"/>
  <c r="BM340" i="126" s="1"/>
  <c r="BK341" i="126"/>
  <c r="N294" i="125"/>
  <c r="N311" i="125" s="1"/>
  <c r="N319" i="125" s="1"/>
  <c r="N136" i="125"/>
  <c r="N138" i="125" s="1"/>
  <c r="N333" i="125"/>
  <c r="M311" i="125"/>
  <c r="M319" i="125" s="1"/>
  <c r="N231" i="125"/>
  <c r="N237" i="125" s="1"/>
  <c r="BG46" i="125"/>
  <c r="BG54" i="125" s="1"/>
  <c r="BE341" i="125"/>
  <c r="BE342" i="125" s="1"/>
  <c r="BE344" i="125" s="1"/>
  <c r="AJ211" i="126"/>
  <c r="AD218" i="124"/>
  <c r="BO17" i="126"/>
  <c r="AJ53" i="126"/>
  <c r="M237" i="125"/>
  <c r="M238" i="125"/>
  <c r="M317" i="125"/>
  <c r="M316" i="125"/>
  <c r="AD230" i="124"/>
  <c r="AD236" i="124" s="1"/>
  <c r="M309" i="125"/>
  <c r="M314" i="125" s="1"/>
  <c r="M138" i="125"/>
  <c r="AF334" i="126"/>
  <c r="AF339" i="126" s="1"/>
  <c r="BL53" i="126"/>
  <c r="BP53" i="126" s="1"/>
  <c r="BP131" i="126"/>
  <c r="AF335" i="126"/>
  <c r="AD217" i="124"/>
  <c r="M297" i="125"/>
  <c r="BM53" i="126"/>
  <c r="BL203" i="126"/>
  <c r="BP203" i="126" s="1"/>
  <c r="AF192" i="126"/>
  <c r="AJ132" i="126"/>
  <c r="BO175" i="126"/>
  <c r="BM132" i="126"/>
  <c r="BL126" i="126"/>
  <c r="BP126" i="126" s="1"/>
  <c r="BL208" i="126"/>
  <c r="BL188" i="126" s="1"/>
  <c r="BL210" i="126"/>
  <c r="BL45" i="126"/>
  <c r="BP45" i="126" s="1"/>
  <c r="M153" i="125"/>
  <c r="M161" i="125" s="1"/>
  <c r="BL212" i="126"/>
  <c r="BP212" i="126" s="1"/>
  <c r="BP204" i="126"/>
  <c r="BL335" i="126"/>
  <c r="AI175" i="126"/>
  <c r="AG211" i="126"/>
  <c r="AE341" i="126"/>
  <c r="BM180" i="120"/>
  <c r="BM191" i="120" s="1"/>
  <c r="M341" i="125"/>
  <c r="M342" i="125" s="1"/>
  <c r="M345" i="125" s="1"/>
  <c r="O124" i="125"/>
  <c r="BJ77" i="126"/>
  <c r="BJ78" i="126"/>
  <c r="BH81" i="126"/>
  <c r="BH82" i="126"/>
  <c r="BM282" i="126"/>
  <c r="BM262" i="126"/>
  <c r="BM271" i="126" s="1"/>
  <c r="BO263" i="126"/>
  <c r="BK139" i="126"/>
  <c r="BK138" i="126"/>
  <c r="BK151" i="126"/>
  <c r="BK153" i="126"/>
  <c r="BK154" i="126"/>
  <c r="N237" i="126"/>
  <c r="N238" i="126"/>
  <c r="AN81" i="126"/>
  <c r="AN82" i="126"/>
  <c r="BL271" i="126"/>
  <c r="N316" i="126"/>
  <c r="N317" i="126"/>
  <c r="H80" i="126"/>
  <c r="H79" i="126"/>
  <c r="AF50" i="126"/>
  <c r="AF30" i="126" s="1"/>
  <c r="AF52" i="126"/>
  <c r="H241" i="126"/>
  <c r="H242" i="126"/>
  <c r="AF205" i="126"/>
  <c r="BP287" i="126"/>
  <c r="AI181" i="126"/>
  <c r="AE294" i="126"/>
  <c r="AJ289" i="126"/>
  <c r="AI95" i="126"/>
  <c r="AE136" i="126"/>
  <c r="AF44" i="126"/>
  <c r="AF47" i="126" s="1"/>
  <c r="BL132" i="126"/>
  <c r="BP132" i="126" s="1"/>
  <c r="BO112" i="126"/>
  <c r="AJ283" i="126"/>
  <c r="AF291" i="126"/>
  <c r="AJ291" i="126" s="1"/>
  <c r="BH77" i="126"/>
  <c r="BH78" i="126"/>
  <c r="AD217" i="126"/>
  <c r="AD218" i="126"/>
  <c r="AD230" i="126"/>
  <c r="AD233" i="126"/>
  <c r="AD232" i="126"/>
  <c r="AT238" i="126"/>
  <c r="AT237" i="126"/>
  <c r="BK296" i="126"/>
  <c r="BK297" i="126"/>
  <c r="BK309" i="126"/>
  <c r="BK312" i="126"/>
  <c r="BK311" i="126"/>
  <c r="AN78" i="126"/>
  <c r="AN77" i="126"/>
  <c r="BM125" i="126"/>
  <c r="BM133" i="126" s="1"/>
  <c r="BO106" i="126"/>
  <c r="H81" i="126"/>
  <c r="H82" i="126"/>
  <c r="H236" i="126"/>
  <c r="H235" i="126"/>
  <c r="AI102" i="126"/>
  <c r="BM211" i="126"/>
  <c r="AG33" i="126"/>
  <c r="AG329" i="126"/>
  <c r="AG340" i="126" s="1"/>
  <c r="AI340" i="126" s="1"/>
  <c r="AD83" i="126"/>
  <c r="AD84" i="126"/>
  <c r="BK188" i="126"/>
  <c r="AN158" i="126"/>
  <c r="AN159" i="126"/>
  <c r="BP46" i="126"/>
  <c r="BL54" i="126"/>
  <c r="BP54" i="126" s="1"/>
  <c r="BH84" i="126"/>
  <c r="BH83" i="126"/>
  <c r="BO253" i="126"/>
  <c r="AG330" i="126"/>
  <c r="AI23" i="126"/>
  <c r="H84" i="126"/>
  <c r="H83" i="126"/>
  <c r="BO16" i="126"/>
  <c r="AG32" i="126"/>
  <c r="AG328" i="126"/>
  <c r="AI21" i="126"/>
  <c r="BO340" i="126"/>
  <c r="BM330" i="126"/>
  <c r="BO330" i="126" s="1"/>
  <c r="AG111" i="126"/>
  <c r="AI100" i="126"/>
  <c r="AG45" i="126"/>
  <c r="AG25" i="126"/>
  <c r="AG34" i="126" s="1"/>
  <c r="AI26" i="126"/>
  <c r="AF271" i="126"/>
  <c r="AN317" i="126"/>
  <c r="AN316" i="126"/>
  <c r="BP289" i="126"/>
  <c r="AN237" i="126"/>
  <c r="AN238" i="126"/>
  <c r="AJ42" i="125"/>
  <c r="AD81" i="126"/>
  <c r="AD82" i="126"/>
  <c r="BK215" i="126"/>
  <c r="BP210" i="126"/>
  <c r="AN163" i="126"/>
  <c r="AN162" i="126"/>
  <c r="BK57" i="126"/>
  <c r="H159" i="126"/>
  <c r="H158" i="126"/>
  <c r="AF129" i="126"/>
  <c r="AF109" i="126" s="1"/>
  <c r="AF131" i="126"/>
  <c r="AG290" i="126"/>
  <c r="BK47" i="126"/>
  <c r="Y342" i="126"/>
  <c r="BM283" i="126"/>
  <c r="BM291" i="126" s="1"/>
  <c r="BO264" i="126"/>
  <c r="BL202" i="126"/>
  <c r="BO95" i="126"/>
  <c r="H77" i="126"/>
  <c r="H78" i="126"/>
  <c r="BM290" i="126"/>
  <c r="BM45" i="126"/>
  <c r="BM25" i="126"/>
  <c r="BO26" i="126"/>
  <c r="BJ320" i="126"/>
  <c r="BJ321" i="126"/>
  <c r="AD319" i="126"/>
  <c r="AD318" i="126"/>
  <c r="AG46" i="126"/>
  <c r="AG54" i="126" s="1"/>
  <c r="AI27" i="126"/>
  <c r="BL291" i="126"/>
  <c r="BP291" i="126" s="1"/>
  <c r="BP283" i="126"/>
  <c r="AN318" i="126"/>
  <c r="AN319" i="126"/>
  <c r="BL113" i="126"/>
  <c r="BM190" i="126"/>
  <c r="AJ204" i="126"/>
  <c r="AN239" i="126"/>
  <c r="AN240" i="126"/>
  <c r="BJ239" i="126"/>
  <c r="BJ240" i="126"/>
  <c r="BK113" i="124"/>
  <c r="BM181" i="120"/>
  <c r="BM179" i="120"/>
  <c r="AD78" i="126"/>
  <c r="AD77" i="126"/>
  <c r="AN161" i="126"/>
  <c r="AN160" i="126"/>
  <c r="AI330" i="126"/>
  <c r="H162" i="126"/>
  <c r="H163" i="126"/>
  <c r="N80" i="126"/>
  <c r="N79" i="126"/>
  <c r="BJ344" i="126"/>
  <c r="BJ345" i="126"/>
  <c r="AG132" i="126"/>
  <c r="BL211" i="126"/>
  <c r="BP211" i="126" s="1"/>
  <c r="BO191" i="126"/>
  <c r="BM124" i="126"/>
  <c r="BM104" i="126"/>
  <c r="BO105" i="126"/>
  <c r="AI253" i="126"/>
  <c r="AJ205" i="126"/>
  <c r="BM46" i="126"/>
  <c r="BM54" i="126" s="1"/>
  <c r="BO27" i="126"/>
  <c r="AI174" i="126"/>
  <c r="BJ314" i="126"/>
  <c r="BJ315" i="126"/>
  <c r="AD320" i="126"/>
  <c r="AD321" i="126"/>
  <c r="BP129" i="126"/>
  <c r="BO174" i="126"/>
  <c r="BL331" i="126"/>
  <c r="AN320" i="126"/>
  <c r="AN321" i="126"/>
  <c r="AG190" i="126"/>
  <c r="AJ212" i="126"/>
  <c r="AF126" i="126"/>
  <c r="AJ126" i="126" s="1"/>
  <c r="H317" i="126"/>
  <c r="H316" i="126"/>
  <c r="AN242" i="126"/>
  <c r="AN241" i="126"/>
  <c r="BJ235" i="126"/>
  <c r="BJ236" i="126"/>
  <c r="BF294" i="125"/>
  <c r="BF309" i="125" s="1"/>
  <c r="BL284" i="126"/>
  <c r="BP284" i="126" s="1"/>
  <c r="BP281" i="126"/>
  <c r="AN156" i="126"/>
  <c r="AN157" i="126"/>
  <c r="AI112" i="126"/>
  <c r="AF34" i="126"/>
  <c r="H160" i="126"/>
  <c r="H161" i="126"/>
  <c r="AT79" i="126"/>
  <c r="AT80" i="126"/>
  <c r="AI101" i="126"/>
  <c r="BL290" i="126"/>
  <c r="BP290" i="126" s="1"/>
  <c r="BO270" i="126"/>
  <c r="AG203" i="126"/>
  <c r="AG183" i="126"/>
  <c r="AG192" i="126" s="1"/>
  <c r="AI184" i="126"/>
  <c r="BJ318" i="126"/>
  <c r="BJ319" i="126"/>
  <c r="AD314" i="126"/>
  <c r="AD315" i="126"/>
  <c r="BM203" i="126"/>
  <c r="BM183" i="126"/>
  <c r="BM192" i="126" s="1"/>
  <c r="BO192" i="126" s="1"/>
  <c r="BO184" i="126"/>
  <c r="AI16" i="126"/>
  <c r="BL50" i="126"/>
  <c r="BL52" i="126"/>
  <c r="AE215" i="126"/>
  <c r="AN314" i="126"/>
  <c r="AN315" i="126"/>
  <c r="AE57" i="126"/>
  <c r="BM111" i="126"/>
  <c r="BO100" i="126"/>
  <c r="AJ125" i="126"/>
  <c r="H318" i="126"/>
  <c r="H319" i="126"/>
  <c r="BM269" i="126"/>
  <c r="AG269" i="126"/>
  <c r="AN235" i="126"/>
  <c r="AN236" i="126"/>
  <c r="AI22" i="126"/>
  <c r="BJ241" i="126"/>
  <c r="BJ242" i="126"/>
  <c r="N232" i="125"/>
  <c r="N240" i="125" s="1"/>
  <c r="H157" i="126"/>
  <c r="H156" i="126"/>
  <c r="AE47" i="126"/>
  <c r="BJ82" i="126"/>
  <c r="BJ81" i="126"/>
  <c r="AF290" i="126"/>
  <c r="AJ290" i="126" s="1"/>
  <c r="AI270" i="126"/>
  <c r="AF284" i="126"/>
  <c r="AJ284" i="126" s="1"/>
  <c r="N159" i="126"/>
  <c r="N158" i="126"/>
  <c r="AN80" i="126"/>
  <c r="AN79" i="126"/>
  <c r="AG283" i="126"/>
  <c r="AG291" i="126" s="1"/>
  <c r="AI264" i="126"/>
  <c r="H238" i="126"/>
  <c r="H237" i="126"/>
  <c r="AJ46" i="126"/>
  <c r="AF54" i="126"/>
  <c r="AJ54" i="126" s="1"/>
  <c r="BM204" i="126"/>
  <c r="BM212" i="126" s="1"/>
  <c r="BO185" i="126"/>
  <c r="AE188" i="126"/>
  <c r="AE30" i="126"/>
  <c r="AG124" i="126"/>
  <c r="AG104" i="126"/>
  <c r="AI105" i="126"/>
  <c r="H320" i="126"/>
  <c r="H321" i="126"/>
  <c r="BP200" i="125"/>
  <c r="BJ83" i="126"/>
  <c r="BJ84" i="126"/>
  <c r="AT158" i="126"/>
  <c r="AT159" i="126"/>
  <c r="AN83" i="126"/>
  <c r="AN84" i="126"/>
  <c r="AG282" i="126"/>
  <c r="AG262" i="126"/>
  <c r="AG271" i="126" s="1"/>
  <c r="AI263" i="126"/>
  <c r="AT316" i="126"/>
  <c r="AT317" i="126"/>
  <c r="AF208" i="126"/>
  <c r="AF188" i="126" s="1"/>
  <c r="AF210" i="126"/>
  <c r="AF331" i="126"/>
  <c r="H239" i="126"/>
  <c r="H240" i="126"/>
  <c r="AG204" i="126"/>
  <c r="AG212" i="126" s="1"/>
  <c r="AI185" i="126"/>
  <c r="BL44" i="126"/>
  <c r="AE267" i="126"/>
  <c r="AJ287" i="126"/>
  <c r="BM32" i="126"/>
  <c r="BM328" i="126"/>
  <c r="BO328" i="126" s="1"/>
  <c r="AG125" i="126"/>
  <c r="AG133" i="126" s="1"/>
  <c r="AI106" i="126"/>
  <c r="H315" i="126"/>
  <c r="H314" i="126"/>
  <c r="BO181" i="126"/>
  <c r="BK215" i="124"/>
  <c r="BK233" i="124" s="1"/>
  <c r="BF215" i="125"/>
  <c r="BF232" i="125" s="1"/>
  <c r="BF240" i="125" s="1"/>
  <c r="O125" i="125"/>
  <c r="O133" i="125" s="1"/>
  <c r="O45" i="125"/>
  <c r="BF284" i="125"/>
  <c r="O46" i="125"/>
  <c r="O54" i="125" s="1"/>
  <c r="BF335" i="125"/>
  <c r="BG282" i="125"/>
  <c r="BF205" i="125"/>
  <c r="Q213" i="125"/>
  <c r="P307" i="125"/>
  <c r="P175" i="125"/>
  <c r="P211" i="125" s="1"/>
  <c r="P17" i="125"/>
  <c r="P53" i="125" s="1"/>
  <c r="BG123" i="125"/>
  <c r="BG113" i="125"/>
  <c r="BH306" i="125"/>
  <c r="BH228" i="125"/>
  <c r="BH70" i="125"/>
  <c r="BH175" i="125"/>
  <c r="BH211" i="125" s="1"/>
  <c r="BI213" i="125"/>
  <c r="BH69" i="125"/>
  <c r="BH111" i="125"/>
  <c r="BG202" i="125"/>
  <c r="BG192" i="125"/>
  <c r="O44" i="125"/>
  <c r="O34" i="125"/>
  <c r="P306" i="125"/>
  <c r="P228" i="125"/>
  <c r="P148" i="125"/>
  <c r="R213" i="125"/>
  <c r="BH307" i="125"/>
  <c r="BH190" i="125"/>
  <c r="BH32" i="125"/>
  <c r="R55" i="125"/>
  <c r="R292" i="125"/>
  <c r="O123" i="125"/>
  <c r="O113" i="125"/>
  <c r="P269" i="125"/>
  <c r="BH254" i="125"/>
  <c r="BH290" i="125" s="1"/>
  <c r="BH227" i="125"/>
  <c r="BI134" i="125"/>
  <c r="BH17" i="125"/>
  <c r="BH46" i="125" s="1"/>
  <c r="P69" i="125"/>
  <c r="P227" i="125"/>
  <c r="R134" i="125"/>
  <c r="P149" i="125"/>
  <c r="Q337" i="125"/>
  <c r="Q55" i="125"/>
  <c r="P111" i="125"/>
  <c r="BH269" i="125"/>
  <c r="BH204" i="125"/>
  <c r="BH212" i="125" s="1"/>
  <c r="BI292" i="125"/>
  <c r="BG281" i="125"/>
  <c r="BG271" i="125"/>
  <c r="P190" i="125"/>
  <c r="BI337" i="125"/>
  <c r="BH149" i="125"/>
  <c r="O202" i="125"/>
  <c r="O192" i="125"/>
  <c r="P70" i="125"/>
  <c r="Q292" i="125"/>
  <c r="P32" i="125"/>
  <c r="BI55" i="125"/>
  <c r="BH96" i="125"/>
  <c r="BH132" i="125" s="1"/>
  <c r="P96" i="125"/>
  <c r="P132" i="125" s="1"/>
  <c r="P254" i="125"/>
  <c r="P290" i="125" s="1"/>
  <c r="R337" i="125"/>
  <c r="Q134" i="125"/>
  <c r="O281" i="125"/>
  <c r="O271" i="125"/>
  <c r="BG44" i="125"/>
  <c r="BG34" i="125"/>
  <c r="BH148" i="125"/>
  <c r="N241" i="125"/>
  <c r="N242" i="125"/>
  <c r="BK208" i="124"/>
  <c r="BK188" i="124" s="1"/>
  <c r="BM145" i="125"/>
  <c r="BP145" i="125" s="1"/>
  <c r="AG145" i="125"/>
  <c r="AJ145" i="125" s="1"/>
  <c r="N152" i="125"/>
  <c r="N158" i="125" s="1"/>
  <c r="AJ66" i="125"/>
  <c r="BE151" i="125"/>
  <c r="BE153" i="125"/>
  <c r="BE139" i="125"/>
  <c r="BE138" i="125"/>
  <c r="BE154" i="125"/>
  <c r="BE240" i="125"/>
  <c r="BE239" i="125"/>
  <c r="AG270" i="125"/>
  <c r="AI270" i="125" s="1"/>
  <c r="AI259" i="125"/>
  <c r="M74" i="125"/>
  <c r="M75" i="125"/>
  <c r="M59" i="125"/>
  <c r="M72" i="125"/>
  <c r="M60" i="125"/>
  <c r="BF57" i="125"/>
  <c r="M73" i="125"/>
  <c r="N126" i="125"/>
  <c r="BG287" i="125"/>
  <c r="BG289" i="125"/>
  <c r="AJ200" i="125"/>
  <c r="N47" i="125"/>
  <c r="BF333" i="125"/>
  <c r="AB77" i="120"/>
  <c r="BE60" i="125"/>
  <c r="BE59" i="125"/>
  <c r="BE72" i="125"/>
  <c r="BE74" i="125"/>
  <c r="BE75" i="125"/>
  <c r="BF47" i="125"/>
  <c r="AJ279" i="125"/>
  <c r="O289" i="125"/>
  <c r="O287" i="125"/>
  <c r="O283" i="125"/>
  <c r="O291" i="125" s="1"/>
  <c r="BG204" i="125"/>
  <c r="BG211" i="125"/>
  <c r="BG283" i="125"/>
  <c r="BG291" i="125" s="1"/>
  <c r="O208" i="125"/>
  <c r="O210" i="125"/>
  <c r="BF126" i="125"/>
  <c r="BG131" i="125"/>
  <c r="BG129" i="125"/>
  <c r="BJ335" i="120"/>
  <c r="AD47" i="124"/>
  <c r="BK204" i="120"/>
  <c r="BK212" i="120" s="1"/>
  <c r="BF136" i="125"/>
  <c r="L162" i="125"/>
  <c r="L163" i="125"/>
  <c r="M156" i="125"/>
  <c r="M157" i="125"/>
  <c r="O282" i="125"/>
  <c r="O203" i="125"/>
  <c r="BG125" i="125"/>
  <c r="BG132" i="125"/>
  <c r="BG124" i="125"/>
  <c r="N284" i="125"/>
  <c r="L160" i="125"/>
  <c r="L161" i="125"/>
  <c r="O129" i="125"/>
  <c r="O131" i="125"/>
  <c r="BG50" i="125"/>
  <c r="BG52" i="125"/>
  <c r="AG112" i="125"/>
  <c r="AI101" i="125"/>
  <c r="BE236" i="125"/>
  <c r="BE235" i="125"/>
  <c r="L156" i="125"/>
  <c r="L157" i="125"/>
  <c r="BG208" i="125"/>
  <c r="BG210" i="125"/>
  <c r="BG45" i="125"/>
  <c r="BK210" i="120"/>
  <c r="N218" i="125"/>
  <c r="N217" i="125"/>
  <c r="N230" i="125"/>
  <c r="M217" i="125"/>
  <c r="M230" i="125"/>
  <c r="M233" i="125"/>
  <c r="M232" i="125"/>
  <c r="M218" i="125"/>
  <c r="BF334" i="125"/>
  <c r="BF339" i="125" s="1"/>
  <c r="BE297" i="125"/>
  <c r="BE296" i="125"/>
  <c r="BE309" i="125"/>
  <c r="BE312" i="125"/>
  <c r="BE311" i="125"/>
  <c r="N54" i="125"/>
  <c r="N57" i="125" s="1"/>
  <c r="N335" i="125"/>
  <c r="O50" i="125"/>
  <c r="O52" i="125"/>
  <c r="BG203" i="125"/>
  <c r="O204" i="125"/>
  <c r="O212" i="125" s="1"/>
  <c r="CA51" i="119"/>
  <c r="CA31" i="117"/>
  <c r="CA51" i="118"/>
  <c r="CA49" i="119"/>
  <c r="CA31" i="118"/>
  <c r="CA51" i="117"/>
  <c r="CA31" i="119"/>
  <c r="CA49" i="117"/>
  <c r="CA49" i="118"/>
  <c r="BK334" i="124"/>
  <c r="BK339" i="124" s="1"/>
  <c r="AE271" i="124"/>
  <c r="AF111" i="124"/>
  <c r="AF129" i="124" s="1"/>
  <c r="AF109" i="124" s="1"/>
  <c r="AJ278" i="124"/>
  <c r="AN81" i="125"/>
  <c r="AN82" i="125"/>
  <c r="H236" i="125"/>
  <c r="H235" i="125"/>
  <c r="AF331" i="125"/>
  <c r="AG328" i="125"/>
  <c r="AI328" i="125" s="1"/>
  <c r="AI21" i="125"/>
  <c r="BO112" i="125"/>
  <c r="H162" i="125"/>
  <c r="H163" i="125"/>
  <c r="H315" i="125"/>
  <c r="H314" i="125"/>
  <c r="BM33" i="125"/>
  <c r="BM329" i="125"/>
  <c r="BM340" i="125" s="1"/>
  <c r="BO340" i="125" s="1"/>
  <c r="BO22" i="125"/>
  <c r="AI329" i="125"/>
  <c r="AT316" i="125"/>
  <c r="AT317" i="125"/>
  <c r="AN83" i="125"/>
  <c r="AN84" i="125"/>
  <c r="BO258" i="125"/>
  <c r="BO260" i="125"/>
  <c r="H157" i="125"/>
  <c r="H156" i="125"/>
  <c r="AI181" i="125"/>
  <c r="AN317" i="125"/>
  <c r="AN316" i="125"/>
  <c r="AI33" i="125"/>
  <c r="BL331" i="125"/>
  <c r="AN78" i="125"/>
  <c r="AN77" i="125"/>
  <c r="H79" i="125"/>
  <c r="H80" i="125"/>
  <c r="AI100" i="125"/>
  <c r="AN158" i="125"/>
  <c r="AN159" i="125"/>
  <c r="AN320" i="125"/>
  <c r="AN321" i="125"/>
  <c r="AI260" i="125"/>
  <c r="BO259" i="125"/>
  <c r="BM22" i="124"/>
  <c r="BM191" i="125"/>
  <c r="BO180" i="125"/>
  <c r="H81" i="125"/>
  <c r="H82" i="125"/>
  <c r="BO181" i="125"/>
  <c r="AN161" i="125"/>
  <c r="AN160" i="125"/>
  <c r="AG191" i="125"/>
  <c r="AI180" i="125"/>
  <c r="AN318" i="125"/>
  <c r="AN319" i="125"/>
  <c r="AT238" i="125"/>
  <c r="AT237" i="125"/>
  <c r="AN238" i="125"/>
  <c r="AN237" i="125"/>
  <c r="BO270" i="125"/>
  <c r="AI258" i="125"/>
  <c r="BO33" i="125"/>
  <c r="H84" i="125"/>
  <c r="H83" i="125"/>
  <c r="AN163" i="125"/>
  <c r="AN162" i="125"/>
  <c r="AT158" i="125"/>
  <c r="AT159" i="125"/>
  <c r="AN315" i="125"/>
  <c r="AN314" i="125"/>
  <c r="AI179" i="125"/>
  <c r="AN239" i="125"/>
  <c r="AN240" i="125"/>
  <c r="H238" i="125"/>
  <c r="H237" i="125"/>
  <c r="BM330" i="125"/>
  <c r="H77" i="125"/>
  <c r="H78" i="125"/>
  <c r="AN156" i="125"/>
  <c r="AN157" i="125"/>
  <c r="H316" i="125"/>
  <c r="H317" i="125"/>
  <c r="AN242" i="125"/>
  <c r="AN241" i="125"/>
  <c r="AG330" i="125"/>
  <c r="AI23" i="125"/>
  <c r="H242" i="125"/>
  <c r="H241" i="125"/>
  <c r="BO102" i="125"/>
  <c r="H159" i="125"/>
  <c r="H158" i="125"/>
  <c r="BO179" i="125"/>
  <c r="AT80" i="125"/>
  <c r="AT79" i="125"/>
  <c r="H320" i="125"/>
  <c r="H321" i="125"/>
  <c r="AN236" i="125"/>
  <c r="AN235" i="125"/>
  <c r="AN80" i="125"/>
  <c r="AN79" i="125"/>
  <c r="H239" i="125"/>
  <c r="H240" i="125"/>
  <c r="BM328" i="125"/>
  <c r="H160" i="125"/>
  <c r="H161" i="125"/>
  <c r="H319" i="125"/>
  <c r="H318" i="125"/>
  <c r="BJ205" i="120"/>
  <c r="BJ335" i="124"/>
  <c r="BK281" i="124"/>
  <c r="BM135" i="124"/>
  <c r="BP135" i="124" s="1"/>
  <c r="BP120" i="124"/>
  <c r="BM259" i="124"/>
  <c r="AG180" i="124"/>
  <c r="AJ197" i="124"/>
  <c r="BI138" i="120"/>
  <c r="BM101" i="124"/>
  <c r="BM112" i="124" s="1"/>
  <c r="AD333" i="124"/>
  <c r="AD341" i="124" s="1"/>
  <c r="BP199" i="124"/>
  <c r="BM56" i="124"/>
  <c r="BP56" i="124" s="1"/>
  <c r="BP41" i="124"/>
  <c r="AE289" i="120"/>
  <c r="AE294" i="120" s="1"/>
  <c r="AE335" i="124"/>
  <c r="AE334" i="124"/>
  <c r="AE339" i="124" s="1"/>
  <c r="BK208" i="120"/>
  <c r="BK188" i="120" s="1"/>
  <c r="AE192" i="124"/>
  <c r="BL192" i="120"/>
  <c r="BJ218" i="124"/>
  <c r="BJ217" i="124"/>
  <c r="BJ230" i="124"/>
  <c r="BJ233" i="124"/>
  <c r="BJ232" i="124"/>
  <c r="BK290" i="124"/>
  <c r="BL269" i="124"/>
  <c r="H315" i="124"/>
  <c r="H314" i="124"/>
  <c r="BJ297" i="124"/>
  <c r="BJ296" i="124"/>
  <c r="BJ309" i="124"/>
  <c r="BJ311" i="124"/>
  <c r="BJ312" i="124"/>
  <c r="BK287" i="124"/>
  <c r="BK289" i="124"/>
  <c r="BK44" i="124"/>
  <c r="BK47" i="124" s="1"/>
  <c r="BK129" i="124"/>
  <c r="BK131" i="124"/>
  <c r="N237" i="124"/>
  <c r="N238" i="124"/>
  <c r="BI235" i="120"/>
  <c r="BI236" i="120"/>
  <c r="AN321" i="124"/>
  <c r="AN320" i="124"/>
  <c r="H160" i="124"/>
  <c r="H161" i="124"/>
  <c r="BI321" i="120"/>
  <c r="BI320" i="120"/>
  <c r="AF45" i="124"/>
  <c r="AF25" i="124"/>
  <c r="AF34" i="124" s="1"/>
  <c r="BI321" i="124"/>
  <c r="BI320" i="124"/>
  <c r="BI241" i="124"/>
  <c r="BI242" i="124"/>
  <c r="N317" i="124"/>
  <c r="N316" i="124"/>
  <c r="BM70" i="124" a="1"/>
  <c r="BM70" i="124" s="1"/>
  <c r="BM16" i="124"/>
  <c r="BM17" i="124" s="1"/>
  <c r="BO17" i="124" s="1"/>
  <c r="BM26" i="124"/>
  <c r="BM27" i="124"/>
  <c r="BM69" i="124" a="1"/>
  <c r="BM69" i="124" s="1"/>
  <c r="BO15" i="124"/>
  <c r="BM102" i="124"/>
  <c r="BM181" i="124"/>
  <c r="AF204" i="124"/>
  <c r="AD284" i="124"/>
  <c r="AN79" i="124"/>
  <c r="AN80" i="124"/>
  <c r="BL290" i="124"/>
  <c r="AG227" i="124" a="1"/>
  <c r="AG227" i="124" s="1"/>
  <c r="AG228" i="124" a="1"/>
  <c r="AG228" i="124" s="1"/>
  <c r="AG184" i="124"/>
  <c r="AG174" i="124"/>
  <c r="AG175" i="124" s="1"/>
  <c r="AI175" i="124" s="1"/>
  <c r="AG185" i="124"/>
  <c r="AI173" i="124"/>
  <c r="BI81" i="124"/>
  <c r="BI82" i="124"/>
  <c r="BI161" i="124"/>
  <c r="BI160" i="124"/>
  <c r="N158" i="124"/>
  <c r="N159" i="124"/>
  <c r="BJ30" i="124"/>
  <c r="AF32" i="124"/>
  <c r="AF328" i="124"/>
  <c r="AT237" i="124"/>
  <c r="AT238" i="124"/>
  <c r="AN318" i="124"/>
  <c r="AN319" i="124"/>
  <c r="H163" i="124"/>
  <c r="H162" i="124"/>
  <c r="BI314" i="120"/>
  <c r="BI315" i="120"/>
  <c r="BM307" i="120" a="1"/>
  <c r="BM307" i="120" s="1"/>
  <c r="BM264" i="120"/>
  <c r="BO264" i="120" s="1"/>
  <c r="BM263" i="120"/>
  <c r="BM306" i="120" a="1"/>
  <c r="BM306" i="120" s="1"/>
  <c r="BM253" i="120"/>
  <c r="BL283" i="124"/>
  <c r="BI318" i="124"/>
  <c r="BI319" i="124"/>
  <c r="AD242" i="124"/>
  <c r="AD241" i="124"/>
  <c r="BI240" i="124"/>
  <c r="BI239" i="124"/>
  <c r="AT317" i="120"/>
  <c r="AT316" i="120"/>
  <c r="AE331" i="124"/>
  <c r="AD334" i="124"/>
  <c r="AD339" i="124" s="1"/>
  <c r="BM148" i="124" a="1"/>
  <c r="BM148" i="124" s="1"/>
  <c r="BM105" i="124"/>
  <c r="BM149" i="124" a="1"/>
  <c r="BM149" i="124" s="1"/>
  <c r="BM95" i="124"/>
  <c r="BM96" i="124" s="1"/>
  <c r="BO96" i="124" s="1"/>
  <c r="BM106" i="124"/>
  <c r="BO173" i="124"/>
  <c r="BM260" i="124"/>
  <c r="BK283" i="120"/>
  <c r="BK291" i="120" s="1"/>
  <c r="BK290" i="120"/>
  <c r="AN83" i="124"/>
  <c r="AN84" i="124"/>
  <c r="AD294" i="124"/>
  <c r="H80" i="124"/>
  <c r="H79" i="124"/>
  <c r="BL46" i="124"/>
  <c r="BL54" i="124" s="1"/>
  <c r="AF125" i="124"/>
  <c r="AF133" i="124" s="1"/>
  <c r="AN237" i="124"/>
  <c r="AN238" i="124"/>
  <c r="BI77" i="124"/>
  <c r="BI78" i="124"/>
  <c r="BI156" i="124"/>
  <c r="BI157" i="124"/>
  <c r="BJ57" i="124"/>
  <c r="AE126" i="124"/>
  <c r="AE113" i="124"/>
  <c r="AE131" i="124"/>
  <c r="AE129" i="124"/>
  <c r="AE109" i="124" s="1"/>
  <c r="AE284" i="124"/>
  <c r="AN314" i="124"/>
  <c r="AN315" i="124"/>
  <c r="H156" i="124"/>
  <c r="H157" i="124"/>
  <c r="BM174" i="120"/>
  <c r="BM175" i="120" s="1"/>
  <c r="BM211" i="120" s="1"/>
  <c r="BM227" i="120" a="1"/>
  <c r="BM227" i="120" s="1"/>
  <c r="BM184" i="120"/>
  <c r="BM228" i="120" a="1"/>
  <c r="BM228" i="120" s="1"/>
  <c r="BM185" i="120"/>
  <c r="BM260" i="120"/>
  <c r="BL282" i="124"/>
  <c r="BL262" i="124"/>
  <c r="BL281" i="124" s="1"/>
  <c r="BI315" i="124"/>
  <c r="BI314" i="124"/>
  <c r="AD240" i="124"/>
  <c r="AD239" i="124"/>
  <c r="BI236" i="124"/>
  <c r="BI235" i="124"/>
  <c r="AE50" i="124"/>
  <c r="AE52" i="124"/>
  <c r="AE57" i="124" s="1"/>
  <c r="BM306" i="124" a="1"/>
  <c r="BM306" i="124" s="1"/>
  <c r="BM263" i="124"/>
  <c r="BM307" i="124" a="1"/>
  <c r="BM307" i="124" s="1"/>
  <c r="BM253" i="124"/>
  <c r="BM254" i="124" s="1"/>
  <c r="BO254" i="124" s="1"/>
  <c r="BM264" i="124"/>
  <c r="AF269" i="124"/>
  <c r="BJ136" i="124"/>
  <c r="BK126" i="124"/>
  <c r="AN82" i="124"/>
  <c r="AN81" i="124"/>
  <c r="AD267" i="124"/>
  <c r="H83" i="124"/>
  <c r="H84" i="124"/>
  <c r="BL190" i="124"/>
  <c r="BL45" i="124"/>
  <c r="BL25" i="124"/>
  <c r="BL34" i="124" s="1"/>
  <c r="AF190" i="124"/>
  <c r="AG22" i="124"/>
  <c r="AI252" i="124"/>
  <c r="AF124" i="124"/>
  <c r="AF104" i="124"/>
  <c r="AF123" i="124" s="1"/>
  <c r="AN239" i="124"/>
  <c r="AN240" i="124"/>
  <c r="AG101" i="120"/>
  <c r="AG112" i="120" s="1"/>
  <c r="AI112" i="120" s="1"/>
  <c r="AC320" i="124"/>
  <c r="AC321" i="124"/>
  <c r="BL287" i="120"/>
  <c r="BL267" i="120" s="1"/>
  <c r="BL289" i="120"/>
  <c r="BL303" i="124"/>
  <c r="AD109" i="124"/>
  <c r="BL145" i="120"/>
  <c r="BP145" i="120" s="1"/>
  <c r="BM258" i="120"/>
  <c r="BM200" i="120"/>
  <c r="BM224" i="120" s="1"/>
  <c r="BM214" i="120"/>
  <c r="AD235" i="124"/>
  <c r="BM21" i="124"/>
  <c r="BM42" i="124"/>
  <c r="BM66" i="124" s="1"/>
  <c r="BP66" i="124" s="1"/>
  <c r="BO252" i="124"/>
  <c r="AF203" i="124"/>
  <c r="AF183" i="124"/>
  <c r="AF202" i="124" s="1"/>
  <c r="AN77" i="124"/>
  <c r="AN78" i="124"/>
  <c r="BK271" i="124"/>
  <c r="H81" i="124"/>
  <c r="H82" i="124"/>
  <c r="AI15" i="124"/>
  <c r="AG100" i="124"/>
  <c r="AG121" i="124"/>
  <c r="AG279" i="124"/>
  <c r="AG303" i="124" s="1"/>
  <c r="AJ303" i="124" s="1"/>
  <c r="AG258" i="124"/>
  <c r="AN241" i="124"/>
  <c r="AN242" i="124"/>
  <c r="BK281" i="120"/>
  <c r="AJ303" i="120"/>
  <c r="BL132" i="124"/>
  <c r="AC319" i="124"/>
  <c r="AC318" i="124"/>
  <c r="BJ47" i="124"/>
  <c r="AF303" i="120"/>
  <c r="AE208" i="124"/>
  <c r="AE210" i="124"/>
  <c r="AE133" i="124"/>
  <c r="H237" i="124"/>
  <c r="H238" i="124"/>
  <c r="AD136" i="124"/>
  <c r="AF282" i="124"/>
  <c r="AF262" i="124"/>
  <c r="AF281" i="124" s="1"/>
  <c r="AN159" i="124"/>
  <c r="AN158" i="124"/>
  <c r="BL191" i="124"/>
  <c r="AF33" i="124"/>
  <c r="AF329" i="124"/>
  <c r="AI22" i="124"/>
  <c r="BM23" i="124"/>
  <c r="BO23" i="124" s="1"/>
  <c r="BL203" i="124"/>
  <c r="BL183" i="124"/>
  <c r="BL202" i="124" s="1"/>
  <c r="AE205" i="124"/>
  <c r="BL175" i="120"/>
  <c r="BL203" i="120" s="1"/>
  <c r="H78" i="124"/>
  <c r="H77" i="124"/>
  <c r="BO101" i="124"/>
  <c r="BL111" i="124"/>
  <c r="BK203" i="120"/>
  <c r="BK334" i="120" s="1"/>
  <c r="BK339" i="120" s="1"/>
  <c r="AG42" i="124"/>
  <c r="AG66" i="124" s="1"/>
  <c r="AJ66" i="124" s="1"/>
  <c r="AG21" i="124"/>
  <c r="AI21" i="124" s="1"/>
  <c r="AG102" i="124"/>
  <c r="AG200" i="124"/>
  <c r="AG224" i="124" s="1"/>
  <c r="AJ224" i="124" s="1"/>
  <c r="AG179" i="124"/>
  <c r="AG260" i="124"/>
  <c r="AN235" i="124"/>
  <c r="AN236" i="124"/>
  <c r="BK283" i="124"/>
  <c r="BL283" i="120"/>
  <c r="BL291" i="120" s="1"/>
  <c r="BI345" i="124"/>
  <c r="BI344" i="124"/>
  <c r="AF270" i="124"/>
  <c r="AI259" i="124"/>
  <c r="AC314" i="124"/>
  <c r="AC315" i="124"/>
  <c r="AC217" i="124"/>
  <c r="AC218" i="124"/>
  <c r="AC230" i="124"/>
  <c r="AC233" i="124"/>
  <c r="AC232" i="124"/>
  <c r="H317" i="124"/>
  <c r="H316" i="124"/>
  <c r="AC83" i="124"/>
  <c r="AC84" i="124"/>
  <c r="AT79" i="124"/>
  <c r="AT80" i="124"/>
  <c r="H240" i="124"/>
  <c r="H239" i="124"/>
  <c r="AN161" i="124"/>
  <c r="AN160" i="124"/>
  <c r="BM259" i="120"/>
  <c r="BM270" i="120" s="1"/>
  <c r="AF145" i="120"/>
  <c r="AF46" i="124"/>
  <c r="AF54" i="124" s="1"/>
  <c r="BO94" i="124"/>
  <c r="BM180" i="124"/>
  <c r="BM191" i="124" s="1"/>
  <c r="BJ126" i="124"/>
  <c r="BK132" i="124"/>
  <c r="BO112" i="124"/>
  <c r="BK202" i="120"/>
  <c r="BK192" i="120"/>
  <c r="AG69" i="124" a="1"/>
  <c r="AG69" i="124" s="1"/>
  <c r="AG26" i="124"/>
  <c r="AG70" i="124" a="1"/>
  <c r="AG70" i="124" s="1"/>
  <c r="AG16" i="124"/>
  <c r="AG17" i="124" s="1"/>
  <c r="AI17" i="124" s="1"/>
  <c r="AG27" i="124"/>
  <c r="AG23" i="124"/>
  <c r="AG101" i="124"/>
  <c r="AG112" i="124" s="1"/>
  <c r="AG181" i="124"/>
  <c r="BL262" i="120"/>
  <c r="BL281" i="120" s="1"/>
  <c r="BL282" i="120"/>
  <c r="BL124" i="124"/>
  <c r="BL104" i="124"/>
  <c r="BL123" i="124" s="1"/>
  <c r="H321" i="124"/>
  <c r="H320" i="124"/>
  <c r="BK205" i="124"/>
  <c r="N80" i="124"/>
  <c r="N79" i="124"/>
  <c r="BL33" i="124"/>
  <c r="BL329" i="124"/>
  <c r="BO22" i="124"/>
  <c r="BI241" i="120"/>
  <c r="BI242" i="120"/>
  <c r="BJ312" i="120"/>
  <c r="BJ297" i="120"/>
  <c r="BJ296" i="120"/>
  <c r="BJ309" i="120"/>
  <c r="BJ311" i="120"/>
  <c r="H241" i="124"/>
  <c r="H242" i="124"/>
  <c r="BL330" i="124"/>
  <c r="AN162" i="124"/>
  <c r="AN163" i="124"/>
  <c r="BL32" i="124"/>
  <c r="BL328" i="124"/>
  <c r="BK289" i="120"/>
  <c r="BK287" i="120"/>
  <c r="BK267" i="120" s="1"/>
  <c r="AD57" i="124"/>
  <c r="BM33" i="124"/>
  <c r="BM329" i="124"/>
  <c r="BM340" i="124" s="1"/>
  <c r="BL204" i="124"/>
  <c r="BK331" i="124"/>
  <c r="AF112" i="124"/>
  <c r="AI101" i="124"/>
  <c r="AG253" i="124"/>
  <c r="AG306" i="124" a="1"/>
  <c r="AG306" i="124" s="1"/>
  <c r="AG263" i="124"/>
  <c r="AG264" i="124"/>
  <c r="AG307" i="124" a="1"/>
  <c r="AG307" i="124" s="1"/>
  <c r="AG191" i="124"/>
  <c r="AI180" i="124"/>
  <c r="AC341" i="124"/>
  <c r="AT158" i="120"/>
  <c r="AT159" i="120"/>
  <c r="BL125" i="124"/>
  <c r="AF330" i="124"/>
  <c r="AI23" i="124"/>
  <c r="H319" i="124"/>
  <c r="H318" i="124"/>
  <c r="AC161" i="124"/>
  <c r="AC160" i="124"/>
  <c r="AT238" i="120"/>
  <c r="AT237" i="120"/>
  <c r="AE287" i="124"/>
  <c r="AE267" i="124" s="1"/>
  <c r="AE289" i="124"/>
  <c r="AE294" i="124" s="1"/>
  <c r="BI239" i="120"/>
  <c r="BI240" i="120"/>
  <c r="AN316" i="124"/>
  <c r="AN317" i="124"/>
  <c r="H235" i="124"/>
  <c r="H236" i="124"/>
  <c r="H158" i="124"/>
  <c r="H159" i="124"/>
  <c r="BI318" i="120"/>
  <c r="BI319" i="120"/>
  <c r="AF283" i="124"/>
  <c r="AE44" i="124"/>
  <c r="AE47" i="124" s="1"/>
  <c r="AN157" i="124"/>
  <c r="AN156" i="124"/>
  <c r="BM279" i="120"/>
  <c r="BM303" i="120" s="1"/>
  <c r="BM293" i="120"/>
  <c r="BK192" i="124"/>
  <c r="AT317" i="124"/>
  <c r="AT316" i="124"/>
  <c r="BM184" i="124"/>
  <c r="BM227" i="124" a="1"/>
  <c r="BM227" i="124" s="1"/>
  <c r="BM185" i="124"/>
  <c r="BM228" i="124" a="1"/>
  <c r="BM228" i="124" s="1"/>
  <c r="BM174" i="124"/>
  <c r="BM121" i="124"/>
  <c r="BM145" i="124" s="1"/>
  <c r="BP145" i="124" s="1"/>
  <c r="BM100" i="124"/>
  <c r="BM200" i="124"/>
  <c r="BM224" i="124" s="1"/>
  <c r="BP224" i="124" s="1"/>
  <c r="BM179" i="124"/>
  <c r="BM279" i="124"/>
  <c r="BM303" i="124" s="1"/>
  <c r="BM258" i="124"/>
  <c r="BK52" i="124"/>
  <c r="BK57" i="124" s="1"/>
  <c r="BK50" i="124"/>
  <c r="BK30" i="124" s="1"/>
  <c r="BL190" i="120"/>
  <c r="AG105" i="124"/>
  <c r="AG149" i="124" a="1"/>
  <c r="AG149" i="124" s="1"/>
  <c r="AG106" i="124"/>
  <c r="AG95" i="124"/>
  <c r="AG96" i="124" s="1"/>
  <c r="AI96" i="124" s="1"/>
  <c r="AG148" i="124" a="1"/>
  <c r="AG148" i="124" s="1"/>
  <c r="BI84" i="124"/>
  <c r="BI83" i="124"/>
  <c r="BI162" i="124"/>
  <c r="BI163" i="124"/>
  <c r="AT158" i="124"/>
  <c r="AT159" i="124"/>
  <c r="BL96" i="120"/>
  <c r="BL123" i="120" s="1"/>
  <c r="BH160" i="120"/>
  <c r="BH161" i="120"/>
  <c r="BM148" i="120" a="1"/>
  <c r="BM148" i="120" s="1"/>
  <c r="BM149" i="120" a="1"/>
  <c r="BM149" i="120" s="1"/>
  <c r="BI151" i="120"/>
  <c r="BI153" i="120"/>
  <c r="BI154" i="120"/>
  <c r="BH162" i="120"/>
  <c r="BH163" i="120"/>
  <c r="BH156" i="120"/>
  <c r="BH157" i="120"/>
  <c r="BH82" i="120"/>
  <c r="AB84" i="120"/>
  <c r="AB81" i="120"/>
  <c r="BH83" i="120"/>
  <c r="AC84" i="120"/>
  <c r="BK125" i="120"/>
  <c r="BK133" i="120" s="1"/>
  <c r="AE284" i="120"/>
  <c r="CB29" i="118"/>
  <c r="CB29" i="119"/>
  <c r="CB29" i="67"/>
  <c r="CB31" i="117"/>
  <c r="CB29" i="117"/>
  <c r="CB49" i="119"/>
  <c r="CB49" i="118"/>
  <c r="CB51" i="119"/>
  <c r="CB51" i="118"/>
  <c r="CB49" i="117"/>
  <c r="CB51" i="117"/>
  <c r="CB31" i="118"/>
  <c r="CB31" i="119"/>
  <c r="AC78" i="120"/>
  <c r="BH78" i="120"/>
  <c r="AE208" i="120"/>
  <c r="AE188" i="120" s="1"/>
  <c r="AE335" i="120"/>
  <c r="AG259" i="120"/>
  <c r="AG270" i="120" s="1"/>
  <c r="AI270" i="120" s="1"/>
  <c r="BL329" i="120"/>
  <c r="BL340" i="120" s="1"/>
  <c r="AJ279" i="120"/>
  <c r="AJ200" i="120"/>
  <c r="BK132" i="120"/>
  <c r="AD341" i="120"/>
  <c r="AD342" i="120" s="1"/>
  <c r="BJ333" i="120"/>
  <c r="AE333" i="120"/>
  <c r="AE334" i="120"/>
  <c r="AE339" i="120" s="1"/>
  <c r="BJ334" i="120"/>
  <c r="BJ339" i="120" s="1"/>
  <c r="BK123" i="120"/>
  <c r="AF203" i="120"/>
  <c r="AJ203" i="120" s="1"/>
  <c r="AF44" i="120"/>
  <c r="AJ44" i="120" s="1"/>
  <c r="AF281" i="120"/>
  <c r="BJ30" i="120"/>
  <c r="AE331" i="120"/>
  <c r="BL45" i="120"/>
  <c r="BP45" i="120" s="1"/>
  <c r="BI339" i="120"/>
  <c r="AD215" i="120"/>
  <c r="BM106" i="120"/>
  <c r="BO106" i="120" s="1"/>
  <c r="BM105" i="120"/>
  <c r="BM95" i="120"/>
  <c r="AI259" i="120"/>
  <c r="AD136" i="120"/>
  <c r="BL112" i="120"/>
  <c r="AE52" i="120"/>
  <c r="AE57" i="120" s="1"/>
  <c r="AE50" i="120"/>
  <c r="AE30" i="120" s="1"/>
  <c r="AF125" i="120"/>
  <c r="BH342" i="120"/>
  <c r="BL53" i="120"/>
  <c r="BP53" i="120" s="1"/>
  <c r="BL46" i="120"/>
  <c r="BP224" i="120"/>
  <c r="AF191" i="120"/>
  <c r="AI180" i="120"/>
  <c r="AD188" i="120"/>
  <c r="AJ290" i="120"/>
  <c r="BO94" i="120"/>
  <c r="BM121" i="120"/>
  <c r="BM145" i="120" s="1"/>
  <c r="BM135" i="120"/>
  <c r="AD109" i="120"/>
  <c r="AG21" i="120"/>
  <c r="AG42" i="120"/>
  <c r="AG66" i="120" s="1"/>
  <c r="AG260" i="120"/>
  <c r="AI260" i="120" s="1"/>
  <c r="AG102" i="120"/>
  <c r="AI102" i="120" s="1"/>
  <c r="AG22" i="120"/>
  <c r="AI22" i="120" s="1"/>
  <c r="AJ66" i="120"/>
  <c r="AJ42" i="120"/>
  <c r="AD30" i="120"/>
  <c r="AF124" i="120"/>
  <c r="AJ124" i="120" s="1"/>
  <c r="BI341" i="120"/>
  <c r="AC163" i="120"/>
  <c r="AC162" i="120"/>
  <c r="AC239" i="120"/>
  <c r="AC240" i="120"/>
  <c r="AF45" i="120"/>
  <c r="AJ45" i="120" s="1"/>
  <c r="AF111" i="120"/>
  <c r="BI57" i="120"/>
  <c r="BM42" i="120"/>
  <c r="BM66" i="120" s="1"/>
  <c r="BM21" i="120"/>
  <c r="BO252" i="120"/>
  <c r="AF271" i="120"/>
  <c r="AJ132" i="120"/>
  <c r="BJ109" i="120"/>
  <c r="AG69" i="120" a="1"/>
  <c r="AG69" i="120" s="1"/>
  <c r="AG16" i="120"/>
  <c r="AI16" i="120" s="1"/>
  <c r="AG26" i="120"/>
  <c r="AG25" i="120" s="1"/>
  <c r="AG70" i="120" a="1"/>
  <c r="AG70" i="120" s="1"/>
  <c r="AG27" i="120"/>
  <c r="AF32" i="120"/>
  <c r="AF328" i="120"/>
  <c r="AI21" i="120"/>
  <c r="BO181" i="120"/>
  <c r="AF34" i="120"/>
  <c r="AF330" i="120"/>
  <c r="BO258" i="120"/>
  <c r="AC160" i="120"/>
  <c r="AC161" i="120"/>
  <c r="AC241" i="120"/>
  <c r="AC242" i="120"/>
  <c r="AF46" i="120"/>
  <c r="AJ145" i="120"/>
  <c r="BO180" i="120"/>
  <c r="BJ136" i="120"/>
  <c r="AG253" i="120"/>
  <c r="AI253" i="120" s="1"/>
  <c r="AG306" i="120" a="1"/>
  <c r="AG306" i="120" s="1"/>
  <c r="AG264" i="120"/>
  <c r="AG307" i="120" a="1"/>
  <c r="AG307" i="120" s="1"/>
  <c r="AG263" i="120"/>
  <c r="AG262" i="120" s="1"/>
  <c r="AI262" i="120" s="1"/>
  <c r="AI15" i="120"/>
  <c r="AF33" i="120"/>
  <c r="AF329" i="120"/>
  <c r="AD57" i="120"/>
  <c r="AF282" i="120"/>
  <c r="AJ282" i="120" s="1"/>
  <c r="AE205" i="120"/>
  <c r="AD294" i="120"/>
  <c r="BK331" i="120"/>
  <c r="BL25" i="120"/>
  <c r="BL34" i="120" s="1"/>
  <c r="AE47" i="120"/>
  <c r="AF183" i="120"/>
  <c r="AF202" i="120" s="1"/>
  <c r="AE129" i="120"/>
  <c r="AE109" i="120" s="1"/>
  <c r="AE131" i="120"/>
  <c r="AE136" i="120" s="1"/>
  <c r="AC156" i="120"/>
  <c r="AC157" i="120"/>
  <c r="AF190" i="120"/>
  <c r="BK129" i="120"/>
  <c r="BK109" i="120" s="1"/>
  <c r="BK131" i="120"/>
  <c r="BM101" i="120"/>
  <c r="BM112" i="120" s="1"/>
  <c r="BM22" i="120"/>
  <c r="BK47" i="120"/>
  <c r="AI94" i="120"/>
  <c r="AG149" i="120" a="1"/>
  <c r="AG149" i="120" s="1"/>
  <c r="AG106" i="120"/>
  <c r="AG148" i="120" a="1"/>
  <c r="AG148" i="120" s="1"/>
  <c r="AG95" i="120"/>
  <c r="AI95" i="120" s="1"/>
  <c r="AG105" i="120"/>
  <c r="AG104" i="120" s="1"/>
  <c r="AG179" i="120"/>
  <c r="AG200" i="120"/>
  <c r="AG224" i="120" s="1"/>
  <c r="AC319" i="120"/>
  <c r="AC318" i="120"/>
  <c r="AD267" i="120"/>
  <c r="BK50" i="120"/>
  <c r="BK30" i="120" s="1"/>
  <c r="BK52" i="120"/>
  <c r="BK57" i="120" s="1"/>
  <c r="AE126" i="120"/>
  <c r="AF204" i="120"/>
  <c r="AF212" i="120" s="1"/>
  <c r="AE212" i="120"/>
  <c r="BL330" i="120"/>
  <c r="AG184" i="120"/>
  <c r="AG183" i="120" s="1"/>
  <c r="AG228" i="120" a="1"/>
  <c r="AG228" i="120" s="1"/>
  <c r="AG185" i="120"/>
  <c r="AG174" i="120"/>
  <c r="AI174" i="120" s="1"/>
  <c r="AG227" i="120" a="1"/>
  <c r="AG227" i="120" s="1"/>
  <c r="AI173" i="120"/>
  <c r="AG121" i="120"/>
  <c r="AG145" i="120" s="1"/>
  <c r="AG100" i="120"/>
  <c r="AG279" i="120"/>
  <c r="AG303" i="120" s="1"/>
  <c r="AG258" i="120"/>
  <c r="AC321" i="120"/>
  <c r="AC320" i="120"/>
  <c r="AF283" i="120"/>
  <c r="BJ126" i="120"/>
  <c r="BL32" i="120"/>
  <c r="BL328" i="120"/>
  <c r="BO21" i="120"/>
  <c r="AF269" i="120"/>
  <c r="BL111" i="120"/>
  <c r="BO15" i="120"/>
  <c r="BM102" i="120"/>
  <c r="BO173" i="120"/>
  <c r="AG181" i="120"/>
  <c r="AG23" i="120"/>
  <c r="AI23" i="120" s="1"/>
  <c r="BJ57" i="120"/>
  <c r="AI101" i="120"/>
  <c r="BL113" i="120"/>
  <c r="AC314" i="120"/>
  <c r="AC315" i="120"/>
  <c r="AF104" i="120"/>
  <c r="BP66" i="120"/>
  <c r="BP42" i="120"/>
  <c r="AC236" i="120"/>
  <c r="AC235" i="120"/>
  <c r="BM70" i="120" a="1"/>
  <c r="BM70" i="120" s="1"/>
  <c r="BM26" i="120"/>
  <c r="BM25" i="120" s="1"/>
  <c r="BM27" i="120"/>
  <c r="BM16" i="120"/>
  <c r="BO16" i="120" s="1"/>
  <c r="BM69" i="120" a="1"/>
  <c r="BM69" i="120" s="1"/>
  <c r="BM23" i="120"/>
  <c r="BO23" i="120" s="1"/>
  <c r="BM100" i="120"/>
  <c r="BO260" i="120"/>
  <c r="AD47" i="120"/>
  <c r="G241" i="120"/>
  <c r="G242" i="120"/>
  <c r="G320" i="120"/>
  <c r="G321" i="120"/>
  <c r="N317" i="120"/>
  <c r="N316" i="120"/>
  <c r="G239" i="120"/>
  <c r="G240" i="120"/>
  <c r="G319" i="120"/>
  <c r="G318" i="120"/>
  <c r="AM79" i="120"/>
  <c r="AM80" i="120"/>
  <c r="G235" i="120"/>
  <c r="G236" i="120"/>
  <c r="N159" i="120"/>
  <c r="N158" i="120"/>
  <c r="G314" i="120"/>
  <c r="G315" i="120"/>
  <c r="AM82" i="120"/>
  <c r="AM81" i="120"/>
  <c r="AM83" i="120"/>
  <c r="AM84" i="120"/>
  <c r="G159" i="120"/>
  <c r="G158" i="120"/>
  <c r="G80" i="120"/>
  <c r="G79" i="120"/>
  <c r="AM77" i="120"/>
  <c r="AM78" i="120"/>
  <c r="G163" i="120"/>
  <c r="G162" i="120"/>
  <c r="G83" i="120"/>
  <c r="G84" i="120"/>
  <c r="N80" i="120"/>
  <c r="N79" i="120"/>
  <c r="N237" i="120"/>
  <c r="N238" i="120"/>
  <c r="G160" i="120"/>
  <c r="G161" i="120"/>
  <c r="G81" i="120"/>
  <c r="G82" i="120"/>
  <c r="AT79" i="120"/>
  <c r="AT80" i="120"/>
  <c r="G237" i="120"/>
  <c r="G238" i="120"/>
  <c r="G316" i="120"/>
  <c r="G317" i="120"/>
  <c r="G156" i="120"/>
  <c r="G157" i="120"/>
  <c r="G77" i="120"/>
  <c r="BZ31" i="117"/>
  <c r="CC51" i="67"/>
  <c r="CA49" i="67"/>
  <c r="CB31" i="67"/>
  <c r="CA31" i="67"/>
  <c r="BZ49" i="117"/>
  <c r="BZ51" i="117"/>
  <c r="BZ51" i="118"/>
  <c r="BZ49" i="118"/>
  <c r="BZ49" i="119"/>
  <c r="BZ51" i="119"/>
  <c r="CD31" i="67"/>
  <c r="CB51" i="67"/>
  <c r="CD29" i="67"/>
  <c r="CD63" i="67" s="1"/>
  <c r="CA51" i="67"/>
  <c r="BZ51" i="67"/>
  <c r="CB49" i="67"/>
  <c r="BZ49" i="67"/>
  <c r="CC63" i="119"/>
  <c r="CA29" i="119"/>
  <c r="CA29" i="118"/>
  <c r="CA29" i="117"/>
  <c r="CA29" i="67"/>
  <c r="BZ31" i="119"/>
  <c r="BZ29" i="119"/>
  <c r="CV6" i="119"/>
  <c r="CC63" i="118"/>
  <c r="BZ31" i="118"/>
  <c r="BZ29" i="118"/>
  <c r="CU6" i="118"/>
  <c r="BZ29" i="117"/>
  <c r="CV6" i="117"/>
  <c r="CC63" i="117"/>
  <c r="CG24" i="67"/>
  <c r="CG58" i="67" s="1"/>
  <c r="CE28" i="67"/>
  <c r="CE62" i="67" s="1"/>
  <c r="CE21" i="67"/>
  <c r="CC65" i="67"/>
  <c r="CF25" i="67"/>
  <c r="CF59" i="67" s="1"/>
  <c r="CF26" i="67"/>
  <c r="CF60" i="67" s="1"/>
  <c r="CD65" i="67"/>
  <c r="CA65" i="67"/>
  <c r="CB65" i="67"/>
  <c r="CC31" i="67"/>
  <c r="BZ31" i="67"/>
  <c r="BZ29" i="67"/>
  <c r="CC29" i="67"/>
  <c r="CE17" i="67"/>
  <c r="CH9" i="67"/>
  <c r="CI10" i="67"/>
  <c r="CI12" i="67"/>
  <c r="CI11" i="67"/>
  <c r="CH48" i="67"/>
  <c r="M14" i="77"/>
  <c r="M15" i="77"/>
  <c r="M13" i="77"/>
  <c r="M12" i="77"/>
  <c r="CH25" i="67" a="1"/>
  <c r="F52" i="30"/>
  <c r="Q69" i="125" a="1"/>
  <c r="Q148" i="125" a="1"/>
  <c r="J51" i="30"/>
  <c r="R307" i="125" a="1"/>
  <c r="Q263" i="125"/>
  <c r="BI306" i="125" a="1"/>
  <c r="R149" i="125" a="1"/>
  <c r="F43" i="30"/>
  <c r="Q227" i="125" a="1"/>
  <c r="N109" i="125"/>
  <c r="CF20" i="67" a="1"/>
  <c r="F54" i="30"/>
  <c r="CF27" i="67" a="1"/>
  <c r="G50" i="30"/>
  <c r="CG25" i="67" a="1"/>
  <c r="K65" i="30"/>
  <c r="K71" i="30"/>
  <c r="BI185" i="125"/>
  <c r="G54" i="30"/>
  <c r="R95" i="125"/>
  <c r="CH24" i="67" a="1"/>
  <c r="G51" i="30"/>
  <c r="BI106" i="125"/>
  <c r="J41" i="30"/>
  <c r="J65" i="30"/>
  <c r="R253" i="125"/>
  <c r="J70" i="30"/>
  <c r="K51" i="30"/>
  <c r="J56" i="30"/>
  <c r="K38" i="30"/>
  <c r="F66" i="30"/>
  <c r="BI184" i="125"/>
  <c r="R228" i="125" a="1"/>
  <c r="F40" i="30"/>
  <c r="G37" i="30"/>
  <c r="G67" i="30"/>
  <c r="J64" i="30"/>
  <c r="BG109" i="125"/>
  <c r="G42" i="30"/>
  <c r="K40" i="30"/>
  <c r="Q106" i="125"/>
  <c r="BH262" i="125"/>
  <c r="J68" i="30"/>
  <c r="J50" i="30"/>
  <c r="K39" i="30"/>
  <c r="Q264" i="125"/>
  <c r="Q149" i="125" a="1"/>
  <c r="J39" i="30"/>
  <c r="Q95" i="125"/>
  <c r="CE29" i="67" a="1"/>
  <c r="G40" i="30"/>
  <c r="BI263" i="125"/>
  <c r="Q253" i="125"/>
  <c r="BI227" i="125" a="1"/>
  <c r="Q105" i="125"/>
  <c r="Q228" i="125" a="1"/>
  <c r="F38" i="30"/>
  <c r="CF21" i="67" a="1"/>
  <c r="R69" i="125" a="1"/>
  <c r="P104" i="125"/>
  <c r="F53" i="30"/>
  <c r="CG23" i="67" a="1"/>
  <c r="BG267" i="125"/>
  <c r="BI27" i="125"/>
  <c r="G64" i="30"/>
  <c r="P183" i="125"/>
  <c r="CG17" i="67" a="1"/>
  <c r="G68" i="30"/>
  <c r="CI9" i="67" a="1"/>
  <c r="BG30" i="125"/>
  <c r="R148" i="125" a="1"/>
  <c r="G57" i="30"/>
  <c r="F65" i="30"/>
  <c r="J36" i="30"/>
  <c r="R16" i="125"/>
  <c r="J52" i="30"/>
  <c r="J71" i="30"/>
  <c r="K36" i="30"/>
  <c r="F67" i="30"/>
  <c r="K37" i="30"/>
  <c r="P25" i="125"/>
  <c r="F71" i="30"/>
  <c r="CE31" i="67" a="1"/>
  <c r="N267" i="125"/>
  <c r="F56" i="30"/>
  <c r="BI307" i="125" a="1"/>
  <c r="Q26" i="125"/>
  <c r="F50" i="30"/>
  <c r="Q16" i="125"/>
  <c r="R26" i="125"/>
  <c r="G36" i="30"/>
  <c r="R106" i="125"/>
  <c r="G41" i="30"/>
  <c r="F51" i="30"/>
  <c r="BI149" i="125" a="1"/>
  <c r="BI148" i="125" a="1"/>
  <c r="K66" i="30"/>
  <c r="F57" i="30"/>
  <c r="BI69" i="125" a="1"/>
  <c r="F42" i="30"/>
  <c r="J42" i="30"/>
  <c r="G39" i="30"/>
  <c r="BH183" i="125"/>
  <c r="CF17" i="67" a="1"/>
  <c r="BI26" i="125"/>
  <c r="CG19" i="67" a="1"/>
  <c r="F64" i="30"/>
  <c r="G55" i="30"/>
  <c r="F55" i="30"/>
  <c r="G38" i="30"/>
  <c r="F36" i="30"/>
  <c r="BI70" i="125" a="1"/>
  <c r="BI228" i="125" a="1"/>
  <c r="BI253" i="125"/>
  <c r="P262" i="125"/>
  <c r="Q70" i="125" a="1"/>
  <c r="O267" i="125"/>
  <c r="G43" i="30"/>
  <c r="Q174" i="125"/>
  <c r="BH25" i="125"/>
  <c r="R70" i="125" a="1"/>
  <c r="BI16" i="125"/>
  <c r="J55" i="30"/>
  <c r="O30" i="125"/>
  <c r="F39" i="30"/>
  <c r="Q184" i="125"/>
  <c r="R184" i="125"/>
  <c r="F68" i="30"/>
  <c r="R227" i="125" a="1"/>
  <c r="G56" i="30"/>
  <c r="R105" i="125"/>
  <c r="R27" i="125"/>
  <c r="K56" i="30"/>
  <c r="BI105" i="125"/>
  <c r="BI264" i="125"/>
  <c r="R263" i="125"/>
  <c r="F37" i="30"/>
  <c r="F70" i="30"/>
  <c r="K42" i="30"/>
  <c r="G52" i="30"/>
  <c r="CG26" i="67" a="1"/>
  <c r="F69" i="30"/>
  <c r="R264" i="125"/>
  <c r="Q27" i="125"/>
  <c r="Q306" i="125" a="1"/>
  <c r="BH104" i="125"/>
  <c r="BI95" i="125"/>
  <c r="G53" i="30"/>
  <c r="G66" i="30"/>
  <c r="G71" i="30"/>
  <c r="CF18" i="67" a="1"/>
  <c r="CF19" i="67" a="1"/>
  <c r="R174" i="125"/>
  <c r="J66" i="30"/>
  <c r="K41" i="30"/>
  <c r="R306" i="125" a="1"/>
  <c r="BG188" i="125"/>
  <c r="K43" i="30"/>
  <c r="F41" i="30"/>
  <c r="Q307" i="125" a="1"/>
  <c r="R185" i="125"/>
  <c r="BI174" i="125"/>
  <c r="AC78" i="124" l="1"/>
  <c r="AC81" i="124"/>
  <c r="BJ341" i="124"/>
  <c r="BJ342" i="124" s="1"/>
  <c r="AC157" i="124"/>
  <c r="AE342" i="126"/>
  <c r="BK342" i="126"/>
  <c r="BP342" i="126" s="1"/>
  <c r="BP345" i="126" s="1"/>
  <c r="BP341" i="126"/>
  <c r="AJ341" i="126"/>
  <c r="AC163" i="124"/>
  <c r="M320" i="125"/>
  <c r="AC342" i="120"/>
  <c r="AD342" i="126"/>
  <c r="AD345" i="126" s="1"/>
  <c r="L345" i="125"/>
  <c r="L344" i="125"/>
  <c r="BJ232" i="120"/>
  <c r="BJ233" i="120"/>
  <c r="BJ241" i="120" s="1"/>
  <c r="BJ230" i="120"/>
  <c r="BJ236" i="120" s="1"/>
  <c r="BJ217" i="120"/>
  <c r="BE242" i="125"/>
  <c r="N318" i="125"/>
  <c r="M318" i="125"/>
  <c r="N297" i="125"/>
  <c r="BJ163" i="126"/>
  <c r="N238" i="125"/>
  <c r="AD156" i="126"/>
  <c r="BK230" i="124"/>
  <c r="N153" i="125"/>
  <c r="N161" i="125" s="1"/>
  <c r="N151" i="125"/>
  <c r="N156" i="125" s="1"/>
  <c r="BK218" i="124"/>
  <c r="N139" i="125"/>
  <c r="N296" i="125"/>
  <c r="M315" i="125"/>
  <c r="N310" i="125"/>
  <c r="N317" i="125" s="1"/>
  <c r="N312" i="125"/>
  <c r="N321" i="125" s="1"/>
  <c r="N309" i="125"/>
  <c r="N315" i="125" s="1"/>
  <c r="BK232" i="124"/>
  <c r="N154" i="125"/>
  <c r="N163" i="125" s="1"/>
  <c r="AD160" i="126"/>
  <c r="M162" i="125"/>
  <c r="BJ156" i="126"/>
  <c r="BJ160" i="126"/>
  <c r="BG57" i="125"/>
  <c r="BG74" i="125" s="1"/>
  <c r="BG81" i="125" s="1"/>
  <c r="BE345" i="125"/>
  <c r="AD162" i="126"/>
  <c r="N341" i="125"/>
  <c r="N342" i="125" s="1"/>
  <c r="N344" i="125" s="1"/>
  <c r="BL334" i="126"/>
  <c r="BL339" i="126" s="1"/>
  <c r="BL47" i="126"/>
  <c r="BP47" i="126"/>
  <c r="BF233" i="125"/>
  <c r="BF242" i="125" s="1"/>
  <c r="M160" i="125"/>
  <c r="BL57" i="126"/>
  <c r="BL60" i="126" s="1"/>
  <c r="BL136" i="126"/>
  <c r="BL139" i="126" s="1"/>
  <c r="BK217" i="124"/>
  <c r="BF239" i="125"/>
  <c r="AI271" i="126"/>
  <c r="O136" i="125"/>
  <c r="O154" i="125" s="1"/>
  <c r="O163" i="125" s="1"/>
  <c r="P46" i="125"/>
  <c r="P54" i="125" s="1"/>
  <c r="AF131" i="124"/>
  <c r="BO329" i="126"/>
  <c r="BJ341" i="120"/>
  <c r="BF218" i="125"/>
  <c r="AF294" i="126"/>
  <c r="AF312" i="126" s="1"/>
  <c r="AI34" i="126"/>
  <c r="AI192" i="126"/>
  <c r="AJ129" i="126"/>
  <c r="BO271" i="126"/>
  <c r="BG333" i="125"/>
  <c r="AG334" i="126"/>
  <c r="AI334" i="126" s="1"/>
  <c r="BM334" i="126"/>
  <c r="BL215" i="126"/>
  <c r="BL217" i="126" s="1"/>
  <c r="N159" i="125"/>
  <c r="AF333" i="126"/>
  <c r="AF341" i="126" s="1"/>
  <c r="AF342" i="126" s="1"/>
  <c r="BK215" i="120"/>
  <c r="BK217" i="120" s="1"/>
  <c r="AJ44" i="126"/>
  <c r="AJ50" i="126"/>
  <c r="BP44" i="126"/>
  <c r="BF341" i="125"/>
  <c r="BF342" i="125" s="1"/>
  <c r="BF217" i="125"/>
  <c r="BF230" i="125"/>
  <c r="BF235" i="125" s="1"/>
  <c r="BP208" i="126"/>
  <c r="N239" i="125"/>
  <c r="P45" i="125"/>
  <c r="BH203" i="125"/>
  <c r="BL333" i="126"/>
  <c r="BL341" i="126" s="1"/>
  <c r="AI329" i="126"/>
  <c r="AJ47" i="126"/>
  <c r="AF57" i="126"/>
  <c r="AJ52" i="126"/>
  <c r="BK161" i="126"/>
  <c r="BK160" i="126"/>
  <c r="P204" i="125"/>
  <c r="P212" i="125" s="1"/>
  <c r="AF215" i="126"/>
  <c r="AJ210" i="126"/>
  <c r="BL218" i="126"/>
  <c r="AJ208" i="126"/>
  <c r="AE218" i="126"/>
  <c r="AE217" i="126"/>
  <c r="AE232" i="126"/>
  <c r="AE233" i="126"/>
  <c r="AE230" i="126"/>
  <c r="AG44" i="126"/>
  <c r="AG47" i="126" s="1"/>
  <c r="AI25" i="126"/>
  <c r="BK156" i="126"/>
  <c r="BK157" i="126"/>
  <c r="BF311" i="125"/>
  <c r="BF312" i="125"/>
  <c r="BK218" i="126"/>
  <c r="BK217" i="126"/>
  <c r="BP217" i="126" s="1"/>
  <c r="BK230" i="126"/>
  <c r="BK232" i="126"/>
  <c r="BK233" i="126"/>
  <c r="BP215" i="126"/>
  <c r="BP218" i="126" s="1"/>
  <c r="AG331" i="126"/>
  <c r="AI331" i="126" s="1"/>
  <c r="AI328" i="126"/>
  <c r="BK318" i="126"/>
  <c r="BK319" i="126"/>
  <c r="AE139" i="126"/>
  <c r="AE138" i="126"/>
  <c r="AE153" i="126"/>
  <c r="AE151" i="126"/>
  <c r="AE154" i="126"/>
  <c r="AU169" i="126"/>
  <c r="AU226" i="126" s="1"/>
  <c r="AU231" i="126" s="1"/>
  <c r="O169" i="126"/>
  <c r="O226" i="126" s="1"/>
  <c r="O231" i="126" s="1"/>
  <c r="BM331" i="126"/>
  <c r="BO331" i="126" s="1"/>
  <c r="BL30" i="126"/>
  <c r="BP50" i="126"/>
  <c r="BM210" i="126"/>
  <c r="BM215" i="126" s="1"/>
  <c r="BM208" i="126"/>
  <c r="BM188" i="126" s="1"/>
  <c r="BO188" i="126" s="1"/>
  <c r="BO190" i="126"/>
  <c r="Y345" i="126"/>
  <c r="Y344" i="126"/>
  <c r="AG52" i="126"/>
  <c r="AG50" i="126"/>
  <c r="AG30" i="126" s="1"/>
  <c r="AI30" i="126" s="1"/>
  <c r="AI32" i="126"/>
  <c r="AG53" i="126"/>
  <c r="AI33" i="126"/>
  <c r="BK321" i="126"/>
  <c r="BK320" i="126"/>
  <c r="AD240" i="126"/>
  <c r="AD239" i="126"/>
  <c r="BM50" i="126"/>
  <c r="BM30" i="126" s="1"/>
  <c r="BM52" i="126"/>
  <c r="BM57" i="126" s="1"/>
  <c r="BO32" i="126"/>
  <c r="AG123" i="126"/>
  <c r="AG126" i="126" s="1"/>
  <c r="AI104" i="126"/>
  <c r="BM131" i="126"/>
  <c r="BM136" i="126" s="1"/>
  <c r="BM129" i="126"/>
  <c r="BM109" i="126" s="1"/>
  <c r="BO109" i="126" s="1"/>
  <c r="BO111" i="126"/>
  <c r="BK344" i="126"/>
  <c r="BP344" i="126" s="1"/>
  <c r="BK345" i="126"/>
  <c r="AG335" i="126"/>
  <c r="AI335" i="126" s="1"/>
  <c r="BM44" i="126"/>
  <c r="BM47" i="126" s="1"/>
  <c r="BO25" i="126"/>
  <c r="BP52" i="126"/>
  <c r="BL294" i="126"/>
  <c r="BK314" i="126"/>
  <c r="BK315" i="126"/>
  <c r="AD242" i="126"/>
  <c r="AD241" i="126"/>
  <c r="O11" i="126"/>
  <c r="O68" i="126" s="1"/>
  <c r="O73" i="126" s="1"/>
  <c r="AU11" i="126"/>
  <c r="AU68" i="126" s="1"/>
  <c r="AU73" i="126" s="1"/>
  <c r="O57" i="125"/>
  <c r="O75" i="125" s="1"/>
  <c r="O84" i="125" s="1"/>
  <c r="BF297" i="125"/>
  <c r="M344" i="125"/>
  <c r="AG287" i="126"/>
  <c r="AG267" i="126" s="1"/>
  <c r="AI267" i="126" s="1"/>
  <c r="AG289" i="126"/>
  <c r="AG294" i="126" s="1"/>
  <c r="AI269" i="126"/>
  <c r="AE59" i="126"/>
  <c r="AE60" i="126"/>
  <c r="AE74" i="126"/>
  <c r="AE75" i="126"/>
  <c r="AE72" i="126"/>
  <c r="AJ57" i="126"/>
  <c r="AJ60" i="126" s="1"/>
  <c r="AG208" i="126"/>
  <c r="AG188" i="126" s="1"/>
  <c r="AI188" i="126" s="1"/>
  <c r="AG210" i="126"/>
  <c r="AG215" i="126" s="1"/>
  <c r="AI190" i="126"/>
  <c r="BM123" i="126"/>
  <c r="BM126" i="126" s="1"/>
  <c r="BO104" i="126"/>
  <c r="BK60" i="126"/>
  <c r="BK59" i="126"/>
  <c r="BP59" i="126" s="1"/>
  <c r="BK72" i="126"/>
  <c r="BK75" i="126"/>
  <c r="BK74" i="126"/>
  <c r="BP57" i="126"/>
  <c r="BP60" i="126" s="1"/>
  <c r="AG129" i="126"/>
  <c r="AG109" i="126" s="1"/>
  <c r="AI109" i="126" s="1"/>
  <c r="AG131" i="126"/>
  <c r="AG136" i="126" s="1"/>
  <c r="AI111" i="126"/>
  <c r="BL138" i="126"/>
  <c r="BP138" i="126" s="1"/>
  <c r="BP136" i="126"/>
  <c r="BP139" i="126" s="1"/>
  <c r="AD235" i="126"/>
  <c r="AD236" i="126"/>
  <c r="BM281" i="126"/>
  <c r="BM284" i="126" s="1"/>
  <c r="BO262" i="126"/>
  <c r="O90" i="126"/>
  <c r="O147" i="126" s="1"/>
  <c r="O152" i="126" s="1"/>
  <c r="AU90" i="126"/>
  <c r="AU147" i="126" s="1"/>
  <c r="AU152" i="126" s="1"/>
  <c r="AG281" i="126"/>
  <c r="AG284" i="126" s="1"/>
  <c r="AI262" i="126"/>
  <c r="BM287" i="126"/>
  <c r="BM267" i="126" s="1"/>
  <c r="BO267" i="126" s="1"/>
  <c r="BM289" i="126"/>
  <c r="BM294" i="126" s="1"/>
  <c r="BO269" i="126"/>
  <c r="AG202" i="126"/>
  <c r="AG205" i="126" s="1"/>
  <c r="AI183" i="126"/>
  <c r="BM335" i="126"/>
  <c r="BO335" i="126" s="1"/>
  <c r="BM113" i="126"/>
  <c r="BO113" i="126" s="1"/>
  <c r="AG113" i="126"/>
  <c r="AI113" i="126" s="1"/>
  <c r="O248" i="126"/>
  <c r="O305" i="126" s="1"/>
  <c r="O310" i="126" s="1"/>
  <c r="AU248" i="126"/>
  <c r="AU305" i="126" s="1"/>
  <c r="AU310" i="126" s="1"/>
  <c r="BF296" i="125"/>
  <c r="O47" i="125"/>
  <c r="BM202" i="126"/>
  <c r="BM205" i="126" s="1"/>
  <c r="BO183" i="126"/>
  <c r="BL205" i="126"/>
  <c r="BP205" i="126" s="1"/>
  <c r="BP202" i="126"/>
  <c r="AF136" i="126"/>
  <c r="AJ131" i="126"/>
  <c r="BM34" i="126"/>
  <c r="BO34" i="126" s="1"/>
  <c r="AE345" i="126"/>
  <c r="AE344" i="126"/>
  <c r="AE297" i="126"/>
  <c r="AE296" i="126"/>
  <c r="AE309" i="126"/>
  <c r="AE311" i="126"/>
  <c r="AE312" i="126"/>
  <c r="AJ294" i="126"/>
  <c r="AJ297" i="126" s="1"/>
  <c r="BK162" i="126"/>
  <c r="BK163" i="126"/>
  <c r="O126" i="125"/>
  <c r="BH282" i="125"/>
  <c r="BG334" i="125"/>
  <c r="BG339" i="125" s="1"/>
  <c r="O334" i="125"/>
  <c r="O339" i="125" s="1"/>
  <c r="P283" i="125"/>
  <c r="P291" i="125" s="1"/>
  <c r="R227" i="125"/>
  <c r="Q306" i="125"/>
  <c r="R306" i="125"/>
  <c r="Q69" i="125"/>
  <c r="R269" i="125"/>
  <c r="BI269" i="125"/>
  <c r="BI149" i="125"/>
  <c r="BI227" i="125"/>
  <c r="Q175" i="125"/>
  <c r="Q32" i="125"/>
  <c r="R190" i="125"/>
  <c r="BI254" i="125"/>
  <c r="BI290" i="125" s="1"/>
  <c r="BI111" i="125"/>
  <c r="BH202" i="125"/>
  <c r="BH192" i="125"/>
  <c r="R96" i="125"/>
  <c r="R132" i="125" s="1"/>
  <c r="Q70" i="125"/>
  <c r="BI307" i="125"/>
  <c r="BI70" i="125"/>
  <c r="Q269" i="125"/>
  <c r="Q111" i="125"/>
  <c r="BI69" i="125"/>
  <c r="Q227" i="125"/>
  <c r="Q148" i="125"/>
  <c r="R69" i="125"/>
  <c r="R175" i="125"/>
  <c r="R211" i="125" s="1"/>
  <c r="R149" i="125"/>
  <c r="P202" i="125"/>
  <c r="P192" i="125"/>
  <c r="R254" i="125"/>
  <c r="R290" i="125" s="1"/>
  <c r="R228" i="125"/>
  <c r="R148" i="125"/>
  <c r="Q96" i="125"/>
  <c r="Q132" i="125" s="1"/>
  <c r="R111" i="125"/>
  <c r="BI306" i="125"/>
  <c r="BI228" i="125"/>
  <c r="BH271" i="125"/>
  <c r="BH281" i="125"/>
  <c r="P281" i="125"/>
  <c r="P271" i="125"/>
  <c r="BH123" i="125"/>
  <c r="BH113" i="125"/>
  <c r="BI32" i="125"/>
  <c r="BI190" i="125"/>
  <c r="Q254" i="125"/>
  <c r="Q290" i="125" s="1"/>
  <c r="R307" i="125"/>
  <c r="P44" i="125"/>
  <c r="P34" i="125"/>
  <c r="Q149" i="125"/>
  <c r="Q307" i="125"/>
  <c r="BI96" i="125"/>
  <c r="BI132" i="125" s="1"/>
  <c r="BI17" i="125"/>
  <c r="BI53" i="125" s="1"/>
  <c r="BH34" i="125"/>
  <c r="BH44" i="125"/>
  <c r="Q228" i="125"/>
  <c r="Q190" i="125"/>
  <c r="Q17" i="125"/>
  <c r="Q53" i="125" s="1"/>
  <c r="R70" i="125"/>
  <c r="R32" i="125"/>
  <c r="R17" i="125"/>
  <c r="R53" i="125" s="1"/>
  <c r="P123" i="125"/>
  <c r="P113" i="125"/>
  <c r="BI148" i="125"/>
  <c r="BI175" i="125"/>
  <c r="BI211" i="125" s="1"/>
  <c r="N74" i="125"/>
  <c r="N59" i="125"/>
  <c r="N60" i="125"/>
  <c r="N72" i="125"/>
  <c r="N75" i="125"/>
  <c r="N73" i="125"/>
  <c r="BK284" i="124"/>
  <c r="BG133" i="125"/>
  <c r="BG136" i="125" s="1"/>
  <c r="BG335" i="125"/>
  <c r="BG212" i="125"/>
  <c r="BG215" i="125" s="1"/>
  <c r="BF59" i="125"/>
  <c r="BF75" i="125"/>
  <c r="BF74" i="125"/>
  <c r="BF60" i="125"/>
  <c r="BF72" i="125"/>
  <c r="P203" i="125"/>
  <c r="P131" i="125"/>
  <c r="P129" i="125"/>
  <c r="P282" i="125"/>
  <c r="BH124" i="125"/>
  <c r="AI112" i="125"/>
  <c r="BG294" i="125"/>
  <c r="BG47" i="125"/>
  <c r="P124" i="125"/>
  <c r="BH208" i="125"/>
  <c r="BH210" i="125"/>
  <c r="BF139" i="125"/>
  <c r="BF138" i="125"/>
  <c r="BF151" i="125"/>
  <c r="BF153" i="125"/>
  <c r="BF154" i="125"/>
  <c r="M77" i="125"/>
  <c r="M78" i="125"/>
  <c r="BE163" i="125"/>
  <c r="BE162" i="125"/>
  <c r="BG284" i="125"/>
  <c r="O333" i="125"/>
  <c r="BM269" i="124"/>
  <c r="BO269" i="124" s="1"/>
  <c r="O335" i="125"/>
  <c r="M239" i="125"/>
  <c r="M240" i="125"/>
  <c r="BE83" i="125"/>
  <c r="BE84" i="125"/>
  <c r="O284" i="125"/>
  <c r="O205" i="125"/>
  <c r="BH45" i="125"/>
  <c r="BH53" i="125"/>
  <c r="BG126" i="125"/>
  <c r="M241" i="125"/>
  <c r="M242" i="125"/>
  <c r="BF315" i="125"/>
  <c r="BF314" i="125"/>
  <c r="O215" i="125"/>
  <c r="O294" i="125"/>
  <c r="BE82" i="125"/>
  <c r="BE81" i="125"/>
  <c r="M83" i="125"/>
  <c r="M84" i="125"/>
  <c r="P52" i="125"/>
  <c r="P50" i="125"/>
  <c r="BH283" i="125"/>
  <c r="BH291" i="125" s="1"/>
  <c r="BE318" i="125"/>
  <c r="BE319" i="125"/>
  <c r="M235" i="125"/>
  <c r="M236" i="125"/>
  <c r="BE78" i="125"/>
  <c r="BE77" i="125"/>
  <c r="M81" i="125"/>
  <c r="M82" i="125"/>
  <c r="BE161" i="125"/>
  <c r="BE160" i="125"/>
  <c r="P125" i="125"/>
  <c r="BH125" i="125"/>
  <c r="BE321" i="125"/>
  <c r="BE320" i="125"/>
  <c r="BE156" i="125"/>
  <c r="BE157" i="125"/>
  <c r="BH54" i="125"/>
  <c r="BH289" i="125"/>
  <c r="BH287" i="125"/>
  <c r="BG205" i="125"/>
  <c r="BM111" i="124"/>
  <c r="BO111" i="124" s="1"/>
  <c r="BE315" i="125"/>
  <c r="BE314" i="125"/>
  <c r="N236" i="125"/>
  <c r="N235" i="125"/>
  <c r="M80" i="125"/>
  <c r="M79" i="125"/>
  <c r="P208" i="125"/>
  <c r="P210" i="125"/>
  <c r="P289" i="125"/>
  <c r="P287" i="125"/>
  <c r="BH52" i="125"/>
  <c r="BH50" i="125"/>
  <c r="BH131" i="125"/>
  <c r="BH129" i="125"/>
  <c r="AU90" i="125"/>
  <c r="AU147" i="125" s="1"/>
  <c r="AU152" i="125" s="1"/>
  <c r="O90" i="125"/>
  <c r="O147" i="125" s="1"/>
  <c r="BO330" i="125"/>
  <c r="BO329" i="125"/>
  <c r="O248" i="125"/>
  <c r="O305" i="125" s="1"/>
  <c r="AU248" i="125"/>
  <c r="AU305" i="125" s="1"/>
  <c r="AU310" i="125" s="1"/>
  <c r="O169" i="125"/>
  <c r="O226" i="125" s="1"/>
  <c r="AU169" i="125"/>
  <c r="AU226" i="125" s="1"/>
  <c r="AU231" i="125" s="1"/>
  <c r="AG331" i="125"/>
  <c r="AI331" i="125" s="1"/>
  <c r="BL204" i="120"/>
  <c r="BL212" i="120" s="1"/>
  <c r="BL211" i="120"/>
  <c r="BP211" i="120" s="1"/>
  <c r="AI330" i="125"/>
  <c r="AI191" i="125"/>
  <c r="BM331" i="125"/>
  <c r="BO331" i="125" s="1"/>
  <c r="BO328" i="125"/>
  <c r="AU11" i="125"/>
  <c r="AU68" i="125" s="1"/>
  <c r="AU73" i="125" s="1"/>
  <c r="O11" i="125"/>
  <c r="O68" i="125" s="1"/>
  <c r="BO191" i="125"/>
  <c r="BK333" i="124"/>
  <c r="AE333" i="124"/>
  <c r="AE341" i="124" s="1"/>
  <c r="AE342" i="124" s="1"/>
  <c r="BL334" i="124"/>
  <c r="BL339" i="124" s="1"/>
  <c r="AF113" i="124"/>
  <c r="BK294" i="120"/>
  <c r="BK297" i="120" s="1"/>
  <c r="BM269" i="120"/>
  <c r="BO269" i="120" s="1"/>
  <c r="BP121" i="124"/>
  <c r="BL124" i="120"/>
  <c r="BP124" i="120" s="1"/>
  <c r="BK284" i="120"/>
  <c r="BM270" i="124"/>
  <c r="BO259" i="124"/>
  <c r="AF284" i="124"/>
  <c r="BP279" i="124"/>
  <c r="BM132" i="124"/>
  <c r="BP132" i="124" s="1"/>
  <c r="BK205" i="120"/>
  <c r="BL113" i="124"/>
  <c r="AF334" i="124"/>
  <c r="AF339" i="124" s="1"/>
  <c r="BP200" i="124"/>
  <c r="BL125" i="120"/>
  <c r="BL133" i="120" s="1"/>
  <c r="BP133" i="120" s="1"/>
  <c r="AF335" i="124"/>
  <c r="BP303" i="124"/>
  <c r="BL271" i="120"/>
  <c r="BP42" i="124"/>
  <c r="BM53" i="124"/>
  <c r="BL294" i="120"/>
  <c r="BL297" i="120" s="1"/>
  <c r="AJ42" i="124"/>
  <c r="AG145" i="124"/>
  <c r="AJ145" i="124" s="1"/>
  <c r="AJ121" i="124"/>
  <c r="AJ279" i="124"/>
  <c r="AF192" i="124"/>
  <c r="AJ200" i="124"/>
  <c r="AU169" i="120"/>
  <c r="AU226" i="120" s="1"/>
  <c r="AU231" i="120" s="1"/>
  <c r="AU169" i="124"/>
  <c r="AU226" i="124" s="1"/>
  <c r="AU231" i="124" s="1"/>
  <c r="O169" i="124"/>
  <c r="O226" i="124" s="1"/>
  <c r="O231" i="124" s="1"/>
  <c r="AG124" i="124"/>
  <c r="AJ124" i="124" s="1"/>
  <c r="AG104" i="124"/>
  <c r="AG113" i="124" s="1"/>
  <c r="AI105" i="124"/>
  <c r="BM190" i="124"/>
  <c r="BO179" i="124"/>
  <c r="BM183" i="124"/>
  <c r="BM192" i="124" s="1"/>
  <c r="BO184" i="124"/>
  <c r="AI253" i="124"/>
  <c r="BL50" i="124"/>
  <c r="BL30" i="124" s="1"/>
  <c r="BL52" i="124"/>
  <c r="AC241" i="124"/>
  <c r="AC242" i="124"/>
  <c r="AF290" i="124"/>
  <c r="AI270" i="124"/>
  <c r="AF126" i="124"/>
  <c r="BO253" i="124"/>
  <c r="BM204" i="120"/>
  <c r="BM212" i="120" s="1"/>
  <c r="AE136" i="124"/>
  <c r="AF50" i="124"/>
  <c r="AF30" i="124" s="1"/>
  <c r="AF52" i="124"/>
  <c r="BK242" i="124"/>
  <c r="BK241" i="124"/>
  <c r="BJ315" i="124"/>
  <c r="BJ314" i="124"/>
  <c r="BJ235" i="120"/>
  <c r="AG132" i="124"/>
  <c r="AF271" i="124"/>
  <c r="AC235" i="124"/>
  <c r="AC236" i="124"/>
  <c r="AI260" i="124"/>
  <c r="AG111" i="124"/>
  <c r="AI100" i="124"/>
  <c r="BL208" i="124"/>
  <c r="BL210" i="124"/>
  <c r="BO102" i="124"/>
  <c r="BJ239" i="120"/>
  <c r="BJ240" i="120"/>
  <c r="O248" i="124"/>
  <c r="O305" i="124" s="1"/>
  <c r="O310" i="124" s="1"/>
  <c r="AU248" i="120"/>
  <c r="AU305" i="120" s="1"/>
  <c r="AU310" i="120" s="1"/>
  <c r="AU248" i="124"/>
  <c r="AU305" i="124" s="1"/>
  <c r="AU310" i="124" s="1"/>
  <c r="BL210" i="120"/>
  <c r="BL208" i="120"/>
  <c r="BL188" i="120" s="1"/>
  <c r="BL133" i="124"/>
  <c r="BL126" i="124"/>
  <c r="AG330" i="124"/>
  <c r="AF340" i="124"/>
  <c r="AD139" i="124"/>
  <c r="AD138" i="124"/>
  <c r="AD151" i="124"/>
  <c r="AD153" i="124"/>
  <c r="AD154" i="124"/>
  <c r="BM32" i="124"/>
  <c r="BM328" i="124"/>
  <c r="BO21" i="124"/>
  <c r="BM282" i="124"/>
  <c r="BP282" i="124" s="1"/>
  <c r="BM262" i="124"/>
  <c r="BM271" i="124" s="1"/>
  <c r="BO263" i="124"/>
  <c r="BM183" i="120"/>
  <c r="BM192" i="120" s="1"/>
  <c r="BM203" i="120"/>
  <c r="BM125" i="124"/>
  <c r="BM133" i="124" s="1"/>
  <c r="BO106" i="124"/>
  <c r="AG204" i="124"/>
  <c r="AG212" i="124" s="1"/>
  <c r="AI185" i="124"/>
  <c r="BM190" i="120"/>
  <c r="AE296" i="124"/>
  <c r="AE297" i="124"/>
  <c r="AE312" i="124"/>
  <c r="AE309" i="124"/>
  <c r="AE311" i="124"/>
  <c r="AG211" i="124"/>
  <c r="AJ211" i="124" s="1"/>
  <c r="AI191" i="124"/>
  <c r="AF132" i="124"/>
  <c r="AI112" i="124"/>
  <c r="BJ318" i="120"/>
  <c r="BJ319" i="120"/>
  <c r="BL340" i="124"/>
  <c r="BO340" i="124" s="1"/>
  <c r="BO329" i="124"/>
  <c r="AG190" i="124"/>
  <c r="AI179" i="124"/>
  <c r="AF53" i="124"/>
  <c r="AE215" i="124"/>
  <c r="BL192" i="124"/>
  <c r="AG254" i="124"/>
  <c r="AG283" i="124" s="1"/>
  <c r="BJ139" i="124"/>
  <c r="BJ138" i="124"/>
  <c r="BJ151" i="124"/>
  <c r="BJ154" i="124"/>
  <c r="BJ153" i="124"/>
  <c r="BO95" i="124"/>
  <c r="BL291" i="124"/>
  <c r="BL271" i="124"/>
  <c r="AI174" i="124"/>
  <c r="BK136" i="124"/>
  <c r="BO174" i="124"/>
  <c r="AD59" i="124"/>
  <c r="AD60" i="124"/>
  <c r="AD72" i="124"/>
  <c r="AD74" i="124"/>
  <c r="AD75" i="124"/>
  <c r="BJ314" i="120"/>
  <c r="BJ315" i="120"/>
  <c r="BL53" i="124"/>
  <c r="BO33" i="124"/>
  <c r="BK239" i="124"/>
  <c r="BK240" i="124"/>
  <c r="AG46" i="124"/>
  <c r="AG54" i="124" s="1"/>
  <c r="AJ54" i="124" s="1"/>
  <c r="AI27" i="124"/>
  <c r="BO100" i="124"/>
  <c r="BO180" i="124"/>
  <c r="AE188" i="124"/>
  <c r="AF205" i="124"/>
  <c r="AG33" i="124"/>
  <c r="AG53" i="124" s="1"/>
  <c r="AG329" i="124"/>
  <c r="AG340" i="124" s="1"/>
  <c r="AI340" i="124" s="1"/>
  <c r="AF289" i="124"/>
  <c r="AF287" i="124"/>
  <c r="AE59" i="124"/>
  <c r="AE60" i="124"/>
  <c r="AE74" i="124"/>
  <c r="AE75" i="124"/>
  <c r="AE72" i="124"/>
  <c r="BL284" i="124"/>
  <c r="BO260" i="124"/>
  <c r="BM175" i="124"/>
  <c r="BO175" i="124" s="1"/>
  <c r="BM254" i="120"/>
  <c r="BM290" i="120" s="1"/>
  <c r="AG203" i="124"/>
  <c r="AJ203" i="124" s="1"/>
  <c r="AG183" i="124"/>
  <c r="AG192" i="124" s="1"/>
  <c r="AI184" i="124"/>
  <c r="BK109" i="124"/>
  <c r="BJ239" i="124"/>
  <c r="BJ240" i="124"/>
  <c r="O11" i="124"/>
  <c r="O68" i="124" s="1"/>
  <c r="O73" i="124" s="1"/>
  <c r="AU11" i="124"/>
  <c r="AU68" i="124" s="1"/>
  <c r="AU73" i="124" s="1"/>
  <c r="AI95" i="124"/>
  <c r="BK60" i="124"/>
  <c r="BK59" i="124"/>
  <c r="BK72" i="124"/>
  <c r="BK74" i="124"/>
  <c r="BK75" i="124"/>
  <c r="AF291" i="124"/>
  <c r="AI264" i="124"/>
  <c r="AI16" i="124"/>
  <c r="BK291" i="124"/>
  <c r="BK294" i="124" s="1"/>
  <c r="BK335" i="124"/>
  <c r="BL131" i="124"/>
  <c r="BL129" i="124"/>
  <c r="BL109" i="124" s="1"/>
  <c r="BL205" i="124"/>
  <c r="BL211" i="124"/>
  <c r="BO191" i="124"/>
  <c r="BJ344" i="124"/>
  <c r="BJ345" i="124"/>
  <c r="AF210" i="124"/>
  <c r="AF208" i="124"/>
  <c r="AF188" i="124" s="1"/>
  <c r="AE30" i="124"/>
  <c r="BJ60" i="124"/>
  <c r="BJ59" i="124"/>
  <c r="BJ72" i="124"/>
  <c r="BJ75" i="124"/>
  <c r="BJ74" i="124"/>
  <c r="AD296" i="124"/>
  <c r="AD297" i="124"/>
  <c r="AD309" i="124"/>
  <c r="AD312" i="124"/>
  <c r="AD311" i="124"/>
  <c r="BM124" i="124"/>
  <c r="BP124" i="124" s="1"/>
  <c r="BM104" i="124"/>
  <c r="BO105" i="124"/>
  <c r="AF212" i="124"/>
  <c r="BM46" i="124"/>
  <c r="BO27" i="124"/>
  <c r="BK267" i="124"/>
  <c r="BJ241" i="124"/>
  <c r="BJ242" i="124"/>
  <c r="O90" i="124"/>
  <c r="O147" i="124" s="1"/>
  <c r="O152" i="124" s="1"/>
  <c r="AU90" i="124"/>
  <c r="AU147" i="124" s="1"/>
  <c r="AU152" i="124" s="1"/>
  <c r="AG125" i="124"/>
  <c r="AG133" i="124" s="1"/>
  <c r="AJ133" i="124" s="1"/>
  <c r="AI106" i="124"/>
  <c r="BO185" i="124"/>
  <c r="AG262" i="124"/>
  <c r="AG271" i="124" s="1"/>
  <c r="AI263" i="124"/>
  <c r="BL212" i="124"/>
  <c r="BL284" i="120"/>
  <c r="AI102" i="124"/>
  <c r="AG269" i="124"/>
  <c r="AI258" i="124"/>
  <c r="BL44" i="124"/>
  <c r="BL333" i="124" s="1"/>
  <c r="BM262" i="120"/>
  <c r="BM271" i="120" s="1"/>
  <c r="BM45" i="124"/>
  <c r="BP45" i="124" s="1"/>
  <c r="BM25" i="124"/>
  <c r="BM34" i="124" s="1"/>
  <c r="BO34" i="124" s="1"/>
  <c r="BO26" i="124"/>
  <c r="BJ320" i="124"/>
  <c r="BJ321" i="124"/>
  <c r="BO258" i="124"/>
  <c r="BJ235" i="124"/>
  <c r="BJ236" i="124"/>
  <c r="AC342" i="124"/>
  <c r="BL331" i="124"/>
  <c r="BJ321" i="120"/>
  <c r="BJ320" i="120"/>
  <c r="AG45" i="124"/>
  <c r="AJ45" i="124" s="1"/>
  <c r="AG25" i="124"/>
  <c r="AI26" i="124"/>
  <c r="AC239" i="124"/>
  <c r="AC240" i="124"/>
  <c r="AG32" i="124"/>
  <c r="AI32" i="124" s="1"/>
  <c r="AG328" i="124"/>
  <c r="BM330" i="124"/>
  <c r="AI181" i="124"/>
  <c r="BM283" i="124"/>
  <c r="BM291" i="124" s="1"/>
  <c r="BO264" i="124"/>
  <c r="BL335" i="124"/>
  <c r="AD342" i="124"/>
  <c r="AF331" i="124"/>
  <c r="BO181" i="124"/>
  <c r="BO16" i="124"/>
  <c r="AF44" i="124"/>
  <c r="AF333" i="124" s="1"/>
  <c r="BK236" i="124"/>
  <c r="BK235" i="124"/>
  <c r="BJ318" i="124"/>
  <c r="BJ319" i="124"/>
  <c r="BL289" i="124"/>
  <c r="BL287" i="124"/>
  <c r="BL267" i="124" s="1"/>
  <c r="BL202" i="120"/>
  <c r="BJ342" i="120"/>
  <c r="BJ345" i="120" s="1"/>
  <c r="BK335" i="120"/>
  <c r="BI162" i="120"/>
  <c r="BI163" i="120"/>
  <c r="BM96" i="120"/>
  <c r="BO96" i="120" s="1"/>
  <c r="BI160" i="120"/>
  <c r="BI161" i="120"/>
  <c r="BI156" i="120"/>
  <c r="BI157" i="120"/>
  <c r="BJ151" i="120"/>
  <c r="BJ154" i="120"/>
  <c r="BJ153" i="120"/>
  <c r="BJ72" i="120"/>
  <c r="BJ74" i="120"/>
  <c r="BJ75" i="120"/>
  <c r="BK72" i="120"/>
  <c r="BK75" i="120"/>
  <c r="BK74" i="120"/>
  <c r="BI72" i="120"/>
  <c r="BI74" i="120"/>
  <c r="BI75" i="120"/>
  <c r="CB63" i="119"/>
  <c r="AD309" i="120"/>
  <c r="AD312" i="120"/>
  <c r="AD311" i="120"/>
  <c r="AE309" i="120"/>
  <c r="AE311" i="120"/>
  <c r="AE312" i="120"/>
  <c r="AD230" i="120"/>
  <c r="AD233" i="120"/>
  <c r="AD232" i="120"/>
  <c r="AD151" i="120"/>
  <c r="AD154" i="120"/>
  <c r="AD153" i="120"/>
  <c r="AE151" i="120"/>
  <c r="AE153" i="120"/>
  <c r="AE154" i="120"/>
  <c r="CB63" i="67"/>
  <c r="AD72" i="120"/>
  <c r="AD75" i="120"/>
  <c r="AD74" i="120"/>
  <c r="AE72" i="120"/>
  <c r="AE74" i="120"/>
  <c r="AE75" i="120"/>
  <c r="CB63" i="117"/>
  <c r="BK126" i="120"/>
  <c r="CB63" i="118"/>
  <c r="AE341" i="120"/>
  <c r="AE342" i="120" s="1"/>
  <c r="BK136" i="120"/>
  <c r="BP123" i="120"/>
  <c r="AG17" i="120"/>
  <c r="AI17" i="120" s="1"/>
  <c r="BP281" i="120"/>
  <c r="AJ212" i="120"/>
  <c r="AJ204" i="120"/>
  <c r="AG269" i="120"/>
  <c r="AI269" i="120" s="1"/>
  <c r="AF205" i="120"/>
  <c r="AJ205" i="120" s="1"/>
  <c r="BP291" i="120"/>
  <c r="BP283" i="120"/>
  <c r="AI183" i="120"/>
  <c r="BO25" i="120"/>
  <c r="BJ60" i="120"/>
  <c r="BJ59" i="120"/>
  <c r="BM17" i="120"/>
  <c r="BO17" i="120" s="1"/>
  <c r="AG190" i="120"/>
  <c r="AI106" i="120"/>
  <c r="AI179" i="120"/>
  <c r="AI263" i="120"/>
  <c r="AJ125" i="120"/>
  <c r="AF133" i="120"/>
  <c r="AJ133" i="120" s="1"/>
  <c r="AE59" i="120"/>
  <c r="AE60" i="120"/>
  <c r="BO101" i="120"/>
  <c r="AD138" i="120"/>
  <c r="AD139" i="120"/>
  <c r="AF47" i="120"/>
  <c r="AJ47" i="120" s="1"/>
  <c r="AF123" i="120"/>
  <c r="AF333" i="120" s="1"/>
  <c r="AJ333" i="120" s="1"/>
  <c r="AI104" i="120"/>
  <c r="BL131" i="120"/>
  <c r="BL129" i="120"/>
  <c r="BL109" i="120" s="1"/>
  <c r="AF210" i="120"/>
  <c r="AF208" i="120"/>
  <c r="AF340" i="120"/>
  <c r="AI26" i="120"/>
  <c r="BO253" i="120"/>
  <c r="AG271" i="120"/>
  <c r="AI271" i="120" s="1"/>
  <c r="AF113" i="120"/>
  <c r="BO174" i="120"/>
  <c r="BL132" i="120"/>
  <c r="BP132" i="120" s="1"/>
  <c r="BO112" i="120"/>
  <c r="BM104" i="120"/>
  <c r="BO105" i="120"/>
  <c r="AD217" i="120"/>
  <c r="AD218" i="120"/>
  <c r="AE215" i="120"/>
  <c r="AF291" i="120"/>
  <c r="AJ291" i="120" s="1"/>
  <c r="AJ283" i="120"/>
  <c r="BK60" i="120"/>
  <c r="BK59" i="120"/>
  <c r="AF53" i="120"/>
  <c r="AJ53" i="120" s="1"/>
  <c r="AI264" i="120"/>
  <c r="BO263" i="120"/>
  <c r="BO179" i="120"/>
  <c r="AU11" i="120"/>
  <c r="AU68" i="120" s="1"/>
  <c r="AU73" i="120" s="1"/>
  <c r="O11" i="120"/>
  <c r="BO27" i="120"/>
  <c r="BL331" i="120"/>
  <c r="AI185" i="120"/>
  <c r="BL44" i="120"/>
  <c r="AF335" i="120"/>
  <c r="AJ335" i="120" s="1"/>
  <c r="AF211" i="120"/>
  <c r="AJ211" i="120" s="1"/>
  <c r="AI191" i="120"/>
  <c r="BI342" i="120"/>
  <c r="AF284" i="120"/>
  <c r="AJ284" i="120" s="1"/>
  <c r="AJ281" i="120"/>
  <c r="BO102" i="120"/>
  <c r="AI258" i="120"/>
  <c r="O169" i="120"/>
  <c r="O226" i="120" s="1"/>
  <c r="O231" i="120" s="1"/>
  <c r="AU90" i="120"/>
  <c r="AU147" i="120" s="1"/>
  <c r="AU152" i="120" s="1"/>
  <c r="O90" i="120"/>
  <c r="O147" i="120" s="1"/>
  <c r="O152" i="120" s="1"/>
  <c r="BO26" i="120"/>
  <c r="AG34" i="120"/>
  <c r="AI34" i="120" s="1"/>
  <c r="AG330" i="120"/>
  <c r="BL50" i="120"/>
  <c r="BL30" i="120" s="1"/>
  <c r="BL52" i="120"/>
  <c r="BP52" i="120" s="1"/>
  <c r="AG111" i="120"/>
  <c r="AI111" i="120" s="1"/>
  <c r="AE297" i="120"/>
  <c r="AE296" i="120"/>
  <c r="AF192" i="120"/>
  <c r="AJ202" i="120"/>
  <c r="AD59" i="120"/>
  <c r="AD60" i="120"/>
  <c r="BO191" i="120"/>
  <c r="AF54" i="120"/>
  <c r="AJ54" i="120" s="1"/>
  <c r="AJ46" i="120"/>
  <c r="BM32" i="120"/>
  <c r="BO32" i="120" s="1"/>
  <c r="BM328" i="120"/>
  <c r="BO328" i="120" s="1"/>
  <c r="AG32" i="120"/>
  <c r="AI32" i="120" s="1"/>
  <c r="AG328" i="120"/>
  <c r="BL54" i="120"/>
  <c r="BP54" i="120" s="1"/>
  <c r="BP46" i="120"/>
  <c r="AD345" i="120"/>
  <c r="AD344" i="120"/>
  <c r="O248" i="120"/>
  <c r="O305" i="120" s="1"/>
  <c r="O310" i="120" s="1"/>
  <c r="BM111" i="120"/>
  <c r="BO111" i="120" s="1"/>
  <c r="BO100" i="120"/>
  <c r="AI184" i="120"/>
  <c r="AI105" i="120"/>
  <c r="AE138" i="120"/>
  <c r="AE139" i="120"/>
  <c r="AF331" i="120"/>
  <c r="AF334" i="120"/>
  <c r="AJ334" i="120" s="1"/>
  <c r="AG96" i="120"/>
  <c r="AG125" i="120" s="1"/>
  <c r="BO185" i="120"/>
  <c r="BM34" i="120"/>
  <c r="BO34" i="120" s="1"/>
  <c r="BM330" i="120"/>
  <c r="AG192" i="120"/>
  <c r="AI181" i="120"/>
  <c r="BP203" i="120"/>
  <c r="BJ139" i="120"/>
  <c r="BJ138" i="120"/>
  <c r="BK333" i="120"/>
  <c r="AF50" i="120"/>
  <c r="AF30" i="120" s="1"/>
  <c r="AF52" i="120"/>
  <c r="BI60" i="120"/>
  <c r="BI59" i="120"/>
  <c r="AI100" i="120"/>
  <c r="BO259" i="120"/>
  <c r="AG33" i="120"/>
  <c r="AG329" i="120"/>
  <c r="AG340" i="120" s="1"/>
  <c r="BO184" i="120"/>
  <c r="BH344" i="120"/>
  <c r="BH345" i="120"/>
  <c r="AG254" i="120"/>
  <c r="AG283" i="120" s="1"/>
  <c r="AG291" i="120" s="1"/>
  <c r="BO95" i="120"/>
  <c r="AI25" i="120"/>
  <c r="AF287" i="120"/>
  <c r="AF289" i="120"/>
  <c r="AG175" i="120"/>
  <c r="AG202" i="120" s="1"/>
  <c r="BM33" i="120"/>
  <c r="BM329" i="120"/>
  <c r="BO22" i="120"/>
  <c r="AD296" i="120"/>
  <c r="AD297" i="120"/>
  <c r="AI27" i="120"/>
  <c r="AF129" i="120"/>
  <c r="AF109" i="120" s="1"/>
  <c r="AF131" i="120"/>
  <c r="BP290" i="120"/>
  <c r="BO270" i="120"/>
  <c r="AG113" i="120"/>
  <c r="O68" i="120"/>
  <c r="O73" i="120" s="1"/>
  <c r="CA63" i="67"/>
  <c r="CA63" i="118"/>
  <c r="CA63" i="117"/>
  <c r="CA63" i="119"/>
  <c r="CW6" i="119"/>
  <c r="BZ63" i="119"/>
  <c r="CV6" i="118"/>
  <c r="BZ63" i="118"/>
  <c r="CW6" i="117"/>
  <c r="BZ63" i="117"/>
  <c r="CH24" i="67"/>
  <c r="CH58" i="67" s="1"/>
  <c r="CE29" i="67"/>
  <c r="CE31" i="67"/>
  <c r="CE65" i="67"/>
  <c r="CF21" i="67"/>
  <c r="CC63" i="67"/>
  <c r="CF28" i="67"/>
  <c r="CF62" i="67" s="1"/>
  <c r="CG26" i="67"/>
  <c r="CG60" i="67" s="1"/>
  <c r="CF17" i="67"/>
  <c r="CG17" i="67"/>
  <c r="CI9" i="67"/>
  <c r="CG25" i="67"/>
  <c r="CG59" i="67" s="1"/>
  <c r="CH25" i="67"/>
  <c r="CF20" i="67"/>
  <c r="CF27" i="67"/>
  <c r="CF61" i="67" s="1"/>
  <c r="CF18" i="67"/>
  <c r="CG23" i="67"/>
  <c r="CG57" i="67" s="1"/>
  <c r="CF19" i="67"/>
  <c r="CG19" i="67"/>
  <c r="BZ26" i="67" a="1"/>
  <c r="G69" i="30"/>
  <c r="BI25" i="125"/>
  <c r="K70" i="30"/>
  <c r="G65" i="30"/>
  <c r="CF29" i="67" a="1"/>
  <c r="J69" i="30"/>
  <c r="BI104" i="125"/>
  <c r="CH26" i="67" a="1"/>
  <c r="R104" i="125"/>
  <c r="CG31" i="67" a="1"/>
  <c r="K69" i="30"/>
  <c r="K53" i="30"/>
  <c r="K54" i="30"/>
  <c r="K55" i="30"/>
  <c r="R183" i="125"/>
  <c r="K67" i="30"/>
  <c r="P109" i="125"/>
  <c r="P188" i="125"/>
  <c r="Q25" i="125"/>
  <c r="J20" i="30"/>
  <c r="K64" i="30"/>
  <c r="J37" i="30"/>
  <c r="G70" i="30"/>
  <c r="K50" i="30"/>
  <c r="Q183" i="125"/>
  <c r="Q262" i="125"/>
  <c r="Q104" i="125"/>
  <c r="J19" i="30"/>
  <c r="J40" i="30"/>
  <c r="BH188" i="125"/>
  <c r="J53" i="30"/>
  <c r="K68" i="30"/>
  <c r="R25" i="125"/>
  <c r="BI183" i="125"/>
  <c r="K52" i="30"/>
  <c r="J54" i="30"/>
  <c r="K57" i="30"/>
  <c r="J67" i="30"/>
  <c r="J38" i="30"/>
  <c r="J57" i="30"/>
  <c r="J43" i="30"/>
  <c r="R262" i="125"/>
  <c r="BI262" i="125"/>
  <c r="CG29" i="67" a="1"/>
  <c r="CF31" i="67" a="1"/>
  <c r="CG21" i="67" a="1"/>
  <c r="BH109" i="125"/>
  <c r="CI24" i="67" a="1"/>
  <c r="BF344" i="125" l="1"/>
  <c r="O139" i="125"/>
  <c r="BJ242" i="120"/>
  <c r="AJ342" i="126"/>
  <c r="AJ345" i="126" s="1"/>
  <c r="N345" i="125"/>
  <c r="N162" i="125"/>
  <c r="AF309" i="126"/>
  <c r="AF315" i="126" s="1"/>
  <c r="AF296" i="126"/>
  <c r="AC344" i="120"/>
  <c r="AC345" i="120"/>
  <c r="AF339" i="120"/>
  <c r="AJ339" i="120" s="1"/>
  <c r="AD344" i="126"/>
  <c r="AJ344" i="126" s="1"/>
  <c r="BF241" i="125"/>
  <c r="BG82" i="125"/>
  <c r="BK233" i="120"/>
  <c r="BK241" i="120" s="1"/>
  <c r="Q192" i="125"/>
  <c r="Q202" i="125"/>
  <c r="N157" i="125"/>
  <c r="BK232" i="120"/>
  <c r="BK240" i="120" s="1"/>
  <c r="BP204" i="120"/>
  <c r="O162" i="125"/>
  <c r="O60" i="125"/>
  <c r="N160" i="125"/>
  <c r="N314" i="125"/>
  <c r="O73" i="125"/>
  <c r="O79" i="125" s="1"/>
  <c r="O152" i="125"/>
  <c r="O158" i="125" s="1"/>
  <c r="N320" i="125"/>
  <c r="BG72" i="125"/>
  <c r="BG77" i="125" s="1"/>
  <c r="O151" i="125"/>
  <c r="BL342" i="126"/>
  <c r="BL344" i="126" s="1"/>
  <c r="BG59" i="125"/>
  <c r="O138" i="125"/>
  <c r="BG341" i="125"/>
  <c r="BG342" i="125" s="1"/>
  <c r="BG345" i="125" s="1"/>
  <c r="N316" i="125"/>
  <c r="BG60" i="125"/>
  <c r="BK230" i="120"/>
  <c r="BK235" i="120" s="1"/>
  <c r="O153" i="125"/>
  <c r="O160" i="125" s="1"/>
  <c r="BG75" i="125"/>
  <c r="BG84" i="125" s="1"/>
  <c r="BM287" i="124"/>
  <c r="BM267" i="124" s="1"/>
  <c r="BK296" i="120"/>
  <c r="O83" i="125"/>
  <c r="BL154" i="126"/>
  <c r="BL162" i="126" s="1"/>
  <c r="BO334" i="126"/>
  <c r="O72" i="125"/>
  <c r="O78" i="125" s="1"/>
  <c r="BF236" i="125"/>
  <c r="BL153" i="126"/>
  <c r="BL161" i="126" s="1"/>
  <c r="O74" i="125"/>
  <c r="O82" i="125" s="1"/>
  <c r="BL151" i="126"/>
  <c r="BL156" i="126" s="1"/>
  <c r="BL232" i="126"/>
  <c r="BL239" i="126" s="1"/>
  <c r="BK218" i="120"/>
  <c r="BL233" i="126"/>
  <c r="BL241" i="126" s="1"/>
  <c r="BL230" i="126"/>
  <c r="BL236" i="126" s="1"/>
  <c r="BL72" i="126"/>
  <c r="BL78" i="126" s="1"/>
  <c r="BL59" i="126"/>
  <c r="BL205" i="120"/>
  <c r="BP205" i="120" s="1"/>
  <c r="BL74" i="126"/>
  <c r="BL82" i="126" s="1"/>
  <c r="BM289" i="124"/>
  <c r="BP289" i="124" s="1"/>
  <c r="BL215" i="120"/>
  <c r="BL217" i="120" s="1"/>
  <c r="BK312" i="120"/>
  <c r="BK320" i="120" s="1"/>
  <c r="O59" i="125"/>
  <c r="BH334" i="125"/>
  <c r="BH339" i="125" s="1"/>
  <c r="BL75" i="126"/>
  <c r="BL83" i="126" s="1"/>
  <c r="AF311" i="126"/>
  <c r="AF318" i="126" s="1"/>
  <c r="BM131" i="124"/>
  <c r="BP131" i="124" s="1"/>
  <c r="AF297" i="126"/>
  <c r="BK341" i="124"/>
  <c r="BK342" i="124" s="1"/>
  <c r="BK345" i="124" s="1"/>
  <c r="AJ296" i="126"/>
  <c r="Q203" i="125"/>
  <c r="AF341" i="124"/>
  <c r="AF342" i="124" s="1"/>
  <c r="P47" i="125"/>
  <c r="BH205" i="125"/>
  <c r="BM129" i="124"/>
  <c r="BM109" i="124" s="1"/>
  <c r="BO109" i="124" s="1"/>
  <c r="AG339" i="126"/>
  <c r="AI339" i="126" s="1"/>
  <c r="BM202" i="120"/>
  <c r="BM205" i="120" s="1"/>
  <c r="BM339" i="126"/>
  <c r="BO339" i="126" s="1"/>
  <c r="BM333" i="126"/>
  <c r="BO333" i="126" s="1"/>
  <c r="BF345" i="125"/>
  <c r="AJ204" i="124"/>
  <c r="AG333" i="126"/>
  <c r="Q124" i="125"/>
  <c r="P294" i="125"/>
  <c r="P309" i="125" s="1"/>
  <c r="BH294" i="125"/>
  <c r="BH296" i="125" s="1"/>
  <c r="AE319" i="126"/>
  <c r="AE318" i="126"/>
  <c r="AJ311" i="126"/>
  <c r="AJ319" i="126" s="1"/>
  <c r="AU158" i="126"/>
  <c r="AU159" i="126"/>
  <c r="BP154" i="126"/>
  <c r="BP163" i="126" s="1"/>
  <c r="AG139" i="126"/>
  <c r="AG138" i="126"/>
  <c r="AG151" i="126"/>
  <c r="AG153" i="126"/>
  <c r="AG154" i="126"/>
  <c r="AG296" i="126"/>
  <c r="AG297" i="126"/>
  <c r="AG309" i="126"/>
  <c r="AG311" i="126"/>
  <c r="AG312" i="126"/>
  <c r="O80" i="126"/>
  <c r="O79" i="126"/>
  <c r="BO30" i="126"/>
  <c r="AE160" i="126"/>
  <c r="AE161" i="126"/>
  <c r="BF320" i="125"/>
  <c r="BF321" i="125"/>
  <c r="AF345" i="126"/>
  <c r="AF344" i="126"/>
  <c r="AE315" i="126"/>
  <c r="AE314" i="126"/>
  <c r="AJ309" i="126"/>
  <c r="AJ315" i="126" s="1"/>
  <c r="O159" i="126"/>
  <c r="O158" i="126"/>
  <c r="BP153" i="126"/>
  <c r="BP161" i="126" s="1"/>
  <c r="BM138" i="126"/>
  <c r="BM139" i="126"/>
  <c r="BM151" i="126"/>
  <c r="BM154" i="126"/>
  <c r="BM153" i="126"/>
  <c r="O238" i="126"/>
  <c r="O237" i="126"/>
  <c r="BK242" i="126"/>
  <c r="BK241" i="126"/>
  <c r="BP233" i="126"/>
  <c r="BP242" i="126" s="1"/>
  <c r="BF319" i="125"/>
  <c r="BF318" i="125"/>
  <c r="AE236" i="126"/>
  <c r="AE235" i="126"/>
  <c r="AF218" i="126"/>
  <c r="AF217" i="126"/>
  <c r="AF230" i="126"/>
  <c r="AF232" i="126"/>
  <c r="AJ232" i="126" s="1"/>
  <c r="AJ240" i="126" s="1"/>
  <c r="AF233" i="126"/>
  <c r="AJ215" i="126"/>
  <c r="AJ218" i="126" s="1"/>
  <c r="AU316" i="126"/>
  <c r="AU317" i="126"/>
  <c r="BM297" i="126"/>
  <c r="BM296" i="126"/>
  <c r="BM309" i="126"/>
  <c r="BM311" i="126"/>
  <c r="BM312" i="126"/>
  <c r="BP151" i="126"/>
  <c r="BP157" i="126" s="1"/>
  <c r="AE78" i="126"/>
  <c r="AE77" i="126"/>
  <c r="AU237" i="126"/>
  <c r="AU238" i="126"/>
  <c r="BK239" i="126"/>
  <c r="BK240" i="126"/>
  <c r="BP232" i="126"/>
  <c r="BP240" i="126" s="1"/>
  <c r="AE241" i="126"/>
  <c r="AE242" i="126"/>
  <c r="R204" i="125"/>
  <c r="R212" i="125" s="1"/>
  <c r="AF139" i="126"/>
  <c r="AF138" i="126"/>
  <c r="AJ138" i="126" s="1"/>
  <c r="AF151" i="126"/>
  <c r="AF153" i="126"/>
  <c r="AJ153" i="126" s="1"/>
  <c r="AJ161" i="126" s="1"/>
  <c r="AF154" i="126"/>
  <c r="AJ154" i="126" s="1"/>
  <c r="AJ163" i="126" s="1"/>
  <c r="O317" i="126"/>
  <c r="O316" i="126"/>
  <c r="AE83" i="126"/>
  <c r="AE84" i="126"/>
  <c r="BK235" i="126"/>
  <c r="BK236" i="126"/>
  <c r="BP230" i="126"/>
  <c r="BP236" i="126" s="1"/>
  <c r="AE240" i="126"/>
  <c r="AE239" i="126"/>
  <c r="AE81" i="126"/>
  <c r="AE82" i="126"/>
  <c r="AG57" i="126"/>
  <c r="BM217" i="126"/>
  <c r="BM218" i="126"/>
  <c r="BM230" i="126"/>
  <c r="BM232" i="126"/>
  <c r="BM233" i="126"/>
  <c r="AJ217" i="126"/>
  <c r="Q283" i="125"/>
  <c r="Q291" i="125" s="1"/>
  <c r="BK82" i="126"/>
  <c r="BK81" i="126"/>
  <c r="BP74" i="126"/>
  <c r="BP82" i="126" s="1"/>
  <c r="AJ136" i="126"/>
  <c r="AJ139" i="126" s="1"/>
  <c r="BK83" i="126"/>
  <c r="BK84" i="126"/>
  <c r="BP75" i="126"/>
  <c r="BP84" i="126" s="1"/>
  <c r="AE162" i="126"/>
  <c r="AE163" i="126"/>
  <c r="AF60" i="126"/>
  <c r="AF59" i="126"/>
  <c r="AJ59" i="126" s="1"/>
  <c r="AF75" i="126"/>
  <c r="AF72" i="126"/>
  <c r="AF74" i="126"/>
  <c r="AJ74" i="126" s="1"/>
  <c r="AJ82" i="126" s="1"/>
  <c r="AE321" i="126"/>
  <c r="AE320" i="126"/>
  <c r="AJ312" i="126"/>
  <c r="AJ321" i="126" s="1"/>
  <c r="AF320" i="126"/>
  <c r="AF321" i="126"/>
  <c r="BK77" i="126"/>
  <c r="BK78" i="126"/>
  <c r="BP72" i="126"/>
  <c r="BP78" i="126" s="1"/>
  <c r="AG218" i="126"/>
  <c r="AG217" i="126"/>
  <c r="AG230" i="126"/>
  <c r="AG233" i="126"/>
  <c r="AG232" i="126"/>
  <c r="AU80" i="126"/>
  <c r="AU79" i="126"/>
  <c r="BL297" i="126"/>
  <c r="BL296" i="126"/>
  <c r="BP296" i="126" s="1"/>
  <c r="BL309" i="126"/>
  <c r="BL311" i="126"/>
  <c r="BL312" i="126"/>
  <c r="BP294" i="126"/>
  <c r="BP297" i="126" s="1"/>
  <c r="BM59" i="126"/>
  <c r="BM60" i="126"/>
  <c r="BM72" i="126"/>
  <c r="BM74" i="126"/>
  <c r="BM75" i="126"/>
  <c r="AE157" i="126"/>
  <c r="AE156" i="126"/>
  <c r="R125" i="125"/>
  <c r="R133" i="125" s="1"/>
  <c r="AJ212" i="124"/>
  <c r="BL136" i="124"/>
  <c r="BL153" i="124" s="1"/>
  <c r="O310" i="125"/>
  <c r="O317" i="125" s="1"/>
  <c r="BI45" i="125"/>
  <c r="R203" i="125"/>
  <c r="O341" i="125"/>
  <c r="O342" i="125" s="1"/>
  <c r="Q45" i="125"/>
  <c r="BM124" i="120"/>
  <c r="BL335" i="120"/>
  <c r="BP335" i="120" s="1"/>
  <c r="BK242" i="120"/>
  <c r="R124" i="125"/>
  <c r="BI124" i="125"/>
  <c r="BP125" i="120"/>
  <c r="AI113" i="124"/>
  <c r="BH47" i="125"/>
  <c r="Q282" i="125"/>
  <c r="R44" i="125"/>
  <c r="R34" i="125"/>
  <c r="Q123" i="125"/>
  <c r="Q113" i="125"/>
  <c r="BI34" i="125"/>
  <c r="BI44" i="125"/>
  <c r="Q44" i="125"/>
  <c r="Q34" i="125"/>
  <c r="BI123" i="125"/>
  <c r="BI113" i="125"/>
  <c r="R123" i="125"/>
  <c r="R113" i="125"/>
  <c r="BI281" i="125"/>
  <c r="BI271" i="125"/>
  <c r="BI192" i="125"/>
  <c r="BI202" i="125"/>
  <c r="R281" i="125"/>
  <c r="R271" i="125"/>
  <c r="Q281" i="125"/>
  <c r="Q271" i="125"/>
  <c r="R202" i="125"/>
  <c r="R192" i="125"/>
  <c r="BL126" i="120"/>
  <c r="BP126" i="120" s="1"/>
  <c r="BK309" i="120"/>
  <c r="BK314" i="120" s="1"/>
  <c r="BF157" i="125"/>
  <c r="BF156" i="125"/>
  <c r="N82" i="125"/>
  <c r="N81" i="125"/>
  <c r="R45" i="125"/>
  <c r="BH333" i="125"/>
  <c r="BI125" i="125"/>
  <c r="BI133" i="125" s="1"/>
  <c r="Q125" i="125"/>
  <c r="Q133" i="125" s="1"/>
  <c r="R208" i="125"/>
  <c r="R210" i="125"/>
  <c r="P215" i="125"/>
  <c r="P57" i="125"/>
  <c r="BH215" i="125"/>
  <c r="O297" i="125"/>
  <c r="O296" i="125"/>
  <c r="O309" i="125"/>
  <c r="O311" i="125"/>
  <c r="O312" i="125"/>
  <c r="BF77" i="125"/>
  <c r="BF78" i="125"/>
  <c r="BI203" i="125"/>
  <c r="BH126" i="125"/>
  <c r="Q46" i="125"/>
  <c r="BM132" i="120"/>
  <c r="O230" i="125"/>
  <c r="O218" i="125"/>
  <c r="O217" i="125"/>
  <c r="O232" i="125"/>
  <c r="O233" i="125"/>
  <c r="O157" i="125"/>
  <c r="O156" i="125"/>
  <c r="N79" i="125"/>
  <c r="N80" i="125"/>
  <c r="BI210" i="125"/>
  <c r="BI208" i="125"/>
  <c r="BI46" i="125"/>
  <c r="Q287" i="125"/>
  <c r="Q289" i="125"/>
  <c r="Q50" i="125"/>
  <c r="Q52" i="125"/>
  <c r="BI282" i="125"/>
  <c r="BH133" i="125"/>
  <c r="BH136" i="125" s="1"/>
  <c r="BH335" i="125"/>
  <c r="P334" i="125"/>
  <c r="P339" i="125" s="1"/>
  <c r="BF82" i="125"/>
  <c r="BF81" i="125"/>
  <c r="N83" i="125"/>
  <c r="N84" i="125"/>
  <c r="P126" i="125"/>
  <c r="BI204" i="125"/>
  <c r="P333" i="125"/>
  <c r="P284" i="125"/>
  <c r="BI283" i="125"/>
  <c r="BI291" i="125" s="1"/>
  <c r="BI287" i="125"/>
  <c r="BI289" i="125"/>
  <c r="O231" i="125"/>
  <c r="O237" i="125" s="1"/>
  <c r="P133" i="125"/>
  <c r="P136" i="125" s="1"/>
  <c r="P335" i="125"/>
  <c r="O161" i="125"/>
  <c r="BG138" i="125"/>
  <c r="BG139" i="125"/>
  <c r="BG151" i="125"/>
  <c r="BG153" i="125"/>
  <c r="BG154" i="125"/>
  <c r="BF84" i="125"/>
  <c r="BF83" i="125"/>
  <c r="N78" i="125"/>
  <c r="N77" i="125"/>
  <c r="Q208" i="125"/>
  <c r="Q210" i="125"/>
  <c r="R131" i="125"/>
  <c r="R129" i="125"/>
  <c r="R46" i="125"/>
  <c r="BI129" i="125"/>
  <c r="BI131" i="125"/>
  <c r="R287" i="125"/>
  <c r="R289" i="125"/>
  <c r="BK311" i="120"/>
  <c r="BK318" i="120" s="1"/>
  <c r="BH57" i="125"/>
  <c r="BF162" i="125"/>
  <c r="BF163" i="125"/>
  <c r="BG218" i="125"/>
  <c r="BG217" i="125"/>
  <c r="BG230" i="125"/>
  <c r="BG232" i="125"/>
  <c r="BG233" i="125"/>
  <c r="R52" i="125"/>
  <c r="R50" i="125"/>
  <c r="BI52" i="125"/>
  <c r="BI50" i="125"/>
  <c r="BH284" i="125"/>
  <c r="Q131" i="125"/>
  <c r="Q129" i="125"/>
  <c r="R282" i="125"/>
  <c r="R283" i="125"/>
  <c r="R291" i="125" s="1"/>
  <c r="BF161" i="125"/>
  <c r="BF160" i="125"/>
  <c r="BG296" i="125"/>
  <c r="BG297" i="125"/>
  <c r="BG309" i="125"/>
  <c r="BG311" i="125"/>
  <c r="BG312" i="125"/>
  <c r="P205" i="125"/>
  <c r="Q211" i="125"/>
  <c r="Q204" i="125"/>
  <c r="AI192" i="124"/>
  <c r="BO262" i="120"/>
  <c r="BJ344" i="120"/>
  <c r="AU158" i="125"/>
  <c r="AU159" i="125"/>
  <c r="BP53" i="124"/>
  <c r="AU80" i="125"/>
  <c r="AU79" i="125"/>
  <c r="AU237" i="125"/>
  <c r="AU238" i="125"/>
  <c r="AU316" i="125"/>
  <c r="AU317" i="125"/>
  <c r="BO192" i="124"/>
  <c r="BL296" i="120"/>
  <c r="AG282" i="124"/>
  <c r="AJ282" i="124" s="1"/>
  <c r="AJ53" i="124"/>
  <c r="AJ132" i="124"/>
  <c r="BL341" i="124"/>
  <c r="BL342" i="124" s="1"/>
  <c r="BL294" i="124"/>
  <c r="BL309" i="124" s="1"/>
  <c r="AI271" i="124"/>
  <c r="BL309" i="120"/>
  <c r="BL315" i="120" s="1"/>
  <c r="BM125" i="120"/>
  <c r="BM133" i="120" s="1"/>
  <c r="AG291" i="124"/>
  <c r="AJ291" i="124" s="1"/>
  <c r="AJ283" i="124"/>
  <c r="BP125" i="124"/>
  <c r="BL312" i="120"/>
  <c r="BL320" i="120" s="1"/>
  <c r="BM204" i="124"/>
  <c r="BM335" i="124" s="1"/>
  <c r="BP335" i="124" s="1"/>
  <c r="BP283" i="124"/>
  <c r="BP133" i="124"/>
  <c r="BL311" i="120"/>
  <c r="BL318" i="120" s="1"/>
  <c r="AJ125" i="124"/>
  <c r="BO267" i="124"/>
  <c r="BM203" i="124"/>
  <c r="AJ46" i="124"/>
  <c r="BM54" i="124"/>
  <c r="BP54" i="124" s="1"/>
  <c r="BP46" i="124"/>
  <c r="AI33" i="124"/>
  <c r="AF136" i="124"/>
  <c r="AF154" i="124" s="1"/>
  <c r="BO270" i="124"/>
  <c r="BM290" i="124"/>
  <c r="BP290" i="124" s="1"/>
  <c r="BK297" i="124"/>
  <c r="BK296" i="124"/>
  <c r="BK309" i="124"/>
  <c r="BK312" i="124"/>
  <c r="BK311" i="124"/>
  <c r="AU159" i="120"/>
  <c r="AU158" i="120"/>
  <c r="BM283" i="120"/>
  <c r="BM291" i="120" s="1"/>
  <c r="BL47" i="124"/>
  <c r="BK83" i="124"/>
  <c r="BK84" i="124"/>
  <c r="O80" i="124"/>
  <c r="O79" i="124"/>
  <c r="BO271" i="124"/>
  <c r="AG210" i="124"/>
  <c r="AG215" i="124" s="1"/>
  <c r="AG208" i="124"/>
  <c r="AG188" i="124" s="1"/>
  <c r="AI188" i="124" s="1"/>
  <c r="AI190" i="124"/>
  <c r="BM210" i="120"/>
  <c r="BM215" i="120" s="1"/>
  <c r="BM208" i="120"/>
  <c r="BM188" i="120" s="1"/>
  <c r="AE345" i="124"/>
  <c r="AE344" i="124"/>
  <c r="BM50" i="124"/>
  <c r="BM30" i="124" s="1"/>
  <c r="BO30" i="124" s="1"/>
  <c r="BM52" i="124"/>
  <c r="BL215" i="124"/>
  <c r="AG129" i="124"/>
  <c r="AG131" i="124"/>
  <c r="AI111" i="124"/>
  <c r="BL57" i="124"/>
  <c r="BM202" i="124"/>
  <c r="BO183" i="124"/>
  <c r="AU238" i="124"/>
  <c r="AU237" i="124"/>
  <c r="AF47" i="124"/>
  <c r="BM282" i="120"/>
  <c r="BM123" i="124"/>
  <c r="BO104" i="124"/>
  <c r="BK82" i="124"/>
  <c r="BK81" i="124"/>
  <c r="AF267" i="124"/>
  <c r="AG335" i="124"/>
  <c r="AJ335" i="124" s="1"/>
  <c r="BL188" i="124"/>
  <c r="AF57" i="124"/>
  <c r="AU237" i="120"/>
  <c r="AU238" i="120"/>
  <c r="BO254" i="120"/>
  <c r="AD345" i="124"/>
  <c r="AD344" i="124"/>
  <c r="AG44" i="124"/>
  <c r="AG47" i="124" s="1"/>
  <c r="AI25" i="124"/>
  <c r="BM281" i="120"/>
  <c r="BJ81" i="124"/>
  <c r="BJ82" i="124"/>
  <c r="BK77" i="124"/>
  <c r="BK78" i="124"/>
  <c r="AG202" i="124"/>
  <c r="AI183" i="124"/>
  <c r="AF294" i="124"/>
  <c r="AD83" i="124"/>
  <c r="AD84" i="124"/>
  <c r="BK138" i="124"/>
  <c r="BK139" i="124"/>
  <c r="BK151" i="124"/>
  <c r="BK153" i="124"/>
  <c r="BK154" i="124"/>
  <c r="BJ161" i="124"/>
  <c r="BJ160" i="124"/>
  <c r="BM281" i="124"/>
  <c r="BO262" i="124"/>
  <c r="AD162" i="124"/>
  <c r="AD163" i="124"/>
  <c r="AU316" i="124"/>
  <c r="AU317" i="124"/>
  <c r="BM113" i="124"/>
  <c r="BO113" i="124" s="1"/>
  <c r="BO330" i="124"/>
  <c r="BJ83" i="124"/>
  <c r="BJ84" i="124"/>
  <c r="AD81" i="124"/>
  <c r="AD82" i="124"/>
  <c r="BJ162" i="124"/>
  <c r="BJ163" i="124"/>
  <c r="AE319" i="124"/>
  <c r="AE318" i="124"/>
  <c r="AD161" i="124"/>
  <c r="AD160" i="124"/>
  <c r="AU316" i="120"/>
  <c r="AU317" i="120"/>
  <c r="BM208" i="124"/>
  <c r="BM188" i="124" s="1"/>
  <c r="BM210" i="124"/>
  <c r="BP210" i="124" s="1"/>
  <c r="BO190" i="124"/>
  <c r="AC344" i="124"/>
  <c r="AC345" i="124"/>
  <c r="BM44" i="124"/>
  <c r="BM47" i="124" s="1"/>
  <c r="BO25" i="124"/>
  <c r="AG281" i="124"/>
  <c r="AI262" i="124"/>
  <c r="AU159" i="124"/>
  <c r="AU158" i="124"/>
  <c r="AD318" i="124"/>
  <c r="AD319" i="124"/>
  <c r="BJ77" i="124"/>
  <c r="BJ78" i="124"/>
  <c r="AF215" i="124"/>
  <c r="AE78" i="124"/>
  <c r="AE77" i="124"/>
  <c r="AD77" i="124"/>
  <c r="AD78" i="124"/>
  <c r="BP291" i="124"/>
  <c r="BJ156" i="124"/>
  <c r="BJ157" i="124"/>
  <c r="AE218" i="124"/>
  <c r="AE217" i="124"/>
  <c r="AE230" i="124"/>
  <c r="AE232" i="124"/>
  <c r="AE233" i="124"/>
  <c r="AE314" i="124"/>
  <c r="AE315" i="124"/>
  <c r="BM287" i="120"/>
  <c r="BM267" i="120" s="1"/>
  <c r="AD157" i="124"/>
  <c r="AD156" i="124"/>
  <c r="BM211" i="124"/>
  <c r="BP211" i="124" s="1"/>
  <c r="O316" i="124"/>
  <c r="O317" i="124"/>
  <c r="AG331" i="124"/>
  <c r="AI331" i="124" s="1"/>
  <c r="AI328" i="124"/>
  <c r="AG287" i="124"/>
  <c r="AG267" i="124" s="1"/>
  <c r="AG289" i="124"/>
  <c r="AJ289" i="124" s="1"/>
  <c r="AI269" i="124"/>
  <c r="O159" i="124"/>
  <c r="O158" i="124"/>
  <c r="AD320" i="124"/>
  <c r="AD321" i="124"/>
  <c r="AE83" i="124"/>
  <c r="AE84" i="124"/>
  <c r="AE320" i="124"/>
  <c r="AE321" i="124"/>
  <c r="BM289" i="120"/>
  <c r="AI330" i="124"/>
  <c r="AG123" i="124"/>
  <c r="AI104" i="124"/>
  <c r="AG50" i="124"/>
  <c r="AG52" i="124"/>
  <c r="AG57" i="124" s="1"/>
  <c r="AD315" i="124"/>
  <c r="AD314" i="124"/>
  <c r="AE81" i="124"/>
  <c r="AE82" i="124"/>
  <c r="AG34" i="124"/>
  <c r="AI34" i="124" s="1"/>
  <c r="AE139" i="124"/>
  <c r="AE138" i="124"/>
  <c r="AE151" i="124"/>
  <c r="AE153" i="124"/>
  <c r="AE154" i="124"/>
  <c r="AU79" i="124"/>
  <c r="AU80" i="124"/>
  <c r="AI254" i="124"/>
  <c r="AG290" i="124"/>
  <c r="AJ290" i="124" s="1"/>
  <c r="BM331" i="124"/>
  <c r="BO331" i="124" s="1"/>
  <c r="BO328" i="124"/>
  <c r="AI329" i="124"/>
  <c r="BO32" i="124"/>
  <c r="O238" i="124"/>
  <c r="O237" i="124"/>
  <c r="BJ161" i="120"/>
  <c r="BJ160" i="120"/>
  <c r="BJ162" i="120"/>
  <c r="BJ163" i="120"/>
  <c r="BJ157" i="120"/>
  <c r="BJ156" i="120"/>
  <c r="BK138" i="120"/>
  <c r="BK151" i="120"/>
  <c r="BK153" i="120"/>
  <c r="BK154" i="120"/>
  <c r="AE230" i="120"/>
  <c r="AE232" i="120"/>
  <c r="AE233" i="120"/>
  <c r="AG44" i="120"/>
  <c r="AF341" i="120"/>
  <c r="AJ341" i="120" s="1"/>
  <c r="BK139" i="120"/>
  <c r="AF136" i="120"/>
  <c r="AF139" i="120" s="1"/>
  <c r="AG46" i="120"/>
  <c r="AG54" i="120" s="1"/>
  <c r="AG53" i="120"/>
  <c r="AG45" i="120"/>
  <c r="BP129" i="120"/>
  <c r="BM46" i="120"/>
  <c r="BM54" i="120" s="1"/>
  <c r="BO271" i="120"/>
  <c r="BL333" i="120"/>
  <c r="BP333" i="120" s="1"/>
  <c r="BM45" i="120"/>
  <c r="AG281" i="120"/>
  <c r="BP212" i="120"/>
  <c r="AG133" i="120"/>
  <c r="AD314" i="120"/>
  <c r="AD315" i="120"/>
  <c r="AI192" i="120"/>
  <c r="BP50" i="120"/>
  <c r="AD81" i="120"/>
  <c r="AD82" i="120"/>
  <c r="AG204" i="120"/>
  <c r="AG212" i="120" s="1"/>
  <c r="BK83" i="120"/>
  <c r="BK84" i="120"/>
  <c r="AD235" i="120"/>
  <c r="AD236" i="120"/>
  <c r="AG287" i="120"/>
  <c r="AG267" i="120" s="1"/>
  <c r="BP208" i="120"/>
  <c r="BO183" i="120"/>
  <c r="BO192" i="120"/>
  <c r="AE161" i="120"/>
  <c r="AE160" i="120"/>
  <c r="AG331" i="120"/>
  <c r="AI331" i="120" s="1"/>
  <c r="AI328" i="120"/>
  <c r="AD83" i="120"/>
  <c r="AD84" i="120"/>
  <c r="BI345" i="120"/>
  <c r="BI344" i="120"/>
  <c r="BK77" i="120"/>
  <c r="BK78" i="120"/>
  <c r="AG289" i="120"/>
  <c r="AF126" i="120"/>
  <c r="AJ126" i="120" s="1"/>
  <c r="AJ123" i="120"/>
  <c r="AE81" i="120"/>
  <c r="AE82" i="120"/>
  <c r="BP284" i="120"/>
  <c r="BP282" i="120"/>
  <c r="BP289" i="120"/>
  <c r="AE163" i="120"/>
  <c r="AE162" i="120"/>
  <c r="AG50" i="120"/>
  <c r="AG30" i="120" s="1"/>
  <c r="AI30" i="120" s="1"/>
  <c r="AG52" i="120"/>
  <c r="AD78" i="120"/>
  <c r="AD77" i="120"/>
  <c r="AE321" i="120"/>
  <c r="AE320" i="120"/>
  <c r="BL47" i="120"/>
  <c r="BP47" i="120" s="1"/>
  <c r="BP44" i="120"/>
  <c r="AI113" i="120"/>
  <c r="AE83" i="120"/>
  <c r="AE84" i="120"/>
  <c r="AG208" i="120"/>
  <c r="AG188" i="120" s="1"/>
  <c r="AG210" i="120"/>
  <c r="AF294" i="120"/>
  <c r="AJ289" i="120"/>
  <c r="AI254" i="120"/>
  <c r="AG290" i="120"/>
  <c r="BP287" i="120"/>
  <c r="AJ50" i="120"/>
  <c r="AE319" i="120"/>
  <c r="AE318" i="120"/>
  <c r="AI33" i="120"/>
  <c r="AD239" i="120"/>
  <c r="AD240" i="120"/>
  <c r="AI190" i="120"/>
  <c r="AE78" i="120"/>
  <c r="AE77" i="120"/>
  <c r="BJ83" i="120"/>
  <c r="BJ84" i="120"/>
  <c r="BM44" i="120"/>
  <c r="BP202" i="120"/>
  <c r="BM340" i="120"/>
  <c r="BO340" i="120" s="1"/>
  <c r="BO329" i="120"/>
  <c r="AF267" i="120"/>
  <c r="AJ287" i="120"/>
  <c r="BI81" i="120"/>
  <c r="BI82" i="120"/>
  <c r="BK341" i="120"/>
  <c r="AI96" i="120"/>
  <c r="AG132" i="120"/>
  <c r="AJ129" i="120"/>
  <c r="AE156" i="120"/>
  <c r="AE157" i="120"/>
  <c r="AG203" i="120"/>
  <c r="AI330" i="120"/>
  <c r="AD241" i="120"/>
  <c r="AD242" i="120"/>
  <c r="AF188" i="120"/>
  <c r="AJ208" i="120"/>
  <c r="AD160" i="120"/>
  <c r="AD161" i="120"/>
  <c r="BJ82" i="120"/>
  <c r="BJ81" i="120"/>
  <c r="AE344" i="120"/>
  <c r="AE345" i="120"/>
  <c r="BM53" i="120"/>
  <c r="BO33" i="120"/>
  <c r="BI83" i="120"/>
  <c r="BI84" i="120"/>
  <c r="AF57" i="120"/>
  <c r="AJ52" i="120"/>
  <c r="BO330" i="120"/>
  <c r="BM331" i="120"/>
  <c r="BO331" i="120" s="1"/>
  <c r="AE315" i="120"/>
  <c r="AE314" i="120"/>
  <c r="BL57" i="120"/>
  <c r="AI329" i="120"/>
  <c r="AF215" i="120"/>
  <c r="AJ210" i="120"/>
  <c r="AD163" i="120"/>
  <c r="AD162" i="120"/>
  <c r="BO175" i="120"/>
  <c r="AG282" i="120"/>
  <c r="BJ77" i="120"/>
  <c r="BJ78" i="120"/>
  <c r="AG123" i="120"/>
  <c r="AJ131" i="120"/>
  <c r="AD319" i="120"/>
  <c r="AD318" i="120"/>
  <c r="AG211" i="120"/>
  <c r="AI175" i="120"/>
  <c r="BI77" i="120"/>
  <c r="BI78" i="120"/>
  <c r="BM52" i="120"/>
  <c r="BM50" i="120"/>
  <c r="BM30" i="120" s="1"/>
  <c r="BO30" i="120" s="1"/>
  <c r="AI340" i="120"/>
  <c r="AD156" i="120"/>
  <c r="AD157" i="120"/>
  <c r="BO190" i="120"/>
  <c r="AD320" i="120"/>
  <c r="AD321" i="120"/>
  <c r="AG124" i="120"/>
  <c r="BM129" i="120"/>
  <c r="BM109" i="120" s="1"/>
  <c r="BO109" i="120" s="1"/>
  <c r="BM131" i="120"/>
  <c r="AG131" i="120"/>
  <c r="AG129" i="120"/>
  <c r="AG109" i="120" s="1"/>
  <c r="AI109" i="120" s="1"/>
  <c r="BL334" i="120"/>
  <c r="BP334" i="120" s="1"/>
  <c r="BK82" i="120"/>
  <c r="BK81" i="120"/>
  <c r="AE217" i="120"/>
  <c r="AE218" i="120"/>
  <c r="BM123" i="120"/>
  <c r="BO104" i="120"/>
  <c r="BL136" i="120"/>
  <c r="BP131" i="120"/>
  <c r="BM113" i="120"/>
  <c r="BO113" i="120" s="1"/>
  <c r="BP210" i="120"/>
  <c r="O158" i="120"/>
  <c r="O159" i="120"/>
  <c r="O237" i="120"/>
  <c r="O238" i="120"/>
  <c r="O317" i="120"/>
  <c r="O316" i="120"/>
  <c r="O80" i="120"/>
  <c r="O79" i="120"/>
  <c r="AU79" i="120"/>
  <c r="AU80" i="120"/>
  <c r="CE63" i="67"/>
  <c r="CX6" i="119"/>
  <c r="CW6" i="118"/>
  <c r="CX6" i="117"/>
  <c r="CI24" i="67"/>
  <c r="CG21" i="67"/>
  <c r="CH26" i="67"/>
  <c r="CH60" i="67" s="1"/>
  <c r="CF65" i="67"/>
  <c r="CF31" i="67"/>
  <c r="CG31" i="67"/>
  <c r="CG29" i="67"/>
  <c r="CF29" i="67"/>
  <c r="CG28" i="67"/>
  <c r="CG62" i="67" s="1"/>
  <c r="CH59" i="67"/>
  <c r="N14" i="77"/>
  <c r="N13" i="77"/>
  <c r="N15" i="77"/>
  <c r="N12" i="77"/>
  <c r="BZ26" i="67"/>
  <c r="CJ6" i="67"/>
  <c r="CJ13" i="67" a="1"/>
  <c r="P30" i="125"/>
  <c r="CJ26" i="67" a="1"/>
  <c r="CJ24" i="67" a="1"/>
  <c r="P267" i="125"/>
  <c r="CJ11" i="67" a="1"/>
  <c r="O109" i="125"/>
  <c r="BH30" i="125"/>
  <c r="CJ12" i="67" a="1"/>
  <c r="R188" i="125"/>
  <c r="CH17" i="67" a="1"/>
  <c r="CH21" i="67" a="1"/>
  <c r="CI49" i="67" a="1"/>
  <c r="CH19" i="67" a="1"/>
  <c r="CI38" i="67" a="1"/>
  <c r="CJ10" i="67" a="1"/>
  <c r="BI30" i="125"/>
  <c r="CI26" i="67" a="1"/>
  <c r="Q267" i="125"/>
  <c r="CI39" i="67" a="1"/>
  <c r="CI25" i="67" a="1"/>
  <c r="CI51" i="67" a="1"/>
  <c r="CJ9" i="67" a="1"/>
  <c r="CI23" i="67" a="1"/>
  <c r="CG18" i="67" a="1"/>
  <c r="BI109" i="125"/>
  <c r="Q109" i="125"/>
  <c r="R30" i="125"/>
  <c r="CI43" i="67" a="1"/>
  <c r="Q30" i="125"/>
  <c r="O188" i="125"/>
  <c r="CH23" i="67" a="1"/>
  <c r="BI267" i="125"/>
  <c r="CG27" i="67" a="1"/>
  <c r="CI41" i="67" a="1"/>
  <c r="BH267" i="125"/>
  <c r="CI44" i="67" a="1"/>
  <c r="CI47" i="67" a="1"/>
  <c r="CI40" i="67" a="1"/>
  <c r="BI188" i="125"/>
  <c r="CG20" i="67" a="1"/>
  <c r="CI46" i="67" a="1"/>
  <c r="CI37" i="67" a="1"/>
  <c r="CI45" i="67" a="1"/>
  <c r="BK239" i="120" l="1"/>
  <c r="AF314" i="126"/>
  <c r="O159" i="125"/>
  <c r="BK344" i="124"/>
  <c r="AI335" i="124"/>
  <c r="AF342" i="120"/>
  <c r="AJ342" i="120" s="1"/>
  <c r="AJ345" i="120" s="1"/>
  <c r="O344" i="125"/>
  <c r="BL339" i="120"/>
  <c r="BP339" i="120" s="1"/>
  <c r="BO335" i="124"/>
  <c r="O80" i="125"/>
  <c r="BG78" i="125"/>
  <c r="O77" i="125"/>
  <c r="BG83" i="125"/>
  <c r="BK321" i="120"/>
  <c r="BL232" i="120"/>
  <c r="BL345" i="126"/>
  <c r="BL163" i="126"/>
  <c r="BP129" i="124"/>
  <c r="BM136" i="124"/>
  <c r="BP136" i="124" s="1"/>
  <c r="BP139" i="124" s="1"/>
  <c r="BP287" i="124"/>
  <c r="BK236" i="120"/>
  <c r="BL157" i="126"/>
  <c r="BL160" i="126"/>
  <c r="O81" i="125"/>
  <c r="BL154" i="124"/>
  <c r="BL163" i="124" s="1"/>
  <c r="BL242" i="126"/>
  <c r="BL233" i="120"/>
  <c r="BL242" i="120" s="1"/>
  <c r="BL235" i="126"/>
  <c r="BG344" i="125"/>
  <c r="BL230" i="120"/>
  <c r="BL218" i="120"/>
  <c r="BL151" i="124"/>
  <c r="BL157" i="124" s="1"/>
  <c r="BL138" i="124"/>
  <c r="BL77" i="126"/>
  <c r="BL81" i="126"/>
  <c r="BL240" i="126"/>
  <c r="BL314" i="120"/>
  <c r="BL84" i="126"/>
  <c r="AF319" i="126"/>
  <c r="BL139" i="124"/>
  <c r="BK319" i="120"/>
  <c r="BK315" i="120"/>
  <c r="BL341" i="120"/>
  <c r="BP341" i="120" s="1"/>
  <c r="P297" i="125"/>
  <c r="R136" i="125"/>
  <c r="R153" i="125" s="1"/>
  <c r="R161" i="125" s="1"/>
  <c r="Q333" i="125"/>
  <c r="AG334" i="124"/>
  <c r="AJ334" i="124" s="1"/>
  <c r="O316" i="125"/>
  <c r="P296" i="125"/>
  <c r="BH297" i="125"/>
  <c r="BL319" i="120"/>
  <c r="BM341" i="126"/>
  <c r="BO341" i="126" s="1"/>
  <c r="BI334" i="125"/>
  <c r="BI339" i="125" s="1"/>
  <c r="R215" i="125"/>
  <c r="R232" i="125" s="1"/>
  <c r="R240" i="125" s="1"/>
  <c r="O345" i="125"/>
  <c r="BI136" i="125"/>
  <c r="BI154" i="125" s="1"/>
  <c r="BI162" i="125" s="1"/>
  <c r="AI333" i="126"/>
  <c r="AG341" i="126"/>
  <c r="P248" i="126"/>
  <c r="P305" i="126" s="1"/>
  <c r="P310" i="126" s="1"/>
  <c r="AV248" i="126"/>
  <c r="AV305" i="126" s="1"/>
  <c r="AV310" i="126" s="1"/>
  <c r="BL320" i="126"/>
  <c r="BL321" i="126"/>
  <c r="BP312" i="126"/>
  <c r="BP321" i="126" s="1"/>
  <c r="AG239" i="126"/>
  <c r="AG240" i="126"/>
  <c r="AF84" i="126"/>
  <c r="AF83" i="126"/>
  <c r="AJ83" i="126" s="1"/>
  <c r="BM235" i="126"/>
  <c r="BM236" i="126"/>
  <c r="AJ75" i="126"/>
  <c r="AJ84" i="126" s="1"/>
  <c r="AF157" i="126"/>
  <c r="AF156" i="126"/>
  <c r="AJ156" i="126" s="1"/>
  <c r="AF236" i="126"/>
  <c r="AF235" i="126"/>
  <c r="BM163" i="126"/>
  <c r="BM162" i="126"/>
  <c r="BO162" i="126" s="1"/>
  <c r="AG163" i="126"/>
  <c r="AG162" i="126"/>
  <c r="BH311" i="125"/>
  <c r="BH312" i="125"/>
  <c r="P90" i="126"/>
  <c r="P147" i="126" s="1"/>
  <c r="P152" i="126" s="1"/>
  <c r="AV90" i="126"/>
  <c r="AV147" i="126" s="1"/>
  <c r="AV152" i="126" s="1"/>
  <c r="AJ215" i="124"/>
  <c r="AJ218" i="124" s="1"/>
  <c r="BL318" i="126"/>
  <c r="BL319" i="126"/>
  <c r="BP311" i="126"/>
  <c r="BP319" i="126" s="1"/>
  <c r="AG241" i="126"/>
  <c r="AG242" i="126"/>
  <c r="BP241" i="126"/>
  <c r="BM157" i="126"/>
  <c r="BM156" i="126"/>
  <c r="BO156" i="126" s="1"/>
  <c r="AG160" i="126"/>
  <c r="AG161" i="126"/>
  <c r="P311" i="125"/>
  <c r="P312" i="125"/>
  <c r="BM83" i="126"/>
  <c r="BO83" i="126" s="1"/>
  <c r="BM84" i="126"/>
  <c r="BL314" i="126"/>
  <c r="BL315" i="126"/>
  <c r="BP309" i="126"/>
  <c r="BP315" i="126" s="1"/>
  <c r="AG236" i="126"/>
  <c r="AG235" i="126"/>
  <c r="AG156" i="126"/>
  <c r="AG157" i="126"/>
  <c r="BM81" i="126"/>
  <c r="BM82" i="126"/>
  <c r="AJ320" i="126"/>
  <c r="AG60" i="126"/>
  <c r="AG59" i="126"/>
  <c r="AG72" i="126"/>
  <c r="AG75" i="126"/>
  <c r="AG74" i="126"/>
  <c r="BP239" i="126"/>
  <c r="AJ230" i="126"/>
  <c r="AJ236" i="126" s="1"/>
  <c r="AG320" i="126"/>
  <c r="AI320" i="126" s="1"/>
  <c r="AG321" i="126"/>
  <c r="BH309" i="125"/>
  <c r="BH314" i="125" s="1"/>
  <c r="BM78" i="126"/>
  <c r="BM77" i="126"/>
  <c r="BP156" i="126"/>
  <c r="AG319" i="126"/>
  <c r="AG318" i="126"/>
  <c r="AI318" i="126" s="1"/>
  <c r="AV169" i="126"/>
  <c r="AV226" i="126" s="1"/>
  <c r="AV231" i="126" s="1"/>
  <c r="P169" i="126"/>
  <c r="P226" i="126" s="1"/>
  <c r="P231" i="126" s="1"/>
  <c r="BP83" i="126"/>
  <c r="BP81" i="126"/>
  <c r="BM321" i="126"/>
  <c r="BM320" i="126"/>
  <c r="BP160" i="126"/>
  <c r="AJ314" i="126"/>
  <c r="AG315" i="126"/>
  <c r="AG314" i="126"/>
  <c r="P341" i="125"/>
  <c r="P342" i="125" s="1"/>
  <c r="Q294" i="125"/>
  <c r="Q311" i="125" s="1"/>
  <c r="Q319" i="125" s="1"/>
  <c r="R126" i="125"/>
  <c r="AF81" i="126"/>
  <c r="AJ81" i="126" s="1"/>
  <c r="AF82" i="126"/>
  <c r="BM242" i="126"/>
  <c r="BM241" i="126"/>
  <c r="BO241" i="126" s="1"/>
  <c r="AF162" i="126"/>
  <c r="AJ162" i="126" s="1"/>
  <c r="AF163" i="126"/>
  <c r="BM319" i="126"/>
  <c r="BM318" i="126"/>
  <c r="AF242" i="126"/>
  <c r="AF241" i="126"/>
  <c r="AJ241" i="126" s="1"/>
  <c r="AJ233" i="126"/>
  <c r="AJ242" i="126" s="1"/>
  <c r="BP162" i="126"/>
  <c r="AJ318" i="126"/>
  <c r="P11" i="126"/>
  <c r="P68" i="126" s="1"/>
  <c r="P73" i="126" s="1"/>
  <c r="AV11" i="126"/>
  <c r="AV68" i="126" s="1"/>
  <c r="AV73" i="126" s="1"/>
  <c r="AJ151" i="126"/>
  <c r="AJ157" i="126" s="1"/>
  <c r="BP77" i="126"/>
  <c r="AF77" i="126"/>
  <c r="AJ77" i="126" s="1"/>
  <c r="AF78" i="126"/>
  <c r="BM240" i="126"/>
  <c r="BM239" i="126"/>
  <c r="BO239" i="126" s="1"/>
  <c r="BP235" i="126"/>
  <c r="AF160" i="126"/>
  <c r="AJ160" i="126" s="1"/>
  <c r="AF161" i="126"/>
  <c r="AJ72" i="126"/>
  <c r="AJ78" i="126" s="1"/>
  <c r="BM314" i="126"/>
  <c r="BM315" i="126"/>
  <c r="AF240" i="126"/>
  <c r="AF239" i="126"/>
  <c r="AJ239" i="126" s="1"/>
  <c r="BM161" i="126"/>
  <c r="BM160" i="126"/>
  <c r="AF138" i="124"/>
  <c r="BH341" i="125"/>
  <c r="BH342" i="125" s="1"/>
  <c r="BH345" i="125" s="1"/>
  <c r="O238" i="125"/>
  <c r="R294" i="125"/>
  <c r="R312" i="125" s="1"/>
  <c r="R321" i="125" s="1"/>
  <c r="R205" i="125"/>
  <c r="Q334" i="125"/>
  <c r="Q339" i="125" s="1"/>
  <c r="P138" i="125"/>
  <c r="P151" i="125"/>
  <c r="P139" i="125"/>
  <c r="P154" i="125"/>
  <c r="P153" i="125"/>
  <c r="BG321" i="125"/>
  <c r="BG320" i="125"/>
  <c r="BG235" i="125"/>
  <c r="BG236" i="125"/>
  <c r="BG156" i="125"/>
  <c r="BG157" i="125"/>
  <c r="BI294" i="125"/>
  <c r="BI54" i="125"/>
  <c r="BI57" i="125" s="1"/>
  <c r="BI335" i="125"/>
  <c r="BH217" i="125"/>
  <c r="BH218" i="125"/>
  <c r="BH230" i="125"/>
  <c r="BH232" i="125"/>
  <c r="BH233" i="125"/>
  <c r="P314" i="125"/>
  <c r="P315" i="125"/>
  <c r="BI47" i="125"/>
  <c r="BG318" i="125"/>
  <c r="BG319" i="125"/>
  <c r="O241" i="125"/>
  <c r="O242" i="125"/>
  <c r="Q54" i="125"/>
  <c r="Q57" i="125" s="1"/>
  <c r="Q335" i="125"/>
  <c r="BI126" i="125"/>
  <c r="Q212" i="125"/>
  <c r="Q215" i="125" s="1"/>
  <c r="BG315" i="125"/>
  <c r="BG314" i="125"/>
  <c r="BH59" i="125"/>
  <c r="BH72" i="125"/>
  <c r="BH60" i="125"/>
  <c r="BH75" i="125"/>
  <c r="BH74" i="125"/>
  <c r="O240" i="125"/>
  <c r="O239" i="125"/>
  <c r="BM294" i="120"/>
  <c r="BM297" i="120" s="1"/>
  <c r="R54" i="125"/>
  <c r="R57" i="125" s="1"/>
  <c r="R335" i="125"/>
  <c r="O320" i="125"/>
  <c r="O321" i="125"/>
  <c r="Q284" i="125"/>
  <c r="BI284" i="125"/>
  <c r="O318" i="125"/>
  <c r="O319" i="125"/>
  <c r="P72" i="125"/>
  <c r="P60" i="125"/>
  <c r="P59" i="125"/>
  <c r="P75" i="125"/>
  <c r="P74" i="125"/>
  <c r="Q126" i="125"/>
  <c r="BL311" i="124"/>
  <c r="BL319" i="124" s="1"/>
  <c r="O236" i="125"/>
  <c r="O235" i="125"/>
  <c r="O315" i="125"/>
  <c r="O314" i="125"/>
  <c r="R284" i="125"/>
  <c r="Q47" i="125"/>
  <c r="Q136" i="125"/>
  <c r="BG242" i="125"/>
  <c r="BG241" i="125"/>
  <c r="BG162" i="125"/>
  <c r="BG163" i="125"/>
  <c r="BH151" i="125"/>
  <c r="BH139" i="125"/>
  <c r="BH138" i="125"/>
  <c r="BH154" i="125"/>
  <c r="BH153" i="125"/>
  <c r="P217" i="125"/>
  <c r="P218" i="125"/>
  <c r="P230" i="125"/>
  <c r="P233" i="125"/>
  <c r="P232" i="125"/>
  <c r="R334" i="125"/>
  <c r="R339" i="125" s="1"/>
  <c r="Q205" i="125"/>
  <c r="R333" i="125"/>
  <c r="BM126" i="120"/>
  <c r="BM136" i="120"/>
  <c r="BM151" i="120" s="1"/>
  <c r="BG239" i="125"/>
  <c r="BG240" i="125"/>
  <c r="BI138" i="125"/>
  <c r="BG160" i="125"/>
  <c r="BG161" i="125"/>
  <c r="BI212" i="125"/>
  <c r="BI215" i="125" s="1"/>
  <c r="R154" i="125"/>
  <c r="BI205" i="125"/>
  <c r="BI333" i="125"/>
  <c r="R47" i="125"/>
  <c r="BL296" i="124"/>
  <c r="AF153" i="124"/>
  <c r="AF161" i="124" s="1"/>
  <c r="BL312" i="124"/>
  <c r="BL320" i="124" s="1"/>
  <c r="AV11" i="125"/>
  <c r="AV68" i="125" s="1"/>
  <c r="AV73" i="125" s="1"/>
  <c r="P11" i="125"/>
  <c r="P68" i="125" s="1"/>
  <c r="P73" i="125" s="1"/>
  <c r="AV248" i="125"/>
  <c r="AV305" i="125" s="1"/>
  <c r="AV310" i="125" s="1"/>
  <c r="P248" i="125"/>
  <c r="P305" i="125" s="1"/>
  <c r="P310" i="125" s="1"/>
  <c r="AV90" i="125"/>
  <c r="AV147" i="125" s="1"/>
  <c r="AV152" i="125" s="1"/>
  <c r="P90" i="125"/>
  <c r="P147" i="125" s="1"/>
  <c r="P152" i="125" s="1"/>
  <c r="AV169" i="125"/>
  <c r="AV226" i="125" s="1"/>
  <c r="AV231" i="125" s="1"/>
  <c r="P169" i="125"/>
  <c r="P226" i="125" s="1"/>
  <c r="P231" i="125" s="1"/>
  <c r="BL297" i="124"/>
  <c r="BO188" i="124"/>
  <c r="AF139" i="124"/>
  <c r="BL321" i="120"/>
  <c r="BM284" i="120"/>
  <c r="AF151" i="124"/>
  <c r="AF157" i="124" s="1"/>
  <c r="BP50" i="124"/>
  <c r="AG126" i="124"/>
  <c r="AJ126" i="124" s="1"/>
  <c r="AJ123" i="124"/>
  <c r="AI267" i="124"/>
  <c r="BM284" i="124"/>
  <c r="BP284" i="124" s="1"/>
  <c r="BP281" i="124"/>
  <c r="BM126" i="124"/>
  <c r="BP126" i="124" s="1"/>
  <c r="BP123" i="124"/>
  <c r="BP44" i="124"/>
  <c r="AJ208" i="124"/>
  <c r="BM57" i="124"/>
  <c r="BM75" i="124" s="1"/>
  <c r="BP52" i="124"/>
  <c r="BP47" i="124"/>
  <c r="BM205" i="124"/>
  <c r="BP205" i="124" s="1"/>
  <c r="BP202" i="124"/>
  <c r="AJ287" i="124"/>
  <c r="BP203" i="124"/>
  <c r="BM334" i="124"/>
  <c r="BP334" i="124" s="1"/>
  <c r="AJ210" i="124"/>
  <c r="AG284" i="124"/>
  <c r="AJ284" i="124" s="1"/>
  <c r="AJ281" i="124"/>
  <c r="AJ52" i="124"/>
  <c r="AG30" i="124"/>
  <c r="AI30" i="124" s="1"/>
  <c r="AJ50" i="124"/>
  <c r="AG205" i="124"/>
  <c r="AJ205" i="124" s="1"/>
  <c r="AJ202" i="124"/>
  <c r="AJ44" i="124"/>
  <c r="AG136" i="124"/>
  <c r="AJ136" i="124" s="1"/>
  <c r="AJ139" i="124" s="1"/>
  <c r="AJ131" i="124"/>
  <c r="BP208" i="124"/>
  <c r="AJ47" i="124"/>
  <c r="AG109" i="124"/>
  <c r="AI109" i="124" s="1"/>
  <c r="AJ129" i="124"/>
  <c r="BM294" i="124"/>
  <c r="BM212" i="124"/>
  <c r="BP212" i="124" s="1"/>
  <c r="BP204" i="124"/>
  <c r="AF345" i="124"/>
  <c r="AF344" i="124"/>
  <c r="AE242" i="124"/>
  <c r="AE241" i="124"/>
  <c r="AG218" i="124"/>
  <c r="AG217" i="124"/>
  <c r="AG232" i="124"/>
  <c r="AG230" i="124"/>
  <c r="AG233" i="124"/>
  <c r="BK319" i="124"/>
  <c r="BK318" i="124"/>
  <c r="P11" i="124"/>
  <c r="P68" i="124" s="1"/>
  <c r="P73" i="124" s="1"/>
  <c r="AV11" i="124"/>
  <c r="AV68" i="124" s="1"/>
  <c r="AV73" i="124" s="1"/>
  <c r="AE163" i="124"/>
  <c r="AE162" i="124"/>
  <c r="AE239" i="124"/>
  <c r="AE240" i="124"/>
  <c r="AF60" i="124"/>
  <c r="AF59" i="124"/>
  <c r="AF72" i="124"/>
  <c r="AF74" i="124"/>
  <c r="AF75" i="124"/>
  <c r="AJ57" i="124"/>
  <c r="AJ60" i="124" s="1"/>
  <c r="BL60" i="124"/>
  <c r="BL59" i="124"/>
  <c r="BL75" i="124"/>
  <c r="BL72" i="124"/>
  <c r="BL74" i="124"/>
  <c r="BK321" i="124"/>
  <c r="BK320" i="124"/>
  <c r="AE160" i="124"/>
  <c r="AE161" i="124"/>
  <c r="AE236" i="124"/>
  <c r="AE235" i="124"/>
  <c r="BL314" i="124"/>
  <c r="BL315" i="124"/>
  <c r="BK314" i="124"/>
  <c r="BK315" i="124"/>
  <c r="AV248" i="124"/>
  <c r="AV305" i="124" s="1"/>
  <c r="AV310" i="124" s="1"/>
  <c r="AV248" i="120"/>
  <c r="AV305" i="120" s="1"/>
  <c r="AV310" i="120" s="1"/>
  <c r="P248" i="124"/>
  <c r="P305" i="124" s="1"/>
  <c r="P310" i="124" s="1"/>
  <c r="AV90" i="124"/>
  <c r="AV147" i="124" s="1"/>
  <c r="AV152" i="124" s="1"/>
  <c r="P90" i="124"/>
  <c r="P147" i="124" s="1"/>
  <c r="P152" i="124" s="1"/>
  <c r="AE157" i="124"/>
  <c r="AE156" i="124"/>
  <c r="BL160" i="124"/>
  <c r="BL161" i="124"/>
  <c r="AF163" i="124"/>
  <c r="AF162" i="124"/>
  <c r="AV169" i="124"/>
  <c r="AV226" i="124" s="1"/>
  <c r="AV231" i="124" s="1"/>
  <c r="P169" i="124"/>
  <c r="P226" i="124" s="1"/>
  <c r="P231" i="124" s="1"/>
  <c r="AV169" i="120"/>
  <c r="AV226" i="120" s="1"/>
  <c r="AV231" i="120" s="1"/>
  <c r="BL162" i="124"/>
  <c r="BK163" i="124"/>
  <c r="BK162" i="124"/>
  <c r="AG60" i="124"/>
  <c r="AG59" i="124"/>
  <c r="AG72" i="124"/>
  <c r="AG75" i="124"/>
  <c r="AG74" i="124"/>
  <c r="BK160" i="124"/>
  <c r="BK161" i="124"/>
  <c r="AF297" i="124"/>
  <c r="AF296" i="124"/>
  <c r="AF311" i="124"/>
  <c r="AF312" i="124"/>
  <c r="AF309" i="124"/>
  <c r="BL235" i="120"/>
  <c r="BL236" i="120"/>
  <c r="BM217" i="120"/>
  <c r="BM218" i="120"/>
  <c r="BM232" i="120"/>
  <c r="BM230" i="120"/>
  <c r="BM233" i="120"/>
  <c r="BM153" i="124"/>
  <c r="BP153" i="124" s="1"/>
  <c r="BP161" i="124" s="1"/>
  <c r="BM151" i="124"/>
  <c r="AG294" i="124"/>
  <c r="AJ294" i="124" s="1"/>
  <c r="AJ297" i="124" s="1"/>
  <c r="BM333" i="124"/>
  <c r="BP333" i="124" s="1"/>
  <c r="BL344" i="124"/>
  <c r="BL345" i="124"/>
  <c r="BK157" i="124"/>
  <c r="BK156" i="124"/>
  <c r="BL239" i="120"/>
  <c r="BL240" i="120"/>
  <c r="AF218" i="124"/>
  <c r="AF217" i="124"/>
  <c r="AF233" i="124"/>
  <c r="AF230" i="124"/>
  <c r="AF232" i="124"/>
  <c r="AG333" i="124"/>
  <c r="AJ333" i="124" s="1"/>
  <c r="BL217" i="124"/>
  <c r="BL218" i="124"/>
  <c r="BL233" i="124"/>
  <c r="BL230" i="124"/>
  <c r="BL232" i="124"/>
  <c r="AG47" i="120"/>
  <c r="BK163" i="120"/>
  <c r="BK162" i="120"/>
  <c r="BK161" i="120"/>
  <c r="BK160" i="120"/>
  <c r="BL151" i="120"/>
  <c r="BL154" i="120"/>
  <c r="BL153" i="120"/>
  <c r="BK157" i="120"/>
  <c r="BK156" i="120"/>
  <c r="BL72" i="120"/>
  <c r="BL75" i="120"/>
  <c r="BL74" i="120"/>
  <c r="AF309" i="120"/>
  <c r="AF311" i="120"/>
  <c r="AF312" i="120"/>
  <c r="AF230" i="120"/>
  <c r="AF233" i="120"/>
  <c r="AJ233" i="120" s="1"/>
  <c r="AJ242" i="120" s="1"/>
  <c r="AF232" i="120"/>
  <c r="AJ232" i="120" s="1"/>
  <c r="AJ240" i="120" s="1"/>
  <c r="AF151" i="120"/>
  <c r="AJ151" i="120" s="1"/>
  <c r="AJ157" i="120" s="1"/>
  <c r="AF154" i="120"/>
  <c r="AJ154" i="120" s="1"/>
  <c r="AJ163" i="120" s="1"/>
  <c r="AF153" i="120"/>
  <c r="AJ153" i="120" s="1"/>
  <c r="AJ161" i="120" s="1"/>
  <c r="AG57" i="120"/>
  <c r="AG59" i="120" s="1"/>
  <c r="AF138" i="120"/>
  <c r="AJ138" i="120" s="1"/>
  <c r="AF72" i="120"/>
  <c r="AF74" i="120"/>
  <c r="AF75" i="120"/>
  <c r="AJ136" i="120"/>
  <c r="AJ139" i="120" s="1"/>
  <c r="BM334" i="120"/>
  <c r="BM339" i="120" s="1"/>
  <c r="BO339" i="120" s="1"/>
  <c r="AG284" i="120"/>
  <c r="AG335" i="120"/>
  <c r="AI335" i="120" s="1"/>
  <c r="AG334" i="120"/>
  <c r="AI334" i="120" s="1"/>
  <c r="AI188" i="120"/>
  <c r="BM57" i="120"/>
  <c r="BM335" i="120"/>
  <c r="BO335" i="120" s="1"/>
  <c r="AG126" i="120"/>
  <c r="AG333" i="120"/>
  <c r="AG205" i="120"/>
  <c r="BP217" i="120"/>
  <c r="BP230" i="120"/>
  <c r="BP236" i="120" s="1"/>
  <c r="BP232" i="120"/>
  <c r="BP240" i="120" s="1"/>
  <c r="AG136" i="120"/>
  <c r="BP215" i="120"/>
  <c r="BP218" i="120" s="1"/>
  <c r="AF218" i="120"/>
  <c r="AF217" i="120"/>
  <c r="AJ217" i="120" s="1"/>
  <c r="BK342" i="120"/>
  <c r="AF296" i="120"/>
  <c r="AJ296" i="120" s="1"/>
  <c r="AF297" i="120"/>
  <c r="AJ294" i="120"/>
  <c r="AJ297" i="120" s="1"/>
  <c r="BL59" i="120"/>
  <c r="BP59" i="120" s="1"/>
  <c r="BL60" i="120"/>
  <c r="BP57" i="120"/>
  <c r="BP60" i="120" s="1"/>
  <c r="AF60" i="120"/>
  <c r="AF59" i="120"/>
  <c r="AJ59" i="120" s="1"/>
  <c r="AJ57" i="120"/>
  <c r="AJ60" i="120" s="1"/>
  <c r="AF345" i="120"/>
  <c r="AF344" i="120"/>
  <c r="AJ344" i="120" s="1"/>
  <c r="P11" i="120"/>
  <c r="AV11" i="120"/>
  <c r="AJ215" i="120"/>
  <c r="AJ218" i="120" s="1"/>
  <c r="AG215" i="120"/>
  <c r="BO188" i="120"/>
  <c r="P248" i="120"/>
  <c r="P305" i="120" s="1"/>
  <c r="P310" i="120" s="1"/>
  <c r="AE241" i="120"/>
  <c r="AE242" i="120"/>
  <c r="BO267" i="120"/>
  <c r="AG294" i="120"/>
  <c r="AE239" i="120"/>
  <c r="AE240" i="120"/>
  <c r="AV90" i="120"/>
  <c r="AV147" i="120" s="1"/>
  <c r="AV152" i="120" s="1"/>
  <c r="P90" i="120"/>
  <c r="P147" i="120" s="1"/>
  <c r="P152" i="120" s="1"/>
  <c r="BL138" i="120"/>
  <c r="BP138" i="120" s="1"/>
  <c r="BL139" i="120"/>
  <c r="BP136" i="120"/>
  <c r="BP139" i="120" s="1"/>
  <c r="P169" i="120"/>
  <c r="P226" i="120" s="1"/>
  <c r="P231" i="120" s="1"/>
  <c r="AE235" i="120"/>
  <c r="AE236" i="120"/>
  <c r="AI267" i="120"/>
  <c r="BM47" i="120"/>
  <c r="BM333" i="120"/>
  <c r="BP296" i="120"/>
  <c r="BP294" i="120"/>
  <c r="BP297" i="120" s="1"/>
  <c r="P68" i="120"/>
  <c r="P73" i="120" s="1"/>
  <c r="AV68" i="120"/>
  <c r="AV73" i="120" s="1"/>
  <c r="CI51" i="67"/>
  <c r="CI49" i="67"/>
  <c r="CY6" i="119"/>
  <c r="CX6" i="118"/>
  <c r="CI44" i="67"/>
  <c r="CI58" i="67" s="1"/>
  <c r="CY6" i="117"/>
  <c r="CJ24" i="67"/>
  <c r="CH21" i="67"/>
  <c r="CI26" i="67"/>
  <c r="CF63" i="67"/>
  <c r="CH17" i="67"/>
  <c r="CJ13" i="67"/>
  <c r="CJ26" i="67"/>
  <c r="CJ12" i="67"/>
  <c r="CJ11" i="67"/>
  <c r="CJ10" i="67"/>
  <c r="CJ9" i="67"/>
  <c r="CI41" i="67"/>
  <c r="CI46" i="67"/>
  <c r="CI37" i="67"/>
  <c r="CI45" i="67"/>
  <c r="CI39" i="67"/>
  <c r="CI43" i="67"/>
  <c r="CI40" i="67"/>
  <c r="CI38" i="67"/>
  <c r="CI47" i="67"/>
  <c r="CH19" i="67"/>
  <c r="CI25" i="67"/>
  <c r="CH23" i="67"/>
  <c r="CH57" i="67" s="1"/>
  <c r="CG20" i="67"/>
  <c r="CG18" i="67"/>
  <c r="CG27" i="67"/>
  <c r="CG61" i="67" s="1"/>
  <c r="CI23" i="67"/>
  <c r="S286" i="125"/>
  <c r="S49" i="125"/>
  <c r="CH31" i="67" a="1"/>
  <c r="BJ249" i="125"/>
  <c r="CJ17" i="67" a="1"/>
  <c r="S249" i="125"/>
  <c r="BJ128" i="125"/>
  <c r="J22" i="30"/>
  <c r="S170" i="125"/>
  <c r="R267" i="125"/>
  <c r="S128" i="125"/>
  <c r="J24" i="30"/>
  <c r="CJ21" i="67" a="1"/>
  <c r="J29" i="30"/>
  <c r="S187" i="125"/>
  <c r="BJ187" i="125"/>
  <c r="BJ286" i="125"/>
  <c r="CI17" i="67" a="1"/>
  <c r="S207" i="125"/>
  <c r="BJ91" i="125"/>
  <c r="J23" i="30"/>
  <c r="S29" i="125"/>
  <c r="S108" i="125"/>
  <c r="J28" i="30"/>
  <c r="Q188" i="125"/>
  <c r="BJ207" i="125"/>
  <c r="S266" i="125"/>
  <c r="J26" i="30"/>
  <c r="BJ108" i="125"/>
  <c r="BJ29" i="125"/>
  <c r="CH29" i="67" a="1"/>
  <c r="CI21" i="67" a="1"/>
  <c r="S91" i="125"/>
  <c r="BJ266" i="125"/>
  <c r="S12" i="125"/>
  <c r="J25" i="30"/>
  <c r="BJ49" i="125"/>
  <c r="BJ170" i="125"/>
  <c r="J27" i="30"/>
  <c r="BJ12" i="125"/>
  <c r="AI314" i="126" l="1"/>
  <c r="BM139" i="124"/>
  <c r="BM138" i="124"/>
  <c r="BP138" i="124" s="1"/>
  <c r="BM154" i="124"/>
  <c r="BP154" i="124" s="1"/>
  <c r="BP163" i="124" s="1"/>
  <c r="BP151" i="124"/>
  <c r="BP157" i="124" s="1"/>
  <c r="BL156" i="124"/>
  <c r="AI334" i="124"/>
  <c r="BL342" i="120"/>
  <c r="BP342" i="120" s="1"/>
  <c r="BP345" i="120" s="1"/>
  <c r="BI151" i="125"/>
  <c r="BI157" i="125" s="1"/>
  <c r="BO160" i="126"/>
  <c r="R320" i="125"/>
  <c r="BL241" i="120"/>
  <c r="BO235" i="126"/>
  <c r="BM139" i="120"/>
  <c r="R160" i="125"/>
  <c r="BI163" i="125"/>
  <c r="R151" i="125"/>
  <c r="R157" i="125" s="1"/>
  <c r="BO77" i="126"/>
  <c r="BO81" i="126"/>
  <c r="R311" i="125"/>
  <c r="R319" i="125" s="1"/>
  <c r="BM342" i="126"/>
  <c r="BM344" i="126" s="1"/>
  <c r="BO344" i="126" s="1"/>
  <c r="AG339" i="124"/>
  <c r="AJ339" i="124" s="1"/>
  <c r="Q341" i="125"/>
  <c r="Q342" i="125" s="1"/>
  <c r="Q344" i="125" s="1"/>
  <c r="R139" i="125"/>
  <c r="R217" i="125"/>
  <c r="BM59" i="124"/>
  <c r="BP59" i="124" s="1"/>
  <c r="Q312" i="125"/>
  <c r="Q320" i="125" s="1"/>
  <c r="R309" i="125"/>
  <c r="R315" i="125" s="1"/>
  <c r="BI153" i="125"/>
  <c r="BI160" i="125" s="1"/>
  <c r="R297" i="125"/>
  <c r="Q318" i="125"/>
  <c r="AF156" i="124"/>
  <c r="R138" i="125"/>
  <c r="R230" i="125"/>
  <c r="R236" i="125" s="1"/>
  <c r="BM154" i="120"/>
  <c r="BM163" i="120" s="1"/>
  <c r="BM309" i="120"/>
  <c r="BM314" i="120" s="1"/>
  <c r="R218" i="125"/>
  <c r="R239" i="125"/>
  <c r="BM296" i="120"/>
  <c r="BL321" i="124"/>
  <c r="BL318" i="124"/>
  <c r="Q309" i="125"/>
  <c r="Q314" i="125" s="1"/>
  <c r="BM138" i="120"/>
  <c r="BM153" i="120"/>
  <c r="BM161" i="120" s="1"/>
  <c r="R233" i="125"/>
  <c r="Q297" i="125"/>
  <c r="BH315" i="125"/>
  <c r="BM60" i="124"/>
  <c r="AF160" i="124"/>
  <c r="BI139" i="125"/>
  <c r="AI162" i="126"/>
  <c r="R296" i="125"/>
  <c r="AI160" i="126"/>
  <c r="AI241" i="126"/>
  <c r="AI156" i="126"/>
  <c r="AI341" i="126"/>
  <c r="AG342" i="126"/>
  <c r="AV80" i="126"/>
  <c r="AV79" i="126"/>
  <c r="AV237" i="126"/>
  <c r="AV238" i="126"/>
  <c r="P79" i="126"/>
  <c r="P80" i="126"/>
  <c r="AI239" i="126"/>
  <c r="P321" i="125"/>
  <c r="P320" i="125"/>
  <c r="AV158" i="126"/>
  <c r="AV159" i="126"/>
  <c r="P319" i="125"/>
  <c r="P318" i="125"/>
  <c r="P159" i="126"/>
  <c r="P158" i="126"/>
  <c r="BP320" i="126"/>
  <c r="BO320" i="126"/>
  <c r="BM311" i="120"/>
  <c r="BM319" i="120" s="1"/>
  <c r="Q296" i="125"/>
  <c r="AG81" i="126"/>
  <c r="AI81" i="126" s="1"/>
  <c r="AG82" i="126"/>
  <c r="BH321" i="125"/>
  <c r="BH320" i="125"/>
  <c r="AI235" i="126"/>
  <c r="AJ235" i="126"/>
  <c r="BH344" i="125"/>
  <c r="AG84" i="126"/>
  <c r="AG83" i="126"/>
  <c r="AI83" i="126" s="1"/>
  <c r="BH319" i="125"/>
  <c r="BH318" i="125"/>
  <c r="AG78" i="126"/>
  <c r="AG77" i="126"/>
  <c r="AI77" i="126" s="1"/>
  <c r="AV316" i="126"/>
  <c r="AV317" i="126"/>
  <c r="BP314" i="126"/>
  <c r="BO314" i="126"/>
  <c r="P317" i="126"/>
  <c r="P316" i="126"/>
  <c r="P238" i="126"/>
  <c r="P237" i="126"/>
  <c r="BP318" i="126"/>
  <c r="BO318" i="126"/>
  <c r="R341" i="125"/>
  <c r="R342" i="125" s="1"/>
  <c r="BM312" i="120"/>
  <c r="BM320" i="120" s="1"/>
  <c r="S292" i="125"/>
  <c r="BJ292" i="125"/>
  <c r="S55" i="125"/>
  <c r="BJ337" i="125"/>
  <c r="BJ213" i="125"/>
  <c r="S134" i="125"/>
  <c r="S213" i="125"/>
  <c r="BJ134" i="125"/>
  <c r="BJ55" i="125"/>
  <c r="S337" i="125"/>
  <c r="BI218" i="125"/>
  <c r="BI217" i="125"/>
  <c r="BI230" i="125"/>
  <c r="BI232" i="125"/>
  <c r="BI233" i="125"/>
  <c r="BP57" i="124"/>
  <c r="BP60" i="124" s="1"/>
  <c r="P345" i="125"/>
  <c r="P344" i="125"/>
  <c r="BH81" i="125"/>
  <c r="BH82" i="125"/>
  <c r="P162" i="125"/>
  <c r="P163" i="125"/>
  <c r="R162" i="125"/>
  <c r="R163" i="125"/>
  <c r="P81" i="125"/>
  <c r="P82" i="125"/>
  <c r="BH83" i="125"/>
  <c r="BH84" i="125"/>
  <c r="BH161" i="125"/>
  <c r="BH160" i="125"/>
  <c r="R314" i="125"/>
  <c r="P84" i="125"/>
  <c r="P83" i="125"/>
  <c r="BH242" i="125"/>
  <c r="BH241" i="125"/>
  <c r="P157" i="125"/>
  <c r="P156" i="125"/>
  <c r="Q217" i="125"/>
  <c r="Q218" i="125"/>
  <c r="Q230" i="125"/>
  <c r="Q233" i="125"/>
  <c r="Q232" i="125"/>
  <c r="R59" i="125"/>
  <c r="R72" i="125"/>
  <c r="R60" i="125"/>
  <c r="R75" i="125"/>
  <c r="R74" i="125"/>
  <c r="BH77" i="125"/>
  <c r="BH78" i="125"/>
  <c r="BH239" i="125"/>
  <c r="BH240" i="125"/>
  <c r="BH162" i="125"/>
  <c r="BH163" i="125"/>
  <c r="BI341" i="125"/>
  <c r="BI342" i="125" s="1"/>
  <c r="P239" i="125"/>
  <c r="P240" i="125"/>
  <c r="P77" i="125"/>
  <c r="P78" i="125"/>
  <c r="BH235" i="125"/>
  <c r="BH236" i="125"/>
  <c r="P242" i="125"/>
  <c r="P241" i="125"/>
  <c r="Q60" i="125"/>
  <c r="Q59" i="125"/>
  <c r="Q72" i="125"/>
  <c r="Q75" i="125"/>
  <c r="Q74" i="125"/>
  <c r="BI60" i="125"/>
  <c r="BI72" i="125"/>
  <c r="BI59" i="125"/>
  <c r="BI75" i="125"/>
  <c r="BI74" i="125"/>
  <c r="BI296" i="125"/>
  <c r="BI297" i="125"/>
  <c r="BI309" i="125"/>
  <c r="BI311" i="125"/>
  <c r="BI312" i="125"/>
  <c r="P235" i="125"/>
  <c r="P236" i="125"/>
  <c r="BH157" i="125"/>
  <c r="BH156" i="125"/>
  <c r="Q139" i="125"/>
  <c r="Q138" i="125"/>
  <c r="Q151" i="125"/>
  <c r="Q153" i="125"/>
  <c r="Q154" i="125"/>
  <c r="P160" i="125"/>
  <c r="P161" i="125"/>
  <c r="BM72" i="124"/>
  <c r="BM77" i="124" s="1"/>
  <c r="AG151" i="124"/>
  <c r="AJ151" i="124" s="1"/>
  <c r="AJ157" i="124" s="1"/>
  <c r="AJ233" i="124"/>
  <c r="AJ242" i="124" s="1"/>
  <c r="AV317" i="125"/>
  <c r="AV316" i="125"/>
  <c r="P79" i="125"/>
  <c r="P80" i="125"/>
  <c r="P238" i="125"/>
  <c r="P237" i="125"/>
  <c r="AV80" i="125"/>
  <c r="AV79" i="125"/>
  <c r="AV238" i="125"/>
  <c r="AV237" i="125"/>
  <c r="P159" i="125"/>
  <c r="P158" i="125"/>
  <c r="AV158" i="125"/>
  <c r="AV159" i="125"/>
  <c r="P317" i="125"/>
  <c r="P316" i="125"/>
  <c r="BM74" i="124"/>
  <c r="BP74" i="124" s="1"/>
  <c r="BP82" i="124" s="1"/>
  <c r="AJ217" i="124"/>
  <c r="AG60" i="120"/>
  <c r="AG139" i="124"/>
  <c r="AG154" i="124"/>
  <c r="AJ154" i="124" s="1"/>
  <c r="AJ163" i="124" s="1"/>
  <c r="AJ59" i="124"/>
  <c r="AG153" i="124"/>
  <c r="AJ153" i="124" s="1"/>
  <c r="AJ161" i="124" s="1"/>
  <c r="BO334" i="124"/>
  <c r="BM339" i="124"/>
  <c r="BP339" i="124" s="1"/>
  <c r="AG138" i="124"/>
  <c r="AJ138" i="124" s="1"/>
  <c r="BM215" i="124"/>
  <c r="BP294" i="124"/>
  <c r="BP297" i="124" s="1"/>
  <c r="BM312" i="124"/>
  <c r="BM296" i="124"/>
  <c r="BP296" i="124" s="1"/>
  <c r="BM297" i="124"/>
  <c r="BM309" i="124"/>
  <c r="BM311" i="124"/>
  <c r="BL239" i="124"/>
  <c r="BL240" i="124"/>
  <c r="AF240" i="124"/>
  <c r="AF239" i="124"/>
  <c r="BM161" i="124"/>
  <c r="BM160" i="124"/>
  <c r="BP160" i="124" s="1"/>
  <c r="BM239" i="120"/>
  <c r="BM240" i="120"/>
  <c r="AV238" i="120"/>
  <c r="AV237" i="120"/>
  <c r="AF81" i="124"/>
  <c r="AF82" i="124"/>
  <c r="AJ74" i="124"/>
  <c r="AJ82" i="124" s="1"/>
  <c r="P80" i="124"/>
  <c r="P79" i="124"/>
  <c r="AV158" i="120"/>
  <c r="AV159" i="120"/>
  <c r="BL235" i="124"/>
  <c r="BL236" i="124"/>
  <c r="AF235" i="124"/>
  <c r="AF236" i="124"/>
  <c r="BM162" i="124"/>
  <c r="P237" i="124"/>
  <c r="P238" i="124"/>
  <c r="BL82" i="124"/>
  <c r="BL81" i="124"/>
  <c r="AF78" i="124"/>
  <c r="AF77" i="124"/>
  <c r="AJ72" i="124"/>
  <c r="AJ78" i="124" s="1"/>
  <c r="BL241" i="124"/>
  <c r="BL242" i="124"/>
  <c r="AF241" i="124"/>
  <c r="AF242" i="124"/>
  <c r="AF315" i="124"/>
  <c r="AF314" i="124"/>
  <c r="AV237" i="124"/>
  <c r="AV238" i="124"/>
  <c r="P158" i="124"/>
  <c r="P159" i="124"/>
  <c r="BL77" i="124"/>
  <c r="BL78" i="124"/>
  <c r="BM83" i="124"/>
  <c r="BM84" i="124"/>
  <c r="AF321" i="124"/>
  <c r="AF320" i="124"/>
  <c r="AV159" i="124"/>
  <c r="AV158" i="124"/>
  <c r="AJ230" i="124"/>
  <c r="AJ236" i="124" s="1"/>
  <c r="BL83" i="124"/>
  <c r="BL84" i="124"/>
  <c r="BP75" i="124"/>
  <c r="BP84" i="124" s="1"/>
  <c r="AF157" i="120"/>
  <c r="AF162" i="120"/>
  <c r="AJ162" i="120" s="1"/>
  <c r="AF318" i="124"/>
  <c r="AF319" i="124"/>
  <c r="AG81" i="124"/>
  <c r="AG82" i="124"/>
  <c r="P317" i="124"/>
  <c r="P316" i="124"/>
  <c r="AG241" i="124"/>
  <c r="AG242" i="124"/>
  <c r="AI333" i="124"/>
  <c r="AG341" i="124"/>
  <c r="AJ341" i="124" s="1"/>
  <c r="BO333" i="124"/>
  <c r="BM341" i="124"/>
  <c r="BP341" i="124" s="1"/>
  <c r="AG84" i="124"/>
  <c r="AG83" i="124"/>
  <c r="AV316" i="120"/>
  <c r="AV317" i="120"/>
  <c r="AG236" i="124"/>
  <c r="AG235" i="124"/>
  <c r="AG297" i="124"/>
  <c r="AG296" i="124"/>
  <c r="AJ296" i="124" s="1"/>
  <c r="AG309" i="124"/>
  <c r="AJ309" i="124" s="1"/>
  <c r="AJ315" i="124" s="1"/>
  <c r="AG311" i="124"/>
  <c r="AJ311" i="124" s="1"/>
  <c r="AJ319" i="124" s="1"/>
  <c r="AG312" i="124"/>
  <c r="AJ312" i="124" s="1"/>
  <c r="AJ321" i="124" s="1"/>
  <c r="BM241" i="120"/>
  <c r="BM242" i="120"/>
  <c r="AG78" i="124"/>
  <c r="AG77" i="124"/>
  <c r="AV316" i="124"/>
  <c r="AV317" i="124"/>
  <c r="AJ232" i="124"/>
  <c r="AJ240" i="124" s="1"/>
  <c r="AG240" i="124"/>
  <c r="AG239" i="124"/>
  <c r="BM157" i="124"/>
  <c r="BM156" i="124"/>
  <c r="BO156" i="124" s="1"/>
  <c r="BM235" i="120"/>
  <c r="BM236" i="120"/>
  <c r="AF83" i="124"/>
  <c r="AF84" i="124"/>
  <c r="AJ75" i="124"/>
  <c r="AJ84" i="124" s="1"/>
  <c r="AV79" i="124"/>
  <c r="AV80" i="124"/>
  <c r="AF163" i="120"/>
  <c r="AF156" i="120"/>
  <c r="AJ156" i="120" s="1"/>
  <c r="BL160" i="120"/>
  <c r="BL161" i="120"/>
  <c r="BL162" i="120"/>
  <c r="BL163" i="120"/>
  <c r="BL156" i="120"/>
  <c r="BL157" i="120"/>
  <c r="BM156" i="120"/>
  <c r="BM157" i="120"/>
  <c r="BM72" i="120"/>
  <c r="BM77" i="120" s="1"/>
  <c r="BM74" i="120"/>
  <c r="BM82" i="120" s="1"/>
  <c r="BM75" i="120"/>
  <c r="BM83" i="120" s="1"/>
  <c r="AF160" i="120"/>
  <c r="AJ160" i="120" s="1"/>
  <c r="AG309" i="120"/>
  <c r="AG312" i="120"/>
  <c r="AG311" i="120"/>
  <c r="AG230" i="120"/>
  <c r="AG232" i="120"/>
  <c r="AG233" i="120"/>
  <c r="AG151" i="120"/>
  <c r="AG153" i="120"/>
  <c r="AG154" i="120"/>
  <c r="AG74" i="120"/>
  <c r="AG81" i="120" s="1"/>
  <c r="AG75" i="120"/>
  <c r="AG83" i="120" s="1"/>
  <c r="AG72" i="120"/>
  <c r="AG77" i="120" s="1"/>
  <c r="AF161" i="120"/>
  <c r="BO334" i="120"/>
  <c r="BM60" i="120"/>
  <c r="BM59" i="120"/>
  <c r="AG339" i="120"/>
  <c r="AI339" i="120" s="1"/>
  <c r="AF84" i="120"/>
  <c r="AF83" i="120"/>
  <c r="AJ75" i="120"/>
  <c r="AJ84" i="120" s="1"/>
  <c r="BL77" i="120"/>
  <c r="BL78" i="120"/>
  <c r="BP72" i="120"/>
  <c r="BP78" i="120" s="1"/>
  <c r="BP312" i="120"/>
  <c r="BP321" i="120" s="1"/>
  <c r="AF81" i="120"/>
  <c r="AF82" i="120"/>
  <c r="AJ74" i="120"/>
  <c r="AJ82" i="120" s="1"/>
  <c r="BK344" i="120"/>
  <c r="BK345" i="120"/>
  <c r="BP311" i="120"/>
  <c r="BP319" i="120" s="1"/>
  <c r="AG296" i="120"/>
  <c r="AG297" i="120"/>
  <c r="AF78" i="120"/>
  <c r="AF77" i="120"/>
  <c r="AJ72" i="120"/>
  <c r="AJ78" i="120" s="1"/>
  <c r="BP309" i="120"/>
  <c r="BP315" i="120" s="1"/>
  <c r="AF242" i="120"/>
  <c r="AF241" i="120"/>
  <c r="AF320" i="120"/>
  <c r="AF321" i="120"/>
  <c r="AJ312" i="120"/>
  <c r="AJ321" i="120" s="1"/>
  <c r="AF239" i="120"/>
  <c r="AJ239" i="120" s="1"/>
  <c r="AF240" i="120"/>
  <c r="BP233" i="120"/>
  <c r="BP242" i="120" s="1"/>
  <c r="BP154" i="120"/>
  <c r="BP163" i="120" s="1"/>
  <c r="AF319" i="120"/>
  <c r="AF318" i="120"/>
  <c r="AJ311" i="120"/>
  <c r="AJ319" i="120" s="1"/>
  <c r="AF235" i="120"/>
  <c r="AJ235" i="120" s="1"/>
  <c r="AF236" i="120"/>
  <c r="AJ230" i="120"/>
  <c r="AJ236" i="120" s="1"/>
  <c r="AI333" i="120"/>
  <c r="AG341" i="120"/>
  <c r="AI341" i="120" s="1"/>
  <c r="BP153" i="120"/>
  <c r="BP161" i="120" s="1"/>
  <c r="BL84" i="120"/>
  <c r="BL83" i="120"/>
  <c r="BP75" i="120"/>
  <c r="BP84" i="120" s="1"/>
  <c r="AF315" i="120"/>
  <c r="AF314" i="120"/>
  <c r="AJ309" i="120"/>
  <c r="AJ315" i="120" s="1"/>
  <c r="BO333" i="120"/>
  <c r="BM341" i="120"/>
  <c r="BP151" i="120"/>
  <c r="BP157" i="120" s="1"/>
  <c r="AG218" i="120"/>
  <c r="AG217" i="120"/>
  <c r="BL81" i="120"/>
  <c r="BL82" i="120"/>
  <c r="BP74" i="120"/>
  <c r="BP82" i="120" s="1"/>
  <c r="AG139" i="120"/>
  <c r="AG138" i="120"/>
  <c r="P158" i="120"/>
  <c r="P159" i="120"/>
  <c r="P237" i="120"/>
  <c r="P238" i="120"/>
  <c r="P317" i="120"/>
  <c r="P316" i="120"/>
  <c r="AV80" i="120"/>
  <c r="AV79" i="120"/>
  <c r="P79" i="120"/>
  <c r="P80" i="120"/>
  <c r="CI57" i="67"/>
  <c r="CZ6" i="119"/>
  <c r="CY6" i="118"/>
  <c r="CZ6" i="117"/>
  <c r="CI21" i="67"/>
  <c r="CJ21" i="67"/>
  <c r="CI60" i="67"/>
  <c r="CG65" i="67"/>
  <c r="CH31" i="67"/>
  <c r="CH29" i="67"/>
  <c r="CI17" i="67"/>
  <c r="CJ17" i="67"/>
  <c r="CI59" i="67"/>
  <c r="CI48" i="67"/>
  <c r="CH28" i="67"/>
  <c r="CH62" i="67" s="1"/>
  <c r="CI28" i="67"/>
  <c r="CG63" i="67"/>
  <c r="O15" i="77"/>
  <c r="O14" i="77"/>
  <c r="O12" i="77"/>
  <c r="O13" i="77"/>
  <c r="CK6" i="67"/>
  <c r="BJ253" i="125"/>
  <c r="BJ70" i="125" a="1"/>
  <c r="S26" i="125"/>
  <c r="CJ40" i="67" a="1"/>
  <c r="CJ39" i="67" a="1"/>
  <c r="CK17" i="67" a="1"/>
  <c r="CI19" i="67" a="1"/>
  <c r="BJ95" i="125"/>
  <c r="BJ307" i="125" a="1"/>
  <c r="BJ184" i="125"/>
  <c r="R109" i="125"/>
  <c r="S174" i="125"/>
  <c r="CJ47" i="67" a="1"/>
  <c r="BJ228" i="125" a="1"/>
  <c r="CK26" i="67" a="1"/>
  <c r="CK11" i="67" a="1"/>
  <c r="CH18" i="67" a="1"/>
  <c r="CJ38" i="67" a="1"/>
  <c r="CJ49" i="67" a="1"/>
  <c r="BJ26" i="125"/>
  <c r="CJ23" i="67" a="1"/>
  <c r="BJ185" i="125"/>
  <c r="BJ227" i="125" a="1"/>
  <c r="CJ41" i="67" a="1"/>
  <c r="CI31" i="67" a="1"/>
  <c r="S149" i="125" a="1"/>
  <c r="CJ31" i="67" a="1"/>
  <c r="S16" i="125"/>
  <c r="CJ46" i="67" a="1"/>
  <c r="CI20" i="67" a="1"/>
  <c r="S306" i="125" a="1"/>
  <c r="CK12" i="67" a="1"/>
  <c r="S263" i="125"/>
  <c r="BJ263" i="125"/>
  <c r="S185" i="125"/>
  <c r="CK24" i="67" a="1"/>
  <c r="CK13" i="67" a="1"/>
  <c r="CI27" i="67" a="1"/>
  <c r="CJ37" i="67" a="1"/>
  <c r="S69" i="125" a="1"/>
  <c r="CJ45" i="67" a="1"/>
  <c r="CJ25" i="67" a="1"/>
  <c r="S264" i="125"/>
  <c r="S148" i="125" a="1"/>
  <c r="BJ149" i="125" a="1"/>
  <c r="S70" i="125" a="1"/>
  <c r="CK25" i="67" a="1"/>
  <c r="S95" i="125"/>
  <c r="BJ174" i="125"/>
  <c r="BJ69" i="125" a="1"/>
  <c r="CJ44" i="67" a="1"/>
  <c r="BJ106" i="125"/>
  <c r="S307" i="125" a="1"/>
  <c r="CI18" i="67" a="1"/>
  <c r="BJ16" i="125"/>
  <c r="S105" i="125"/>
  <c r="CH20" i="67" a="1"/>
  <c r="CK10" i="67" a="1"/>
  <c r="BJ264" i="125"/>
  <c r="S227" i="125" a="1"/>
  <c r="BJ27" i="125"/>
  <c r="BJ306" i="125" a="1"/>
  <c r="CK9" i="67" a="1"/>
  <c r="CI29" i="67" a="1"/>
  <c r="S106" i="125"/>
  <c r="BJ148" i="125" a="1"/>
  <c r="CJ51" i="67" a="1"/>
  <c r="CH27" i="67" a="1"/>
  <c r="S253" i="125"/>
  <c r="CK21" i="67" a="1"/>
  <c r="BJ105" i="125"/>
  <c r="S184" i="125"/>
  <c r="S228" i="125" a="1"/>
  <c r="S27" i="125"/>
  <c r="CJ43" i="67" a="1"/>
  <c r="BM163" i="124" l="1"/>
  <c r="BL344" i="120"/>
  <c r="BP344" i="120" s="1"/>
  <c r="AI339" i="124"/>
  <c r="BL345" i="120"/>
  <c r="BO339" i="124"/>
  <c r="BI156" i="125"/>
  <c r="BM315" i="120"/>
  <c r="R156" i="125"/>
  <c r="BM160" i="120"/>
  <c r="BO160" i="120" s="1"/>
  <c r="R235" i="125"/>
  <c r="BM81" i="124"/>
  <c r="BP81" i="124" s="1"/>
  <c r="R318" i="125"/>
  <c r="BM345" i="126"/>
  <c r="BI161" i="125"/>
  <c r="BO342" i="126"/>
  <c r="BO345" i="126" s="1"/>
  <c r="Q315" i="125"/>
  <c r="BM162" i="120"/>
  <c r="BO162" i="120" s="1"/>
  <c r="Q321" i="125"/>
  <c r="BM321" i="120"/>
  <c r="Q345" i="125"/>
  <c r="R241" i="125"/>
  <c r="R242" i="125"/>
  <c r="AG345" i="126"/>
  <c r="AG344" i="126"/>
  <c r="AI344" i="126" s="1"/>
  <c r="AI342" i="126"/>
  <c r="AI345" i="126" s="1"/>
  <c r="BM318" i="120"/>
  <c r="BO318" i="120" s="1"/>
  <c r="BM78" i="124"/>
  <c r="AW169" i="126"/>
  <c r="AW226" i="126" s="1"/>
  <c r="AW231" i="126" s="1"/>
  <c r="Q169" i="126"/>
  <c r="Q226" i="126" s="1"/>
  <c r="Q231" i="126" s="1"/>
  <c r="AW11" i="126"/>
  <c r="AW68" i="126" s="1"/>
  <c r="AW73" i="126" s="1"/>
  <c r="Q11" i="126"/>
  <c r="Q68" i="126" s="1"/>
  <c r="Q73" i="126" s="1"/>
  <c r="AG163" i="124"/>
  <c r="AW90" i="126"/>
  <c r="AW147" i="126" s="1"/>
  <c r="AW152" i="126" s="1"/>
  <c r="Q90" i="126"/>
  <c r="Q147" i="126" s="1"/>
  <c r="Q152" i="126" s="1"/>
  <c r="AG162" i="124"/>
  <c r="AI162" i="124" s="1"/>
  <c r="AW248" i="126"/>
  <c r="AW305" i="126" s="1"/>
  <c r="AW310" i="126" s="1"/>
  <c r="Q248" i="126"/>
  <c r="Q305" i="126" s="1"/>
  <c r="Q310" i="126" s="1"/>
  <c r="S96" i="125"/>
  <c r="S132" i="125" s="1"/>
  <c r="S307" i="125"/>
  <c r="S111" i="125"/>
  <c r="BJ306" i="125"/>
  <c r="BJ32" i="125"/>
  <c r="BJ149" i="125"/>
  <c r="BJ254" i="125"/>
  <c r="BJ290" i="125" s="1"/>
  <c r="BJ17" i="125"/>
  <c r="BJ45" i="125" s="1"/>
  <c r="S70" i="125"/>
  <c r="S175" i="125"/>
  <c r="S211" i="125" s="1"/>
  <c r="S69" i="125"/>
  <c r="BJ190" i="125"/>
  <c r="BJ148" i="125"/>
  <c r="BJ307" i="125"/>
  <c r="S228" i="125"/>
  <c r="S190" i="125"/>
  <c r="S227" i="125"/>
  <c r="S17" i="125"/>
  <c r="S53" i="125" s="1"/>
  <c r="S32" i="125"/>
  <c r="S269" i="125"/>
  <c r="BJ175" i="125"/>
  <c r="BJ211" i="125" s="1"/>
  <c r="BJ96" i="125"/>
  <c r="BJ269" i="125"/>
  <c r="S149" i="125"/>
  <c r="S254" i="125"/>
  <c r="S283" i="125" s="1"/>
  <c r="BJ227" i="125"/>
  <c r="BJ111" i="125"/>
  <c r="S148" i="125"/>
  <c r="BJ228" i="125"/>
  <c r="BJ69" i="125"/>
  <c r="S306" i="125"/>
  <c r="BJ70" i="125"/>
  <c r="BI318" i="125"/>
  <c r="BI319" i="125"/>
  <c r="Q241" i="125"/>
  <c r="Q242" i="125"/>
  <c r="AG157" i="124"/>
  <c r="BI78" i="125"/>
  <c r="BI77" i="125"/>
  <c r="Q235" i="125"/>
  <c r="Q236" i="125"/>
  <c r="AG156" i="124"/>
  <c r="AI156" i="124" s="1"/>
  <c r="BI314" i="125"/>
  <c r="BI315" i="125"/>
  <c r="R82" i="125"/>
  <c r="R81" i="125"/>
  <c r="Q82" i="125"/>
  <c r="Q81" i="125"/>
  <c r="R84" i="125"/>
  <c r="R83" i="125"/>
  <c r="Q83" i="125"/>
  <c r="Q84" i="125"/>
  <c r="BI345" i="125"/>
  <c r="BI344" i="125"/>
  <c r="R345" i="125"/>
  <c r="R344" i="125"/>
  <c r="BI241" i="125"/>
  <c r="BI242" i="125"/>
  <c r="Q162" i="125"/>
  <c r="Q163" i="125"/>
  <c r="Q77" i="125"/>
  <c r="Q78" i="125"/>
  <c r="R78" i="125"/>
  <c r="R77" i="125"/>
  <c r="BI240" i="125"/>
  <c r="BI239" i="125"/>
  <c r="Q161" i="125"/>
  <c r="Q160" i="125"/>
  <c r="BI82" i="125"/>
  <c r="BI81" i="125"/>
  <c r="BI236" i="125"/>
  <c r="BI235" i="125"/>
  <c r="Q157" i="125"/>
  <c r="Q156" i="125"/>
  <c r="BI320" i="125"/>
  <c r="BI321" i="125"/>
  <c r="BI84" i="125"/>
  <c r="BI83" i="125"/>
  <c r="Q239" i="125"/>
  <c r="Q240" i="125"/>
  <c r="AI239" i="124"/>
  <c r="BP72" i="124"/>
  <c r="BP78" i="124" s="1"/>
  <c r="AG160" i="124"/>
  <c r="AI160" i="124" s="1"/>
  <c r="BM82" i="124"/>
  <c r="AJ235" i="124"/>
  <c r="Q90" i="125"/>
  <c r="Q147" i="125" s="1"/>
  <c r="Q152" i="125" s="1"/>
  <c r="AW90" i="125"/>
  <c r="AW147" i="125" s="1"/>
  <c r="AW152" i="125" s="1"/>
  <c r="Q11" i="125"/>
  <c r="Q68" i="125" s="1"/>
  <c r="Q73" i="125" s="1"/>
  <c r="AW11" i="125"/>
  <c r="AW68" i="125" s="1"/>
  <c r="AW73" i="125" s="1"/>
  <c r="AW169" i="125"/>
  <c r="AW226" i="125" s="1"/>
  <c r="AW231" i="125" s="1"/>
  <c r="Q169" i="125"/>
  <c r="Q226" i="125" s="1"/>
  <c r="Q231" i="125" s="1"/>
  <c r="AW248" i="125"/>
  <c r="AW305" i="125" s="1"/>
  <c r="AW310" i="125" s="1"/>
  <c r="Q248" i="125"/>
  <c r="Q305" i="125" s="1"/>
  <c r="Q310" i="125" s="1"/>
  <c r="AI235" i="124"/>
  <c r="AJ241" i="124"/>
  <c r="AG161" i="124"/>
  <c r="AI241" i="124"/>
  <c r="BM320" i="124"/>
  <c r="BM321" i="124"/>
  <c r="BP312" i="124"/>
  <c r="BP321" i="124" s="1"/>
  <c r="AJ239" i="124"/>
  <c r="BO160" i="124"/>
  <c r="BM217" i="124"/>
  <c r="BP217" i="124" s="1"/>
  <c r="BM218" i="124"/>
  <c r="BM230" i="124"/>
  <c r="BM233" i="124"/>
  <c r="BM232" i="124"/>
  <c r="BP215" i="124"/>
  <c r="BP218" i="124" s="1"/>
  <c r="BM319" i="124"/>
  <c r="BM318" i="124"/>
  <c r="BP311" i="124"/>
  <c r="BP319" i="124" s="1"/>
  <c r="BO162" i="124"/>
  <c r="BP162" i="124"/>
  <c r="BP309" i="124"/>
  <c r="BP315" i="124" s="1"/>
  <c r="BM314" i="124"/>
  <c r="BM315" i="124"/>
  <c r="BP156" i="124"/>
  <c r="Q90" i="124"/>
  <c r="Q147" i="124" s="1"/>
  <c r="Q152" i="124" s="1"/>
  <c r="AW90" i="124"/>
  <c r="AW147" i="124" s="1"/>
  <c r="AW152" i="124" s="1"/>
  <c r="AJ81" i="124"/>
  <c r="AI81" i="124"/>
  <c r="AW11" i="124"/>
  <c r="AW68" i="124" s="1"/>
  <c r="AW73" i="124" s="1"/>
  <c r="Q11" i="124"/>
  <c r="Q68" i="124" s="1"/>
  <c r="Q73" i="124" s="1"/>
  <c r="AI341" i="124"/>
  <c r="AG342" i="124"/>
  <c r="AJ342" i="124" s="1"/>
  <c r="AJ345" i="124" s="1"/>
  <c r="AG320" i="124"/>
  <c r="AJ320" i="124" s="1"/>
  <c r="AG321" i="124"/>
  <c r="AJ77" i="124"/>
  <c r="AI77" i="124"/>
  <c r="AW248" i="120"/>
  <c r="AW305" i="120" s="1"/>
  <c r="AW310" i="120" s="1"/>
  <c r="Q248" i="124"/>
  <c r="Q305" i="124" s="1"/>
  <c r="Q310" i="124" s="1"/>
  <c r="AW248" i="124"/>
  <c r="AW305" i="124" s="1"/>
  <c r="AW310" i="124" s="1"/>
  <c r="AG318" i="124"/>
  <c r="AI318" i="124" s="1"/>
  <c r="AG319" i="124"/>
  <c r="AG314" i="124"/>
  <c r="AI314" i="124" s="1"/>
  <c r="AG315" i="124"/>
  <c r="BP77" i="124"/>
  <c r="BO77" i="124"/>
  <c r="AJ83" i="124"/>
  <c r="AI83" i="124"/>
  <c r="BP83" i="124"/>
  <c r="BO83" i="124"/>
  <c r="Q169" i="124"/>
  <c r="Q226" i="124" s="1"/>
  <c r="Q231" i="124" s="1"/>
  <c r="AW169" i="124"/>
  <c r="AW226" i="124" s="1"/>
  <c r="AW231" i="124" s="1"/>
  <c r="AW169" i="120"/>
  <c r="AW226" i="120" s="1"/>
  <c r="AW231" i="120" s="1"/>
  <c r="BO341" i="124"/>
  <c r="BM342" i="124"/>
  <c r="BP342" i="124" s="1"/>
  <c r="BP345" i="124" s="1"/>
  <c r="BM84" i="120"/>
  <c r="AG78" i="120"/>
  <c r="AG82" i="120"/>
  <c r="AG84" i="120"/>
  <c r="BM81" i="120"/>
  <c r="BO81" i="120" s="1"/>
  <c r="BM78" i="120"/>
  <c r="Q169" i="120"/>
  <c r="Q226" i="120" s="1"/>
  <c r="Q231" i="120" s="1"/>
  <c r="AG161" i="120"/>
  <c r="AG160" i="120"/>
  <c r="AI160" i="120" s="1"/>
  <c r="AG242" i="120"/>
  <c r="AG241" i="120"/>
  <c r="AI241" i="120" s="1"/>
  <c r="AG318" i="120"/>
  <c r="AI318" i="120" s="1"/>
  <c r="AG319" i="120"/>
  <c r="Q248" i="120"/>
  <c r="Q305" i="120" s="1"/>
  <c r="Q310" i="120" s="1"/>
  <c r="AG162" i="120"/>
  <c r="AI162" i="120" s="1"/>
  <c r="AG163" i="120"/>
  <c r="AG239" i="120"/>
  <c r="AI239" i="120" s="1"/>
  <c r="AG240" i="120"/>
  <c r="BO156" i="120"/>
  <c r="BP156" i="120"/>
  <c r="AJ241" i="120"/>
  <c r="AG315" i="120"/>
  <c r="AG314" i="120"/>
  <c r="AI314" i="120" s="1"/>
  <c r="BP318" i="120"/>
  <c r="AI81" i="120"/>
  <c r="AJ81" i="120"/>
  <c r="AG156" i="120"/>
  <c r="AI156" i="120" s="1"/>
  <c r="AG157" i="120"/>
  <c r="AG236" i="120"/>
  <c r="AG235" i="120"/>
  <c r="AI235" i="120" s="1"/>
  <c r="AJ314" i="120"/>
  <c r="AJ318" i="120"/>
  <c r="BP314" i="120"/>
  <c r="BO314" i="120"/>
  <c r="BP235" i="120"/>
  <c r="BO239" i="120"/>
  <c r="AG342" i="120"/>
  <c r="BO241" i="120"/>
  <c r="BP320" i="120"/>
  <c r="BO320" i="120"/>
  <c r="BP162" i="120"/>
  <c r="BO235" i="120"/>
  <c r="BP239" i="120"/>
  <c r="BO341" i="120"/>
  <c r="BM342" i="120"/>
  <c r="BO83" i="120"/>
  <c r="BP83" i="120"/>
  <c r="AJ320" i="120"/>
  <c r="AI77" i="120"/>
  <c r="AJ77" i="120"/>
  <c r="BP241" i="120"/>
  <c r="BO77" i="120"/>
  <c r="BP77" i="120"/>
  <c r="Q90" i="120"/>
  <c r="AW90" i="120"/>
  <c r="AW147" i="120" s="1"/>
  <c r="AW152" i="120" s="1"/>
  <c r="Q11" i="120"/>
  <c r="Q68" i="120" s="1"/>
  <c r="Q73" i="120" s="1"/>
  <c r="AW11" i="120"/>
  <c r="BP81" i="120"/>
  <c r="BP160" i="120"/>
  <c r="AG320" i="120"/>
  <c r="AI320" i="120" s="1"/>
  <c r="AG321" i="120"/>
  <c r="AJ83" i="120"/>
  <c r="AI83" i="120"/>
  <c r="Q147" i="120"/>
  <c r="Q152" i="120" s="1"/>
  <c r="AW68" i="120"/>
  <c r="AW73" i="120" s="1"/>
  <c r="CJ49" i="67"/>
  <c r="CJ51" i="67"/>
  <c r="CZ6" i="118"/>
  <c r="CK24" i="67"/>
  <c r="CJ44" i="67"/>
  <c r="CJ58" i="67" s="1"/>
  <c r="CJ31" i="67"/>
  <c r="CI31" i="67"/>
  <c r="CI29" i="67"/>
  <c r="CK13" i="67"/>
  <c r="CK26" i="67"/>
  <c r="CK9" i="67"/>
  <c r="CK10" i="67"/>
  <c r="CK12" i="67"/>
  <c r="CK21" i="67"/>
  <c r="CK11" i="67"/>
  <c r="CJ41" i="67"/>
  <c r="CJ46" i="67"/>
  <c r="CJ60" i="67" s="1"/>
  <c r="CJ43" i="67"/>
  <c r="CJ37" i="67"/>
  <c r="CJ39" i="67"/>
  <c r="CJ45" i="67"/>
  <c r="CJ40" i="67"/>
  <c r="CJ38" i="67"/>
  <c r="CJ47" i="67"/>
  <c r="CI62" i="67"/>
  <c r="CH20" i="67"/>
  <c r="CH27" i="67"/>
  <c r="CH61" i="67" s="1"/>
  <c r="CH18" i="67"/>
  <c r="CJ23" i="67"/>
  <c r="CK25" i="67"/>
  <c r="CJ25" i="67"/>
  <c r="CK17" i="67"/>
  <c r="CI18" i="67"/>
  <c r="CI27" i="67"/>
  <c r="CI61" i="67" s="1"/>
  <c r="CI19" i="67"/>
  <c r="CI20" i="67"/>
  <c r="I70" i="30"/>
  <c r="K20" i="30"/>
  <c r="BJ262" i="125"/>
  <c r="BK108" i="125"/>
  <c r="BJ25" i="125"/>
  <c r="E64" i="30"/>
  <c r="I40" i="30"/>
  <c r="I57" i="30"/>
  <c r="I53" i="30"/>
  <c r="T29" i="125"/>
  <c r="E37" i="30"/>
  <c r="BK207" i="125"/>
  <c r="BZ19" i="67" a="1"/>
  <c r="F27" i="30"/>
  <c r="S183" i="125"/>
  <c r="E41" i="30"/>
  <c r="BK170" i="125"/>
  <c r="BJ104" i="125"/>
  <c r="I37" i="30"/>
  <c r="G33" i="30"/>
  <c r="CK31" i="67" a="1"/>
  <c r="T170" i="125"/>
  <c r="T207" i="125"/>
  <c r="BK249" i="125"/>
  <c r="I55" i="30"/>
  <c r="G23" i="30"/>
  <c r="E40" i="30"/>
  <c r="K19" i="30"/>
  <c r="G27" i="30"/>
  <c r="E55" i="30"/>
  <c r="F28" i="30"/>
  <c r="G28" i="30"/>
  <c r="F19" i="30"/>
  <c r="I64" i="30"/>
  <c r="BK91" i="125"/>
  <c r="E51" i="30"/>
  <c r="BZ39" i="67" a="1"/>
  <c r="I41" i="30"/>
  <c r="E67" i="30"/>
  <c r="E57" i="30"/>
  <c r="J34" i="30"/>
  <c r="G29" i="30"/>
  <c r="BK128" i="125"/>
  <c r="E69" i="30"/>
  <c r="I56" i="30"/>
  <c r="BK49" i="125"/>
  <c r="BK286" i="125"/>
  <c r="BK187" i="125"/>
  <c r="S262" i="125"/>
  <c r="I65" i="30"/>
  <c r="T128" i="125"/>
  <c r="T266" i="125"/>
  <c r="T49" i="125"/>
  <c r="E70" i="30"/>
  <c r="G34" i="30"/>
  <c r="F29" i="30"/>
  <c r="E39" i="30"/>
  <c r="I54" i="30"/>
  <c r="E53" i="30"/>
  <c r="T108" i="125"/>
  <c r="BK12" i="125"/>
  <c r="I43" i="30"/>
  <c r="T91" i="125"/>
  <c r="E65" i="30"/>
  <c r="I52" i="30"/>
  <c r="E54" i="30"/>
  <c r="E43" i="30"/>
  <c r="E38" i="30"/>
  <c r="E56" i="30"/>
  <c r="BK266" i="125"/>
  <c r="T12" i="125"/>
  <c r="G24" i="30"/>
  <c r="BJ183" i="125"/>
  <c r="E52" i="30"/>
  <c r="I67" i="30"/>
  <c r="F25" i="30"/>
  <c r="T249" i="125"/>
  <c r="I71" i="30"/>
  <c r="F20" i="30"/>
  <c r="I69" i="30"/>
  <c r="I42" i="30"/>
  <c r="I36" i="30"/>
  <c r="F26" i="30"/>
  <c r="S25" i="125"/>
  <c r="I68" i="30"/>
  <c r="S104" i="125"/>
  <c r="G25" i="30"/>
  <c r="E50" i="30"/>
  <c r="BK29" i="125"/>
  <c r="E42" i="30"/>
  <c r="F22" i="30"/>
  <c r="G22" i="30"/>
  <c r="E71" i="30"/>
  <c r="E36" i="30"/>
  <c r="CJ29" i="67" a="1"/>
  <c r="I66" i="30"/>
  <c r="I38" i="30"/>
  <c r="T286" i="125"/>
  <c r="G19" i="30"/>
  <c r="T187" i="125"/>
  <c r="I50" i="30"/>
  <c r="E66" i="30"/>
  <c r="E68" i="30"/>
  <c r="I39" i="30"/>
  <c r="CK29" i="67" a="1"/>
  <c r="I51" i="30"/>
  <c r="F23" i="30"/>
  <c r="F33" i="30"/>
  <c r="BO81" i="124" l="1"/>
  <c r="AJ162" i="124"/>
  <c r="BJ283" i="125"/>
  <c r="AJ156" i="124"/>
  <c r="S125" i="125"/>
  <c r="S133" i="125" s="1"/>
  <c r="Q158" i="126"/>
  <c r="Q159" i="126"/>
  <c r="AW159" i="126"/>
  <c r="AW158" i="126"/>
  <c r="Q238" i="126"/>
  <c r="Q237" i="126"/>
  <c r="AW237" i="126"/>
  <c r="AW238" i="126"/>
  <c r="Q317" i="126"/>
  <c r="Q316" i="126"/>
  <c r="Q79" i="126"/>
  <c r="Q80" i="126"/>
  <c r="AW317" i="126"/>
  <c r="AW316" i="126"/>
  <c r="AW80" i="126"/>
  <c r="AW79" i="126"/>
  <c r="S282" i="125"/>
  <c r="BJ203" i="125"/>
  <c r="BJ204" i="125"/>
  <c r="BJ212" i="125" s="1"/>
  <c r="AJ314" i="124"/>
  <c r="T213" i="125"/>
  <c r="T292" i="125"/>
  <c r="T55" i="125"/>
  <c r="BK337" i="125"/>
  <c r="BK213" i="125"/>
  <c r="BJ113" i="125"/>
  <c r="BJ123" i="125"/>
  <c r="S123" i="125"/>
  <c r="S113" i="125"/>
  <c r="S202" i="125"/>
  <c r="S192" i="125"/>
  <c r="BK292" i="125"/>
  <c r="BJ281" i="125"/>
  <c r="BJ271" i="125"/>
  <c r="S44" i="125"/>
  <c r="S34" i="125"/>
  <c r="BJ202" i="125"/>
  <c r="BJ192" i="125"/>
  <c r="T337" i="125"/>
  <c r="BJ34" i="125"/>
  <c r="BJ44" i="125"/>
  <c r="BK134" i="125"/>
  <c r="S281" i="125"/>
  <c r="S271" i="125"/>
  <c r="T134" i="125"/>
  <c r="BK55" i="125"/>
  <c r="BJ282" i="125"/>
  <c r="S210" i="125"/>
  <c r="S208" i="125"/>
  <c r="S204" i="125"/>
  <c r="BJ129" i="125"/>
  <c r="BJ131" i="125"/>
  <c r="S52" i="125"/>
  <c r="S50" i="125"/>
  <c r="S203" i="125"/>
  <c r="S131" i="125"/>
  <c r="S129" i="125"/>
  <c r="BJ124" i="125"/>
  <c r="BJ132" i="125"/>
  <c r="S124" i="125"/>
  <c r="S45" i="125"/>
  <c r="BJ52" i="125"/>
  <c r="BJ50" i="125"/>
  <c r="S290" i="125"/>
  <c r="BJ46" i="125"/>
  <c r="BJ53" i="125"/>
  <c r="S287" i="125"/>
  <c r="S289" i="125"/>
  <c r="S46" i="125"/>
  <c r="BJ291" i="125"/>
  <c r="BJ289" i="125"/>
  <c r="BJ287" i="125"/>
  <c r="BJ208" i="125"/>
  <c r="BJ210" i="125"/>
  <c r="BJ125" i="125"/>
  <c r="S291" i="125"/>
  <c r="AJ160" i="124"/>
  <c r="AW159" i="125"/>
  <c r="AW158" i="125"/>
  <c r="Q158" i="125"/>
  <c r="Q159" i="125"/>
  <c r="AJ318" i="124"/>
  <c r="Q316" i="125"/>
  <c r="Q317" i="125"/>
  <c r="Q237" i="125"/>
  <c r="Q238" i="125"/>
  <c r="AW317" i="125"/>
  <c r="AW316" i="125"/>
  <c r="AW237" i="125"/>
  <c r="AW238" i="125"/>
  <c r="AW79" i="125"/>
  <c r="AW80" i="125"/>
  <c r="Q80" i="125"/>
  <c r="Q79" i="125"/>
  <c r="BO318" i="124"/>
  <c r="BP318" i="124"/>
  <c r="BP314" i="124"/>
  <c r="BO314" i="124"/>
  <c r="BM240" i="124"/>
  <c r="BM239" i="124"/>
  <c r="BP232" i="124"/>
  <c r="BP240" i="124" s="1"/>
  <c r="AI320" i="124"/>
  <c r="BM241" i="124"/>
  <c r="BP233" i="124"/>
  <c r="BP242" i="124" s="1"/>
  <c r="BM242" i="124"/>
  <c r="BO320" i="124"/>
  <c r="BP320" i="124"/>
  <c r="BP230" i="124"/>
  <c r="BP236" i="124" s="1"/>
  <c r="BM235" i="124"/>
  <c r="BM236" i="124"/>
  <c r="AW238" i="120"/>
  <c r="AW237" i="120"/>
  <c r="Q317" i="124"/>
  <c r="Q316" i="124"/>
  <c r="AW237" i="124"/>
  <c r="AW238" i="124"/>
  <c r="AW317" i="120"/>
  <c r="AW316" i="120"/>
  <c r="Q238" i="124"/>
  <c r="Q237" i="124"/>
  <c r="AG345" i="124"/>
  <c r="AG344" i="124"/>
  <c r="AJ344" i="124" s="1"/>
  <c r="AI342" i="124"/>
  <c r="AI345" i="124" s="1"/>
  <c r="BM344" i="124"/>
  <c r="BP344" i="124" s="1"/>
  <c r="BM345" i="124"/>
  <c r="BO342" i="124"/>
  <c r="BO345" i="124" s="1"/>
  <c r="Q79" i="124"/>
  <c r="Q80" i="124"/>
  <c r="AW158" i="124"/>
  <c r="AW159" i="124"/>
  <c r="AW158" i="120"/>
  <c r="AW159" i="120"/>
  <c r="AW316" i="124"/>
  <c r="AW317" i="124"/>
  <c r="AW80" i="124"/>
  <c r="AW79" i="124"/>
  <c r="Q158" i="124"/>
  <c r="Q159" i="124"/>
  <c r="AG345" i="120"/>
  <c r="AG344" i="120"/>
  <c r="AI344" i="120" s="1"/>
  <c r="AI342" i="120"/>
  <c r="AI345" i="120" s="1"/>
  <c r="BM344" i="120"/>
  <c r="BO344" i="120" s="1"/>
  <c r="BM345" i="120"/>
  <c r="BO342" i="120"/>
  <c r="BO345" i="120" s="1"/>
  <c r="Q237" i="120"/>
  <c r="Q238" i="120"/>
  <c r="Q317" i="120"/>
  <c r="Q316" i="120"/>
  <c r="Q159" i="120"/>
  <c r="Q158" i="120"/>
  <c r="Q79" i="120"/>
  <c r="Q80" i="120"/>
  <c r="AW80" i="120"/>
  <c r="AW79" i="120"/>
  <c r="CJ57" i="67"/>
  <c r="CJ29" i="67"/>
  <c r="CH65" i="67"/>
  <c r="CI65" i="67"/>
  <c r="CK31" i="67"/>
  <c r="CK29" i="67"/>
  <c r="CJ48" i="67"/>
  <c r="CH63" i="67"/>
  <c r="CI63" i="67"/>
  <c r="CJ59" i="67"/>
  <c r="CJ28" i="67"/>
  <c r="P13" i="77"/>
  <c r="P12" i="77"/>
  <c r="P14" i="77"/>
  <c r="P15" i="77"/>
  <c r="BZ39" i="67"/>
  <c r="BZ19" i="67"/>
  <c r="CL6" i="67"/>
  <c r="T253" i="125"/>
  <c r="CK38" i="67" a="1"/>
  <c r="T105" i="125"/>
  <c r="BK253" i="125"/>
  <c r="BK26" i="125"/>
  <c r="CL12" i="67" a="1"/>
  <c r="CL24" i="67" a="1"/>
  <c r="BK184" i="125"/>
  <c r="T263" i="125"/>
  <c r="CJ27" i="67" a="1"/>
  <c r="CL9" i="67" a="1"/>
  <c r="T16" i="125"/>
  <c r="BK228" i="125" a="1"/>
  <c r="BK69" i="125" a="1"/>
  <c r="CK41" i="67" a="1"/>
  <c r="CJ19" i="67" a="1"/>
  <c r="T228" i="125" a="1"/>
  <c r="K27" i="30"/>
  <c r="T69" i="125" a="1"/>
  <c r="T174" i="125"/>
  <c r="K22" i="30"/>
  <c r="BK148" i="125" a="1"/>
  <c r="CJ18" i="67" a="1"/>
  <c r="CK39" i="67" a="1"/>
  <c r="BK95" i="125"/>
  <c r="T306" i="125" a="1"/>
  <c r="T185" i="125"/>
  <c r="BK105" i="125"/>
  <c r="T106" i="125"/>
  <c r="K25" i="30"/>
  <c r="BK227" i="125" a="1"/>
  <c r="T264" i="125"/>
  <c r="CK40" i="67" a="1"/>
  <c r="K23" i="30"/>
  <c r="CL10" i="67" a="1"/>
  <c r="T184" i="125"/>
  <c r="K26" i="30"/>
  <c r="BK263" i="125"/>
  <c r="BK306" i="125" a="1"/>
  <c r="T95" i="125"/>
  <c r="K28" i="30"/>
  <c r="G26" i="30"/>
  <c r="I20" i="30"/>
  <c r="CK23" i="67" a="1"/>
  <c r="CK37" i="67" a="1"/>
  <c r="BK174" i="125"/>
  <c r="BK185" i="125"/>
  <c r="I19" i="30"/>
  <c r="CK44" i="67" a="1"/>
  <c r="F34" i="30"/>
  <c r="CK51" i="67" a="1"/>
  <c r="BK27" i="125"/>
  <c r="BK149" i="125" a="1"/>
  <c r="CJ20" i="67" a="1"/>
  <c r="BK264" i="125"/>
  <c r="T307" i="125" a="1"/>
  <c r="T26" i="125"/>
  <c r="T27" i="125"/>
  <c r="CL11" i="67" a="1"/>
  <c r="CL13" i="67" a="1"/>
  <c r="T227" i="125" a="1"/>
  <c r="CK43" i="67" a="1"/>
  <c r="BK70" i="125" a="1"/>
  <c r="T148" i="125" a="1"/>
  <c r="G20" i="30"/>
  <c r="J33" i="30"/>
  <c r="T149" i="125" a="1"/>
  <c r="BK106" i="125"/>
  <c r="K29" i="30"/>
  <c r="F24" i="30"/>
  <c r="T70" i="125" a="1"/>
  <c r="CK49" i="67" a="1"/>
  <c r="BK16" i="125"/>
  <c r="BK307" i="125" a="1"/>
  <c r="CK46" i="67" a="1"/>
  <c r="CK45" i="67" a="1"/>
  <c r="CK47" i="67" a="1"/>
  <c r="AI344" i="124" l="1"/>
  <c r="BO344" i="124"/>
  <c r="BJ334" i="125"/>
  <c r="BJ339" i="125" s="1"/>
  <c r="S334" i="125"/>
  <c r="S339" i="125" s="1"/>
  <c r="R169" i="126"/>
  <c r="R226" i="126" s="1"/>
  <c r="R231" i="126" s="1"/>
  <c r="AX169" i="126"/>
  <c r="AX226" i="126" s="1"/>
  <c r="AX231" i="126" s="1"/>
  <c r="R90" i="126"/>
  <c r="R147" i="126" s="1"/>
  <c r="R152" i="126" s="1"/>
  <c r="AX90" i="126"/>
  <c r="AX147" i="126" s="1"/>
  <c r="AX152" i="126" s="1"/>
  <c r="R11" i="126"/>
  <c r="R68" i="126" s="1"/>
  <c r="R73" i="126" s="1"/>
  <c r="AX11" i="126"/>
  <c r="AX68" i="126" s="1"/>
  <c r="AX73" i="126" s="1"/>
  <c r="S333" i="125"/>
  <c r="R248" i="126"/>
  <c r="R305" i="126" s="1"/>
  <c r="R310" i="126" s="1"/>
  <c r="AX248" i="126"/>
  <c r="AX305" i="126" s="1"/>
  <c r="AX310" i="126" s="1"/>
  <c r="BJ333" i="125"/>
  <c r="T228" i="125"/>
  <c r="T32" i="125"/>
  <c r="BK149" i="125"/>
  <c r="BK306" i="125"/>
  <c r="BK96" i="125"/>
  <c r="BK125" i="125" s="1"/>
  <c r="BK133" i="125" s="1"/>
  <c r="BK227" i="125"/>
  <c r="BK254" i="125"/>
  <c r="BK290" i="125" s="1"/>
  <c r="T175" i="125"/>
  <c r="T211" i="125" s="1"/>
  <c r="T254" i="125"/>
  <c r="T282" i="125" s="1"/>
  <c r="BK175" i="125"/>
  <c r="BK211" i="125" s="1"/>
  <c r="BK269" i="125"/>
  <c r="T307" i="125"/>
  <c r="T149" i="125"/>
  <c r="T17" i="125"/>
  <c r="T53" i="125" s="1"/>
  <c r="BK228" i="125"/>
  <c r="T148" i="125"/>
  <c r="T190" i="125"/>
  <c r="BK69" i="125"/>
  <c r="BK190" i="125"/>
  <c r="T69" i="125"/>
  <c r="T96" i="125"/>
  <c r="T132" i="125" s="1"/>
  <c r="T70" i="125"/>
  <c r="BK70" i="125"/>
  <c r="BK32" i="125"/>
  <c r="BK148" i="125"/>
  <c r="BK307" i="125"/>
  <c r="T306" i="125"/>
  <c r="T227" i="125"/>
  <c r="T111" i="125"/>
  <c r="T269" i="125"/>
  <c r="BK17" i="125"/>
  <c r="BK53" i="125" s="1"/>
  <c r="BK111" i="125"/>
  <c r="S284" i="125"/>
  <c r="BJ284" i="125"/>
  <c r="BJ205" i="125"/>
  <c r="BJ126" i="125"/>
  <c r="BJ294" i="125"/>
  <c r="S136" i="125"/>
  <c r="S212" i="125"/>
  <c r="S215" i="125" s="1"/>
  <c r="S54" i="125"/>
  <c r="S57" i="125" s="1"/>
  <c r="S335" i="125"/>
  <c r="BJ54" i="125"/>
  <c r="BJ57" i="125" s="1"/>
  <c r="BJ335" i="125"/>
  <c r="BJ47" i="125"/>
  <c r="S205" i="125"/>
  <c r="BJ133" i="125"/>
  <c r="BJ136" i="125" s="1"/>
  <c r="S47" i="125"/>
  <c r="S294" i="125"/>
  <c r="BJ215" i="125"/>
  <c r="S126" i="125"/>
  <c r="R248" i="125"/>
  <c r="R305" i="125" s="1"/>
  <c r="R310" i="125" s="1"/>
  <c r="AX248" i="125"/>
  <c r="AX305" i="125" s="1"/>
  <c r="AX310" i="125" s="1"/>
  <c r="AX169" i="125"/>
  <c r="AX226" i="125" s="1"/>
  <c r="AX231" i="125" s="1"/>
  <c r="R169" i="125"/>
  <c r="R226" i="125" s="1"/>
  <c r="R231" i="125" s="1"/>
  <c r="AX11" i="125"/>
  <c r="AX68" i="125" s="1"/>
  <c r="AX73" i="125" s="1"/>
  <c r="R11" i="125"/>
  <c r="R68" i="125" s="1"/>
  <c r="R73" i="125" s="1"/>
  <c r="R90" i="125"/>
  <c r="R147" i="125" s="1"/>
  <c r="R152" i="125" s="1"/>
  <c r="AX90" i="125"/>
  <c r="AX147" i="125" s="1"/>
  <c r="AX152" i="125" s="1"/>
  <c r="BP235" i="124"/>
  <c r="BO235" i="124"/>
  <c r="BO239" i="124"/>
  <c r="BP239" i="124"/>
  <c r="BP241" i="124"/>
  <c r="BO241" i="124"/>
  <c r="AX248" i="120"/>
  <c r="AX305" i="120" s="1"/>
  <c r="AX310" i="120" s="1"/>
  <c r="AX248" i="124"/>
  <c r="AX305" i="124" s="1"/>
  <c r="AX310" i="124" s="1"/>
  <c r="R248" i="124"/>
  <c r="R305" i="124" s="1"/>
  <c r="R310" i="124" s="1"/>
  <c r="AX169" i="120"/>
  <c r="AX226" i="120" s="1"/>
  <c r="AX231" i="120" s="1"/>
  <c r="R169" i="124"/>
  <c r="R226" i="124" s="1"/>
  <c r="R231" i="124" s="1"/>
  <c r="AX169" i="124"/>
  <c r="AX226" i="124" s="1"/>
  <c r="AX231" i="124" s="1"/>
  <c r="AX11" i="124"/>
  <c r="AX68" i="124" s="1"/>
  <c r="AX73" i="124" s="1"/>
  <c r="R11" i="124"/>
  <c r="R68" i="124" s="1"/>
  <c r="R73" i="124" s="1"/>
  <c r="R90" i="124"/>
  <c r="R147" i="124" s="1"/>
  <c r="R152" i="124" s="1"/>
  <c r="AX90" i="124"/>
  <c r="AX147" i="124" s="1"/>
  <c r="AX152" i="124" s="1"/>
  <c r="R248" i="120"/>
  <c r="R305" i="120" s="1"/>
  <c r="R310" i="120" s="1"/>
  <c r="R11" i="120"/>
  <c r="R68" i="120" s="1"/>
  <c r="R73" i="120" s="1"/>
  <c r="AX11" i="120"/>
  <c r="AX68" i="120" s="1"/>
  <c r="AX73" i="120" s="1"/>
  <c r="R90" i="120"/>
  <c r="R147" i="120" s="1"/>
  <c r="R152" i="120" s="1"/>
  <c r="AX90" i="120"/>
  <c r="AX147" i="120" s="1"/>
  <c r="AX152" i="120" s="1"/>
  <c r="R169" i="120"/>
  <c r="R226" i="120" s="1"/>
  <c r="R231" i="120" s="1"/>
  <c r="CK51" i="67"/>
  <c r="CK49" i="67"/>
  <c r="CK44" i="67"/>
  <c r="CK58" i="67" s="1"/>
  <c r="CL24" i="67"/>
  <c r="CJ62" i="67"/>
  <c r="CK41" i="67"/>
  <c r="CK46" i="67"/>
  <c r="CK60" i="67" s="1"/>
  <c r="CK43" i="67"/>
  <c r="CK37" i="67"/>
  <c r="CK45" i="67"/>
  <c r="CK39" i="67"/>
  <c r="CK40" i="67"/>
  <c r="CK38" i="67"/>
  <c r="CK47" i="67"/>
  <c r="CL13" i="67"/>
  <c r="CJ19" i="67"/>
  <c r="CJ20" i="67"/>
  <c r="CL9" i="67"/>
  <c r="CL10" i="67"/>
  <c r="CJ27" i="67"/>
  <c r="CJ61" i="67" s="1"/>
  <c r="CL11" i="67"/>
  <c r="CK23" i="67"/>
  <c r="CJ18" i="67"/>
  <c r="CL12" i="67"/>
  <c r="Q12" i="77"/>
  <c r="Q13" i="77"/>
  <c r="Q15" i="77"/>
  <c r="Q14" i="77"/>
  <c r="S30" i="125"/>
  <c r="BL128" i="125"/>
  <c r="CL43" i="67" a="1"/>
  <c r="BL286" i="125"/>
  <c r="BJ267" i="125"/>
  <c r="BK104" i="125"/>
  <c r="U128" i="125"/>
  <c r="CL47" i="67" a="1"/>
  <c r="CL51" i="67" a="1"/>
  <c r="U170" i="125"/>
  <c r="U49" i="125"/>
  <c r="BL187" i="125"/>
  <c r="U266" i="125"/>
  <c r="BL249" i="125"/>
  <c r="U286" i="125"/>
  <c r="U108" i="125"/>
  <c r="U91" i="125"/>
  <c r="BL12" i="125"/>
  <c r="BL29" i="125"/>
  <c r="BJ109" i="125"/>
  <c r="T183" i="125"/>
  <c r="CL46" i="67" a="1"/>
  <c r="BL49" i="125"/>
  <c r="T262" i="125"/>
  <c r="BL91" i="125"/>
  <c r="S109" i="125"/>
  <c r="CL26" i="67" a="1"/>
  <c r="T25" i="125"/>
  <c r="CL45" i="67" a="1"/>
  <c r="CL40" i="67" a="1"/>
  <c r="T104" i="125"/>
  <c r="S188" i="125"/>
  <c r="CL38" i="67" a="1"/>
  <c r="CL44" i="67" a="1"/>
  <c r="S267" i="125"/>
  <c r="CK18" i="67" a="1"/>
  <c r="K24" i="30"/>
  <c r="CL39" i="67" a="1"/>
  <c r="BK25" i="125"/>
  <c r="CK20" i="67" a="1"/>
  <c r="BL170" i="125"/>
  <c r="CK27" i="67" a="1"/>
  <c r="CK19" i="67" a="1"/>
  <c r="U207" i="125"/>
  <c r="BJ188" i="125"/>
  <c r="U249" i="125"/>
  <c r="U187" i="125"/>
  <c r="BL207" i="125"/>
  <c r="CL41" i="67" a="1"/>
  <c r="BK262" i="125"/>
  <c r="BK183" i="125"/>
  <c r="BL108" i="125"/>
  <c r="CL49" i="67" a="1"/>
  <c r="U29" i="125"/>
  <c r="U12" i="125"/>
  <c r="CL25" i="67" a="1"/>
  <c r="CL37" i="67" a="1"/>
  <c r="BJ30" i="125"/>
  <c r="BL266" i="125"/>
  <c r="S341" i="125" l="1"/>
  <c r="S342" i="125" s="1"/>
  <c r="BK124" i="125"/>
  <c r="BJ341" i="125"/>
  <c r="BJ342" i="125" s="1"/>
  <c r="BK283" i="125"/>
  <c r="BK291" i="125" s="1"/>
  <c r="AY248" i="126"/>
  <c r="AY305" i="126" s="1"/>
  <c r="AY310" i="126" s="1"/>
  <c r="S248" i="126"/>
  <c r="S305" i="126" s="1"/>
  <c r="S310" i="126" s="1"/>
  <c r="AX317" i="126"/>
  <c r="AX316" i="126"/>
  <c r="R316" i="126"/>
  <c r="R317" i="126"/>
  <c r="AX159" i="126"/>
  <c r="AX158" i="126"/>
  <c r="R158" i="126"/>
  <c r="R159" i="126"/>
  <c r="AY90" i="126"/>
  <c r="AY147" i="126" s="1"/>
  <c r="AY152" i="126" s="1"/>
  <c r="S90" i="126"/>
  <c r="S147" i="126" s="1"/>
  <c r="S152" i="126" s="1"/>
  <c r="S11" i="126"/>
  <c r="S68" i="126" s="1"/>
  <c r="S73" i="126" s="1"/>
  <c r="AY11" i="126"/>
  <c r="AY68" i="126" s="1"/>
  <c r="AY73" i="126" s="1"/>
  <c r="T45" i="125"/>
  <c r="AX80" i="126"/>
  <c r="AX79" i="126"/>
  <c r="R79" i="126"/>
  <c r="R80" i="126"/>
  <c r="AX238" i="126"/>
  <c r="AX237" i="126"/>
  <c r="S169" i="126"/>
  <c r="S226" i="126" s="1"/>
  <c r="S231" i="126" s="1"/>
  <c r="AY169" i="126"/>
  <c r="AY226" i="126" s="1"/>
  <c r="AY231" i="126" s="1"/>
  <c r="R237" i="126"/>
  <c r="R238" i="126"/>
  <c r="T283" i="125"/>
  <c r="T291" i="125" s="1"/>
  <c r="BK45" i="125"/>
  <c r="BK203" i="125"/>
  <c r="BK204" i="125"/>
  <c r="BK212" i="125" s="1"/>
  <c r="T125" i="125"/>
  <c r="T133" i="125" s="1"/>
  <c r="T124" i="125"/>
  <c r="BL55" i="125"/>
  <c r="BL292" i="125"/>
  <c r="BK44" i="125"/>
  <c r="BK34" i="125"/>
  <c r="BL213" i="125"/>
  <c r="T44" i="125"/>
  <c r="T34" i="125"/>
  <c r="U134" i="125"/>
  <c r="T281" i="125"/>
  <c r="T271" i="125"/>
  <c r="U292" i="125"/>
  <c r="U213" i="125"/>
  <c r="T202" i="125"/>
  <c r="T192" i="125"/>
  <c r="BK123" i="125"/>
  <c r="BK113" i="125"/>
  <c r="BK202" i="125"/>
  <c r="BK192" i="125"/>
  <c r="U337" i="125"/>
  <c r="U55" i="125"/>
  <c r="T123" i="125"/>
  <c r="T113" i="125"/>
  <c r="BL337" i="125"/>
  <c r="BK281" i="125"/>
  <c r="BK271" i="125"/>
  <c r="BL134" i="125"/>
  <c r="BJ139" i="125"/>
  <c r="BJ138" i="125"/>
  <c r="BJ151" i="125"/>
  <c r="BJ154" i="125"/>
  <c r="BJ153" i="125"/>
  <c r="S218" i="125"/>
  <c r="S217" i="125"/>
  <c r="S230" i="125"/>
  <c r="S232" i="125"/>
  <c r="S233" i="125"/>
  <c r="S296" i="125"/>
  <c r="S309" i="125"/>
  <c r="S297" i="125"/>
  <c r="S312" i="125"/>
  <c r="S311" i="125"/>
  <c r="S138" i="125"/>
  <c r="S139" i="125"/>
  <c r="S151" i="125"/>
  <c r="S153" i="125"/>
  <c r="S154" i="125"/>
  <c r="BK50" i="125"/>
  <c r="BK52" i="125"/>
  <c r="BK210" i="125"/>
  <c r="BK208" i="125"/>
  <c r="BK132" i="125"/>
  <c r="BK46" i="125"/>
  <c r="BK282" i="125"/>
  <c r="T290" i="125"/>
  <c r="BJ296" i="125"/>
  <c r="BJ309" i="125"/>
  <c r="BJ297" i="125"/>
  <c r="BJ312" i="125"/>
  <c r="BJ311" i="125"/>
  <c r="T204" i="125"/>
  <c r="BK287" i="125"/>
  <c r="BK289" i="125"/>
  <c r="BJ217" i="125"/>
  <c r="BJ218" i="125"/>
  <c r="BJ230" i="125"/>
  <c r="BJ233" i="125"/>
  <c r="BJ232" i="125"/>
  <c r="T208" i="125"/>
  <c r="T210" i="125"/>
  <c r="T289" i="125"/>
  <c r="T287" i="125"/>
  <c r="T203" i="125"/>
  <c r="T50" i="125"/>
  <c r="T52" i="125"/>
  <c r="BJ60" i="125"/>
  <c r="BJ59" i="125"/>
  <c r="BJ72" i="125"/>
  <c r="BJ75" i="125"/>
  <c r="BJ74" i="125"/>
  <c r="S60" i="125"/>
  <c r="S59" i="125"/>
  <c r="S72" i="125"/>
  <c r="S74" i="125"/>
  <c r="S75" i="125"/>
  <c r="BK131" i="125"/>
  <c r="BK129" i="125"/>
  <c r="T131" i="125"/>
  <c r="T129" i="125"/>
  <c r="T46" i="125"/>
  <c r="S248" i="125"/>
  <c r="S305" i="125" s="1"/>
  <c r="S310" i="125" s="1"/>
  <c r="AY248" i="125"/>
  <c r="AY305" i="125" s="1"/>
  <c r="AY310" i="125" s="1"/>
  <c r="AX79" i="125"/>
  <c r="AX80" i="125"/>
  <c r="AY90" i="125"/>
  <c r="AY147" i="125" s="1"/>
  <c r="AY152" i="125" s="1"/>
  <c r="S90" i="125"/>
  <c r="S147" i="125" s="1"/>
  <c r="S152" i="125" s="1"/>
  <c r="AY11" i="125"/>
  <c r="AY68" i="125" s="1"/>
  <c r="AY73" i="125" s="1"/>
  <c r="S11" i="125"/>
  <c r="S68" i="125" s="1"/>
  <c r="S73" i="125" s="1"/>
  <c r="R237" i="125"/>
  <c r="R238" i="125"/>
  <c r="AX237" i="125"/>
  <c r="AX238" i="125"/>
  <c r="AX159" i="125"/>
  <c r="AX158" i="125"/>
  <c r="R158" i="125"/>
  <c r="R159" i="125"/>
  <c r="AX317" i="125"/>
  <c r="AX316" i="125"/>
  <c r="AY169" i="125"/>
  <c r="AY226" i="125" s="1"/>
  <c r="AY231" i="125" s="1"/>
  <c r="S169" i="125"/>
  <c r="S226" i="125" s="1"/>
  <c r="S231" i="125" s="1"/>
  <c r="R79" i="125"/>
  <c r="R80" i="125"/>
  <c r="R316" i="125"/>
  <c r="R317" i="125"/>
  <c r="AX238" i="124"/>
  <c r="AX237" i="124"/>
  <c r="AX159" i="120"/>
  <c r="AX158" i="120"/>
  <c r="AX158" i="124"/>
  <c r="AX159" i="124"/>
  <c r="R237" i="124"/>
  <c r="R238" i="124"/>
  <c r="R158" i="124"/>
  <c r="R159" i="124"/>
  <c r="AX238" i="120"/>
  <c r="AX237" i="120"/>
  <c r="AY169" i="120"/>
  <c r="AY226" i="120" s="1"/>
  <c r="AY231" i="120" s="1"/>
  <c r="AY169" i="124"/>
  <c r="AY226" i="124" s="1"/>
  <c r="AY231" i="124" s="1"/>
  <c r="S169" i="124"/>
  <c r="S226" i="124" s="1"/>
  <c r="S231" i="124" s="1"/>
  <c r="AY248" i="124"/>
  <c r="AY305" i="124" s="1"/>
  <c r="AY310" i="124" s="1"/>
  <c r="AY248" i="120"/>
  <c r="AY305" i="120" s="1"/>
  <c r="AY310" i="120" s="1"/>
  <c r="S248" i="124"/>
  <c r="S305" i="124" s="1"/>
  <c r="S310" i="124" s="1"/>
  <c r="R317" i="124"/>
  <c r="R316" i="124"/>
  <c r="S90" i="124"/>
  <c r="S147" i="124" s="1"/>
  <c r="S152" i="124" s="1"/>
  <c r="AY90" i="124"/>
  <c r="AY147" i="124" s="1"/>
  <c r="AY152" i="124" s="1"/>
  <c r="AX316" i="124"/>
  <c r="AX317" i="124"/>
  <c r="AY11" i="124"/>
  <c r="AY68" i="124" s="1"/>
  <c r="AY73" i="124" s="1"/>
  <c r="S11" i="124"/>
  <c r="S68" i="124" s="1"/>
  <c r="S73" i="124" s="1"/>
  <c r="R79" i="124"/>
  <c r="R80" i="124"/>
  <c r="AX316" i="120"/>
  <c r="AX317" i="120"/>
  <c r="AX80" i="124"/>
  <c r="AX79" i="124"/>
  <c r="S248" i="120"/>
  <c r="S305" i="120" s="1"/>
  <c r="S310" i="120" s="1"/>
  <c r="AY90" i="120"/>
  <c r="AY147" i="120" s="1"/>
  <c r="AY152" i="120" s="1"/>
  <c r="S90" i="120"/>
  <c r="AY11" i="120"/>
  <c r="AY68" i="120" s="1"/>
  <c r="AY73" i="120" s="1"/>
  <c r="S11" i="120"/>
  <c r="S68" i="120" s="1"/>
  <c r="S73" i="120" s="1"/>
  <c r="S169" i="120"/>
  <c r="S226" i="120" s="1"/>
  <c r="S231" i="120" s="1"/>
  <c r="AX80" i="120"/>
  <c r="AX79" i="120"/>
  <c r="R237" i="120"/>
  <c r="R238" i="120"/>
  <c r="R79" i="120"/>
  <c r="R80" i="120"/>
  <c r="S147" i="120"/>
  <c r="S152" i="120" s="1"/>
  <c r="R159" i="120"/>
  <c r="R158" i="120"/>
  <c r="R317" i="120"/>
  <c r="R316" i="120"/>
  <c r="CL51" i="67"/>
  <c r="CL49" i="67"/>
  <c r="CL44" i="67"/>
  <c r="CL58" i="67" s="1"/>
  <c r="CK57" i="67"/>
  <c r="CL26" i="67"/>
  <c r="CJ65" i="67"/>
  <c r="CL46" i="67"/>
  <c r="CL41" i="67"/>
  <c r="CL37" i="67"/>
  <c r="CL45" i="67"/>
  <c r="CL43" i="67"/>
  <c r="CL39" i="67"/>
  <c r="CL40" i="67"/>
  <c r="CL38" i="67"/>
  <c r="CL47" i="67"/>
  <c r="CK48" i="67"/>
  <c r="CK59" i="67"/>
  <c r="CK18" i="67"/>
  <c r="CK20" i="67"/>
  <c r="CL25" i="67"/>
  <c r="CK27" i="67"/>
  <c r="CK61" i="67" s="1"/>
  <c r="CK19" i="67"/>
  <c r="CJ63" i="67"/>
  <c r="CK28" i="67"/>
  <c r="BL174" i="125"/>
  <c r="BK267" i="125"/>
  <c r="CL17" i="67" a="1"/>
  <c r="BL307" i="125" a="1"/>
  <c r="U70" i="125" a="1"/>
  <c r="BL149" i="125" a="1"/>
  <c r="U27" i="125"/>
  <c r="U95" i="125"/>
  <c r="U306" i="125" a="1"/>
  <c r="BL227" i="125" a="1"/>
  <c r="U227" i="125" a="1"/>
  <c r="U69" i="125" a="1"/>
  <c r="BL95" i="125"/>
  <c r="BL26" i="125"/>
  <c r="U148" i="125" a="1"/>
  <c r="BL69" i="125" a="1"/>
  <c r="U185" i="125"/>
  <c r="I23" i="30"/>
  <c r="BL148" i="125" a="1"/>
  <c r="BL106" i="125"/>
  <c r="BL27" i="125"/>
  <c r="BL184" i="125"/>
  <c r="BL306" i="125" a="1"/>
  <c r="BL264" i="125"/>
  <c r="BZ45" i="67" a="1"/>
  <c r="U307" i="125" a="1"/>
  <c r="U149" i="125" a="1"/>
  <c r="U228" i="125" a="1"/>
  <c r="U105" i="125"/>
  <c r="BL253" i="125"/>
  <c r="BL263" i="125"/>
  <c r="U184" i="125"/>
  <c r="U106" i="125"/>
  <c r="T267" i="125"/>
  <c r="BL228" i="125" a="1"/>
  <c r="BK188" i="125"/>
  <c r="U174" i="125"/>
  <c r="U16" i="125"/>
  <c r="U26" i="125"/>
  <c r="BL70" i="125" a="1"/>
  <c r="BL185" i="125"/>
  <c r="CL21" i="67" a="1"/>
  <c r="I22" i="30"/>
  <c r="U263" i="125"/>
  <c r="BL16" i="125"/>
  <c r="U253" i="125"/>
  <c r="BL105" i="125"/>
  <c r="U264" i="125"/>
  <c r="BK136" i="125" l="1"/>
  <c r="BK154" i="125" s="1"/>
  <c r="BK162" i="125" s="1"/>
  <c r="T334" i="125"/>
  <c r="T339" i="125" s="1"/>
  <c r="T333" i="125"/>
  <c r="BK334" i="125"/>
  <c r="BK339" i="125" s="1"/>
  <c r="AY238" i="126"/>
  <c r="AY237" i="126"/>
  <c r="S237" i="126"/>
  <c r="S238" i="126"/>
  <c r="AY80" i="126"/>
  <c r="AY79" i="126"/>
  <c r="S79" i="126"/>
  <c r="S80" i="126"/>
  <c r="S158" i="126"/>
  <c r="S159" i="126"/>
  <c r="AY159" i="126"/>
  <c r="AY158" i="126"/>
  <c r="BK333" i="125"/>
  <c r="S316" i="126"/>
  <c r="S317" i="126"/>
  <c r="AY317" i="126"/>
  <c r="AY316" i="126"/>
  <c r="U148" i="125"/>
  <c r="U175" i="125"/>
  <c r="U211" i="125" s="1"/>
  <c r="U69" i="125"/>
  <c r="U32" i="125"/>
  <c r="U111" i="125"/>
  <c r="BL96" i="125"/>
  <c r="BL124" i="125" s="1"/>
  <c r="BL190" i="125"/>
  <c r="BL307" i="125"/>
  <c r="U96" i="125"/>
  <c r="U132" i="125" s="1"/>
  <c r="U307" i="125"/>
  <c r="U149" i="125"/>
  <c r="U269" i="125"/>
  <c r="BL148" i="125"/>
  <c r="BL175" i="125"/>
  <c r="BL211" i="125" s="1"/>
  <c r="BL269" i="125"/>
  <c r="BL149" i="125"/>
  <c r="BL227" i="125"/>
  <c r="BL70" i="125"/>
  <c r="U227" i="125"/>
  <c r="U190" i="125"/>
  <c r="BL111" i="125"/>
  <c r="BL69" i="125"/>
  <c r="U254" i="125"/>
  <c r="U283" i="125" s="1"/>
  <c r="U228" i="125"/>
  <c r="BL32" i="125"/>
  <c r="U70" i="125"/>
  <c r="U306" i="125"/>
  <c r="BL17" i="125"/>
  <c r="BL53" i="125" s="1"/>
  <c r="BL254" i="125"/>
  <c r="U17" i="125"/>
  <c r="U53" i="125" s="1"/>
  <c r="BL228" i="125"/>
  <c r="BL306" i="125"/>
  <c r="S77" i="125"/>
  <c r="S78" i="125"/>
  <c r="T294" i="125"/>
  <c r="S160" i="125"/>
  <c r="S161" i="125"/>
  <c r="S235" i="125"/>
  <c r="S236" i="125"/>
  <c r="T136" i="125"/>
  <c r="BJ236" i="125"/>
  <c r="BJ235" i="125"/>
  <c r="BJ318" i="125"/>
  <c r="BJ319" i="125"/>
  <c r="S314" i="125"/>
  <c r="S315" i="125"/>
  <c r="T126" i="125"/>
  <c r="BK126" i="125"/>
  <c r="S344" i="125"/>
  <c r="S345" i="125"/>
  <c r="BJ321" i="125"/>
  <c r="BJ320" i="125"/>
  <c r="BK215" i="125"/>
  <c r="S157" i="125"/>
  <c r="S156" i="125"/>
  <c r="T284" i="125"/>
  <c r="T54" i="125"/>
  <c r="T57" i="125" s="1"/>
  <c r="T335" i="125"/>
  <c r="BJ82" i="125"/>
  <c r="BJ81" i="125"/>
  <c r="BK54" i="125"/>
  <c r="BK57" i="125" s="1"/>
  <c r="BK335" i="125"/>
  <c r="BJ344" i="125"/>
  <c r="BJ345" i="125"/>
  <c r="BJ160" i="125"/>
  <c r="BJ161" i="125"/>
  <c r="BJ84" i="125"/>
  <c r="BJ83" i="125"/>
  <c r="BJ163" i="125"/>
  <c r="BJ162" i="125"/>
  <c r="BK284" i="125"/>
  <c r="T205" i="125"/>
  <c r="S83" i="125"/>
  <c r="S84" i="125"/>
  <c r="BK294" i="125"/>
  <c r="BJ314" i="125"/>
  <c r="BJ315" i="125"/>
  <c r="S319" i="125"/>
  <c r="S318" i="125"/>
  <c r="S242" i="125"/>
  <c r="S241" i="125"/>
  <c r="BK47" i="125"/>
  <c r="S82" i="125"/>
  <c r="S81" i="125"/>
  <c r="BJ77" i="125"/>
  <c r="BJ78" i="125"/>
  <c r="BJ240" i="125"/>
  <c r="BJ239" i="125"/>
  <c r="S320" i="125"/>
  <c r="S321" i="125"/>
  <c r="S240" i="125"/>
  <c r="S239" i="125"/>
  <c r="BJ157" i="125"/>
  <c r="BJ156" i="125"/>
  <c r="BK205" i="125"/>
  <c r="BJ241" i="125"/>
  <c r="BJ242" i="125"/>
  <c r="T212" i="125"/>
  <c r="T215" i="125" s="1"/>
  <c r="S163" i="125"/>
  <c r="S162" i="125"/>
  <c r="T47" i="125"/>
  <c r="S80" i="125"/>
  <c r="S79" i="125"/>
  <c r="AY79" i="125"/>
  <c r="AY80" i="125"/>
  <c r="S158" i="125"/>
  <c r="S159" i="125"/>
  <c r="AY159" i="125"/>
  <c r="AY158" i="125"/>
  <c r="S237" i="125"/>
  <c r="S238" i="125"/>
  <c r="AY237" i="125"/>
  <c r="AY238" i="125"/>
  <c r="AY317" i="125"/>
  <c r="AY316" i="125"/>
  <c r="S316" i="125"/>
  <c r="S317" i="125"/>
  <c r="AY317" i="124"/>
  <c r="AY316" i="124"/>
  <c r="S238" i="124"/>
  <c r="S237" i="124"/>
  <c r="AY158" i="124"/>
  <c r="AY159" i="124"/>
  <c r="AY237" i="124"/>
  <c r="AY238" i="124"/>
  <c r="S159" i="124"/>
  <c r="S158" i="124"/>
  <c r="AY237" i="120"/>
  <c r="AY238" i="120"/>
  <c r="AY159" i="120"/>
  <c r="AY158" i="120"/>
  <c r="S79" i="124"/>
  <c r="S80" i="124"/>
  <c r="S316" i="124"/>
  <c r="S317" i="124"/>
  <c r="AY80" i="124"/>
  <c r="AY79" i="124"/>
  <c r="AY317" i="120"/>
  <c r="AY316" i="120"/>
  <c r="S79" i="120"/>
  <c r="S80" i="120"/>
  <c r="AY79" i="120"/>
  <c r="AY80" i="120"/>
  <c r="S317" i="120"/>
  <c r="S316" i="120"/>
  <c r="S159" i="120"/>
  <c r="S158" i="120"/>
  <c r="S238" i="120"/>
  <c r="S237" i="120"/>
  <c r="CL21" i="67"/>
  <c r="CL60" i="67"/>
  <c r="CK65" i="67"/>
  <c r="CL17" i="67"/>
  <c r="CL59" i="67"/>
  <c r="CK62" i="67"/>
  <c r="CL48" i="67"/>
  <c r="CK63" i="67"/>
  <c r="R15" i="77"/>
  <c r="R12" i="77"/>
  <c r="R13" i="77"/>
  <c r="R14" i="77"/>
  <c r="BZ45" i="67"/>
  <c r="BZ59" i="67" s="1"/>
  <c r="CM6" i="67"/>
  <c r="U262" i="125"/>
  <c r="CM10" i="67" a="1"/>
  <c r="BL104" i="125"/>
  <c r="U183" i="125"/>
  <c r="T188" i="125"/>
  <c r="CM12" i="67" a="1"/>
  <c r="U104" i="125"/>
  <c r="BK109" i="125"/>
  <c r="CM26" i="67" a="1"/>
  <c r="BL183" i="125"/>
  <c r="T109" i="125"/>
  <c r="T30" i="125"/>
  <c r="CM25" i="67" a="1"/>
  <c r="CM9" i="67" a="1"/>
  <c r="CL23" i="67" a="1"/>
  <c r="CL29" i="67" a="1"/>
  <c r="CL31" i="67" a="1"/>
  <c r="BL25" i="125"/>
  <c r="CM11" i="67" a="1"/>
  <c r="BK30" i="125"/>
  <c r="BL262" i="125"/>
  <c r="CM13" i="67" a="1"/>
  <c r="CM24" i="67" a="1"/>
  <c r="U25" i="125"/>
  <c r="BK153" i="125" l="1"/>
  <c r="BK160" i="125" s="1"/>
  <c r="BK139" i="125"/>
  <c r="BK138" i="125"/>
  <c r="BK151" i="125"/>
  <c r="BK157" i="125" s="1"/>
  <c r="BK163" i="125"/>
  <c r="T341" i="125"/>
  <c r="T342" i="125" s="1"/>
  <c r="BK341" i="125"/>
  <c r="BK342" i="125" s="1"/>
  <c r="U125" i="125"/>
  <c r="U133" i="125" s="1"/>
  <c r="U282" i="125"/>
  <c r="T169" i="126"/>
  <c r="T226" i="126" s="1"/>
  <c r="T231" i="126" s="1"/>
  <c r="AZ169" i="126"/>
  <c r="AZ226" i="126" s="1"/>
  <c r="AZ231" i="126" s="1"/>
  <c r="AZ90" i="126"/>
  <c r="AZ147" i="126" s="1"/>
  <c r="AZ152" i="126" s="1"/>
  <c r="T90" i="126"/>
  <c r="T147" i="126" s="1"/>
  <c r="T152" i="126" s="1"/>
  <c r="AZ11" i="126"/>
  <c r="AZ68" i="126" s="1"/>
  <c r="AZ73" i="126" s="1"/>
  <c r="T11" i="126"/>
  <c r="T68" i="126" s="1"/>
  <c r="T73" i="126" s="1"/>
  <c r="T248" i="126"/>
  <c r="T305" i="126" s="1"/>
  <c r="T310" i="126" s="1"/>
  <c r="AZ248" i="126"/>
  <c r="AZ305" i="126" s="1"/>
  <c r="AZ310" i="126" s="1"/>
  <c r="BL125" i="125"/>
  <c r="BL133" i="125" s="1"/>
  <c r="U204" i="125"/>
  <c r="U212" i="125" s="1"/>
  <c r="U123" i="125"/>
  <c r="U113" i="125"/>
  <c r="BL202" i="125"/>
  <c r="BL192" i="125"/>
  <c r="U281" i="125"/>
  <c r="U271" i="125"/>
  <c r="U44" i="125"/>
  <c r="U34" i="125"/>
  <c r="BL123" i="125"/>
  <c r="BL113" i="125"/>
  <c r="BL281" i="125"/>
  <c r="BL271" i="125"/>
  <c r="U202" i="125"/>
  <c r="U192" i="125"/>
  <c r="BL34" i="125"/>
  <c r="BL44" i="125"/>
  <c r="T218" i="125"/>
  <c r="T217" i="125"/>
  <c r="T230" i="125"/>
  <c r="T232" i="125"/>
  <c r="T233" i="125"/>
  <c r="T296" i="125"/>
  <c r="T297" i="125"/>
  <c r="T309" i="125"/>
  <c r="T312" i="125"/>
  <c r="T311" i="125"/>
  <c r="U203" i="125"/>
  <c r="U46" i="125"/>
  <c r="BK59" i="125"/>
  <c r="BK60" i="125"/>
  <c r="BK72" i="125"/>
  <c r="BK75" i="125"/>
  <c r="BK74" i="125"/>
  <c r="T138" i="125"/>
  <c r="T139" i="125"/>
  <c r="T151" i="125"/>
  <c r="T154" i="125"/>
  <c r="T153" i="125"/>
  <c r="BL203" i="125"/>
  <c r="U50" i="125"/>
  <c r="U52" i="125"/>
  <c r="T59" i="125"/>
  <c r="T60" i="125"/>
  <c r="T72" i="125"/>
  <c r="T75" i="125"/>
  <c r="T74" i="125"/>
  <c r="BK218" i="125"/>
  <c r="BK217" i="125"/>
  <c r="BK230" i="125"/>
  <c r="BK233" i="125"/>
  <c r="BK232" i="125"/>
  <c r="BL50" i="125"/>
  <c r="BL52" i="125"/>
  <c r="BL204" i="125"/>
  <c r="U291" i="125"/>
  <c r="BL210" i="125"/>
  <c r="BL208" i="125"/>
  <c r="BL283" i="125"/>
  <c r="BL290" i="125"/>
  <c r="BL45" i="125"/>
  <c r="BL282" i="125"/>
  <c r="U45" i="125"/>
  <c r="BL129" i="125"/>
  <c r="BL131" i="125"/>
  <c r="BL289" i="125"/>
  <c r="BL287" i="125"/>
  <c r="U287" i="125"/>
  <c r="U289" i="125"/>
  <c r="BL132" i="125"/>
  <c r="BK297" i="125"/>
  <c r="BK296" i="125"/>
  <c r="BK309" i="125"/>
  <c r="BK311" i="125"/>
  <c r="BK312" i="125"/>
  <c r="U129" i="125"/>
  <c r="U131" i="125"/>
  <c r="U290" i="125"/>
  <c r="U210" i="125"/>
  <c r="U208" i="125"/>
  <c r="BL46" i="125"/>
  <c r="U124" i="125"/>
  <c r="T169" i="125"/>
  <c r="T226" i="125" s="1"/>
  <c r="T231" i="125" s="1"/>
  <c r="AZ169" i="125"/>
  <c r="AZ226" i="125" s="1"/>
  <c r="AZ231" i="125" s="1"/>
  <c r="AZ90" i="125"/>
  <c r="AZ147" i="125" s="1"/>
  <c r="AZ152" i="125" s="1"/>
  <c r="T90" i="125"/>
  <c r="T147" i="125" s="1"/>
  <c r="T152" i="125" s="1"/>
  <c r="T11" i="125"/>
  <c r="T68" i="125" s="1"/>
  <c r="T73" i="125" s="1"/>
  <c r="AZ11" i="125"/>
  <c r="AZ68" i="125" s="1"/>
  <c r="AZ73" i="125" s="1"/>
  <c r="AZ248" i="125"/>
  <c r="AZ305" i="125" s="1"/>
  <c r="AZ310" i="125" s="1"/>
  <c r="T248" i="125"/>
  <c r="T305" i="125" s="1"/>
  <c r="T310" i="125" s="1"/>
  <c r="AZ248" i="120"/>
  <c r="AZ305" i="120" s="1"/>
  <c r="AZ310" i="120" s="1"/>
  <c r="AZ248" i="124"/>
  <c r="AZ305" i="124" s="1"/>
  <c r="AZ310" i="124" s="1"/>
  <c r="T248" i="124"/>
  <c r="T305" i="124" s="1"/>
  <c r="T310" i="124" s="1"/>
  <c r="AZ169" i="120"/>
  <c r="AZ226" i="120" s="1"/>
  <c r="AZ231" i="120" s="1"/>
  <c r="AZ169" i="124"/>
  <c r="AZ226" i="124" s="1"/>
  <c r="AZ231" i="124" s="1"/>
  <c r="T169" i="124"/>
  <c r="T226" i="124" s="1"/>
  <c r="T231" i="124" s="1"/>
  <c r="AZ90" i="124"/>
  <c r="AZ147" i="124" s="1"/>
  <c r="AZ152" i="124" s="1"/>
  <c r="T90" i="124"/>
  <c r="T147" i="124" s="1"/>
  <c r="T152" i="124" s="1"/>
  <c r="AZ11" i="124"/>
  <c r="AZ68" i="124" s="1"/>
  <c r="AZ73" i="124" s="1"/>
  <c r="T11" i="124"/>
  <c r="T68" i="124" s="1"/>
  <c r="T73" i="124" s="1"/>
  <c r="T11" i="120"/>
  <c r="AZ11" i="120"/>
  <c r="T248" i="120"/>
  <c r="T305" i="120" s="1"/>
  <c r="T310" i="120" s="1"/>
  <c r="T169" i="120"/>
  <c r="T226" i="120" s="1"/>
  <c r="T231" i="120" s="1"/>
  <c r="T90" i="120"/>
  <c r="T147" i="120" s="1"/>
  <c r="T152" i="120" s="1"/>
  <c r="AZ90" i="120"/>
  <c r="AZ147" i="120" s="1"/>
  <c r="AZ152" i="120" s="1"/>
  <c r="T68" i="120"/>
  <c r="T73" i="120" s="1"/>
  <c r="AZ68" i="120"/>
  <c r="AZ73" i="120" s="1"/>
  <c r="CM24" i="67"/>
  <c r="CL31" i="67"/>
  <c r="CL29" i="67"/>
  <c r="CM13" i="67"/>
  <c r="CM26" i="67"/>
  <c r="CM10" i="67"/>
  <c r="CM9" i="67"/>
  <c r="CM12" i="67"/>
  <c r="CM11" i="67"/>
  <c r="CL23" i="67"/>
  <c r="CL57" i="67" s="1"/>
  <c r="CM25" i="67"/>
  <c r="V170" i="125"/>
  <c r="BM266" i="125"/>
  <c r="I28" i="30"/>
  <c r="U109" i="125"/>
  <c r="BM249" i="125"/>
  <c r="V249" i="125"/>
  <c r="I29" i="30"/>
  <c r="BM207" i="125"/>
  <c r="BM29" i="125"/>
  <c r="BL109" i="125"/>
  <c r="BM49" i="125"/>
  <c r="BM108" i="125"/>
  <c r="BM12" i="125"/>
  <c r="BL188" i="125"/>
  <c r="V49" i="125"/>
  <c r="U267" i="125"/>
  <c r="V286" i="125"/>
  <c r="V207" i="125"/>
  <c r="CM17" i="67" a="1"/>
  <c r="V29" i="125"/>
  <c r="V128" i="125"/>
  <c r="V187" i="125"/>
  <c r="V12" i="125"/>
  <c r="BM91" i="125"/>
  <c r="BM187" i="125"/>
  <c r="V108" i="125"/>
  <c r="I24" i="30"/>
  <c r="V266" i="125"/>
  <c r="I25" i="30"/>
  <c r="BM170" i="125"/>
  <c r="BM286" i="125"/>
  <c r="CM21" i="67" a="1"/>
  <c r="V91" i="125"/>
  <c r="BM128" i="125"/>
  <c r="BK161" i="125" l="1"/>
  <c r="BK156" i="125"/>
  <c r="BL333" i="125"/>
  <c r="AZ317" i="126"/>
  <c r="AZ316" i="126"/>
  <c r="T316" i="126"/>
  <c r="T317" i="126"/>
  <c r="T80" i="126"/>
  <c r="T79" i="126"/>
  <c r="U334" i="125"/>
  <c r="U339" i="125" s="1"/>
  <c r="AZ79" i="126"/>
  <c r="AZ80" i="126"/>
  <c r="T158" i="126"/>
  <c r="T159" i="126"/>
  <c r="AZ159" i="126"/>
  <c r="AZ158" i="126"/>
  <c r="AZ238" i="126"/>
  <c r="AZ237" i="126"/>
  <c r="U333" i="125"/>
  <c r="T237" i="126"/>
  <c r="T238" i="126"/>
  <c r="U294" i="125"/>
  <c r="U312" i="125" s="1"/>
  <c r="U321" i="125" s="1"/>
  <c r="U215" i="125"/>
  <c r="U233" i="125" s="1"/>
  <c r="U241" i="125" s="1"/>
  <c r="V134" i="125"/>
  <c r="V213" i="125"/>
  <c r="BM134" i="125"/>
  <c r="BP134" i="125" s="1"/>
  <c r="BP128" i="125"/>
  <c r="BM55" i="125"/>
  <c r="BP55" i="125" s="1"/>
  <c r="BP49" i="125"/>
  <c r="BM292" i="125"/>
  <c r="BP292" i="125" s="1"/>
  <c r="BP286" i="125"/>
  <c r="BM213" i="125"/>
  <c r="BP213" i="125" s="1"/>
  <c r="BP207" i="125"/>
  <c r="BO187" i="125"/>
  <c r="V55" i="125"/>
  <c r="BM337" i="125"/>
  <c r="BP337" i="125" s="1"/>
  <c r="BO29" i="125"/>
  <c r="BO108" i="125"/>
  <c r="V337" i="125"/>
  <c r="V292" i="125"/>
  <c r="BO266" i="125"/>
  <c r="BL291" i="125"/>
  <c r="BL294" i="125" s="1"/>
  <c r="BK239" i="125"/>
  <c r="BK240" i="125"/>
  <c r="T156" i="125"/>
  <c r="T157" i="125"/>
  <c r="U284" i="125"/>
  <c r="BL54" i="125"/>
  <c r="BL335" i="125"/>
  <c r="BL212" i="125"/>
  <c r="BL215" i="125" s="1"/>
  <c r="BK241" i="125"/>
  <c r="BK242" i="125"/>
  <c r="T78" i="125"/>
  <c r="T77" i="125"/>
  <c r="U54" i="125"/>
  <c r="U57" i="125" s="1"/>
  <c r="U335" i="125"/>
  <c r="BK344" i="125"/>
  <c r="BK345" i="125"/>
  <c r="BL126" i="125"/>
  <c r="BK320" i="125"/>
  <c r="BK321" i="125"/>
  <c r="BK236" i="125"/>
  <c r="BK235" i="125"/>
  <c r="BK318" i="125"/>
  <c r="BK319" i="125"/>
  <c r="BL136" i="125"/>
  <c r="BK81" i="125"/>
  <c r="BK82" i="125"/>
  <c r="T242" i="125"/>
  <c r="T241" i="125"/>
  <c r="U205" i="125"/>
  <c r="BL205" i="125"/>
  <c r="BK314" i="125"/>
  <c r="BK315" i="125"/>
  <c r="BK83" i="125"/>
  <c r="BK84" i="125"/>
  <c r="T318" i="125"/>
  <c r="T319" i="125"/>
  <c r="T239" i="125"/>
  <c r="T240" i="125"/>
  <c r="U217" i="125"/>
  <c r="U136" i="125"/>
  <c r="BK78" i="125"/>
  <c r="BK77" i="125"/>
  <c r="T321" i="125"/>
  <c r="T320" i="125"/>
  <c r="U47" i="125"/>
  <c r="BL334" i="125"/>
  <c r="BL339" i="125" s="1"/>
  <c r="T344" i="125"/>
  <c r="T345" i="125"/>
  <c r="T81" i="125"/>
  <c r="T82" i="125"/>
  <c r="T160" i="125"/>
  <c r="T161" i="125"/>
  <c r="T235" i="125"/>
  <c r="T236" i="125"/>
  <c r="BL284" i="125"/>
  <c r="T84" i="125"/>
  <c r="T83" i="125"/>
  <c r="T163" i="125"/>
  <c r="T162" i="125"/>
  <c r="T314" i="125"/>
  <c r="T315" i="125"/>
  <c r="BL47" i="125"/>
  <c r="U126" i="125"/>
  <c r="T316" i="125"/>
  <c r="T317" i="125"/>
  <c r="AZ316" i="125"/>
  <c r="AZ317" i="125"/>
  <c r="AZ80" i="125"/>
  <c r="AZ79" i="125"/>
  <c r="T80" i="125"/>
  <c r="T79" i="125"/>
  <c r="T158" i="125"/>
  <c r="T159" i="125"/>
  <c r="AZ159" i="125"/>
  <c r="AZ158" i="125"/>
  <c r="AZ237" i="125"/>
  <c r="AZ238" i="125"/>
  <c r="T238" i="125"/>
  <c r="T237" i="125"/>
  <c r="T159" i="124"/>
  <c r="T158" i="124"/>
  <c r="AZ158" i="124"/>
  <c r="AZ159" i="124"/>
  <c r="T237" i="124"/>
  <c r="T238" i="124"/>
  <c r="AZ158" i="120"/>
  <c r="AZ159" i="120"/>
  <c r="AZ238" i="124"/>
  <c r="AZ237" i="124"/>
  <c r="AZ237" i="120"/>
  <c r="AZ238" i="120"/>
  <c r="T316" i="124"/>
  <c r="T317" i="124"/>
  <c r="T79" i="124"/>
  <c r="T80" i="124"/>
  <c r="AZ317" i="124"/>
  <c r="AZ316" i="124"/>
  <c r="AZ79" i="124"/>
  <c r="AZ80" i="124"/>
  <c r="AZ317" i="120"/>
  <c r="AZ316" i="120"/>
  <c r="T238" i="120"/>
  <c r="T237" i="120"/>
  <c r="T158" i="120"/>
  <c r="T159" i="120"/>
  <c r="T316" i="120"/>
  <c r="T317" i="120"/>
  <c r="AZ79" i="120"/>
  <c r="AZ80" i="120"/>
  <c r="T79" i="120"/>
  <c r="T80" i="120"/>
  <c r="CM21" i="67"/>
  <c r="CM17" i="67"/>
  <c r="CL28" i="67"/>
  <c r="CL62" i="67" s="1"/>
  <c r="S14" i="77"/>
  <c r="S12" i="77"/>
  <c r="S13" i="77"/>
  <c r="S15" i="77"/>
  <c r="CN6" i="67"/>
  <c r="CL27" i="67" a="1"/>
  <c r="V69" i="125" a="1"/>
  <c r="BL267" i="125"/>
  <c r="BM264" i="125"/>
  <c r="CN11" i="67" a="1"/>
  <c r="BL30" i="125"/>
  <c r="U30" i="125"/>
  <c r="V253" i="125"/>
  <c r="V174" i="125"/>
  <c r="CM47" i="67" a="1"/>
  <c r="V148" i="125" a="1"/>
  <c r="CM41" i="67" a="1"/>
  <c r="CM40" i="67" a="1"/>
  <c r="V307" i="125" a="1"/>
  <c r="CM44" i="67" a="1"/>
  <c r="BM263" i="125"/>
  <c r="BM106" i="125"/>
  <c r="BM306" i="125" a="1"/>
  <c r="BM148" i="125" a="1"/>
  <c r="CL19" i="67" a="1"/>
  <c r="BM105" i="125"/>
  <c r="V105" i="125"/>
  <c r="CN12" i="67" a="1"/>
  <c r="BM149" i="125" a="1"/>
  <c r="BM95" i="125"/>
  <c r="CM38" i="67" a="1"/>
  <c r="CM45" i="67" a="1"/>
  <c r="BM184" i="125"/>
  <c r="V185" i="125"/>
  <c r="CM51" i="67" a="1"/>
  <c r="CN10" i="67" a="1"/>
  <c r="BM307" i="125" a="1"/>
  <c r="BM253" i="125"/>
  <c r="V227" i="125" a="1"/>
  <c r="CN26" i="67" a="1"/>
  <c r="V27" i="125"/>
  <c r="CM49" i="67" a="1"/>
  <c r="V95" i="125"/>
  <c r="CN13" i="67" a="1"/>
  <c r="CM37" i="67" a="1"/>
  <c r="V263" i="125"/>
  <c r="V264" i="125"/>
  <c r="BM228" i="125" a="1"/>
  <c r="CM43" i="67" a="1"/>
  <c r="CM39" i="67" a="1"/>
  <c r="BM69" i="125" a="1"/>
  <c r="BM185" i="125"/>
  <c r="CL20" i="67" a="1"/>
  <c r="V306" i="125" a="1"/>
  <c r="V16" i="125"/>
  <c r="BM16" i="125"/>
  <c r="BM174" i="125"/>
  <c r="CM46" i="67" a="1"/>
  <c r="U188" i="125"/>
  <c r="V149" i="125" a="1"/>
  <c r="CL18" i="67" a="1"/>
  <c r="CN25" i="67" a="1"/>
  <c r="CN9" i="67" a="1"/>
  <c r="CM19" i="67" a="1"/>
  <c r="V106" i="125"/>
  <c r="V70" i="125" a="1"/>
  <c r="BM227" i="125" a="1"/>
  <c r="CM29" i="67" a="1"/>
  <c r="CM23" i="67" a="1"/>
  <c r="V184" i="125"/>
  <c r="CN24" i="67" a="1"/>
  <c r="V228" i="125" a="1"/>
  <c r="BM26" i="125"/>
  <c r="CM31" i="67" a="1"/>
  <c r="V26" i="125"/>
  <c r="BM27" i="125"/>
  <c r="BM70" i="125" a="1"/>
  <c r="BO337" i="125" l="1"/>
  <c r="U242" i="125"/>
  <c r="U320" i="125"/>
  <c r="BL341" i="125"/>
  <c r="BL342" i="125" s="1"/>
  <c r="U341" i="125"/>
  <c r="U342" i="125" s="1"/>
  <c r="U230" i="125"/>
  <c r="U235" i="125" s="1"/>
  <c r="U297" i="125"/>
  <c r="U296" i="125"/>
  <c r="U311" i="125"/>
  <c r="U319" i="125" s="1"/>
  <c r="BA248" i="126"/>
  <c r="BA305" i="126" s="1"/>
  <c r="BA310" i="126" s="1"/>
  <c r="U248" i="126"/>
  <c r="U305" i="126" s="1"/>
  <c r="U310" i="126" s="1"/>
  <c r="BA90" i="126"/>
  <c r="BA147" i="126" s="1"/>
  <c r="BA152" i="126" s="1"/>
  <c r="U90" i="126"/>
  <c r="U147" i="126" s="1"/>
  <c r="U152" i="126" s="1"/>
  <c r="BA11" i="126"/>
  <c r="BA68" i="126" s="1"/>
  <c r="BA73" i="126" s="1"/>
  <c r="U11" i="126"/>
  <c r="U68" i="126" s="1"/>
  <c r="U73" i="126" s="1"/>
  <c r="U169" i="126"/>
  <c r="U226" i="126" s="1"/>
  <c r="U231" i="126" s="1"/>
  <c r="BA169" i="126"/>
  <c r="BA226" i="126" s="1"/>
  <c r="BA231" i="126" s="1"/>
  <c r="U309" i="125"/>
  <c r="U314" i="125" s="1"/>
  <c r="U232" i="125"/>
  <c r="U239" i="125" s="1"/>
  <c r="U218" i="125"/>
  <c r="V228" i="125"/>
  <c r="V32" i="125"/>
  <c r="V70" i="125"/>
  <c r="V148" i="125"/>
  <c r="V306" i="125"/>
  <c r="V69" i="125"/>
  <c r="V96" i="125"/>
  <c r="V132" i="125" s="1"/>
  <c r="BM227" i="125"/>
  <c r="BO106" i="125"/>
  <c r="V254" i="125"/>
  <c r="V283" i="125" s="1"/>
  <c r="V291" i="125" s="1"/>
  <c r="BM228" i="125"/>
  <c r="BM148" i="125"/>
  <c r="V307" i="125"/>
  <c r="BM69" i="125"/>
  <c r="BM190" i="125"/>
  <c r="BO184" i="125"/>
  <c r="BM149" i="125"/>
  <c r="V190" i="125"/>
  <c r="V175" i="125"/>
  <c r="V211" i="125" s="1"/>
  <c r="BM254" i="125"/>
  <c r="BM282" i="125" s="1"/>
  <c r="BP282" i="125" s="1"/>
  <c r="BO253" i="125"/>
  <c r="BM17" i="125"/>
  <c r="BM45" i="125" s="1"/>
  <c r="BO16" i="125"/>
  <c r="BO185" i="125"/>
  <c r="BM96" i="125"/>
  <c r="BM125" i="125" s="1"/>
  <c r="BO95" i="125"/>
  <c r="V111" i="125"/>
  <c r="V269" i="125"/>
  <c r="BM269" i="125"/>
  <c r="BO263" i="125"/>
  <c r="BM70" i="125"/>
  <c r="BM175" i="125"/>
  <c r="BO174" i="125"/>
  <c r="BO264" i="125"/>
  <c r="BO27" i="125"/>
  <c r="V17" i="125"/>
  <c r="V53" i="125" s="1"/>
  <c r="V149" i="125"/>
  <c r="V227" i="125"/>
  <c r="BM306" i="125"/>
  <c r="BM32" i="125"/>
  <c r="BO26" i="125"/>
  <c r="BM307" i="125"/>
  <c r="BM111" i="125"/>
  <c r="BO105" i="125"/>
  <c r="BL217" i="125"/>
  <c r="BL230" i="125"/>
  <c r="BL218" i="125"/>
  <c r="BL232" i="125"/>
  <c r="BL233" i="125"/>
  <c r="U59" i="125"/>
  <c r="U60" i="125"/>
  <c r="U72" i="125"/>
  <c r="U74" i="125"/>
  <c r="U75" i="125"/>
  <c r="U151" i="125"/>
  <c r="U139" i="125"/>
  <c r="U138" i="125"/>
  <c r="U153" i="125"/>
  <c r="U154" i="125"/>
  <c r="BL57" i="125"/>
  <c r="BL151" i="125"/>
  <c r="BL138" i="125"/>
  <c r="BL139" i="125"/>
  <c r="BL153" i="125"/>
  <c r="BL154" i="125"/>
  <c r="BL296" i="125"/>
  <c r="BL297" i="125"/>
  <c r="BL309" i="125"/>
  <c r="BL311" i="125"/>
  <c r="BL312" i="125"/>
  <c r="U11" i="125"/>
  <c r="U68" i="125" s="1"/>
  <c r="U73" i="125" s="1"/>
  <c r="BA11" i="125"/>
  <c r="BA68" i="125" s="1"/>
  <c r="BA73" i="125" s="1"/>
  <c r="BA169" i="125"/>
  <c r="BA226" i="125" s="1"/>
  <c r="BA231" i="125" s="1"/>
  <c r="U169" i="125"/>
  <c r="U226" i="125" s="1"/>
  <c r="U231" i="125" s="1"/>
  <c r="U248" i="125"/>
  <c r="U305" i="125" s="1"/>
  <c r="U310" i="125" s="1"/>
  <c r="BA248" i="125"/>
  <c r="BA305" i="125" s="1"/>
  <c r="BA310" i="125" s="1"/>
  <c r="U90" i="125"/>
  <c r="U147" i="125" s="1"/>
  <c r="U152" i="125" s="1"/>
  <c r="BA90" i="125"/>
  <c r="BA147" i="125" s="1"/>
  <c r="BA152" i="125" s="1"/>
  <c r="BA169" i="120"/>
  <c r="BA226" i="120" s="1"/>
  <c r="BA231" i="120" s="1"/>
  <c r="U169" i="124"/>
  <c r="U226" i="124" s="1"/>
  <c r="U231" i="124" s="1"/>
  <c r="BA169" i="124"/>
  <c r="BA226" i="124" s="1"/>
  <c r="BA231" i="124" s="1"/>
  <c r="BA248" i="120"/>
  <c r="BA305" i="120" s="1"/>
  <c r="BA310" i="120" s="1"/>
  <c r="BA248" i="124"/>
  <c r="BA305" i="124" s="1"/>
  <c r="BA310" i="124" s="1"/>
  <c r="U248" i="124"/>
  <c r="U305" i="124" s="1"/>
  <c r="U310" i="124" s="1"/>
  <c r="U90" i="124"/>
  <c r="U147" i="124" s="1"/>
  <c r="U152" i="124" s="1"/>
  <c r="BA90" i="124"/>
  <c r="BA147" i="124" s="1"/>
  <c r="BA152" i="124" s="1"/>
  <c r="BA11" i="124"/>
  <c r="BA68" i="124" s="1"/>
  <c r="BA73" i="124" s="1"/>
  <c r="U11" i="124"/>
  <c r="U68" i="124" s="1"/>
  <c r="U73" i="124" s="1"/>
  <c r="U90" i="120"/>
  <c r="U147" i="120" s="1"/>
  <c r="U152" i="120" s="1"/>
  <c r="BA90" i="120"/>
  <c r="BA147" i="120" s="1"/>
  <c r="BA152" i="120" s="1"/>
  <c r="U11" i="120"/>
  <c r="U68" i="120" s="1"/>
  <c r="U73" i="120" s="1"/>
  <c r="BA11" i="120"/>
  <c r="BA68" i="120" s="1"/>
  <c r="BA73" i="120" s="1"/>
  <c r="U169" i="120"/>
  <c r="U226" i="120" s="1"/>
  <c r="U231" i="120" s="1"/>
  <c r="U248" i="120"/>
  <c r="U305" i="120"/>
  <c r="U310" i="120" s="1"/>
  <c r="CM51" i="67"/>
  <c r="CM49" i="67"/>
  <c r="CM44" i="67"/>
  <c r="CM58" i="67" s="1"/>
  <c r="CN24" i="67"/>
  <c r="CM31" i="67"/>
  <c r="CM29" i="67"/>
  <c r="CN13" i="67"/>
  <c r="CN26" i="67"/>
  <c r="CN11" i="67"/>
  <c r="CN10" i="67"/>
  <c r="CN12" i="67"/>
  <c r="CN9" i="67"/>
  <c r="CM46" i="67"/>
  <c r="CM60" i="67" s="1"/>
  <c r="CM41" i="67"/>
  <c r="CM37" i="67"/>
  <c r="CM43" i="67"/>
  <c r="CM39" i="67"/>
  <c r="CM45" i="67"/>
  <c r="CM59" i="67" s="1"/>
  <c r="CM40" i="67"/>
  <c r="CM38" i="67"/>
  <c r="CM47" i="67"/>
  <c r="CL27" i="67"/>
  <c r="CL61" i="67" s="1"/>
  <c r="CL18" i="67"/>
  <c r="CM19" i="67"/>
  <c r="CM23" i="67"/>
  <c r="CL20" i="67"/>
  <c r="CL19" i="67"/>
  <c r="CN25" i="67"/>
  <c r="T13" i="77"/>
  <c r="T12" i="77"/>
  <c r="T15" i="77"/>
  <c r="T14" i="77"/>
  <c r="W29" i="125"/>
  <c r="V183" i="125"/>
  <c r="W91" i="125"/>
  <c r="CN21" i="67" a="1"/>
  <c r="W249" i="125"/>
  <c r="BM183" i="125"/>
  <c r="BM262" i="125"/>
  <c r="CN17" i="67" a="1"/>
  <c r="V104" i="125"/>
  <c r="W187" i="125"/>
  <c r="CM18" i="67" a="1"/>
  <c r="W128" i="125"/>
  <c r="W108" i="125"/>
  <c r="W49" i="125"/>
  <c r="V25" i="125"/>
  <c r="CM20" i="67" a="1"/>
  <c r="W170" i="125"/>
  <c r="BM25" i="125"/>
  <c r="W12" i="125"/>
  <c r="BM104" i="125"/>
  <c r="W207" i="125"/>
  <c r="CM27" i="67" a="1"/>
  <c r="CN23" i="67" a="1"/>
  <c r="W286" i="125"/>
  <c r="V262" i="125"/>
  <c r="W266" i="125"/>
  <c r="V204" i="125" l="1"/>
  <c r="V212" i="125" s="1"/>
  <c r="U236" i="125"/>
  <c r="U318" i="125"/>
  <c r="U315" i="125"/>
  <c r="BM283" i="125"/>
  <c r="BP283" i="125" s="1"/>
  <c r="BM46" i="125"/>
  <c r="BM54" i="125" s="1"/>
  <c r="BP54" i="125" s="1"/>
  <c r="U240" i="125"/>
  <c r="BA238" i="126"/>
  <c r="BA237" i="126"/>
  <c r="U237" i="126"/>
  <c r="U238" i="126"/>
  <c r="U80" i="126"/>
  <c r="U79" i="126"/>
  <c r="V203" i="125"/>
  <c r="BA79" i="126"/>
  <c r="BA80" i="126"/>
  <c r="V169" i="126"/>
  <c r="V226" i="126" s="1"/>
  <c r="V231" i="126" s="1"/>
  <c r="BB169" i="126"/>
  <c r="BB226" i="126" s="1"/>
  <c r="BB231" i="126" s="1"/>
  <c r="U158" i="126"/>
  <c r="U159" i="126"/>
  <c r="BB248" i="126"/>
  <c r="BB305" i="126" s="1"/>
  <c r="BB310" i="126" s="1"/>
  <c r="V248" i="126"/>
  <c r="V305" i="126" s="1"/>
  <c r="V310" i="126" s="1"/>
  <c r="BA158" i="126"/>
  <c r="BA159" i="126"/>
  <c r="BB11" i="126"/>
  <c r="BB68" i="126" s="1"/>
  <c r="BB73" i="126" s="1"/>
  <c r="V11" i="126"/>
  <c r="V68" i="126" s="1"/>
  <c r="V73" i="126" s="1"/>
  <c r="U316" i="126"/>
  <c r="U317" i="126"/>
  <c r="V90" i="126"/>
  <c r="V147" i="126" s="1"/>
  <c r="V152" i="126" s="1"/>
  <c r="BB90" i="126"/>
  <c r="BB147" i="126" s="1"/>
  <c r="BB152" i="126" s="1"/>
  <c r="BA316" i="126"/>
  <c r="BA317" i="126"/>
  <c r="V45" i="125"/>
  <c r="W292" i="125"/>
  <c r="V44" i="125"/>
  <c r="V34" i="125"/>
  <c r="BM271" i="125"/>
  <c r="BO271" i="125" s="1"/>
  <c r="BM281" i="125"/>
  <c r="BO262" i="125"/>
  <c r="W55" i="125"/>
  <c r="W134" i="125"/>
  <c r="BM192" i="125"/>
  <c r="BO192" i="125" s="1"/>
  <c r="BM202" i="125"/>
  <c r="BO183" i="125"/>
  <c r="V202" i="125"/>
  <c r="V192" i="125"/>
  <c r="BM113" i="125"/>
  <c r="BO113" i="125" s="1"/>
  <c r="BM123" i="125"/>
  <c r="BO104" i="125"/>
  <c r="W213" i="125"/>
  <c r="V123" i="125"/>
  <c r="V113" i="125"/>
  <c r="V281" i="125"/>
  <c r="V271" i="125"/>
  <c r="W337" i="125"/>
  <c r="BM34" i="125"/>
  <c r="BO34" i="125" s="1"/>
  <c r="BM44" i="125"/>
  <c r="BO25" i="125"/>
  <c r="BL315" i="125"/>
  <c r="BL314" i="125"/>
  <c r="U83" i="125"/>
  <c r="U84" i="125"/>
  <c r="V46" i="125"/>
  <c r="V289" i="125"/>
  <c r="V287" i="125"/>
  <c r="BM124" i="125"/>
  <c r="BP124" i="125" s="1"/>
  <c r="BM132" i="125"/>
  <c r="BP132" i="125" s="1"/>
  <c r="BO96" i="125"/>
  <c r="U162" i="125"/>
  <c r="U163" i="125"/>
  <c r="U82" i="125"/>
  <c r="U81" i="125"/>
  <c r="BL242" i="125"/>
  <c r="BL241" i="125"/>
  <c r="V282" i="125"/>
  <c r="BM133" i="125"/>
  <c r="BP133" i="125" s="1"/>
  <c r="BP125" i="125"/>
  <c r="BL162" i="125"/>
  <c r="BL163" i="125"/>
  <c r="U160" i="125"/>
  <c r="U161" i="125"/>
  <c r="U78" i="125"/>
  <c r="U77" i="125"/>
  <c r="BL239" i="125"/>
  <c r="BL240" i="125"/>
  <c r="BP45" i="125"/>
  <c r="BO175" i="125"/>
  <c r="BM211" i="125"/>
  <c r="BP211" i="125" s="1"/>
  <c r="BM204" i="125"/>
  <c r="V208" i="125"/>
  <c r="V210" i="125"/>
  <c r="BL161" i="125"/>
  <c r="BL160" i="125"/>
  <c r="BM50" i="125"/>
  <c r="BM52" i="125"/>
  <c r="BO32" i="125"/>
  <c r="V129" i="125"/>
  <c r="V131" i="125"/>
  <c r="BL344" i="125"/>
  <c r="BL345" i="125"/>
  <c r="V124" i="125"/>
  <c r="BO17" i="125"/>
  <c r="BM53" i="125"/>
  <c r="BP53" i="125" s="1"/>
  <c r="V50" i="125"/>
  <c r="V52" i="125"/>
  <c r="BL321" i="125"/>
  <c r="BL320" i="125"/>
  <c r="U344" i="125"/>
  <c r="U345" i="125"/>
  <c r="U156" i="125"/>
  <c r="U157" i="125"/>
  <c r="BL235" i="125"/>
  <c r="BL236" i="125"/>
  <c r="BO269" i="125"/>
  <c r="BM287" i="125"/>
  <c r="BM289" i="125"/>
  <c r="V290" i="125"/>
  <c r="BL59" i="125"/>
  <c r="BL60" i="125"/>
  <c r="BL72" i="125"/>
  <c r="BL74" i="125"/>
  <c r="BL75" i="125"/>
  <c r="BM131" i="125"/>
  <c r="BM129" i="125"/>
  <c r="BO111" i="125"/>
  <c r="BO254" i="125"/>
  <c r="BM290" i="125"/>
  <c r="BP290" i="125" s="1"/>
  <c r="BM203" i="125"/>
  <c r="BP203" i="125" s="1"/>
  <c r="BL319" i="125"/>
  <c r="BL318" i="125"/>
  <c r="BL156" i="125"/>
  <c r="BL157" i="125"/>
  <c r="BM208" i="125"/>
  <c r="BM210" i="125"/>
  <c r="BO190" i="125"/>
  <c r="V125" i="125"/>
  <c r="BB90" i="125"/>
  <c r="BB147" i="125" s="1"/>
  <c r="BB152" i="125" s="1"/>
  <c r="V90" i="125"/>
  <c r="V147" i="125" s="1"/>
  <c r="BA158" i="125"/>
  <c r="BA159" i="125"/>
  <c r="U158" i="125"/>
  <c r="U159" i="125"/>
  <c r="BA316" i="125"/>
  <c r="BA317" i="125"/>
  <c r="U317" i="125"/>
  <c r="U316" i="125"/>
  <c r="U237" i="125"/>
  <c r="U238" i="125"/>
  <c r="BA238" i="125"/>
  <c r="BA237" i="125"/>
  <c r="BB169" i="125"/>
  <c r="BB226" i="125" s="1"/>
  <c r="BB231" i="125" s="1"/>
  <c r="V169" i="125"/>
  <c r="V226" i="125" s="1"/>
  <c r="BB248" i="125"/>
  <c r="BB305" i="125" s="1"/>
  <c r="BB310" i="125" s="1"/>
  <c r="V248" i="125"/>
  <c r="V305" i="125" s="1"/>
  <c r="BA79" i="125"/>
  <c r="BA80" i="125"/>
  <c r="BB11" i="125"/>
  <c r="BB68" i="125" s="1"/>
  <c r="BB73" i="125" s="1"/>
  <c r="V11" i="125"/>
  <c r="V68" i="125" s="1"/>
  <c r="U80" i="125"/>
  <c r="U79" i="125"/>
  <c r="U158" i="124"/>
  <c r="U159" i="124"/>
  <c r="U316" i="124"/>
  <c r="U317" i="124"/>
  <c r="BA317" i="124"/>
  <c r="BA316" i="124"/>
  <c r="BB169" i="120"/>
  <c r="BB226" i="120" s="1"/>
  <c r="BB231" i="120" s="1"/>
  <c r="BB169" i="124"/>
  <c r="BB226" i="124" s="1"/>
  <c r="BB231" i="124" s="1"/>
  <c r="V169" i="124"/>
  <c r="V226" i="124" s="1"/>
  <c r="V231" i="124" s="1"/>
  <c r="BB248" i="120"/>
  <c r="BB305" i="120" s="1"/>
  <c r="BB310" i="120" s="1"/>
  <c r="V248" i="124"/>
  <c r="V305" i="124" s="1"/>
  <c r="V310" i="124" s="1"/>
  <c r="BB248" i="124"/>
  <c r="BB305" i="124" s="1"/>
  <c r="BB310" i="124" s="1"/>
  <c r="BA158" i="120"/>
  <c r="BA159" i="120"/>
  <c r="BA316" i="120"/>
  <c r="BA317" i="120"/>
  <c r="BB11" i="124"/>
  <c r="BB68" i="124" s="1"/>
  <c r="BB73" i="124" s="1"/>
  <c r="V11" i="124"/>
  <c r="V68" i="124" s="1"/>
  <c r="V73" i="124" s="1"/>
  <c r="U79" i="124"/>
  <c r="U80" i="124"/>
  <c r="BA238" i="124"/>
  <c r="BA237" i="124"/>
  <c r="BB90" i="124"/>
  <c r="BB147" i="124" s="1"/>
  <c r="BB152" i="124" s="1"/>
  <c r="V90" i="124"/>
  <c r="V147" i="124" s="1"/>
  <c r="V152" i="124" s="1"/>
  <c r="BA79" i="124"/>
  <c r="BA80" i="124"/>
  <c r="U237" i="124"/>
  <c r="U238" i="124"/>
  <c r="BA158" i="124"/>
  <c r="BA159" i="124"/>
  <c r="BA237" i="120"/>
  <c r="BA238" i="120"/>
  <c r="V169" i="120"/>
  <c r="V226" i="120" s="1"/>
  <c r="V231" i="120" s="1"/>
  <c r="V248" i="120"/>
  <c r="V305" i="120" s="1"/>
  <c r="V310" i="120" s="1"/>
  <c r="V11" i="120"/>
  <c r="V68" i="120" s="1"/>
  <c r="V73" i="120" s="1"/>
  <c r="BB11" i="120"/>
  <c r="BB68" i="120" s="1"/>
  <c r="BB73" i="120" s="1"/>
  <c r="V90" i="120"/>
  <c r="V147" i="120" s="1"/>
  <c r="V152" i="120" s="1"/>
  <c r="BB90" i="120"/>
  <c r="BB147" i="120" s="1"/>
  <c r="BB152" i="120" s="1"/>
  <c r="U159" i="120"/>
  <c r="U158" i="120"/>
  <c r="BA79" i="120"/>
  <c r="BA80" i="120"/>
  <c r="U80" i="120"/>
  <c r="U79" i="120"/>
  <c r="U317" i="120"/>
  <c r="U316" i="120"/>
  <c r="U238" i="120"/>
  <c r="U237" i="120"/>
  <c r="CM57" i="67"/>
  <c r="CN21" i="67"/>
  <c r="CN17" i="67"/>
  <c r="CL65" i="67"/>
  <c r="CM48" i="67"/>
  <c r="CN23" i="67"/>
  <c r="CM27" i="67"/>
  <c r="CM61" i="67" s="1"/>
  <c r="CM18" i="67"/>
  <c r="CM20" i="67"/>
  <c r="CM28" i="67"/>
  <c r="CL63" i="67"/>
  <c r="U15" i="77"/>
  <c r="U14" i="77"/>
  <c r="U12" i="77"/>
  <c r="U13" i="77"/>
  <c r="CO6" i="67"/>
  <c r="CN19" i="67" a="1"/>
  <c r="CN49" i="67" a="1"/>
  <c r="W264" i="125"/>
  <c r="W16" i="125"/>
  <c r="CN27" i="67" a="1"/>
  <c r="W184" i="125"/>
  <c r="CN31" i="67" a="1"/>
  <c r="W95" i="125"/>
  <c r="W227" i="125" a="1"/>
  <c r="V109" i="125"/>
  <c r="W228" i="125" a="1"/>
  <c r="CN47" i="67" a="1"/>
  <c r="CO24" i="67" a="1"/>
  <c r="W105" i="125"/>
  <c r="W185" i="125"/>
  <c r="W69" i="125" a="1"/>
  <c r="CN18" i="67" a="1"/>
  <c r="CN39" i="67" a="1"/>
  <c r="W306" i="125" a="1"/>
  <c r="CN40" i="67" a="1"/>
  <c r="CO11" i="67" a="1"/>
  <c r="W26" i="125"/>
  <c r="CO9" i="67" a="1"/>
  <c r="W174" i="125"/>
  <c r="CN29" i="67" a="1"/>
  <c r="W253" i="125"/>
  <c r="CO13" i="67" a="1"/>
  <c r="CN20" i="67" a="1"/>
  <c r="CN41" i="67" a="1"/>
  <c r="W106" i="125"/>
  <c r="CN43" i="67" a="1"/>
  <c r="W263" i="125"/>
  <c r="CO12" i="67" a="1"/>
  <c r="W307" i="125" a="1"/>
  <c r="CN38" i="67" a="1"/>
  <c r="CO10" i="67" a="1"/>
  <c r="V30" i="125"/>
  <c r="W148" i="125" a="1"/>
  <c r="W70" i="125" a="1"/>
  <c r="W149" i="125" a="1"/>
  <c r="CN45" i="67" a="1"/>
  <c r="CN46" i="67" a="1"/>
  <c r="CN51" i="67" a="1"/>
  <c r="V267" i="125"/>
  <c r="CN37" i="67" a="1"/>
  <c r="CN44" i="67" a="1"/>
  <c r="W27" i="125"/>
  <c r="V215" i="125" l="1"/>
  <c r="V232" i="125" s="1"/>
  <c r="V239" i="125" s="1"/>
  <c r="BM291" i="125"/>
  <c r="BP291" i="125" s="1"/>
  <c r="BP46" i="125"/>
  <c r="BB158" i="126"/>
  <c r="BB159" i="126"/>
  <c r="V317" i="126"/>
  <c r="V316" i="126"/>
  <c r="BC169" i="126"/>
  <c r="BC226" i="126" s="1"/>
  <c r="BC231" i="126" s="1"/>
  <c r="W169" i="126"/>
  <c r="W226" i="126" s="1"/>
  <c r="W231" i="126" s="1"/>
  <c r="V159" i="126"/>
  <c r="V158" i="126"/>
  <c r="BB316" i="126"/>
  <c r="BB317" i="126"/>
  <c r="W90" i="126"/>
  <c r="W147" i="126" s="1"/>
  <c r="W152" i="126" s="1"/>
  <c r="BC90" i="126"/>
  <c r="BC147" i="126" s="1"/>
  <c r="BC152" i="126" s="1"/>
  <c r="BC248" i="126"/>
  <c r="BC305" i="126" s="1"/>
  <c r="BC310" i="126" s="1"/>
  <c r="W248" i="126"/>
  <c r="W305" i="126" s="1"/>
  <c r="W310" i="126" s="1"/>
  <c r="V333" i="125"/>
  <c r="V80" i="126"/>
  <c r="V79" i="126"/>
  <c r="BB237" i="126"/>
  <c r="BB238" i="126"/>
  <c r="BB79" i="126"/>
  <c r="BB80" i="126"/>
  <c r="V237" i="126"/>
  <c r="V238" i="126"/>
  <c r="BC11" i="126"/>
  <c r="BC68" i="126" s="1"/>
  <c r="BC73" i="126" s="1"/>
  <c r="W11" i="126"/>
  <c r="W68" i="126" s="1"/>
  <c r="W73" i="126" s="1"/>
  <c r="V294" i="125"/>
  <c r="V312" i="125" s="1"/>
  <c r="V320" i="125" s="1"/>
  <c r="W306" i="125"/>
  <c r="W32" i="125"/>
  <c r="W307" i="125"/>
  <c r="W149" i="125"/>
  <c r="W254" i="125"/>
  <c r="W282" i="125" s="1"/>
  <c r="W269" i="125"/>
  <c r="W228" i="125"/>
  <c r="W111" i="125"/>
  <c r="W148" i="125"/>
  <c r="W96" i="125"/>
  <c r="W132" i="125" s="1"/>
  <c r="W190" i="125"/>
  <c r="W227" i="125"/>
  <c r="W69" i="125"/>
  <c r="W17" i="125"/>
  <c r="W53" i="125" s="1"/>
  <c r="W70" i="125"/>
  <c r="W175" i="125"/>
  <c r="W211" i="125" s="1"/>
  <c r="BM334" i="125"/>
  <c r="BP334" i="125" s="1"/>
  <c r="V284" i="125"/>
  <c r="V133" i="125"/>
  <c r="V136" i="125" s="1"/>
  <c r="V152" i="125" s="1"/>
  <c r="V159" i="125" s="1"/>
  <c r="BP129" i="125"/>
  <c r="BM57" i="125"/>
  <c r="BP52" i="125"/>
  <c r="BM284" i="125"/>
  <c r="BP284" i="125" s="1"/>
  <c r="BP281" i="125"/>
  <c r="BM136" i="125"/>
  <c r="BP131" i="125"/>
  <c r="BP50" i="125"/>
  <c r="V54" i="125"/>
  <c r="V57" i="125" s="1"/>
  <c r="V73" i="125" s="1"/>
  <c r="V335" i="125"/>
  <c r="V205" i="125"/>
  <c r="BP210" i="125"/>
  <c r="BM333" i="125"/>
  <c r="BP333" i="125" s="1"/>
  <c r="BM47" i="125"/>
  <c r="BP47" i="125" s="1"/>
  <c r="BP44" i="125"/>
  <c r="V126" i="125"/>
  <c r="BP208" i="125"/>
  <c r="BL83" i="125"/>
  <c r="BL84" i="125"/>
  <c r="BP289" i="125"/>
  <c r="V334" i="125"/>
  <c r="V339" i="125" s="1"/>
  <c r="BM212" i="125"/>
  <c r="BP212" i="125" s="1"/>
  <c r="BP204" i="125"/>
  <c r="BM335" i="125"/>
  <c r="BP335" i="125" s="1"/>
  <c r="BM205" i="125"/>
  <c r="BP205" i="125" s="1"/>
  <c r="BP202" i="125"/>
  <c r="BL81" i="125"/>
  <c r="BL82" i="125"/>
  <c r="BP287" i="125"/>
  <c r="BL78" i="125"/>
  <c r="BL77" i="125"/>
  <c r="BM126" i="125"/>
  <c r="BP126" i="125" s="1"/>
  <c r="BP123" i="125"/>
  <c r="V47" i="125"/>
  <c r="BC169" i="125"/>
  <c r="BC226" i="125" s="1"/>
  <c r="BC231" i="125" s="1"/>
  <c r="W169" i="125"/>
  <c r="W226" i="125" s="1"/>
  <c r="W248" i="125"/>
  <c r="W305" i="125" s="1"/>
  <c r="BC248" i="125"/>
  <c r="BC305" i="125" s="1"/>
  <c r="BC310" i="125" s="1"/>
  <c r="BB237" i="125"/>
  <c r="BB238" i="125"/>
  <c r="BB80" i="125"/>
  <c r="BB79" i="125"/>
  <c r="BC11" i="125"/>
  <c r="BC68" i="125" s="1"/>
  <c r="BC73" i="125" s="1"/>
  <c r="W11" i="125"/>
  <c r="W68" i="125" s="1"/>
  <c r="W90" i="125"/>
  <c r="W147" i="125" s="1"/>
  <c r="BC90" i="125"/>
  <c r="BC147" i="125" s="1"/>
  <c r="BC152" i="125" s="1"/>
  <c r="BB316" i="125"/>
  <c r="BB317" i="125"/>
  <c r="BB158" i="125"/>
  <c r="BB159" i="125"/>
  <c r="V159" i="124"/>
  <c r="V158" i="124"/>
  <c r="BB237" i="124"/>
  <c r="BB238" i="124"/>
  <c r="BB158" i="124"/>
  <c r="BB159" i="124"/>
  <c r="BB237" i="120"/>
  <c r="BB238" i="120"/>
  <c r="BC90" i="124"/>
  <c r="BC147" i="124" s="1"/>
  <c r="BC152" i="124" s="1"/>
  <c r="W90" i="124"/>
  <c r="W147" i="124" s="1"/>
  <c r="W152" i="124" s="1"/>
  <c r="W11" i="124"/>
  <c r="W68" i="124" s="1"/>
  <c r="W73" i="124" s="1"/>
  <c r="BC11" i="124"/>
  <c r="BC68" i="124" s="1"/>
  <c r="BC73" i="124" s="1"/>
  <c r="BC169" i="120"/>
  <c r="BC226" i="120" s="1"/>
  <c r="BC231" i="120" s="1"/>
  <c r="BC169" i="124"/>
  <c r="BC226" i="124" s="1"/>
  <c r="BC231" i="124" s="1"/>
  <c r="W169" i="124"/>
  <c r="W226" i="124" s="1"/>
  <c r="W231" i="124" s="1"/>
  <c r="BB317" i="124"/>
  <c r="BB316" i="124"/>
  <c r="V317" i="124"/>
  <c r="V316" i="124"/>
  <c r="BB158" i="120"/>
  <c r="BB159" i="120"/>
  <c r="V80" i="124"/>
  <c r="V79" i="124"/>
  <c r="BB316" i="120"/>
  <c r="BB317" i="120"/>
  <c r="BC248" i="120"/>
  <c r="BC305" i="120" s="1"/>
  <c r="BC310" i="120" s="1"/>
  <c r="BC248" i="124"/>
  <c r="BC305" i="124" s="1"/>
  <c r="BC310" i="124" s="1"/>
  <c r="W248" i="124"/>
  <c r="W305" i="124" s="1"/>
  <c r="W310" i="124" s="1"/>
  <c r="BB79" i="124"/>
  <c r="BB80" i="124"/>
  <c r="V237" i="124"/>
  <c r="V238" i="124"/>
  <c r="W248" i="120"/>
  <c r="W305" i="120" s="1"/>
  <c r="W310" i="120" s="1"/>
  <c r="W11" i="120"/>
  <c r="BC11" i="120"/>
  <c r="BC68" i="120" s="1"/>
  <c r="BC73" i="120" s="1"/>
  <c r="W90" i="120"/>
  <c r="W147" i="120" s="1"/>
  <c r="W152" i="120" s="1"/>
  <c r="BC90" i="120"/>
  <c r="BC147" i="120" s="1"/>
  <c r="BC152" i="120" s="1"/>
  <c r="W169" i="120"/>
  <c r="W226" i="120" s="1"/>
  <c r="W231" i="120" s="1"/>
  <c r="W68" i="120"/>
  <c r="W73" i="120" s="1"/>
  <c r="BB79" i="120"/>
  <c r="BB80" i="120"/>
  <c r="V80" i="120"/>
  <c r="V79" i="120"/>
  <c r="V237" i="120"/>
  <c r="V238" i="120"/>
  <c r="V316" i="120"/>
  <c r="V317" i="120"/>
  <c r="V158" i="120"/>
  <c r="V159" i="120"/>
  <c r="CN49" i="67"/>
  <c r="CN51" i="67"/>
  <c r="CN44" i="67"/>
  <c r="CN58" i="67" s="1"/>
  <c r="CO24" i="67"/>
  <c r="CM65" i="67"/>
  <c r="CN31" i="67"/>
  <c r="CN29" i="67"/>
  <c r="CM62" i="67"/>
  <c r="CO13" i="67"/>
  <c r="CO9" i="67"/>
  <c r="CO10" i="67"/>
  <c r="CO12" i="67"/>
  <c r="CO11" i="67"/>
  <c r="CN46" i="67"/>
  <c r="CN60" i="67" s="1"/>
  <c r="CN41" i="67"/>
  <c r="CN43" i="67"/>
  <c r="CN57" i="67" s="1"/>
  <c r="CN37" i="67"/>
  <c r="CN45" i="67"/>
  <c r="CN39" i="67"/>
  <c r="CN40" i="67"/>
  <c r="CN47" i="67"/>
  <c r="CN38" i="67"/>
  <c r="CN19" i="67"/>
  <c r="CN27" i="67"/>
  <c r="CN18" i="67"/>
  <c r="CN20" i="67"/>
  <c r="CN28" i="67"/>
  <c r="CM63" i="67"/>
  <c r="X170" i="125"/>
  <c r="W104" i="125"/>
  <c r="X286" i="125"/>
  <c r="W25" i="125"/>
  <c r="X91" i="125"/>
  <c r="BM188" i="125"/>
  <c r="X187" i="125"/>
  <c r="K34" i="30"/>
  <c r="CO26" i="67" a="1"/>
  <c r="BM109" i="125"/>
  <c r="W262" i="125"/>
  <c r="X128" i="125"/>
  <c r="X266" i="125"/>
  <c r="BM267" i="125"/>
  <c r="X12" i="125"/>
  <c r="X49" i="125"/>
  <c r="X29" i="125"/>
  <c r="K33" i="30"/>
  <c r="BM30" i="125"/>
  <c r="W183" i="125"/>
  <c r="X207" i="125"/>
  <c r="X249" i="125"/>
  <c r="X108" i="125"/>
  <c r="V188" i="125"/>
  <c r="CO23" i="67" a="1"/>
  <c r="BO335" i="125" l="1"/>
  <c r="V230" i="125"/>
  <c r="V236" i="125" s="1"/>
  <c r="V240" i="125"/>
  <c r="V233" i="125"/>
  <c r="V242" i="125" s="1"/>
  <c r="V231" i="125"/>
  <c r="V237" i="125" s="1"/>
  <c r="V217" i="125"/>
  <c r="V218" i="125"/>
  <c r="BM294" i="125"/>
  <c r="BM297" i="125" s="1"/>
  <c r="W124" i="125"/>
  <c r="V297" i="125"/>
  <c r="V296" i="125"/>
  <c r="V79" i="125"/>
  <c r="V80" i="125"/>
  <c r="BC79" i="126"/>
  <c r="BC80" i="126"/>
  <c r="W317" i="126"/>
  <c r="W316" i="126"/>
  <c r="W238" i="126"/>
  <c r="W237" i="126"/>
  <c r="BC316" i="126"/>
  <c r="BC317" i="126"/>
  <c r="BC237" i="126"/>
  <c r="BC238" i="126"/>
  <c r="BC158" i="126"/>
  <c r="BC159" i="126"/>
  <c r="W159" i="126"/>
  <c r="W158" i="126"/>
  <c r="V341" i="125"/>
  <c r="V342" i="125" s="1"/>
  <c r="W204" i="125"/>
  <c r="W212" i="125" s="1"/>
  <c r="W80" i="126"/>
  <c r="W79" i="126"/>
  <c r="V321" i="125"/>
  <c r="W203" i="125"/>
  <c r="V311" i="125"/>
  <c r="V318" i="125" s="1"/>
  <c r="V309" i="125"/>
  <c r="V315" i="125" s="1"/>
  <c r="V310" i="125"/>
  <c r="W44" i="125"/>
  <c r="W34" i="125"/>
  <c r="BO188" i="125"/>
  <c r="BO30" i="125"/>
  <c r="W202" i="125"/>
  <c r="W192" i="125"/>
  <c r="W281" i="125"/>
  <c r="W271" i="125"/>
  <c r="BO109" i="125"/>
  <c r="X134" i="125"/>
  <c r="X337" i="125"/>
  <c r="X292" i="125"/>
  <c r="X55" i="125"/>
  <c r="X213" i="125"/>
  <c r="W123" i="125"/>
  <c r="W113" i="125"/>
  <c r="BO267" i="125"/>
  <c r="V139" i="125"/>
  <c r="V138" i="125"/>
  <c r="V151" i="125"/>
  <c r="V154" i="125"/>
  <c r="V153" i="125"/>
  <c r="BO334" i="125"/>
  <c r="BM339" i="125"/>
  <c r="BP339" i="125" s="1"/>
  <c r="W208" i="125"/>
  <c r="W210" i="125"/>
  <c r="W290" i="125"/>
  <c r="BM139" i="125"/>
  <c r="BM138" i="125"/>
  <c r="BP138" i="125" s="1"/>
  <c r="BM151" i="125"/>
  <c r="BP136" i="125"/>
  <c r="BP139" i="125" s="1"/>
  <c r="BM154" i="125"/>
  <c r="BM153" i="125"/>
  <c r="V158" i="125"/>
  <c r="BM341" i="125"/>
  <c r="BP341" i="125" s="1"/>
  <c r="BO333" i="125"/>
  <c r="BM215" i="125"/>
  <c r="V235" i="125"/>
  <c r="W131" i="125"/>
  <c r="W129" i="125"/>
  <c r="W50" i="125"/>
  <c r="W52" i="125"/>
  <c r="BM72" i="125"/>
  <c r="BM59" i="125"/>
  <c r="BP59" i="125" s="1"/>
  <c r="BM60" i="125"/>
  <c r="BP57" i="125"/>
  <c r="BP60" i="125" s="1"/>
  <c r="BM75" i="125"/>
  <c r="BM74" i="125"/>
  <c r="W283" i="125"/>
  <c r="W291" i="125" s="1"/>
  <c r="W46" i="125"/>
  <c r="W45" i="125"/>
  <c r="V60" i="125"/>
  <c r="V72" i="125"/>
  <c r="V59" i="125"/>
  <c r="V75" i="125"/>
  <c r="V74" i="125"/>
  <c r="W125" i="125"/>
  <c r="W133" i="125" s="1"/>
  <c r="W287" i="125"/>
  <c r="W289" i="125"/>
  <c r="BC158" i="125"/>
  <c r="BC159" i="125"/>
  <c r="BC316" i="125"/>
  <c r="BC317" i="125"/>
  <c r="BC80" i="125"/>
  <c r="BC79" i="125"/>
  <c r="BC238" i="125"/>
  <c r="BC237" i="125"/>
  <c r="BC159" i="120"/>
  <c r="BC158" i="120"/>
  <c r="W238" i="124"/>
  <c r="W237" i="124"/>
  <c r="BC238" i="124"/>
  <c r="BC237" i="124"/>
  <c r="BC237" i="120"/>
  <c r="BC238" i="120"/>
  <c r="W316" i="124"/>
  <c r="W317" i="124"/>
  <c r="BC79" i="124"/>
  <c r="BC80" i="124"/>
  <c r="BC316" i="124"/>
  <c r="BC317" i="124"/>
  <c r="W80" i="124"/>
  <c r="W79" i="124"/>
  <c r="BC317" i="120"/>
  <c r="BC316" i="120"/>
  <c r="W159" i="124"/>
  <c r="W158" i="124"/>
  <c r="BC159" i="124"/>
  <c r="BC158" i="124"/>
  <c r="W80" i="120"/>
  <c r="W79" i="120"/>
  <c r="BC79" i="120"/>
  <c r="BC80" i="120"/>
  <c r="W237" i="120"/>
  <c r="W238" i="120"/>
  <c r="W317" i="120"/>
  <c r="W316" i="120"/>
  <c r="W158" i="120"/>
  <c r="W159" i="120"/>
  <c r="CO26" i="67"/>
  <c r="CN65" i="67"/>
  <c r="CN61" i="67"/>
  <c r="CN48" i="67"/>
  <c r="CN62" i="67" s="1"/>
  <c r="CN59" i="67"/>
  <c r="CO23" i="67"/>
  <c r="V12" i="77"/>
  <c r="V14" i="77"/>
  <c r="V15" i="77"/>
  <c r="V13" i="77"/>
  <c r="X27" i="125"/>
  <c r="X149" i="125" a="1"/>
  <c r="CO47" i="67" a="1"/>
  <c r="CO19" i="67" a="1"/>
  <c r="X69" i="125" a="1"/>
  <c r="X148" i="125" a="1"/>
  <c r="CO41" i="67" a="1"/>
  <c r="CO49" i="67" a="1"/>
  <c r="CO45" i="67" a="1"/>
  <c r="X263" i="125"/>
  <c r="CO51" i="67" a="1"/>
  <c r="X26" i="125"/>
  <c r="CO38" i="67" a="1"/>
  <c r="CO25" i="67" a="1"/>
  <c r="X264" i="125"/>
  <c r="X185" i="125"/>
  <c r="W188" i="125"/>
  <c r="X106" i="125"/>
  <c r="X307" i="125" a="1"/>
  <c r="X253" i="125"/>
  <c r="CO29" i="67" a="1"/>
  <c r="X228" i="125" a="1"/>
  <c r="CO40" i="67" a="1"/>
  <c r="CO39" i="67" a="1"/>
  <c r="CO17" i="67" a="1"/>
  <c r="DB53" i="67" a="1"/>
  <c r="CO21" i="67" a="1"/>
  <c r="W109" i="125"/>
  <c r="CO37" i="67" a="1"/>
  <c r="X174" i="125"/>
  <c r="X95" i="125"/>
  <c r="X306" i="125" a="1"/>
  <c r="W30" i="125"/>
  <c r="X184" i="125"/>
  <c r="W267" i="125"/>
  <c r="CO31" i="67" a="1"/>
  <c r="X16" i="125"/>
  <c r="X70" i="125" a="1"/>
  <c r="CO46" i="67" a="1"/>
  <c r="X105" i="125"/>
  <c r="X227" i="125" a="1"/>
  <c r="CO44" i="67" a="1"/>
  <c r="CO43" i="67" a="1"/>
  <c r="BO341" i="125" l="1"/>
  <c r="V241" i="125"/>
  <c r="V238" i="125"/>
  <c r="BM296" i="125"/>
  <c r="BP296" i="125" s="1"/>
  <c r="BM312" i="125"/>
  <c r="BM321" i="125" s="1"/>
  <c r="BP294" i="125"/>
  <c r="BP297" i="125" s="1"/>
  <c r="BM309" i="125"/>
  <c r="BP309" i="125" s="1"/>
  <c r="BP315" i="125" s="1"/>
  <c r="BM311" i="125"/>
  <c r="BM318" i="125" s="1"/>
  <c r="V319" i="125"/>
  <c r="W333" i="125"/>
  <c r="V314" i="125"/>
  <c r="W205" i="125"/>
  <c r="BD90" i="126"/>
  <c r="BD147" i="126" s="1"/>
  <c r="BD152" i="126" s="1"/>
  <c r="X90" i="126"/>
  <c r="X147" i="126" s="1"/>
  <c r="X152" i="126" s="1"/>
  <c r="BD11" i="126"/>
  <c r="BD68" i="126" s="1"/>
  <c r="BD73" i="126" s="1"/>
  <c r="X11" i="126"/>
  <c r="X68" i="126" s="1"/>
  <c r="X73" i="126" s="1"/>
  <c r="BD248" i="126"/>
  <c r="BD305" i="126" s="1"/>
  <c r="BD310" i="126" s="1"/>
  <c r="X248" i="126"/>
  <c r="X305" i="126" s="1"/>
  <c r="X310" i="126" s="1"/>
  <c r="X169" i="126"/>
  <c r="X226" i="126" s="1"/>
  <c r="X231" i="126" s="1"/>
  <c r="BD169" i="126"/>
  <c r="BD226" i="126" s="1"/>
  <c r="BD231" i="126" s="1"/>
  <c r="W334" i="125"/>
  <c r="W339" i="125" s="1"/>
  <c r="W215" i="125"/>
  <c r="W217" i="125" s="1"/>
  <c r="V317" i="125"/>
  <c r="V316" i="125"/>
  <c r="W294" i="125"/>
  <c r="W312" i="125" s="1"/>
  <c r="W320" i="125" s="1"/>
  <c r="X148" i="125"/>
  <c r="X228" i="125"/>
  <c r="X32" i="125"/>
  <c r="X17" i="125"/>
  <c r="X53" i="125" s="1"/>
  <c r="X70" i="125"/>
  <c r="X307" i="125"/>
  <c r="X227" i="125"/>
  <c r="X111" i="125"/>
  <c r="X175" i="125"/>
  <c r="X211" i="125" s="1"/>
  <c r="X69" i="125"/>
  <c r="X190" i="125"/>
  <c r="X269" i="125"/>
  <c r="X149" i="125"/>
  <c r="X254" i="125"/>
  <c r="X290" i="125" s="1"/>
  <c r="X96" i="125"/>
  <c r="X132" i="125" s="1"/>
  <c r="X306" i="125"/>
  <c r="V161" i="125"/>
  <c r="V160" i="125"/>
  <c r="W126" i="125"/>
  <c r="W284" i="125"/>
  <c r="V162" i="125"/>
  <c r="V163" i="125"/>
  <c r="W54" i="125"/>
  <c r="W57" i="125" s="1"/>
  <c r="W335" i="125"/>
  <c r="BM78" i="125"/>
  <c r="BM77" i="125"/>
  <c r="BP72" i="125"/>
  <c r="BP78" i="125" s="1"/>
  <c r="BM161" i="125"/>
  <c r="BM160" i="125"/>
  <c r="BP153" i="125"/>
  <c r="BP161" i="125" s="1"/>
  <c r="V344" i="125"/>
  <c r="V345" i="125"/>
  <c r="V157" i="125"/>
  <c r="V156" i="125"/>
  <c r="V82" i="125"/>
  <c r="V81" i="125"/>
  <c r="BM162" i="125"/>
  <c r="BM163" i="125"/>
  <c r="BP154" i="125"/>
  <c r="BP163" i="125" s="1"/>
  <c r="V83" i="125"/>
  <c r="V84" i="125"/>
  <c r="BM218" i="125"/>
  <c r="BM217" i="125"/>
  <c r="BP217" i="125" s="1"/>
  <c r="BM230" i="125"/>
  <c r="BP215" i="125"/>
  <c r="BP218" i="125" s="1"/>
  <c r="BM232" i="125"/>
  <c r="BM233" i="125"/>
  <c r="BM82" i="125"/>
  <c r="BM81" i="125"/>
  <c r="BP74" i="125"/>
  <c r="BP82" i="125" s="1"/>
  <c r="BM156" i="125"/>
  <c r="BM157" i="125"/>
  <c r="BP151" i="125"/>
  <c r="BP157" i="125" s="1"/>
  <c r="V78" i="125"/>
  <c r="V77" i="125"/>
  <c r="BM83" i="125"/>
  <c r="BM84" i="125"/>
  <c r="BP75" i="125"/>
  <c r="BP84" i="125" s="1"/>
  <c r="BO339" i="125"/>
  <c r="BM342" i="125"/>
  <c r="BP342" i="125" s="1"/>
  <c r="BP345" i="125" s="1"/>
  <c r="W136" i="125"/>
  <c r="W47" i="125"/>
  <c r="X90" i="125"/>
  <c r="X147" i="125" s="1"/>
  <c r="BD90" i="125"/>
  <c r="BD147" i="125" s="1"/>
  <c r="BD152" i="125" s="1"/>
  <c r="BD169" i="125"/>
  <c r="BD226" i="125" s="1"/>
  <c r="BD231" i="125" s="1"/>
  <c r="X169" i="125"/>
  <c r="X226" i="125" s="1"/>
  <c r="BD248" i="125"/>
  <c r="BD305" i="125" s="1"/>
  <c r="BD310" i="125" s="1"/>
  <c r="X248" i="125"/>
  <c r="X305" i="125" s="1"/>
  <c r="BD11" i="125"/>
  <c r="BD68" i="125" s="1"/>
  <c r="BD73" i="125" s="1"/>
  <c r="X11" i="125"/>
  <c r="X68" i="125" s="1"/>
  <c r="BD248" i="124"/>
  <c r="BD305" i="124" s="1"/>
  <c r="BD310" i="124" s="1"/>
  <c r="X248" i="124"/>
  <c r="X305" i="124" s="1"/>
  <c r="X310" i="124" s="1"/>
  <c r="BD248" i="120"/>
  <c r="BD305" i="120" s="1"/>
  <c r="BD310" i="120" s="1"/>
  <c r="X11" i="124"/>
  <c r="X68" i="124" s="1"/>
  <c r="X73" i="124" s="1"/>
  <c r="BD11" i="124"/>
  <c r="BD68" i="124" s="1"/>
  <c r="BD73" i="124" s="1"/>
  <c r="X90" i="124"/>
  <c r="X147" i="124" s="1"/>
  <c r="X152" i="124" s="1"/>
  <c r="BD90" i="124"/>
  <c r="BD147" i="124" s="1"/>
  <c r="BD152" i="124" s="1"/>
  <c r="X169" i="124"/>
  <c r="X226" i="124" s="1"/>
  <c r="X231" i="124" s="1"/>
  <c r="BD169" i="120"/>
  <c r="BD226" i="120" s="1"/>
  <c r="BD231" i="120" s="1"/>
  <c r="BD169" i="124"/>
  <c r="BD226" i="124" s="1"/>
  <c r="BD231" i="124" s="1"/>
  <c r="BD90" i="120"/>
  <c r="BD147" i="120" s="1"/>
  <c r="BD152" i="120" s="1"/>
  <c r="X90" i="120"/>
  <c r="X169" i="120"/>
  <c r="X226" i="120" s="1"/>
  <c r="X231" i="120" s="1"/>
  <c r="X248" i="120"/>
  <c r="X305" i="120" s="1"/>
  <c r="X310" i="120" s="1"/>
  <c r="X11" i="120"/>
  <c r="X68" i="120" s="1"/>
  <c r="X73" i="120" s="1"/>
  <c r="BD11" i="120"/>
  <c r="X147" i="120"/>
  <c r="X152" i="120" s="1"/>
  <c r="BD68" i="120"/>
  <c r="BD73" i="120" s="1"/>
  <c r="DB53" i="67"/>
  <c r="BX53" i="67" s="1"/>
  <c r="CO51" i="67"/>
  <c r="CO49" i="67"/>
  <c r="CO44" i="67"/>
  <c r="CO58" i="67" s="1"/>
  <c r="CO21" i="67"/>
  <c r="CO31" i="67"/>
  <c r="CO29" i="67"/>
  <c r="CO17" i="67"/>
  <c r="CN63" i="67"/>
  <c r="CO46" i="67"/>
  <c r="CO60" i="67" s="1"/>
  <c r="CO41" i="67"/>
  <c r="CO45" i="67"/>
  <c r="CO37" i="67"/>
  <c r="CO39" i="67"/>
  <c r="CO43" i="67"/>
  <c r="CO57" i="67" s="1"/>
  <c r="CO40" i="67"/>
  <c r="CO47" i="67"/>
  <c r="CO38" i="67"/>
  <c r="CO25" i="67"/>
  <c r="CO19" i="67"/>
  <c r="J47" i="30"/>
  <c r="G47" i="30"/>
  <c r="X25" i="125"/>
  <c r="G48" i="30"/>
  <c r="X183" i="125"/>
  <c r="X104" i="125"/>
  <c r="X262" i="125"/>
  <c r="DB53" i="118" a="1"/>
  <c r="DB53" i="119" a="1"/>
  <c r="DB53" i="117" a="1"/>
  <c r="F48" i="30"/>
  <c r="F47" i="30"/>
  <c r="DB53" i="117" l="1"/>
  <c r="DB53" i="118"/>
  <c r="BX53" i="118" s="1"/>
  <c r="W310" i="125"/>
  <c r="W317" i="125" s="1"/>
  <c r="BP311" i="125"/>
  <c r="BP319" i="125" s="1"/>
  <c r="BM315" i="125"/>
  <c r="BP312" i="125"/>
  <c r="BP321" i="125" s="1"/>
  <c r="BM314" i="125"/>
  <c r="BO314" i="125" s="1"/>
  <c r="BM320" i="125"/>
  <c r="BO320" i="125" s="1"/>
  <c r="BM319" i="125"/>
  <c r="W309" i="125"/>
  <c r="W314" i="125" s="1"/>
  <c r="W296" i="125"/>
  <c r="X125" i="125"/>
  <c r="X133" i="125" s="1"/>
  <c r="W297" i="125"/>
  <c r="W311" i="125"/>
  <c r="W318" i="125" s="1"/>
  <c r="W341" i="125"/>
  <c r="W342" i="125" s="1"/>
  <c r="W344" i="125" s="1"/>
  <c r="W321" i="125"/>
  <c r="X204" i="125"/>
  <c r="X212" i="125" s="1"/>
  <c r="X282" i="125"/>
  <c r="BD237" i="126"/>
  <c r="BD238" i="126"/>
  <c r="W218" i="125"/>
  <c r="X46" i="125"/>
  <c r="X54" i="125" s="1"/>
  <c r="X238" i="126"/>
  <c r="X237" i="126"/>
  <c r="W230" i="125"/>
  <c r="W236" i="125" s="1"/>
  <c r="X317" i="126"/>
  <c r="X316" i="126"/>
  <c r="BD316" i="126"/>
  <c r="BD317" i="126"/>
  <c r="X79" i="126"/>
  <c r="X80" i="126"/>
  <c r="BD80" i="126"/>
  <c r="BD79" i="126"/>
  <c r="W231" i="125"/>
  <c r="W233" i="125"/>
  <c r="W232" i="125"/>
  <c r="X159" i="126"/>
  <c r="X158" i="126"/>
  <c r="BD158" i="126"/>
  <c r="BD159" i="126"/>
  <c r="X203" i="125"/>
  <c r="X124" i="125"/>
  <c r="X123" i="125"/>
  <c r="X113" i="125"/>
  <c r="X44" i="125"/>
  <c r="X34" i="125"/>
  <c r="X202" i="125"/>
  <c r="X192" i="125"/>
  <c r="X281" i="125"/>
  <c r="X271" i="125"/>
  <c r="BM241" i="125"/>
  <c r="BM242" i="125"/>
  <c r="BP233" i="125"/>
  <c r="BP242" i="125" s="1"/>
  <c r="X208" i="125"/>
  <c r="X210" i="125"/>
  <c r="BM240" i="125"/>
  <c r="BM239" i="125"/>
  <c r="BP232" i="125"/>
  <c r="BP240" i="125" s="1"/>
  <c r="BO160" i="125"/>
  <c r="BP160" i="125"/>
  <c r="BO83" i="125"/>
  <c r="BP83" i="125"/>
  <c r="W138" i="125"/>
  <c r="W139" i="125"/>
  <c r="W151" i="125"/>
  <c r="W153" i="125"/>
  <c r="W152" i="125"/>
  <c r="W154" i="125"/>
  <c r="BO156" i="125"/>
  <c r="BP156" i="125"/>
  <c r="X52" i="125"/>
  <c r="X50" i="125"/>
  <c r="BM235" i="125"/>
  <c r="BM236" i="125"/>
  <c r="BP230" i="125"/>
  <c r="BP236" i="125" s="1"/>
  <c r="X131" i="125"/>
  <c r="X129" i="125"/>
  <c r="BM344" i="125"/>
  <c r="BP344" i="125" s="1"/>
  <c r="BM345" i="125"/>
  <c r="BO342" i="125"/>
  <c r="BO345" i="125" s="1"/>
  <c r="BO81" i="125"/>
  <c r="BP81" i="125"/>
  <c r="X289" i="125"/>
  <c r="X287" i="125"/>
  <c r="X45" i="125"/>
  <c r="W60" i="125"/>
  <c r="W59" i="125"/>
  <c r="W72" i="125"/>
  <c r="W74" i="125"/>
  <c r="W75" i="125"/>
  <c r="W73" i="125"/>
  <c r="BP318" i="125"/>
  <c r="BO318" i="125"/>
  <c r="BO162" i="125"/>
  <c r="BP162" i="125"/>
  <c r="BO77" i="125"/>
  <c r="BP77" i="125"/>
  <c r="X283" i="125"/>
  <c r="X291" i="125" s="1"/>
  <c r="BD80" i="125"/>
  <c r="BD79" i="125"/>
  <c r="BD317" i="125"/>
  <c r="BD316" i="125"/>
  <c r="BD238" i="125"/>
  <c r="BD237" i="125"/>
  <c r="BD158" i="125"/>
  <c r="BD159" i="125"/>
  <c r="X237" i="124"/>
  <c r="X238" i="124"/>
  <c r="BD159" i="124"/>
  <c r="BD158" i="124"/>
  <c r="X158" i="124"/>
  <c r="X159" i="124"/>
  <c r="BD158" i="120"/>
  <c r="BD159" i="120"/>
  <c r="BD79" i="124"/>
  <c r="BD80" i="124"/>
  <c r="X80" i="124"/>
  <c r="X79" i="124"/>
  <c r="BD316" i="120"/>
  <c r="BD317" i="120"/>
  <c r="BD237" i="124"/>
  <c r="BD238" i="124"/>
  <c r="X317" i="124"/>
  <c r="X316" i="124"/>
  <c r="BD238" i="120"/>
  <c r="BD237" i="120"/>
  <c r="BD316" i="124"/>
  <c r="BD317" i="124"/>
  <c r="BX53" i="117"/>
  <c r="DB53" i="119"/>
  <c r="BX53" i="119" s="1"/>
  <c r="X237" i="120"/>
  <c r="X238" i="120"/>
  <c r="X159" i="120"/>
  <c r="X158" i="120"/>
  <c r="X317" i="120"/>
  <c r="X316" i="120"/>
  <c r="X79" i="120"/>
  <c r="X80" i="120"/>
  <c r="BD80" i="120"/>
  <c r="BD79" i="120"/>
  <c r="CO48" i="67"/>
  <c r="CO59" i="67"/>
  <c r="CO28" i="67"/>
  <c r="W15" i="77"/>
  <c r="W12" i="77"/>
  <c r="W14" i="77"/>
  <c r="W13" i="77"/>
  <c r="CP6" i="67"/>
  <c r="CO27" i="67" a="1"/>
  <c r="CP23" i="67" a="1"/>
  <c r="CP11" i="67" a="1"/>
  <c r="CP10" i="67" a="1"/>
  <c r="X267" i="125"/>
  <c r="X188" i="125"/>
  <c r="CP17" i="67" a="1"/>
  <c r="CP9" i="67" a="1"/>
  <c r="CP12" i="67" a="1"/>
  <c r="CP13" i="67" a="1"/>
  <c r="CP26" i="67" a="1"/>
  <c r="CP25" i="67" a="1"/>
  <c r="CO20" i="67" a="1"/>
  <c r="CP19" i="67" a="1"/>
  <c r="X109" i="125"/>
  <c r="BZ10" i="67" a="1"/>
  <c r="CP21" i="67" a="1"/>
  <c r="CP24" i="67" a="1"/>
  <c r="CO18" i="67" a="1"/>
  <c r="X30" i="125"/>
  <c r="J48" i="30"/>
  <c r="BO344" i="125" l="1"/>
  <c r="W316" i="125"/>
  <c r="BP314" i="125"/>
  <c r="BP320" i="125"/>
  <c r="X136" i="125"/>
  <c r="X152" i="125" s="1"/>
  <c r="W315" i="125"/>
  <c r="W345" i="125"/>
  <c r="X215" i="125"/>
  <c r="X232" i="125" s="1"/>
  <c r="X240" i="125" s="1"/>
  <c r="W319" i="125"/>
  <c r="W235" i="125"/>
  <c r="X57" i="125"/>
  <c r="X74" i="125" s="1"/>
  <c r="X82" i="125" s="1"/>
  <c r="X205" i="125"/>
  <c r="W238" i="125"/>
  <c r="W237" i="125"/>
  <c r="BE90" i="126"/>
  <c r="BE147" i="126" s="1"/>
  <c r="BE152" i="126" s="1"/>
  <c r="Y90" i="126"/>
  <c r="Y147" i="126" s="1"/>
  <c r="Y152" i="126" s="1"/>
  <c r="Y169" i="126"/>
  <c r="Y226" i="126" s="1"/>
  <c r="Y231" i="126" s="1"/>
  <c r="BE169" i="126"/>
  <c r="BE226" i="126" s="1"/>
  <c r="BE231" i="126" s="1"/>
  <c r="W240" i="125"/>
  <c r="W239" i="125"/>
  <c r="BE11" i="126"/>
  <c r="BE68" i="126" s="1"/>
  <c r="BE73" i="126" s="1"/>
  <c r="Y11" i="126"/>
  <c r="Y68" i="126" s="1"/>
  <c r="Y73" i="126" s="1"/>
  <c r="BE248" i="126"/>
  <c r="BE305" i="126" s="1"/>
  <c r="BE310" i="126" s="1"/>
  <c r="Y248" i="126"/>
  <c r="Y305" i="126" s="1"/>
  <c r="Y310" i="126" s="1"/>
  <c r="W241" i="125"/>
  <c r="W242" i="125"/>
  <c r="X334" i="125"/>
  <c r="X339" i="125" s="1"/>
  <c r="X47" i="125"/>
  <c r="X126" i="125"/>
  <c r="W84" i="125"/>
  <c r="W83" i="125"/>
  <c r="W163" i="125"/>
  <c r="W162" i="125"/>
  <c r="X335" i="125"/>
  <c r="X284" i="125"/>
  <c r="W82" i="125"/>
  <c r="W81" i="125"/>
  <c r="BO235" i="125"/>
  <c r="BP235" i="125"/>
  <c r="W159" i="125"/>
  <c r="W158" i="125"/>
  <c r="W77" i="125"/>
  <c r="W78" i="125"/>
  <c r="X294" i="125"/>
  <c r="W160" i="125"/>
  <c r="W161" i="125"/>
  <c r="BO239" i="125"/>
  <c r="BP239" i="125"/>
  <c r="W157" i="125"/>
  <c r="W156" i="125"/>
  <c r="BO241" i="125"/>
  <c r="BP241" i="125"/>
  <c r="X333" i="125"/>
  <c r="W80" i="125"/>
  <c r="W79" i="125"/>
  <c r="Y248" i="125"/>
  <c r="BE248" i="125"/>
  <c r="BE305" i="125" s="1"/>
  <c r="BE310" i="125" s="1"/>
  <c r="Y90" i="125"/>
  <c r="BE90" i="125"/>
  <c r="BE147" i="125" s="1"/>
  <c r="BE152" i="125" s="1"/>
  <c r="BE169" i="125"/>
  <c r="BE226" i="125" s="1"/>
  <c r="BE231" i="125" s="1"/>
  <c r="Y169" i="125"/>
  <c r="BE11" i="125"/>
  <c r="BE68" i="125" s="1"/>
  <c r="BE73" i="125" s="1"/>
  <c r="Y11" i="125"/>
  <c r="BE248" i="124"/>
  <c r="BE305" i="124" s="1"/>
  <c r="BE310" i="124" s="1"/>
  <c r="Y248" i="124"/>
  <c r="Y305" i="124" s="1"/>
  <c r="Y310" i="124" s="1"/>
  <c r="BE248" i="120"/>
  <c r="BE305" i="120" s="1"/>
  <c r="BE310" i="120" s="1"/>
  <c r="BE90" i="124"/>
  <c r="BE147" i="124" s="1"/>
  <c r="BE152" i="124" s="1"/>
  <c r="Y90" i="124"/>
  <c r="Y147" i="124" s="1"/>
  <c r="Y152" i="124" s="1"/>
  <c r="BE169" i="124"/>
  <c r="BE226" i="124" s="1"/>
  <c r="BE231" i="124" s="1"/>
  <c r="BE169" i="120"/>
  <c r="BE226" i="120" s="1"/>
  <c r="BE231" i="120" s="1"/>
  <c r="Y169" i="124"/>
  <c r="Y226" i="124" s="1"/>
  <c r="Y231" i="124" s="1"/>
  <c r="Y11" i="124"/>
  <c r="Y68" i="124" s="1"/>
  <c r="Y73" i="124" s="1"/>
  <c r="BE11" i="124"/>
  <c r="BE68" i="124" s="1"/>
  <c r="BE73" i="124" s="1"/>
  <c r="BE90" i="120"/>
  <c r="BE147" i="120" s="1"/>
  <c r="BE152" i="120" s="1"/>
  <c r="Y90" i="120"/>
  <c r="Y169" i="120"/>
  <c r="Y226" i="120" s="1"/>
  <c r="Y231" i="120" s="1"/>
  <c r="Y11" i="120"/>
  <c r="Y68" i="120" s="1"/>
  <c r="Y73" i="120" s="1"/>
  <c r="BE11" i="120"/>
  <c r="BE68" i="120" s="1"/>
  <c r="BE73" i="120" s="1"/>
  <c r="Y248" i="120"/>
  <c r="X14" i="77"/>
  <c r="X12" i="77"/>
  <c r="X15" i="77"/>
  <c r="Y305" i="120"/>
  <c r="Y310" i="120" s="1"/>
  <c r="Y147" i="120"/>
  <c r="Y152" i="120" s="1"/>
  <c r="CP24" i="67"/>
  <c r="CP13" i="67"/>
  <c r="CP26" i="67"/>
  <c r="CP9" i="67"/>
  <c r="CP11" i="67"/>
  <c r="CP12" i="67"/>
  <c r="CP21" i="67"/>
  <c r="CP10" i="67"/>
  <c r="CP17" i="67"/>
  <c r="CO62" i="67"/>
  <c r="CP25" i="67"/>
  <c r="CO20" i="67"/>
  <c r="CP19" i="67"/>
  <c r="CO27" i="67"/>
  <c r="CO61" i="67" s="1"/>
  <c r="CO18" i="67"/>
  <c r="CP23" i="67"/>
  <c r="X13" i="77"/>
  <c r="BZ10" i="67"/>
  <c r="CQ6" i="67"/>
  <c r="C8" i="30" a="1"/>
  <c r="CQ10" i="67" a="1"/>
  <c r="CP18" i="67" a="1"/>
  <c r="CP46" i="67" a="1"/>
  <c r="CQ12" i="67" a="1"/>
  <c r="CP31" i="67" a="1"/>
  <c r="CP38" i="67" a="1"/>
  <c r="CP51" i="67" a="1"/>
  <c r="CQ11" i="67" a="1"/>
  <c r="Y91" i="125"/>
  <c r="Y170" i="125"/>
  <c r="CQ24" i="67" a="1"/>
  <c r="CP41" i="67" a="1"/>
  <c r="Y128" i="125"/>
  <c r="CP39" i="67" a="1"/>
  <c r="CP27" i="67" a="1"/>
  <c r="Y207" i="125"/>
  <c r="Y187" i="125"/>
  <c r="Y29" i="125"/>
  <c r="CP40" i="67" a="1"/>
  <c r="CQ9" i="67" a="1"/>
  <c r="Y12" i="125"/>
  <c r="CQ26" i="67" a="1"/>
  <c r="CP37" i="67" a="1"/>
  <c r="CQ13" i="67" a="1"/>
  <c r="CQ23" i="67" a="1"/>
  <c r="CP43" i="67" a="1"/>
  <c r="CP47" i="67" a="1"/>
  <c r="CP49" i="67" a="1"/>
  <c r="Y49" i="125"/>
  <c r="Y286" i="125"/>
  <c r="CP29" i="67" a="1"/>
  <c r="Y108" i="125"/>
  <c r="CP20" i="67" a="1"/>
  <c r="Y266" i="125"/>
  <c r="Y249" i="125"/>
  <c r="CP44" i="67" a="1"/>
  <c r="CP45" i="67" a="1"/>
  <c r="C8" i="30" l="1"/>
  <c r="X60" i="125"/>
  <c r="X239" i="125"/>
  <c r="X231" i="125"/>
  <c r="X237" i="125" s="1"/>
  <c r="X154" i="125"/>
  <c r="X163" i="125" s="1"/>
  <c r="X153" i="125"/>
  <c r="X160" i="125" s="1"/>
  <c r="X151" i="125"/>
  <c r="X157" i="125" s="1"/>
  <c r="X138" i="125"/>
  <c r="X139" i="125"/>
  <c r="X230" i="125"/>
  <c r="X235" i="125" s="1"/>
  <c r="X218" i="125"/>
  <c r="X217" i="125"/>
  <c r="X233" i="125"/>
  <c r="X73" i="125"/>
  <c r="X79" i="125" s="1"/>
  <c r="X59" i="125"/>
  <c r="X81" i="125"/>
  <c r="X72" i="125"/>
  <c r="X78" i="125" s="1"/>
  <c r="X341" i="125"/>
  <c r="X342" i="125" s="1"/>
  <c r="X344" i="125" s="1"/>
  <c r="X75" i="125"/>
  <c r="Z90" i="126"/>
  <c r="Z147" i="126" s="1"/>
  <c r="Z152" i="126" s="1"/>
  <c r="BF90" i="126"/>
  <c r="BF147" i="126" s="1"/>
  <c r="BF152" i="126" s="1"/>
  <c r="Z248" i="126"/>
  <c r="Z305" i="126" s="1"/>
  <c r="Z310" i="126" s="1"/>
  <c r="BF248" i="126"/>
  <c r="BF305" i="126" s="1"/>
  <c r="BF310" i="126" s="1"/>
  <c r="BE237" i="126"/>
  <c r="BE238" i="126"/>
  <c r="Y238" i="126"/>
  <c r="Y237" i="126"/>
  <c r="Z11" i="126"/>
  <c r="Z68" i="126" s="1"/>
  <c r="Z73" i="126" s="1"/>
  <c r="BF11" i="126"/>
  <c r="BF68" i="126" s="1"/>
  <c r="BF73" i="126" s="1"/>
  <c r="Y317" i="126"/>
  <c r="Y316" i="126"/>
  <c r="Y158" i="126"/>
  <c r="Y159" i="126"/>
  <c r="BE317" i="126"/>
  <c r="BE316" i="126"/>
  <c r="BE159" i="126"/>
  <c r="BE158" i="126"/>
  <c r="Z169" i="126"/>
  <c r="Z226" i="126" s="1"/>
  <c r="Z231" i="126" s="1"/>
  <c r="BF169" i="126"/>
  <c r="BF226" i="126" s="1"/>
  <c r="BF231" i="126" s="1"/>
  <c r="Y79" i="126"/>
  <c r="Y80" i="126"/>
  <c r="BE80" i="126"/>
  <c r="BE79" i="126"/>
  <c r="Y292" i="125"/>
  <c r="Y55" i="125"/>
  <c r="Y337" i="125"/>
  <c r="Y213" i="125"/>
  <c r="Y134" i="125"/>
  <c r="X159" i="125"/>
  <c r="X158" i="125"/>
  <c r="X296" i="125"/>
  <c r="X297" i="125"/>
  <c r="X309" i="125"/>
  <c r="X312" i="125"/>
  <c r="X310" i="125"/>
  <c r="X311" i="125"/>
  <c r="BE79" i="125"/>
  <c r="BE80" i="125"/>
  <c r="Z248" i="125"/>
  <c r="BF248" i="125"/>
  <c r="BF305" i="125" s="1"/>
  <c r="BF310" i="125" s="1"/>
  <c r="BE237" i="125"/>
  <c r="BE238" i="125"/>
  <c r="BF90" i="125"/>
  <c r="BF147" i="125" s="1"/>
  <c r="BF152" i="125" s="1"/>
  <c r="Z90" i="125"/>
  <c r="BE159" i="125"/>
  <c r="BE158" i="125"/>
  <c r="BF11" i="125"/>
  <c r="BF68" i="125" s="1"/>
  <c r="BF73" i="125" s="1"/>
  <c r="Z11" i="125"/>
  <c r="BE317" i="125"/>
  <c r="BE316" i="125"/>
  <c r="BF169" i="125"/>
  <c r="BF226" i="125" s="1"/>
  <c r="BF231" i="125" s="1"/>
  <c r="Z169" i="125"/>
  <c r="Z90" i="124"/>
  <c r="Z147" i="124" s="1"/>
  <c r="Z152" i="124" s="1"/>
  <c r="BF90" i="124"/>
  <c r="BF147" i="124" s="1"/>
  <c r="BF152" i="124" s="1"/>
  <c r="Y238" i="124"/>
  <c r="Y237" i="124"/>
  <c r="BF248" i="124"/>
  <c r="BF305" i="124" s="1"/>
  <c r="BF310" i="124" s="1"/>
  <c r="Z248" i="124"/>
  <c r="Z305" i="124" s="1"/>
  <c r="Z310" i="124" s="1"/>
  <c r="BF248" i="120"/>
  <c r="BF305" i="120" s="1"/>
  <c r="BF310" i="120" s="1"/>
  <c r="BE238" i="120"/>
  <c r="BE237" i="120"/>
  <c r="BE237" i="124"/>
  <c r="BE238" i="124"/>
  <c r="Y158" i="124"/>
  <c r="Y159" i="124"/>
  <c r="BF11" i="124"/>
  <c r="BF68" i="124" s="1"/>
  <c r="BF73" i="124" s="1"/>
  <c r="Z11" i="124"/>
  <c r="Z68" i="124" s="1"/>
  <c r="Z73" i="124" s="1"/>
  <c r="BE159" i="124"/>
  <c r="BE158" i="124"/>
  <c r="BE158" i="120"/>
  <c r="BE159" i="120"/>
  <c r="BE317" i="120"/>
  <c r="BE316" i="120"/>
  <c r="BE80" i="124"/>
  <c r="BE79" i="124"/>
  <c r="Y316" i="124"/>
  <c r="Y317" i="124"/>
  <c r="Z169" i="124"/>
  <c r="Z226" i="124" s="1"/>
  <c r="Z231" i="124" s="1"/>
  <c r="BF169" i="124"/>
  <c r="BF226" i="124" s="1"/>
  <c r="BF231" i="124" s="1"/>
  <c r="BF169" i="120"/>
  <c r="BF226" i="120" s="1"/>
  <c r="BF231" i="120" s="1"/>
  <c r="Y79" i="124"/>
  <c r="Y80" i="124"/>
  <c r="BE316" i="124"/>
  <c r="BE317" i="124"/>
  <c r="Z248" i="120"/>
  <c r="Z305" i="120" s="1"/>
  <c r="Z310" i="120" s="1"/>
  <c r="BF90" i="120"/>
  <c r="BF147" i="120" s="1"/>
  <c r="BF152" i="120" s="1"/>
  <c r="Z90" i="120"/>
  <c r="Z11" i="120"/>
  <c r="Z68" i="120" s="1"/>
  <c r="Z73" i="120" s="1"/>
  <c r="BF11" i="120"/>
  <c r="BF68" i="120" s="1"/>
  <c r="BF73" i="120" s="1"/>
  <c r="Z169" i="120"/>
  <c r="Y79" i="120"/>
  <c r="Y80" i="120"/>
  <c r="Y159" i="120"/>
  <c r="Y158" i="120"/>
  <c r="BE80" i="120"/>
  <c r="BE79" i="120"/>
  <c r="Y12" i="77"/>
  <c r="Y317" i="120"/>
  <c r="Y316" i="120"/>
  <c r="Z147" i="120"/>
  <c r="Z152" i="120" s="1"/>
  <c r="Y237" i="120"/>
  <c r="Y238" i="120"/>
  <c r="Y15" i="77"/>
  <c r="Y14" i="77"/>
  <c r="Z226" i="120"/>
  <c r="Z231" i="120" s="1"/>
  <c r="CP51" i="67"/>
  <c r="CP49" i="67"/>
  <c r="CQ24" i="67"/>
  <c r="CP44" i="67"/>
  <c r="CP58" i="67" s="1"/>
  <c r="CP31" i="67"/>
  <c r="CP29" i="67"/>
  <c r="CO65" i="67"/>
  <c r="CO63" i="67"/>
  <c r="CQ13" i="67"/>
  <c r="CQ26" i="67"/>
  <c r="CQ9" i="67"/>
  <c r="CQ12" i="67"/>
  <c r="CQ11" i="67"/>
  <c r="CQ10" i="67"/>
  <c r="CP46" i="67"/>
  <c r="CP60" i="67" s="1"/>
  <c r="CP41" i="67"/>
  <c r="CP37" i="67"/>
  <c r="CP45" i="67"/>
  <c r="CP59" i="67" s="1"/>
  <c r="CP43" i="67"/>
  <c r="CP57" i="67" s="1"/>
  <c r="CP39" i="67"/>
  <c r="CP40" i="67"/>
  <c r="CP47" i="67"/>
  <c r="CP38" i="67"/>
  <c r="CQ23" i="67"/>
  <c r="CP20" i="67"/>
  <c r="CP27" i="67"/>
  <c r="CP18" i="67"/>
  <c r="CP28" i="67"/>
  <c r="Y13" i="77"/>
  <c r="CR6" i="67"/>
  <c r="CQ19" i="67" a="1"/>
  <c r="Y149" i="125" a="1"/>
  <c r="Z249" i="125"/>
  <c r="Z170" i="125"/>
  <c r="DH11" i="95" a="1"/>
  <c r="Z12" i="125"/>
  <c r="Y26" i="125"/>
  <c r="CQ49" i="67" a="1"/>
  <c r="CR13" i="67" a="1"/>
  <c r="Y106" i="125"/>
  <c r="DH27" i="95" a="1"/>
  <c r="Y69" i="125" a="1"/>
  <c r="CQ31" i="67" a="1"/>
  <c r="DH8" i="95" a="1"/>
  <c r="Z187" i="125"/>
  <c r="CQ45" i="67" a="1"/>
  <c r="DH25" i="95" a="1"/>
  <c r="Y70" i="125" a="1"/>
  <c r="Z286" i="125"/>
  <c r="CR11" i="67" a="1"/>
  <c r="CQ41" i="67" a="1"/>
  <c r="CQ21" i="67" a="1"/>
  <c r="Y148" i="125" a="1"/>
  <c r="CQ47" i="67" a="1"/>
  <c r="Y253" i="125"/>
  <c r="Z128" i="125"/>
  <c r="DH28" i="95" a="1"/>
  <c r="CR10" i="67" a="1"/>
  <c r="CQ37" i="67" a="1"/>
  <c r="Z108" i="125"/>
  <c r="Y306" i="125" a="1"/>
  <c r="Y228" i="125" a="1"/>
  <c r="CQ40" i="67" a="1"/>
  <c r="Y16" i="125"/>
  <c r="Y263" i="125"/>
  <c r="CQ44" i="67" a="1"/>
  <c r="CQ29" i="67" a="1"/>
  <c r="Y174" i="125"/>
  <c r="CQ51" i="67" a="1"/>
  <c r="Y95" i="125"/>
  <c r="CQ25" i="67" a="1"/>
  <c r="Y264" i="125"/>
  <c r="CQ43" i="67" a="1"/>
  <c r="Y185" i="125"/>
  <c r="Y184" i="125"/>
  <c r="Y105" i="125"/>
  <c r="Z29" i="125"/>
  <c r="Z49" i="125"/>
  <c r="CQ17" i="67" a="1"/>
  <c r="CR12" i="67" a="1"/>
  <c r="Y27" i="125"/>
  <c r="Y227" i="125" a="1"/>
  <c r="Z91" i="125"/>
  <c r="Y307" i="125" a="1"/>
  <c r="CQ39" i="67" a="1"/>
  <c r="Z266" i="125"/>
  <c r="CQ38" i="67" a="1"/>
  <c r="CQ46" i="67" a="1"/>
  <c r="DH10" i="95" a="1"/>
  <c r="Z207" i="125"/>
  <c r="X162" i="125" l="1"/>
  <c r="X156" i="125"/>
  <c r="X238" i="125"/>
  <c r="X161" i="125"/>
  <c r="X236" i="125"/>
  <c r="X77" i="125"/>
  <c r="X241" i="125"/>
  <c r="X242" i="125"/>
  <c r="X80" i="125"/>
  <c r="X345" i="125"/>
  <c r="X84" i="125"/>
  <c r="X83" i="125"/>
  <c r="BG11" i="126"/>
  <c r="BG68" i="126" s="1"/>
  <c r="BG73" i="126" s="1"/>
  <c r="AA11" i="126"/>
  <c r="AA68" i="126" s="1"/>
  <c r="AA73" i="126" s="1"/>
  <c r="AA90" i="126"/>
  <c r="AA147" i="126" s="1"/>
  <c r="AA152" i="126" s="1"/>
  <c r="BG90" i="126"/>
  <c r="BG147" i="126" s="1"/>
  <c r="BG152" i="126" s="1"/>
  <c r="AA169" i="126"/>
  <c r="AA226" i="126" s="1"/>
  <c r="AA231" i="126" s="1"/>
  <c r="BG169" i="126"/>
  <c r="BG226" i="126" s="1"/>
  <c r="BG231" i="126" s="1"/>
  <c r="BF237" i="126"/>
  <c r="BF238" i="126"/>
  <c r="BF317" i="126"/>
  <c r="BF316" i="126"/>
  <c r="Z237" i="126"/>
  <c r="Z238" i="126"/>
  <c r="Z317" i="126"/>
  <c r="Z316" i="126"/>
  <c r="BG248" i="126"/>
  <c r="BG305" i="126" s="1"/>
  <c r="BG310" i="126" s="1"/>
  <c r="AA248" i="126"/>
  <c r="AA305" i="126" s="1"/>
  <c r="AA310" i="126" s="1"/>
  <c r="BF80" i="126"/>
  <c r="BF79" i="126"/>
  <c r="BF159" i="126"/>
  <c r="BF158" i="126"/>
  <c r="Z79" i="126"/>
  <c r="Z80" i="126"/>
  <c r="Z158" i="126"/>
  <c r="Z159" i="126"/>
  <c r="Y307" i="125"/>
  <c r="Z213" i="125"/>
  <c r="Y254" i="125"/>
  <c r="Y283" i="125" s="1"/>
  <c r="Y291" i="125" s="1"/>
  <c r="Y305" i="125"/>
  <c r="Y32" i="125"/>
  <c r="Y175" i="125"/>
  <c r="Y211" i="125" s="1"/>
  <c r="Y226" i="125"/>
  <c r="Y70" i="125"/>
  <c r="Y17" i="125"/>
  <c r="Y53" i="125" s="1"/>
  <c r="Y68" i="125"/>
  <c r="Y227" i="125"/>
  <c r="Z337" i="125"/>
  <c r="Y111" i="125"/>
  <c r="Y228" i="125"/>
  <c r="Y69" i="125"/>
  <c r="Y96" i="125"/>
  <c r="Y132" i="125" s="1"/>
  <c r="Y147" i="125"/>
  <c r="Y306" i="125"/>
  <c r="Y190" i="125"/>
  <c r="Y149" i="125"/>
  <c r="Z55" i="125"/>
  <c r="Y148" i="125"/>
  <c r="Z134" i="125"/>
  <c r="Y269" i="125"/>
  <c r="Z292" i="125"/>
  <c r="X319" i="125"/>
  <c r="X318" i="125"/>
  <c r="X316" i="125"/>
  <c r="X317" i="125"/>
  <c r="X321" i="125"/>
  <c r="X320" i="125"/>
  <c r="X314" i="125"/>
  <c r="X315" i="125"/>
  <c r="AA11" i="125"/>
  <c r="BG11" i="125"/>
  <c r="BG68" i="125" s="1"/>
  <c r="BG73" i="125" s="1"/>
  <c r="BF79" i="125"/>
  <c r="BF80" i="125"/>
  <c r="BF317" i="125"/>
  <c r="BF316" i="125"/>
  <c r="BF238" i="125"/>
  <c r="BF237" i="125"/>
  <c r="AA169" i="125"/>
  <c r="BG169" i="125"/>
  <c r="BG226" i="125" s="1"/>
  <c r="BG231" i="125" s="1"/>
  <c r="BF159" i="125"/>
  <c r="BF158" i="125"/>
  <c r="AA90" i="125"/>
  <c r="BG90" i="125"/>
  <c r="BG147" i="125" s="1"/>
  <c r="BG152" i="125" s="1"/>
  <c r="BG248" i="125"/>
  <c r="BG305" i="125" s="1"/>
  <c r="BG310" i="125" s="1"/>
  <c r="AA248" i="125"/>
  <c r="AA11" i="124"/>
  <c r="AA68" i="124" s="1"/>
  <c r="AA73" i="124" s="1"/>
  <c r="BG11" i="124"/>
  <c r="BG68" i="124" s="1"/>
  <c r="BG73" i="124" s="1"/>
  <c r="Z79" i="124"/>
  <c r="Z80" i="124"/>
  <c r="BF317" i="120"/>
  <c r="BF316" i="120"/>
  <c r="BG90" i="124"/>
  <c r="BG147" i="124" s="1"/>
  <c r="BG152" i="124" s="1"/>
  <c r="AA90" i="124"/>
  <c r="AA147" i="124" s="1"/>
  <c r="AA152" i="124" s="1"/>
  <c r="BF80" i="124"/>
  <c r="BF79" i="124"/>
  <c r="Z317" i="124"/>
  <c r="Z316" i="124"/>
  <c r="BF316" i="124"/>
  <c r="BF317" i="124"/>
  <c r="BG169" i="124"/>
  <c r="BG226" i="124" s="1"/>
  <c r="BG231" i="124" s="1"/>
  <c r="BG169" i="120"/>
  <c r="BG226" i="120" s="1"/>
  <c r="BG231" i="120" s="1"/>
  <c r="AA169" i="124"/>
  <c r="AA226" i="124" s="1"/>
  <c r="AA231" i="124" s="1"/>
  <c r="BF237" i="120"/>
  <c r="BF238" i="120"/>
  <c r="BF238" i="124"/>
  <c r="BF237" i="124"/>
  <c r="AA248" i="124"/>
  <c r="AA305" i="124" s="1"/>
  <c r="AA310" i="124" s="1"/>
  <c r="BG248" i="124"/>
  <c r="BG305" i="124" s="1"/>
  <c r="BG310" i="124" s="1"/>
  <c r="BG248" i="120"/>
  <c r="BG305" i="120" s="1"/>
  <c r="BG310" i="120" s="1"/>
  <c r="BF159" i="120"/>
  <c r="BF158" i="120"/>
  <c r="Z237" i="124"/>
  <c r="Z238" i="124"/>
  <c r="BF159" i="124"/>
  <c r="BF158" i="124"/>
  <c r="Z158" i="124"/>
  <c r="Z159" i="124"/>
  <c r="AA11" i="120"/>
  <c r="AA68" i="120" s="1"/>
  <c r="AA73" i="120" s="1"/>
  <c r="BG11" i="120"/>
  <c r="AA169" i="120"/>
  <c r="AA226" i="120" s="1"/>
  <c r="AA231" i="120" s="1"/>
  <c r="BG90" i="120"/>
  <c r="BG147" i="120" s="1"/>
  <c r="BG152" i="120" s="1"/>
  <c r="AA90" i="120"/>
  <c r="AA147" i="120" s="1"/>
  <c r="AA152" i="120" s="1"/>
  <c r="AA248" i="120"/>
  <c r="AA305" i="120" s="1"/>
  <c r="AA310" i="120" s="1"/>
  <c r="Z79" i="120"/>
  <c r="Z80" i="120"/>
  <c r="Z316" i="120"/>
  <c r="Z317" i="120"/>
  <c r="Z159" i="120"/>
  <c r="Z158" i="120"/>
  <c r="BF80" i="120"/>
  <c r="BF79" i="120"/>
  <c r="Z237" i="120"/>
  <c r="Z238" i="120"/>
  <c r="Z15" i="77"/>
  <c r="Z12" i="77"/>
  <c r="BG68" i="120"/>
  <c r="BG73" i="120" s="1"/>
  <c r="Z14" i="77"/>
  <c r="CQ51" i="67"/>
  <c r="CQ49" i="67"/>
  <c r="CQ44" i="67"/>
  <c r="CQ58" i="67" s="1"/>
  <c r="CQ21" i="67"/>
  <c r="CP65" i="67"/>
  <c r="CQ31" i="67"/>
  <c r="CQ29" i="67"/>
  <c r="CQ17" i="67"/>
  <c r="CP61" i="67"/>
  <c r="CR13" i="67"/>
  <c r="CQ46" i="67"/>
  <c r="CQ60" i="67" s="1"/>
  <c r="CQ37" i="67"/>
  <c r="CQ41" i="67"/>
  <c r="CQ43" i="67"/>
  <c r="CQ57" i="67" s="1"/>
  <c r="CQ39" i="67"/>
  <c r="CQ45" i="67"/>
  <c r="CQ40" i="67"/>
  <c r="CQ38" i="67"/>
  <c r="CQ47" i="67"/>
  <c r="CP48" i="67"/>
  <c r="CP62" i="67" s="1"/>
  <c r="CQ19" i="67"/>
  <c r="CR11" i="67"/>
  <c r="CR10" i="67"/>
  <c r="CR12" i="67"/>
  <c r="CQ25" i="67"/>
  <c r="DH8" i="95"/>
  <c r="DH27" i="95"/>
  <c r="DH25" i="95"/>
  <c r="DH10" i="95"/>
  <c r="DH28" i="95"/>
  <c r="DH11" i="95"/>
  <c r="Z13" i="77"/>
  <c r="CS6" i="67"/>
  <c r="AA266" i="125"/>
  <c r="Z307" i="125" a="1"/>
  <c r="Z228" i="125" a="1"/>
  <c r="CR37" i="67" a="1"/>
  <c r="DH18" i="95" a="1"/>
  <c r="DG27" i="95" a="1"/>
  <c r="Z253" i="125"/>
  <c r="CR44" i="67" a="1"/>
  <c r="CR51" i="67" a="1"/>
  <c r="AA128" i="125"/>
  <c r="CS10" i="67" a="1"/>
  <c r="Z264" i="125"/>
  <c r="DH32" i="95" a="1"/>
  <c r="Z185" i="125"/>
  <c r="CR38" i="67" a="1"/>
  <c r="CS11" i="67" a="1"/>
  <c r="DH37" i="95" a="1"/>
  <c r="AA187" i="125"/>
  <c r="AA207" i="125"/>
  <c r="Z306" i="125" a="1"/>
  <c r="Y104" i="125"/>
  <c r="Y183" i="125"/>
  <c r="AA170" i="125"/>
  <c r="AA91" i="125"/>
  <c r="AA286" i="125"/>
  <c r="Z106" i="125"/>
  <c r="AA29" i="125"/>
  <c r="AA49" i="125"/>
  <c r="DH15" i="95" a="1"/>
  <c r="DH20" i="95" a="1"/>
  <c r="CQ20" i="67" a="1"/>
  <c r="CR49" i="67" a="1"/>
  <c r="AA108" i="125"/>
  <c r="Z149" i="125" a="1"/>
  <c r="DH30" i="95" a="1"/>
  <c r="Z105" i="125"/>
  <c r="CR41" i="67" a="1"/>
  <c r="CQ27" i="67" a="1"/>
  <c r="Z174" i="125"/>
  <c r="Z69" i="125" a="1"/>
  <c r="Z27" i="125"/>
  <c r="Z95" i="125"/>
  <c r="Z148" i="125" a="1"/>
  <c r="Z227" i="125" a="1"/>
  <c r="DH21" i="95" a="1"/>
  <c r="AA12" i="125"/>
  <c r="DG25" i="95" a="1"/>
  <c r="Y262" i="125"/>
  <c r="Y25" i="125"/>
  <c r="CS12" i="67" a="1"/>
  <c r="CR39" i="67" a="1"/>
  <c r="CR43" i="67" a="1"/>
  <c r="Z26" i="125"/>
  <c r="Z184" i="125"/>
  <c r="CQ18" i="67" a="1"/>
  <c r="Z16" i="125"/>
  <c r="CR9" i="67" a="1"/>
  <c r="AA249" i="125"/>
  <c r="CR46" i="67" a="1"/>
  <c r="CR45" i="67" a="1"/>
  <c r="Z263" i="125"/>
  <c r="DH35" i="95" a="1"/>
  <c r="Z70" i="125" a="1"/>
  <c r="CR47" i="67" a="1"/>
  <c r="CS13" i="67" a="1"/>
  <c r="CR40" i="67" a="1"/>
  <c r="DG28" i="95" a="1"/>
  <c r="Y282" i="125" l="1"/>
  <c r="AB248" i="126"/>
  <c r="AB305" i="126" s="1"/>
  <c r="AB310" i="126" s="1"/>
  <c r="BH248" i="126"/>
  <c r="BH305" i="126" s="1"/>
  <c r="BH310" i="126" s="1"/>
  <c r="AA316" i="126"/>
  <c r="AA317" i="126"/>
  <c r="BG317" i="126"/>
  <c r="BG316" i="126"/>
  <c r="Y124" i="125"/>
  <c r="BG238" i="126"/>
  <c r="BG237" i="126"/>
  <c r="BH169" i="126"/>
  <c r="BH226" i="126" s="1"/>
  <c r="BH231" i="126" s="1"/>
  <c r="AB169" i="126"/>
  <c r="AB226" i="126" s="1"/>
  <c r="AB231" i="126" s="1"/>
  <c r="Y203" i="125"/>
  <c r="Y45" i="125"/>
  <c r="AA237" i="126"/>
  <c r="AA238" i="126"/>
  <c r="BG159" i="126"/>
  <c r="BG158" i="126"/>
  <c r="AB90" i="126"/>
  <c r="AB147" i="126" s="1"/>
  <c r="AB152" i="126" s="1"/>
  <c r="BH90" i="126"/>
  <c r="BH147" i="126" s="1"/>
  <c r="BH152" i="126" s="1"/>
  <c r="AA158" i="126"/>
  <c r="AA159" i="126"/>
  <c r="AB11" i="126"/>
  <c r="AB68" i="126" s="1"/>
  <c r="AB73" i="126" s="1"/>
  <c r="BH11" i="126"/>
  <c r="BH68" i="126" s="1"/>
  <c r="BH73" i="126" s="1"/>
  <c r="AA79" i="126"/>
  <c r="AA80" i="126"/>
  <c r="BG80" i="126"/>
  <c r="BG79" i="126"/>
  <c r="Z148" i="125"/>
  <c r="Y44" i="125"/>
  <c r="Y34" i="125"/>
  <c r="AA337" i="125"/>
  <c r="Z96" i="125"/>
  <c r="Z124" i="125" s="1"/>
  <c r="Z147" i="125"/>
  <c r="Z254" i="125"/>
  <c r="Z282" i="125" s="1"/>
  <c r="Z305" i="125"/>
  <c r="Z69" i="125"/>
  <c r="Z228" i="125"/>
  <c r="Z111" i="125"/>
  <c r="Z227" i="125"/>
  <c r="Y123" i="125"/>
  <c r="Y113" i="125"/>
  <c r="AA213" i="125"/>
  <c r="Z149" i="125"/>
  <c r="Z17" i="125"/>
  <c r="Z46" i="125" s="1"/>
  <c r="Z68" i="125"/>
  <c r="Z307" i="125"/>
  <c r="Z306" i="125"/>
  <c r="AA134" i="125"/>
  <c r="AA55" i="125"/>
  <c r="AA292" i="125"/>
  <c r="Z32" i="125"/>
  <c r="Z269" i="125"/>
  <c r="Z190" i="125"/>
  <c r="Y271" i="125"/>
  <c r="Z70" i="125"/>
  <c r="Y202" i="125"/>
  <c r="Y192" i="125"/>
  <c r="Z175" i="125"/>
  <c r="Z204" i="125" s="1"/>
  <c r="Z212" i="125" s="1"/>
  <c r="Z226" i="125"/>
  <c r="Y46" i="125"/>
  <c r="Y204" i="125"/>
  <c r="Y212" i="125" s="1"/>
  <c r="Y281" i="125"/>
  <c r="Y290" i="125"/>
  <c r="Y208" i="125"/>
  <c r="Y210" i="125"/>
  <c r="Y129" i="125"/>
  <c r="Y131" i="125"/>
  <c r="Y125" i="125"/>
  <c r="Y133" i="125" s="1"/>
  <c r="Y287" i="125"/>
  <c r="Y289" i="125"/>
  <c r="Y52" i="125"/>
  <c r="Y50" i="125"/>
  <c r="BG237" i="125"/>
  <c r="BG238" i="125"/>
  <c r="BH90" i="125"/>
  <c r="BH147" i="125" s="1"/>
  <c r="BH152" i="125" s="1"/>
  <c r="AB90" i="125"/>
  <c r="BG317" i="125"/>
  <c r="BG316" i="125"/>
  <c r="BH11" i="125"/>
  <c r="BH68" i="125" s="1"/>
  <c r="BH73" i="125" s="1"/>
  <c r="AB11" i="125"/>
  <c r="BG159" i="125"/>
  <c r="BG158" i="125"/>
  <c r="BH248" i="125"/>
  <c r="BH305" i="125" s="1"/>
  <c r="BH310" i="125" s="1"/>
  <c r="AB248" i="125"/>
  <c r="BG79" i="125"/>
  <c r="BG80" i="125"/>
  <c r="AB169" i="125"/>
  <c r="BH169" i="125"/>
  <c r="BH226" i="125" s="1"/>
  <c r="BH231" i="125" s="1"/>
  <c r="BG316" i="120"/>
  <c r="BG317" i="120"/>
  <c r="BG238" i="120"/>
  <c r="BG237" i="120"/>
  <c r="AA159" i="124"/>
  <c r="AA158" i="124"/>
  <c r="BG317" i="124"/>
  <c r="BG316" i="124"/>
  <c r="BG237" i="124"/>
  <c r="BG238" i="124"/>
  <c r="BG158" i="124"/>
  <c r="BG159" i="124"/>
  <c r="AB11" i="124"/>
  <c r="AB68" i="124" s="1"/>
  <c r="AB73" i="124" s="1"/>
  <c r="BH11" i="124"/>
  <c r="BH68" i="124" s="1"/>
  <c r="BH73" i="124" s="1"/>
  <c r="AA316" i="124"/>
  <c r="AA317" i="124"/>
  <c r="BG159" i="120"/>
  <c r="BG158" i="120"/>
  <c r="BH248" i="124"/>
  <c r="BH305" i="124" s="1"/>
  <c r="BH310" i="124" s="1"/>
  <c r="BH248" i="120"/>
  <c r="BH305" i="120" s="1"/>
  <c r="BH310" i="120" s="1"/>
  <c r="AB248" i="124"/>
  <c r="AB305" i="124" s="1"/>
  <c r="AB310" i="124" s="1"/>
  <c r="BH90" i="124"/>
  <c r="BH147" i="124" s="1"/>
  <c r="BH152" i="124" s="1"/>
  <c r="AB90" i="124"/>
  <c r="AB147" i="124" s="1"/>
  <c r="AB152" i="124" s="1"/>
  <c r="BG80" i="124"/>
  <c r="BG79" i="124"/>
  <c r="BH169" i="124"/>
  <c r="BH226" i="124" s="1"/>
  <c r="BH231" i="124" s="1"/>
  <c r="AB169" i="124"/>
  <c r="AB226" i="124" s="1"/>
  <c r="AB231" i="124" s="1"/>
  <c r="BH169" i="120"/>
  <c r="BH226" i="120" s="1"/>
  <c r="BH231" i="120" s="1"/>
  <c r="AA238" i="124"/>
  <c r="AA237" i="124"/>
  <c r="AA79" i="124"/>
  <c r="AA80" i="124"/>
  <c r="AB11" i="120"/>
  <c r="AB68" i="120" s="1"/>
  <c r="AB73" i="120" s="1"/>
  <c r="BH11" i="120"/>
  <c r="BH68" i="120" s="1"/>
  <c r="BH73" i="120" s="1"/>
  <c r="AB248" i="120"/>
  <c r="AB90" i="120"/>
  <c r="AB147" i="120" s="1"/>
  <c r="AB152" i="120" s="1"/>
  <c r="BH90" i="120"/>
  <c r="BH147" i="120" s="1"/>
  <c r="BH152" i="120" s="1"/>
  <c r="AB169" i="120"/>
  <c r="AA159" i="120"/>
  <c r="AA158" i="120"/>
  <c r="AA238" i="120"/>
  <c r="AA237" i="120"/>
  <c r="AA14" i="77"/>
  <c r="AB226" i="120"/>
  <c r="AB231" i="120" s="1"/>
  <c r="AA316" i="120"/>
  <c r="AA317" i="120"/>
  <c r="AA15" i="77"/>
  <c r="AB305" i="120"/>
  <c r="AB310" i="120" s="1"/>
  <c r="AA79" i="120"/>
  <c r="AA80" i="120"/>
  <c r="BG79" i="120"/>
  <c r="BG80" i="120"/>
  <c r="AA12" i="77"/>
  <c r="CR51" i="67"/>
  <c r="CR49" i="67"/>
  <c r="CR44" i="67"/>
  <c r="CR9" i="67"/>
  <c r="CP63" i="67"/>
  <c r="CS13" i="67"/>
  <c r="CR46" i="67"/>
  <c r="CR41" i="67"/>
  <c r="CR37" i="67"/>
  <c r="CR43" i="67"/>
  <c r="CR45" i="67"/>
  <c r="CR39" i="67"/>
  <c r="CR38" i="67"/>
  <c r="CR47" i="67"/>
  <c r="CR40" i="67"/>
  <c r="CQ59" i="67"/>
  <c r="CQ48" i="67"/>
  <c r="CS11" i="67"/>
  <c r="CS12" i="67"/>
  <c r="CQ27" i="67"/>
  <c r="CQ61" i="67" s="1"/>
  <c r="CQ18" i="67"/>
  <c r="CQ20" i="67"/>
  <c r="CS10" i="67"/>
  <c r="CQ28" i="67"/>
  <c r="AA106" i="125"/>
  <c r="AB12" i="125"/>
  <c r="AA307" i="125" a="1"/>
  <c r="AA253" i="125"/>
  <c r="AA185" i="125"/>
  <c r="CR24" i="67" a="1"/>
  <c r="AA70" i="125" a="1"/>
  <c r="Z183" i="125"/>
  <c r="AA26" i="125"/>
  <c r="G62" i="30"/>
  <c r="AB286" i="125"/>
  <c r="AA174" i="125"/>
  <c r="AA16" i="125"/>
  <c r="Z25" i="125"/>
  <c r="G61" i="30"/>
  <c r="AA227" i="125" a="1"/>
  <c r="AB128" i="125"/>
  <c r="AA149" i="125" a="1"/>
  <c r="AB170" i="125"/>
  <c r="Y188" i="125"/>
  <c r="AB91" i="125"/>
  <c r="AA264" i="125"/>
  <c r="CS9" i="67" a="1"/>
  <c r="AB207" i="125"/>
  <c r="AA69" i="125" a="1"/>
  <c r="BZ27" i="67" a="1"/>
  <c r="DJ28" i="95" a="1"/>
  <c r="AA105" i="125"/>
  <c r="AA228" i="125" a="1"/>
  <c r="DH13" i="95" a="1"/>
  <c r="Y267" i="125"/>
  <c r="AA263" i="125"/>
  <c r="J61" i="30"/>
  <c r="Y30" i="125"/>
  <c r="AA184" i="125"/>
  <c r="AA148" i="125" a="1"/>
  <c r="J62" i="30"/>
  <c r="DH33" i="95" a="1"/>
  <c r="AB108" i="125"/>
  <c r="AB266" i="125"/>
  <c r="AB49" i="125"/>
  <c r="F62" i="30"/>
  <c r="AA27" i="125"/>
  <c r="AB249" i="125"/>
  <c r="AA306" i="125" a="1"/>
  <c r="Y109" i="125"/>
  <c r="F61" i="30"/>
  <c r="BZ18" i="67" a="1"/>
  <c r="Z262" i="125"/>
  <c r="AB29" i="125"/>
  <c r="Z104" i="125"/>
  <c r="AB187" i="125"/>
  <c r="AA95" i="125"/>
  <c r="DH16" i="95" a="1"/>
  <c r="DH38" i="95" a="1"/>
  <c r="Y333" i="125" l="1"/>
  <c r="Y334" i="125"/>
  <c r="Y339" i="125" s="1"/>
  <c r="Y284" i="125"/>
  <c r="AC248" i="126"/>
  <c r="AC305" i="126" s="1"/>
  <c r="AC310" i="126" s="1"/>
  <c r="BI248" i="126"/>
  <c r="BI305" i="126" s="1"/>
  <c r="BI310" i="126" s="1"/>
  <c r="AC169" i="126"/>
  <c r="AC226" i="126" s="1"/>
  <c r="AC231" i="126" s="1"/>
  <c r="BI169" i="126"/>
  <c r="BI226" i="126" s="1"/>
  <c r="BI231" i="126" s="1"/>
  <c r="BH79" i="126"/>
  <c r="BH80" i="126"/>
  <c r="AB80" i="126"/>
  <c r="AB79" i="126"/>
  <c r="Y215" i="125"/>
  <c r="Y217" i="125" s="1"/>
  <c r="BH159" i="126"/>
  <c r="BH158" i="126"/>
  <c r="AB237" i="126"/>
  <c r="AB238" i="126"/>
  <c r="AB158" i="126"/>
  <c r="AB159" i="126"/>
  <c r="BH238" i="126"/>
  <c r="BH237" i="126"/>
  <c r="BH317" i="126"/>
  <c r="BH316" i="126"/>
  <c r="BI11" i="126"/>
  <c r="BI68" i="126" s="1"/>
  <c r="BI73" i="126" s="1"/>
  <c r="AC11" i="126"/>
  <c r="AC68" i="126" s="1"/>
  <c r="AC73" i="126" s="1"/>
  <c r="AB316" i="126"/>
  <c r="AB317" i="126"/>
  <c r="Y294" i="125"/>
  <c r="Y310" i="125" s="1"/>
  <c r="Y316" i="125" s="1"/>
  <c r="AA227" i="125"/>
  <c r="AA228" i="125"/>
  <c r="AB337" i="125"/>
  <c r="AA111" i="125"/>
  <c r="AA17" i="125"/>
  <c r="AA46" i="125" s="1"/>
  <c r="AA54" i="125" s="1"/>
  <c r="AA68" i="125"/>
  <c r="AA70" i="125"/>
  <c r="AB292" i="125"/>
  <c r="AA149" i="125"/>
  <c r="AA254" i="125"/>
  <c r="AA283" i="125" s="1"/>
  <c r="AA291" i="125" s="1"/>
  <c r="AA305" i="125"/>
  <c r="AA96" i="125"/>
  <c r="AA132" i="125" s="1"/>
  <c r="AA147" i="125"/>
  <c r="AA269" i="125"/>
  <c r="AA307" i="125"/>
  <c r="AA175" i="125"/>
  <c r="AA203" i="125" s="1"/>
  <c r="AA226" i="125"/>
  <c r="AA69" i="125"/>
  <c r="AB55" i="125"/>
  <c r="AA32" i="125"/>
  <c r="AA190" i="125"/>
  <c r="AA148" i="125"/>
  <c r="AB213" i="125"/>
  <c r="Z44" i="125"/>
  <c r="Z34" i="125"/>
  <c r="Z202" i="125"/>
  <c r="Z192" i="125"/>
  <c r="Z281" i="125"/>
  <c r="Z271" i="125"/>
  <c r="Z123" i="125"/>
  <c r="Z113" i="125"/>
  <c r="AA306" i="125"/>
  <c r="AB134" i="125"/>
  <c r="Y136" i="125"/>
  <c r="Y126" i="125"/>
  <c r="Y54" i="125"/>
  <c r="Y57" i="125" s="1"/>
  <c r="Y335" i="125"/>
  <c r="Z208" i="125"/>
  <c r="Z210" i="125"/>
  <c r="Z54" i="125"/>
  <c r="Z125" i="125"/>
  <c r="Z133" i="125" s="1"/>
  <c r="Z132" i="125"/>
  <c r="Z287" i="125"/>
  <c r="Z289" i="125"/>
  <c r="Z131" i="125"/>
  <c r="Z129" i="125"/>
  <c r="Z203" i="125"/>
  <c r="Z211" i="125"/>
  <c r="Z52" i="125"/>
  <c r="Z50" i="125"/>
  <c r="Z45" i="125"/>
  <c r="Z53" i="125"/>
  <c r="Y47" i="125"/>
  <c r="Y205" i="125"/>
  <c r="Z283" i="125"/>
  <c r="Z291" i="125" s="1"/>
  <c r="Z290" i="125"/>
  <c r="BH237" i="125"/>
  <c r="BH238" i="125"/>
  <c r="BI11" i="125"/>
  <c r="BI68" i="125" s="1"/>
  <c r="BI73" i="125" s="1"/>
  <c r="AC11" i="125"/>
  <c r="AC169" i="125"/>
  <c r="BI169" i="125"/>
  <c r="BI226" i="125" s="1"/>
  <c r="BI231" i="125" s="1"/>
  <c r="BH159" i="125"/>
  <c r="BH158" i="125"/>
  <c r="AC248" i="125"/>
  <c r="BI248" i="125"/>
  <c r="BI305" i="125" s="1"/>
  <c r="BI310" i="125" s="1"/>
  <c r="BH80" i="125"/>
  <c r="BH79" i="125"/>
  <c r="BH317" i="125"/>
  <c r="BH316" i="125"/>
  <c r="BI11" i="124"/>
  <c r="BI68" i="124" s="1"/>
  <c r="BI73" i="124" s="1"/>
  <c r="AC11" i="124"/>
  <c r="AC68" i="124" s="1"/>
  <c r="AC73" i="124" s="1"/>
  <c r="AB159" i="124"/>
  <c r="AB158" i="124"/>
  <c r="BH158" i="124"/>
  <c r="BH159" i="124"/>
  <c r="BH79" i="124"/>
  <c r="BH80" i="124"/>
  <c r="BI248" i="120"/>
  <c r="BI305" i="120" s="1"/>
  <c r="BI310" i="120" s="1"/>
  <c r="AC248" i="124"/>
  <c r="AC305" i="124" s="1"/>
  <c r="AC310" i="124" s="1"/>
  <c r="BI248" i="124"/>
  <c r="BI305" i="124" s="1"/>
  <c r="BI310" i="124" s="1"/>
  <c r="BI169" i="120"/>
  <c r="BI226" i="120" s="1"/>
  <c r="BI231" i="120" s="1"/>
  <c r="AC169" i="124"/>
  <c r="AC226" i="124" s="1"/>
  <c r="AC231" i="124" s="1"/>
  <c r="BI169" i="124"/>
  <c r="BI226" i="124" s="1"/>
  <c r="BI231" i="124" s="1"/>
  <c r="BH159" i="120"/>
  <c r="BH158" i="120"/>
  <c r="AB316" i="124"/>
  <c r="AB317" i="124"/>
  <c r="AB79" i="124"/>
  <c r="AB80" i="124"/>
  <c r="BH237" i="120"/>
  <c r="BH238" i="120"/>
  <c r="BH317" i="120"/>
  <c r="BH316" i="120"/>
  <c r="AB237" i="124"/>
  <c r="AB238" i="124"/>
  <c r="BH317" i="124"/>
  <c r="BH316" i="124"/>
  <c r="BH238" i="124"/>
  <c r="BH237" i="124"/>
  <c r="AC248" i="120"/>
  <c r="AC305" i="120" s="1"/>
  <c r="AC310" i="120" s="1"/>
  <c r="AC169" i="120"/>
  <c r="AC226" i="120" s="1"/>
  <c r="AC231" i="120" s="1"/>
  <c r="AC11" i="120"/>
  <c r="AC68" i="120" s="1"/>
  <c r="AC73" i="120" s="1"/>
  <c r="BI11" i="120"/>
  <c r="BI68" i="120" s="1"/>
  <c r="BI73" i="120" s="1"/>
  <c r="AB79" i="120"/>
  <c r="AB80" i="120"/>
  <c r="AB238" i="120"/>
  <c r="AB237" i="120"/>
  <c r="BH79" i="120"/>
  <c r="BH80" i="120"/>
  <c r="AB12" i="77"/>
  <c r="AB14" i="77"/>
  <c r="AB158" i="120"/>
  <c r="AB159" i="120"/>
  <c r="AB317" i="120"/>
  <c r="AB316" i="120"/>
  <c r="AB15" i="77"/>
  <c r="CR24" i="67"/>
  <c r="CR58" i="67" s="1"/>
  <c r="CQ65" i="67"/>
  <c r="CS9" i="67"/>
  <c r="CR48" i="67"/>
  <c r="CQ62" i="67"/>
  <c r="CQ63" i="67"/>
  <c r="DG25" i="95"/>
  <c r="DG27" i="95"/>
  <c r="DH38" i="95"/>
  <c r="DH16" i="95"/>
  <c r="DH33" i="95"/>
  <c r="DH32" i="95"/>
  <c r="DH13" i="95"/>
  <c r="DH37" i="95"/>
  <c r="DH30" i="95"/>
  <c r="DJ28" i="95"/>
  <c r="DG28" i="95"/>
  <c r="DH18" i="95"/>
  <c r="DH20" i="95"/>
  <c r="DH35" i="95"/>
  <c r="DH15" i="95"/>
  <c r="DH21" i="95"/>
  <c r="DH45" i="95"/>
  <c r="DH50" i="95"/>
  <c r="DH44" i="95"/>
  <c r="DH49" i="95"/>
  <c r="DH42" i="95"/>
  <c r="DH47" i="95"/>
  <c r="AA13" i="77"/>
  <c r="BZ27" i="67"/>
  <c r="BZ18" i="67"/>
  <c r="CT6" i="67"/>
  <c r="AB228" i="125" a="1"/>
  <c r="AB253" i="125"/>
  <c r="Z109" i="125"/>
  <c r="AB149" i="125" a="1"/>
  <c r="AB27" i="125"/>
  <c r="AA183" i="125"/>
  <c r="CS43" i="67" a="1"/>
  <c r="CR25" i="67" a="1"/>
  <c r="CT12" i="67" a="1"/>
  <c r="AB184" i="125"/>
  <c r="AA25" i="125"/>
  <c r="CS47" i="67" a="1"/>
  <c r="CS46" i="67" a="1"/>
  <c r="AB264" i="125"/>
  <c r="AB185" i="125"/>
  <c r="AB306" i="125" a="1"/>
  <c r="AB174" i="125"/>
  <c r="CR26" i="67" a="1"/>
  <c r="CS49" i="67" a="1"/>
  <c r="CT13" i="67" a="1"/>
  <c r="CS51" i="67" a="1"/>
  <c r="CS45" i="67" a="1"/>
  <c r="AB227" i="125" a="1"/>
  <c r="CS38" i="67" a="1"/>
  <c r="Z30" i="125"/>
  <c r="Z188" i="125"/>
  <c r="CS44" i="67" a="1"/>
  <c r="AA262" i="125"/>
  <c r="Z267" i="125"/>
  <c r="CT11" i="67" a="1"/>
  <c r="AB26" i="125"/>
  <c r="AB263" i="125"/>
  <c r="CT10" i="67" a="1"/>
  <c r="AB106" i="125"/>
  <c r="AB148" i="125" a="1"/>
  <c r="CS37" i="67" a="1"/>
  <c r="CR23" i="67" a="1"/>
  <c r="CS41" i="67" a="1"/>
  <c r="AB16" i="125"/>
  <c r="AB95" i="125"/>
  <c r="CS24" i="67" a="1"/>
  <c r="AB105" i="125"/>
  <c r="CT9" i="67" a="1"/>
  <c r="CS39" i="67" a="1"/>
  <c r="AB70" i="125" a="1"/>
  <c r="CS40" i="67" a="1"/>
  <c r="AB69" i="125" a="1"/>
  <c r="AB307" i="125" a="1"/>
  <c r="AA104" i="125"/>
  <c r="Y341" i="125" l="1"/>
  <c r="Y342" i="125" s="1"/>
  <c r="Z335" i="125"/>
  <c r="Y297" i="125"/>
  <c r="Y311" i="125"/>
  <c r="Y318" i="125" s="1"/>
  <c r="Y309" i="125"/>
  <c r="Y315" i="125" s="1"/>
  <c r="Y232" i="125"/>
  <c r="Y240" i="125" s="1"/>
  <c r="Y233" i="125"/>
  <c r="Y242" i="125" s="1"/>
  <c r="Y231" i="125"/>
  <c r="Y238" i="125" s="1"/>
  <c r="Y230" i="125"/>
  <c r="Y235" i="125" s="1"/>
  <c r="Y296" i="125"/>
  <c r="Y218" i="125"/>
  <c r="Y317" i="125"/>
  <c r="AD169" i="126"/>
  <c r="AD226" i="126" s="1"/>
  <c r="AD231" i="126" s="1"/>
  <c r="BJ169" i="126"/>
  <c r="BJ226" i="126" s="1"/>
  <c r="BJ231" i="126" s="1"/>
  <c r="BI90" i="126"/>
  <c r="BI147" i="126" s="1"/>
  <c r="BI152" i="126" s="1"/>
  <c r="AC90" i="126"/>
  <c r="AC147" i="126" s="1"/>
  <c r="AC152" i="126" s="1"/>
  <c r="AD248" i="126"/>
  <c r="AD305" i="126" s="1"/>
  <c r="AD310" i="126" s="1"/>
  <c r="BJ248" i="126"/>
  <c r="BJ305" i="126" s="1"/>
  <c r="BJ310" i="126" s="1"/>
  <c r="AC80" i="126"/>
  <c r="AC79" i="126"/>
  <c r="BI79" i="126"/>
  <c r="BI80" i="126"/>
  <c r="BI238" i="126"/>
  <c r="BI237" i="126"/>
  <c r="AC237" i="126"/>
  <c r="AC238" i="126"/>
  <c r="BI317" i="126"/>
  <c r="BI316" i="126"/>
  <c r="AD11" i="126"/>
  <c r="AD68" i="126" s="1"/>
  <c r="AD73" i="126" s="1"/>
  <c r="BJ11" i="126"/>
  <c r="BJ68" i="126" s="1"/>
  <c r="BJ73" i="126" s="1"/>
  <c r="AC317" i="126"/>
  <c r="AC316" i="126"/>
  <c r="Y312" i="125"/>
  <c r="Y321" i="125" s="1"/>
  <c r="Z205" i="125"/>
  <c r="Z47" i="125"/>
  <c r="AA125" i="125"/>
  <c r="AA133" i="125" s="1"/>
  <c r="AB227" i="125"/>
  <c r="AA44" i="125"/>
  <c r="AA34" i="125"/>
  <c r="AB111" i="125"/>
  <c r="AB190" i="125"/>
  <c r="AB269" i="125"/>
  <c r="AB254" i="125"/>
  <c r="AB290" i="125" s="1"/>
  <c r="AB305" i="125"/>
  <c r="AB307" i="125"/>
  <c r="AA123" i="125"/>
  <c r="AA113" i="125"/>
  <c r="AA281" i="125"/>
  <c r="AA271" i="125"/>
  <c r="AB69" i="125"/>
  <c r="AB148" i="125"/>
  <c r="AB228" i="125"/>
  <c r="AB306" i="125"/>
  <c r="AB70" i="125"/>
  <c r="AB96" i="125"/>
  <c r="AB132" i="125" s="1"/>
  <c r="AB147" i="125"/>
  <c r="AA202" i="125"/>
  <c r="AA192" i="125"/>
  <c r="AB175" i="125"/>
  <c r="AB211" i="125" s="1"/>
  <c r="AB226" i="125"/>
  <c r="AB17" i="125"/>
  <c r="AB53" i="125" s="1"/>
  <c r="AB68" i="125"/>
  <c r="AB149" i="125"/>
  <c r="AB32" i="125"/>
  <c r="Y59" i="125"/>
  <c r="Y72" i="125"/>
  <c r="Y60" i="125"/>
  <c r="Y75" i="125"/>
  <c r="Y74" i="125"/>
  <c r="Y73" i="125"/>
  <c r="Z333" i="125"/>
  <c r="Z57" i="125"/>
  <c r="Z136" i="125"/>
  <c r="Z215" i="125"/>
  <c r="Y139" i="125"/>
  <c r="Y138" i="125"/>
  <c r="Y151" i="125"/>
  <c r="Y153" i="125"/>
  <c r="Y152" i="125"/>
  <c r="Y154" i="125"/>
  <c r="Z126" i="125"/>
  <c r="AA45" i="125"/>
  <c r="AA53" i="125"/>
  <c r="AA131" i="125"/>
  <c r="AA129" i="125"/>
  <c r="Z294" i="125"/>
  <c r="Z284" i="125"/>
  <c r="AA204" i="125"/>
  <c r="AA212" i="125" s="1"/>
  <c r="AA211" i="125"/>
  <c r="AA282" i="125"/>
  <c r="AA290" i="125"/>
  <c r="AA124" i="125"/>
  <c r="AA210" i="125"/>
  <c r="AA208" i="125"/>
  <c r="AA287" i="125"/>
  <c r="AA289" i="125"/>
  <c r="AA50" i="125"/>
  <c r="AA52" i="125"/>
  <c r="BI90" i="125"/>
  <c r="BI147" i="125" s="1"/>
  <c r="BI152" i="125" s="1"/>
  <c r="AC90" i="125"/>
  <c r="AD248" i="125"/>
  <c r="BJ248" i="125"/>
  <c r="BJ305" i="125" s="1"/>
  <c r="BJ310" i="125" s="1"/>
  <c r="BI316" i="125"/>
  <c r="BI317" i="125"/>
  <c r="AD11" i="125"/>
  <c r="BJ11" i="125"/>
  <c r="BJ68" i="125" s="1"/>
  <c r="BJ73" i="125" s="1"/>
  <c r="BI79" i="125"/>
  <c r="BI80" i="125"/>
  <c r="AD169" i="125"/>
  <c r="BJ169" i="125"/>
  <c r="BJ226" i="125" s="1"/>
  <c r="BJ231" i="125" s="1"/>
  <c r="BI238" i="125"/>
  <c r="BI237" i="125"/>
  <c r="BJ11" i="124"/>
  <c r="BJ68" i="124" s="1"/>
  <c r="BJ73" i="124" s="1"/>
  <c r="AD11" i="124"/>
  <c r="AD68" i="124" s="1"/>
  <c r="AD73" i="124" s="1"/>
  <c r="BI238" i="124"/>
  <c r="BI237" i="124"/>
  <c r="AC237" i="124"/>
  <c r="AC238" i="124"/>
  <c r="BI90" i="124"/>
  <c r="BI147" i="124" s="1"/>
  <c r="BI152" i="124" s="1"/>
  <c r="AC90" i="124"/>
  <c r="AC147" i="124" s="1"/>
  <c r="AC152" i="124" s="1"/>
  <c r="BJ169" i="124"/>
  <c r="BJ226" i="124" s="1"/>
  <c r="BJ231" i="124" s="1"/>
  <c r="AD169" i="124"/>
  <c r="AD226" i="124" s="1"/>
  <c r="AD231" i="124" s="1"/>
  <c r="BJ169" i="120"/>
  <c r="BJ226" i="120" s="1"/>
  <c r="BJ231" i="120" s="1"/>
  <c r="BI238" i="120"/>
  <c r="BI237" i="120"/>
  <c r="BJ248" i="124"/>
  <c r="BJ305" i="124" s="1"/>
  <c r="BJ310" i="124" s="1"/>
  <c r="BJ248" i="120"/>
  <c r="BJ305" i="120" s="1"/>
  <c r="BJ310" i="120" s="1"/>
  <c r="AD248" i="124"/>
  <c r="AD305" i="124" s="1"/>
  <c r="AD310" i="124" s="1"/>
  <c r="BI316" i="124"/>
  <c r="BI317" i="124"/>
  <c r="AC316" i="124"/>
  <c r="AC317" i="124"/>
  <c r="AC79" i="124"/>
  <c r="AC80" i="124"/>
  <c r="BI316" i="120"/>
  <c r="BI317" i="120"/>
  <c r="BI79" i="124"/>
  <c r="BI80" i="124"/>
  <c r="CS24" i="67"/>
  <c r="AC90" i="120"/>
  <c r="AC147" i="120" s="1"/>
  <c r="AC152" i="120" s="1"/>
  <c r="BI90" i="120"/>
  <c r="BI147" i="120" s="1"/>
  <c r="BI152" i="120" s="1"/>
  <c r="AD169" i="120"/>
  <c r="AD226" i="120" s="1"/>
  <c r="AD231" i="120" s="1"/>
  <c r="BJ11" i="120"/>
  <c r="AD11" i="120"/>
  <c r="AD68" i="120" s="1"/>
  <c r="AD73" i="120" s="1"/>
  <c r="AD248" i="120"/>
  <c r="AD305" i="120" s="1"/>
  <c r="AD310" i="120" s="1"/>
  <c r="AC238" i="120"/>
  <c r="AC237" i="120"/>
  <c r="AC80" i="120"/>
  <c r="AC79" i="120"/>
  <c r="AC14" i="77"/>
  <c r="BI79" i="120"/>
  <c r="BI80" i="120"/>
  <c r="AC317" i="120"/>
  <c r="AC316" i="120"/>
  <c r="AC12" i="77"/>
  <c r="BJ68" i="120"/>
  <c r="BJ73" i="120" s="1"/>
  <c r="AC15" i="77"/>
  <c r="CS49" i="67"/>
  <c r="CS51" i="67"/>
  <c r="CS44" i="67"/>
  <c r="CR26" i="67"/>
  <c r="CR60" i="67" s="1"/>
  <c r="CT13" i="67"/>
  <c r="CS46" i="67"/>
  <c r="CS41" i="67"/>
  <c r="CS43" i="67"/>
  <c r="CS37" i="67"/>
  <c r="CS39" i="67"/>
  <c r="CS45" i="67"/>
  <c r="CS47" i="67"/>
  <c r="CS38" i="67"/>
  <c r="CS40" i="67"/>
  <c r="CR25" i="67"/>
  <c r="CR59" i="67" s="1"/>
  <c r="CT9" i="67"/>
  <c r="CT10" i="67"/>
  <c r="CT11" i="67"/>
  <c r="CT12" i="67"/>
  <c r="CR23" i="67"/>
  <c r="CR57" i="67" s="1"/>
  <c r="BZ37" i="67" a="1"/>
  <c r="AC187" i="125"/>
  <c r="AC170" i="125"/>
  <c r="AA30" i="125"/>
  <c r="DJ25" i="95" a="1"/>
  <c r="DG35" i="95" a="1"/>
  <c r="CS26" i="67" a="1"/>
  <c r="DI11" i="95" a="1"/>
  <c r="AC12" i="125"/>
  <c r="CT24" i="67" a="1"/>
  <c r="BZ12" i="67" a="1"/>
  <c r="CR29" i="67" a="1"/>
  <c r="DI27" i="95" a="1"/>
  <c r="AA188" i="125"/>
  <c r="CR19" i="67" a="1"/>
  <c r="AB262" i="125"/>
  <c r="AB25" i="125"/>
  <c r="AC91" i="125"/>
  <c r="DG30" i="95" a="1"/>
  <c r="AB183" i="125"/>
  <c r="AA267" i="125"/>
  <c r="AC286" i="125"/>
  <c r="BZ9" i="67" a="1"/>
  <c r="DI10" i="95" a="1"/>
  <c r="DG33" i="95" a="1"/>
  <c r="AC128" i="125"/>
  <c r="CR31" i="67" a="1"/>
  <c r="AC108" i="125"/>
  <c r="AC29" i="125"/>
  <c r="DG37" i="95" a="1"/>
  <c r="CR21" i="67" a="1"/>
  <c r="DJ27" i="95" a="1"/>
  <c r="CR17" i="67" a="1"/>
  <c r="K47" i="30"/>
  <c r="AA109" i="125"/>
  <c r="K48" i="30"/>
  <c r="DI28" i="95" a="1"/>
  <c r="DG38" i="95" a="1"/>
  <c r="DJ38" i="95" a="1"/>
  <c r="DI8" i="95" a="1"/>
  <c r="AC49" i="125"/>
  <c r="DI25" i="95" a="1"/>
  <c r="DJ37" i="95" a="1"/>
  <c r="AB104" i="125"/>
  <c r="AC207" i="125"/>
  <c r="DG32" i="95" a="1"/>
  <c r="AC266" i="125"/>
  <c r="AC249" i="125"/>
  <c r="Y314" i="125" l="1"/>
  <c r="Y344" i="125"/>
  <c r="Y345" i="125"/>
  <c r="Z341" i="125"/>
  <c r="Y319" i="125"/>
  <c r="Y239" i="125"/>
  <c r="Y320" i="125"/>
  <c r="Y236" i="125"/>
  <c r="Y237" i="125"/>
  <c r="AB204" i="125"/>
  <c r="AB212" i="125" s="1"/>
  <c r="AA47" i="125"/>
  <c r="Y241" i="125"/>
  <c r="AA136" i="125"/>
  <c r="AA139" i="125" s="1"/>
  <c r="BK248" i="126"/>
  <c r="BK305" i="126" s="1"/>
  <c r="BK310" i="126" s="1"/>
  <c r="AE248" i="126"/>
  <c r="AE305" i="126" s="1"/>
  <c r="AE310" i="126" s="1"/>
  <c r="BK169" i="126"/>
  <c r="BK226" i="126" s="1"/>
  <c r="BK231" i="126" s="1"/>
  <c r="AE169" i="126"/>
  <c r="AE226" i="126" s="1"/>
  <c r="AE231" i="126" s="1"/>
  <c r="BJ317" i="126"/>
  <c r="BJ316" i="126"/>
  <c r="AE11" i="126"/>
  <c r="AE68" i="126" s="1"/>
  <c r="AE73" i="126" s="1"/>
  <c r="BK11" i="126"/>
  <c r="BK68" i="126" s="1"/>
  <c r="BK73" i="126" s="1"/>
  <c r="AD317" i="126"/>
  <c r="AD316" i="126"/>
  <c r="AC158" i="126"/>
  <c r="AC159" i="126"/>
  <c r="BI158" i="126"/>
  <c r="BI159" i="126"/>
  <c r="BJ79" i="126"/>
  <c r="BJ80" i="126"/>
  <c r="BJ238" i="126"/>
  <c r="BJ237" i="126"/>
  <c r="AD80" i="126"/>
  <c r="AD79" i="126"/>
  <c r="AD237" i="126"/>
  <c r="AD238" i="126"/>
  <c r="AB124" i="125"/>
  <c r="AA294" i="125"/>
  <c r="AA312" i="125" s="1"/>
  <c r="AA321" i="125" s="1"/>
  <c r="AB282" i="125"/>
  <c r="AB45" i="125"/>
  <c r="AB203" i="125"/>
  <c r="AC134" i="125"/>
  <c r="AC292" i="125"/>
  <c r="AC213" i="125"/>
  <c r="AB202" i="125"/>
  <c r="AB192" i="125"/>
  <c r="AB113" i="125"/>
  <c r="AB123" i="125"/>
  <c r="AC337" i="125"/>
  <c r="AB34" i="125"/>
  <c r="AB44" i="125"/>
  <c r="AC55" i="125"/>
  <c r="AB281" i="125"/>
  <c r="AB271" i="125"/>
  <c r="Z297" i="125"/>
  <c r="Z296" i="125"/>
  <c r="Z309" i="125"/>
  <c r="Z310" i="125"/>
  <c r="Z312" i="125"/>
  <c r="Z311" i="125"/>
  <c r="Y158" i="125"/>
  <c r="Y159" i="125"/>
  <c r="AA284" i="125"/>
  <c r="AB210" i="125"/>
  <c r="AB208" i="125"/>
  <c r="AA57" i="125"/>
  <c r="Y161" i="125"/>
  <c r="Y160" i="125"/>
  <c r="AA335" i="125"/>
  <c r="AB46" i="125"/>
  <c r="Y156" i="125"/>
  <c r="Y157" i="125"/>
  <c r="AB50" i="125"/>
  <c r="AB52" i="125"/>
  <c r="AA126" i="125"/>
  <c r="AB131" i="125"/>
  <c r="AB129" i="125"/>
  <c r="Y80" i="125"/>
  <c r="Y79" i="125"/>
  <c r="AA205" i="125"/>
  <c r="AA334" i="125"/>
  <c r="AA339" i="125" s="1"/>
  <c r="Y81" i="125"/>
  <c r="Y82" i="125"/>
  <c r="AB125" i="125"/>
  <c r="AB133" i="125" s="1"/>
  <c r="AB283" i="125"/>
  <c r="AB291" i="125" s="1"/>
  <c r="AA333" i="125"/>
  <c r="Z217" i="125"/>
  <c r="Z218" i="125"/>
  <c r="Z230" i="125"/>
  <c r="Z232" i="125"/>
  <c r="Z231" i="125"/>
  <c r="Z233" i="125"/>
  <c r="Y83" i="125"/>
  <c r="Y84" i="125"/>
  <c r="AA215" i="125"/>
  <c r="Z151" i="125"/>
  <c r="Z138" i="125"/>
  <c r="Z139" i="125"/>
  <c r="Z152" i="125"/>
  <c r="Z154" i="125"/>
  <c r="Z153" i="125"/>
  <c r="Y162" i="125"/>
  <c r="Y163" i="125"/>
  <c r="Z60" i="125"/>
  <c r="Z59" i="125"/>
  <c r="Z72" i="125"/>
  <c r="Z73" i="125"/>
  <c r="Z75" i="125"/>
  <c r="Z74" i="125"/>
  <c r="Y77" i="125"/>
  <c r="Y78" i="125"/>
  <c r="AB289" i="125"/>
  <c r="AB287" i="125"/>
  <c r="BK248" i="125"/>
  <c r="BK305" i="125" s="1"/>
  <c r="BK310" i="125" s="1"/>
  <c r="AE248" i="125"/>
  <c r="BJ237" i="125"/>
  <c r="BJ238" i="125"/>
  <c r="BK169" i="125"/>
  <c r="BK226" i="125" s="1"/>
  <c r="BK231" i="125" s="1"/>
  <c r="AE169" i="125"/>
  <c r="AE11" i="125"/>
  <c r="BK11" i="125"/>
  <c r="BK68" i="125" s="1"/>
  <c r="BK73" i="125" s="1"/>
  <c r="BJ316" i="125"/>
  <c r="BJ317" i="125"/>
  <c r="BJ80" i="125"/>
  <c r="BJ79" i="125"/>
  <c r="BI158" i="125"/>
  <c r="BI159" i="125"/>
  <c r="AD317" i="124"/>
  <c r="AD316" i="124"/>
  <c r="AC158" i="124"/>
  <c r="AC159" i="124"/>
  <c r="BJ316" i="120"/>
  <c r="BJ317" i="120"/>
  <c r="BI158" i="124"/>
  <c r="BI159" i="124"/>
  <c r="BJ317" i="124"/>
  <c r="BJ316" i="124"/>
  <c r="BI158" i="120"/>
  <c r="BI159" i="120"/>
  <c r="BK248" i="124"/>
  <c r="BK305" i="124" s="1"/>
  <c r="BK310" i="124" s="1"/>
  <c r="AE248" i="124"/>
  <c r="AE305" i="124" s="1"/>
  <c r="AE310" i="124" s="1"/>
  <c r="BK248" i="120"/>
  <c r="BK305" i="120" s="1"/>
  <c r="BK310" i="120" s="1"/>
  <c r="BJ237" i="120"/>
  <c r="BJ238" i="120"/>
  <c r="BK169" i="120"/>
  <c r="BK226" i="120" s="1"/>
  <c r="BK231" i="120" s="1"/>
  <c r="AE169" i="124"/>
  <c r="AE226" i="124" s="1"/>
  <c r="AE231" i="124" s="1"/>
  <c r="BK169" i="124"/>
  <c r="BK226" i="124" s="1"/>
  <c r="BK231" i="124" s="1"/>
  <c r="AD237" i="124"/>
  <c r="AD238" i="124"/>
  <c r="AD80" i="124"/>
  <c r="AD79" i="124"/>
  <c r="BK11" i="124"/>
  <c r="BK68" i="124" s="1"/>
  <c r="BK73" i="124" s="1"/>
  <c r="AE11" i="124"/>
  <c r="AE68" i="124" s="1"/>
  <c r="AE73" i="124" s="1"/>
  <c r="BJ237" i="124"/>
  <c r="BJ238" i="124"/>
  <c r="BJ79" i="124"/>
  <c r="BJ80" i="124"/>
  <c r="CS58" i="67"/>
  <c r="AE248" i="120"/>
  <c r="AE305" i="120" s="1"/>
  <c r="AE310" i="120" s="1"/>
  <c r="AE169" i="120"/>
  <c r="AE226" i="120" s="1"/>
  <c r="AE231" i="120" s="1"/>
  <c r="BK11" i="120"/>
  <c r="BK68" i="120" s="1"/>
  <c r="BK73" i="120" s="1"/>
  <c r="AE11" i="120"/>
  <c r="AE68" i="120" s="1"/>
  <c r="AE73" i="120" s="1"/>
  <c r="AD80" i="120"/>
  <c r="AD79" i="120"/>
  <c r="AC159" i="120"/>
  <c r="AC158" i="120"/>
  <c r="BJ79" i="120"/>
  <c r="BJ80" i="120"/>
  <c r="AD237" i="120"/>
  <c r="AD238" i="120"/>
  <c r="AD12" i="77"/>
  <c r="AD14" i="77"/>
  <c r="AD316" i="120"/>
  <c r="AD317" i="120"/>
  <c r="AD15" i="77"/>
  <c r="CT24" i="67"/>
  <c r="CR21" i="67"/>
  <c r="CR19" i="67"/>
  <c r="CS26" i="67"/>
  <c r="CS60" i="67" s="1"/>
  <c r="CR31" i="67"/>
  <c r="CR29" i="67"/>
  <c r="CR17" i="67"/>
  <c r="CS48" i="67"/>
  <c r="CR28" i="67"/>
  <c r="CR62" i="67" s="1"/>
  <c r="DG38" i="95"/>
  <c r="DG30" i="95"/>
  <c r="DJ38" i="95"/>
  <c r="DJ27" i="95"/>
  <c r="DI25" i="95"/>
  <c r="DG37" i="95"/>
  <c r="DG35" i="95"/>
  <c r="DI28" i="95"/>
  <c r="DI27" i="95"/>
  <c r="DI8" i="95"/>
  <c r="DJ25" i="95"/>
  <c r="DG32" i="95"/>
  <c r="DG33" i="95"/>
  <c r="DJ37" i="95"/>
  <c r="DI11" i="95"/>
  <c r="DI10" i="95"/>
  <c r="AB13" i="77"/>
  <c r="BZ12" i="67"/>
  <c r="BZ9" i="67"/>
  <c r="BZ37" i="67"/>
  <c r="CU6" i="67"/>
  <c r="CS19" i="67" a="1"/>
  <c r="AC263" i="125"/>
  <c r="AC174" i="125"/>
  <c r="BZ17" i="67" a="1"/>
  <c r="CS21" i="67" a="1"/>
  <c r="BZ40" i="67" a="1"/>
  <c r="CT41" i="67" a="1"/>
  <c r="CU9" i="67" a="1"/>
  <c r="AC307" i="125" a="1"/>
  <c r="DI33" i="95" a="1"/>
  <c r="CU13" i="67" a="1"/>
  <c r="DI35" i="95" a="1"/>
  <c r="AC184" i="125"/>
  <c r="CT38" i="67" a="1"/>
  <c r="AC253" i="125"/>
  <c r="CT43" i="67" a="1"/>
  <c r="DI32" i="95" a="1"/>
  <c r="DI21" i="95" a="1"/>
  <c r="CT23" i="67" a="1"/>
  <c r="AB267" i="125"/>
  <c r="DI38" i="95" a="1"/>
  <c r="AC264" i="125"/>
  <c r="CR18" i="67" a="1"/>
  <c r="DJ32" i="95" a="1"/>
  <c r="CT47" i="67" a="1"/>
  <c r="AC16" i="125"/>
  <c r="CT51" i="67" a="1"/>
  <c r="AC70" i="125" a="1"/>
  <c r="AB109" i="125"/>
  <c r="CU12" i="67" a="1"/>
  <c r="CT46" i="67" a="1"/>
  <c r="AC228" i="125" a="1"/>
  <c r="CU24" i="67" a="1"/>
  <c r="AC185" i="125"/>
  <c r="CR20" i="67" a="1"/>
  <c r="DJ35" i="95" a="1"/>
  <c r="AC227" i="125" a="1"/>
  <c r="CT44" i="67" a="1"/>
  <c r="CU11" i="67" a="1"/>
  <c r="AC69" i="125" a="1"/>
  <c r="AB30" i="125"/>
  <c r="DI13" i="95" a="1"/>
  <c r="AC105" i="125"/>
  <c r="DI15" i="95" a="1"/>
  <c r="DI30" i="95" a="1"/>
  <c r="AC26" i="125"/>
  <c r="CU10" i="67" a="1"/>
  <c r="DI16" i="95" a="1"/>
  <c r="AC148" i="125" a="1"/>
  <c r="CT17" i="67" a="1"/>
  <c r="AC95" i="125"/>
  <c r="CS25" i="67" a="1"/>
  <c r="AB188" i="125"/>
  <c r="AC306" i="125" a="1"/>
  <c r="CT39" i="67" a="1"/>
  <c r="CT37" i="67" a="1"/>
  <c r="DI18" i="95" a="1"/>
  <c r="DI20" i="95" a="1"/>
  <c r="DJ33" i="95" a="1"/>
  <c r="CS17" i="67" a="1"/>
  <c r="CT49" i="67" a="1"/>
  <c r="CT26" i="67" a="1"/>
  <c r="AC149" i="125" a="1"/>
  <c r="CS23" i="67" a="1"/>
  <c r="AC106" i="125"/>
  <c r="DJ30" i="95" a="1"/>
  <c r="CT45" i="67" a="1"/>
  <c r="CR27" i="67" a="1"/>
  <c r="DI37" i="95" a="1"/>
  <c r="CT40" i="67" a="1"/>
  <c r="AC27" i="125"/>
  <c r="BZ20" i="67" a="1"/>
  <c r="AB215" i="125" l="1"/>
  <c r="AB233" i="125" s="1"/>
  <c r="AB242" i="125" s="1"/>
  <c r="AA296" i="125"/>
  <c r="AA138" i="125"/>
  <c r="AA297" i="125"/>
  <c r="AA310" i="125"/>
  <c r="AA317" i="125" s="1"/>
  <c r="AA151" i="125"/>
  <c r="AA156" i="125" s="1"/>
  <c r="AB205" i="125"/>
  <c r="AA311" i="125"/>
  <c r="AA319" i="125" s="1"/>
  <c r="AA153" i="125"/>
  <c r="AA161" i="125" s="1"/>
  <c r="AA320" i="125"/>
  <c r="AA152" i="125"/>
  <c r="AA154" i="125"/>
  <c r="BK79" i="126"/>
  <c r="BK80" i="126"/>
  <c r="AB294" i="125"/>
  <c r="AB296" i="125" s="1"/>
  <c r="AE80" i="126"/>
  <c r="AE79" i="126"/>
  <c r="BL248" i="126"/>
  <c r="BL305" i="126" s="1"/>
  <c r="BL310" i="126" s="1"/>
  <c r="AF248" i="126"/>
  <c r="AF305" i="126" s="1"/>
  <c r="AF310" i="126" s="1"/>
  <c r="AF169" i="126"/>
  <c r="AF226" i="126" s="1"/>
  <c r="AF231" i="126" s="1"/>
  <c r="BL169" i="126"/>
  <c r="BL226" i="126" s="1"/>
  <c r="BL231" i="126" s="1"/>
  <c r="AB333" i="125"/>
  <c r="AE238" i="126"/>
  <c r="AE237" i="126"/>
  <c r="AF11" i="126"/>
  <c r="AF68" i="126" s="1"/>
  <c r="AF73" i="126" s="1"/>
  <c r="BL11" i="126"/>
  <c r="BL68" i="126" s="1"/>
  <c r="BL73" i="126" s="1"/>
  <c r="BK237" i="126"/>
  <c r="BK238" i="126"/>
  <c r="AE316" i="126"/>
  <c r="AE317" i="126"/>
  <c r="AD90" i="126"/>
  <c r="AD147" i="126" s="1"/>
  <c r="AD152" i="126" s="1"/>
  <c r="BJ90" i="126"/>
  <c r="BJ147" i="126" s="1"/>
  <c r="BJ152" i="126" s="1"/>
  <c r="BK316" i="126"/>
  <c r="BK317" i="126"/>
  <c r="AA309" i="125"/>
  <c r="AA315" i="125" s="1"/>
  <c r="AB47" i="125"/>
  <c r="AB136" i="125"/>
  <c r="AB151" i="125" s="1"/>
  <c r="AB334" i="125"/>
  <c r="AB339" i="125" s="1"/>
  <c r="AB284" i="125"/>
  <c r="AC227" i="125"/>
  <c r="AC32" i="125"/>
  <c r="AC228" i="125"/>
  <c r="AC96" i="125"/>
  <c r="AC132" i="125" s="1"/>
  <c r="AC147" i="125"/>
  <c r="AC148" i="125"/>
  <c r="AC69" i="125"/>
  <c r="AC306" i="125"/>
  <c r="AC254" i="125"/>
  <c r="AC283" i="125" s="1"/>
  <c r="AC291" i="125" s="1"/>
  <c r="AC305" i="125"/>
  <c r="AC175" i="125"/>
  <c r="AC211" i="125" s="1"/>
  <c r="AC226" i="125"/>
  <c r="AC70" i="125"/>
  <c r="AC149" i="125"/>
  <c r="AC307" i="125"/>
  <c r="AC17" i="125"/>
  <c r="AC53" i="125" s="1"/>
  <c r="AC68" i="125"/>
  <c r="AC111" i="125"/>
  <c r="AC269" i="125"/>
  <c r="AC190" i="125"/>
  <c r="Z80" i="125"/>
  <c r="Z79" i="125"/>
  <c r="Z160" i="125"/>
  <c r="Z161" i="125"/>
  <c r="AA218" i="125"/>
  <c r="AA217" i="125"/>
  <c r="AA230" i="125"/>
  <c r="AA231" i="125"/>
  <c r="AA232" i="125"/>
  <c r="AA233" i="125"/>
  <c r="AA59" i="125"/>
  <c r="AA72" i="125"/>
  <c r="AA60" i="125"/>
  <c r="AA74" i="125"/>
  <c r="AA75" i="125"/>
  <c r="AA73" i="125"/>
  <c r="Z316" i="125"/>
  <c r="Z317" i="125"/>
  <c r="Z78" i="125"/>
  <c r="Z77" i="125"/>
  <c r="Z162" i="125"/>
  <c r="Z163" i="125"/>
  <c r="Z314" i="125"/>
  <c r="Z315" i="125"/>
  <c r="AB126" i="125"/>
  <c r="Z156" i="125"/>
  <c r="Z157" i="125"/>
  <c r="Z159" i="125"/>
  <c r="Z158" i="125"/>
  <c r="Z242" i="125"/>
  <c r="Z241" i="125"/>
  <c r="Z237" i="125"/>
  <c r="Z238" i="125"/>
  <c r="Z236" i="125"/>
  <c r="Z235" i="125"/>
  <c r="Z240" i="125"/>
  <c r="Z239" i="125"/>
  <c r="AB54" i="125"/>
  <c r="AB57" i="125" s="1"/>
  <c r="AB335" i="125"/>
  <c r="Z82" i="125"/>
  <c r="Z81" i="125"/>
  <c r="AA341" i="125"/>
  <c r="AA342" i="125" s="1"/>
  <c r="Z318" i="125"/>
  <c r="Z319" i="125"/>
  <c r="Z83" i="125"/>
  <c r="Z84" i="125"/>
  <c r="Z321" i="125"/>
  <c r="Z334" i="125" s="1"/>
  <c r="Z339" i="125" s="1"/>
  <c r="Z342" i="125" s="1"/>
  <c r="Z320" i="125"/>
  <c r="AD90" i="125"/>
  <c r="BJ90" i="125"/>
  <c r="BJ147" i="125" s="1"/>
  <c r="BJ152" i="125" s="1"/>
  <c r="BK237" i="125"/>
  <c r="BK238" i="125"/>
  <c r="BL248" i="125"/>
  <c r="BL305" i="125" s="1"/>
  <c r="BL310" i="125" s="1"/>
  <c r="AF248" i="125"/>
  <c r="BL169" i="125"/>
  <c r="BL226" i="125" s="1"/>
  <c r="BL231" i="125" s="1"/>
  <c r="AF169" i="125"/>
  <c r="BL11" i="125"/>
  <c r="BL68" i="125" s="1"/>
  <c r="BL73" i="125" s="1"/>
  <c r="AF11" i="125"/>
  <c r="BK80" i="125"/>
  <c r="BK79" i="125"/>
  <c r="BK317" i="125"/>
  <c r="BK316" i="125"/>
  <c r="BK316" i="120"/>
  <c r="BK317" i="120"/>
  <c r="AE316" i="124"/>
  <c r="AE317" i="124"/>
  <c r="BL11" i="124"/>
  <c r="BL68" i="124" s="1"/>
  <c r="BL73" i="124" s="1"/>
  <c r="AF11" i="124"/>
  <c r="AF68" i="124" s="1"/>
  <c r="AF73" i="124" s="1"/>
  <c r="BK316" i="124"/>
  <c r="BK317" i="124"/>
  <c r="BJ90" i="124"/>
  <c r="BJ147" i="124" s="1"/>
  <c r="BJ152" i="124" s="1"/>
  <c r="AD90" i="124"/>
  <c r="AD147" i="124" s="1"/>
  <c r="AD152" i="124" s="1"/>
  <c r="BK238" i="124"/>
  <c r="BK237" i="124"/>
  <c r="AE238" i="124"/>
  <c r="AE237" i="124"/>
  <c r="AE80" i="124"/>
  <c r="AE79" i="124"/>
  <c r="BK238" i="120"/>
  <c r="BK237" i="120"/>
  <c r="AF248" i="124"/>
  <c r="AF305" i="124" s="1"/>
  <c r="AF310" i="124" s="1"/>
  <c r="BL248" i="124"/>
  <c r="BL305" i="124" s="1"/>
  <c r="BL310" i="124" s="1"/>
  <c r="BL248" i="120"/>
  <c r="BL305" i="120" s="1"/>
  <c r="BL310" i="120" s="1"/>
  <c r="AF169" i="124"/>
  <c r="AF226" i="124" s="1"/>
  <c r="AF231" i="124" s="1"/>
  <c r="BL169" i="124"/>
  <c r="BL226" i="124" s="1"/>
  <c r="BL231" i="124" s="1"/>
  <c r="BL169" i="120"/>
  <c r="BL226" i="120" s="1"/>
  <c r="BL231" i="120" s="1"/>
  <c r="BK79" i="124"/>
  <c r="BK80" i="124"/>
  <c r="AF169" i="120"/>
  <c r="AF226" i="120" s="1"/>
  <c r="AF231" i="120" s="1"/>
  <c r="AF11" i="120"/>
  <c r="AF68" i="120" s="1"/>
  <c r="AF73" i="120" s="1"/>
  <c r="BL11" i="120"/>
  <c r="BL68" i="120" s="1"/>
  <c r="BL73" i="120" s="1"/>
  <c r="AD90" i="120"/>
  <c r="AD147" i="120" s="1"/>
  <c r="AD152" i="120" s="1"/>
  <c r="BJ90" i="120"/>
  <c r="BJ147" i="120" s="1"/>
  <c r="BJ152" i="120" s="1"/>
  <c r="AF248" i="120"/>
  <c r="AF305" i="120" s="1"/>
  <c r="AF310" i="120" s="1"/>
  <c r="AE316" i="120"/>
  <c r="AE317" i="120"/>
  <c r="AE15" i="77"/>
  <c r="AE80" i="120"/>
  <c r="AE79" i="120"/>
  <c r="AC13" i="77"/>
  <c r="BK79" i="120"/>
  <c r="BK80" i="120"/>
  <c r="AE12" i="77"/>
  <c r="AE237" i="120"/>
  <c r="AE238" i="120"/>
  <c r="AE14" i="77"/>
  <c r="CT51" i="67"/>
  <c r="CT49" i="67"/>
  <c r="CT44" i="67"/>
  <c r="CT58" i="67" s="1"/>
  <c r="CU24" i="67"/>
  <c r="CS21" i="67"/>
  <c r="CT26" i="67"/>
  <c r="CT17" i="67"/>
  <c r="CS17" i="67"/>
  <c r="CT46" i="67"/>
  <c r="CT41" i="67"/>
  <c r="CT37" i="67"/>
  <c r="CT43" i="67"/>
  <c r="CT45" i="67"/>
  <c r="CT39" i="67"/>
  <c r="CT40" i="67"/>
  <c r="CT38" i="67"/>
  <c r="CT47" i="67"/>
  <c r="CU13" i="67"/>
  <c r="CS25" i="67"/>
  <c r="CS59" i="67" s="1"/>
  <c r="CU12" i="67"/>
  <c r="CU9" i="67"/>
  <c r="CT23" i="67"/>
  <c r="CS23" i="67"/>
  <c r="CS57" i="67" s="1"/>
  <c r="CR27" i="67"/>
  <c r="CR61" i="67" s="1"/>
  <c r="CS19" i="67"/>
  <c r="CR20" i="67"/>
  <c r="CU10" i="67"/>
  <c r="CR18" i="67"/>
  <c r="CU11" i="67"/>
  <c r="DI32" i="95"/>
  <c r="DI30" i="95"/>
  <c r="DI16" i="95"/>
  <c r="DI13" i="95"/>
  <c r="DI37" i="95"/>
  <c r="DJ33" i="95"/>
  <c r="DI21" i="95"/>
  <c r="DJ32" i="95"/>
  <c r="DJ35" i="95"/>
  <c r="DJ30" i="95"/>
  <c r="DI35" i="95"/>
  <c r="DI33" i="95"/>
  <c r="DI18" i="95"/>
  <c r="DI15" i="95"/>
  <c r="DI20" i="95"/>
  <c r="DI38" i="95"/>
  <c r="DI50" i="95"/>
  <c r="DI45" i="95"/>
  <c r="DI42" i="95"/>
  <c r="DI47" i="95"/>
  <c r="DI44" i="95"/>
  <c r="DI49" i="95"/>
  <c r="BZ17" i="67"/>
  <c r="BZ40" i="67"/>
  <c r="BZ20" i="67"/>
  <c r="CV6" i="67"/>
  <c r="CU51" i="67" a="1"/>
  <c r="AD187" i="125"/>
  <c r="AD108" i="125"/>
  <c r="AD29" i="125"/>
  <c r="AC262" i="125"/>
  <c r="CV9" i="67" a="1"/>
  <c r="CU45" i="67" a="1"/>
  <c r="AD91" i="125"/>
  <c r="AC183" i="125"/>
  <c r="AD207" i="125"/>
  <c r="AD266" i="125"/>
  <c r="CU46" i="67" a="1"/>
  <c r="CS27" i="67" a="1"/>
  <c r="AD12" i="125"/>
  <c r="AD249" i="125"/>
  <c r="AD170" i="125"/>
  <c r="AD128" i="125"/>
  <c r="CU47" i="67" a="1"/>
  <c r="CT21" i="67" a="1"/>
  <c r="AD49" i="125"/>
  <c r="CU37" i="67" a="1"/>
  <c r="AC25" i="125"/>
  <c r="CS31" i="67" a="1"/>
  <c r="CU40" i="67" a="1"/>
  <c r="CV12" i="67" a="1"/>
  <c r="AD286" i="125"/>
  <c r="CU39" i="67" a="1"/>
  <c r="CS18" i="67" a="1"/>
  <c r="CT19" i="67" a="1"/>
  <c r="CU25" i="67" a="1"/>
  <c r="CU41" i="67" a="1"/>
  <c r="CV13" i="67" a="1"/>
  <c r="CV11" i="67" a="1"/>
  <c r="CS29" i="67" a="1"/>
  <c r="CU38" i="67" a="1"/>
  <c r="CU43" i="67" a="1"/>
  <c r="CV10" i="67" a="1"/>
  <c r="CU49" i="67" a="1"/>
  <c r="AC104" i="125"/>
  <c r="CS20" i="67" a="1"/>
  <c r="CT25" i="67" a="1"/>
  <c r="CU26" i="67" a="1"/>
  <c r="CU44" i="67" a="1"/>
  <c r="AB297" i="125" l="1"/>
  <c r="AB231" i="125"/>
  <c r="AB237" i="125" s="1"/>
  <c r="AA316" i="125"/>
  <c r="AB218" i="125"/>
  <c r="AB232" i="125"/>
  <c r="AB239" i="125" s="1"/>
  <c r="AB230" i="125"/>
  <c r="AB236" i="125" s="1"/>
  <c r="AB217" i="125"/>
  <c r="AB241" i="125"/>
  <c r="AA160" i="125"/>
  <c r="AB311" i="125"/>
  <c r="AB319" i="125" s="1"/>
  <c r="AA318" i="125"/>
  <c r="AC124" i="125"/>
  <c r="AA157" i="125"/>
  <c r="AB312" i="125"/>
  <c r="AB320" i="125" s="1"/>
  <c r="AB309" i="125"/>
  <c r="AB314" i="125" s="1"/>
  <c r="AC125" i="125"/>
  <c r="AC133" i="125" s="1"/>
  <c r="AC287" i="125"/>
  <c r="AA163" i="125"/>
  <c r="AA162" i="125"/>
  <c r="AA158" i="125"/>
  <c r="AA159" i="125"/>
  <c r="AA314" i="125"/>
  <c r="AF238" i="126"/>
  <c r="AF237" i="126"/>
  <c r="AJ237" i="126" s="1"/>
  <c r="AJ231" i="126"/>
  <c r="AJ238" i="126" s="1"/>
  <c r="AG169" i="126"/>
  <c r="AG226" i="126" s="1"/>
  <c r="AG231" i="126" s="1"/>
  <c r="BM169" i="126"/>
  <c r="BM226" i="126" s="1"/>
  <c r="BM231" i="126" s="1"/>
  <c r="AF317" i="126"/>
  <c r="AF316" i="126"/>
  <c r="AJ316" i="126" s="1"/>
  <c r="AJ310" i="126"/>
  <c r="AJ317" i="126" s="1"/>
  <c r="BL80" i="126"/>
  <c r="BL79" i="126"/>
  <c r="BP79" i="126" s="1"/>
  <c r="BP73" i="126"/>
  <c r="BP80" i="126" s="1"/>
  <c r="BL316" i="126"/>
  <c r="BP316" i="126" s="1"/>
  <c r="BL317" i="126"/>
  <c r="BP310" i="126"/>
  <c r="BM11" i="126"/>
  <c r="BM68" i="126" s="1"/>
  <c r="BM73" i="126" s="1"/>
  <c r="AG11" i="126"/>
  <c r="AG68" i="126" s="1"/>
  <c r="AG73" i="126" s="1"/>
  <c r="BM248" i="126"/>
  <c r="BM305" i="126" s="1"/>
  <c r="BM310" i="126" s="1"/>
  <c r="AG248" i="126"/>
  <c r="AG305" i="126" s="1"/>
  <c r="AG310" i="126" s="1"/>
  <c r="AB310" i="125"/>
  <c r="AB317" i="125" s="1"/>
  <c r="AB341" i="125"/>
  <c r="AB342" i="125" s="1"/>
  <c r="AB345" i="125" s="1"/>
  <c r="AF79" i="126"/>
  <c r="AJ79" i="126" s="1"/>
  <c r="AF80" i="126"/>
  <c r="AJ73" i="126"/>
  <c r="AJ80" i="126" s="1"/>
  <c r="BJ158" i="126"/>
  <c r="BJ159" i="126"/>
  <c r="AD159" i="126"/>
  <c r="AD158" i="126"/>
  <c r="AE90" i="126"/>
  <c r="AE147" i="126" s="1"/>
  <c r="AE152" i="126" s="1"/>
  <c r="BK90" i="126"/>
  <c r="BK147" i="126" s="1"/>
  <c r="BK152" i="126" s="1"/>
  <c r="BL237" i="126"/>
  <c r="BP237" i="126" s="1"/>
  <c r="BL238" i="126"/>
  <c r="BP231" i="126"/>
  <c r="BP238" i="126" s="1"/>
  <c r="AB152" i="125"/>
  <c r="AB159" i="125" s="1"/>
  <c r="AC203" i="125"/>
  <c r="AB154" i="125"/>
  <c r="AB153" i="125"/>
  <c r="AB139" i="125"/>
  <c r="AB138" i="125"/>
  <c r="AC204" i="125"/>
  <c r="AC212" i="125" s="1"/>
  <c r="AC34" i="125"/>
  <c r="AC44" i="125"/>
  <c r="AD134" i="125"/>
  <c r="AC281" i="125"/>
  <c r="AC271" i="125"/>
  <c r="AD55" i="125"/>
  <c r="AD292" i="125"/>
  <c r="AC202" i="125"/>
  <c r="AC192" i="125"/>
  <c r="AC123" i="125"/>
  <c r="AC113" i="125"/>
  <c r="AD337" i="125"/>
  <c r="AD213" i="125"/>
  <c r="AB59" i="125"/>
  <c r="AB60" i="125"/>
  <c r="AB72" i="125"/>
  <c r="AB73" i="125"/>
  <c r="AB74" i="125"/>
  <c r="AB75" i="125"/>
  <c r="AC131" i="125"/>
  <c r="AC129" i="125"/>
  <c r="AC289" i="125"/>
  <c r="AC290" i="125"/>
  <c r="AC46" i="125"/>
  <c r="AA80" i="125"/>
  <c r="AA79" i="125"/>
  <c r="AA84" i="125"/>
  <c r="AA83" i="125"/>
  <c r="AA241" i="125"/>
  <c r="AA242" i="125"/>
  <c r="AC210" i="125"/>
  <c r="AC208" i="125"/>
  <c r="AA82" i="125"/>
  <c r="AA81" i="125"/>
  <c r="AA239" i="125"/>
  <c r="AA240" i="125"/>
  <c r="AC282" i="125"/>
  <c r="AC45" i="125"/>
  <c r="Z344" i="125"/>
  <c r="Z345" i="125"/>
  <c r="AB156" i="125"/>
  <c r="AB157" i="125"/>
  <c r="AA238" i="125"/>
  <c r="AA237" i="125"/>
  <c r="AC52" i="125"/>
  <c r="AC50" i="125"/>
  <c r="AA345" i="125"/>
  <c r="AA344" i="125"/>
  <c r="AA77" i="125"/>
  <c r="AA78" i="125"/>
  <c r="AA236" i="125"/>
  <c r="AA235" i="125"/>
  <c r="BL317" i="125"/>
  <c r="BL316" i="125"/>
  <c r="AE90" i="125"/>
  <c r="BK90" i="125"/>
  <c r="BK147" i="125" s="1"/>
  <c r="BK152" i="125" s="1"/>
  <c r="AG169" i="125"/>
  <c r="BM169" i="125"/>
  <c r="BM226" i="125" s="1"/>
  <c r="BM231" i="125" s="1"/>
  <c r="BP231" i="125" s="1"/>
  <c r="BP238" i="125" s="1"/>
  <c r="BJ158" i="125"/>
  <c r="BJ159" i="125"/>
  <c r="BL80" i="125"/>
  <c r="BL79" i="125"/>
  <c r="BM11" i="125"/>
  <c r="BM68" i="125" s="1"/>
  <c r="BM73" i="125" s="1"/>
  <c r="BP73" i="125" s="1"/>
  <c r="BP80" i="125" s="1"/>
  <c r="AG11" i="125"/>
  <c r="AG248" i="125"/>
  <c r="BM248" i="125"/>
  <c r="BM305" i="125" s="1"/>
  <c r="BM310" i="125" s="1"/>
  <c r="BP310" i="125" s="1"/>
  <c r="BP317" i="125" s="1"/>
  <c r="BL238" i="125"/>
  <c r="BL237" i="125"/>
  <c r="AG11" i="124"/>
  <c r="AG68" i="124" s="1"/>
  <c r="AG73" i="124" s="1"/>
  <c r="AJ73" i="124" s="1"/>
  <c r="AJ80" i="124" s="1"/>
  <c r="BM11" i="124"/>
  <c r="BM68" i="124" s="1"/>
  <c r="BM73" i="124" s="1"/>
  <c r="BP73" i="124" s="1"/>
  <c r="BP80" i="124" s="1"/>
  <c r="BL237" i="120"/>
  <c r="BL238" i="120"/>
  <c r="BM248" i="124"/>
  <c r="BM305" i="124" s="1"/>
  <c r="BM310" i="124" s="1"/>
  <c r="BP310" i="124" s="1"/>
  <c r="BP317" i="124" s="1"/>
  <c r="BM248" i="120"/>
  <c r="BM305" i="120" s="1"/>
  <c r="BM310" i="120" s="1"/>
  <c r="AG248" i="124"/>
  <c r="AG305" i="124" s="1"/>
  <c r="AG310" i="124" s="1"/>
  <c r="AJ310" i="124" s="1"/>
  <c r="AJ317" i="124" s="1"/>
  <c r="BJ159" i="120"/>
  <c r="BJ158" i="120"/>
  <c r="BL237" i="124"/>
  <c r="BL238" i="124"/>
  <c r="AF237" i="124"/>
  <c r="AF238" i="124"/>
  <c r="AF80" i="124"/>
  <c r="AF79" i="124"/>
  <c r="BL316" i="120"/>
  <c r="BL317" i="120"/>
  <c r="BL79" i="124"/>
  <c r="BL80" i="124"/>
  <c r="BL316" i="124"/>
  <c r="BL317" i="124"/>
  <c r="BM169" i="124"/>
  <c r="BM226" i="124" s="1"/>
  <c r="BM231" i="124" s="1"/>
  <c r="BP231" i="124" s="1"/>
  <c r="BP238" i="124" s="1"/>
  <c r="AG169" i="124"/>
  <c r="AG226" i="124" s="1"/>
  <c r="AG231" i="124" s="1"/>
  <c r="AJ231" i="124" s="1"/>
  <c r="AJ238" i="124" s="1"/>
  <c r="BM169" i="120"/>
  <c r="BM226" i="120" s="1"/>
  <c r="BM231" i="120" s="1"/>
  <c r="BK90" i="124"/>
  <c r="BK147" i="124" s="1"/>
  <c r="BK152" i="124" s="1"/>
  <c r="AE90" i="124"/>
  <c r="AE147" i="124" s="1"/>
  <c r="AE152" i="124" s="1"/>
  <c r="AF317" i="124"/>
  <c r="AF316" i="124"/>
  <c r="AD158" i="124"/>
  <c r="AD159" i="124"/>
  <c r="BJ158" i="124"/>
  <c r="BJ159" i="124"/>
  <c r="AG248" i="120"/>
  <c r="AG305" i="120" s="1"/>
  <c r="AG310" i="120" s="1"/>
  <c r="AG169" i="120"/>
  <c r="BK90" i="120"/>
  <c r="BK147" i="120" s="1"/>
  <c r="BK152" i="120" s="1"/>
  <c r="AE90" i="120"/>
  <c r="AE147" i="120" s="1"/>
  <c r="AE152" i="120" s="1"/>
  <c r="BM11" i="120"/>
  <c r="AG11" i="120"/>
  <c r="I68" i="120"/>
  <c r="I73" i="120" s="1"/>
  <c r="AF317" i="120"/>
  <c r="AF316" i="120"/>
  <c r="J226" i="120"/>
  <c r="J231" i="120" s="1"/>
  <c r="AP68" i="120"/>
  <c r="AP73" i="120" s="1"/>
  <c r="J147" i="120"/>
  <c r="J152" i="120" s="1"/>
  <c r="J305" i="120"/>
  <c r="J310" i="120" s="1"/>
  <c r="J68" i="120"/>
  <c r="J73" i="120" s="1"/>
  <c r="AF237" i="120"/>
  <c r="AF238" i="120"/>
  <c r="BL80" i="120"/>
  <c r="BL79" i="120"/>
  <c r="AD158" i="120"/>
  <c r="AD159" i="120"/>
  <c r="AG226" i="120"/>
  <c r="AG231" i="120" s="1"/>
  <c r="AF79" i="120"/>
  <c r="AF80" i="120"/>
  <c r="AD13" i="77"/>
  <c r="AG68" i="120"/>
  <c r="AG73" i="120" s="1"/>
  <c r="BM68" i="120"/>
  <c r="BM73" i="120" s="1"/>
  <c r="CU49" i="67"/>
  <c r="CU51" i="67"/>
  <c r="CT57" i="67"/>
  <c r="CU44" i="67"/>
  <c r="CU58" i="67" s="1"/>
  <c r="CS29" i="67"/>
  <c r="CS31" i="67"/>
  <c r="CT21" i="67"/>
  <c r="CT60" i="67"/>
  <c r="CU26" i="67"/>
  <c r="CR65" i="67"/>
  <c r="CT48" i="67"/>
  <c r="CU46" i="67"/>
  <c r="CU41" i="67"/>
  <c r="CU37" i="67"/>
  <c r="CU43" i="67"/>
  <c r="CU45" i="67"/>
  <c r="CU40" i="67"/>
  <c r="CU38" i="67"/>
  <c r="CU47" i="67"/>
  <c r="CU39" i="67"/>
  <c r="CV13" i="67"/>
  <c r="CS20" i="67"/>
  <c r="CV9" i="67"/>
  <c r="CS18" i="67"/>
  <c r="CV10" i="67"/>
  <c r="CS27" i="67"/>
  <c r="CS61" i="67" s="1"/>
  <c r="CV11" i="67"/>
  <c r="CV12" i="67"/>
  <c r="CT25" i="67"/>
  <c r="CT59" i="67" s="1"/>
  <c r="CT19" i="67"/>
  <c r="CU25" i="67"/>
  <c r="CR63" i="67"/>
  <c r="CS28" i="67"/>
  <c r="CS62" i="67" s="1"/>
  <c r="CW6" i="67"/>
  <c r="CV47" i="67" a="1"/>
  <c r="CV49" i="67" a="1"/>
  <c r="CV45" i="67" a="1"/>
  <c r="CV24" i="67" a="1"/>
  <c r="CW10" i="67" a="1"/>
  <c r="CV44" i="67" a="1"/>
  <c r="AD149" i="125" a="1"/>
  <c r="CV51" i="67" a="1"/>
  <c r="AC30" i="125"/>
  <c r="CV43" i="67" a="1"/>
  <c r="AD105" i="125"/>
  <c r="CT27" i="67" a="1"/>
  <c r="CV39" i="67" a="1"/>
  <c r="AE12" i="125"/>
  <c r="CV46" i="67" a="1"/>
  <c r="CU21" i="67" a="1"/>
  <c r="AD264" i="125"/>
  <c r="AD70" i="125" a="1"/>
  <c r="AC188" i="125"/>
  <c r="CT29" i="67" a="1"/>
  <c r="AD307" i="125" a="1"/>
  <c r="DI9" i="95" a="1"/>
  <c r="AE49" i="125"/>
  <c r="AD228" i="125" a="1"/>
  <c r="AD174" i="125"/>
  <c r="DG26" i="95" a="1"/>
  <c r="CV40" i="67" a="1"/>
  <c r="AD27" i="125"/>
  <c r="AD106" i="125"/>
  <c r="CV41" i="67" a="1"/>
  <c r="CT20" i="67" a="1"/>
  <c r="DI26" i="95" a="1"/>
  <c r="CU19" i="67" a="1"/>
  <c r="AD263" i="125"/>
  <c r="CV38" i="67" a="1"/>
  <c r="AE249" i="125"/>
  <c r="AD16" i="125"/>
  <c r="CW13" i="67" a="1"/>
  <c r="AE128" i="125"/>
  <c r="DG31" i="95" a="1"/>
  <c r="AC109" i="125"/>
  <c r="AD148" i="125" a="1"/>
  <c r="CU23" i="67" a="1"/>
  <c r="AE266" i="125"/>
  <c r="AD306" i="125" a="1"/>
  <c r="AC267" i="125"/>
  <c r="CV37" i="67" a="1"/>
  <c r="AD95" i="125"/>
  <c r="CU17" i="67" a="1"/>
  <c r="CW11" i="67" a="1"/>
  <c r="AD184" i="125"/>
  <c r="AE207" i="125"/>
  <c r="AE108" i="125"/>
  <c r="AD227" i="125" a="1"/>
  <c r="CW12" i="67" a="1"/>
  <c r="CT31" i="67" a="1"/>
  <c r="AD26" i="125"/>
  <c r="AD253" i="125"/>
  <c r="CT18" i="67" a="1"/>
  <c r="AE170" i="125"/>
  <c r="AE91" i="125"/>
  <c r="AE29" i="125"/>
  <c r="AE286" i="125"/>
  <c r="AE187" i="125"/>
  <c r="AD185" i="125"/>
  <c r="AD69" i="125" a="1"/>
  <c r="AB238" i="125" l="1"/>
  <c r="AB321" i="125"/>
  <c r="AB235" i="125"/>
  <c r="AB240" i="125"/>
  <c r="AB318" i="125"/>
  <c r="AB315" i="125"/>
  <c r="AB316" i="125"/>
  <c r="AC136" i="125"/>
  <c r="AC152" i="125" s="1"/>
  <c r="AC158" i="125" s="1"/>
  <c r="AC126" i="125"/>
  <c r="AC333" i="125"/>
  <c r="AB344" i="125"/>
  <c r="DG26" i="95"/>
  <c r="DG31" i="95"/>
  <c r="BP317" i="126"/>
  <c r="AC215" i="125"/>
  <c r="AC233" i="125" s="1"/>
  <c r="AB158" i="125"/>
  <c r="BM80" i="126"/>
  <c r="BM79" i="126"/>
  <c r="BO79" i="126" s="1"/>
  <c r="AF90" i="126"/>
  <c r="AF147" i="126" s="1"/>
  <c r="AF152" i="126" s="1"/>
  <c r="BL90" i="126"/>
  <c r="BL147" i="126" s="1"/>
  <c r="BL152" i="126" s="1"/>
  <c r="BK158" i="126"/>
  <c r="BK159" i="126"/>
  <c r="BM237" i="126"/>
  <c r="BO237" i="126" s="1"/>
  <c r="BM238" i="126"/>
  <c r="AE159" i="126"/>
  <c r="AE158" i="126"/>
  <c r="AG238" i="126"/>
  <c r="AG237" i="126"/>
  <c r="AI237" i="126" s="1"/>
  <c r="AG317" i="126"/>
  <c r="AG316" i="126"/>
  <c r="AI316" i="126" s="1"/>
  <c r="BM317" i="126"/>
  <c r="BM316" i="126"/>
  <c r="BO316" i="126" s="1"/>
  <c r="AG79" i="126"/>
  <c r="AI79" i="126" s="1"/>
  <c r="AG80" i="126"/>
  <c r="AC205" i="125"/>
  <c r="AB160" i="125"/>
  <c r="AB161" i="125"/>
  <c r="AB163" i="125"/>
  <c r="AB162" i="125"/>
  <c r="AD70" i="125"/>
  <c r="AD254" i="125"/>
  <c r="AD290" i="125" s="1"/>
  <c r="AD305" i="125"/>
  <c r="AD175" i="125"/>
  <c r="AD203" i="125" s="1"/>
  <c r="AD226" i="125"/>
  <c r="AD69" i="125"/>
  <c r="AD96" i="125"/>
  <c r="AD132" i="125" s="1"/>
  <c r="AD147" i="125"/>
  <c r="AE134" i="125"/>
  <c r="AD17" i="125"/>
  <c r="AD53" i="125" s="1"/>
  <c r="AD68" i="125"/>
  <c r="AE55" i="125"/>
  <c r="AE292" i="125"/>
  <c r="AD269" i="125"/>
  <c r="AD306" i="125"/>
  <c r="AD111" i="125"/>
  <c r="AE337" i="125"/>
  <c r="AD228" i="125"/>
  <c r="AD32" i="125"/>
  <c r="AD307" i="125"/>
  <c r="AD227" i="125"/>
  <c r="AD148" i="125"/>
  <c r="AD190" i="125"/>
  <c r="AD149" i="125"/>
  <c r="AE213" i="125"/>
  <c r="AC54" i="125"/>
  <c r="AC57" i="125" s="1"/>
  <c r="AC335" i="125"/>
  <c r="AC284" i="125"/>
  <c r="AC334" i="125"/>
  <c r="AC339" i="125" s="1"/>
  <c r="AC294" i="125"/>
  <c r="AB84" i="125"/>
  <c r="AB83" i="125"/>
  <c r="AB82" i="125"/>
  <c r="AB81" i="125"/>
  <c r="AC47" i="125"/>
  <c r="AB79" i="125"/>
  <c r="AB80" i="125"/>
  <c r="AB78" i="125"/>
  <c r="AB77" i="125"/>
  <c r="BM317" i="125"/>
  <c r="BM316" i="125"/>
  <c r="BO316" i="125" s="1"/>
  <c r="BK158" i="125"/>
  <c r="BK159" i="125"/>
  <c r="BM79" i="125"/>
  <c r="BO79" i="125" s="1"/>
  <c r="BM80" i="125"/>
  <c r="AF90" i="125"/>
  <c r="BL90" i="125"/>
  <c r="BL147" i="125" s="1"/>
  <c r="BL152" i="125" s="1"/>
  <c r="BM237" i="125"/>
  <c r="BO237" i="125" s="1"/>
  <c r="BM238" i="125"/>
  <c r="AE159" i="124"/>
  <c r="AE158" i="124"/>
  <c r="AG317" i="124"/>
  <c r="AG316" i="124"/>
  <c r="AI316" i="124" s="1"/>
  <c r="BK159" i="124"/>
  <c r="BK158" i="124"/>
  <c r="BM316" i="120"/>
  <c r="BM317" i="120"/>
  <c r="BM237" i="120"/>
  <c r="BM238" i="120"/>
  <c r="BM316" i="124"/>
  <c r="BO316" i="124" s="1"/>
  <c r="BM317" i="124"/>
  <c r="AG238" i="124"/>
  <c r="AG237" i="124"/>
  <c r="AI237" i="124" s="1"/>
  <c r="AF90" i="124"/>
  <c r="AF147" i="124" s="1"/>
  <c r="AF152" i="124" s="1"/>
  <c r="BL90" i="124"/>
  <c r="BL147" i="124" s="1"/>
  <c r="BL152" i="124" s="1"/>
  <c r="BM237" i="124"/>
  <c r="BO237" i="124" s="1"/>
  <c r="BM238" i="124"/>
  <c r="BM80" i="124"/>
  <c r="BM79" i="124"/>
  <c r="BO79" i="124" s="1"/>
  <c r="BK158" i="120"/>
  <c r="BK159" i="120"/>
  <c r="AG79" i="124"/>
  <c r="AI79" i="124" s="1"/>
  <c r="AG80" i="124"/>
  <c r="DI26" i="95"/>
  <c r="DI9" i="95"/>
  <c r="AF90" i="120"/>
  <c r="BL90" i="120"/>
  <c r="I79" i="120"/>
  <c r="I80" i="120"/>
  <c r="J79" i="120"/>
  <c r="J80" i="120"/>
  <c r="AJ73" i="120"/>
  <c r="AJ80" i="120" s="1"/>
  <c r="J317" i="120"/>
  <c r="J316" i="120"/>
  <c r="AJ310" i="120"/>
  <c r="BM80" i="120"/>
  <c r="BM79" i="120"/>
  <c r="J159" i="120"/>
  <c r="J158" i="120"/>
  <c r="AG79" i="120"/>
  <c r="AG80" i="120"/>
  <c r="AP80" i="120"/>
  <c r="AP79" i="120"/>
  <c r="BP73" i="120"/>
  <c r="BP80" i="120" s="1"/>
  <c r="AG237" i="120"/>
  <c r="AG238" i="120"/>
  <c r="BP231" i="120"/>
  <c r="BP238" i="120" s="1"/>
  <c r="J237" i="120"/>
  <c r="J238" i="120"/>
  <c r="AJ231" i="120"/>
  <c r="AJ238" i="120" s="1"/>
  <c r="AE158" i="120"/>
  <c r="AE159" i="120"/>
  <c r="AG317" i="120"/>
  <c r="AG316" i="120"/>
  <c r="AE13" i="77"/>
  <c r="AF147" i="120"/>
  <c r="BP310" i="120"/>
  <c r="CV24" i="67"/>
  <c r="CV51" i="67"/>
  <c r="CV49" i="67"/>
  <c r="CV44" i="67"/>
  <c r="CT29" i="67"/>
  <c r="CT31" i="67"/>
  <c r="CU21" i="67"/>
  <c r="CU60" i="67"/>
  <c r="CS65" i="67"/>
  <c r="CU17" i="67"/>
  <c r="CT28" i="67"/>
  <c r="CT62" i="67" s="1"/>
  <c r="CW13" i="67"/>
  <c r="CV46" i="67"/>
  <c r="CV41" i="67"/>
  <c r="CV37" i="67"/>
  <c r="CV43" i="67"/>
  <c r="CV45" i="67"/>
  <c r="CV39" i="67"/>
  <c r="CV47" i="67"/>
  <c r="CV40" i="67"/>
  <c r="CV38" i="67"/>
  <c r="CU48" i="67"/>
  <c r="CU59" i="67"/>
  <c r="CU23" i="67"/>
  <c r="CU57" i="67" s="1"/>
  <c r="CT18" i="67"/>
  <c r="CT20" i="67"/>
  <c r="CT27" i="67"/>
  <c r="CT61" i="67" s="1"/>
  <c r="CW10" i="67"/>
  <c r="CW12" i="67"/>
  <c r="CW11" i="67"/>
  <c r="CU19" i="67"/>
  <c r="CS63" i="67"/>
  <c r="DI19" i="95" a="1"/>
  <c r="AF207" i="125"/>
  <c r="DH8" i="94" a="1"/>
  <c r="AF170" i="125"/>
  <c r="DH28" i="94" a="1"/>
  <c r="CV26" i="67" a="1"/>
  <c r="DG27" i="94" a="1"/>
  <c r="AD183" i="125"/>
  <c r="CU29" i="67" a="1"/>
  <c r="AF12" i="125"/>
  <c r="DH28" i="93" a="1"/>
  <c r="DH25" i="94" a="1"/>
  <c r="DH10" i="93" a="1"/>
  <c r="CW9" i="67" a="1"/>
  <c r="AE184" i="125"/>
  <c r="AF128" i="125"/>
  <c r="DG25" i="93" a="1"/>
  <c r="DH10" i="94" a="1"/>
  <c r="DJ26" i="95" a="1"/>
  <c r="AF29" i="125"/>
  <c r="AE69" i="125" a="1"/>
  <c r="AD104" i="125"/>
  <c r="DH26" i="94" a="1"/>
  <c r="CU31" i="67" a="1"/>
  <c r="AF249" i="125"/>
  <c r="L69" i="30"/>
  <c r="AE307" i="125" a="1"/>
  <c r="AF187" i="125"/>
  <c r="AF49" i="125"/>
  <c r="AE27" i="125"/>
  <c r="DH9" i="94" a="1"/>
  <c r="DH27" i="94" a="1"/>
  <c r="AF266" i="125"/>
  <c r="DG36" i="95" a="1"/>
  <c r="AE264" i="125"/>
  <c r="DH9" i="82" a="1"/>
  <c r="DG27" i="93" a="1"/>
  <c r="AF108" i="125"/>
  <c r="AE185" i="125"/>
  <c r="DH25" i="93" a="1"/>
  <c r="DI27" i="82" a="1"/>
  <c r="AE227" i="125" a="1"/>
  <c r="DI8" i="82" a="1"/>
  <c r="DI9" i="82" a="1"/>
  <c r="DI26" i="82" a="1"/>
  <c r="AE106" i="125"/>
  <c r="AE306" i="125" a="1"/>
  <c r="AE95" i="125"/>
  <c r="DG26" i="94" a="1"/>
  <c r="AE148" i="125" a="1"/>
  <c r="L65" i="30"/>
  <c r="DG28" i="94" a="1"/>
  <c r="AE16" i="125"/>
  <c r="AD262" i="125"/>
  <c r="L71" i="30"/>
  <c r="DJ25" i="82" a="1"/>
  <c r="DH8" i="93" a="1"/>
  <c r="AF286" i="125"/>
  <c r="DH26" i="95" a="1"/>
  <c r="DI25" i="82" a="1"/>
  <c r="DG27" i="82" a="1"/>
  <c r="AE105" i="125"/>
  <c r="DH11" i="93" a="1"/>
  <c r="DH27" i="93" a="1"/>
  <c r="AE263" i="125"/>
  <c r="L70" i="30"/>
  <c r="DG28" i="93" a="1"/>
  <c r="AE26" i="125"/>
  <c r="DH9" i="95" a="1"/>
  <c r="AE70" i="125" a="1"/>
  <c r="DG25" i="94" a="1"/>
  <c r="AE228" i="125" a="1"/>
  <c r="L68" i="30"/>
  <c r="AE253" i="125"/>
  <c r="L64" i="30"/>
  <c r="BZ46" i="67" a="1"/>
  <c r="DI36" i="95" a="1"/>
  <c r="DH11" i="94" a="1"/>
  <c r="DI28" i="82" a="1"/>
  <c r="AF91" i="125"/>
  <c r="AD25" i="125"/>
  <c r="AE149" i="125" a="1"/>
  <c r="AE174" i="125"/>
  <c r="CV25" i="67" a="1"/>
  <c r="AD125" i="125" l="1"/>
  <c r="AD133" i="125" s="1"/>
  <c r="AC138" i="125"/>
  <c r="AC154" i="125"/>
  <c r="AC162" i="125" s="1"/>
  <c r="AC159" i="125"/>
  <c r="AC151" i="125"/>
  <c r="AC156" i="125" s="1"/>
  <c r="AC139" i="125"/>
  <c r="AC153" i="125"/>
  <c r="AC230" i="125"/>
  <c r="AC236" i="125" s="1"/>
  <c r="AC341" i="125"/>
  <c r="AC342" i="125" s="1"/>
  <c r="AC217" i="125"/>
  <c r="AC218" i="125"/>
  <c r="DG36" i="95"/>
  <c r="AC232" i="125"/>
  <c r="AC231" i="125"/>
  <c r="AD46" i="125"/>
  <c r="AD54" i="125" s="1"/>
  <c r="BM90" i="126"/>
  <c r="BM147" i="126" s="1"/>
  <c r="BM152" i="126" s="1"/>
  <c r="AG90" i="126"/>
  <c r="AG147" i="126" s="1"/>
  <c r="AG152" i="126" s="1"/>
  <c r="BL158" i="126"/>
  <c r="BP158" i="126" s="1"/>
  <c r="BL159" i="126"/>
  <c r="BP152" i="126"/>
  <c r="AD45" i="125"/>
  <c r="AF159" i="126"/>
  <c r="AF158" i="126"/>
  <c r="AJ158" i="126" s="1"/>
  <c r="AJ152" i="126"/>
  <c r="AJ159" i="126" s="1"/>
  <c r="BP316" i="125"/>
  <c r="BP79" i="125"/>
  <c r="AD282" i="125"/>
  <c r="AD283" i="125"/>
  <c r="AD291" i="125" s="1"/>
  <c r="AE306" i="125"/>
  <c r="AE149" i="125"/>
  <c r="AF337" i="125"/>
  <c r="AE96" i="125"/>
  <c r="AE125" i="125" s="1"/>
  <c r="AE133" i="125" s="1"/>
  <c r="AE147" i="125"/>
  <c r="AE190" i="125"/>
  <c r="AE269" i="125"/>
  <c r="AF134" i="125"/>
  <c r="AF213" i="125"/>
  <c r="AE307" i="125"/>
  <c r="AE17" i="125"/>
  <c r="AE53" i="125" s="1"/>
  <c r="AE68" i="125"/>
  <c r="AE227" i="125"/>
  <c r="AF292" i="125"/>
  <c r="AD123" i="125"/>
  <c r="AD113" i="125"/>
  <c r="AE69" i="125"/>
  <c r="AF55" i="125"/>
  <c r="AD192" i="125"/>
  <c r="AD202" i="125"/>
  <c r="AE70" i="125"/>
  <c r="AE228" i="125"/>
  <c r="AE32" i="125"/>
  <c r="AE175" i="125"/>
  <c r="AE211" i="125" s="1"/>
  <c r="AE226" i="125"/>
  <c r="AD34" i="125"/>
  <c r="AD44" i="125"/>
  <c r="AE111" i="125"/>
  <c r="AE148" i="125"/>
  <c r="AD281" i="125"/>
  <c r="AD271" i="125"/>
  <c r="AE254" i="125"/>
  <c r="AE290" i="125" s="1"/>
  <c r="AE305" i="125"/>
  <c r="AC242" i="125"/>
  <c r="AC241" i="125"/>
  <c r="AC297" i="125"/>
  <c r="AC296" i="125"/>
  <c r="AC309" i="125"/>
  <c r="AC310" i="125"/>
  <c r="AC311" i="125"/>
  <c r="AC312" i="125"/>
  <c r="AD208" i="125"/>
  <c r="AD210" i="125"/>
  <c r="BP237" i="125"/>
  <c r="AD124" i="125"/>
  <c r="AD129" i="125"/>
  <c r="AD131" i="125"/>
  <c r="AD204" i="125"/>
  <c r="AD211" i="125"/>
  <c r="AC60" i="125"/>
  <c r="AC72" i="125"/>
  <c r="AC59" i="125"/>
  <c r="AC74" i="125"/>
  <c r="AC75" i="125"/>
  <c r="AC73" i="125"/>
  <c r="AD52" i="125"/>
  <c r="AD50" i="125"/>
  <c r="AD289" i="125"/>
  <c r="AD287" i="125"/>
  <c r="AG90" i="125"/>
  <c r="BM90" i="125"/>
  <c r="BM147" i="125" s="1"/>
  <c r="BM152" i="125" s="1"/>
  <c r="BP152" i="125" s="1"/>
  <c r="BP159" i="125" s="1"/>
  <c r="BL158" i="125"/>
  <c r="BL159" i="125"/>
  <c r="AJ237" i="124"/>
  <c r="BP237" i="124"/>
  <c r="AJ79" i="124"/>
  <c r="AJ316" i="124"/>
  <c r="BP79" i="124"/>
  <c r="BP316" i="124"/>
  <c r="BL147" i="120"/>
  <c r="BL152" i="120" s="1"/>
  <c r="BL159" i="124"/>
  <c r="BL158" i="124"/>
  <c r="AF158" i="124"/>
  <c r="AF159" i="124"/>
  <c r="AG90" i="124"/>
  <c r="AG147" i="124" s="1"/>
  <c r="AG152" i="124" s="1"/>
  <c r="AJ152" i="124" s="1"/>
  <c r="AJ159" i="124" s="1"/>
  <c r="BM90" i="124"/>
  <c r="BM147" i="124" s="1"/>
  <c r="BM152" i="124" s="1"/>
  <c r="BP152" i="124" s="1"/>
  <c r="BP159" i="124" s="1"/>
  <c r="AF152" i="120"/>
  <c r="AJ152" i="120" s="1"/>
  <c r="DJ26" i="95"/>
  <c r="DI19" i="95"/>
  <c r="DI36" i="95"/>
  <c r="DI43" i="95"/>
  <c r="DI48" i="95"/>
  <c r="BM90" i="120"/>
  <c r="BM147" i="120" s="1"/>
  <c r="BM152" i="120" s="1"/>
  <c r="AG90" i="120"/>
  <c r="AG147" i="120" s="1"/>
  <c r="AG152" i="120" s="1"/>
  <c r="DH9" i="95"/>
  <c r="DH26" i="95"/>
  <c r="AJ317" i="120"/>
  <c r="BP317" i="120"/>
  <c r="AJ316" i="120"/>
  <c r="AI316" i="120"/>
  <c r="BP237" i="120"/>
  <c r="BO237" i="120"/>
  <c r="BP79" i="120"/>
  <c r="BO79" i="120"/>
  <c r="AI237" i="120"/>
  <c r="AJ237" i="120"/>
  <c r="BP316" i="120"/>
  <c r="BO316" i="120"/>
  <c r="AJ79" i="120"/>
  <c r="AI79" i="120"/>
  <c r="CV58" i="67"/>
  <c r="CV26" i="67"/>
  <c r="CV60" i="67" s="1"/>
  <c r="CT65" i="67"/>
  <c r="CU31" i="67"/>
  <c r="CU29" i="67"/>
  <c r="CW9" i="67"/>
  <c r="CV48" i="67"/>
  <c r="CV25" i="67"/>
  <c r="CV59" i="67" s="1"/>
  <c r="CU28" i="67"/>
  <c r="CU62" i="67" s="1"/>
  <c r="CT63" i="67"/>
  <c r="DG26" i="94"/>
  <c r="DH25" i="94"/>
  <c r="DH9" i="94"/>
  <c r="DH27" i="94"/>
  <c r="DH10" i="94"/>
  <c r="DG27" i="94"/>
  <c r="DG28" i="94"/>
  <c r="DH8" i="94"/>
  <c r="DH26" i="94"/>
  <c r="DG25" i="94"/>
  <c r="DH11" i="94"/>
  <c r="DH28" i="94"/>
  <c r="DH11" i="93"/>
  <c r="DH28" i="93"/>
  <c r="DH25" i="93"/>
  <c r="DH27" i="93"/>
  <c r="DH10" i="93"/>
  <c r="DH8" i="93"/>
  <c r="DG25" i="93"/>
  <c r="DG28" i="93"/>
  <c r="DG27" i="93"/>
  <c r="DI27" i="82"/>
  <c r="DI26" i="82"/>
  <c r="DI28" i="82"/>
  <c r="DG27" i="82"/>
  <c r="DI25" i="82"/>
  <c r="DJ25" i="82"/>
  <c r="DI8" i="82"/>
  <c r="DH9" i="82"/>
  <c r="DI9" i="82"/>
  <c r="BZ46" i="67"/>
  <c r="BZ60" i="67" s="1"/>
  <c r="CX6" i="67"/>
  <c r="AF184" i="125"/>
  <c r="AE262" i="125"/>
  <c r="AE183" i="125"/>
  <c r="DH31" i="94" a="1"/>
  <c r="AF264" i="125"/>
  <c r="AF263" i="125"/>
  <c r="AF227" i="125" a="1"/>
  <c r="AF106" i="125"/>
  <c r="CW24" i="67" a="1"/>
  <c r="CW41" i="67" a="1"/>
  <c r="DH31" i="95" a="1"/>
  <c r="AF148" i="125" a="1"/>
  <c r="AF174" i="125"/>
  <c r="AF69" i="125" a="1"/>
  <c r="CU18" i="67" a="1"/>
  <c r="L67" i="30"/>
  <c r="AF306" i="125" a="1"/>
  <c r="CW49" i="67" a="1"/>
  <c r="CW23" i="67" a="1"/>
  <c r="CV19" i="67" a="1"/>
  <c r="CX13" i="67" a="1"/>
  <c r="DH36" i="95" a="1"/>
  <c r="CW51" i="67" a="1"/>
  <c r="DH9" i="93" a="1"/>
  <c r="DI31" i="95" a="1"/>
  <c r="AF26" i="125"/>
  <c r="DJ36" i="95" a="1"/>
  <c r="CU27" i="67" a="1"/>
  <c r="CW44" i="67" a="1"/>
  <c r="DH14" i="95" a="1"/>
  <c r="AE25" i="125"/>
  <c r="AD188" i="125"/>
  <c r="CX11" i="67" a="1"/>
  <c r="CW45" i="67" a="1"/>
  <c r="AF149" i="125" a="1"/>
  <c r="CW37" i="67" a="1"/>
  <c r="AF95" i="125"/>
  <c r="AD109" i="125"/>
  <c r="CW38" i="67" a="1"/>
  <c r="CV17" i="67" a="1"/>
  <c r="CX10" i="67" a="1"/>
  <c r="AF307" i="125" a="1"/>
  <c r="CX9" i="67" a="1"/>
  <c r="CX12" i="67" a="1"/>
  <c r="DJ31" i="95" a="1"/>
  <c r="AF27" i="125"/>
  <c r="CV23" i="67" a="1"/>
  <c r="CV21" i="67" a="1"/>
  <c r="DG33" i="82" a="1"/>
  <c r="AF253" i="125"/>
  <c r="DH35" i="93" a="1"/>
  <c r="AD267" i="125"/>
  <c r="CW40" i="67" a="1"/>
  <c r="DH19" i="95" a="1"/>
  <c r="CW43" i="67" a="1"/>
  <c r="CW46" i="67" a="1"/>
  <c r="L66" i="30"/>
  <c r="AD30" i="125"/>
  <c r="DH33" i="93" a="1"/>
  <c r="DI14" i="95" a="1"/>
  <c r="CU20" i="67" a="1"/>
  <c r="DH25" i="82" a="1"/>
  <c r="AF16" i="125"/>
  <c r="DG26" i="93" a="1"/>
  <c r="AF228" i="125" a="1"/>
  <c r="AF70" i="125" a="1"/>
  <c r="AF105" i="125"/>
  <c r="AF185" i="125"/>
  <c r="AE104" i="125"/>
  <c r="CW47" i="67" a="1"/>
  <c r="CW39" i="67" a="1"/>
  <c r="AC235" i="125" l="1"/>
  <c r="AD136" i="125"/>
  <c r="AD153" i="125" s="1"/>
  <c r="AD160" i="125" s="1"/>
  <c r="AC163" i="125"/>
  <c r="AC157" i="125"/>
  <c r="AC161" i="125"/>
  <c r="AC160" i="125"/>
  <c r="AD57" i="125"/>
  <c r="AD73" i="125" s="1"/>
  <c r="AD79" i="125" s="1"/>
  <c r="AD334" i="125"/>
  <c r="AD339" i="125" s="1"/>
  <c r="DG26" i="93"/>
  <c r="BP159" i="126"/>
  <c r="AC237" i="125"/>
  <c r="AC238" i="125"/>
  <c r="AC240" i="125"/>
  <c r="AC239" i="125"/>
  <c r="AD294" i="125"/>
  <c r="AD296" i="125" s="1"/>
  <c r="AD284" i="125"/>
  <c r="AG158" i="126"/>
  <c r="AI158" i="126" s="1"/>
  <c r="AG159" i="126"/>
  <c r="BM159" i="126"/>
  <c r="BM158" i="126"/>
  <c r="BO158" i="126" s="1"/>
  <c r="AD47" i="125"/>
  <c r="AE46" i="125"/>
  <c r="AE54" i="125" s="1"/>
  <c r="AE45" i="125"/>
  <c r="AF149" i="125"/>
  <c r="AE34" i="125"/>
  <c r="AE44" i="125"/>
  <c r="AF307" i="125"/>
  <c r="AF69" i="125"/>
  <c r="AE113" i="125"/>
  <c r="AE123" i="125"/>
  <c r="AF17" i="125"/>
  <c r="AF53" i="125" s="1"/>
  <c r="AF68" i="125"/>
  <c r="AF190" i="125"/>
  <c r="AF70" i="125"/>
  <c r="AF96" i="125"/>
  <c r="AF132" i="125" s="1"/>
  <c r="AF147" i="125"/>
  <c r="AF175" i="125"/>
  <c r="AF203" i="125" s="1"/>
  <c r="AF226" i="125"/>
  <c r="AE202" i="125"/>
  <c r="AE192" i="125"/>
  <c r="AF111" i="125"/>
  <c r="AF228" i="125"/>
  <c r="AE281" i="125"/>
  <c r="AE271" i="125"/>
  <c r="AF227" i="125"/>
  <c r="AF254" i="125"/>
  <c r="AF290" i="125" s="1"/>
  <c r="AF305" i="125"/>
  <c r="AF32" i="125"/>
  <c r="AF269" i="125"/>
  <c r="AF148" i="125"/>
  <c r="AF306" i="125"/>
  <c r="AC77" i="125"/>
  <c r="AC78" i="125"/>
  <c r="AC319" i="125"/>
  <c r="AC318" i="125"/>
  <c r="AE204" i="125"/>
  <c r="AD126" i="125"/>
  <c r="AE282" i="125"/>
  <c r="AC316" i="125"/>
  <c r="AC317" i="125"/>
  <c r="AE287" i="125"/>
  <c r="AE289" i="125"/>
  <c r="AC344" i="125"/>
  <c r="AC345" i="125"/>
  <c r="AC315" i="125"/>
  <c r="AC314" i="125"/>
  <c r="AE203" i="125"/>
  <c r="AD333" i="125"/>
  <c r="AD205" i="125"/>
  <c r="AE208" i="125"/>
  <c r="AE210" i="125"/>
  <c r="AD212" i="125"/>
  <c r="AD215" i="125" s="1"/>
  <c r="AD335" i="125"/>
  <c r="AC80" i="125"/>
  <c r="AC79" i="125"/>
  <c r="AC83" i="125"/>
  <c r="AC84" i="125"/>
  <c r="AE283" i="125"/>
  <c r="AE291" i="125" s="1"/>
  <c r="AE124" i="125"/>
  <c r="AE132" i="125"/>
  <c r="AC82" i="125"/>
  <c r="AC81" i="125"/>
  <c r="AE131" i="125"/>
  <c r="AE129" i="125"/>
  <c r="AC320" i="125"/>
  <c r="AC321" i="125"/>
  <c r="AE50" i="125"/>
  <c r="AE52" i="125"/>
  <c r="BM158" i="125"/>
  <c r="BO158" i="125" s="1"/>
  <c r="BM159" i="125"/>
  <c r="BM158" i="124"/>
  <c r="BO158" i="124" s="1"/>
  <c r="BM159" i="124"/>
  <c r="BL158" i="120"/>
  <c r="BP158" i="120" s="1"/>
  <c r="BL159" i="120"/>
  <c r="BM158" i="120"/>
  <c r="BM159" i="120"/>
  <c r="AG158" i="124"/>
  <c r="AI158" i="124" s="1"/>
  <c r="AG159" i="124"/>
  <c r="BP152" i="120"/>
  <c r="AF159" i="120"/>
  <c r="DH9" i="93"/>
  <c r="AJ159" i="120"/>
  <c r="AF158" i="120"/>
  <c r="AJ158" i="120" s="1"/>
  <c r="DJ31" i="95"/>
  <c r="DJ36" i="95"/>
  <c r="DI31" i="95"/>
  <c r="DI14" i="95"/>
  <c r="DH14" i="95"/>
  <c r="DH31" i="95"/>
  <c r="DH36" i="95"/>
  <c r="DH19" i="95"/>
  <c r="DH48" i="95"/>
  <c r="DH43" i="95"/>
  <c r="AG159" i="120"/>
  <c r="AG158" i="120"/>
  <c r="CW51" i="67"/>
  <c r="CW49" i="67"/>
  <c r="CW44" i="67"/>
  <c r="CW24" i="67"/>
  <c r="CV19" i="67"/>
  <c r="CV21" i="67"/>
  <c r="CV17" i="67"/>
  <c r="CW46" i="67"/>
  <c r="CW41" i="67"/>
  <c r="CW37" i="67"/>
  <c r="CW45" i="67"/>
  <c r="CW43" i="67"/>
  <c r="CW39" i="67"/>
  <c r="CW47" i="67"/>
  <c r="CW40" i="67"/>
  <c r="CW38" i="67"/>
  <c r="CX13" i="67"/>
  <c r="CV23" i="67"/>
  <c r="CV57" i="67" s="1"/>
  <c r="CU18" i="67"/>
  <c r="CW23" i="67"/>
  <c r="CU20" i="67"/>
  <c r="CU27" i="67"/>
  <c r="CU61" i="67" s="1"/>
  <c r="CX9" i="67"/>
  <c r="CX10" i="67"/>
  <c r="CX11" i="67"/>
  <c r="CX12" i="67"/>
  <c r="CD49" i="118" a="1"/>
  <c r="CU51" i="117" a="1"/>
  <c r="CJ51" i="118" a="1"/>
  <c r="CH49" i="119" a="1"/>
  <c r="DI33" i="82" a="1"/>
  <c r="CT49" i="118" a="1"/>
  <c r="CN51" i="119" a="1"/>
  <c r="AG266" i="125"/>
  <c r="CU51" i="118" a="1"/>
  <c r="CE51" i="118" a="1"/>
  <c r="CH51" i="119" a="1"/>
  <c r="CV49" i="119" a="1"/>
  <c r="CY49" i="118" a="1"/>
  <c r="CO49" i="118" a="1"/>
  <c r="AG91" i="125"/>
  <c r="CM51" i="117" a="1"/>
  <c r="CJ51" i="117" a="1"/>
  <c r="CN51" i="118" a="1"/>
  <c r="CP49" i="117" a="1"/>
  <c r="CK49" i="118" a="1"/>
  <c r="AG128" i="125"/>
  <c r="CE51" i="119" a="1"/>
  <c r="CJ49" i="119" a="1"/>
  <c r="CV29" i="67" a="1"/>
  <c r="CM49" i="119" a="1"/>
  <c r="CK51" i="118" a="1"/>
  <c r="CD51" i="117" a="1"/>
  <c r="CL49" i="118" a="1"/>
  <c r="CE49" i="117" a="1"/>
  <c r="CT49" i="117" a="1"/>
  <c r="AG108" i="125"/>
  <c r="CQ51" i="118" a="1"/>
  <c r="CJ49" i="118" a="1"/>
  <c r="DH13" i="93" a="1"/>
  <c r="CX51" i="117" a="1"/>
  <c r="CG51" i="117" a="1"/>
  <c r="CX49" i="117" a="1"/>
  <c r="CX49" i="119" a="1"/>
  <c r="CG51" i="119" a="1"/>
  <c r="AF104" i="125"/>
  <c r="AG29" i="125"/>
  <c r="CV49" i="117" a="1"/>
  <c r="CK49" i="119" a="1"/>
  <c r="CG49" i="118" a="1"/>
  <c r="CI49" i="119" a="1"/>
  <c r="CR51" i="118" a="1"/>
  <c r="CV51" i="118" a="1"/>
  <c r="AG286" i="125"/>
  <c r="DI36" i="82" a="1"/>
  <c r="CP51" i="119" a="1"/>
  <c r="AF25" i="125"/>
  <c r="CP49" i="118" a="1"/>
  <c r="CI49" i="118" a="1"/>
  <c r="CW51" i="117" a="1"/>
  <c r="DI31" i="82" a="1"/>
  <c r="CN49" i="119" a="1"/>
  <c r="CH51" i="117" a="1"/>
  <c r="DH33" i="82" a="1"/>
  <c r="CM51" i="119" a="1"/>
  <c r="CK51" i="119" a="1"/>
  <c r="CL51" i="119" a="1"/>
  <c r="CW49" i="117" a="1"/>
  <c r="CI51" i="118" a="1"/>
  <c r="CW26" i="67" a="1"/>
  <c r="AG207" i="125"/>
  <c r="AG249" i="125"/>
  <c r="CS51" i="117" a="1"/>
  <c r="CO49" i="119" a="1"/>
  <c r="CN49" i="118" a="1"/>
  <c r="DG38" i="93" a="1"/>
  <c r="DH26" i="93" a="1"/>
  <c r="CN51" i="117" a="1"/>
  <c r="DG37" i="93" a="1"/>
  <c r="DI38" i="82" a="1"/>
  <c r="CD51" i="118" a="1"/>
  <c r="CS51" i="118" a="1"/>
  <c r="CM49" i="118" a="1"/>
  <c r="CG49" i="119" a="1"/>
  <c r="DH16" i="94" a="1"/>
  <c r="CQ49" i="117" a="1"/>
  <c r="CZ51" i="118" a="1"/>
  <c r="CX24" i="67" a="1"/>
  <c r="CS51" i="119" a="1"/>
  <c r="CU49" i="118" a="1"/>
  <c r="CM51" i="118" a="1"/>
  <c r="CE49" i="118" a="1"/>
  <c r="CP51" i="118" a="1"/>
  <c r="CF49" i="117" a="1"/>
  <c r="CP51" i="117" a="1"/>
  <c r="CU49" i="117" a="1"/>
  <c r="CM49" i="117" a="1"/>
  <c r="CV51" i="119" a="1"/>
  <c r="AG187" i="125"/>
  <c r="CD49" i="117" a="1"/>
  <c r="CT49" i="119" a="1"/>
  <c r="CG51" i="118" a="1"/>
  <c r="CI49" i="117" a="1"/>
  <c r="DH32" i="94" a="1"/>
  <c r="AG49" i="125"/>
  <c r="CQ49" i="118" a="1"/>
  <c r="CX49" i="118" a="1"/>
  <c r="CQ49" i="119" a="1"/>
  <c r="AG170" i="125"/>
  <c r="CK49" i="117" a="1"/>
  <c r="CG49" i="117" a="1"/>
  <c r="CV51" i="117" a="1"/>
  <c r="CZ51" i="119" a="1"/>
  <c r="AF262" i="125"/>
  <c r="DH35" i="94" a="1"/>
  <c r="CJ51" i="119" a="1"/>
  <c r="CU51" i="119" a="1"/>
  <c r="CW49" i="118" a="1"/>
  <c r="CI51" i="119" a="1"/>
  <c r="AG12" i="125"/>
  <c r="CT51" i="119" a="1"/>
  <c r="CZ49" i="119" a="1"/>
  <c r="CH49" i="118" a="1"/>
  <c r="CW51" i="119" a="1"/>
  <c r="CT51" i="117" a="1"/>
  <c r="CW51" i="118" a="1"/>
  <c r="DH36" i="94" a="1"/>
  <c r="CY51" i="119" a="1"/>
  <c r="CV31" i="67" a="1"/>
  <c r="CV49" i="118" a="1"/>
  <c r="CS49" i="118" a="1"/>
  <c r="CP49" i="119" a="1"/>
  <c r="CD49" i="119" a="1"/>
  <c r="CE51" i="117" a="1"/>
  <c r="CI51" i="117" a="1"/>
  <c r="CK51" i="117" a="1"/>
  <c r="CO51" i="117" a="1"/>
  <c r="CO51" i="118" a="1"/>
  <c r="CR49" i="118" a="1"/>
  <c r="DI32" i="82" a="1"/>
  <c r="CX51" i="119" a="1"/>
  <c r="CF49" i="119" a="1"/>
  <c r="CQ51" i="119" a="1"/>
  <c r="CR49" i="119" a="1"/>
  <c r="CS49" i="119" a="1"/>
  <c r="CF51" i="118" a="1"/>
  <c r="CR49" i="117" a="1"/>
  <c r="CZ49" i="117" a="1"/>
  <c r="CD51" i="119" a="1"/>
  <c r="CR51" i="119" a="1"/>
  <c r="CJ49" i="117" a="1"/>
  <c r="CY51" i="118" a="1"/>
  <c r="CO51" i="119" a="1"/>
  <c r="CW49" i="119" a="1"/>
  <c r="CH49" i="117" a="1"/>
  <c r="CF49" i="118" a="1"/>
  <c r="CE49" i="119" a="1"/>
  <c r="DG35" i="94" a="1"/>
  <c r="CS49" i="117" a="1"/>
  <c r="AF183" i="125"/>
  <c r="CY51" i="117" a="1"/>
  <c r="CL51" i="118" a="1"/>
  <c r="DH21" i="93" a="1"/>
  <c r="CX51" i="118" a="1"/>
  <c r="CZ51" i="117" a="1"/>
  <c r="CF51" i="119" a="1"/>
  <c r="CF51" i="117" a="1"/>
  <c r="DH18" i="94" a="1"/>
  <c r="CL49" i="119" a="1"/>
  <c r="CL49" i="117" a="1"/>
  <c r="DH32" i="93" a="1"/>
  <c r="CL51" i="117" a="1"/>
  <c r="CQ51" i="117" a="1"/>
  <c r="CR51" i="117" a="1"/>
  <c r="CO49" i="117" a="1"/>
  <c r="CH51" i="118" a="1"/>
  <c r="CZ49" i="118" a="1"/>
  <c r="CN49" i="117" a="1"/>
  <c r="CT51" i="118" a="1"/>
  <c r="CY49" i="119" a="1"/>
  <c r="DG31" i="93" a="1"/>
  <c r="CU49" i="119" a="1"/>
  <c r="L52" i="30"/>
  <c r="CY49" i="117" a="1"/>
  <c r="AD138" i="125" l="1"/>
  <c r="AD161" i="125"/>
  <c r="AD139" i="125"/>
  <c r="AD154" i="125"/>
  <c r="AD151" i="125"/>
  <c r="AD156" i="125" s="1"/>
  <c r="AD152" i="125"/>
  <c r="AD158" i="125" s="1"/>
  <c r="AD80" i="125"/>
  <c r="AD297" i="125"/>
  <c r="AD75" i="125"/>
  <c r="AD83" i="125" s="1"/>
  <c r="AD72" i="125"/>
  <c r="AD78" i="125" s="1"/>
  <c r="AE57" i="125"/>
  <c r="AE75" i="125" s="1"/>
  <c r="AE84" i="125" s="1"/>
  <c r="AD59" i="125"/>
  <c r="AD60" i="125"/>
  <c r="AD74" i="125"/>
  <c r="AD82" i="125" s="1"/>
  <c r="AE136" i="125"/>
  <c r="AE154" i="125" s="1"/>
  <c r="AD309" i="125"/>
  <c r="AD314" i="125" s="1"/>
  <c r="AF45" i="125"/>
  <c r="AF46" i="125"/>
  <c r="AF54" i="125" s="1"/>
  <c r="AF124" i="125"/>
  <c r="AD312" i="125"/>
  <c r="AD320" i="125" s="1"/>
  <c r="AD310" i="125"/>
  <c r="AD311" i="125"/>
  <c r="AE126" i="125"/>
  <c r="AF123" i="125"/>
  <c r="AF113" i="125"/>
  <c r="AI108" i="125"/>
  <c r="AG55" i="125"/>
  <c r="AJ55" i="125" s="1"/>
  <c r="AJ49" i="125"/>
  <c r="AF34" i="125"/>
  <c r="AF44" i="125"/>
  <c r="AG134" i="125"/>
  <c r="AJ134" i="125" s="1"/>
  <c r="AJ128" i="125"/>
  <c r="AI187" i="125"/>
  <c r="AI266" i="125"/>
  <c r="AF192" i="125"/>
  <c r="AF202" i="125"/>
  <c r="AF271" i="125"/>
  <c r="AF281" i="125"/>
  <c r="AG337" i="125"/>
  <c r="AJ337" i="125" s="1"/>
  <c r="AI29" i="125"/>
  <c r="AG213" i="125"/>
  <c r="AJ213" i="125" s="1"/>
  <c r="AJ207" i="125"/>
  <c r="AG292" i="125"/>
  <c r="AJ292" i="125" s="1"/>
  <c r="AJ286" i="125"/>
  <c r="AE294" i="125"/>
  <c r="AF52" i="125"/>
  <c r="AF50" i="125"/>
  <c r="AF131" i="125"/>
  <c r="AF129" i="125"/>
  <c r="AF210" i="125"/>
  <c r="AF208" i="125"/>
  <c r="BP158" i="125"/>
  <c r="AD157" i="125"/>
  <c r="AE205" i="125"/>
  <c r="AE333" i="125"/>
  <c r="AE47" i="125"/>
  <c r="AE334" i="125"/>
  <c r="AE339" i="125" s="1"/>
  <c r="AD341" i="125"/>
  <c r="AD342" i="125" s="1"/>
  <c r="AF282" i="125"/>
  <c r="AF125" i="125"/>
  <c r="AF289" i="125"/>
  <c r="AF287" i="125"/>
  <c r="AF211" i="125"/>
  <c r="AF283" i="125"/>
  <c r="AF291" i="125" s="1"/>
  <c r="AE284" i="125"/>
  <c r="AF204" i="125"/>
  <c r="AF212" i="125" s="1"/>
  <c r="AE212" i="125"/>
  <c r="AE215" i="125" s="1"/>
  <c r="AE335" i="125"/>
  <c r="AD218" i="125"/>
  <c r="AD217" i="125"/>
  <c r="AD230" i="125"/>
  <c r="AD232" i="125"/>
  <c r="AD233" i="125"/>
  <c r="AD231" i="125"/>
  <c r="BP158" i="124"/>
  <c r="AJ158" i="124"/>
  <c r="DH26" i="93"/>
  <c r="BO158" i="120"/>
  <c r="BP159" i="120"/>
  <c r="AI158" i="120"/>
  <c r="CX24" i="67"/>
  <c r="CR51" i="118"/>
  <c r="CR49" i="118"/>
  <c r="CJ49" i="118"/>
  <c r="CJ51" i="118"/>
  <c r="CG49" i="118"/>
  <c r="CG51" i="118"/>
  <c r="CY49" i="119"/>
  <c r="CY51" i="119"/>
  <c r="CW49" i="119"/>
  <c r="CW51" i="119"/>
  <c r="CF51" i="119"/>
  <c r="CF49" i="119"/>
  <c r="CZ49" i="118"/>
  <c r="CZ51" i="118"/>
  <c r="CV51" i="118"/>
  <c r="CV49" i="118"/>
  <c r="CN49" i="118"/>
  <c r="CN51" i="118"/>
  <c r="CQ51" i="119"/>
  <c r="CQ49" i="119"/>
  <c r="CL49" i="119"/>
  <c r="CL51" i="119"/>
  <c r="CD49" i="119"/>
  <c r="CD51" i="119"/>
  <c r="CY49" i="118"/>
  <c r="CY51" i="118"/>
  <c r="CS51" i="118"/>
  <c r="CS49" i="118"/>
  <c r="CM51" i="118"/>
  <c r="CM49" i="118"/>
  <c r="CI49" i="118"/>
  <c r="CI51" i="118"/>
  <c r="CE51" i="118"/>
  <c r="CE49" i="118"/>
  <c r="CI49" i="119"/>
  <c r="CI51" i="119"/>
  <c r="CQ51" i="118"/>
  <c r="CQ49" i="118"/>
  <c r="CX51" i="119"/>
  <c r="CX49" i="119"/>
  <c r="CS49" i="119"/>
  <c r="CS51" i="119"/>
  <c r="CP49" i="119"/>
  <c r="CP51" i="119"/>
  <c r="CM51" i="119"/>
  <c r="CM49" i="119"/>
  <c r="CH51" i="119"/>
  <c r="CH49" i="119"/>
  <c r="CT51" i="118"/>
  <c r="CT49" i="118"/>
  <c r="CP49" i="118"/>
  <c r="CP51" i="118"/>
  <c r="CL49" i="118"/>
  <c r="CL51" i="118"/>
  <c r="CF51" i="118"/>
  <c r="CF49" i="118"/>
  <c r="CD51" i="118"/>
  <c r="CD49" i="118"/>
  <c r="CV49" i="119"/>
  <c r="CV51" i="119"/>
  <c r="CW51" i="118"/>
  <c r="CW49" i="118"/>
  <c r="CK51" i="119"/>
  <c r="CK49" i="119"/>
  <c r="CE51" i="119"/>
  <c r="CE49" i="119"/>
  <c r="CU51" i="118"/>
  <c r="CU49" i="118"/>
  <c r="CK49" i="118"/>
  <c r="CK51" i="118"/>
  <c r="CH49" i="118"/>
  <c r="CH51" i="118"/>
  <c r="CT51" i="119"/>
  <c r="CT49" i="119"/>
  <c r="CR49" i="119"/>
  <c r="CR51" i="119"/>
  <c r="CO51" i="119"/>
  <c r="CO49" i="119"/>
  <c r="CJ49" i="119"/>
  <c r="CJ51" i="119"/>
  <c r="CG51" i="119"/>
  <c r="CG49" i="119"/>
  <c r="CX49" i="118"/>
  <c r="CX51" i="118"/>
  <c r="CO49" i="118"/>
  <c r="CO51" i="118"/>
  <c r="CZ49" i="119"/>
  <c r="CZ51" i="119"/>
  <c r="CU49" i="119"/>
  <c r="CU51" i="119"/>
  <c r="CN49" i="119"/>
  <c r="CN51" i="119"/>
  <c r="CY51" i="117"/>
  <c r="CY49" i="117"/>
  <c r="CG51" i="117"/>
  <c r="CG49" i="117"/>
  <c r="CU51" i="117"/>
  <c r="CU49" i="117"/>
  <c r="CK49" i="117"/>
  <c r="CK51" i="117"/>
  <c r="CH49" i="117"/>
  <c r="CH51" i="117"/>
  <c r="CP51" i="117"/>
  <c r="CP49" i="117"/>
  <c r="CL49" i="117"/>
  <c r="CL51" i="117"/>
  <c r="CW51" i="117"/>
  <c r="CW49" i="117"/>
  <c r="CO51" i="117"/>
  <c r="CO49" i="117"/>
  <c r="CR51" i="117"/>
  <c r="CR49" i="117"/>
  <c r="CZ49" i="117"/>
  <c r="CZ51" i="117"/>
  <c r="CQ49" i="117"/>
  <c r="CQ51" i="117"/>
  <c r="CM51" i="117"/>
  <c r="CM49" i="117"/>
  <c r="CE51" i="117"/>
  <c r="CE49" i="117"/>
  <c r="CF49" i="117"/>
  <c r="CF51" i="117"/>
  <c r="CV49" i="117"/>
  <c r="CV51" i="117"/>
  <c r="CX49" i="117"/>
  <c r="CX51" i="117"/>
  <c r="CT51" i="117"/>
  <c r="CT49" i="117"/>
  <c r="CN49" i="117"/>
  <c r="CN51" i="117"/>
  <c r="CJ49" i="117"/>
  <c r="CJ51" i="117"/>
  <c r="CI49" i="117"/>
  <c r="CI51" i="117"/>
  <c r="CS51" i="117"/>
  <c r="CS49" i="117"/>
  <c r="CD49" i="117"/>
  <c r="CD51" i="117"/>
  <c r="CW58" i="67"/>
  <c r="CW57" i="67"/>
  <c r="CW26" i="67"/>
  <c r="CW60" i="67" s="1"/>
  <c r="CU65" i="67"/>
  <c r="CV31" i="67"/>
  <c r="CV29" i="67"/>
  <c r="CU63" i="67"/>
  <c r="CV28" i="67"/>
  <c r="CV62" i="67" s="1"/>
  <c r="CW48" i="67"/>
  <c r="AG228" i="125" a="1"/>
  <c r="AF109" i="125"/>
  <c r="AE30" i="125"/>
  <c r="AG185" i="125"/>
  <c r="AG148" i="125" a="1"/>
  <c r="AG69" i="125" a="1"/>
  <c r="AG70" i="125" a="1"/>
  <c r="AG307" i="125" a="1"/>
  <c r="AF188" i="125"/>
  <c r="AG27" i="125"/>
  <c r="AG105" i="125"/>
  <c r="AG184" i="125"/>
  <c r="AG174" i="125"/>
  <c r="AG264" i="125"/>
  <c r="AG16" i="125"/>
  <c r="AG227" i="125" a="1"/>
  <c r="AG253" i="125"/>
  <c r="AF267" i="125"/>
  <c r="AG106" i="125"/>
  <c r="AG26" i="125"/>
  <c r="AG306" i="125" a="1"/>
  <c r="AG95" i="125"/>
  <c r="AF30" i="125"/>
  <c r="AG263" i="125"/>
  <c r="AG149" i="125" a="1"/>
  <c r="AI337" i="125" l="1"/>
  <c r="AD159" i="125"/>
  <c r="AD163" i="125"/>
  <c r="AD162" i="125"/>
  <c r="AE60" i="125"/>
  <c r="AE83" i="125"/>
  <c r="AE59" i="125"/>
  <c r="AE74" i="125"/>
  <c r="AE81" i="125" s="1"/>
  <c r="AF334" i="125"/>
  <c r="AF339" i="125" s="1"/>
  <c r="AD77" i="125"/>
  <c r="AE151" i="125"/>
  <c r="AE157" i="125" s="1"/>
  <c r="AD84" i="125"/>
  <c r="AD315" i="125"/>
  <c r="AE153" i="125"/>
  <c r="AE160" i="125" s="1"/>
  <c r="AF57" i="125"/>
  <c r="AF75" i="125" s="1"/>
  <c r="AF84" i="125" s="1"/>
  <c r="AE73" i="125"/>
  <c r="AE80" i="125" s="1"/>
  <c r="AE72" i="125"/>
  <c r="AE78" i="125" s="1"/>
  <c r="AD81" i="125"/>
  <c r="AE138" i="125"/>
  <c r="AF47" i="125"/>
  <c r="AE152" i="125"/>
  <c r="AE158" i="125" s="1"/>
  <c r="AE139" i="125"/>
  <c r="AD321" i="125"/>
  <c r="AD319" i="125"/>
  <c r="AD318" i="125"/>
  <c r="AD317" i="125"/>
  <c r="AD316" i="125"/>
  <c r="AG17" i="125"/>
  <c r="AG45" i="125" s="1"/>
  <c r="AJ45" i="125" s="1"/>
  <c r="AI16" i="125"/>
  <c r="AG68" i="125"/>
  <c r="AI185" i="125"/>
  <c r="AG70" i="125"/>
  <c r="AG175" i="125"/>
  <c r="AG203" i="125" s="1"/>
  <c r="AJ203" i="125" s="1"/>
  <c r="AI174" i="125"/>
  <c r="AG226" i="125"/>
  <c r="AG254" i="125"/>
  <c r="AG282" i="125" s="1"/>
  <c r="AI253" i="125"/>
  <c r="AG305" i="125"/>
  <c r="AG32" i="125"/>
  <c r="AI26" i="125"/>
  <c r="AG149" i="125"/>
  <c r="AG96" i="125"/>
  <c r="AG125" i="125" s="1"/>
  <c r="AI95" i="125"/>
  <c r="AG147" i="125"/>
  <c r="AG111" i="125"/>
  <c r="AI105" i="125"/>
  <c r="AI27" i="125"/>
  <c r="AG148" i="125"/>
  <c r="AG227" i="125"/>
  <c r="AI264" i="125"/>
  <c r="AI106" i="125"/>
  <c r="AG306" i="125"/>
  <c r="AG190" i="125"/>
  <c r="AI184" i="125"/>
  <c r="AG269" i="125"/>
  <c r="AI263" i="125"/>
  <c r="AG69" i="125"/>
  <c r="AG228" i="125"/>
  <c r="AG307" i="125"/>
  <c r="AE218" i="125"/>
  <c r="AE217" i="125"/>
  <c r="AE230" i="125"/>
  <c r="AE232" i="125"/>
  <c r="AE231" i="125"/>
  <c r="AE233" i="125"/>
  <c r="AD242" i="125"/>
  <c r="AD241" i="125"/>
  <c r="AD240" i="125"/>
  <c r="AD239" i="125"/>
  <c r="AF294" i="125"/>
  <c r="AF284" i="125"/>
  <c r="AF333" i="125"/>
  <c r="AD235" i="125"/>
  <c r="AD236" i="125"/>
  <c r="AE341" i="125"/>
  <c r="AE342" i="125" s="1"/>
  <c r="AF215" i="125"/>
  <c r="AF205" i="125"/>
  <c r="AF133" i="125"/>
  <c r="AF136" i="125" s="1"/>
  <c r="AF335" i="125"/>
  <c r="AE163" i="125"/>
  <c r="AE162" i="125"/>
  <c r="AD344" i="125"/>
  <c r="AD345" i="125"/>
  <c r="AE309" i="125"/>
  <c r="AE296" i="125"/>
  <c r="AE297" i="125"/>
  <c r="AE312" i="125"/>
  <c r="AE310" i="125"/>
  <c r="AE311" i="125"/>
  <c r="AD237" i="125"/>
  <c r="AD238" i="125"/>
  <c r="AF126" i="125"/>
  <c r="CI52" i="118"/>
  <c r="CU52" i="118"/>
  <c r="CL52" i="118"/>
  <c r="CX52" i="118"/>
  <c r="CY52" i="118"/>
  <c r="CE52" i="118"/>
  <c r="CA52" i="118"/>
  <c r="CO52" i="118"/>
  <c r="CJ52" i="118"/>
  <c r="CW52" i="118"/>
  <c r="CB52" i="118"/>
  <c r="CK52" i="118"/>
  <c r="CG52" i="118"/>
  <c r="CZ52" i="118"/>
  <c r="CC52" i="118"/>
  <c r="CP52" i="118"/>
  <c r="CR52" i="118"/>
  <c r="CM52" i="118"/>
  <c r="CQ52" i="118"/>
  <c r="CV52" i="118"/>
  <c r="CF52" i="118"/>
  <c r="CS52" i="118"/>
  <c r="CT52" i="118"/>
  <c r="CH52" i="118"/>
  <c r="BZ52" i="118"/>
  <c r="CD52" i="118"/>
  <c r="CN52" i="118"/>
  <c r="CV52" i="119"/>
  <c r="CZ52" i="119"/>
  <c r="CQ52" i="119"/>
  <c r="CR52" i="119"/>
  <c r="CH52" i="119"/>
  <c r="CN52" i="119"/>
  <c r="CT52" i="119"/>
  <c r="CL52" i="119"/>
  <c r="CM52" i="119"/>
  <c r="BZ52" i="119"/>
  <c r="CK52" i="119"/>
  <c r="CC52" i="119"/>
  <c r="CY52" i="119"/>
  <c r="CD52" i="119"/>
  <c r="CF52" i="119"/>
  <c r="CA52" i="119"/>
  <c r="CJ52" i="119"/>
  <c r="CI52" i="119"/>
  <c r="CP52" i="119"/>
  <c r="CO52" i="119"/>
  <c r="CU52" i="119"/>
  <c r="CE52" i="119"/>
  <c r="CG52" i="119"/>
  <c r="CB52" i="119"/>
  <c r="CX52" i="119"/>
  <c r="CS52" i="119"/>
  <c r="CW52" i="119"/>
  <c r="CU50" i="119"/>
  <c r="CE50" i="119"/>
  <c r="BZ50" i="119"/>
  <c r="CR50" i="119"/>
  <c r="CM50" i="119"/>
  <c r="CW50" i="119"/>
  <c r="CF50" i="119"/>
  <c r="CS50" i="119"/>
  <c r="CN50" i="119"/>
  <c r="CJ50" i="119"/>
  <c r="CD50" i="119"/>
  <c r="CB50" i="119"/>
  <c r="CH50" i="119"/>
  <c r="CK50" i="119"/>
  <c r="CT50" i="119"/>
  <c r="CA50" i="119"/>
  <c r="CX50" i="119"/>
  <c r="CI50" i="119"/>
  <c r="CO50" i="119"/>
  <c r="CY50" i="119"/>
  <c r="CQ50" i="119"/>
  <c r="CL50" i="119"/>
  <c r="CV50" i="119"/>
  <c r="CG50" i="119"/>
  <c r="CP50" i="119"/>
  <c r="CZ50" i="119"/>
  <c r="CC50" i="119"/>
  <c r="CY50" i="118"/>
  <c r="CW50" i="118"/>
  <c r="CB50" i="118"/>
  <c r="CP50" i="118"/>
  <c r="CH50" i="118"/>
  <c r="BZ50" i="118"/>
  <c r="CG50" i="118"/>
  <c r="CI50" i="118"/>
  <c r="CQ50" i="118"/>
  <c r="CC50" i="118"/>
  <c r="CV50" i="118"/>
  <c r="CZ50" i="118"/>
  <c r="CJ50" i="118"/>
  <c r="CF50" i="118"/>
  <c r="CE50" i="118"/>
  <c r="CT50" i="118"/>
  <c r="CR50" i="118"/>
  <c r="CL50" i="118"/>
  <c r="CO50" i="118"/>
  <c r="CX50" i="118"/>
  <c r="CU50" i="118"/>
  <c r="CA50" i="118"/>
  <c r="CS50" i="118"/>
  <c r="CK50" i="118"/>
  <c r="CN50" i="118"/>
  <c r="CM50" i="118"/>
  <c r="CD50" i="118"/>
  <c r="CA52" i="117"/>
  <c r="CJ52" i="117"/>
  <c r="CY52" i="117"/>
  <c r="CV52" i="117"/>
  <c r="CH52" i="117"/>
  <c r="CK52" i="117"/>
  <c r="CQ52" i="117"/>
  <c r="CM52" i="117"/>
  <c r="CZ52" i="117"/>
  <c r="CW52" i="117"/>
  <c r="CG52" i="117"/>
  <c r="CO52" i="117"/>
  <c r="CF52" i="117"/>
  <c r="CP52" i="117"/>
  <c r="CL52" i="117"/>
  <c r="CE52" i="117"/>
  <c r="CN52" i="117"/>
  <c r="CT52" i="117"/>
  <c r="CB52" i="117"/>
  <c r="CD52" i="117"/>
  <c r="CU52" i="117"/>
  <c r="CI52" i="117"/>
  <c r="CR52" i="117"/>
  <c r="CX52" i="117"/>
  <c r="CC52" i="117"/>
  <c r="BZ52" i="117"/>
  <c r="CS52" i="117"/>
  <c r="CU50" i="117"/>
  <c r="CR50" i="117"/>
  <c r="BZ50" i="117"/>
  <c r="CG50" i="117"/>
  <c r="CP50" i="117"/>
  <c r="CL50" i="117"/>
  <c r="CO50" i="117"/>
  <c r="CY50" i="117"/>
  <c r="CW50" i="117"/>
  <c r="CH50" i="117"/>
  <c r="CX50" i="117"/>
  <c r="CD50" i="117"/>
  <c r="CE50" i="117"/>
  <c r="CB50" i="117"/>
  <c r="CZ50" i="117"/>
  <c r="CS50" i="117"/>
  <c r="CV50" i="117"/>
  <c r="CT50" i="117"/>
  <c r="CN50" i="117"/>
  <c r="CA50" i="117"/>
  <c r="CJ50" i="117"/>
  <c r="CK50" i="117"/>
  <c r="CI50" i="117"/>
  <c r="CQ50" i="117"/>
  <c r="CM50" i="117"/>
  <c r="CC50" i="117"/>
  <c r="CF50" i="117"/>
  <c r="DH36" i="94"/>
  <c r="DH16" i="94"/>
  <c r="DH32" i="94"/>
  <c r="DG35" i="94"/>
  <c r="DH35" i="94"/>
  <c r="DH18" i="94"/>
  <c r="DH31" i="94"/>
  <c r="DH45" i="94"/>
  <c r="DH50" i="94"/>
  <c r="DH44" i="94"/>
  <c r="DH49" i="94"/>
  <c r="DH42" i="94"/>
  <c r="DH47" i="94"/>
  <c r="DH43" i="94"/>
  <c r="DH48" i="94"/>
  <c r="DH32" i="93"/>
  <c r="DH33" i="93"/>
  <c r="DH21" i="93"/>
  <c r="DH35" i="93"/>
  <c r="DH13" i="93"/>
  <c r="DH43" i="93"/>
  <c r="DH48" i="93"/>
  <c r="DH47" i="93"/>
  <c r="DH42" i="93"/>
  <c r="DH45" i="93"/>
  <c r="DH50" i="93"/>
  <c r="DH49" i="93"/>
  <c r="DH44" i="93"/>
  <c r="DG37" i="93"/>
  <c r="DG38" i="93"/>
  <c r="DG31" i="93"/>
  <c r="DI48" i="82"/>
  <c r="DI42" i="82"/>
  <c r="DI43" i="82"/>
  <c r="AE109" i="125"/>
  <c r="AE188" i="125"/>
  <c r="AG104" i="125"/>
  <c r="AE267" i="125"/>
  <c r="AG262" i="125"/>
  <c r="AG183" i="125"/>
  <c r="AG25" i="125"/>
  <c r="AE161" i="125" l="1"/>
  <c r="AE82" i="125"/>
  <c r="AF74" i="125"/>
  <c r="AF82" i="125" s="1"/>
  <c r="AE156" i="125"/>
  <c r="AF83" i="125"/>
  <c r="AF60" i="125"/>
  <c r="AE159" i="125"/>
  <c r="AE77" i="125"/>
  <c r="AF59" i="125"/>
  <c r="AF73" i="125"/>
  <c r="AF72" i="125"/>
  <c r="AF77" i="125" s="1"/>
  <c r="AE79" i="125"/>
  <c r="AG46" i="125"/>
  <c r="AG54" i="125" s="1"/>
  <c r="AJ54" i="125" s="1"/>
  <c r="AG124" i="125"/>
  <c r="AJ124" i="125" s="1"/>
  <c r="AG192" i="125"/>
  <c r="AI192" i="125" s="1"/>
  <c r="AG202" i="125"/>
  <c r="AI183" i="125"/>
  <c r="AG113" i="125"/>
  <c r="AI113" i="125" s="1"/>
  <c r="AG123" i="125"/>
  <c r="AI104" i="125"/>
  <c r="AG34" i="125"/>
  <c r="AI34" i="125" s="1"/>
  <c r="AG44" i="125"/>
  <c r="AI25" i="125"/>
  <c r="AG281" i="125"/>
  <c r="AG271" i="125"/>
  <c r="AI271" i="125" s="1"/>
  <c r="AI262" i="125"/>
  <c r="AJ282" i="125"/>
  <c r="AE345" i="125"/>
  <c r="AE344" i="125"/>
  <c r="AF341" i="125"/>
  <c r="AF342" i="125" s="1"/>
  <c r="AF139" i="125"/>
  <c r="AF138" i="125"/>
  <c r="AF151" i="125"/>
  <c r="AF153" i="125"/>
  <c r="AF152" i="125"/>
  <c r="AF154" i="125"/>
  <c r="AG211" i="125"/>
  <c r="AJ211" i="125" s="1"/>
  <c r="AI175" i="125"/>
  <c r="AE318" i="125"/>
  <c r="AE319" i="125"/>
  <c r="AF217" i="125"/>
  <c r="AF218" i="125"/>
  <c r="AF230" i="125"/>
  <c r="AF232" i="125"/>
  <c r="AF231" i="125"/>
  <c r="AF233" i="125"/>
  <c r="AE241" i="125"/>
  <c r="AE242" i="125"/>
  <c r="AE317" i="125"/>
  <c r="AE316" i="125"/>
  <c r="AE237" i="125"/>
  <c r="AE238" i="125"/>
  <c r="AG133" i="125"/>
  <c r="AJ133" i="125" s="1"/>
  <c r="AJ125" i="125"/>
  <c r="AG50" i="125"/>
  <c r="AG52" i="125"/>
  <c r="AI32" i="125"/>
  <c r="AE321" i="125"/>
  <c r="AE320" i="125"/>
  <c r="AE240" i="125"/>
  <c r="AE239" i="125"/>
  <c r="AG131" i="125"/>
  <c r="AG129" i="125"/>
  <c r="AI111" i="125"/>
  <c r="AG204" i="125"/>
  <c r="AE235" i="125"/>
  <c r="AE236" i="125"/>
  <c r="AG287" i="125"/>
  <c r="AG289" i="125"/>
  <c r="AI269" i="125"/>
  <c r="AF309" i="125"/>
  <c r="AF296" i="125"/>
  <c r="AF297" i="125"/>
  <c r="AF310" i="125"/>
  <c r="AF311" i="125"/>
  <c r="AF312" i="125"/>
  <c r="AG283" i="125"/>
  <c r="AG290" i="125"/>
  <c r="AJ290" i="125" s="1"/>
  <c r="AI254" i="125"/>
  <c r="AE314" i="125"/>
  <c r="AE315" i="125"/>
  <c r="AG208" i="125"/>
  <c r="AG210" i="125"/>
  <c r="AI190" i="125"/>
  <c r="AI96" i="125"/>
  <c r="AG132" i="125"/>
  <c r="AJ132" i="125" s="1"/>
  <c r="AI17" i="125"/>
  <c r="AG53" i="125"/>
  <c r="AJ53" i="125" s="1"/>
  <c r="AF81" i="125" l="1"/>
  <c r="AF78" i="125"/>
  <c r="AF80" i="125"/>
  <c r="AF79" i="125"/>
  <c r="AG334" i="125"/>
  <c r="AJ334" i="125" s="1"/>
  <c r="AG335" i="125"/>
  <c r="AJ335" i="125" s="1"/>
  <c r="AJ46" i="125"/>
  <c r="AG333" i="125"/>
  <c r="AJ333" i="125" s="1"/>
  <c r="AF237" i="125"/>
  <c r="AF238" i="125"/>
  <c r="AJ289" i="125"/>
  <c r="AG136" i="125"/>
  <c r="AJ131" i="125"/>
  <c r="AJ50" i="125"/>
  <c r="AF236" i="125"/>
  <c r="AF235" i="125"/>
  <c r="AG47" i="125"/>
  <c r="AJ47" i="125" s="1"/>
  <c r="AJ44" i="125"/>
  <c r="AJ287" i="125"/>
  <c r="AF315" i="125"/>
  <c r="AF314" i="125"/>
  <c r="AJ210" i="125"/>
  <c r="AG291" i="125"/>
  <c r="AJ291" i="125" s="1"/>
  <c r="AJ283" i="125"/>
  <c r="AG126" i="125"/>
  <c r="AJ126" i="125" s="1"/>
  <c r="AJ123" i="125"/>
  <c r="AJ208" i="125"/>
  <c r="AG212" i="125"/>
  <c r="AJ212" i="125" s="1"/>
  <c r="AJ204" i="125"/>
  <c r="AF162" i="125"/>
  <c r="AF163" i="125"/>
  <c r="AF345" i="125"/>
  <c r="AF344" i="125"/>
  <c r="AF320" i="125"/>
  <c r="AF321" i="125"/>
  <c r="AF242" i="125"/>
  <c r="AF241" i="125"/>
  <c r="AF159" i="125"/>
  <c r="AF158" i="125"/>
  <c r="AG284" i="125"/>
  <c r="AJ284" i="125" s="1"/>
  <c r="AJ281" i="125"/>
  <c r="AG205" i="125"/>
  <c r="AJ205" i="125" s="1"/>
  <c r="AJ202" i="125"/>
  <c r="AF319" i="125"/>
  <c r="AF318" i="125"/>
  <c r="AF160" i="125"/>
  <c r="AF161" i="125"/>
  <c r="AF317" i="125"/>
  <c r="AF316" i="125"/>
  <c r="AJ129" i="125"/>
  <c r="AG57" i="125"/>
  <c r="AJ52" i="125"/>
  <c r="AF239" i="125"/>
  <c r="AF240" i="125"/>
  <c r="AF156" i="125"/>
  <c r="AF157" i="125"/>
  <c r="CV63" i="67"/>
  <c r="DI38" i="82"/>
  <c r="DI31" i="82"/>
  <c r="DI32" i="82"/>
  <c r="DI36" i="82"/>
  <c r="DI33" i="82"/>
  <c r="DH33" i="82"/>
  <c r="DG33" i="82"/>
  <c r="DI47" i="82"/>
  <c r="DH25" i="82"/>
  <c r="CY6" i="67"/>
  <c r="CI46" i="119" a="1"/>
  <c r="CU17" i="118" a="1"/>
  <c r="CQ45" i="118" a="1"/>
  <c r="CE17" i="119" a="1"/>
  <c r="CH47" i="118" a="1"/>
  <c r="CY26" i="117" a="1"/>
  <c r="CL17" i="119" a="1"/>
  <c r="CK27" i="117" a="1"/>
  <c r="CO17" i="118" a="1"/>
  <c r="CI10" i="119" a="1"/>
  <c r="CP11" i="117" a="1"/>
  <c r="CD37" i="119" a="1"/>
  <c r="CY40" i="119" a="1"/>
  <c r="CF27" i="117" a="1"/>
  <c r="CV44" i="117" a="1"/>
  <c r="CW19" i="118" a="1"/>
  <c r="CK47" i="119" a="1"/>
  <c r="CY17" i="118" a="1"/>
  <c r="CW44" i="118" a="1"/>
  <c r="CY41" i="117" a="1"/>
  <c r="CO12" i="119" a="1"/>
  <c r="CE46" i="117" a="1"/>
  <c r="CU38" i="119" a="1"/>
  <c r="CJ37" i="119" a="1"/>
  <c r="CZ26" i="117" a="1"/>
  <c r="CR10" i="119" a="1"/>
  <c r="CU39" i="119" a="1"/>
  <c r="CU21" i="119" a="1"/>
  <c r="CP18" i="119" a="1"/>
  <c r="CU38" i="117" a="1"/>
  <c r="CX19" i="118" a="1"/>
  <c r="CJ21" i="119" a="1"/>
  <c r="CU38" i="118" a="1"/>
  <c r="CN20" i="118" a="1"/>
  <c r="CU10" i="119" a="1"/>
  <c r="CU12" i="119" a="1"/>
  <c r="CQ21" i="118" a="1"/>
  <c r="CD31" i="119" a="1"/>
  <c r="CV9" i="117" a="1"/>
  <c r="CW26" i="118" a="1"/>
  <c r="CD46" i="118" a="1"/>
  <c r="CW38" i="119" a="1"/>
  <c r="CX40" i="117" a="1"/>
  <c r="CY17" i="119" a="1"/>
  <c r="CL19" i="119" a="1"/>
  <c r="CJ47" i="117" a="1"/>
  <c r="CX19" i="117" a="1"/>
  <c r="CQ47" i="118" a="1"/>
  <c r="CG20" i="119" a="1"/>
  <c r="CO20" i="119" a="1"/>
  <c r="CG17" i="117" a="1"/>
  <c r="CF41" i="119" a="1"/>
  <c r="CQ21" i="117" a="1"/>
  <c r="CR27" i="117" a="1"/>
  <c r="CR19" i="119" a="1"/>
  <c r="CX9" i="119" a="1"/>
  <c r="CN11" i="117" a="1"/>
  <c r="CE18" i="119" a="1"/>
  <c r="CV17" i="118" a="1"/>
  <c r="CY45" i="118" a="1"/>
  <c r="CI23" i="118" a="1"/>
  <c r="CV18" i="118" a="1"/>
  <c r="CT13" i="117" a="1"/>
  <c r="CH18" i="117" a="1"/>
  <c r="CG17" i="118" a="1"/>
  <c r="CP12" i="119" a="1"/>
  <c r="CX17" i="117" a="1"/>
  <c r="CP45" i="118" a="1"/>
  <c r="CV27" i="67" a="1"/>
  <c r="CP23" i="118" a="1"/>
  <c r="CY12" i="117" a="1"/>
  <c r="CQ40" i="119" a="1"/>
  <c r="CP39" i="117" a="1"/>
  <c r="CK45" i="119" a="1"/>
  <c r="CQ31" i="117" a="1"/>
  <c r="CT20" i="118" a="1"/>
  <c r="CE43" i="118" a="1"/>
  <c r="CM37" i="117" a="1"/>
  <c r="CL17" i="117" a="1"/>
  <c r="CU25" i="117" a="1"/>
  <c r="CU27" i="118" a="1"/>
  <c r="CI13" i="119" a="1"/>
  <c r="CK19" i="119" a="1"/>
  <c r="CK37" i="117" a="1"/>
  <c r="CN27" i="118" a="1"/>
  <c r="CW45" i="119" a="1"/>
  <c r="CE19" i="118" a="1"/>
  <c r="CX11" i="118" a="1"/>
  <c r="CE12" i="118" a="1"/>
  <c r="CQ47" i="117" a="1"/>
  <c r="CO43" i="117" a="1"/>
  <c r="CE21" i="118" a="1"/>
  <c r="CV46" i="119" a="1"/>
  <c r="CP40" i="117" a="1"/>
  <c r="CR21" i="117" a="1"/>
  <c r="CM20" i="118" a="1"/>
  <c r="CP11" i="119" a="1"/>
  <c r="CP10" i="118" a="1"/>
  <c r="CW19" i="119" a="1"/>
  <c r="CR9" i="117" a="1"/>
  <c r="CI23" i="117" a="1"/>
  <c r="CM26" i="119" a="1"/>
  <c r="CL9" i="119" a="1"/>
  <c r="CS26" i="119" a="1"/>
  <c r="CM38" i="119" a="1"/>
  <c r="CU47" i="118" a="1"/>
  <c r="CW13" i="117" a="1"/>
  <c r="CV26" i="117" a="1"/>
  <c r="CK29" i="117" a="1"/>
  <c r="CQ24" i="119" a="1"/>
  <c r="CD39" i="118" a="1"/>
  <c r="CW19" i="117" a="1"/>
  <c r="CJ40" i="118" a="1"/>
  <c r="CQ13" i="118" a="1"/>
  <c r="CD20" i="118" a="1"/>
  <c r="CE41" i="118" a="1"/>
  <c r="CW23" i="119" a="1"/>
  <c r="CQ26" i="118" a="1"/>
  <c r="CS29" i="119" a="1"/>
  <c r="CM38" i="117" a="1"/>
  <c r="CW47" i="119" a="1"/>
  <c r="CF45" i="117" a="1"/>
  <c r="CQ44" i="118" a="1"/>
  <c r="CQ29" i="118" a="1"/>
  <c r="CD25" i="119" a="1"/>
  <c r="CS21" i="118" a="1"/>
  <c r="CV19" i="119" a="1"/>
  <c r="CE29" i="118" a="1"/>
  <c r="CY25" i="119" a="1"/>
  <c r="CZ41" i="118" a="1"/>
  <c r="CH26" i="118" a="1"/>
  <c r="CT39" i="119" a="1"/>
  <c r="CG44" i="119" a="1"/>
  <c r="CZ47" i="119" a="1"/>
  <c r="CH44" i="118" a="1"/>
  <c r="CW40" i="119" a="1"/>
  <c r="CD29" i="117" a="1"/>
  <c r="CX39" i="118" a="1"/>
  <c r="CI18" i="117" a="1"/>
  <c r="CD44" i="117" a="1"/>
  <c r="CS12" i="119" a="1"/>
  <c r="CK24" i="119" a="1"/>
  <c r="CN20" i="119" a="1"/>
  <c r="CN46" i="118" a="1"/>
  <c r="CU45" i="119" a="1"/>
  <c r="CG25" i="119" a="1"/>
  <c r="CI13" i="117" a="1"/>
  <c r="CP26" i="118" a="1"/>
  <c r="CQ45" i="119" a="1"/>
  <c r="CI37" i="119" a="1"/>
  <c r="CT24" i="119" a="1"/>
  <c r="CM27" i="118" a="1"/>
  <c r="CE41" i="117" a="1"/>
  <c r="CG31" i="118" a="1"/>
  <c r="CY44" i="119" a="1"/>
  <c r="CV12" i="117" a="1"/>
  <c r="CI19" i="118" a="1"/>
  <c r="CW10" i="119" a="1"/>
  <c r="CO40" i="118" a="1"/>
  <c r="CS23" i="119" a="1"/>
  <c r="CJ24" i="119" a="1"/>
  <c r="CO40" i="117" a="1"/>
  <c r="CQ9" i="118" a="1"/>
  <c r="CG27" i="118" a="1"/>
  <c r="CR47" i="117" a="1"/>
  <c r="CO41" i="117" a="1"/>
  <c r="CP17" i="119" a="1"/>
  <c r="CJ43" i="117" a="1"/>
  <c r="CV40" i="119" a="1"/>
  <c r="CU39" i="118" a="1"/>
  <c r="CZ10" i="118" a="1"/>
  <c r="CM19" i="119" a="1"/>
  <c r="CW10" i="117" a="1"/>
  <c r="CV41" i="119" a="1"/>
  <c r="CS47" i="118" a="1"/>
  <c r="CX12" i="119" a="1"/>
  <c r="CP47" i="119" a="1"/>
  <c r="CT46" i="119" a="1"/>
  <c r="CM31" i="119" a="1"/>
  <c r="CG9" i="118" a="1"/>
  <c r="CM44" i="117" a="1"/>
  <c r="CI9" i="119" a="1"/>
  <c r="CD23" i="117" a="1"/>
  <c r="CO19" i="118" a="1"/>
  <c r="CG19" i="119" a="1"/>
  <c r="CZ21" i="117" a="1"/>
  <c r="CS39" i="119" a="1"/>
  <c r="CW9" i="119" a="1"/>
  <c r="CI46" i="117" a="1"/>
  <c r="CP24" i="119" a="1"/>
  <c r="DG33" i="94" a="1"/>
  <c r="CZ46" i="118" a="1"/>
  <c r="CT11" i="118" a="1"/>
  <c r="CQ26" i="119" a="1"/>
  <c r="CE37" i="118" a="1"/>
  <c r="CS26" i="118" a="1"/>
  <c r="CO23" i="118" a="1"/>
  <c r="CI41" i="119" a="1"/>
  <c r="CS19" i="117" a="1"/>
  <c r="CX21" i="119" a="1"/>
  <c r="CJ29" i="117" a="1"/>
  <c r="CR31" i="117" a="1"/>
  <c r="CN39" i="117" a="1"/>
  <c r="CW31" i="67" a="1"/>
  <c r="CJ12" i="118" a="1"/>
  <c r="CP9" i="119" a="1"/>
  <c r="CM44" i="119" a="1"/>
  <c r="CO39" i="117" a="1"/>
  <c r="CF40" i="119" a="1"/>
  <c r="CW18" i="119" a="1"/>
  <c r="CN37" i="118" a="1"/>
  <c r="CD10" i="118" a="1"/>
  <c r="CH43" i="118" a="1"/>
  <c r="CU47" i="119" a="1"/>
  <c r="CE43" i="119" a="1"/>
  <c r="CL13" i="117" a="1"/>
  <c r="CZ45" i="117" a="1"/>
  <c r="CK44" i="118" a="1"/>
  <c r="CX10" i="119" a="1"/>
  <c r="CJ45" i="119" a="1"/>
  <c r="CQ26" i="117" a="1"/>
  <c r="CP40" i="118" a="1"/>
  <c r="CX27" i="118" a="1"/>
  <c r="CM25" i="118" a="1"/>
  <c r="CF11" i="119" a="1"/>
  <c r="CS43" i="118" a="1"/>
  <c r="CD17" i="119" a="1"/>
  <c r="CI20" i="117" a="1"/>
  <c r="CJ39" i="119" a="1"/>
  <c r="CZ9" i="119" a="1"/>
  <c r="CM43" i="117" a="1"/>
  <c r="CS13" i="119" a="1"/>
  <c r="CP19" i="119" a="1"/>
  <c r="CH10" i="118" a="1"/>
  <c r="CL43" i="117" a="1"/>
  <c r="CJ40" i="117" a="1"/>
  <c r="CV13" i="119" a="1"/>
  <c r="CE19" i="117" a="1"/>
  <c r="CY19" i="118" a="1"/>
  <c r="CD38" i="119" a="1"/>
  <c r="CN19" i="119" a="1"/>
  <c r="CQ13" i="119" a="1"/>
  <c r="CN23" i="119" a="1"/>
  <c r="CS9" i="119" a="1"/>
  <c r="CW38" i="117" a="1"/>
  <c r="CS21" i="119" a="1"/>
  <c r="CW43" i="119" a="1"/>
  <c r="CR12" i="118" a="1"/>
  <c r="CL23" i="119" a="1"/>
  <c r="CU11" i="118" a="1"/>
  <c r="CO44" i="119" a="1"/>
  <c r="CD20" i="117" a="1"/>
  <c r="CF10" i="119" a="1"/>
  <c r="CO11" i="119" a="1"/>
  <c r="CS25" i="117" a="1"/>
  <c r="CI37" i="118" a="1"/>
  <c r="CY11" i="119" a="1"/>
  <c r="CW37" i="118" a="1"/>
  <c r="CD29" i="119" a="1"/>
  <c r="CM29" i="119" a="1"/>
  <c r="CU41" i="117" a="1"/>
  <c r="CF17" i="118" a="1"/>
  <c r="CM41" i="117" a="1"/>
  <c r="CQ9" i="119" a="1"/>
  <c r="CR26" i="117" a="1"/>
  <c r="CF44" i="118" a="1"/>
  <c r="CO25" i="119" a="1"/>
  <c r="CL41" i="118" a="1"/>
  <c r="CU41" i="119" a="1"/>
  <c r="CL21" i="119" a="1"/>
  <c r="CP31" i="117" a="1"/>
  <c r="CE10" i="119" a="1"/>
  <c r="CO25" i="118" a="1"/>
  <c r="CO20" i="118" a="1"/>
  <c r="CF11" i="118" a="1"/>
  <c r="CH24" i="118" a="1"/>
  <c r="CS25" i="118" a="1"/>
  <c r="CH21" i="119" a="1"/>
  <c r="CX19" i="119" a="1"/>
  <c r="CV46" i="118" a="1"/>
  <c r="DH10" i="82" a="1"/>
  <c r="CH29" i="118" a="1"/>
  <c r="CN10" i="119" a="1"/>
  <c r="CI44" i="118" a="1"/>
  <c r="CI21" i="119" a="1"/>
  <c r="CJ9" i="118" a="1"/>
  <c r="CH18" i="119" a="1"/>
  <c r="CJ41" i="119" a="1"/>
  <c r="CZ26" i="119" a="1"/>
  <c r="CI45" i="119" a="1"/>
  <c r="CH45" i="117" a="1"/>
  <c r="CL27" i="119" a="1"/>
  <c r="CU12" i="118" a="1"/>
  <c r="CG29" i="117" a="1"/>
  <c r="CJ26" i="119" a="1"/>
  <c r="CI44" i="117" a="1"/>
  <c r="CU27" i="117" a="1"/>
  <c r="CF43" i="117" a="1"/>
  <c r="CJ38" i="117" a="1"/>
  <c r="CM40" i="119" a="1"/>
  <c r="CY23" i="119" a="1"/>
  <c r="CF9" i="117" a="1"/>
  <c r="CE40" i="119" a="1"/>
  <c r="CD11" i="117" a="1"/>
  <c r="CI12" i="118" a="1"/>
  <c r="CR12" i="117" a="1"/>
  <c r="CV26" i="119" a="1"/>
  <c r="CZ43" i="117" a="1"/>
  <c r="CH9" i="118" a="1"/>
  <c r="CK43" i="117" a="1"/>
  <c r="CE25" i="117" a="1"/>
  <c r="CV31" i="117" a="1"/>
  <c r="CF26" i="117" a="1"/>
  <c r="CG45" i="119" a="1"/>
  <c r="CE19" i="119" a="1"/>
  <c r="CU26" i="118" a="1"/>
  <c r="CG26" i="119" a="1"/>
  <c r="CG18" i="117" a="1"/>
  <c r="CR18" i="119" a="1"/>
  <c r="CT31" i="118" a="1"/>
  <c r="CG31" i="119" a="1"/>
  <c r="CH41" i="118" a="1"/>
  <c r="CM18" i="118" a="1"/>
  <c r="CM39" i="118" a="1"/>
  <c r="CH27" i="119" a="1"/>
  <c r="CE17" i="117" a="1"/>
  <c r="CX24" i="117" a="1"/>
  <c r="CX9" i="118" a="1"/>
  <c r="CZ41" i="117" a="1"/>
  <c r="CY37" i="117" a="1"/>
  <c r="CQ23" i="117" a="1"/>
  <c r="CI20" i="119" a="1"/>
  <c r="CW44" i="119" a="1"/>
  <c r="CO24" i="118" a="1"/>
  <c r="CS45" i="119" a="1"/>
  <c r="CQ17" i="119" a="1"/>
  <c r="CT43" i="118" a="1"/>
  <c r="CD47" i="119" a="1"/>
  <c r="CD9" i="119" a="1"/>
  <c r="CP21" i="117" a="1"/>
  <c r="CF29" i="118" a="1"/>
  <c r="CQ19" i="118" a="1"/>
  <c r="CM44" i="118" a="1"/>
  <c r="CG13" i="117" a="1"/>
  <c r="CK31" i="119" a="1"/>
  <c r="CD13" i="118" a="1"/>
  <c r="CY27" i="117" a="1"/>
  <c r="CO10" i="117" a="1"/>
  <c r="CV12" i="118" a="1"/>
  <c r="CZ26" i="118" a="1"/>
  <c r="CD17" i="118" a="1"/>
  <c r="CW39" i="117" a="1"/>
  <c r="CK9" i="119" a="1"/>
  <c r="CK39" i="119" a="1"/>
  <c r="CM41" i="119" a="1"/>
  <c r="CU44" i="118" a="1"/>
  <c r="CR12" i="119" a="1"/>
  <c r="CW20" i="118" a="1"/>
  <c r="CF43" i="119" a="1"/>
  <c r="CX24" i="119" a="1"/>
  <c r="CV38" i="118" a="1"/>
  <c r="CM20" i="117" a="1"/>
  <c r="CE10" i="117" a="1"/>
  <c r="CU31" i="118" a="1"/>
  <c r="CD25" i="118" a="1"/>
  <c r="CD26" i="119" a="1"/>
  <c r="CD38" i="117" a="1"/>
  <c r="CE31" i="119" a="1"/>
  <c r="CM29" i="118" a="1"/>
  <c r="CI46" i="118" a="1"/>
  <c r="CP31" i="118" a="1"/>
  <c r="CV24" i="119" a="1"/>
  <c r="CD21" i="119" a="1"/>
  <c r="CF10" i="118" a="1"/>
  <c r="CG38" i="117" a="1"/>
  <c r="CK43" i="119" a="1"/>
  <c r="CT45" i="119" a="1"/>
  <c r="CU23" i="118" a="1"/>
  <c r="CL26" i="119" a="1"/>
  <c r="CG45" i="118" a="1"/>
  <c r="CK41" i="118" a="1"/>
  <c r="CS46" i="119" a="1"/>
  <c r="CZ13" i="119" a="1"/>
  <c r="CW46" i="117" a="1"/>
  <c r="CU19" i="118" a="1"/>
  <c r="CQ39" i="118" a="1"/>
  <c r="CQ12" i="118" a="1"/>
  <c r="CD41" i="119" a="1"/>
  <c r="CR21" i="118" a="1"/>
  <c r="CI10" i="118" a="1"/>
  <c r="CM45" i="118" a="1"/>
  <c r="CY13" i="118" a="1"/>
  <c r="CF18" i="119" a="1"/>
  <c r="CP20" i="117" a="1"/>
  <c r="CS20" i="119" a="1"/>
  <c r="CL26" i="118" a="1"/>
  <c r="CW39" i="119" a="1"/>
  <c r="CW31" i="117" a="1"/>
  <c r="CR45" i="119" a="1"/>
  <c r="CM21" i="117" a="1"/>
  <c r="CN43" i="119" a="1"/>
  <c r="CR27" i="119" a="1"/>
  <c r="CF37" i="119" a="1"/>
  <c r="CL10" i="119" a="1"/>
  <c r="CU43" i="119" a="1"/>
  <c r="CP31" i="119" a="1"/>
  <c r="CU20" i="119" a="1"/>
  <c r="CF12" i="119" a="1"/>
  <c r="CK40" i="119" a="1"/>
  <c r="CZ9" i="118" a="1"/>
  <c r="CN26" i="119" a="1"/>
  <c r="CG21" i="118" a="1"/>
  <c r="CV13" i="118" a="1"/>
  <c r="CI39" i="118" a="1"/>
  <c r="CX43" i="117" a="1"/>
  <c r="CD21" i="118" a="1"/>
  <c r="CO45" i="117" a="1"/>
  <c r="CI17" i="117" a="1"/>
  <c r="CK25" i="119" a="1"/>
  <c r="CE20" i="117" a="1"/>
  <c r="CS10" i="119" a="1"/>
  <c r="CR37" i="119" a="1"/>
  <c r="CS37" i="118" a="1"/>
  <c r="CT19" i="118" a="1"/>
  <c r="CD24" i="119" a="1"/>
  <c r="CP21" i="119" a="1"/>
  <c r="CG25" i="118" a="1"/>
  <c r="CW31" i="119" a="1"/>
  <c r="CO26" i="118" a="1"/>
  <c r="CI40" i="118" a="1"/>
  <c r="CE40" i="118" a="1"/>
  <c r="CY21" i="119" a="1"/>
  <c r="CW29" i="67" a="1"/>
  <c r="CG41" i="118" a="1"/>
  <c r="CL29" i="118" a="1"/>
  <c r="CY9" i="119" a="1"/>
  <c r="CP17" i="118" a="1"/>
  <c r="CH11" i="119" a="1"/>
  <c r="CX17" i="118" a="1"/>
  <c r="CG12" i="119" a="1"/>
  <c r="CQ19" i="119" a="1"/>
  <c r="CY12" i="119" a="1"/>
  <c r="CT37" i="119" a="1"/>
  <c r="CJ17" i="117" a="1"/>
  <c r="CR38" i="119" a="1"/>
  <c r="CQ37" i="119" a="1"/>
  <c r="CG17" i="119" a="1"/>
  <c r="CL41" i="119" a="1"/>
  <c r="CS23" i="117" a="1"/>
  <c r="CG23" i="119" a="1"/>
  <c r="CI41" i="117" a="1"/>
  <c r="CN18" i="119" a="1"/>
  <c r="CL41" i="117" a="1"/>
  <c r="CR25" i="118" a="1"/>
  <c r="CP29" i="117" a="1"/>
  <c r="CW9" i="118" a="1"/>
  <c r="CQ17" i="118" a="1"/>
  <c r="CP27" i="117" a="1"/>
  <c r="CQ38" i="118" a="1"/>
  <c r="CY19" i="119" a="1"/>
  <c r="CF47" i="119" a="1"/>
  <c r="CL40" i="119" a="1"/>
  <c r="CW29" i="119" a="1"/>
  <c r="CG29" i="118" a="1"/>
  <c r="CT17" i="119" a="1"/>
  <c r="CS39" i="117" a="1"/>
  <c r="CQ20" i="118" a="1"/>
  <c r="CL18" i="117" a="1"/>
  <c r="CQ10" i="117" a="1"/>
  <c r="CZ44" i="119" a="1"/>
  <c r="CU31" i="119" a="1"/>
  <c r="CR29" i="117" a="1"/>
  <c r="CJ17" i="118" a="1"/>
  <c r="CI25" i="119" a="1"/>
  <c r="CP43" i="119" a="1"/>
  <c r="CD27" i="118" a="1"/>
  <c r="CN29" i="119" a="1"/>
  <c r="CR9" i="119" a="1"/>
  <c r="CW27" i="118" a="1"/>
  <c r="CJ39" i="117" a="1"/>
  <c r="CZ40" i="119" a="1"/>
  <c r="CV9" i="119" a="1"/>
  <c r="CG11" i="119" a="1"/>
  <c r="CJ20" i="118" a="1"/>
  <c r="CJ38" i="118" a="1"/>
  <c r="CH38" i="119" a="1"/>
  <c r="CD10" i="117" a="1"/>
  <c r="CF46" i="119" a="1"/>
  <c r="CT44" i="117" a="1"/>
  <c r="CG43" i="119" a="1"/>
  <c r="CP37" i="117" a="1"/>
  <c r="CI23" i="119" a="1"/>
  <c r="CT11" i="119" a="1"/>
  <c r="CH27" i="117" a="1"/>
  <c r="CI45" i="117" a="1"/>
  <c r="CK29" i="119" a="1"/>
  <c r="CM21" i="118" a="1"/>
  <c r="CQ12" i="119" a="1"/>
  <c r="CL9" i="118" a="1"/>
  <c r="CK20" i="119" a="1"/>
  <c r="CK45" i="118" a="1"/>
  <c r="CZ38" i="119" a="1"/>
  <c r="CN17" i="117" a="1"/>
  <c r="CK21" i="117" a="1"/>
  <c r="CP46" i="119" a="1"/>
  <c r="CU12" i="117" a="1"/>
  <c r="CE29" i="119" a="1"/>
  <c r="CP41" i="117" a="1"/>
  <c r="CV41" i="118" a="1"/>
  <c r="CP37" i="119" a="1"/>
  <c r="CT25" i="119" a="1"/>
  <c r="CF23" i="119" a="1"/>
  <c r="CT11" i="117" a="1"/>
  <c r="CL12" i="119" a="1"/>
  <c r="CK17" i="117" a="1"/>
  <c r="CW9" i="117" a="1"/>
  <c r="CM39" i="119" a="1"/>
  <c r="CI26" i="119" a="1"/>
  <c r="CI12" i="117" a="1"/>
  <c r="CS19" i="119" a="1"/>
  <c r="CY13" i="117" a="1"/>
  <c r="CT27" i="118" a="1"/>
  <c r="CT21" i="119" a="1"/>
  <c r="CO47" i="118" a="1"/>
  <c r="CF46" i="118" a="1"/>
  <c r="CE23" i="119" a="1"/>
  <c r="CM9" i="119" a="1"/>
  <c r="CN25" i="118" a="1"/>
  <c r="CX18" i="118" a="1"/>
  <c r="CP20" i="118" a="1"/>
  <c r="CQ23" i="119" a="1"/>
  <c r="CR40" i="118" a="1"/>
  <c r="CF21" i="119" a="1"/>
  <c r="CQ39" i="119" a="1"/>
  <c r="CN27" i="119" a="1"/>
  <c r="CL19" i="118" a="1"/>
  <c r="CO45" i="118" a="1"/>
  <c r="CH9" i="119" a="1"/>
  <c r="CT41" i="119" a="1"/>
  <c r="CD45" i="117" a="1"/>
  <c r="CJ11" i="117" a="1"/>
  <c r="DG32" i="94" a="1"/>
  <c r="CP46" i="118" a="1"/>
  <c r="CG11" i="118" a="1"/>
  <c r="CK44" i="117" a="1"/>
  <c r="CR24" i="119" a="1"/>
  <c r="CD18" i="119" a="1"/>
  <c r="CO29" i="119" a="1"/>
  <c r="CF25" i="118" a="1"/>
  <c r="CV20" i="118" a="1"/>
  <c r="CV9" i="118" a="1"/>
  <c r="CM40" i="117" a="1"/>
  <c r="CO40" i="119" a="1"/>
  <c r="CH17" i="119" a="1"/>
  <c r="CW41" i="119" a="1"/>
  <c r="CU27" i="119" a="1"/>
  <c r="CR29" i="118" a="1"/>
  <c r="CY47" i="117" a="1"/>
  <c r="CE46" i="118" a="1"/>
  <c r="CG20" i="118" a="1"/>
  <c r="CD12" i="118" a="1"/>
  <c r="CI47" i="117" a="1"/>
  <c r="CO39" i="119" a="1"/>
  <c r="CO24" i="119" a="1"/>
  <c r="CI27" i="118" a="1"/>
  <c r="CO13" i="117" a="1"/>
  <c r="CN47" i="118" a="1"/>
  <c r="CI39" i="117" a="1"/>
  <c r="CD39" i="119" a="1"/>
  <c r="CN19" i="118" a="1"/>
  <c r="CL45" i="119" a="1"/>
  <c r="CF9" i="118" a="1"/>
  <c r="CS27" i="118" a="1"/>
  <c r="CI41" i="118" a="1"/>
  <c r="CF27" i="118" a="1"/>
  <c r="CY38" i="117" a="1"/>
  <c r="CW41" i="118" a="1"/>
  <c r="CN24" i="118" a="1"/>
  <c r="CP20" i="119" a="1"/>
  <c r="CJ19" i="118" a="1"/>
  <c r="CL44" i="118" a="1"/>
  <c r="CH29" i="119" a="1"/>
  <c r="DG36" i="94" a="1"/>
  <c r="CS41" i="119" a="1"/>
  <c r="CK19" i="117" a="1"/>
  <c r="CE27" i="119" a="1"/>
  <c r="CJ43" i="119" a="1"/>
  <c r="CO44" i="118" a="1"/>
  <c r="CR11" i="119" a="1"/>
  <c r="CS9" i="117" a="1"/>
  <c r="CU23" i="117" a="1"/>
  <c r="CU37" i="119" a="1"/>
  <c r="CI47" i="119" a="1"/>
  <c r="CF17" i="119" a="1"/>
  <c r="CF23" i="118" a="1"/>
  <c r="CO39" i="118" a="1"/>
  <c r="CU40" i="119" a="1"/>
  <c r="CZ41" i="119" a="1"/>
  <c r="CM31" i="118" a="1"/>
  <c r="CX45" i="119" a="1"/>
  <c r="CJ13" i="119" a="1"/>
  <c r="CY21" i="118" a="1"/>
  <c r="CZ45" i="119" a="1"/>
  <c r="CD12" i="119" a="1"/>
  <c r="CZ13" i="117" a="1"/>
  <c r="CD25" i="117" a="1"/>
  <c r="CT40" i="117" a="1"/>
  <c r="DJ26" i="93" a="1"/>
  <c r="CM17" i="119" a="1"/>
  <c r="CW25" i="67" a="1"/>
  <c r="CR47" i="118" a="1"/>
  <c r="CV40" i="117" a="1"/>
  <c r="CG21" i="119" a="1"/>
  <c r="CV43" i="117" a="1"/>
  <c r="CU11" i="119" a="1"/>
  <c r="CG11" i="117" a="1"/>
  <c r="CN43" i="117" a="1"/>
  <c r="CN29" i="118" a="1"/>
  <c r="CG40" i="117" a="1"/>
  <c r="CM45" i="119" a="1"/>
  <c r="CR44" i="119" a="1"/>
  <c r="DH37" i="93" a="1"/>
  <c r="CE24" i="119" a="1"/>
  <c r="CK21" i="119" a="1"/>
  <c r="CO45" i="119" a="1"/>
  <c r="CR27" i="118" a="1"/>
  <c r="CG37" i="119" a="1"/>
  <c r="CL31" i="117" a="1"/>
  <c r="CK20" i="118" a="1"/>
  <c r="CX11" i="117" a="1"/>
  <c r="CG24" i="119" a="1"/>
  <c r="CR11" i="118" a="1"/>
  <c r="CO29" i="118" a="1"/>
  <c r="CW26" i="119" a="1"/>
  <c r="CW25" i="117" a="1"/>
  <c r="CP38" i="117" a="1"/>
  <c r="CS24" i="117" a="1"/>
  <c r="CZ43" i="118" a="1"/>
  <c r="CH23" i="119" a="1"/>
  <c r="CR37" i="117" a="1"/>
  <c r="CH9" i="117" a="1"/>
  <c r="CT10" i="119" a="1"/>
  <c r="CS17" i="119" a="1"/>
  <c r="CH37" i="118" a="1"/>
  <c r="CO23" i="119" a="1"/>
  <c r="CN38" i="118" a="1"/>
  <c r="CH19" i="119" a="1"/>
  <c r="CL31" i="119" a="1"/>
  <c r="CV18" i="119" a="1"/>
  <c r="CE44" i="118" a="1"/>
  <c r="CR39" i="118" a="1"/>
  <c r="CR46" i="119" a="1"/>
  <c r="CT23" i="118" a="1"/>
  <c r="CM19" i="117" a="1"/>
  <c r="CQ46" i="119" a="1"/>
  <c r="CR38" i="117" a="1"/>
  <c r="CZ13" i="118" a="1"/>
  <c r="CW17" i="67" a="1"/>
  <c r="CF40" i="118" a="1"/>
  <c r="CN9" i="119" a="1"/>
  <c r="CM10" i="117" a="1"/>
  <c r="CS9" i="118" a="1"/>
  <c r="CK12" i="117" a="1"/>
  <c r="CV29" i="119" a="1"/>
  <c r="CF19" i="119" a="1"/>
  <c r="CN23" i="117" a="1"/>
  <c r="CM27" i="119" a="1"/>
  <c r="CX40" i="119" a="1"/>
  <c r="CW21" i="119" a="1"/>
  <c r="CR18" i="118" a="1"/>
  <c r="CY20" i="119" a="1"/>
  <c r="CH46" i="119" a="1"/>
  <c r="CZ17" i="118" a="1"/>
  <c r="CK27" i="119" a="1"/>
  <c r="CG23" i="118" a="1"/>
  <c r="CS43" i="119" a="1"/>
  <c r="CN12" i="119" a="1"/>
  <c r="CV37" i="118" a="1"/>
  <c r="CK23" i="118" a="1"/>
  <c r="CU26" i="119" a="1"/>
  <c r="CV45" i="117" a="1"/>
  <c r="CE39" i="119" a="1"/>
  <c r="CW45" i="118" a="1"/>
  <c r="CQ43" i="118" a="1"/>
  <c r="CJ18" i="119" a="1"/>
  <c r="CO26" i="117" a="1"/>
  <c r="CE45" i="118" a="1"/>
  <c r="CE43" i="117" a="1"/>
  <c r="CR13" i="118" a="1"/>
  <c r="CY11" i="118" a="1"/>
  <c r="CQ20" i="117" a="1"/>
  <c r="CN10" i="118" a="1"/>
  <c r="CM23" i="119" a="1"/>
  <c r="CH39" i="118" a="1"/>
  <c r="CI17" i="118" a="1"/>
  <c r="CY46" i="119" a="1"/>
  <c r="CJ13" i="117" a="1"/>
  <c r="CG40" i="119" a="1"/>
  <c r="CH26" i="119" a="1"/>
  <c r="CE17" i="118" a="1"/>
  <c r="CP38" i="119" a="1"/>
  <c r="CP10" i="119" a="1"/>
  <c r="CS31" i="117" a="1"/>
  <c r="CI24" i="117" a="1"/>
  <c r="CM10" i="119" a="1"/>
  <c r="CR44" i="118" a="1"/>
  <c r="CG29" i="119" a="1"/>
  <c r="CM43" i="118" a="1"/>
  <c r="CW12" i="118" a="1"/>
  <c r="CL25" i="119" a="1"/>
  <c r="CG10" i="118" a="1"/>
  <c r="CK43" i="118" a="1"/>
  <c r="CK29" i="118" a="1"/>
  <c r="CZ9" i="117" a="1"/>
  <c r="CR24" i="118" a="1"/>
  <c r="CJ44" i="117" a="1"/>
  <c r="CK40" i="118" a="1"/>
  <c r="CG45" i="117" a="1"/>
  <c r="CN44" i="118" a="1"/>
  <c r="CE26" i="117" a="1"/>
  <c r="CL47" i="118" a="1"/>
  <c r="CX27" i="117" a="1"/>
  <c r="CS41" i="118" a="1"/>
  <c r="CW21" i="118" a="1"/>
  <c r="CV19" i="118" a="1"/>
  <c r="CI31" i="118" a="1"/>
  <c r="CD11" i="118" a="1"/>
  <c r="CH31" i="117" a="1"/>
  <c r="CR40" i="117" a="1"/>
  <c r="CT27" i="119" a="1"/>
  <c r="CH37" i="117" a="1"/>
  <c r="CU25" i="119" a="1"/>
  <c r="CN37" i="117" a="1"/>
  <c r="CW31" i="118" a="1"/>
  <c r="CO12" i="117" a="1"/>
  <c r="CT43" i="119" a="1"/>
  <c r="CS44" i="119" a="1"/>
  <c r="CU24" i="119" a="1"/>
  <c r="CJ25" i="119" a="1"/>
  <c r="CS40" i="117" a="1"/>
  <c r="CW17" i="119" a="1"/>
  <c r="CX39" i="117" a="1"/>
  <c r="CX41" i="119" a="1"/>
  <c r="CI45" i="118" a="1"/>
  <c r="CY43" i="119" a="1"/>
  <c r="CO38" i="119" a="1"/>
  <c r="CN21" i="118" a="1"/>
  <c r="CW37" i="117" a="1"/>
  <c r="CN40" i="117" a="1"/>
  <c r="CK9" i="118" a="1"/>
  <c r="CS25" i="119" a="1"/>
  <c r="CW43" i="118" a="1"/>
  <c r="CV38" i="119" a="1"/>
  <c r="CY23" i="118" a="1"/>
  <c r="CX46" i="119" a="1"/>
  <c r="CJ25" i="118" a="1"/>
  <c r="CD45" i="118" a="1"/>
  <c r="CF18" i="118" a="1"/>
  <c r="CN23" i="118" a="1"/>
  <c r="CD43" i="117" a="1"/>
  <c r="CY10" i="119" a="1"/>
  <c r="CW26" i="117" a="1"/>
  <c r="CX21" i="118" a="1"/>
  <c r="CE13" i="119" a="1"/>
  <c r="CV29" i="117" a="1"/>
  <c r="CV25" i="118" a="1"/>
  <c r="CW18" i="118" a="1"/>
  <c r="CI25" i="117" a="1"/>
  <c r="CF41" i="118" a="1"/>
  <c r="CH13" i="118" a="1"/>
  <c r="CD18" i="117" a="1"/>
  <c r="CQ44" i="117" a="1"/>
  <c r="CN41" i="117" a="1"/>
  <c r="CE46" i="119" a="1"/>
  <c r="CO27" i="119" a="1"/>
  <c r="CG21" i="117" a="1"/>
  <c r="CX25" i="117" a="1"/>
  <c r="CF39" i="118" a="1"/>
  <c r="CR13" i="119" a="1"/>
  <c r="CM27" i="117" a="1"/>
  <c r="CT43" i="117" a="1"/>
  <c r="CT45" i="117" a="1"/>
  <c r="CV39" i="119" a="1"/>
  <c r="CF39" i="117" a="1"/>
  <c r="CE23" i="118" a="1"/>
  <c r="CE18" i="118" a="1"/>
  <c r="CL24" i="119" a="1"/>
  <c r="CF12" i="118" a="1"/>
  <c r="CE12" i="119" a="1"/>
  <c r="CP26" i="119" a="1"/>
  <c r="CX44" i="119" a="1"/>
  <c r="CH41" i="119" a="1"/>
  <c r="CG37" i="117" a="1"/>
  <c r="CI29" i="117" a="1"/>
  <c r="CK31" i="117" a="1"/>
  <c r="CU20" i="117" a="1"/>
  <c r="CX18" i="119" a="1"/>
  <c r="CO21" i="119" a="1"/>
  <c r="CJ37" i="118" a="1"/>
  <c r="CH44" i="119" a="1"/>
  <c r="CU46" i="118" a="1"/>
  <c r="CE45" i="119" a="1"/>
  <c r="CR47" i="119" a="1"/>
  <c r="CN21" i="119" a="1"/>
  <c r="CF29" i="119" a="1"/>
  <c r="CF17" i="117" a="1"/>
  <c r="DI18" i="82" a="1"/>
  <c r="CK13" i="118" a="1"/>
  <c r="CL11" i="117" a="1"/>
  <c r="CH46" i="118" a="1"/>
  <c r="CN11" i="118" a="1"/>
  <c r="CP40" i="119" a="1"/>
  <c r="CW11" i="119" a="1"/>
  <c r="CU9" i="118" a="1"/>
  <c r="CS10" i="117" a="1"/>
  <c r="CF44" i="117" a="1"/>
  <c r="CL26" i="117" a="1"/>
  <c r="CK19" i="118" a="1"/>
  <c r="CJ18" i="118" a="1"/>
  <c r="CY38" i="119" a="1"/>
  <c r="CX45" i="117" a="1"/>
  <c r="CS46" i="117" a="1"/>
  <c r="CT26" i="119" a="1"/>
  <c r="CI18" i="118" a="1"/>
  <c r="CY24" i="118" a="1"/>
  <c r="CG9" i="117" a="1"/>
  <c r="CG27" i="119" a="1"/>
  <c r="CH37" i="119" a="1"/>
  <c r="CL29" i="119" a="1"/>
  <c r="CD46" i="119" a="1"/>
  <c r="CZ21" i="118" a="1"/>
  <c r="DJ25" i="93" a="1"/>
  <c r="CK21" i="118" a="1"/>
  <c r="CT39" i="118" a="1"/>
  <c r="CL44" i="119" a="1"/>
  <c r="CV27" i="118" a="1"/>
  <c r="CK37" i="119" a="1"/>
  <c r="CS19" i="118" a="1"/>
  <c r="CU9" i="117" a="1"/>
  <c r="CT20" i="119" a="1"/>
  <c r="CJ47" i="119" a="1"/>
  <c r="CJ27" i="119" a="1"/>
  <c r="CJ18" i="117" a="1"/>
  <c r="CD31" i="117" a="1"/>
  <c r="CJ37" i="117" a="1"/>
  <c r="CN37" i="119" a="1"/>
  <c r="CL12" i="118" a="1"/>
  <c r="CP12" i="117" a="1"/>
  <c r="CU45" i="118" a="1"/>
  <c r="CN47" i="117" a="1"/>
  <c r="CJ11" i="119" a="1"/>
  <c r="CJ45" i="118" a="1"/>
  <c r="CO27" i="117" a="1"/>
  <c r="CI43" i="117" a="1"/>
  <c r="CT26" i="117" a="1"/>
  <c r="L56" i="30"/>
  <c r="CR10" i="117" a="1"/>
  <c r="CS40" i="119" a="1"/>
  <c r="CL37" i="119" a="1"/>
  <c r="CD27" i="119" a="1"/>
  <c r="CT13" i="118" a="1"/>
  <c r="CG20" i="117" a="1"/>
  <c r="CV37" i="117" a="1"/>
  <c r="DH16" i="93" a="1"/>
  <c r="CL40" i="117" a="1"/>
  <c r="CP47" i="117" a="1"/>
  <c r="CF24" i="117" a="1"/>
  <c r="CS43" i="117" a="1"/>
  <c r="CL39" i="117" a="1"/>
  <c r="CQ11" i="117" a="1"/>
  <c r="CF13" i="117" a="1"/>
  <c r="CD23" i="119" a="1"/>
  <c r="CX26" i="67" a="1"/>
  <c r="CY18" i="117" a="1"/>
  <c r="CH47" i="119" a="1"/>
  <c r="CU11" i="117" a="1"/>
  <c r="CT24" i="117" a="1"/>
  <c r="CR41" i="119" a="1"/>
  <c r="CO10" i="118" a="1"/>
  <c r="CT47" i="118" a="1"/>
  <c r="CS37" i="119" a="1"/>
  <c r="CZ40" i="118" a="1"/>
  <c r="CL20" i="119" a="1"/>
  <c r="CM26" i="118" a="1"/>
  <c r="CQ46" i="117" a="1"/>
  <c r="CK46" i="117" a="1"/>
  <c r="CK12" i="119" a="1"/>
  <c r="CT29" i="118" a="1"/>
  <c r="CI38" i="119" a="1"/>
  <c r="CW45" i="117" a="1"/>
  <c r="CO10" i="119" a="1"/>
  <c r="CF13" i="119" a="1"/>
  <c r="CJ19" i="117" a="1"/>
  <c r="CG46" i="119" a="1"/>
  <c r="CV39" i="118" a="1"/>
  <c r="CK17" i="118" a="1"/>
  <c r="CT18" i="118" a="1"/>
  <c r="CT47" i="119" a="1"/>
  <c r="CL11" i="118" a="1"/>
  <c r="CQ45" i="117" a="1"/>
  <c r="CK23" i="117" a="1"/>
  <c r="CT26" i="118" a="1"/>
  <c r="CF25" i="117" a="1"/>
  <c r="CH21" i="117" a="1"/>
  <c r="CD37" i="117" a="1"/>
  <c r="CO18" i="117" a="1"/>
  <c r="CT41" i="118" a="1"/>
  <c r="CY40" i="117" a="1"/>
  <c r="CI43" i="119" a="1"/>
  <c r="CJ41" i="117" a="1"/>
  <c r="CU19" i="117" a="1"/>
  <c r="CY18" i="118" a="1"/>
  <c r="CF38" i="117" a="1"/>
  <c r="CL20" i="118" a="1"/>
  <c r="DG35" i="82" a="1"/>
  <c r="CI31" i="117" a="1"/>
  <c r="CX12" i="117" a="1"/>
  <c r="CL25" i="118" a="1"/>
  <c r="CP44" i="117" a="1"/>
  <c r="CL47" i="119" a="1"/>
  <c r="CU44" i="117" a="1"/>
  <c r="CP43" i="117" a="1"/>
  <c r="CT38" i="118" a="1"/>
  <c r="CP27" i="119" a="1"/>
  <c r="CD12" i="117" a="1"/>
  <c r="CD9" i="118" a="1"/>
  <c r="CD37" i="118" a="1"/>
  <c r="CH12" i="117" a="1"/>
  <c r="CU45" i="117" a="1"/>
  <c r="CF31" i="118" a="1"/>
  <c r="CP24" i="118" a="1"/>
  <c r="CM9" i="117" a="1"/>
  <c r="CQ10" i="119" a="1"/>
  <c r="CP18" i="117" a="1"/>
  <c r="CM17" i="117" a="1"/>
  <c r="CQ18" i="117" a="1"/>
  <c r="CD13" i="119" a="1"/>
  <c r="CK26" i="119" a="1"/>
  <c r="CZ12" i="119" a="1"/>
  <c r="CE40" i="117" a="1"/>
  <c r="CD19" i="119" a="1"/>
  <c r="DI10" i="93" a="1"/>
  <c r="CY39" i="119" a="1"/>
  <c r="CI27" i="117" a="1"/>
  <c r="CH26" i="117" a="1"/>
  <c r="CO44" i="117" a="1"/>
  <c r="CT45" i="118" a="1"/>
  <c r="CW44" i="117" a="1"/>
  <c r="DH28" i="82" a="1"/>
  <c r="CW13" i="118" a="1"/>
  <c r="DI25" i="94" a="1"/>
  <c r="DI19" i="82" a="1"/>
  <c r="CV11" i="117" a="1"/>
  <c r="CK38" i="118" a="1"/>
  <c r="CR41" i="117" a="1"/>
  <c r="CQ39" i="117" a="1"/>
  <c r="DG38" i="94" a="1"/>
  <c r="CP45" i="117" a="1"/>
  <c r="CH25" i="119" a="1"/>
  <c r="DJ28" i="93" a="1"/>
  <c r="CK13" i="119" a="1"/>
  <c r="CQ31" i="118" a="1"/>
  <c r="DG33" i="93" a="1"/>
  <c r="CT27" i="117" a="1"/>
  <c r="CV24" i="118" a="1"/>
  <c r="CG46" i="117" a="1"/>
  <c r="CY39" i="118" a="1"/>
  <c r="CF18" i="117" a="1"/>
  <c r="CL40" i="118" a="1"/>
  <c r="CD46" i="117" a="1"/>
  <c r="CY26" i="118" a="1"/>
  <c r="CL24" i="117" a="1"/>
  <c r="DH19" i="93" a="1"/>
  <c r="CY39" i="117" a="1"/>
  <c r="CN39" i="119" a="1"/>
  <c r="CJ23" i="119" a="1"/>
  <c r="CQ47" i="119" a="1"/>
  <c r="CP46" i="117" a="1"/>
  <c r="CF20" i="118" a="1"/>
  <c r="DI35" i="82" a="1"/>
  <c r="CW41" i="117" a="1"/>
  <c r="L55" i="30"/>
  <c r="CX31" i="117" a="1"/>
  <c r="CN40" i="119" a="1"/>
  <c r="CG23" i="117" a="1"/>
  <c r="CT23" i="119" a="1"/>
  <c r="CT41" i="117" a="1"/>
  <c r="CQ11" i="118" a="1"/>
  <c r="CJ13" i="118" a="1"/>
  <c r="CD10" i="119" a="1"/>
  <c r="CG27" i="117" a="1"/>
  <c r="DG31" i="82" a="1"/>
  <c r="CV26" i="118" a="1"/>
  <c r="CT21" i="117" a="1"/>
  <c r="CI24" i="118" a="1"/>
  <c r="CU13" i="118" a="1"/>
  <c r="CN44" i="117" a="1"/>
  <c r="CX29" i="119" a="1"/>
  <c r="CS17" i="118" a="1"/>
  <c r="CI43" i="118" a="1"/>
  <c r="CL38" i="119" a="1"/>
  <c r="CK31" i="118" a="1"/>
  <c r="CP25" i="118" a="1"/>
  <c r="CX21" i="117" a="1"/>
  <c r="CY9" i="117" a="1"/>
  <c r="CP13" i="119" a="1"/>
  <c r="CM12" i="119" a="1"/>
  <c r="CX43" i="119" a="1"/>
  <c r="CZ45" i="118" a="1"/>
  <c r="CR39" i="117" a="1"/>
  <c r="CR24" i="117" a="1"/>
  <c r="CS11" i="118" a="1"/>
  <c r="CX47" i="118" a="1"/>
  <c r="CD19" i="117" a="1"/>
  <c r="CV23" i="117" a="1"/>
  <c r="CN9" i="118" a="1"/>
  <c r="CY46" i="118" a="1"/>
  <c r="CE11" i="118" a="1"/>
  <c r="CT12" i="119" a="1"/>
  <c r="CM24" i="119" a="1"/>
  <c r="CI13" i="118" a="1"/>
  <c r="CX11" i="119" a="1"/>
  <c r="CQ11" i="119" a="1"/>
  <c r="CE24" i="118" a="1"/>
  <c r="CU47" i="117" a="1"/>
  <c r="CN11" i="119" a="1"/>
  <c r="CM9" i="118" a="1"/>
  <c r="CF25" i="119" a="1"/>
  <c r="CH12" i="118" a="1"/>
  <c r="CZ39" i="117" a="1"/>
  <c r="CV40" i="118" a="1"/>
  <c r="CE11" i="117" a="1"/>
  <c r="CP25" i="119" a="1"/>
  <c r="CP37" i="118" a="1"/>
  <c r="CY19" i="117" a="1"/>
  <c r="CN24" i="117" a="1"/>
  <c r="CU39" i="117" a="1"/>
  <c r="DH36" i="93" a="1"/>
  <c r="DI37" i="82" a="1"/>
  <c r="CX9" i="117" a="1"/>
  <c r="L54" i="30"/>
  <c r="CD11" i="119" a="1"/>
  <c r="CV31" i="119" a="1"/>
  <c r="CE25" i="118" a="1"/>
  <c r="CX41" i="118" a="1"/>
  <c r="CX44" i="117" a="1"/>
  <c r="CS24" i="118" a="1"/>
  <c r="CW29" i="117" a="1"/>
  <c r="CF31" i="117" a="1"/>
  <c r="CO25" i="117" a="1"/>
  <c r="CI31" i="119" a="1"/>
  <c r="CJ39" i="118" a="1"/>
  <c r="CU21" i="117" a="1"/>
  <c r="DI28" i="94" a="1"/>
  <c r="DG35" i="93" a="1"/>
  <c r="CN38" i="117" a="1"/>
  <c r="DI25" i="93" a="1"/>
  <c r="CK18" i="118" a="1"/>
  <c r="CX13" i="117" a="1"/>
  <c r="CT31" i="117" a="1"/>
  <c r="CN9" i="117" a="1"/>
  <c r="CL23" i="118" a="1"/>
  <c r="CL19" i="117" a="1"/>
  <c r="CV37" i="119" a="1"/>
  <c r="CD18" i="118" a="1"/>
  <c r="CG13" i="119" a="1"/>
  <c r="CW17" i="117" a="1"/>
  <c r="CV24" i="117" a="1"/>
  <c r="CS27" i="117" a="1"/>
  <c r="CM37" i="118" a="1"/>
  <c r="DH38" i="93" a="1"/>
  <c r="CX26" i="117" a="1"/>
  <c r="CV21" i="119" a="1"/>
  <c r="CU46" i="117" a="1"/>
  <c r="CG44" i="118" a="1"/>
  <c r="CP12" i="118" a="1"/>
  <c r="CO38" i="118" a="1"/>
  <c r="CH24" i="119" a="1"/>
  <c r="CS24" i="119" a="1"/>
  <c r="CG12" i="117" a="1"/>
  <c r="CT31" i="119" a="1"/>
  <c r="DI11" i="82" a="1"/>
  <c r="CP19" i="118" a="1"/>
  <c r="CK26" i="118" a="1"/>
  <c r="CS21" i="117" a="1"/>
  <c r="DH38" i="94" a="1"/>
  <c r="DH13" i="94" a="1"/>
  <c r="CF23" i="117" a="1"/>
  <c r="CW37" i="119" a="1"/>
  <c r="CF24" i="118" a="1"/>
  <c r="CW47" i="118" a="1"/>
  <c r="CX37" i="119" a="1"/>
  <c r="CP9" i="118" a="1"/>
  <c r="CJ19" i="119" a="1"/>
  <c r="CL47" i="117" a="1"/>
  <c r="CE38" i="117" a="1"/>
  <c r="CM11" i="117" a="1"/>
  <c r="CO13" i="119" a="1"/>
  <c r="CY9" i="118" a="1"/>
  <c r="CT37" i="117" a="1"/>
  <c r="CD43" i="119" a="1"/>
  <c r="CO41" i="119" a="1"/>
  <c r="CS11" i="119" a="1"/>
  <c r="CD31" i="118" a="1"/>
  <c r="CV18" i="67" a="1"/>
  <c r="CL46" i="118" a="1"/>
  <c r="CV11" i="118" a="1"/>
  <c r="CJ10" i="118" a="1"/>
  <c r="CL39" i="119" a="1"/>
  <c r="CQ27" i="118" a="1"/>
  <c r="CQ40" i="118" a="1"/>
  <c r="CQ41" i="119" a="1"/>
  <c r="CR23" i="119" a="1"/>
  <c r="CT38" i="119" a="1"/>
  <c r="CK24" i="118" a="1"/>
  <c r="CD27" i="117" a="1"/>
  <c r="CJ12" i="119" a="1"/>
  <c r="CP21" i="118" a="1"/>
  <c r="CK10" i="118" a="1"/>
  <c r="CR19" i="117" a="1"/>
  <c r="CH41" i="117" a="1"/>
  <c r="CQ18" i="119" a="1"/>
  <c r="CG39" i="117" a="1"/>
  <c r="CM47" i="117" a="1"/>
  <c r="CE11" i="119" a="1"/>
  <c r="CM12" i="117" a="1"/>
  <c r="CL13" i="119" a="1"/>
  <c r="CE29" i="117" a="1"/>
  <c r="CU29" i="117" a="1"/>
  <c r="CY41" i="118" a="1"/>
  <c r="CP17" i="117" a="1"/>
  <c r="CK18" i="117" a="1"/>
  <c r="CY45" i="119" a="1"/>
  <c r="CG43" i="117" a="1"/>
  <c r="CT25" i="118" a="1"/>
  <c r="CD29" i="118" a="1"/>
  <c r="CW25" i="118" a="1"/>
  <c r="CI40" i="117" a="1"/>
  <c r="DH31" i="82" a="1"/>
  <c r="DG30" i="93" a="1"/>
  <c r="CU18" i="118" a="1"/>
  <c r="CP10" i="117" a="1"/>
  <c r="CL38" i="118" a="1"/>
  <c r="CM13" i="119" a="1"/>
  <c r="CG40" i="118" a="1"/>
  <c r="CX38" i="119" a="1"/>
  <c r="CV20" i="119" a="1"/>
  <c r="CL18" i="118" a="1"/>
  <c r="CJ44" i="118" a="1"/>
  <c r="CR20" i="119" a="1"/>
  <c r="CE45" i="117" a="1"/>
  <c r="CW11" i="117" a="1"/>
  <c r="CV20" i="117" a="1"/>
  <c r="CS18" i="119" a="1"/>
  <c r="CY47" i="118" a="1"/>
  <c r="CV25" i="117" a="1"/>
  <c r="CO11" i="117" a="1"/>
  <c r="DI8" i="93" a="1"/>
  <c r="CW20" i="119" a="1"/>
  <c r="L19" i="30"/>
  <c r="CY41" i="119" a="1"/>
  <c r="CN45" i="117" a="1"/>
  <c r="CI9" i="117" a="1"/>
  <c r="DI27" i="94" a="1"/>
  <c r="CL13" i="118" a="1"/>
  <c r="CO23" i="117" a="1"/>
  <c r="CV12" i="119" a="1"/>
  <c r="CT47" i="117" a="1"/>
  <c r="CT46" i="117" a="1"/>
  <c r="DI30" i="82" a="1"/>
  <c r="CX44" i="118" a="1"/>
  <c r="CL37" i="117" a="1"/>
  <c r="CX23" i="118" a="1"/>
  <c r="CY12" i="118" a="1"/>
  <c r="CH38" i="117" a="1"/>
  <c r="CO47" i="119" a="1"/>
  <c r="CT9" i="119" a="1"/>
  <c r="CR46" i="118" a="1"/>
  <c r="CD40" i="117" a="1"/>
  <c r="CX39" i="119" a="1"/>
  <c r="CM12" i="118" a="1"/>
  <c r="CM25" i="117" a="1"/>
  <c r="CF31" i="119" a="1"/>
  <c r="CN25" i="119" a="1"/>
  <c r="CU24" i="117" a="1"/>
  <c r="CF43" i="118" a="1"/>
  <c r="CH11" i="117" a="1"/>
  <c r="CR13" i="117" a="1"/>
  <c r="CN26" i="118" a="1"/>
  <c r="CW46" i="118" a="1"/>
  <c r="CE26" i="119" a="1"/>
  <c r="CM20" i="119" a="1"/>
  <c r="CD19" i="118" a="1"/>
  <c r="CT44" i="118" a="1"/>
  <c r="CH47" i="117" a="1"/>
  <c r="CM19" i="118" a="1"/>
  <c r="CJ17" i="119" a="1"/>
  <c r="CL9" i="117" a="1"/>
  <c r="CU25" i="118" a="1"/>
  <c r="CE38" i="119" a="1"/>
  <c r="CZ38" i="118" a="1"/>
  <c r="CW24" i="117" a="1"/>
  <c r="CJ31" i="117" a="1"/>
  <c r="DI11" i="94" a="1"/>
  <c r="DG30" i="82" a="1"/>
  <c r="CX13" i="118" a="1"/>
  <c r="CU24" i="118" a="1"/>
  <c r="CH19" i="117" a="1"/>
  <c r="CS29" i="117" a="1"/>
  <c r="DJ27" i="94" a="1"/>
  <c r="CD38" i="118" a="1"/>
  <c r="CT19" i="119" a="1"/>
  <c r="CS40" i="118" a="1"/>
  <c r="CH25" i="117" a="1"/>
  <c r="CY23" i="117" a="1"/>
  <c r="CN25" i="117" a="1"/>
  <c r="CG13" i="118" a="1"/>
  <c r="CL43" i="118" a="1"/>
  <c r="CU10" i="118" a="1"/>
  <c r="CK38" i="117" a="1"/>
  <c r="CN19" i="117" a="1"/>
  <c r="CP11" i="118" a="1"/>
  <c r="CN29" i="117" a="1"/>
  <c r="CZ11" i="118" a="1"/>
  <c r="CM18" i="117" a="1"/>
  <c r="CT29" i="119" a="1"/>
  <c r="CL46" i="119" a="1"/>
  <c r="CL25" i="117" a="1"/>
  <c r="CJ29" i="118" a="1"/>
  <c r="CI26" i="118" a="1"/>
  <c r="CO46" i="119" a="1"/>
  <c r="CK23" i="119" a="1"/>
  <c r="CV31" i="118" a="1"/>
  <c r="CJ46" i="119" a="1"/>
  <c r="CN31" i="118" a="1"/>
  <c r="CN18" i="117" a="1"/>
  <c r="CK38" i="119" a="1"/>
  <c r="CG47" i="119" a="1"/>
  <c r="CN12" i="118" a="1"/>
  <c r="CU17" i="119" a="1"/>
  <c r="CY24" i="119" a="1"/>
  <c r="CU40" i="118" a="1"/>
  <c r="CG26" i="118" a="1"/>
  <c r="CI20" i="118" a="1"/>
  <c r="CU18" i="119" a="1"/>
  <c r="CH13" i="119" a="1"/>
  <c r="CK47" i="118" a="1"/>
  <c r="CV23" i="118" a="1"/>
  <c r="CV47" i="119" a="1"/>
  <c r="CG44" i="117" a="1"/>
  <c r="CR23" i="118" a="1"/>
  <c r="CP45" i="119" a="1"/>
  <c r="CN44" i="119" a="1"/>
  <c r="CM37" i="119" a="1"/>
  <c r="CJ41" i="118" a="1"/>
  <c r="CI26" i="117" a="1"/>
  <c r="CS13" i="118" a="1"/>
  <c r="CV44" i="119" a="1"/>
  <c r="CL27" i="117" a="1"/>
  <c r="CE39" i="117" a="1"/>
  <c r="CK46" i="118" a="1"/>
  <c r="CQ41" i="117" a="1"/>
  <c r="CS11" i="117" a="1"/>
  <c r="CR17" i="117" a="1"/>
  <c r="DH18" i="93" a="1"/>
  <c r="CW19" i="67" a="1"/>
  <c r="CE20" i="119" a="1"/>
  <c r="DH19" i="82" a="1"/>
  <c r="CM17" i="118" a="1"/>
  <c r="CU41" i="118" a="1"/>
  <c r="CM10" i="118" a="1"/>
  <c r="CI29" i="119" a="1"/>
  <c r="CG19" i="117" a="1"/>
  <c r="DH15" i="93" a="1"/>
  <c r="CM45" i="117" a="1"/>
  <c r="CG47" i="118" a="1"/>
  <c r="CP41" i="119" a="1"/>
  <c r="CP27" i="118" a="1"/>
  <c r="L57" i="30"/>
  <c r="CX18" i="117" a="1"/>
  <c r="CE9" i="117" a="1"/>
  <c r="L51" i="30"/>
  <c r="CD24" i="117" a="1"/>
  <c r="CY24" i="117" a="1"/>
  <c r="CU37" i="118" a="1"/>
  <c r="CU26" i="117" a="1"/>
  <c r="CW40" i="118" a="1"/>
  <c r="DG32" i="93" a="1"/>
  <c r="CO13" i="118" a="1"/>
  <c r="CE31" i="117" a="1"/>
  <c r="CX24" i="118" a="1"/>
  <c r="CQ9" i="117" a="1"/>
  <c r="L53" i="30"/>
  <c r="DG31" i="94" a="1"/>
  <c r="CF27" i="119" a="1"/>
  <c r="DH30" i="82" a="1"/>
  <c r="CQ40" i="117" a="1"/>
  <c r="CM31" i="117" a="1"/>
  <c r="CI27" i="119" a="1"/>
  <c r="CI9" i="118" a="1"/>
  <c r="CQ37" i="118" a="1"/>
  <c r="CH20" i="117" a="1"/>
  <c r="CF19" i="118" a="1"/>
  <c r="CH31" i="119" a="1"/>
  <c r="CR38" i="118" a="1"/>
  <c r="CV47" i="118" a="1"/>
  <c r="CT13" i="119" a="1"/>
  <c r="CM47" i="118" a="1"/>
  <c r="CJ9" i="117" a="1"/>
  <c r="CO24" i="117" a="1"/>
  <c r="CQ44" i="119" a="1"/>
  <c r="CG10" i="119" a="1"/>
  <c r="CY43" i="118" a="1"/>
  <c r="CI11" i="119" a="1"/>
  <c r="CD23" i="118" a="1"/>
  <c r="CQ38" i="117" a="1"/>
  <c r="CY37" i="118" a="1"/>
  <c r="CV43" i="118" a="1"/>
  <c r="CM13" i="118" a="1"/>
  <c r="CT17" i="118" a="1"/>
  <c r="CS46" i="118" a="1"/>
  <c r="CU29" i="118" a="1"/>
  <c r="CW39" i="118" a="1"/>
  <c r="CM39" i="117" a="1"/>
  <c r="CN43" i="118" a="1"/>
  <c r="CO12" i="118" a="1"/>
  <c r="CT40" i="119" a="1"/>
  <c r="CU23" i="119" a="1"/>
  <c r="CW24" i="118" a="1"/>
  <c r="CG46" i="118" a="1"/>
  <c r="CZ10" i="119" a="1"/>
  <c r="CH45" i="119" a="1"/>
  <c r="CD45" i="119" a="1"/>
  <c r="CZ39" i="118" a="1"/>
  <c r="CJ45" i="117" a="1"/>
  <c r="CI21" i="118" a="1"/>
  <c r="CU21" i="118" a="1"/>
  <c r="CZ38" i="117" a="1"/>
  <c r="CQ25" i="117" a="1"/>
  <c r="CV46" i="117" a="1"/>
  <c r="CX17" i="119" a="1"/>
  <c r="CW21" i="67" a="1"/>
  <c r="CW10" i="118" a="1"/>
  <c r="CE20" i="118" a="1"/>
  <c r="CG39" i="118" a="1"/>
  <c r="CE18" i="117" a="1"/>
  <c r="DH31" i="93" a="1"/>
  <c r="CF24" i="119" a="1"/>
  <c r="CM18" i="119" a="1"/>
  <c r="CJ46" i="118" a="1"/>
  <c r="CT17" i="117" a="1"/>
  <c r="CL24" i="118" a="1"/>
  <c r="CS23" i="118" a="1"/>
  <c r="CO19" i="119" a="1"/>
  <c r="CH45" i="118" a="1"/>
  <c r="DJ30" i="82" a="1"/>
  <c r="CH17" i="117" a="1"/>
  <c r="CX10" i="118" a="1"/>
  <c r="CG31" i="117" a="1"/>
  <c r="CK40" i="117" a="1"/>
  <c r="CT46" i="118" a="1"/>
  <c r="CN31" i="117" a="1"/>
  <c r="CR26" i="118" a="1"/>
  <c r="CP41" i="118" a="1"/>
  <c r="CU43" i="118" a="1"/>
  <c r="CL23" i="117" a="1"/>
  <c r="CJ23" i="117" a="1"/>
  <c r="CZ46" i="119" a="1"/>
  <c r="CK27" i="118" a="1"/>
  <c r="CI25" i="118" a="1"/>
  <c r="DH8" i="82" a="1"/>
  <c r="CO31" i="118" a="1"/>
  <c r="CD21" i="117" a="1"/>
  <c r="CY21" i="117" a="1"/>
  <c r="CY27" i="119" a="1"/>
  <c r="CT9" i="118" a="1"/>
  <c r="CR10" i="118" a="1"/>
  <c r="CR29" i="119" a="1"/>
  <c r="CH44" i="117" a="1"/>
  <c r="CS17" i="117" a="1"/>
  <c r="CZ47" i="118" a="1"/>
  <c r="CI37" i="117" a="1"/>
  <c r="CN10" i="117" a="1"/>
  <c r="CY26" i="119" a="1"/>
  <c r="CV10" i="119" a="1"/>
  <c r="CV25" i="119" a="1"/>
  <c r="CZ47" i="117" a="1"/>
  <c r="CY20" i="117" a="1"/>
  <c r="CX23" i="117" a="1"/>
  <c r="CW12" i="119" a="1"/>
  <c r="CH29" i="117" a="1"/>
  <c r="CI38" i="118" a="1"/>
  <c r="CD24" i="118" a="1"/>
  <c r="CN46" i="119" a="1"/>
  <c r="CH39" i="117" a="1"/>
  <c r="CQ19" i="117" a="1"/>
  <c r="CT12" i="118" a="1"/>
  <c r="CP26" i="117" a="1"/>
  <c r="CS45" i="117" a="1"/>
  <c r="CT37" i="118" a="1"/>
  <c r="CZ10" i="117" a="1"/>
  <c r="DH14" i="93" a="1"/>
  <c r="CZ37" i="119" a="1"/>
  <c r="CE47" i="117" a="1"/>
  <c r="CI38" i="117" a="1"/>
  <c r="CS26" i="117" a="1"/>
  <c r="CT20" i="117" a="1"/>
  <c r="CW25" i="119" a="1"/>
  <c r="CG38" i="119" a="1"/>
  <c r="CS20" i="117" a="1"/>
  <c r="CH38" i="118" a="1"/>
  <c r="CY43" i="117" a="1"/>
  <c r="CS18" i="117" a="1"/>
  <c r="CX41" i="117" a="1"/>
  <c r="CR9" i="118" a="1"/>
  <c r="CD26" i="117" a="1"/>
  <c r="CK41" i="119" a="1"/>
  <c r="CL21" i="118" a="1"/>
  <c r="CO11" i="118" a="1"/>
  <c r="CG24" i="117" a="1"/>
  <c r="CE13" i="117" a="1"/>
  <c r="CD44" i="118" a="1"/>
  <c r="CR37" i="118" a="1"/>
  <c r="CG37" i="118" a="1"/>
  <c r="CH20" i="119" a="1"/>
  <c r="CN41" i="119" a="1"/>
  <c r="CF37" i="117" a="1"/>
  <c r="DI13" i="82" a="1"/>
  <c r="CF47" i="118" a="1"/>
  <c r="CD17" i="117" a="1"/>
  <c r="CS10" i="118" a="1"/>
  <c r="CM23" i="118" a="1"/>
  <c r="CX38" i="117" a="1"/>
  <c r="CU13" i="119" a="1"/>
  <c r="CX13" i="119" a="1"/>
  <c r="CX23" i="119" a="1"/>
  <c r="CW46" i="119" a="1"/>
  <c r="DH19" i="94" a="1"/>
  <c r="CT25" i="117" a="1"/>
  <c r="CI44" i="119" a="1"/>
  <c r="CY25" i="118" a="1"/>
  <c r="CX27" i="119" a="1"/>
  <c r="CO37" i="118" a="1"/>
  <c r="CD41" i="117" a="1"/>
  <c r="CI29" i="118" a="1"/>
  <c r="CN13" i="118" a="1"/>
  <c r="CK24" i="117" a="1"/>
  <c r="CT18" i="117" a="1"/>
  <c r="CF44" i="119" a="1"/>
  <c r="CS39" i="118" a="1"/>
  <c r="CL29" i="117" a="1"/>
  <c r="DI10" i="94" a="1"/>
  <c r="CF10" i="117" a="1"/>
  <c r="CK18" i="119" a="1"/>
  <c r="CI24" i="119" a="1"/>
  <c r="CQ20" i="119" a="1"/>
  <c r="CY13" i="119" a="1"/>
  <c r="CH46" i="117" a="1"/>
  <c r="CQ10" i="118" a="1"/>
  <c r="CS18" i="118" a="1"/>
  <c r="CW29" i="118" a="1"/>
  <c r="CY44" i="118" a="1"/>
  <c r="CX21" i="67" a="1"/>
  <c r="CO9" i="117" a="1"/>
  <c r="CQ43" i="119" a="1"/>
  <c r="CW38" i="118" a="1"/>
  <c r="CD40" i="119" a="1"/>
  <c r="CG38" i="118" a="1"/>
  <c r="CN27" i="117" a="1"/>
  <c r="CE37" i="119" a="1"/>
  <c r="DJ27" i="82" a="1"/>
  <c r="CV43" i="119" a="1"/>
  <c r="CP39" i="118" a="1"/>
  <c r="CV19" i="117" a="1"/>
  <c r="CH20" i="118" a="1"/>
  <c r="DG30" i="94" a="1"/>
  <c r="CD47" i="117" a="1"/>
  <c r="DH15" i="94" a="1"/>
  <c r="DH27" i="82" a="1"/>
  <c r="CJ10" i="117" a="1"/>
  <c r="CY10" i="117" a="1"/>
  <c r="CO27" i="118" a="1"/>
  <c r="CO21" i="117" a="1"/>
  <c r="CP38" i="118" a="1"/>
  <c r="DI27" i="93" a="1"/>
  <c r="CO37" i="117" a="1"/>
  <c r="CJ9" i="119" a="1"/>
  <c r="DI10" i="82" a="1"/>
  <c r="DI14" i="82" a="1"/>
  <c r="CN18" i="118" a="1"/>
  <c r="CI19" i="117" a="1"/>
  <c r="CY10" i="118" a="1"/>
  <c r="CH40" i="117" a="1"/>
  <c r="CY31" i="118" a="1"/>
  <c r="CR19" i="118" a="1"/>
  <c r="CX43" i="118" a="1"/>
  <c r="CJ21" i="117" a="1"/>
  <c r="CV17" i="117" a="1"/>
  <c r="CT12" i="117" a="1"/>
  <c r="CJ12" i="117" a="1"/>
  <c r="CO37" i="119" a="1"/>
  <c r="CK44" i="119" a="1"/>
  <c r="CY37" i="119" a="1"/>
  <c r="CI17" i="119" a="1"/>
  <c r="CZ11" i="117" a="1"/>
  <c r="CG41" i="119" a="1"/>
  <c r="CO43" i="118" a="1"/>
  <c r="CF37" i="118" a="1"/>
  <c r="CJ10" i="119" a="1"/>
  <c r="CZ44" i="118" a="1"/>
  <c r="CM40" i="118" a="1"/>
  <c r="CR41" i="118" a="1"/>
  <c r="CU18" i="117" a="1"/>
  <c r="CR40" i="119" a="1"/>
  <c r="CE47" i="118" a="1"/>
  <c r="DI9" i="94" a="1"/>
  <c r="CG12" i="118" a="1"/>
  <c r="CU10" i="117" a="1"/>
  <c r="CR43" i="119" a="1"/>
  <c r="CR17" i="118" a="1"/>
  <c r="CR11" i="117" a="1"/>
  <c r="CO26" i="119" a="1"/>
  <c r="DH32" i="82" a="1"/>
  <c r="CD39" i="117" a="1"/>
  <c r="CR46" i="117" a="1"/>
  <c r="CK46" i="119" a="1"/>
  <c r="CP18" i="118" a="1"/>
  <c r="CO43" i="119" a="1"/>
  <c r="CF20" i="119" a="1"/>
  <c r="CH43" i="119" a="1"/>
  <c r="CX12" i="118" a="1"/>
  <c r="CP43" i="118" a="1"/>
  <c r="CZ17" i="119" a="1"/>
  <c r="CZ44" i="117" a="1"/>
  <c r="CI40" i="119" a="1"/>
  <c r="CV10" i="118" a="1"/>
  <c r="CJ46" i="117" a="1"/>
  <c r="CD44" i="119" a="1"/>
  <c r="CS12" i="118" a="1"/>
  <c r="CL18" i="119" a="1"/>
  <c r="CH17" i="118" a="1"/>
  <c r="CZ39" i="119" a="1"/>
  <c r="CE27" i="117" a="1"/>
  <c r="CP44" i="119" a="1"/>
  <c r="CU44" i="119" a="1"/>
  <c r="CM43" i="119" a="1"/>
  <c r="CH40" i="119" a="1"/>
  <c r="L20" i="30"/>
  <c r="CM11" i="119" a="1"/>
  <c r="CM46" i="118" a="1"/>
  <c r="CS47" i="117" a="1"/>
  <c r="CJ24" i="118" a="1"/>
  <c r="CS13" i="117" a="1"/>
  <c r="DH21" i="94" a="1"/>
  <c r="CN45" i="118" a="1"/>
  <c r="CS12" i="117" a="1"/>
  <c r="CQ29" i="119" a="1"/>
  <c r="CV18" i="117" a="1"/>
  <c r="CN41" i="118" a="1"/>
  <c r="CX20" i="119" a="1"/>
  <c r="CV11" i="119" a="1"/>
  <c r="CU19" i="119" a="1"/>
  <c r="CE38" i="118" a="1"/>
  <c r="CJ21" i="118" a="1"/>
  <c r="CT40" i="118" a="1"/>
  <c r="CK39" i="117" a="1"/>
  <c r="CG26" i="117" a="1"/>
  <c r="CX31" i="118" a="1"/>
  <c r="CR23" i="117" a="1"/>
  <c r="DG25" i="82" a="1"/>
  <c r="CD41" i="118" a="1"/>
  <c r="CF45" i="118" a="1"/>
  <c r="DI28" i="93" a="1"/>
  <c r="CT21" i="118" a="1"/>
  <c r="CV45" i="119" a="1"/>
  <c r="CE21" i="117" a="1"/>
  <c r="CO31" i="117" a="1"/>
  <c r="CN17" i="118" a="1"/>
  <c r="CJ26" i="117" a="1"/>
  <c r="CJ40" i="119" a="1"/>
  <c r="CV44" i="118" a="1"/>
  <c r="CZ40" i="117" a="1"/>
  <c r="CO21" i="118" a="1"/>
  <c r="CL43" i="119" a="1"/>
  <c r="CF9" i="119" a="1"/>
  <c r="CS27" i="119" a="1"/>
  <c r="CR44" i="117" a="1"/>
  <c r="CM26" i="117" a="1"/>
  <c r="CR43" i="117" a="1"/>
  <c r="DJ28" i="82" a="1"/>
  <c r="CT39" i="117" a="1"/>
  <c r="CT19" i="117" a="1"/>
  <c r="CV45" i="118" a="1"/>
  <c r="CK20" i="117" a="1"/>
  <c r="CO46" i="117" a="1"/>
  <c r="DI26" i="93" a="1"/>
  <c r="CH23" i="117" a="1"/>
  <c r="CQ29" i="117" a="1"/>
  <c r="CW20" i="67" a="1"/>
  <c r="CK47" i="117" a="1"/>
  <c r="CM21" i="119" a="1"/>
  <c r="CX19" i="67" a="1"/>
  <c r="CK39" i="118" a="1"/>
  <c r="CQ27" i="117" a="1"/>
  <c r="CL38" i="117" a="1"/>
  <c r="CV20" i="67" a="1"/>
  <c r="CW23" i="117" a="1"/>
  <c r="DJ35" i="82" a="1"/>
  <c r="CR39" i="119" a="1"/>
  <c r="CY10" i="67" a="1"/>
  <c r="CI18" i="119" a="1"/>
  <c r="CQ18" i="118" a="1"/>
  <c r="CN24" i="119" a="1"/>
  <c r="CQ24" i="118" a="1"/>
  <c r="CJ24" i="117" a="1"/>
  <c r="DJ28" i="94" a="1"/>
  <c r="CO46" i="118" a="1"/>
  <c r="CE47" i="119" a="1"/>
  <c r="CD47" i="118" a="1"/>
  <c r="CJ26" i="118" a="1"/>
  <c r="CY38" i="118" a="1"/>
  <c r="CP29" i="118" a="1"/>
  <c r="CN45" i="119" a="1"/>
  <c r="CF12" i="117" a="1"/>
  <c r="DG28" i="82" a="1"/>
  <c r="CP47" i="118" a="1"/>
  <c r="CU17" i="117" a="1"/>
  <c r="CW17" i="118" a="1"/>
  <c r="CF11" i="117" a="1"/>
  <c r="DI8" i="94" a="1"/>
  <c r="CU31" i="117" a="1"/>
  <c r="CP39" i="119" a="1"/>
  <c r="CX20" i="118" a="1"/>
  <c r="CY25" i="117" a="1"/>
  <c r="CV47" i="117" a="1"/>
  <c r="CL45" i="118" a="1"/>
  <c r="CE44" i="117" a="1"/>
  <c r="CL46" i="117" a="1"/>
  <c r="CW24" i="119" a="1"/>
  <c r="CK13" i="117" a="1"/>
  <c r="CT23" i="117" a="1"/>
  <c r="CG43" i="118" a="1"/>
  <c r="CP9" i="117" a="1"/>
  <c r="CF41" i="117" a="1"/>
  <c r="CG39" i="119" a="1"/>
  <c r="CH11" i="118" a="1"/>
  <c r="CR25" i="119" a="1"/>
  <c r="CE23" i="117" a="1"/>
  <c r="CD26" i="118" a="1"/>
  <c r="CW23" i="118" a="1"/>
  <c r="CO31" i="119" a="1"/>
  <c r="CL37" i="118" a="1"/>
  <c r="CN38" i="119" a="1"/>
  <c r="CX41" i="67" a="1"/>
  <c r="CN13" i="119" a="1"/>
  <c r="DG36" i="93" a="1"/>
  <c r="CK9" i="117" a="1"/>
  <c r="CE21" i="119" a="1"/>
  <c r="CJ43" i="118" a="1"/>
  <c r="CV27" i="119" a="1"/>
  <c r="CQ25" i="119" a="1"/>
  <c r="CZ20" i="118" a="1"/>
  <c r="CE37" i="117" a="1"/>
  <c r="CN31" i="119" a="1"/>
  <c r="CT38" i="117" a="1"/>
  <c r="CP24" i="117" a="1"/>
  <c r="CQ41" i="118" a="1"/>
  <c r="CR45" i="117" a="1"/>
  <c r="CD40" i="118" a="1"/>
  <c r="CX40" i="118" a="1"/>
  <c r="CY11" i="117" a="1"/>
  <c r="CT24" i="118" a="1"/>
  <c r="CL10" i="118" a="1"/>
  <c r="CL45" i="117" a="1"/>
  <c r="CE12" i="117" a="1"/>
  <c r="CP25" i="117" a="1"/>
  <c r="DJ26" i="82" a="1"/>
  <c r="CH18" i="118" a="1"/>
  <c r="CG47" i="117" a="1"/>
  <c r="CG9" i="119" a="1"/>
  <c r="CX10" i="117" a="1"/>
  <c r="CE27" i="118" a="1"/>
  <c r="CX31" i="67" a="1"/>
  <c r="CX25" i="118" a="1"/>
  <c r="CJ27" i="117" a="1"/>
  <c r="CY17" i="117" a="1"/>
  <c r="CW20" i="117" a="1"/>
  <c r="CT10" i="118" a="1"/>
  <c r="CH10" i="117" a="1"/>
  <c r="CG19" i="118" a="1"/>
  <c r="CX47" i="117" a="1"/>
  <c r="CV27" i="117" a="1"/>
  <c r="CJ25" i="117" a="1"/>
  <c r="CX31" i="119" a="1"/>
  <c r="CK25" i="117" a="1"/>
  <c r="CZ43" i="119" a="1"/>
  <c r="CM46" i="117" a="1"/>
  <c r="CG25" i="117" a="1"/>
  <c r="CW13" i="119" a="1"/>
  <c r="CW27" i="117" a="1"/>
  <c r="CZ37" i="117" a="1"/>
  <c r="CT9" i="117" a="1"/>
  <c r="CV10" i="117" a="1"/>
  <c r="CO17" i="117" a="1"/>
  <c r="CY45" i="117" a="1"/>
  <c r="CR25" i="117" a="1"/>
  <c r="DH30" i="94" a="1"/>
  <c r="CX25" i="67" a="1"/>
  <c r="CS41" i="117" a="1"/>
  <c r="CS45" i="118" a="1"/>
  <c r="CI21" i="117" a="1"/>
  <c r="CX47" i="67" a="1"/>
  <c r="CY26" i="67" a="1"/>
  <c r="CX38" i="67" a="1"/>
  <c r="CY12" i="67" a="1"/>
  <c r="CY29" i="119" a="1"/>
  <c r="CY25" i="67" a="1"/>
  <c r="CX40" i="67" a="1"/>
  <c r="CX51" i="67" a="1"/>
  <c r="CF38" i="119" a="1"/>
  <c r="DJ27" i="93" a="1"/>
  <c r="DJ25" i="94" a="1"/>
  <c r="CY40" i="118" a="1"/>
  <c r="CJ23" i="118" a="1"/>
  <c r="CF29" i="117" a="1"/>
  <c r="CZ17" i="117" a="1"/>
  <c r="CO18" i="119" a="1"/>
  <c r="CN40" i="118" a="1"/>
  <c r="CQ38" i="119" a="1"/>
  <c r="DI26" i="94" a="1"/>
  <c r="CX43" i="67" a="1"/>
  <c r="CG18" i="118" a="1"/>
  <c r="CN20" i="117" a="1"/>
  <c r="CX26" i="119" a="1"/>
  <c r="CS47" i="119" a="1"/>
  <c r="CX26" i="118" a="1"/>
  <c r="CS38" i="119" a="1"/>
  <c r="CR26" i="119" a="1"/>
  <c r="CH24" i="117" a="1"/>
  <c r="CO19" i="117" a="1"/>
  <c r="CE24" i="117" a="1"/>
  <c r="CK11" i="118" a="1"/>
  <c r="CS38" i="117" a="1"/>
  <c r="DH20" i="93" a="1"/>
  <c r="CK45" i="117" a="1"/>
  <c r="CI10" i="117" a="1"/>
  <c r="CZ46" i="117" a="1"/>
  <c r="CX37" i="118" a="1"/>
  <c r="CO20" i="117" a="1"/>
  <c r="CE10" i="118" a="1"/>
  <c r="CR31" i="118" a="1"/>
  <c r="CX29" i="67" a="1"/>
  <c r="CW40" i="117" a="1"/>
  <c r="CY46" i="117" a="1"/>
  <c r="CP44" i="118" a="1"/>
  <c r="CS31" i="119" a="1"/>
  <c r="CL20" i="117" a="1"/>
  <c r="CV13" i="117" a="1"/>
  <c r="CH12" i="119" a="1"/>
  <c r="CG24" i="118" a="1"/>
  <c r="CH39" i="119" a="1"/>
  <c r="CL10" i="117" a="1"/>
  <c r="CQ17" i="117" a="1"/>
  <c r="CS29" i="118" a="1"/>
  <c r="CO9" i="118" a="1"/>
  <c r="CV38" i="117" a="1"/>
  <c r="CX45" i="118" a="1"/>
  <c r="CU9" i="119" a="1"/>
  <c r="CM41" i="118" a="1"/>
  <c r="CE41" i="119" a="1"/>
  <c r="CH40" i="118" a="1"/>
  <c r="DH20" i="94" a="1"/>
  <c r="L50" i="30"/>
  <c r="CK26" i="117" a="1"/>
  <c r="DH11" i="82" a="1"/>
  <c r="CQ37" i="117" a="1"/>
  <c r="CN26" i="117" a="1"/>
  <c r="CL12" i="117" a="1"/>
  <c r="CR31" i="119" a="1"/>
  <c r="CJ38" i="119" a="1"/>
  <c r="CW18" i="67" a="1"/>
  <c r="CY24" i="67" a="1"/>
  <c r="CU40" i="117" a="1"/>
  <c r="CX46" i="67" a="1"/>
  <c r="CW27" i="119" a="1"/>
  <c r="CM46" i="119" a="1"/>
  <c r="L22" i="30"/>
  <c r="CI19" i="119" a="1"/>
  <c r="CU20" i="118" a="1"/>
  <c r="CP29" i="119" a="1"/>
  <c r="CV39" i="117" a="1"/>
  <c r="CM47" i="119" a="1"/>
  <c r="CE13" i="118" a="1"/>
  <c r="CE44" i="119" a="1"/>
  <c r="CV41" i="117" a="1"/>
  <c r="CX29" i="118" a="1"/>
  <c r="CH43" i="117" a="1"/>
  <c r="CO17" i="119" a="1"/>
  <c r="CG18" i="119" a="1"/>
  <c r="CF45" i="119" a="1"/>
  <c r="DI11" i="93" a="1"/>
  <c r="CF26" i="118" a="1"/>
  <c r="CX37" i="117" a="1"/>
  <c r="CE39" i="118" a="1"/>
  <c r="CW21" i="117" a="1"/>
  <c r="CV23" i="119" a="1"/>
  <c r="CL21" i="117" a="1"/>
  <c r="CO18" i="118" a="1"/>
  <c r="CI12" i="119" a="1"/>
  <c r="CH13" i="117" a="1"/>
  <c r="CU43" i="117" a="1"/>
  <c r="CJ31" i="118" a="1"/>
  <c r="CD43" i="118" a="1"/>
  <c r="CF13" i="118" a="1"/>
  <c r="CZ12" i="117" a="1"/>
  <c r="CV29" i="118" a="1"/>
  <c r="CS20" i="118" a="1"/>
  <c r="CQ23" i="118" a="1"/>
  <c r="CW18" i="117" a="1"/>
  <c r="CP23" i="119" a="1"/>
  <c r="CZ12" i="118" a="1"/>
  <c r="DJ26" i="94" a="1"/>
  <c r="CX29" i="117" a="1"/>
  <c r="CT10" i="117" a="1"/>
  <c r="CI47" i="118" a="1"/>
  <c r="CW11" i="118" a="1"/>
  <c r="CR18" i="117" a="1"/>
  <c r="CF20" i="117" a="1"/>
  <c r="CF26" i="119" a="1"/>
  <c r="CY27" i="118" a="1"/>
  <c r="CX25" i="119" a="1"/>
  <c r="DG37" i="94" a="1"/>
  <c r="CM24" i="117" a="1"/>
  <c r="CK37" i="118" a="1"/>
  <c r="CE9" i="119" a="1"/>
  <c r="DG26" i="82" a="1"/>
  <c r="CG10" i="117" a="1"/>
  <c r="CU37" i="117" a="1"/>
  <c r="CR21" i="119" a="1"/>
  <c r="CK10" i="119" a="1"/>
  <c r="CZ25" i="118" a="1"/>
  <c r="CU46" i="119" a="1"/>
  <c r="CP13" i="118" a="1"/>
  <c r="CR45" i="118" a="1"/>
  <c r="DG37" i="82" a="1"/>
  <c r="CO29" i="117" a="1"/>
  <c r="CR17" i="119" a="1"/>
  <c r="CV17" i="119" a="1"/>
  <c r="CH31" i="118" a="1"/>
  <c r="CQ43" i="117" a="1"/>
  <c r="CM29" i="117" a="1"/>
  <c r="CK11" i="117" a="1"/>
  <c r="CR20" i="117" a="1"/>
  <c r="CK17" i="119" a="1"/>
  <c r="CL17" i="118" a="1"/>
  <c r="CO41" i="118" a="1"/>
  <c r="CL11" i="119" a="1"/>
  <c r="CZ11" i="119" a="1"/>
  <c r="CQ13" i="117" a="1"/>
  <c r="CW47" i="117" a="1"/>
  <c r="CX47" i="119" a="1"/>
  <c r="DH14" i="94" a="1"/>
  <c r="CM24" i="118" a="1"/>
  <c r="CH19" i="118" a="1"/>
  <c r="DH14" i="82" a="1"/>
  <c r="CQ31" i="119" a="1"/>
  <c r="CM25" i="119" a="1"/>
  <c r="CE31" i="118" a="1"/>
  <c r="CX20" i="117" a="1"/>
  <c r="CF40" i="117" a="1"/>
  <c r="CE25" i="119" a="1"/>
  <c r="CS44" i="117" a="1"/>
  <c r="CJ20" i="117" a="1"/>
  <c r="CF19" i="117" a="1"/>
  <c r="CU29" i="119" a="1"/>
  <c r="CN46" i="117" a="1"/>
  <c r="CY18" i="119" a="1"/>
  <c r="CH25" i="118" a="1"/>
  <c r="CX17" i="67" a="1"/>
  <c r="CL39" i="118" a="1"/>
  <c r="CF38" i="118" a="1"/>
  <c r="CN13" i="117" a="1"/>
  <c r="CW12" i="117" a="1"/>
  <c r="CF39" i="119" a="1"/>
  <c r="CH21" i="118" a="1"/>
  <c r="CQ27" i="119" a="1"/>
  <c r="CN47" i="119" a="1"/>
  <c r="CJ27" i="118" a="1"/>
  <c r="CT18" i="119" a="1"/>
  <c r="CH23" i="118" a="1"/>
  <c r="CJ11" i="118" a="1"/>
  <c r="CX46" i="118" a="1"/>
  <c r="CX46" i="117" a="1"/>
  <c r="CY44" i="117" a="1"/>
  <c r="CX44" i="67" a="1"/>
  <c r="AG30" i="125"/>
  <c r="CY31" i="67" a="1"/>
  <c r="CY29" i="67" a="1"/>
  <c r="CY29" i="118" a="1"/>
  <c r="CX45" i="67" a="1"/>
  <c r="CM23" i="117" a="1"/>
  <c r="CL27" i="118" a="1"/>
  <c r="CQ24" i="117" a="1"/>
  <c r="CN17" i="119" a="1"/>
  <c r="CY13" i="67" a="1"/>
  <c r="CY11" i="67" a="1"/>
  <c r="CP13" i="117" a="1"/>
  <c r="L23" i="30"/>
  <c r="CY17" i="67" a="1"/>
  <c r="CY29" i="117" a="1"/>
  <c r="CV21" i="117" a="1"/>
  <c r="CX38" i="118" a="1"/>
  <c r="CJ20" i="119" a="1"/>
  <c r="CD20" i="119" a="1"/>
  <c r="DH37" i="94" a="1"/>
  <c r="CE26" i="118" a="1"/>
  <c r="CX49" i="67" a="1"/>
  <c r="CF47" i="117" a="1"/>
  <c r="CH27" i="118" a="1"/>
  <c r="CS38" i="118" a="1"/>
  <c r="CO38" i="117" a="1"/>
  <c r="CQ12" i="117" a="1"/>
  <c r="CJ29" i="119" a="1"/>
  <c r="CD13" i="117" a="1"/>
  <c r="CI11" i="118" a="1"/>
  <c r="CN21" i="117" a="1"/>
  <c r="CN12" i="117" a="1"/>
  <c r="CS37" i="117" a="1"/>
  <c r="CH10" i="119" a="1"/>
  <c r="CI39" i="119" a="1"/>
  <c r="CY31" i="117" a="1"/>
  <c r="CS31" i="118" a="1"/>
  <c r="CE9" i="118" a="1"/>
  <c r="CP23" i="117" a="1"/>
  <c r="CM38" i="118" a="1"/>
  <c r="CJ47" i="118" a="1"/>
  <c r="CL44" i="117" a="1"/>
  <c r="CT29" i="117" a="1"/>
  <c r="CF21" i="118" a="1"/>
  <c r="CG41" i="117" a="1"/>
  <c r="CI11" i="117" a="1"/>
  <c r="DH33" i="94" a="1"/>
  <c r="CQ21" i="119" a="1"/>
  <c r="DH30" i="93" a="1"/>
  <c r="CR43" i="118" a="1"/>
  <c r="CZ21" i="119" a="1"/>
  <c r="CK10" i="117" a="1"/>
  <c r="CO47" i="117" a="1"/>
  <c r="CK12" i="118" a="1"/>
  <c r="CO9" i="119" a="1"/>
  <c r="CJ31" i="119" a="1"/>
  <c r="CM11" i="118" a="1"/>
  <c r="CV21" i="118" a="1"/>
  <c r="CD9" i="117" a="1"/>
  <c r="CQ46" i="118" a="1"/>
  <c r="CZ37" i="118" a="1"/>
  <c r="CM13" i="117" a="1"/>
  <c r="CY47" i="119" a="1"/>
  <c r="CL31" i="118" a="1"/>
  <c r="CY20" i="118" a="1"/>
  <c r="CU13" i="117" a="1"/>
  <c r="CY31" i="119" a="1"/>
  <c r="CF21" i="117" a="1"/>
  <c r="DH26" i="82" a="1"/>
  <c r="CJ44" i="119" a="1"/>
  <c r="CW43" i="117" a="1"/>
  <c r="CX23" i="67" a="1"/>
  <c r="CY9" i="67" a="1"/>
  <c r="CX39" i="67" a="1"/>
  <c r="CY21" i="67" a="1"/>
  <c r="DI9" i="93" a="1"/>
  <c r="CN39" i="118" a="1"/>
  <c r="CS44" i="118" a="1"/>
  <c r="CQ25" i="118" a="1"/>
  <c r="CT44" i="119" a="1"/>
  <c r="CW27" i="67" a="1"/>
  <c r="CK11" i="119" a="1"/>
  <c r="CR20" i="118" a="1"/>
  <c r="CF46" i="117" a="1"/>
  <c r="CK41" i="117" a="1"/>
  <c r="CK25" i="118" a="1"/>
  <c r="CP19" i="117" a="1"/>
  <c r="CX37" i="67" a="1"/>
  <c r="CU40" i="117" l="1"/>
  <c r="CJ38" i="119"/>
  <c r="CI21" i="117"/>
  <c r="CR20" i="118"/>
  <c r="CQ29" i="117"/>
  <c r="CQ63" i="117" s="1"/>
  <c r="CW43" i="117"/>
  <c r="CY44" i="117"/>
  <c r="CR39" i="119"/>
  <c r="CK10" i="119"/>
  <c r="CR31" i="119"/>
  <c r="CS45" i="118"/>
  <c r="CM21" i="119"/>
  <c r="CT44" i="119"/>
  <c r="CJ44" i="119"/>
  <c r="CX46" i="117"/>
  <c r="DI26" i="94"/>
  <c r="CR21" i="119"/>
  <c r="CL12" i="117"/>
  <c r="CS41" i="117"/>
  <c r="CN17" i="119"/>
  <c r="DH26" i="82"/>
  <c r="DH43" i="82" s="1"/>
  <c r="CX46" i="118"/>
  <c r="CQ25" i="119"/>
  <c r="CU37" i="117"/>
  <c r="CN26" i="117"/>
  <c r="CX25" i="67"/>
  <c r="CN38" i="119"/>
  <c r="CQ25" i="118"/>
  <c r="CF21" i="117"/>
  <c r="CJ11" i="118"/>
  <c r="DJ35" i="82"/>
  <c r="CG10" i="117"/>
  <c r="CQ37" i="117"/>
  <c r="DH30" i="94"/>
  <c r="CK11" i="119"/>
  <c r="CH23" i="117"/>
  <c r="CY31" i="119"/>
  <c r="CH23" i="118"/>
  <c r="CE26" i="118"/>
  <c r="DG26" i="82"/>
  <c r="DH11" i="82"/>
  <c r="CR25" i="117"/>
  <c r="CK47" i="117"/>
  <c r="DI26" i="93"/>
  <c r="CU13" i="117"/>
  <c r="CT18" i="119"/>
  <c r="CP19" i="117"/>
  <c r="CE9" i="119"/>
  <c r="CK26" i="117"/>
  <c r="CY45" i="117"/>
  <c r="CP13" i="117"/>
  <c r="CS44" i="118"/>
  <c r="CY20" i="118"/>
  <c r="CJ27" i="118"/>
  <c r="CQ38" i="119"/>
  <c r="CK37" i="118"/>
  <c r="CO17" i="117"/>
  <c r="CL37" i="118"/>
  <c r="CQ24" i="117"/>
  <c r="CL31" i="118"/>
  <c r="CN47" i="119"/>
  <c r="DH37" i="94"/>
  <c r="CM24" i="117"/>
  <c r="DH20" i="94"/>
  <c r="CV10" i="117"/>
  <c r="CO31" i="119"/>
  <c r="CO46" i="117"/>
  <c r="CY47" i="119"/>
  <c r="CQ27" i="119"/>
  <c r="CV27" i="119"/>
  <c r="DG37" i="94"/>
  <c r="CH40" i="118"/>
  <c r="CT9" i="117"/>
  <c r="CW23" i="118"/>
  <c r="CN39" i="118"/>
  <c r="CM13" i="117"/>
  <c r="CH21" i="118"/>
  <c r="CM47" i="119"/>
  <c r="CX25" i="119"/>
  <c r="CE41" i="119"/>
  <c r="CZ37" i="117"/>
  <c r="CD26" i="118"/>
  <c r="CL27" i="118"/>
  <c r="CZ37" i="118"/>
  <c r="CF39" i="119"/>
  <c r="CW23" i="117"/>
  <c r="CY27" i="118"/>
  <c r="CM41" i="118"/>
  <c r="CW27" i="117"/>
  <c r="CE23" i="117"/>
  <c r="CK20" i="117"/>
  <c r="CQ46" i="118"/>
  <c r="CW12" i="117"/>
  <c r="CK25" i="118"/>
  <c r="CF26" i="119"/>
  <c r="CU9" i="119"/>
  <c r="CW13" i="119"/>
  <c r="CR25" i="119"/>
  <c r="DI9" i="93"/>
  <c r="CD9" i="117"/>
  <c r="CN13" i="117"/>
  <c r="CN40" i="118"/>
  <c r="CF20" i="117"/>
  <c r="CX45" i="118"/>
  <c r="CG25" i="117"/>
  <c r="CH11" i="118"/>
  <c r="CM23" i="117"/>
  <c r="CV21" i="118"/>
  <c r="CF38" i="118"/>
  <c r="CD20" i="119"/>
  <c r="CR18" i="117"/>
  <c r="CV38" i="117"/>
  <c r="CM46" i="117"/>
  <c r="CG39" i="119"/>
  <c r="CV45" i="118"/>
  <c r="CM11" i="118"/>
  <c r="CX38" i="117"/>
  <c r="CL39" i="118"/>
  <c r="CJ43" i="118"/>
  <c r="CW11" i="118"/>
  <c r="CS17" i="118"/>
  <c r="CO9" i="118"/>
  <c r="CZ43" i="119"/>
  <c r="CF41" i="117"/>
  <c r="CM23" i="118"/>
  <c r="CT19" i="117"/>
  <c r="CJ31" i="119"/>
  <c r="CX17" i="67"/>
  <c r="CX29" i="119"/>
  <c r="CX63" i="119" s="1"/>
  <c r="CV20" i="67"/>
  <c r="CI47" i="118"/>
  <c r="CS29" i="118"/>
  <c r="CS63" i="118" s="1"/>
  <c r="CS10" i="118"/>
  <c r="CK25" i="117"/>
  <c r="CP9" i="117"/>
  <c r="CT39" i="117"/>
  <c r="CN44" i="117"/>
  <c r="CO9" i="119"/>
  <c r="CH25" i="118"/>
  <c r="CV18" i="117"/>
  <c r="CD17" i="117"/>
  <c r="CV39" i="117"/>
  <c r="CT29" i="119"/>
  <c r="CT63" i="119" s="1"/>
  <c r="CT10" i="117"/>
  <c r="CU13" i="118"/>
  <c r="CQ17" i="117"/>
  <c r="CX31" i="119"/>
  <c r="CQ29" i="119"/>
  <c r="CQ63" i="119" s="1"/>
  <c r="CF47" i="118"/>
  <c r="CG43" i="118"/>
  <c r="CM18" i="117"/>
  <c r="DJ28" i="82"/>
  <c r="CI24" i="118"/>
  <c r="CK12" i="118"/>
  <c r="CY18" i="119"/>
  <c r="CS12" i="117"/>
  <c r="DI13" i="82"/>
  <c r="CO18" i="119"/>
  <c r="CZ11" i="118"/>
  <c r="CX29" i="117"/>
  <c r="CX63" i="117" s="1"/>
  <c r="CT21" i="117"/>
  <c r="CL10" i="117"/>
  <c r="CJ25" i="117"/>
  <c r="CN45" i="118"/>
  <c r="CF37" i="117"/>
  <c r="CT23" i="117"/>
  <c r="CN29" i="117"/>
  <c r="CN63" i="117" s="1"/>
  <c r="CR43" i="117"/>
  <c r="CV26" i="118"/>
  <c r="CO47" i="117"/>
  <c r="CN46" i="117"/>
  <c r="DH21" i="94"/>
  <c r="CN41" i="119"/>
  <c r="CJ20" i="119"/>
  <c r="CP11" i="118"/>
  <c r="DJ26" i="94"/>
  <c r="DG31" i="82"/>
  <c r="CH39" i="119"/>
  <c r="CV27" i="117"/>
  <c r="CS13" i="117"/>
  <c r="CH20" i="119"/>
  <c r="CK13" i="117"/>
  <c r="CN19" i="117"/>
  <c r="CM26" i="117"/>
  <c r="CG27" i="117"/>
  <c r="CK10" i="117"/>
  <c r="CU29" i="119"/>
  <c r="CU63" i="119" s="1"/>
  <c r="CJ24" i="118"/>
  <c r="CG37" i="118"/>
  <c r="CE21" i="119"/>
  <c r="CK38" i="117"/>
  <c r="CZ12" i="118"/>
  <c r="CD10" i="119"/>
  <c r="CG24" i="118"/>
  <c r="CX47" i="117"/>
  <c r="CS47" i="117"/>
  <c r="CR37" i="118"/>
  <c r="CW24" i="119"/>
  <c r="CU10" i="118"/>
  <c r="CR44" i="117"/>
  <c r="CJ13" i="118"/>
  <c r="CZ21" i="119"/>
  <c r="CF19" i="117"/>
  <c r="CM46" i="118"/>
  <c r="CD44" i="118"/>
  <c r="CK41" i="117"/>
  <c r="CL43" i="118"/>
  <c r="CP23" i="119"/>
  <c r="CQ11" i="118"/>
  <c r="CH12" i="119"/>
  <c r="CG19" i="118"/>
  <c r="CM11" i="119"/>
  <c r="CE13" i="117"/>
  <c r="CL46" i="117"/>
  <c r="CG13" i="118"/>
  <c r="CS27" i="119"/>
  <c r="CT41" i="117"/>
  <c r="CR43" i="118"/>
  <c r="CJ20" i="117"/>
  <c r="CG24" i="117"/>
  <c r="CL38" i="117"/>
  <c r="CN25" i="117"/>
  <c r="CW18" i="117"/>
  <c r="CT23" i="119"/>
  <c r="CV13" i="117"/>
  <c r="CH10" i="117"/>
  <c r="CH40" i="119"/>
  <c r="CO11" i="118"/>
  <c r="CE44" i="117"/>
  <c r="CY23" i="117"/>
  <c r="CF9" i="119"/>
  <c r="CG23" i="117"/>
  <c r="DH30" i="93"/>
  <c r="CS44" i="117"/>
  <c r="CM43" i="119"/>
  <c r="CL21" i="118"/>
  <c r="CX38" i="118"/>
  <c r="CH25" i="117"/>
  <c r="CQ23" i="118"/>
  <c r="CN40" i="119"/>
  <c r="CL20" i="117"/>
  <c r="CT10" i="118"/>
  <c r="CU44" i="119"/>
  <c r="CK41" i="119"/>
  <c r="CL45" i="118"/>
  <c r="CS40" i="118"/>
  <c r="CL43" i="119"/>
  <c r="CX31" i="117"/>
  <c r="CQ21" i="119"/>
  <c r="CE25" i="119"/>
  <c r="CP44" i="119"/>
  <c r="CD26" i="117"/>
  <c r="CK9" i="117"/>
  <c r="CT19" i="119"/>
  <c r="CS20" i="118"/>
  <c r="CS31" i="119"/>
  <c r="CW20" i="117"/>
  <c r="CE27" i="117"/>
  <c r="CR9" i="118"/>
  <c r="CV47" i="117"/>
  <c r="CD38" i="118"/>
  <c r="CO21" i="118"/>
  <c r="CW41" i="117"/>
  <c r="DH33" i="94"/>
  <c r="CF40" i="117"/>
  <c r="CZ39" i="119"/>
  <c r="CX41" i="117"/>
  <c r="CZ17" i="117"/>
  <c r="DJ27" i="94"/>
  <c r="CV29" i="118"/>
  <c r="CV63" i="118" s="1"/>
  <c r="DI35" i="82"/>
  <c r="CP44" i="118"/>
  <c r="CY17" i="117"/>
  <c r="CH17" i="118"/>
  <c r="CS18" i="117"/>
  <c r="CY25" i="117"/>
  <c r="CS29" i="117"/>
  <c r="CS63" i="117" s="1"/>
  <c r="CZ40" i="117"/>
  <c r="CF20" i="118"/>
  <c r="CI11" i="117"/>
  <c r="CX20" i="117"/>
  <c r="CL18" i="119"/>
  <c r="CY43" i="117"/>
  <c r="CQ27" i="117"/>
  <c r="CH19" i="117"/>
  <c r="CZ12" i="117"/>
  <c r="CP46" i="117"/>
  <c r="CY46" i="117"/>
  <c r="CJ27" i="117"/>
  <c r="CS12" i="118"/>
  <c r="CH38" i="118"/>
  <c r="CX20" i="118"/>
  <c r="CU24" i="118"/>
  <c r="CV44" i="118"/>
  <c r="CQ47" i="119"/>
  <c r="CG41" i="117"/>
  <c r="CE31" i="118"/>
  <c r="CD44" i="119"/>
  <c r="CS20" i="117"/>
  <c r="DG36" i="93"/>
  <c r="CX13" i="118"/>
  <c r="CF13" i="118"/>
  <c r="CJ23" i="119"/>
  <c r="CW40" i="117"/>
  <c r="CX25" i="118"/>
  <c r="CJ46" i="117"/>
  <c r="CG38" i="119"/>
  <c r="CP39" i="119"/>
  <c r="DG30" i="82"/>
  <c r="CO41" i="119"/>
  <c r="CN39" i="119"/>
  <c r="CJ40" i="119"/>
  <c r="CF21" i="118"/>
  <c r="CV10" i="118"/>
  <c r="CW25" i="119"/>
  <c r="CM25" i="119"/>
  <c r="DI11" i="94"/>
  <c r="CD43" i="119"/>
  <c r="CY39" i="117"/>
  <c r="CP29" i="119"/>
  <c r="CP63" i="119" s="1"/>
  <c r="CD43" i="118"/>
  <c r="CI40" i="119"/>
  <c r="CT20" i="117"/>
  <c r="CX29" i="67"/>
  <c r="CJ31" i="117"/>
  <c r="CT37" i="117"/>
  <c r="DH19" i="93"/>
  <c r="CX31" i="67"/>
  <c r="CU31" i="117"/>
  <c r="CZ44" i="117"/>
  <c r="CS26" i="117"/>
  <c r="CJ26" i="117"/>
  <c r="CW24" i="117"/>
  <c r="CY9" i="118"/>
  <c r="CL24" i="117"/>
  <c r="CT29" i="117"/>
  <c r="CT63" i="117" s="1"/>
  <c r="CQ31" i="119"/>
  <c r="CZ17" i="119"/>
  <c r="CI38" i="117"/>
  <c r="CV21" i="117"/>
  <c r="CZ38" i="118"/>
  <c r="CO13" i="119"/>
  <c r="CY26" i="118"/>
  <c r="CJ31" i="118"/>
  <c r="CR31" i="118"/>
  <c r="CP43" i="118"/>
  <c r="CE47" i="117"/>
  <c r="CE27" i="118"/>
  <c r="CE38" i="119"/>
  <c r="CM11" i="117"/>
  <c r="CD46" i="117"/>
  <c r="DI8" i="94"/>
  <c r="CN17" i="118"/>
  <c r="CX12" i="118"/>
  <c r="CZ37" i="119"/>
  <c r="CL44" i="117"/>
  <c r="CU25" i="118"/>
  <c r="CE38" i="117"/>
  <c r="CL40" i="118"/>
  <c r="DH14" i="82"/>
  <c r="CF29" i="117"/>
  <c r="CF63" i="117" s="1"/>
  <c r="CH43" i="119"/>
  <c r="DH14" i="93"/>
  <c r="CU43" i="117"/>
  <c r="CL9" i="117"/>
  <c r="CL47" i="117"/>
  <c r="CF18" i="117"/>
  <c r="CE10" i="118"/>
  <c r="CX10" i="117"/>
  <c r="CF20" i="119"/>
  <c r="CZ10" i="117"/>
  <c r="CF11" i="117"/>
  <c r="CJ17" i="119"/>
  <c r="CJ19" i="119"/>
  <c r="CY39" i="118"/>
  <c r="CO31" i="117"/>
  <c r="CJ47" i="118"/>
  <c r="CO43" i="119"/>
  <c r="CT37" i="118"/>
  <c r="CH19" i="118"/>
  <c r="CM19" i="118"/>
  <c r="CP9" i="118"/>
  <c r="CG46" i="117"/>
  <c r="CK39" i="118"/>
  <c r="CH13" i="117"/>
  <c r="CP18" i="118"/>
  <c r="CS45" i="117"/>
  <c r="CO20" i="117"/>
  <c r="CH47" i="117"/>
  <c r="CX37" i="119"/>
  <c r="CV24" i="118"/>
  <c r="CG9" i="119"/>
  <c r="CW17" i="118"/>
  <c r="CK46" i="119"/>
  <c r="CP26" i="117"/>
  <c r="CE21" i="117"/>
  <c r="CT44" i="118"/>
  <c r="CW47" i="118"/>
  <c r="CT27" i="117"/>
  <c r="CM38" i="118"/>
  <c r="CM24" i="118"/>
  <c r="CR46" i="117"/>
  <c r="CT12" i="118"/>
  <c r="CF46" i="117"/>
  <c r="CD19" i="118"/>
  <c r="CF24" i="118"/>
  <c r="DG33" i="93"/>
  <c r="CI12" i="119"/>
  <c r="CX37" i="118"/>
  <c r="CD39" i="117"/>
  <c r="CQ19" i="117"/>
  <c r="CG47" i="117"/>
  <c r="CM20" i="119"/>
  <c r="CW37" i="119"/>
  <c r="CQ31" i="118"/>
  <c r="CU17" i="117"/>
  <c r="CV45" i="119"/>
  <c r="DH32" i="82"/>
  <c r="CH39" i="117"/>
  <c r="CP23" i="117"/>
  <c r="CE26" i="119"/>
  <c r="CF23" i="117"/>
  <c r="CK13" i="119"/>
  <c r="DH14" i="94"/>
  <c r="CO29" i="117"/>
  <c r="CO63" i="117" s="1"/>
  <c r="CO26" i="119"/>
  <c r="CN46" i="119"/>
  <c r="CO18" i="118"/>
  <c r="CW46" i="118"/>
  <c r="DH13" i="94"/>
  <c r="DJ28" i="93"/>
  <c r="CZ46" i="117"/>
  <c r="CH18" i="118"/>
  <c r="CR11" i="117"/>
  <c r="CD24" i="118"/>
  <c r="CP47" i="118"/>
  <c r="CN26" i="118"/>
  <c r="DH38" i="94"/>
  <c r="CH25" i="119"/>
  <c r="CT21" i="118"/>
  <c r="CE9" i="118"/>
  <c r="CR17" i="118"/>
  <c r="CI38" i="118"/>
  <c r="CX47" i="119"/>
  <c r="CR13" i="117"/>
  <c r="CS21" i="117"/>
  <c r="CP45" i="117"/>
  <c r="CU20" i="118"/>
  <c r="CL21" i="117"/>
  <c r="CR43" i="119"/>
  <c r="CH29" i="117"/>
  <c r="CH63" i="117" s="1"/>
  <c r="CI10" i="117"/>
  <c r="CH11" i="117"/>
  <c r="CK26" i="118"/>
  <c r="DG38" i="94"/>
  <c r="DJ26" i="82"/>
  <c r="DG28" i="82"/>
  <c r="CU10" i="117"/>
  <c r="CW12" i="119"/>
  <c r="DI28" i="93"/>
  <c r="CF43" i="118"/>
  <c r="CP19" i="118"/>
  <c r="CQ39" i="117"/>
  <c r="CS31" i="118"/>
  <c r="CW47" i="117"/>
  <c r="CG12" i="118"/>
  <c r="CX23" i="117"/>
  <c r="CN13" i="119"/>
  <c r="CU24" i="117"/>
  <c r="DI11" i="82"/>
  <c r="DI45" i="82" s="1"/>
  <c r="CR41" i="117"/>
  <c r="CV23" i="119"/>
  <c r="CK45" i="117"/>
  <c r="DI9" i="94"/>
  <c r="CY20" i="117"/>
  <c r="CP25" i="117"/>
  <c r="CN25" i="119"/>
  <c r="CT31" i="119"/>
  <c r="CK38" i="118"/>
  <c r="CF12" i="117"/>
  <c r="CF45" i="118"/>
  <c r="CE47" i="118"/>
  <c r="CZ47" i="117"/>
  <c r="CY31" i="117"/>
  <c r="CF31" i="119"/>
  <c r="CG12" i="117"/>
  <c r="CV11" i="117"/>
  <c r="CQ13" i="117"/>
  <c r="DG37" i="82"/>
  <c r="CR40" i="119"/>
  <c r="CV25" i="119"/>
  <c r="CV47" i="118"/>
  <c r="CM25" i="117"/>
  <c r="CS24" i="119"/>
  <c r="DI19" i="82"/>
  <c r="CW21" i="117"/>
  <c r="DH20" i="93"/>
  <c r="CU18" i="117"/>
  <c r="CV10" i="119"/>
  <c r="CR38" i="118"/>
  <c r="CM12" i="118"/>
  <c r="CH24" i="119"/>
  <c r="DI25" i="94"/>
  <c r="CE12" i="117"/>
  <c r="CN45" i="119"/>
  <c r="CR41" i="118"/>
  <c r="CY26" i="119"/>
  <c r="CH31" i="119"/>
  <c r="CX39" i="119"/>
  <c r="CO38" i="118"/>
  <c r="CW13" i="118"/>
  <c r="CD41" i="118"/>
  <c r="CI39" i="119"/>
  <c r="CM40" i="118"/>
  <c r="CN10" i="117"/>
  <c r="CF19" i="118"/>
  <c r="CD40" i="117"/>
  <c r="CP12" i="118"/>
  <c r="DH28" i="82"/>
  <c r="CZ11" i="119"/>
  <c r="CJ23" i="118"/>
  <c r="CZ44" i="118"/>
  <c r="CI37" i="117"/>
  <c r="CH20" i="117"/>
  <c r="CR46" i="118"/>
  <c r="CG44" i="118"/>
  <c r="CW44" i="117"/>
  <c r="CE39" i="118"/>
  <c r="CS38" i="117"/>
  <c r="CJ10" i="119"/>
  <c r="CZ47" i="118"/>
  <c r="CQ37" i="118"/>
  <c r="CT9" i="119"/>
  <c r="CU46" i="117"/>
  <c r="CT45" i="118"/>
  <c r="CL45" i="117"/>
  <c r="CP29" i="118"/>
  <c r="CP63" i="118" s="1"/>
  <c r="CF37" i="118"/>
  <c r="CS17" i="117"/>
  <c r="CI9" i="118"/>
  <c r="CO47" i="119"/>
  <c r="CV21" i="119"/>
  <c r="CO44" i="117"/>
  <c r="DG25" i="82"/>
  <c r="CH10" i="119"/>
  <c r="CO43" i="118"/>
  <c r="CH44" i="117"/>
  <c r="CI27" i="119"/>
  <c r="CH38" i="117"/>
  <c r="CX26" i="117"/>
  <c r="CH26" i="117"/>
  <c r="CL11" i="119"/>
  <c r="CI19" i="119"/>
  <c r="CG41" i="119"/>
  <c r="CR29" i="119"/>
  <c r="CR63" i="119" s="1"/>
  <c r="CM31" i="117"/>
  <c r="CY12" i="118"/>
  <c r="DH38" i="93"/>
  <c r="CI27" i="117"/>
  <c r="CX37" i="117"/>
  <c r="CK11" i="118"/>
  <c r="CZ11" i="117"/>
  <c r="CR10" i="118"/>
  <c r="CQ40" i="117"/>
  <c r="CX23" i="118"/>
  <c r="CM37" i="118"/>
  <c r="CY39" i="119"/>
  <c r="CL10" i="118"/>
  <c r="CY38" i="118"/>
  <c r="CI17" i="119"/>
  <c r="CT9" i="118"/>
  <c r="DH30" i="82"/>
  <c r="CL37" i="117"/>
  <c r="CS27" i="117"/>
  <c r="DI10" i="93"/>
  <c r="CR23" i="117"/>
  <c r="CS37" i="117"/>
  <c r="CY37" i="119"/>
  <c r="CY27" i="119"/>
  <c r="CF27" i="119"/>
  <c r="CX44" i="118"/>
  <c r="CV24" i="117"/>
  <c r="CV58" i="117" s="1"/>
  <c r="CD19" i="119"/>
  <c r="CO41" i="118"/>
  <c r="CR45" i="118"/>
  <c r="CK44" i="119"/>
  <c r="CY21" i="117"/>
  <c r="DG31" i="94"/>
  <c r="DI30" i="82"/>
  <c r="CW17" i="117"/>
  <c r="CE40" i="117"/>
  <c r="CF26" i="118"/>
  <c r="CE24" i="117"/>
  <c r="CO37" i="119"/>
  <c r="CD21" i="117"/>
  <c r="CT46" i="117"/>
  <c r="CG13" i="119"/>
  <c r="CZ12" i="119"/>
  <c r="CT24" i="118"/>
  <c r="CT58" i="118" s="1"/>
  <c r="CJ26" i="118"/>
  <c r="CJ12" i="117"/>
  <c r="CO31" i="118"/>
  <c r="CQ9" i="117"/>
  <c r="CT47" i="117"/>
  <c r="CD18" i="118"/>
  <c r="CK26" i="119"/>
  <c r="CX31" i="118"/>
  <c r="CN12" i="117"/>
  <c r="CT12" i="117"/>
  <c r="DH8" i="82"/>
  <c r="CX24" i="118"/>
  <c r="CV12" i="119"/>
  <c r="CV37" i="119"/>
  <c r="CD13" i="119"/>
  <c r="CL17" i="118"/>
  <c r="CY40" i="118"/>
  <c r="CV17" i="117"/>
  <c r="CI25" i="118"/>
  <c r="CE31" i="117"/>
  <c r="CO23" i="117"/>
  <c r="CL19" i="117"/>
  <c r="CQ18" i="117"/>
  <c r="DI11" i="93"/>
  <c r="CO19" i="117"/>
  <c r="CJ21" i="117"/>
  <c r="CK27" i="118"/>
  <c r="CO13" i="118"/>
  <c r="CL13" i="118"/>
  <c r="CL23" i="118"/>
  <c r="CM17" i="117"/>
  <c r="CY11" i="117"/>
  <c r="CD47" i="118"/>
  <c r="CX43" i="118"/>
  <c r="CZ46" i="119"/>
  <c r="DG32" i="93"/>
  <c r="DI27" i="94"/>
  <c r="CN9" i="117"/>
  <c r="CP18" i="117"/>
  <c r="CG26" i="117"/>
  <c r="CN21" i="117"/>
  <c r="CR19" i="118"/>
  <c r="CJ23" i="117"/>
  <c r="CW40" i="118"/>
  <c r="CI9" i="117"/>
  <c r="CT31" i="117"/>
  <c r="CQ10" i="119"/>
  <c r="CK17" i="119"/>
  <c r="CY31" i="118"/>
  <c r="CL23" i="117"/>
  <c r="CU26" i="117"/>
  <c r="CN45" i="117"/>
  <c r="CX13" i="117"/>
  <c r="CM9" i="117"/>
  <c r="CF45" i="119"/>
  <c r="CH24" i="117"/>
  <c r="CH28" i="117" s="1"/>
  <c r="CH40" i="117"/>
  <c r="CU43" i="118"/>
  <c r="CU37" i="118"/>
  <c r="CY41" i="119"/>
  <c r="CK18" i="118"/>
  <c r="CP24" i="118"/>
  <c r="CX40" i="118"/>
  <c r="CE47" i="119"/>
  <c r="CY10" i="118"/>
  <c r="CP41" i="118"/>
  <c r="CY24" i="117"/>
  <c r="CY58" i="117" s="1"/>
  <c r="DI25" i="93"/>
  <c r="CF31" i="118"/>
  <c r="CD23" i="119"/>
  <c r="CK39" i="117"/>
  <c r="CI19" i="117"/>
  <c r="CR26" i="118"/>
  <c r="CD24" i="117"/>
  <c r="CW20" i="119"/>
  <c r="CN38" i="117"/>
  <c r="CU45" i="117"/>
  <c r="CF13" i="117"/>
  <c r="CI11" i="118"/>
  <c r="CN18" i="118"/>
  <c r="CN31" i="117"/>
  <c r="DI8" i="93"/>
  <c r="DG35" i="93"/>
  <c r="CH12" i="117"/>
  <c r="CQ11" i="117"/>
  <c r="CR20" i="117"/>
  <c r="DI14" i="82"/>
  <c r="CT46" i="118"/>
  <c r="CE9" i="117"/>
  <c r="CO11" i="117"/>
  <c r="DI28" i="94"/>
  <c r="CD37" i="118"/>
  <c r="CL39" i="117"/>
  <c r="DJ25" i="94"/>
  <c r="DI10" i="82"/>
  <c r="DI44" i="82" s="1"/>
  <c r="CK40" i="117"/>
  <c r="CX18" i="117"/>
  <c r="CV25" i="117"/>
  <c r="CU21" i="117"/>
  <c r="CD9" i="118"/>
  <c r="CS43" i="117"/>
  <c r="CG18" i="119"/>
  <c r="CJ9" i="119"/>
  <c r="CG31" i="117"/>
  <c r="CY47" i="118"/>
  <c r="CJ39" i="118"/>
  <c r="CD12" i="117"/>
  <c r="CF24" i="117"/>
  <c r="CR26" i="119"/>
  <c r="CO37" i="117"/>
  <c r="CX10" i="118"/>
  <c r="CP27" i="118"/>
  <c r="CP61" i="118" s="1"/>
  <c r="CS18" i="119"/>
  <c r="CI31" i="119"/>
  <c r="CP27" i="119"/>
  <c r="CP47" i="117"/>
  <c r="CD40" i="118"/>
  <c r="DI27" i="93"/>
  <c r="CH17" i="117"/>
  <c r="CP41" i="119"/>
  <c r="CV20" i="117"/>
  <c r="CO25" i="117"/>
  <c r="CT38" i="118"/>
  <c r="CL40" i="117"/>
  <c r="CO46" i="118"/>
  <c r="CP38" i="118"/>
  <c r="DJ30" i="82"/>
  <c r="CG47" i="118"/>
  <c r="CW11" i="117"/>
  <c r="CF31" i="117"/>
  <c r="CP43" i="117"/>
  <c r="CP48" i="117" s="1"/>
  <c r="DH16" i="93"/>
  <c r="CT40" i="118"/>
  <c r="CO21" i="117"/>
  <c r="CH45" i="118"/>
  <c r="CM45" i="117"/>
  <c r="CM59" i="117" s="1"/>
  <c r="CE45" i="117"/>
  <c r="CW29" i="117"/>
  <c r="CW63" i="117" s="1"/>
  <c r="CU44" i="117"/>
  <c r="CU48" i="117" s="1"/>
  <c r="CV37" i="117"/>
  <c r="CD13" i="117"/>
  <c r="CO27" i="118"/>
  <c r="CO19" i="119"/>
  <c r="DH15" i="93"/>
  <c r="CR20" i="119"/>
  <c r="CS24" i="118"/>
  <c r="CL47" i="119"/>
  <c r="CG20" i="117"/>
  <c r="CK11" i="117"/>
  <c r="CY10" i="117"/>
  <c r="CS23" i="118"/>
  <c r="CG19" i="117"/>
  <c r="CJ44" i="118"/>
  <c r="CJ58" i="118" s="1"/>
  <c r="CX44" i="117"/>
  <c r="CP44" i="117"/>
  <c r="CT13" i="118"/>
  <c r="DJ27" i="93"/>
  <c r="CJ10" i="117"/>
  <c r="CL24" i="118"/>
  <c r="CL28" i="118" s="1"/>
  <c r="CI29" i="119"/>
  <c r="CI63" i="119" s="1"/>
  <c r="CL18" i="118"/>
  <c r="CX41" i="118"/>
  <c r="CL25" i="118"/>
  <c r="CD27" i="119"/>
  <c r="CO17" i="119"/>
  <c r="DH27" i="82"/>
  <c r="CT17" i="117"/>
  <c r="CM10" i="118"/>
  <c r="CV20" i="119"/>
  <c r="CE25" i="118"/>
  <c r="CX12" i="117"/>
  <c r="CL37" i="119"/>
  <c r="CS38" i="119"/>
  <c r="DH15" i="94"/>
  <c r="CJ46" i="118"/>
  <c r="CU41" i="118"/>
  <c r="CX38" i="119"/>
  <c r="CV31" i="119"/>
  <c r="CI31" i="117"/>
  <c r="CS40" i="119"/>
  <c r="CR45" i="117"/>
  <c r="CD47" i="117"/>
  <c r="CM18" i="119"/>
  <c r="CM17" i="118"/>
  <c r="CG40" i="118"/>
  <c r="CD11" i="119"/>
  <c r="DG35" i="82"/>
  <c r="CR10" i="117"/>
  <c r="DJ28" i="94"/>
  <c r="DG30" i="94"/>
  <c r="CF24" i="119"/>
  <c r="DH19" i="82"/>
  <c r="CM13" i="119"/>
  <c r="CL20" i="118"/>
  <c r="CJ21" i="118"/>
  <c r="CH20" i="118"/>
  <c r="DH31" i="93"/>
  <c r="CE20" i="119"/>
  <c r="CL38" i="118"/>
  <c r="CX9" i="117"/>
  <c r="CF38" i="117"/>
  <c r="CT26" i="117"/>
  <c r="CJ29" i="119"/>
  <c r="CJ63" i="119" s="1"/>
  <c r="CV19" i="117"/>
  <c r="CE18" i="117"/>
  <c r="CW19" i="67"/>
  <c r="CP10" i="117"/>
  <c r="DI37" i="82"/>
  <c r="CY18" i="118"/>
  <c r="CI43" i="117"/>
  <c r="CM29" i="117"/>
  <c r="CM63" i="117" s="1"/>
  <c r="CP39" i="118"/>
  <c r="CG39" i="118"/>
  <c r="DH18" i="93"/>
  <c r="CU18" i="118"/>
  <c r="DH36" i="93"/>
  <c r="CU19" i="117"/>
  <c r="CO27" i="117"/>
  <c r="CP13" i="118"/>
  <c r="CV43" i="119"/>
  <c r="CE20" i="118"/>
  <c r="CR17" i="117"/>
  <c r="DG30" i="93"/>
  <c r="CU39" i="117"/>
  <c r="CJ41" i="117"/>
  <c r="CJ45" i="118"/>
  <c r="CH43" i="117"/>
  <c r="CH57" i="117" s="1"/>
  <c r="DJ27" i="82"/>
  <c r="CW10" i="118"/>
  <c r="CS11" i="117"/>
  <c r="DH31" i="82"/>
  <c r="CN24" i="117"/>
  <c r="CN58" i="117" s="1"/>
  <c r="CI43" i="119"/>
  <c r="CJ11" i="119"/>
  <c r="CX26" i="118"/>
  <c r="CE37" i="119"/>
  <c r="CW21" i="67"/>
  <c r="CQ41" i="117"/>
  <c r="CI40" i="117"/>
  <c r="CY19" i="117"/>
  <c r="CY40" i="117"/>
  <c r="CN47" i="117"/>
  <c r="CQ41" i="118"/>
  <c r="CN27" i="117"/>
  <c r="CX17" i="119"/>
  <c r="CK46" i="118"/>
  <c r="CW25" i="118"/>
  <c r="CP37" i="118"/>
  <c r="CT41" i="118"/>
  <c r="CU45" i="118"/>
  <c r="CU59" i="118" s="1"/>
  <c r="CJ24" i="117"/>
  <c r="CJ28" i="117" s="1"/>
  <c r="CG38" i="118"/>
  <c r="CV46" i="117"/>
  <c r="CE39" i="117"/>
  <c r="CD29" i="118"/>
  <c r="CD63" i="118" s="1"/>
  <c r="CP25" i="119"/>
  <c r="CO18" i="117"/>
  <c r="CP12" i="117"/>
  <c r="CE38" i="118"/>
  <c r="CD40" i="119"/>
  <c r="CQ25" i="117"/>
  <c r="CL27" i="117"/>
  <c r="CT25" i="118"/>
  <c r="CE11" i="117"/>
  <c r="CD37" i="117"/>
  <c r="CL12" i="118"/>
  <c r="CQ12" i="117"/>
  <c r="CW38" i="118"/>
  <c r="CZ38" i="117"/>
  <c r="CV44" i="119"/>
  <c r="CG43" i="117"/>
  <c r="CV40" i="118"/>
  <c r="CH21" i="117"/>
  <c r="CN37" i="119"/>
  <c r="CQ43" i="117"/>
  <c r="CQ43" i="119"/>
  <c r="CU21" i="118"/>
  <c r="CS13" i="118"/>
  <c r="CY45" i="119"/>
  <c r="CZ39" i="117"/>
  <c r="CF25" i="117"/>
  <c r="CJ37" i="117"/>
  <c r="CM46" i="119"/>
  <c r="CO9" i="117"/>
  <c r="CI21" i="118"/>
  <c r="CI26" i="117"/>
  <c r="CK18" i="117"/>
  <c r="CH12" i="118"/>
  <c r="CT26" i="118"/>
  <c r="CD31" i="117"/>
  <c r="CX29" i="118"/>
  <c r="CX63" i="118" s="1"/>
  <c r="CX21" i="67"/>
  <c r="CJ45" i="117"/>
  <c r="CJ41" i="118"/>
  <c r="CP17" i="117"/>
  <c r="CF25" i="119"/>
  <c r="CK23" i="117"/>
  <c r="CJ18" i="117"/>
  <c r="CS47" i="119"/>
  <c r="CY44" i="118"/>
  <c r="CZ39" i="118"/>
  <c r="CM37" i="119"/>
  <c r="CY41" i="118"/>
  <c r="CM9" i="118"/>
  <c r="CQ45" i="117"/>
  <c r="CJ27" i="119"/>
  <c r="CP24" i="117"/>
  <c r="CW29" i="118"/>
  <c r="CW63" i="118" s="1"/>
  <c r="CD45" i="119"/>
  <c r="CN44" i="119"/>
  <c r="CU29" i="117"/>
  <c r="CU63" i="117" s="1"/>
  <c r="CN11" i="119"/>
  <c r="CL11" i="118"/>
  <c r="CJ47" i="119"/>
  <c r="CJ61" i="119" s="1"/>
  <c r="CQ24" i="118"/>
  <c r="CQ28" i="118" s="1"/>
  <c r="CS18" i="118"/>
  <c r="CH45" i="119"/>
  <c r="CP45" i="119"/>
  <c r="CE29" i="117"/>
  <c r="CE63" i="117" s="1"/>
  <c r="CU47" i="117"/>
  <c r="CT47" i="119"/>
  <c r="CT20" i="119"/>
  <c r="CU19" i="119"/>
  <c r="CQ10" i="118"/>
  <c r="CZ10" i="119"/>
  <c r="CR23" i="118"/>
  <c r="CL13" i="119"/>
  <c r="CE24" i="118"/>
  <c r="CT18" i="118"/>
  <c r="CJ39" i="117"/>
  <c r="CU9" i="117"/>
  <c r="CU11" i="118"/>
  <c r="CO38" i="117"/>
  <c r="CH46" i="117"/>
  <c r="CG46" i="118"/>
  <c r="CG44" i="117"/>
  <c r="CG58" i="117" s="1"/>
  <c r="CM12" i="117"/>
  <c r="CW27" i="118"/>
  <c r="CW61" i="118" s="1"/>
  <c r="CQ11" i="119"/>
  <c r="CL23" i="119"/>
  <c r="CL57" i="119" s="1"/>
  <c r="CK17" i="118"/>
  <c r="CS19" i="118"/>
  <c r="CH31" i="118"/>
  <c r="CY13" i="119"/>
  <c r="CW24" i="118"/>
  <c r="CR9" i="119"/>
  <c r="CV47" i="119"/>
  <c r="CV61" i="119" s="1"/>
  <c r="CR12" i="118"/>
  <c r="CQ29" i="118"/>
  <c r="CQ63" i="118" s="1"/>
  <c r="CE11" i="119"/>
  <c r="CX11" i="119"/>
  <c r="CV39" i="118"/>
  <c r="CK37" i="119"/>
  <c r="CN29" i="119"/>
  <c r="CN63" i="119" s="1"/>
  <c r="CF38" i="119"/>
  <c r="CW43" i="119"/>
  <c r="CQ44" i="118"/>
  <c r="CQ20" i="119"/>
  <c r="CG40" i="119"/>
  <c r="CU23" i="119"/>
  <c r="CV23" i="118"/>
  <c r="CD27" i="118"/>
  <c r="CM47" i="117"/>
  <c r="CS21" i="119"/>
  <c r="CF45" i="117"/>
  <c r="CI13" i="118"/>
  <c r="CJ13" i="117"/>
  <c r="CG46" i="119"/>
  <c r="CV27" i="118"/>
  <c r="CV61" i="118" s="1"/>
  <c r="CP43" i="119"/>
  <c r="CV41" i="117"/>
  <c r="CW38" i="117"/>
  <c r="CW47" i="119"/>
  <c r="CI24" i="119"/>
  <c r="CY46" i="119"/>
  <c r="CT40" i="119"/>
  <c r="CK47" i="118"/>
  <c r="CI25" i="119"/>
  <c r="CG39" i="117"/>
  <c r="CS9" i="119"/>
  <c r="CM38" i="117"/>
  <c r="CM24" i="119"/>
  <c r="CI17" i="118"/>
  <c r="CJ19" i="117"/>
  <c r="CL44" i="119"/>
  <c r="CJ17" i="118"/>
  <c r="CX26" i="119"/>
  <c r="CN23" i="119"/>
  <c r="CN28" i="119" s="1"/>
  <c r="CS29" i="119"/>
  <c r="CS63" i="119" s="1"/>
  <c r="CK18" i="119"/>
  <c r="CH39" i="118"/>
  <c r="CO12" i="118"/>
  <c r="CH13" i="119"/>
  <c r="CR29" i="117"/>
  <c r="CR63" i="117" s="1"/>
  <c r="CQ18" i="119"/>
  <c r="CQ13" i="119"/>
  <c r="CQ26" i="118"/>
  <c r="CT12" i="119"/>
  <c r="CM23" i="119"/>
  <c r="CM57" i="119" s="1"/>
  <c r="CF13" i="119"/>
  <c r="CT39" i="118"/>
  <c r="CU31" i="119"/>
  <c r="CT38" i="117"/>
  <c r="CN19" i="119"/>
  <c r="CW23" i="119"/>
  <c r="CF10" i="117"/>
  <c r="CN10" i="118"/>
  <c r="CN43" i="118"/>
  <c r="CU18" i="119"/>
  <c r="CZ44" i="119"/>
  <c r="CH41" i="117"/>
  <c r="CD38" i="119"/>
  <c r="CE41" i="118"/>
  <c r="CU9" i="118"/>
  <c r="CQ20" i="117"/>
  <c r="CE11" i="118"/>
  <c r="CO10" i="119"/>
  <c r="CQ10" i="117"/>
  <c r="CK21" i="118"/>
  <c r="CY19" i="118"/>
  <c r="CD20" i="118"/>
  <c r="CW11" i="119"/>
  <c r="CY11" i="118"/>
  <c r="CN24" i="119"/>
  <c r="DI10" i="94"/>
  <c r="DI44" i="94" s="1"/>
  <c r="CL18" i="117"/>
  <c r="CM39" i="117"/>
  <c r="CE19" i="117"/>
  <c r="CQ13" i="118"/>
  <c r="CP40" i="119"/>
  <c r="CR13" i="118"/>
  <c r="CI20" i="118"/>
  <c r="CR19" i="117"/>
  <c r="CQ20" i="118"/>
  <c r="CY46" i="118"/>
  <c r="CV13" i="119"/>
  <c r="CJ40" i="118"/>
  <c r="CN11" i="118"/>
  <c r="CE43" i="117"/>
  <c r="CE57" i="117" s="1"/>
  <c r="CW45" i="117"/>
  <c r="CW59" i="117" s="1"/>
  <c r="DJ25" i="93"/>
  <c r="CS39" i="117"/>
  <c r="CV11" i="119"/>
  <c r="CJ40" i="117"/>
  <c r="CW19" i="117"/>
  <c r="CH46" i="118"/>
  <c r="CE45" i="118"/>
  <c r="CL29" i="117"/>
  <c r="CL63" i="117" s="1"/>
  <c r="CW39" i="118"/>
  <c r="CT17" i="119"/>
  <c r="CG26" i="118"/>
  <c r="CL43" i="117"/>
  <c r="CD39" i="118"/>
  <c r="CL11" i="117"/>
  <c r="CO26" i="117"/>
  <c r="CO60" i="117" s="1"/>
  <c r="CK10" i="118"/>
  <c r="CN9" i="118"/>
  <c r="CG29" i="118"/>
  <c r="CG63" i="118" s="1"/>
  <c r="CI38" i="119"/>
  <c r="CH10" i="118"/>
  <c r="CQ24" i="119"/>
  <c r="CK13" i="118"/>
  <c r="CJ18" i="119"/>
  <c r="CZ21" i="118"/>
  <c r="CS38" i="118"/>
  <c r="CW29" i="119"/>
  <c r="CW63" i="119" s="1"/>
  <c r="CS39" i="118"/>
  <c r="CP19" i="119"/>
  <c r="CK29" i="117"/>
  <c r="CK63" i="117" s="1"/>
  <c r="DI18" i="82"/>
  <c r="CQ43" i="118"/>
  <c r="CU29" i="118"/>
  <c r="CU63" i="118" s="1"/>
  <c r="CU40" i="118"/>
  <c r="CL40" i="119"/>
  <c r="CP21" i="118"/>
  <c r="CS13" i="119"/>
  <c r="CV26" i="117"/>
  <c r="CF17" i="117"/>
  <c r="CW45" i="118"/>
  <c r="CW59" i="118" s="1"/>
  <c r="CV23" i="117"/>
  <c r="CT29" i="118"/>
  <c r="CT63" i="118" s="1"/>
  <c r="CF47" i="119"/>
  <c r="CF61" i="119" s="1"/>
  <c r="CD46" i="119"/>
  <c r="CM43" i="117"/>
  <c r="CM57" i="117" s="1"/>
  <c r="CW13" i="117"/>
  <c r="CF29" i="119"/>
  <c r="CF63" i="119" s="1"/>
  <c r="CE39" i="119"/>
  <c r="CV17" i="119"/>
  <c r="CF44" i="119"/>
  <c r="CY19" i="119"/>
  <c r="CS46" i="118"/>
  <c r="CZ9" i="119"/>
  <c r="CU47" i="118"/>
  <c r="CN21" i="119"/>
  <c r="CV45" i="117"/>
  <c r="CV59" i="117" s="1"/>
  <c r="CY24" i="119"/>
  <c r="CJ12" i="119"/>
  <c r="CQ38" i="118"/>
  <c r="CQ65" i="118" s="1"/>
  <c r="CD19" i="117"/>
  <c r="CJ39" i="119"/>
  <c r="CM38" i="119"/>
  <c r="CR47" i="119"/>
  <c r="CU26" i="119"/>
  <c r="CK12" i="119"/>
  <c r="CL29" i="119"/>
  <c r="CL63" i="119" s="1"/>
  <c r="CP27" i="117"/>
  <c r="CU46" i="119"/>
  <c r="CI20" i="117"/>
  <c r="CS26" i="119"/>
  <c r="CE45" i="119"/>
  <c r="CK23" i="118"/>
  <c r="CT18" i="117"/>
  <c r="CT17" i="118"/>
  <c r="CQ17" i="118"/>
  <c r="CK9" i="119"/>
  <c r="CD17" i="119"/>
  <c r="CL9" i="119"/>
  <c r="CU46" i="118"/>
  <c r="CV37" i="118"/>
  <c r="CU17" i="119"/>
  <c r="CD27" i="117"/>
  <c r="CW9" i="118"/>
  <c r="CW39" i="117"/>
  <c r="CS43" i="118"/>
  <c r="CS48" i="118" s="1"/>
  <c r="CM26" i="119"/>
  <c r="CH44" i="119"/>
  <c r="CN12" i="119"/>
  <c r="CX47" i="118"/>
  <c r="CK46" i="117"/>
  <c r="CP29" i="117"/>
  <c r="CP63" i="117" s="1"/>
  <c r="CD17" i="118"/>
  <c r="CF11" i="119"/>
  <c r="CI23" i="117"/>
  <c r="CJ37" i="118"/>
  <c r="CS43" i="119"/>
  <c r="CH37" i="119"/>
  <c r="CE44" i="119"/>
  <c r="CR25" i="118"/>
  <c r="CZ26" i="118"/>
  <c r="CM25" i="118"/>
  <c r="CR9" i="117"/>
  <c r="CO21" i="119"/>
  <c r="CG23" i="118"/>
  <c r="CG57" i="118" s="1"/>
  <c r="CK24" i="117"/>
  <c r="CM13" i="118"/>
  <c r="CL41" i="117"/>
  <c r="CV12" i="118"/>
  <c r="CX27" i="118"/>
  <c r="CW19" i="119"/>
  <c r="CX18" i="119"/>
  <c r="CK27" i="119"/>
  <c r="CN12" i="118"/>
  <c r="CK24" i="118"/>
  <c r="CN18" i="119"/>
  <c r="CO10" i="117"/>
  <c r="CP40" i="118"/>
  <c r="CP10" i="118"/>
  <c r="CU20" i="117"/>
  <c r="CZ17" i="118"/>
  <c r="CS11" i="118"/>
  <c r="CQ46" i="117"/>
  <c r="CI41" i="117"/>
  <c r="CY27" i="117"/>
  <c r="CQ26" i="117"/>
  <c r="CP11" i="119"/>
  <c r="CK31" i="117"/>
  <c r="CH46" i="119"/>
  <c r="CG27" i="119"/>
  <c r="CN20" i="117"/>
  <c r="CG23" i="119"/>
  <c r="CD13" i="118"/>
  <c r="CJ45" i="119"/>
  <c r="CM20" i="118"/>
  <c r="CI29" i="117"/>
  <c r="CI63" i="117" s="1"/>
  <c r="CY20" i="119"/>
  <c r="CN13" i="118"/>
  <c r="CV43" i="118"/>
  <c r="CS23" i="117"/>
  <c r="CK31" i="119"/>
  <c r="CX10" i="119"/>
  <c r="CR21" i="117"/>
  <c r="CG37" i="117"/>
  <c r="CR18" i="118"/>
  <c r="CG47" i="119"/>
  <c r="CF27" i="118"/>
  <c r="CL41" i="119"/>
  <c r="CG13" i="117"/>
  <c r="CK44" i="118"/>
  <c r="CP40" i="117"/>
  <c r="CH41" i="119"/>
  <c r="CW21" i="119"/>
  <c r="CT38" i="119"/>
  <c r="CI41" i="118"/>
  <c r="CG17" i="119"/>
  <c r="CM44" i="118"/>
  <c r="CZ45" i="117"/>
  <c r="CV46" i="119"/>
  <c r="CX44" i="119"/>
  <c r="CX40" i="119"/>
  <c r="CR24" i="117"/>
  <c r="CS27" i="118"/>
  <c r="CQ37" i="119"/>
  <c r="CQ19" i="118"/>
  <c r="CL13" i="117"/>
  <c r="CE21" i="118"/>
  <c r="CP26" i="119"/>
  <c r="CM27" i="119"/>
  <c r="CM61" i="119" s="1"/>
  <c r="CM26" i="118"/>
  <c r="CF9" i="118"/>
  <c r="CR38" i="119"/>
  <c r="CF29" i="118"/>
  <c r="CF63" i="118" s="1"/>
  <c r="CE43" i="119"/>
  <c r="CO43" i="117"/>
  <c r="CE12" i="119"/>
  <c r="CN23" i="117"/>
  <c r="CG9" i="117"/>
  <c r="CL45" i="119"/>
  <c r="CJ17" i="117"/>
  <c r="CP21" i="117"/>
  <c r="CU47" i="119"/>
  <c r="CQ47" i="117"/>
  <c r="CF12" i="118"/>
  <c r="CF19" i="119"/>
  <c r="CN31" i="119"/>
  <c r="CN19" i="118"/>
  <c r="CT37" i="119"/>
  <c r="CD9" i="119"/>
  <c r="CH43" i="118"/>
  <c r="CE12" i="118"/>
  <c r="CL24" i="119"/>
  <c r="CV29" i="119"/>
  <c r="CV63" i="119" s="1"/>
  <c r="CI29" i="118"/>
  <c r="CI63" i="118" s="1"/>
  <c r="CD39" i="119"/>
  <c r="CY12" i="119"/>
  <c r="CD47" i="119"/>
  <c r="CD10" i="118"/>
  <c r="CX11" i="118"/>
  <c r="CE18" i="118"/>
  <c r="CK12" i="117"/>
  <c r="CY37" i="118"/>
  <c r="CI39" i="117"/>
  <c r="CQ19" i="119"/>
  <c r="CT43" i="118"/>
  <c r="CT48" i="118" s="1"/>
  <c r="CN37" i="118"/>
  <c r="CE19" i="118"/>
  <c r="CE23" i="118"/>
  <c r="CS9" i="118"/>
  <c r="CK38" i="119"/>
  <c r="CN47" i="118"/>
  <c r="CG12" i="119"/>
  <c r="CQ17" i="119"/>
  <c r="CW18" i="119"/>
  <c r="CW45" i="119"/>
  <c r="CF39" i="117"/>
  <c r="CM10" i="117"/>
  <c r="CR23" i="119"/>
  <c r="CO13" i="117"/>
  <c r="CX17" i="118"/>
  <c r="CS45" i="119"/>
  <c r="CF40" i="119"/>
  <c r="CN27" i="118"/>
  <c r="CV39" i="119"/>
  <c r="CN9" i="119"/>
  <c r="CR39" i="117"/>
  <c r="CI27" i="118"/>
  <c r="CH11" i="119"/>
  <c r="CO24" i="118"/>
  <c r="CO39" i="117"/>
  <c r="CK37" i="117"/>
  <c r="CT45" i="117"/>
  <c r="CF40" i="118"/>
  <c r="CL20" i="119"/>
  <c r="CO24" i="119"/>
  <c r="CP17" i="118"/>
  <c r="CW44" i="119"/>
  <c r="CM44" i="119"/>
  <c r="CM58" i="119" s="1"/>
  <c r="CK19" i="119"/>
  <c r="CT43" i="117"/>
  <c r="CT57" i="117" s="1"/>
  <c r="CW17" i="67"/>
  <c r="CY24" i="118"/>
  <c r="CO39" i="119"/>
  <c r="CY9" i="119"/>
  <c r="CI20" i="119"/>
  <c r="CP9" i="119"/>
  <c r="CI13" i="119"/>
  <c r="CM27" i="117"/>
  <c r="CZ13" i="118"/>
  <c r="CQ18" i="118"/>
  <c r="CI47" i="117"/>
  <c r="CL29" i="118"/>
  <c r="CL63" i="118" s="1"/>
  <c r="CQ23" i="117"/>
  <c r="CQ28" i="117" s="1"/>
  <c r="CJ12" i="118"/>
  <c r="CU27" i="118"/>
  <c r="CR13" i="119"/>
  <c r="CR38" i="117"/>
  <c r="CD41" i="117"/>
  <c r="CD12" i="118"/>
  <c r="CG41" i="118"/>
  <c r="CY37" i="117"/>
  <c r="CW31" i="67"/>
  <c r="CU25" i="117"/>
  <c r="CF39" i="118"/>
  <c r="CQ46" i="119"/>
  <c r="CQ38" i="117"/>
  <c r="CG20" i="118"/>
  <c r="CW29" i="67"/>
  <c r="CZ41" i="117"/>
  <c r="CN39" i="117"/>
  <c r="CL17" i="117"/>
  <c r="CX25" i="117"/>
  <c r="CM19" i="117"/>
  <c r="CN18" i="117"/>
  <c r="CE46" i="118"/>
  <c r="CY21" i="119"/>
  <c r="CX9" i="118"/>
  <c r="CR31" i="117"/>
  <c r="CM37" i="117"/>
  <c r="CG21" i="117"/>
  <c r="CT23" i="118"/>
  <c r="CQ41" i="119"/>
  <c r="CY47" i="117"/>
  <c r="CE40" i="118"/>
  <c r="CX24" i="117"/>
  <c r="CJ29" i="117"/>
  <c r="CJ63" i="117" s="1"/>
  <c r="CE43" i="118"/>
  <c r="CO27" i="119"/>
  <c r="CO61" i="119" s="1"/>
  <c r="CR46" i="119"/>
  <c r="CR60" i="119" s="1"/>
  <c r="CZ45" i="118"/>
  <c r="CR29" i="118"/>
  <c r="CR63" i="118" s="1"/>
  <c r="CI40" i="118"/>
  <c r="CE17" i="117"/>
  <c r="CX21" i="119"/>
  <c r="CT20" i="118"/>
  <c r="CE46" i="119"/>
  <c r="CE60" i="119" s="1"/>
  <c r="CR39" i="118"/>
  <c r="CZ40" i="118"/>
  <c r="CU27" i="119"/>
  <c r="CO26" i="118"/>
  <c r="CO60" i="118" s="1"/>
  <c r="CH27" i="119"/>
  <c r="CS19" i="117"/>
  <c r="CQ31" i="117"/>
  <c r="CN41" i="117"/>
  <c r="CE44" i="118"/>
  <c r="CE48" i="118" s="1"/>
  <c r="CI18" i="118"/>
  <c r="CW41" i="119"/>
  <c r="CW31" i="119"/>
  <c r="CM39" i="118"/>
  <c r="CI41" i="119"/>
  <c r="CK45" i="119"/>
  <c r="CQ44" i="117"/>
  <c r="CV18" i="119"/>
  <c r="CX20" i="119"/>
  <c r="CH17" i="119"/>
  <c r="CG25" i="118"/>
  <c r="CM18" i="118"/>
  <c r="CO23" i="118"/>
  <c r="CO57" i="118" s="1"/>
  <c r="CP39" i="117"/>
  <c r="CD18" i="117"/>
  <c r="CL31" i="119"/>
  <c r="CO37" i="118"/>
  <c r="CO40" i="119"/>
  <c r="CP21" i="119"/>
  <c r="CH41" i="118"/>
  <c r="CS26" i="118"/>
  <c r="CQ40" i="119"/>
  <c r="CH13" i="118"/>
  <c r="CH19" i="119"/>
  <c r="CD23" i="118"/>
  <c r="CM40" i="117"/>
  <c r="CD24" i="119"/>
  <c r="CD58" i="119" s="1"/>
  <c r="CG31" i="119"/>
  <c r="CE37" i="118"/>
  <c r="CY12" i="117"/>
  <c r="CF41" i="118"/>
  <c r="CN38" i="118"/>
  <c r="CN31" i="118"/>
  <c r="CV9" i="118"/>
  <c r="CT19" i="118"/>
  <c r="CT31" i="118"/>
  <c r="CQ26" i="119"/>
  <c r="CP23" i="118"/>
  <c r="CI25" i="117"/>
  <c r="CO23" i="119"/>
  <c r="CO57" i="119" s="1"/>
  <c r="CQ40" i="118"/>
  <c r="CV20" i="118"/>
  <c r="CS37" i="118"/>
  <c r="CR18" i="119"/>
  <c r="CT11" i="118"/>
  <c r="CV27" i="67"/>
  <c r="CV61" i="67" s="1"/>
  <c r="CW18" i="118"/>
  <c r="CH37" i="118"/>
  <c r="CX43" i="119"/>
  <c r="CF25" i="118"/>
  <c r="CR37" i="119"/>
  <c r="CG18" i="117"/>
  <c r="CZ46" i="118"/>
  <c r="CP45" i="118"/>
  <c r="CV25" i="118"/>
  <c r="CS17" i="119"/>
  <c r="CS37" i="119"/>
  <c r="CO29" i="119"/>
  <c r="CO63" i="119" s="1"/>
  <c r="CS10" i="119"/>
  <c r="CG26" i="119"/>
  <c r="DG33" i="94"/>
  <c r="CX17" i="117"/>
  <c r="CV29" i="117"/>
  <c r="CV63" i="117" s="1"/>
  <c r="CT10" i="119"/>
  <c r="CT26" i="119"/>
  <c r="CD18" i="119"/>
  <c r="CE20" i="117"/>
  <c r="CU26" i="118"/>
  <c r="CP24" i="119"/>
  <c r="CP12" i="119"/>
  <c r="CE13" i="119"/>
  <c r="CH9" i="117"/>
  <c r="CH27" i="118"/>
  <c r="CH61" i="118" s="1"/>
  <c r="CR24" i="119"/>
  <c r="CK25" i="119"/>
  <c r="CK59" i="119" s="1"/>
  <c r="CE19" i="119"/>
  <c r="CI46" i="117"/>
  <c r="CI60" i="117" s="1"/>
  <c r="CG17" i="118"/>
  <c r="CX21" i="118"/>
  <c r="CR37" i="117"/>
  <c r="CX27" i="119"/>
  <c r="CX61" i="119" s="1"/>
  <c r="CK44" i="117"/>
  <c r="CI17" i="117"/>
  <c r="CG45" i="119"/>
  <c r="CW9" i="119"/>
  <c r="CH18" i="117"/>
  <c r="CW26" i="117"/>
  <c r="CH23" i="119"/>
  <c r="CH57" i="119" s="1"/>
  <c r="CI11" i="119"/>
  <c r="CG11" i="118"/>
  <c r="CO45" i="117"/>
  <c r="CO59" i="117" s="1"/>
  <c r="CF26" i="117"/>
  <c r="CS39" i="119"/>
  <c r="CT13" i="117"/>
  <c r="CY10" i="119"/>
  <c r="CZ43" i="118"/>
  <c r="CJ46" i="119"/>
  <c r="CP46" i="118"/>
  <c r="CD21" i="118"/>
  <c r="CV31" i="117"/>
  <c r="CZ21" i="117"/>
  <c r="CV18" i="118"/>
  <c r="CD43" i="117"/>
  <c r="CS24" i="117"/>
  <c r="CS58" i="117" s="1"/>
  <c r="CQ27" i="118"/>
  <c r="DG32" i="94"/>
  <c r="CX43" i="117"/>
  <c r="CX57" i="117" s="1"/>
  <c r="CE25" i="117"/>
  <c r="CG19" i="119"/>
  <c r="CI23" i="118"/>
  <c r="CN23" i="118"/>
  <c r="CP38" i="117"/>
  <c r="CM12" i="119"/>
  <c r="CJ11" i="117"/>
  <c r="CI39" i="118"/>
  <c r="CK43" i="117"/>
  <c r="CO19" i="118"/>
  <c r="CY45" i="118"/>
  <c r="CF18" i="118"/>
  <c r="CW25" i="117"/>
  <c r="CT47" i="118"/>
  <c r="CD45" i="117"/>
  <c r="CV13" i="118"/>
  <c r="CH9" i="118"/>
  <c r="CD23" i="117"/>
  <c r="CV17" i="118"/>
  <c r="CD45" i="118"/>
  <c r="CW26" i="119"/>
  <c r="CS46" i="117"/>
  <c r="CT41" i="119"/>
  <c r="CG21" i="118"/>
  <c r="CZ43" i="117"/>
  <c r="CZ48" i="117" s="1"/>
  <c r="CI9" i="119"/>
  <c r="CE18" i="119"/>
  <c r="CJ25" i="118"/>
  <c r="CJ28" i="118" s="1"/>
  <c r="CO29" i="118"/>
  <c r="CO63" i="118" s="1"/>
  <c r="CR17" i="119"/>
  <c r="CH9" i="119"/>
  <c r="CN26" i="119"/>
  <c r="CN60" i="119" s="1"/>
  <c r="CV26" i="119"/>
  <c r="CV60" i="119" s="1"/>
  <c r="CM44" i="117"/>
  <c r="CM48" i="117" s="1"/>
  <c r="CN11" i="117"/>
  <c r="CX46" i="119"/>
  <c r="CR11" i="118"/>
  <c r="CY25" i="118"/>
  <c r="CY59" i="118" s="1"/>
  <c r="CO45" i="118"/>
  <c r="CZ9" i="118"/>
  <c r="CR12" i="117"/>
  <c r="CG9" i="118"/>
  <c r="CX9" i="119"/>
  <c r="CY23" i="118"/>
  <c r="CG24" i="119"/>
  <c r="CY43" i="118"/>
  <c r="CL19" i="118"/>
  <c r="CK40" i="119"/>
  <c r="CI12" i="118"/>
  <c r="CM31" i="119"/>
  <c r="CR19" i="119"/>
  <c r="CV38" i="119"/>
  <c r="CX11" i="117"/>
  <c r="CV31" i="118"/>
  <c r="CN27" i="119"/>
  <c r="CF12" i="119"/>
  <c r="CD11" i="117"/>
  <c r="CT46" i="119"/>
  <c r="CR27" i="117"/>
  <c r="CW43" i="118"/>
  <c r="CW57" i="118" s="1"/>
  <c r="CK20" i="118"/>
  <c r="CL39" i="119"/>
  <c r="CQ39" i="119"/>
  <c r="CU20" i="119"/>
  <c r="CE40" i="119"/>
  <c r="CP47" i="119"/>
  <c r="CQ21" i="117"/>
  <c r="CS25" i="119"/>
  <c r="CL31" i="117"/>
  <c r="CP13" i="119"/>
  <c r="CF21" i="119"/>
  <c r="CP31" i="119"/>
  <c r="CF9" i="117"/>
  <c r="CX12" i="119"/>
  <c r="CF41" i="119"/>
  <c r="CK9" i="118"/>
  <c r="CG37" i="119"/>
  <c r="CO10" i="118"/>
  <c r="CR40" i="118"/>
  <c r="CU43" i="119"/>
  <c r="CY23" i="119"/>
  <c r="CS47" i="118"/>
  <c r="CG17" i="117"/>
  <c r="CN40" i="117"/>
  <c r="CR27" i="118"/>
  <c r="CX45" i="117"/>
  <c r="CQ23" i="119"/>
  <c r="CL10" i="119"/>
  <c r="CM40" i="119"/>
  <c r="CV41" i="119"/>
  <c r="CO20" i="119"/>
  <c r="CW37" i="117"/>
  <c r="CO45" i="119"/>
  <c r="CW27" i="119"/>
  <c r="CW61" i="119" s="1"/>
  <c r="CP20" i="118"/>
  <c r="CF37" i="119"/>
  <c r="CJ38" i="117"/>
  <c r="CW10" i="117"/>
  <c r="CG20" i="119"/>
  <c r="CN21" i="118"/>
  <c r="CK21" i="119"/>
  <c r="CI44" i="119"/>
  <c r="CI58" i="119" s="1"/>
  <c r="CX18" i="118"/>
  <c r="CR27" i="119"/>
  <c r="CR61" i="119" s="1"/>
  <c r="CF43" i="117"/>
  <c r="CF57" i="117" s="1"/>
  <c r="CM19" i="119"/>
  <c r="CQ47" i="118"/>
  <c r="CO38" i="119"/>
  <c r="CE24" i="119"/>
  <c r="CG10" i="119"/>
  <c r="CN25" i="118"/>
  <c r="CN59" i="118" s="1"/>
  <c r="CN43" i="119"/>
  <c r="CN48" i="119" s="1"/>
  <c r="CU27" i="117"/>
  <c r="CZ10" i="118"/>
  <c r="CX19" i="117"/>
  <c r="CY43" i="119"/>
  <c r="DH37" i="93"/>
  <c r="CK23" i="119"/>
  <c r="CM9" i="119"/>
  <c r="CM21" i="117"/>
  <c r="CI44" i="117"/>
  <c r="CU39" i="118"/>
  <c r="CJ47" i="117"/>
  <c r="CI45" i="118"/>
  <c r="CR44" i="119"/>
  <c r="CJ10" i="118"/>
  <c r="CE23" i="119"/>
  <c r="CR45" i="119"/>
  <c r="CR59" i="119" s="1"/>
  <c r="CJ26" i="119"/>
  <c r="CV40" i="119"/>
  <c r="CL19" i="119"/>
  <c r="CX41" i="119"/>
  <c r="CM45" i="119"/>
  <c r="CM59" i="119" s="1"/>
  <c r="CY9" i="117"/>
  <c r="CF46" i="118"/>
  <c r="CF60" i="118" s="1"/>
  <c r="CW31" i="117"/>
  <c r="CG29" i="117"/>
  <c r="CG63" i="117" s="1"/>
  <c r="CJ43" i="117"/>
  <c r="CJ57" i="117" s="1"/>
  <c r="CY17" i="119"/>
  <c r="CX39" i="117"/>
  <c r="CG40" i="117"/>
  <c r="CR41" i="119"/>
  <c r="CO47" i="118"/>
  <c r="CW39" i="119"/>
  <c r="CU12" i="118"/>
  <c r="CP17" i="119"/>
  <c r="CX40" i="117"/>
  <c r="CW17" i="119"/>
  <c r="CN29" i="118"/>
  <c r="CN63" i="118" s="1"/>
  <c r="CY38" i="119"/>
  <c r="CT21" i="119"/>
  <c r="CL26" i="118"/>
  <c r="CL27" i="119"/>
  <c r="CL61" i="119" s="1"/>
  <c r="CO41" i="117"/>
  <c r="CW38" i="119"/>
  <c r="CS40" i="117"/>
  <c r="CN43" i="117"/>
  <c r="CN48" i="117" s="1"/>
  <c r="CE13" i="118"/>
  <c r="CT27" i="118"/>
  <c r="CS20" i="119"/>
  <c r="CH45" i="117"/>
  <c r="CH59" i="117" s="1"/>
  <c r="CR47" i="117"/>
  <c r="CR61" i="117" s="1"/>
  <c r="CD46" i="118"/>
  <c r="CJ25" i="119"/>
  <c r="CG11" i="117"/>
  <c r="CT25" i="117"/>
  <c r="CY13" i="117"/>
  <c r="CP20" i="117"/>
  <c r="CI45" i="119"/>
  <c r="CI59" i="119" s="1"/>
  <c r="CG27" i="118"/>
  <c r="CG61" i="118" s="1"/>
  <c r="CW26" i="118"/>
  <c r="CU24" i="119"/>
  <c r="CU58" i="119" s="1"/>
  <c r="CU11" i="119"/>
  <c r="CQ44" i="119"/>
  <c r="CS19" i="119"/>
  <c r="CF18" i="119"/>
  <c r="CZ26" i="119"/>
  <c r="CQ9" i="118"/>
  <c r="CV9" i="117"/>
  <c r="CS44" i="119"/>
  <c r="CV43" i="117"/>
  <c r="CO46" i="119"/>
  <c r="CI12" i="117"/>
  <c r="CY13" i="118"/>
  <c r="CJ41" i="119"/>
  <c r="CO40" i="117"/>
  <c r="CD31" i="119"/>
  <c r="CT43" i="119"/>
  <c r="CG21" i="119"/>
  <c r="CV11" i="118"/>
  <c r="CI26" i="119"/>
  <c r="CM45" i="118"/>
  <c r="CM59" i="118" s="1"/>
  <c r="CH18" i="119"/>
  <c r="CJ24" i="119"/>
  <c r="CJ58" i="119" s="1"/>
  <c r="CQ21" i="118"/>
  <c r="CO12" i="117"/>
  <c r="CV40" i="117"/>
  <c r="CX21" i="117"/>
  <c r="CM39" i="119"/>
  <c r="CI10" i="118"/>
  <c r="CJ9" i="118"/>
  <c r="CS23" i="119"/>
  <c r="CU12" i="119"/>
  <c r="CW31" i="118"/>
  <c r="CR47" i="118"/>
  <c r="CR61" i="118" s="1"/>
  <c r="CT24" i="117"/>
  <c r="CT28" i="117" s="1"/>
  <c r="CW9" i="117"/>
  <c r="CR21" i="118"/>
  <c r="CI21" i="119"/>
  <c r="CO40" i="118"/>
  <c r="CU10" i="119"/>
  <c r="CN37" i="117"/>
  <c r="CW25" i="67"/>
  <c r="CW28" i="67" s="1"/>
  <c r="CW62" i="67" s="1"/>
  <c r="CJ18" i="118"/>
  <c r="CK17" i="117"/>
  <c r="CD41" i="119"/>
  <c r="CI44" i="118"/>
  <c r="CI58" i="118" s="1"/>
  <c r="CW10" i="119"/>
  <c r="CN20" i="118"/>
  <c r="CU25" i="119"/>
  <c r="CM17" i="119"/>
  <c r="CG18" i="118"/>
  <c r="CL12" i="119"/>
  <c r="CQ12" i="118"/>
  <c r="CN10" i="119"/>
  <c r="CI19" i="118"/>
  <c r="CU38" i="118"/>
  <c r="CH37" i="117"/>
  <c r="DJ26" i="93"/>
  <c r="DH19" i="94"/>
  <c r="CT11" i="117"/>
  <c r="CQ39" i="118"/>
  <c r="CH29" i="118"/>
  <c r="CH63" i="118" s="1"/>
  <c r="CV12" i="117"/>
  <c r="CJ21" i="119"/>
  <c r="CT27" i="119"/>
  <c r="CT40" i="117"/>
  <c r="CO24" i="117"/>
  <c r="CF23" i="119"/>
  <c r="CU19" i="118"/>
  <c r="DH10" i="82"/>
  <c r="CY44" i="119"/>
  <c r="CX19" i="118"/>
  <c r="CR40" i="117"/>
  <c r="CD25" i="117"/>
  <c r="CI26" i="118"/>
  <c r="CT25" i="119"/>
  <c r="CW46" i="117"/>
  <c r="CW60" i="117" s="1"/>
  <c r="CV46" i="118"/>
  <c r="CV60" i="118" s="1"/>
  <c r="CG31" i="118"/>
  <c r="CU38" i="117"/>
  <c r="CH31" i="117"/>
  <c r="CZ13" i="117"/>
  <c r="CL46" i="118"/>
  <c r="CP37" i="119"/>
  <c r="CZ13" i="119"/>
  <c r="CX19" i="119"/>
  <c r="CE41" i="117"/>
  <c r="CP18" i="119"/>
  <c r="CD11" i="118"/>
  <c r="CD12" i="119"/>
  <c r="CP25" i="118"/>
  <c r="CP59" i="118" s="1"/>
  <c r="CV41" i="118"/>
  <c r="CS46" i="119"/>
  <c r="CS60" i="119" s="1"/>
  <c r="CH21" i="119"/>
  <c r="CM27" i="118"/>
  <c r="CU21" i="119"/>
  <c r="CI31" i="118"/>
  <c r="CZ45" i="119"/>
  <c r="CZ48" i="119" s="1"/>
  <c r="CU11" i="117"/>
  <c r="CP41" i="117"/>
  <c r="CK41" i="118"/>
  <c r="CS25" i="118"/>
  <c r="CS59" i="118" s="1"/>
  <c r="CT24" i="119"/>
  <c r="CT58" i="119" s="1"/>
  <c r="CU39" i="119"/>
  <c r="CV19" i="118"/>
  <c r="CY21" i="118"/>
  <c r="CK19" i="118"/>
  <c r="CE29" i="119"/>
  <c r="CE63" i="119" s="1"/>
  <c r="CG45" i="118"/>
  <c r="CG48" i="118" s="1"/>
  <c r="CH24" i="118"/>
  <c r="CH28" i="118" s="1"/>
  <c r="CI37" i="119"/>
  <c r="CR10" i="119"/>
  <c r="CW21" i="118"/>
  <c r="CJ13" i="119"/>
  <c r="CE37" i="117"/>
  <c r="CU12" i="117"/>
  <c r="CL26" i="119"/>
  <c r="CF11" i="118"/>
  <c r="CQ45" i="119"/>
  <c r="CZ26" i="117"/>
  <c r="CS41" i="118"/>
  <c r="CX45" i="119"/>
  <c r="CX59" i="119" s="1"/>
  <c r="CW46" i="119"/>
  <c r="CP46" i="119"/>
  <c r="CU23" i="118"/>
  <c r="CU28" i="118" s="1"/>
  <c r="CO20" i="118"/>
  <c r="CP26" i="118"/>
  <c r="CJ37" i="119"/>
  <c r="CX27" i="117"/>
  <c r="CX61" i="117" s="1"/>
  <c r="CM31" i="118"/>
  <c r="CJ9" i="117"/>
  <c r="CK21" i="117"/>
  <c r="CT45" i="119"/>
  <c r="CT48" i="119" s="1"/>
  <c r="CO25" i="118"/>
  <c r="CI13" i="117"/>
  <c r="CU38" i="119"/>
  <c r="CL47" i="118"/>
  <c r="CZ41" i="119"/>
  <c r="CJ29" i="118"/>
  <c r="CJ63" i="118" s="1"/>
  <c r="CN17" i="117"/>
  <c r="CK43" i="119"/>
  <c r="CE10" i="119"/>
  <c r="CG25" i="119"/>
  <c r="CE46" i="117"/>
  <c r="CE26" i="117"/>
  <c r="CE60" i="117" s="1"/>
  <c r="CU40" i="119"/>
  <c r="CV18" i="67"/>
  <c r="CV65" i="67" s="1"/>
  <c r="CZ38" i="119"/>
  <c r="CG38" i="117"/>
  <c r="CP31" i="117"/>
  <c r="CU45" i="119"/>
  <c r="CO12" i="119"/>
  <c r="CN44" i="118"/>
  <c r="CO39" i="118"/>
  <c r="CK31" i="118"/>
  <c r="CK45" i="118"/>
  <c r="CF10" i="118"/>
  <c r="CL21" i="119"/>
  <c r="CN46" i="118"/>
  <c r="CN60" i="118" s="1"/>
  <c r="CY41" i="117"/>
  <c r="CG45" i="117"/>
  <c r="CG59" i="117" s="1"/>
  <c r="CF23" i="118"/>
  <c r="CH47" i="119"/>
  <c r="CK20" i="119"/>
  <c r="CD21" i="119"/>
  <c r="CU41" i="119"/>
  <c r="CN20" i="119"/>
  <c r="CW44" i="118"/>
  <c r="CK40" i="118"/>
  <c r="CF17" i="119"/>
  <c r="CL26" i="117"/>
  <c r="CL60" i="117" s="1"/>
  <c r="CL9" i="118"/>
  <c r="CV24" i="119"/>
  <c r="CV58" i="119" s="1"/>
  <c r="CL41" i="118"/>
  <c r="CK24" i="119"/>
  <c r="CY17" i="118"/>
  <c r="CJ44" i="117"/>
  <c r="CI47" i="119"/>
  <c r="CI61" i="119" s="1"/>
  <c r="CI18" i="119"/>
  <c r="CQ12" i="119"/>
  <c r="CP31" i="118"/>
  <c r="CO25" i="119"/>
  <c r="CO59" i="119" s="1"/>
  <c r="CS12" i="119"/>
  <c r="CK47" i="119"/>
  <c r="CR24" i="118"/>
  <c r="CR28" i="118" s="1"/>
  <c r="CU37" i="119"/>
  <c r="CX23" i="119"/>
  <c r="CM21" i="118"/>
  <c r="CI46" i="118"/>
  <c r="CF44" i="118"/>
  <c r="CF58" i="118" s="1"/>
  <c r="CD44" i="117"/>
  <c r="CW19" i="118"/>
  <c r="CZ9" i="117"/>
  <c r="CU23" i="117"/>
  <c r="CU57" i="117" s="1"/>
  <c r="CM47" i="118"/>
  <c r="CK29" i="119"/>
  <c r="CK63" i="119" s="1"/>
  <c r="CM29" i="118"/>
  <c r="CM63" i="118" s="1"/>
  <c r="CR26" i="117"/>
  <c r="CR60" i="117" s="1"/>
  <c r="CI18" i="117"/>
  <c r="CV44" i="117"/>
  <c r="CK29" i="118"/>
  <c r="CK63" i="118" s="1"/>
  <c r="CS9" i="117"/>
  <c r="CL25" i="117"/>
  <c r="CL28" i="117" s="1"/>
  <c r="CI45" i="117"/>
  <c r="CE31" i="119"/>
  <c r="CQ9" i="119"/>
  <c r="CX39" i="118"/>
  <c r="CF27" i="117"/>
  <c r="CK43" i="118"/>
  <c r="CK57" i="118" s="1"/>
  <c r="CR11" i="119"/>
  <c r="CD31" i="118"/>
  <c r="CH27" i="117"/>
  <c r="CD38" i="117"/>
  <c r="CM41" i="117"/>
  <c r="CD29" i="117"/>
  <c r="CD63" i="117" s="1"/>
  <c r="CY40" i="119"/>
  <c r="CG10" i="118"/>
  <c r="CO44" i="118"/>
  <c r="CO58" i="118" s="1"/>
  <c r="CL38" i="119"/>
  <c r="CT11" i="119"/>
  <c r="CD26" i="119"/>
  <c r="CF17" i="118"/>
  <c r="CF65" i="118" s="1"/>
  <c r="CW40" i="119"/>
  <c r="CD37" i="119"/>
  <c r="CL25" i="119"/>
  <c r="CJ43" i="119"/>
  <c r="CJ57" i="119" s="1"/>
  <c r="CY18" i="117"/>
  <c r="CI23" i="119"/>
  <c r="CD25" i="118"/>
  <c r="CD28" i="118" s="1"/>
  <c r="CU41" i="117"/>
  <c r="CH44" i="118"/>
  <c r="CP11" i="117"/>
  <c r="CW12" i="118"/>
  <c r="CE27" i="119"/>
  <c r="CF44" i="117"/>
  <c r="CF58" i="117" s="1"/>
  <c r="CP37" i="117"/>
  <c r="CU31" i="118"/>
  <c r="CM29" i="119"/>
  <c r="CM63" i="119" s="1"/>
  <c r="CZ47" i="119"/>
  <c r="CI10" i="119"/>
  <c r="CM43" i="118"/>
  <c r="CM57" i="118" s="1"/>
  <c r="CK19" i="117"/>
  <c r="CN41" i="118"/>
  <c r="CG43" i="119"/>
  <c r="CE10" i="117"/>
  <c r="CD29" i="119"/>
  <c r="CD63" i="119" s="1"/>
  <c r="CG44" i="119"/>
  <c r="CO17" i="118"/>
  <c r="CG29" i="119"/>
  <c r="CG63" i="119" s="1"/>
  <c r="CS41" i="119"/>
  <c r="CX13" i="119"/>
  <c r="CT44" i="117"/>
  <c r="CM20" i="117"/>
  <c r="CW37" i="118"/>
  <c r="CT39" i="119"/>
  <c r="CK27" i="117"/>
  <c r="CR44" i="118"/>
  <c r="CR48" i="118" s="1"/>
  <c r="DG36" i="94"/>
  <c r="CT13" i="119"/>
  <c r="CF46" i="119"/>
  <c r="CV38" i="118"/>
  <c r="CY11" i="119"/>
  <c r="CH26" i="118"/>
  <c r="CH60" i="118" s="1"/>
  <c r="CL17" i="119"/>
  <c r="CM10" i="119"/>
  <c r="CH29" i="119"/>
  <c r="CH63" i="119" s="1"/>
  <c r="CL46" i="119"/>
  <c r="CD10" i="117"/>
  <c r="CX24" i="119"/>
  <c r="CX58" i="119" s="1"/>
  <c r="CI37" i="118"/>
  <c r="CZ41" i="118"/>
  <c r="CY26" i="117"/>
  <c r="CI24" i="117"/>
  <c r="CL44" i="118"/>
  <c r="CL48" i="118" s="1"/>
  <c r="CS11" i="119"/>
  <c r="CH38" i="119"/>
  <c r="CF43" i="119"/>
  <c r="CS25" i="117"/>
  <c r="CS59" i="117" s="1"/>
  <c r="CY25" i="119"/>
  <c r="CH47" i="118"/>
  <c r="CS31" i="117"/>
  <c r="CJ19" i="118"/>
  <c r="CI43" i="118"/>
  <c r="CI57" i="118" s="1"/>
  <c r="CJ38" i="118"/>
  <c r="CW20" i="118"/>
  <c r="CO11" i="119"/>
  <c r="CE29" i="118"/>
  <c r="CE63" i="118" s="1"/>
  <c r="CE17" i="119"/>
  <c r="CP10" i="119"/>
  <c r="CP20" i="119"/>
  <c r="CX26" i="67"/>
  <c r="CJ20" i="118"/>
  <c r="CR12" i="119"/>
  <c r="CF10" i="119"/>
  <c r="CV19" i="119"/>
  <c r="CQ45" i="118"/>
  <c r="CP38" i="119"/>
  <c r="CN24" i="118"/>
  <c r="CS10" i="117"/>
  <c r="CG11" i="119"/>
  <c r="CU44" i="118"/>
  <c r="CU48" i="118" s="1"/>
  <c r="CD20" i="117"/>
  <c r="CS21" i="118"/>
  <c r="CU17" i="118"/>
  <c r="CE17" i="118"/>
  <c r="CW41" i="118"/>
  <c r="CF47" i="117"/>
  <c r="CF61" i="117" s="1"/>
  <c r="CV9" i="119"/>
  <c r="CM41" i="119"/>
  <c r="CO44" i="119"/>
  <c r="CO48" i="119" s="1"/>
  <c r="CD25" i="119"/>
  <c r="CD59" i="119" s="1"/>
  <c r="CI46" i="119"/>
  <c r="CH26" i="119"/>
  <c r="CY38" i="117"/>
  <c r="CU13" i="119"/>
  <c r="CZ40" i="119"/>
  <c r="CK39" i="119"/>
  <c r="AI333" i="125"/>
  <c r="AI335" i="125"/>
  <c r="AI334" i="125"/>
  <c r="AG339" i="125"/>
  <c r="AJ339" i="125" s="1"/>
  <c r="CL57" i="118"/>
  <c r="CJ61" i="118"/>
  <c r="AG341" i="125"/>
  <c r="AJ341" i="125" s="1"/>
  <c r="AI30" i="125"/>
  <c r="AG215" i="125"/>
  <c r="AG139" i="125"/>
  <c r="AG138" i="125"/>
  <c r="AJ138" i="125" s="1"/>
  <c r="AG151" i="125"/>
  <c r="AJ136" i="125"/>
  <c r="AJ139" i="125" s="1"/>
  <c r="AG152" i="125"/>
  <c r="AG153" i="125"/>
  <c r="AG154" i="125"/>
  <c r="AG294" i="125"/>
  <c r="AG59" i="125"/>
  <c r="AJ59" i="125" s="1"/>
  <c r="AG72" i="125"/>
  <c r="AG60" i="125"/>
  <c r="AJ57" i="125"/>
  <c r="AJ60" i="125" s="1"/>
  <c r="AG73" i="125"/>
  <c r="AG74" i="125"/>
  <c r="AG75" i="125"/>
  <c r="CQ59" i="118"/>
  <c r="CM58" i="117"/>
  <c r="CW28" i="119"/>
  <c r="CW60" i="118"/>
  <c r="CY61" i="119"/>
  <c r="CK60" i="118"/>
  <c r="CQ61" i="117"/>
  <c r="CT59" i="118"/>
  <c r="CP57" i="118"/>
  <c r="CU61" i="118"/>
  <c r="CE58" i="117"/>
  <c r="CS58" i="118"/>
  <c r="CR59" i="118"/>
  <c r="CG61" i="119"/>
  <c r="CR57" i="119"/>
  <c r="CH59" i="118"/>
  <c r="CX28" i="118"/>
  <c r="CU60" i="117"/>
  <c r="CS61" i="117"/>
  <c r="CD58" i="118"/>
  <c r="CJ59" i="119"/>
  <c r="CY57" i="117"/>
  <c r="CE61" i="117"/>
  <c r="CX60" i="117"/>
  <c r="CN59" i="117"/>
  <c r="CV58" i="118"/>
  <c r="CX60" i="119"/>
  <c r="CL59" i="118"/>
  <c r="CJ57" i="118"/>
  <c r="CP61" i="117"/>
  <c r="CP59" i="117"/>
  <c r="CJ48" i="117"/>
  <c r="CQ60" i="118"/>
  <c r="CI28" i="117"/>
  <c r="CD60" i="117"/>
  <c r="CV59" i="119"/>
  <c r="CV60" i="117"/>
  <c r="CP28" i="117"/>
  <c r="CD48" i="119"/>
  <c r="CZ60" i="118"/>
  <c r="CG61" i="117"/>
  <c r="CG59" i="118"/>
  <c r="CQ61" i="119"/>
  <c r="CT59" i="117"/>
  <c r="CN59" i="119"/>
  <c r="CJ61" i="117"/>
  <c r="CH59" i="119"/>
  <c r="CD61" i="119"/>
  <c r="CE61" i="118"/>
  <c r="CL61" i="118"/>
  <c r="CM48" i="118"/>
  <c r="CO57" i="117"/>
  <c r="CO61" i="117"/>
  <c r="CP59" i="119"/>
  <c r="CJ59" i="117"/>
  <c r="CG58" i="118"/>
  <c r="CW58" i="117"/>
  <c r="CX58" i="118"/>
  <c r="CH58" i="117"/>
  <c r="CX59" i="117"/>
  <c r="CH58" i="119"/>
  <c r="CI57" i="117"/>
  <c r="CG60" i="117"/>
  <c r="CK60" i="119"/>
  <c r="CP28" i="118"/>
  <c r="CS57" i="117"/>
  <c r="CI28" i="118"/>
  <c r="CM60" i="118"/>
  <c r="CV61" i="117"/>
  <c r="CT60" i="117"/>
  <c r="CY60" i="118"/>
  <c r="CW57" i="117"/>
  <c r="CR59" i="117"/>
  <c r="CS48" i="117"/>
  <c r="CQ58" i="119"/>
  <c r="CL28" i="119"/>
  <c r="CW61" i="117"/>
  <c r="CW58" i="119"/>
  <c r="CX57" i="118"/>
  <c r="CR57" i="118"/>
  <c r="CW48" i="117"/>
  <c r="CX60" i="118"/>
  <c r="CQ57" i="118"/>
  <c r="CD60" i="118"/>
  <c r="CN60" i="117"/>
  <c r="CG60" i="118"/>
  <c r="CF60" i="117"/>
  <c r="CY28" i="117"/>
  <c r="CM28" i="117"/>
  <c r="CN61" i="117"/>
  <c r="CY48" i="117"/>
  <c r="CP60" i="117"/>
  <c r="CK61" i="117"/>
  <c r="CH60" i="117"/>
  <c r="CV57" i="117"/>
  <c r="CW59" i="119"/>
  <c r="CT57" i="118"/>
  <c r="CU57" i="118"/>
  <c r="CV59" i="118"/>
  <c r="CS57" i="119"/>
  <c r="CW28" i="117"/>
  <c r="CD57" i="118"/>
  <c r="CZ25" i="118"/>
  <c r="CZ59" i="118" s="1"/>
  <c r="CW57" i="119"/>
  <c r="CY59" i="117"/>
  <c r="CN48" i="118"/>
  <c r="CV48" i="119"/>
  <c r="CK59" i="117"/>
  <c r="CQ57" i="117"/>
  <c r="CM28" i="118"/>
  <c r="CU59" i="119"/>
  <c r="CF57" i="118"/>
  <c r="CU59" i="117"/>
  <c r="CP57" i="117"/>
  <c r="CJ60" i="117"/>
  <c r="CX49" i="67"/>
  <c r="CX51" i="67"/>
  <c r="CZ20" i="118"/>
  <c r="CY29" i="119"/>
  <c r="CY29" i="118"/>
  <c r="CY24" i="67"/>
  <c r="CY29" i="117"/>
  <c r="CX44" i="67"/>
  <c r="CX58" i="67" s="1"/>
  <c r="CY31" i="67"/>
  <c r="CY29" i="67"/>
  <c r="CY13" i="67"/>
  <c r="CY26" i="67"/>
  <c r="CY21" i="67"/>
  <c r="CY10" i="67"/>
  <c r="CY11" i="67"/>
  <c r="CY12" i="67"/>
  <c r="CY9" i="67"/>
  <c r="CY17" i="67"/>
  <c r="CX46" i="67"/>
  <c r="CX37" i="67"/>
  <c r="CX41" i="67"/>
  <c r="CX43" i="67"/>
  <c r="CX45" i="67"/>
  <c r="CX59" i="67" s="1"/>
  <c r="CX39" i="67"/>
  <c r="CX38" i="67"/>
  <c r="CX47" i="67"/>
  <c r="CX40" i="67"/>
  <c r="CX23" i="67"/>
  <c r="CY25" i="67"/>
  <c r="CX19" i="67"/>
  <c r="CW20" i="67"/>
  <c r="CW18" i="67"/>
  <c r="CW27" i="67"/>
  <c r="CW61" i="67" s="1"/>
  <c r="DI50" i="94"/>
  <c r="DI45" i="94"/>
  <c r="DI49" i="93"/>
  <c r="DI44" i="93"/>
  <c r="DI45" i="93"/>
  <c r="DI50" i="93"/>
  <c r="DI43" i="93"/>
  <c r="DI48" i="93"/>
  <c r="DI42" i="93"/>
  <c r="DI47" i="93"/>
  <c r="DH44" i="82"/>
  <c r="DH45" i="82"/>
  <c r="DH42" i="82"/>
  <c r="DH48" i="82"/>
  <c r="CZ24" i="118" a="1"/>
  <c r="CY23" i="67" a="1"/>
  <c r="CZ25" i="117" a="1"/>
  <c r="AG188" i="125"/>
  <c r="CX18" i="67" a="1"/>
  <c r="CZ19" i="117" a="1"/>
  <c r="CX20" i="67" a="1"/>
  <c r="CZ27" i="117" a="1"/>
  <c r="CZ23" i="119" a="1"/>
  <c r="AG267" i="125"/>
  <c r="CZ19" i="119" a="1"/>
  <c r="CZ27" i="119" a="1"/>
  <c r="CZ19" i="118" a="1"/>
  <c r="CZ18" i="118" a="1"/>
  <c r="CZ25" i="119" a="1"/>
  <c r="AG109" i="125"/>
  <c r="CZ18" i="119" a="1"/>
  <c r="CZ24" i="117" a="1"/>
  <c r="CZ23" i="117" a="1"/>
  <c r="CZ24" i="119" a="1"/>
  <c r="CX27" i="67" a="1"/>
  <c r="CY19" i="67" a="1"/>
  <c r="CZ27" i="118" a="1"/>
  <c r="CZ23" i="118" a="1"/>
  <c r="CZ18" i="117" a="1"/>
  <c r="CF60" i="119" l="1"/>
  <c r="CH61" i="117"/>
  <c r="CK59" i="118"/>
  <c r="CL60" i="119"/>
  <c r="CM61" i="118"/>
  <c r="CE65" i="117"/>
  <c r="CO60" i="119"/>
  <c r="CS60" i="117"/>
  <c r="CQ58" i="117"/>
  <c r="CJ60" i="119"/>
  <c r="CN61" i="118"/>
  <c r="CN57" i="118"/>
  <c r="CD57" i="117"/>
  <c r="CU48" i="119"/>
  <c r="CF59" i="119"/>
  <c r="CG28" i="119"/>
  <c r="CX60" i="67"/>
  <c r="CS57" i="118"/>
  <c r="CT48" i="117"/>
  <c r="CT62" i="117" s="1"/>
  <c r="CI59" i="117"/>
  <c r="CP60" i="119"/>
  <c r="CO61" i="118"/>
  <c r="CE57" i="119"/>
  <c r="CQ28" i="119"/>
  <c r="CN61" i="119"/>
  <c r="CU61" i="119"/>
  <c r="CI61" i="118"/>
  <c r="CF61" i="118"/>
  <c r="CK58" i="118"/>
  <c r="CE48" i="119"/>
  <c r="CD61" i="117"/>
  <c r="CH28" i="119"/>
  <c r="CO48" i="117"/>
  <c r="CJ59" i="118"/>
  <c r="CY28" i="119"/>
  <c r="CZ48" i="118"/>
  <c r="CW58" i="118"/>
  <c r="CV48" i="117"/>
  <c r="CY57" i="118"/>
  <c r="CK61" i="119"/>
  <c r="CG28" i="118"/>
  <c r="CG62" i="118" s="1"/>
  <c r="CI58" i="117"/>
  <c r="CS60" i="118"/>
  <c r="CM60" i="119"/>
  <c r="CX48" i="119"/>
  <c r="CQ65" i="117"/>
  <c r="CY28" i="118"/>
  <c r="CY62" i="118" s="1"/>
  <c r="CX61" i="118"/>
  <c r="CT61" i="117"/>
  <c r="CL58" i="118"/>
  <c r="CD60" i="119"/>
  <c r="CZ60" i="119"/>
  <c r="CI60" i="118"/>
  <c r="CH48" i="117"/>
  <c r="CH62" i="117" s="1"/>
  <c r="CX57" i="119"/>
  <c r="DB38" i="118"/>
  <c r="CG57" i="119"/>
  <c r="CI28" i="119"/>
  <c r="CN65" i="117"/>
  <c r="CV65" i="118"/>
  <c r="CF28" i="119"/>
  <c r="CR28" i="119"/>
  <c r="CF59" i="118"/>
  <c r="CE60" i="118"/>
  <c r="CI65" i="118"/>
  <c r="CV48" i="118"/>
  <c r="CK60" i="117"/>
  <c r="CU65" i="118"/>
  <c r="CT60" i="118"/>
  <c r="CJ60" i="118"/>
  <c r="CZ60" i="117"/>
  <c r="DI43" i="94"/>
  <c r="CJ48" i="119"/>
  <c r="CH60" i="119"/>
  <c r="CJ58" i="117"/>
  <c r="CS58" i="119"/>
  <c r="CI59" i="118"/>
  <c r="CD48" i="118"/>
  <c r="CD62" i="118" s="1"/>
  <c r="CF48" i="118"/>
  <c r="CM48" i="119"/>
  <c r="CY59" i="119"/>
  <c r="CD58" i="117"/>
  <c r="CK28" i="119"/>
  <c r="CQ59" i="119"/>
  <c r="CY48" i="119"/>
  <c r="CS28" i="119"/>
  <c r="CH57" i="118"/>
  <c r="CL57" i="117"/>
  <c r="CK57" i="119"/>
  <c r="CX48" i="117"/>
  <c r="CW60" i="119"/>
  <c r="CH58" i="118"/>
  <c r="DB21" i="119"/>
  <c r="CU58" i="118"/>
  <c r="CY58" i="119"/>
  <c r="CR48" i="119"/>
  <c r="CQ60" i="119"/>
  <c r="CE59" i="118"/>
  <c r="CM28" i="119"/>
  <c r="CY60" i="119"/>
  <c r="CE28" i="117"/>
  <c r="CU60" i="118"/>
  <c r="CM58" i="118"/>
  <c r="CQ58" i="118"/>
  <c r="CU58" i="117"/>
  <c r="CL48" i="119"/>
  <c r="CL62" i="119" s="1"/>
  <c r="CI57" i="119"/>
  <c r="DB38" i="117"/>
  <c r="CS65" i="119"/>
  <c r="CX65" i="117"/>
  <c r="CT28" i="119"/>
  <c r="CT62" i="119" s="1"/>
  <c r="CK65" i="118"/>
  <c r="CN57" i="119"/>
  <c r="CD59" i="118"/>
  <c r="CS28" i="118"/>
  <c r="CS62" i="118" s="1"/>
  <c r="CN57" i="117"/>
  <c r="CO28" i="117"/>
  <c r="CO62" i="117" s="1"/>
  <c r="CK58" i="119"/>
  <c r="CU60" i="119"/>
  <c r="CE28" i="119"/>
  <c r="CI48" i="118"/>
  <c r="CI62" i="118" s="1"/>
  <c r="CL65" i="119"/>
  <c r="CX28" i="119"/>
  <c r="CI65" i="119"/>
  <c r="CH61" i="119"/>
  <c r="CL60" i="118"/>
  <c r="CY65" i="119"/>
  <c r="CY48" i="118"/>
  <c r="CQ61" i="118"/>
  <c r="CY58" i="118"/>
  <c r="CK28" i="117"/>
  <c r="CV28" i="117"/>
  <c r="CN58" i="119"/>
  <c r="CL58" i="117"/>
  <c r="CS65" i="117"/>
  <c r="CL61" i="117"/>
  <c r="CD57" i="119"/>
  <c r="CK48" i="119"/>
  <c r="CK48" i="118"/>
  <c r="CH65" i="119"/>
  <c r="CT58" i="117"/>
  <c r="CM65" i="119"/>
  <c r="CI60" i="119"/>
  <c r="CT61" i="118"/>
  <c r="CQ65" i="119"/>
  <c r="CI61" i="117"/>
  <c r="CT28" i="118"/>
  <c r="CT62" i="118" s="1"/>
  <c r="CN28" i="117"/>
  <c r="CN62" i="117" s="1"/>
  <c r="CQ48" i="118"/>
  <c r="CQ62" i="118" s="1"/>
  <c r="CE57" i="118"/>
  <c r="CH48" i="119"/>
  <c r="CH62" i="119" s="1"/>
  <c r="CE59" i="119"/>
  <c r="CP61" i="119"/>
  <c r="CW48" i="119"/>
  <c r="CW62" i="119" s="1"/>
  <c r="CP58" i="117"/>
  <c r="CU57" i="119"/>
  <c r="CK65" i="117"/>
  <c r="CX65" i="118"/>
  <c r="CF65" i="119"/>
  <c r="CD48" i="117"/>
  <c r="CP60" i="118"/>
  <c r="DB17" i="119"/>
  <c r="CW65" i="119"/>
  <c r="CY61" i="117"/>
  <c r="CO65" i="119"/>
  <c r="CO28" i="119"/>
  <c r="CO62" i="119" s="1"/>
  <c r="DB39" i="117"/>
  <c r="CD65" i="119"/>
  <c r="CN65" i="118"/>
  <c r="CL59" i="119"/>
  <c r="CS61" i="118"/>
  <c r="CQ60" i="117"/>
  <c r="CE58" i="119"/>
  <c r="DB17" i="118"/>
  <c r="CF48" i="119"/>
  <c r="CR65" i="117"/>
  <c r="CU65" i="119"/>
  <c r="CT65" i="118"/>
  <c r="CK61" i="118"/>
  <c r="DB37" i="119"/>
  <c r="CW28" i="118"/>
  <c r="CT61" i="119"/>
  <c r="CQ48" i="117"/>
  <c r="CQ62" i="117" s="1"/>
  <c r="CF28" i="117"/>
  <c r="DB21" i="117"/>
  <c r="CD65" i="117"/>
  <c r="CO65" i="117"/>
  <c r="CI48" i="119"/>
  <c r="CJ65" i="117"/>
  <c r="CF65" i="117"/>
  <c r="CG65" i="118"/>
  <c r="CV65" i="119"/>
  <c r="CL65" i="118"/>
  <c r="CE59" i="117"/>
  <c r="CY61" i="118"/>
  <c r="CR60" i="118"/>
  <c r="CD61" i="118"/>
  <c r="CR28" i="117"/>
  <c r="CL48" i="117"/>
  <c r="CL62" i="117" s="1"/>
  <c r="CE65" i="118"/>
  <c r="DB41" i="118"/>
  <c r="CM65" i="118"/>
  <c r="DI42" i="94"/>
  <c r="CJ65" i="119"/>
  <c r="CW65" i="117"/>
  <c r="CY60" i="117"/>
  <c r="CP48" i="118"/>
  <c r="CP62" i="118" s="1"/>
  <c r="CN65" i="119"/>
  <c r="CG28" i="117"/>
  <c r="CS61" i="119"/>
  <c r="CP28" i="119"/>
  <c r="CR58" i="117"/>
  <c r="CM60" i="117"/>
  <c r="CR48" i="117"/>
  <c r="CT65" i="117"/>
  <c r="CV65" i="117"/>
  <c r="CX48" i="118"/>
  <c r="CX62" i="118" s="1"/>
  <c r="CE65" i="119"/>
  <c r="CH65" i="118"/>
  <c r="DI48" i="94"/>
  <c r="CR65" i="119"/>
  <c r="CS48" i="119"/>
  <c r="CS62" i="119" s="1"/>
  <c r="CJ28" i="119"/>
  <c r="CE58" i="118"/>
  <c r="CO58" i="117"/>
  <c r="CG57" i="117"/>
  <c r="CE48" i="117"/>
  <c r="CP58" i="118"/>
  <c r="CG48" i="119"/>
  <c r="CG62" i="119" s="1"/>
  <c r="CF59" i="117"/>
  <c r="CJ48" i="118"/>
  <c r="CJ62" i="118" s="1"/>
  <c r="DB38" i="119"/>
  <c r="CL59" i="117"/>
  <c r="DB37" i="117"/>
  <c r="CQ57" i="119"/>
  <c r="CD59" i="117"/>
  <c r="CR57" i="117"/>
  <c r="CV57" i="118"/>
  <c r="CN28" i="118"/>
  <c r="CN62" i="118" s="1"/>
  <c r="CO48" i="118"/>
  <c r="CR58" i="119"/>
  <c r="DI49" i="94"/>
  <c r="DB20" i="118"/>
  <c r="CJ65" i="118"/>
  <c r="CX59" i="118"/>
  <c r="CQ59" i="117"/>
  <c r="CH65" i="117"/>
  <c r="CT57" i="119"/>
  <c r="CV28" i="118"/>
  <c r="CL58" i="119"/>
  <c r="CD65" i="118"/>
  <c r="CF28" i="118"/>
  <c r="CP57" i="119"/>
  <c r="DI47" i="94"/>
  <c r="CG58" i="119"/>
  <c r="CV57" i="119"/>
  <c r="CI65" i="117"/>
  <c r="CF57" i="119"/>
  <c r="CO58" i="119"/>
  <c r="DB37" i="118"/>
  <c r="CU65" i="117"/>
  <c r="CM65" i="117"/>
  <c r="CO59" i="118"/>
  <c r="CK48" i="117"/>
  <c r="CG59" i="119"/>
  <c r="CX28" i="117"/>
  <c r="CX62" i="117" s="1"/>
  <c r="CF58" i="119"/>
  <c r="CV28" i="119"/>
  <c r="CV62" i="119" s="1"/>
  <c r="CT59" i="119"/>
  <c r="CK58" i="117"/>
  <c r="DB41" i="119"/>
  <c r="DB40" i="117"/>
  <c r="CP65" i="117"/>
  <c r="CK28" i="118"/>
  <c r="CN58" i="118"/>
  <c r="CW48" i="118"/>
  <c r="CT60" i="119"/>
  <c r="CH48" i="118"/>
  <c r="CH62" i="118" s="1"/>
  <c r="DB40" i="119"/>
  <c r="DB17" i="117"/>
  <c r="DB39" i="118"/>
  <c r="CL65" i="117"/>
  <c r="CP48" i="119"/>
  <c r="CP62" i="119" s="1"/>
  <c r="CF48" i="117"/>
  <c r="CF62" i="117" s="1"/>
  <c r="CU28" i="117"/>
  <c r="CU62" i="117" s="1"/>
  <c r="CG65" i="117"/>
  <c r="CO28" i="118"/>
  <c r="CK57" i="117"/>
  <c r="CW59" i="67"/>
  <c r="CO65" i="118"/>
  <c r="CK65" i="119"/>
  <c r="CY65" i="118"/>
  <c r="CG60" i="119"/>
  <c r="CU28" i="119"/>
  <c r="CU62" i="119" s="1"/>
  <c r="CU61" i="117"/>
  <c r="CP65" i="118"/>
  <c r="CE61" i="119"/>
  <c r="CG65" i="119"/>
  <c r="CR65" i="118"/>
  <c r="DB39" i="119"/>
  <c r="CG48" i="117"/>
  <c r="CP65" i="119"/>
  <c r="CX65" i="119"/>
  <c r="CY57" i="119"/>
  <c r="CQ48" i="119"/>
  <c r="CQ62" i="119" s="1"/>
  <c r="CR58" i="118"/>
  <c r="CD28" i="117"/>
  <c r="CP58" i="119"/>
  <c r="CW65" i="118"/>
  <c r="CY65" i="117"/>
  <c r="CS59" i="119"/>
  <c r="CM61" i="117"/>
  <c r="DB41" i="117"/>
  <c r="DB21" i="118"/>
  <c r="CS65" i="118"/>
  <c r="CD28" i="119"/>
  <c r="CD62" i="119" s="1"/>
  <c r="DB40" i="118"/>
  <c r="CT65" i="119"/>
  <c r="CS28" i="117"/>
  <c r="CS62" i="117" s="1"/>
  <c r="CI48" i="117"/>
  <c r="CI62" i="117" s="1"/>
  <c r="CX58" i="117"/>
  <c r="CE28" i="118"/>
  <c r="CE62" i="118" s="1"/>
  <c r="AI339" i="125"/>
  <c r="AI341" i="125"/>
  <c r="CL62" i="118"/>
  <c r="AG342" i="125"/>
  <c r="AJ342" i="125" s="1"/>
  <c r="AJ345" i="125" s="1"/>
  <c r="AI188" i="125"/>
  <c r="AI109" i="125"/>
  <c r="AI267" i="125"/>
  <c r="AG83" i="125"/>
  <c r="AG84" i="125"/>
  <c r="AJ75" i="125"/>
  <c r="AJ84" i="125" s="1"/>
  <c r="AG161" i="125"/>
  <c r="AG160" i="125"/>
  <c r="AJ153" i="125"/>
  <c r="AJ161" i="125" s="1"/>
  <c r="AG81" i="125"/>
  <c r="AG82" i="125"/>
  <c r="AJ74" i="125"/>
  <c r="AJ82" i="125" s="1"/>
  <c r="AG158" i="125"/>
  <c r="AG159" i="125"/>
  <c r="AJ152" i="125"/>
  <c r="AJ159" i="125" s="1"/>
  <c r="AG297" i="125"/>
  <c r="AG296" i="125"/>
  <c r="AJ296" i="125" s="1"/>
  <c r="AG309" i="125"/>
  <c r="AJ294" i="125"/>
  <c r="AJ297" i="125" s="1"/>
  <c r="AG310" i="125"/>
  <c r="AG312" i="125"/>
  <c r="AG311" i="125"/>
  <c r="AG156" i="125"/>
  <c r="AG157" i="125"/>
  <c r="AJ151" i="125"/>
  <c r="AJ157" i="125" s="1"/>
  <c r="AG80" i="125"/>
  <c r="AG79" i="125"/>
  <c r="AJ73" i="125"/>
  <c r="AJ80" i="125" s="1"/>
  <c r="AG77" i="125"/>
  <c r="AG78" i="125"/>
  <c r="AJ72" i="125"/>
  <c r="AJ78" i="125" s="1"/>
  <c r="AG217" i="125"/>
  <c r="AJ217" i="125" s="1"/>
  <c r="AG218" i="125"/>
  <c r="AG230" i="125"/>
  <c r="AJ215" i="125"/>
  <c r="AJ218" i="125" s="1"/>
  <c r="AG231" i="125"/>
  <c r="AG233" i="125"/>
  <c r="AG232" i="125"/>
  <c r="AG162" i="125"/>
  <c r="AG163" i="125"/>
  <c r="AJ154" i="125"/>
  <c r="AJ163" i="125" s="1"/>
  <c r="CZ19" i="117"/>
  <c r="DB19" i="117" s="1"/>
  <c r="CZ25" i="117"/>
  <c r="CZ59" i="117" s="1"/>
  <c r="CZ19" i="118"/>
  <c r="DB19" i="118" s="1"/>
  <c r="CK62" i="119"/>
  <c r="CZ27" i="119"/>
  <c r="CZ61" i="119" s="1"/>
  <c r="CE62" i="119"/>
  <c r="CJ62" i="117"/>
  <c r="CZ18" i="118"/>
  <c r="DB18" i="118" s="1"/>
  <c r="CZ27" i="118"/>
  <c r="CZ61" i="118" s="1"/>
  <c r="CM62" i="118"/>
  <c r="CZ24" i="118"/>
  <c r="CZ58" i="118" s="1"/>
  <c r="CR62" i="118"/>
  <c r="CN62" i="119"/>
  <c r="CP62" i="117"/>
  <c r="CY62" i="117"/>
  <c r="CU62" i="118"/>
  <c r="CZ24" i="119"/>
  <c r="CZ58" i="119" s="1"/>
  <c r="CM62" i="117"/>
  <c r="CZ19" i="119"/>
  <c r="DB19" i="119" s="1"/>
  <c r="CZ25" i="119"/>
  <c r="CZ59" i="119" s="1"/>
  <c r="CZ18" i="117"/>
  <c r="DB18" i="117" s="1"/>
  <c r="CZ18" i="119"/>
  <c r="DB18" i="119" s="1"/>
  <c r="CW62" i="117"/>
  <c r="CZ23" i="119"/>
  <c r="CZ57" i="119" s="1"/>
  <c r="CZ23" i="117"/>
  <c r="CZ57" i="117" s="1"/>
  <c r="CZ27" i="117"/>
  <c r="CZ61" i="117" s="1"/>
  <c r="CZ23" i="118"/>
  <c r="CZ24" i="117"/>
  <c r="CZ58" i="117" s="1"/>
  <c r="CY63" i="119"/>
  <c r="CY63" i="118"/>
  <c r="CY63" i="117"/>
  <c r="CX57" i="67"/>
  <c r="CW65" i="67"/>
  <c r="CX48" i="67"/>
  <c r="CX20" i="67"/>
  <c r="CX28" i="67"/>
  <c r="CY23" i="67"/>
  <c r="CY19" i="67"/>
  <c r="CX27" i="67"/>
  <c r="CX61" i="67" s="1"/>
  <c r="CX18" i="67"/>
  <c r="CW63" i="67"/>
  <c r="DH47" i="82"/>
  <c r="DH49" i="82"/>
  <c r="DH50" i="82"/>
  <c r="DI50" i="82"/>
  <c r="DI49" i="82"/>
  <c r="CZ6" i="67"/>
  <c r="DJ37" i="94" a="1"/>
  <c r="DJ35" i="94" a="1"/>
  <c r="CZ20" i="119" a="1"/>
  <c r="CZ11" i="67" a="1"/>
  <c r="DI37" i="93" a="1"/>
  <c r="CZ17" i="67" a="1"/>
  <c r="CZ13" i="67" a="1"/>
  <c r="DI18" i="93" a="1"/>
  <c r="CY39" i="67" a="1"/>
  <c r="CZ31" i="118" a="1"/>
  <c r="CY51" i="67" a="1"/>
  <c r="DB33" i="67" a="1"/>
  <c r="CY44" i="67" a="1"/>
  <c r="DI20" i="94" a="1"/>
  <c r="CY46" i="67" a="1"/>
  <c r="CZ24" i="67" a="1"/>
  <c r="CY47" i="67" a="1"/>
  <c r="DI19" i="93" a="1"/>
  <c r="CY38" i="67" a="1"/>
  <c r="CY20" i="67" a="1"/>
  <c r="CZ25" i="67" a="1"/>
  <c r="CZ12" i="67" a="1"/>
  <c r="CZ29" i="118" a="1"/>
  <c r="CZ21" i="67" a="1"/>
  <c r="CZ9" i="67" a="1"/>
  <c r="CY45" i="67" a="1"/>
  <c r="CY27" i="67" a="1"/>
  <c r="DB33" i="117" a="1"/>
  <c r="DJ33" i="93" a="1"/>
  <c r="CZ23" i="67" a="1"/>
  <c r="CY40" i="67" a="1"/>
  <c r="CY37" i="67" a="1"/>
  <c r="CZ10" i="67" a="1"/>
  <c r="CY41" i="67" a="1"/>
  <c r="CY18" i="67" a="1"/>
  <c r="DB33" i="118" a="1"/>
  <c r="CZ20" i="117" a="1"/>
  <c r="CY43" i="67" a="1"/>
  <c r="CZ26" i="67" a="1"/>
  <c r="CY49" i="67" a="1"/>
  <c r="CR62" i="117" l="1"/>
  <c r="CY62" i="119"/>
  <c r="CF62" i="119"/>
  <c r="DB60" i="119"/>
  <c r="CR62" i="119"/>
  <c r="DB61" i="118"/>
  <c r="CV62" i="117"/>
  <c r="CD62" i="117"/>
  <c r="CO62" i="118"/>
  <c r="CJ62" i="119"/>
  <c r="CE62" i="117"/>
  <c r="CK62" i="117"/>
  <c r="CX62" i="119"/>
  <c r="CM62" i="119"/>
  <c r="CF62" i="118"/>
  <c r="DB59" i="118"/>
  <c r="CW62" i="118"/>
  <c r="CI62" i="119"/>
  <c r="CV62" i="118"/>
  <c r="CK62" i="118"/>
  <c r="CG62" i="117"/>
  <c r="DB60" i="117"/>
  <c r="DB60" i="118"/>
  <c r="DB58" i="118"/>
  <c r="DB61" i="117"/>
  <c r="DB57" i="117"/>
  <c r="DB59" i="117"/>
  <c r="DB58" i="117"/>
  <c r="DB61" i="119"/>
  <c r="DB59" i="119"/>
  <c r="DB57" i="119"/>
  <c r="DB58" i="119"/>
  <c r="AI342" i="125"/>
  <c r="AI345" i="125" s="1"/>
  <c r="DB33" i="117"/>
  <c r="DB66" i="118"/>
  <c r="BX67" i="118" s="1"/>
  <c r="DB33" i="118"/>
  <c r="BX33" i="118" s="1"/>
  <c r="AG345" i="125"/>
  <c r="AG344" i="125"/>
  <c r="AJ344" i="125" s="1"/>
  <c r="AG242" i="125"/>
  <c r="AG241" i="125"/>
  <c r="AJ233" i="125"/>
  <c r="AJ242" i="125" s="1"/>
  <c r="AI160" i="125"/>
  <c r="AJ160" i="125"/>
  <c r="AJ156" i="125"/>
  <c r="AI156" i="125"/>
  <c r="AG237" i="125"/>
  <c r="AG238" i="125"/>
  <c r="AJ231" i="125"/>
  <c r="AJ238" i="125" s="1"/>
  <c r="AG235" i="125"/>
  <c r="AG236" i="125"/>
  <c r="AJ230" i="125"/>
  <c r="AJ236" i="125" s="1"/>
  <c r="AJ77" i="125"/>
  <c r="AI77" i="125"/>
  <c r="AG321" i="125"/>
  <c r="AG320" i="125"/>
  <c r="AJ312" i="125"/>
  <c r="AJ321" i="125" s="1"/>
  <c r="AI158" i="125"/>
  <c r="AJ158" i="125"/>
  <c r="AG319" i="125"/>
  <c r="AG318" i="125"/>
  <c r="AJ311" i="125"/>
  <c r="AJ319" i="125" s="1"/>
  <c r="AG316" i="125"/>
  <c r="AG317" i="125"/>
  <c r="AJ310" i="125"/>
  <c r="AJ317" i="125" s="1"/>
  <c r="AI83" i="125"/>
  <c r="AJ83" i="125"/>
  <c r="AI79" i="125"/>
  <c r="AJ79" i="125"/>
  <c r="AJ162" i="125"/>
  <c r="AI162" i="125"/>
  <c r="AG314" i="125"/>
  <c r="AG315" i="125"/>
  <c r="AJ309" i="125"/>
  <c r="AJ315" i="125" s="1"/>
  <c r="AI81" i="125"/>
  <c r="AJ81" i="125"/>
  <c r="AG240" i="125"/>
  <c r="AG239" i="125"/>
  <c r="AJ232" i="125"/>
  <c r="AJ240" i="125" s="1"/>
  <c r="CZ20" i="117"/>
  <c r="DB20" i="117" s="1"/>
  <c r="DB66" i="117" s="1"/>
  <c r="BX67" i="117" s="1"/>
  <c r="CZ65" i="118"/>
  <c r="CF66" i="118" s="1"/>
  <c r="DB33" i="67"/>
  <c r="BX33" i="67" s="1"/>
  <c r="CZ28" i="118"/>
  <c r="CZ62" i="118" s="1"/>
  <c r="CZ28" i="119"/>
  <c r="CZ62" i="119" s="1"/>
  <c r="CZ57" i="118"/>
  <c r="DB57" i="118" s="1"/>
  <c r="CZ20" i="119"/>
  <c r="DB20" i="119" s="1"/>
  <c r="DB66" i="119" s="1"/>
  <c r="BX67" i="119" s="1"/>
  <c r="CZ28" i="117"/>
  <c r="CZ62" i="117" s="1"/>
  <c r="CY49" i="67"/>
  <c r="CY51" i="67"/>
  <c r="CZ29" i="118"/>
  <c r="CZ31" i="118"/>
  <c r="CZ24" i="67"/>
  <c r="CY44" i="67"/>
  <c r="CY58" i="67" s="1"/>
  <c r="CX65" i="67"/>
  <c r="CX62" i="67"/>
  <c r="CZ13" i="67"/>
  <c r="CZ26" i="67"/>
  <c r="CZ11" i="67"/>
  <c r="CZ10" i="67"/>
  <c r="CZ12" i="67"/>
  <c r="CZ9" i="67"/>
  <c r="CZ21" i="67"/>
  <c r="CZ25" i="67"/>
  <c r="CZ17" i="67"/>
  <c r="DB17" i="67" s="1"/>
  <c r="CY46" i="67"/>
  <c r="CY60" i="67" s="1"/>
  <c r="CY37" i="67"/>
  <c r="CY41" i="67"/>
  <c r="CY45" i="67"/>
  <c r="CY59" i="67" s="1"/>
  <c r="CY43" i="67"/>
  <c r="CY57" i="67" s="1"/>
  <c r="CY39" i="67"/>
  <c r="CY40" i="67"/>
  <c r="CY38" i="67"/>
  <c r="CY47" i="67"/>
  <c r="CY27" i="67"/>
  <c r="CZ23" i="67"/>
  <c r="CY18" i="67"/>
  <c r="CY20" i="67"/>
  <c r="CX63" i="67"/>
  <c r="CY28" i="67"/>
  <c r="DI33" i="93" a="1"/>
  <c r="DI38" i="94" a="1"/>
  <c r="DI36" i="93" a="1"/>
  <c r="DJ38" i="93" a="1"/>
  <c r="DJ32" i="93" a="1"/>
  <c r="L41" i="30"/>
  <c r="L38" i="30"/>
  <c r="DJ36" i="93" a="1"/>
  <c r="L40" i="30"/>
  <c r="L43" i="30"/>
  <c r="DI30" i="94" a="1"/>
  <c r="DI14" i="93" a="1"/>
  <c r="CZ31" i="67" a="1"/>
  <c r="DI21" i="94" a="1"/>
  <c r="DJ30" i="93" a="1"/>
  <c r="DI35" i="94" a="1"/>
  <c r="DI32" i="93" a="1"/>
  <c r="DI14" i="94" a="1"/>
  <c r="L36" i="30"/>
  <c r="DI13" i="94" a="1"/>
  <c r="DI20" i="93" a="1"/>
  <c r="DI30" i="93" a="1"/>
  <c r="DI32" i="94" a="1"/>
  <c r="DI18" i="94" a="1"/>
  <c r="DI35" i="93" a="1"/>
  <c r="DJ30" i="94" a="1"/>
  <c r="DJ35" i="93" a="1"/>
  <c r="DI21" i="93" a="1"/>
  <c r="CZ29" i="117" a="1"/>
  <c r="DJ38" i="94" a="1"/>
  <c r="CZ29" i="67" a="1"/>
  <c r="CZ31" i="119" a="1"/>
  <c r="L39" i="30"/>
  <c r="DJ36" i="94" a="1"/>
  <c r="DJ37" i="93" a="1"/>
  <c r="L37" i="30"/>
  <c r="L42" i="30"/>
  <c r="DI15" i="94" a="1"/>
  <c r="DI16" i="94" a="1"/>
  <c r="DI36" i="94" a="1"/>
  <c r="DI16" i="93" a="1"/>
  <c r="DI37" i="94" a="1"/>
  <c r="DI33" i="94" a="1"/>
  <c r="DI13" i="93" a="1"/>
  <c r="CZ31" i="117" a="1"/>
  <c r="DI38" i="93" a="1"/>
  <c r="DJ31" i="93" a="1"/>
  <c r="DI31" i="93" a="1"/>
  <c r="DI15" i="93" a="1"/>
  <c r="DJ31" i="94" a="1"/>
  <c r="DJ32" i="94" a="1"/>
  <c r="DJ33" i="94" a="1"/>
  <c r="CZ29" i="119" a="1"/>
  <c r="DI31" i="94" a="1"/>
  <c r="DI19" i="94" a="1"/>
  <c r="DB33" i="119" a="1"/>
  <c r="DB62" i="119" l="1"/>
  <c r="DB62" i="118"/>
  <c r="DB62" i="117"/>
  <c r="AI344" i="125"/>
  <c r="AI316" i="125"/>
  <c r="AJ316" i="125"/>
  <c r="AI237" i="125"/>
  <c r="AJ237" i="125"/>
  <c r="AI239" i="125"/>
  <c r="AJ239" i="125"/>
  <c r="AI318" i="125"/>
  <c r="AJ318" i="125"/>
  <c r="AI235" i="125"/>
  <c r="AJ235" i="125"/>
  <c r="AI241" i="125"/>
  <c r="AJ241" i="125"/>
  <c r="AI314" i="125"/>
  <c r="AJ314" i="125"/>
  <c r="AI320" i="125"/>
  <c r="AJ320" i="125"/>
  <c r="BX33" i="117"/>
  <c r="CZ29" i="117"/>
  <c r="CN30" i="117" s="1"/>
  <c r="CZ31" i="117"/>
  <c r="CM32" i="117" s="1"/>
  <c r="CZ65" i="117"/>
  <c r="DB65" i="117" s="1"/>
  <c r="DB33" i="119"/>
  <c r="BX33" i="119" s="1"/>
  <c r="CB66" i="118"/>
  <c r="CW66" i="118"/>
  <c r="CL66" i="118"/>
  <c r="CC66" i="118"/>
  <c r="CN66" i="118"/>
  <c r="CO66" i="118"/>
  <c r="CE66" i="118"/>
  <c r="CZ66" i="118"/>
  <c r="CM66" i="118"/>
  <c r="CG66" i="118"/>
  <c r="BZ66" i="118"/>
  <c r="CP66" i="118"/>
  <c r="CH66" i="118"/>
  <c r="CS66" i="118"/>
  <c r="CR66" i="118"/>
  <c r="CD66" i="118"/>
  <c r="CI66" i="118"/>
  <c r="CT66" i="118"/>
  <c r="CJ66" i="118"/>
  <c r="DB65" i="118"/>
  <c r="CY66" i="118"/>
  <c r="CV66" i="118"/>
  <c r="CA66" i="118"/>
  <c r="CQ66" i="118"/>
  <c r="CK66" i="118"/>
  <c r="CU66" i="118"/>
  <c r="CX66" i="118"/>
  <c r="CZ65" i="119"/>
  <c r="CZ29" i="119"/>
  <c r="CK30" i="119" s="1"/>
  <c r="CZ31" i="119"/>
  <c r="CS32" i="119" s="1"/>
  <c r="CZ31" i="67"/>
  <c r="CZ29" i="67"/>
  <c r="CC32" i="118"/>
  <c r="CM32" i="118"/>
  <c r="CD32" i="118"/>
  <c r="CE32" i="118"/>
  <c r="CG32" i="118"/>
  <c r="CO32" i="118"/>
  <c r="CB32" i="118"/>
  <c r="CU32" i="118"/>
  <c r="CY32" i="118"/>
  <c r="CP32" i="118"/>
  <c r="CS32" i="118"/>
  <c r="BZ32" i="118"/>
  <c r="CN32" i="118"/>
  <c r="CK32" i="118"/>
  <c r="CA32" i="118"/>
  <c r="CJ32" i="118"/>
  <c r="CL32" i="118"/>
  <c r="CR32" i="118"/>
  <c r="CW32" i="118"/>
  <c r="CZ32" i="118"/>
  <c r="CQ32" i="118"/>
  <c r="CV32" i="118"/>
  <c r="CH32" i="118"/>
  <c r="CX32" i="118"/>
  <c r="CI32" i="118"/>
  <c r="CT32" i="118"/>
  <c r="CF32" i="118"/>
  <c r="CZ63" i="118"/>
  <c r="DB63" i="118" s="1"/>
  <c r="CB30" i="118"/>
  <c r="CO30" i="118"/>
  <c r="CA30" i="118"/>
  <c r="CF30" i="118"/>
  <c r="BZ30" i="118"/>
  <c r="CM30" i="118"/>
  <c r="CP30" i="118"/>
  <c r="CR30" i="118"/>
  <c r="CN30" i="118"/>
  <c r="CH30" i="118"/>
  <c r="CU30" i="118"/>
  <c r="CJ30" i="118"/>
  <c r="CL30" i="118"/>
  <c r="CW30" i="118"/>
  <c r="CK30" i="118"/>
  <c r="CC30" i="118"/>
  <c r="CT30" i="118"/>
  <c r="CV30" i="118"/>
  <c r="CZ30" i="118"/>
  <c r="CD30" i="118"/>
  <c r="CG30" i="118"/>
  <c r="CE30" i="118"/>
  <c r="CX30" i="118"/>
  <c r="CY30" i="118"/>
  <c r="CS30" i="118"/>
  <c r="CI30" i="118"/>
  <c r="CQ30" i="118"/>
  <c r="CY65" i="67"/>
  <c r="CY61" i="67"/>
  <c r="CY48" i="67"/>
  <c r="CY62" i="67" s="1"/>
  <c r="CZ28" i="67"/>
  <c r="DI37" i="93"/>
  <c r="DJ30" i="93"/>
  <c r="DJ31" i="93"/>
  <c r="DI21" i="93"/>
  <c r="DJ36" i="94"/>
  <c r="DI18" i="94"/>
  <c r="DI20" i="93"/>
  <c r="DI16" i="93"/>
  <c r="DI13" i="94"/>
  <c r="DJ31" i="94"/>
  <c r="DI31" i="94"/>
  <c r="DI38" i="94"/>
  <c r="DI35" i="93"/>
  <c r="DI30" i="93"/>
  <c r="DI13" i="93"/>
  <c r="DI32" i="94"/>
  <c r="DI33" i="93"/>
  <c r="DI37" i="94"/>
  <c r="DJ36" i="93"/>
  <c r="DJ33" i="94"/>
  <c r="DI38" i="93"/>
  <c r="DJ35" i="93"/>
  <c r="DJ37" i="93"/>
  <c r="DJ37" i="94"/>
  <c r="DI21" i="94"/>
  <c r="DI16" i="94"/>
  <c r="DI30" i="94"/>
  <c r="DI14" i="94"/>
  <c r="DI32" i="93"/>
  <c r="DI15" i="94"/>
  <c r="DJ33" i="93"/>
  <c r="DI20" i="94"/>
  <c r="DI18" i="93"/>
  <c r="DJ32" i="93"/>
  <c r="DJ30" i="94"/>
  <c r="DI36" i="93"/>
  <c r="DI33" i="94"/>
  <c r="DJ38" i="94"/>
  <c r="DI31" i="93"/>
  <c r="DJ32" i="94"/>
  <c r="DI36" i="94"/>
  <c r="DJ38" i="93"/>
  <c r="DJ35" i="94"/>
  <c r="DI35" i="94"/>
  <c r="DI19" i="93"/>
  <c r="DI15" i="93"/>
  <c r="DI14" i="93"/>
  <c r="DI19" i="94"/>
  <c r="CZ40" i="67" a="1"/>
  <c r="CZ39" i="67" a="1"/>
  <c r="C6" i="30" a="1"/>
  <c r="CZ47" i="67" a="1"/>
  <c r="CZ41" i="67" a="1"/>
  <c r="CZ49" i="67" a="1"/>
  <c r="CZ18" i="67" a="1"/>
  <c r="CZ44" i="67" a="1"/>
  <c r="CZ20" i="67" a="1"/>
  <c r="CZ43" i="67" a="1"/>
  <c r="CZ37" i="67" a="1"/>
  <c r="CZ46" i="67" a="1"/>
  <c r="CZ19" i="67" a="1"/>
  <c r="CZ45" i="67" a="1"/>
  <c r="CZ51" i="67" a="1"/>
  <c r="CZ38" i="67" a="1"/>
  <c r="CZ27" i="67" a="1"/>
  <c r="C6" i="30" l="1"/>
  <c r="CC30" i="117"/>
  <c r="CZ63" i="117"/>
  <c r="DB63" i="117" s="1"/>
  <c r="CS30" i="117"/>
  <c r="CX30" i="117"/>
  <c r="CV30" i="117"/>
  <c r="CA30" i="117"/>
  <c r="CI30" i="117"/>
  <c r="CR30" i="117"/>
  <c r="CM30" i="117"/>
  <c r="BZ30" i="117"/>
  <c r="CF30" i="117"/>
  <c r="CJ32" i="117"/>
  <c r="CU30" i="117"/>
  <c r="CY30" i="117"/>
  <c r="CO66" i="117"/>
  <c r="CA66" i="117"/>
  <c r="CU66" i="117"/>
  <c r="CR32" i="117"/>
  <c r="CN66" i="117"/>
  <c r="CD30" i="117"/>
  <c r="CK32" i="117"/>
  <c r="CZ66" i="117"/>
  <c r="CP66" i="117"/>
  <c r="CD32" i="117"/>
  <c r="CE32" i="117"/>
  <c r="CB32" i="117"/>
  <c r="CL32" i="117"/>
  <c r="CT66" i="117"/>
  <c r="CX32" i="117"/>
  <c r="CN32" i="117"/>
  <c r="CJ66" i="117"/>
  <c r="CW32" i="117"/>
  <c r="CY32" i="117"/>
  <c r="CQ66" i="117"/>
  <c r="CW30" i="117"/>
  <c r="CG30" i="117"/>
  <c r="CQ32" i="117"/>
  <c r="CV32" i="117"/>
  <c r="CT32" i="117"/>
  <c r="CL30" i="117"/>
  <c r="CB30" i="117"/>
  <c r="CH32" i="117"/>
  <c r="CA32" i="117"/>
  <c r="CI32" i="117"/>
  <c r="CC66" i="117"/>
  <c r="CH30" i="117"/>
  <c r="CJ30" i="117"/>
  <c r="CP30" i="117"/>
  <c r="BZ32" i="117"/>
  <c r="CF32" i="117"/>
  <c r="CS66" i="117"/>
  <c r="CT30" i="117"/>
  <c r="CQ30" i="117"/>
  <c r="CE30" i="117"/>
  <c r="CZ30" i="117"/>
  <c r="CI66" i="117"/>
  <c r="CK30" i="117"/>
  <c r="CO30" i="117"/>
  <c r="CY66" i="117"/>
  <c r="CV66" i="117"/>
  <c r="CZ32" i="117"/>
  <c r="CU32" i="117"/>
  <c r="CG32" i="117"/>
  <c r="CP32" i="117"/>
  <c r="CC32" i="117"/>
  <c r="CO32" i="117"/>
  <c r="CS32" i="117"/>
  <c r="CB66" i="117"/>
  <c r="CL66" i="117"/>
  <c r="CF66" i="117"/>
  <c r="CW66" i="117"/>
  <c r="BZ66" i="117"/>
  <c r="CR66" i="117"/>
  <c r="CD66" i="117"/>
  <c r="CK66" i="117"/>
  <c r="CE66" i="117"/>
  <c r="CG66" i="117"/>
  <c r="CH66" i="117"/>
  <c r="CM66" i="117"/>
  <c r="CX66" i="117"/>
  <c r="CN66" i="119"/>
  <c r="DB65" i="119"/>
  <c r="CK66" i="119"/>
  <c r="CW66" i="119"/>
  <c r="CJ66" i="119"/>
  <c r="CR66" i="119"/>
  <c r="CT66" i="119"/>
  <c r="CX66" i="119"/>
  <c r="CZ66" i="119"/>
  <c r="CG66" i="119"/>
  <c r="CF66" i="119"/>
  <c r="BZ66" i="119"/>
  <c r="CA66" i="119"/>
  <c r="CV66" i="119"/>
  <c r="CQ66" i="119"/>
  <c r="CM66" i="119"/>
  <c r="CS66" i="119"/>
  <c r="CI66" i="119"/>
  <c r="CY66" i="119"/>
  <c r="CP66" i="119"/>
  <c r="CL66" i="119"/>
  <c r="CB66" i="119"/>
  <c r="CH66" i="119"/>
  <c r="CD66" i="119"/>
  <c r="CU66" i="119"/>
  <c r="CC66" i="119"/>
  <c r="CO66" i="119"/>
  <c r="CE66" i="119"/>
  <c r="CV30" i="119"/>
  <c r="CC30" i="119"/>
  <c r="CO30" i="119"/>
  <c r="CB30" i="119"/>
  <c r="CD30" i="119"/>
  <c r="CX32" i="119"/>
  <c r="CJ30" i="119"/>
  <c r="CQ32" i="119"/>
  <c r="BZ30" i="119"/>
  <c r="CN32" i="119"/>
  <c r="CD32" i="119"/>
  <c r="CB32" i="119"/>
  <c r="CI32" i="119"/>
  <c r="CP32" i="119"/>
  <c r="CA32" i="119"/>
  <c r="CM32" i="119"/>
  <c r="CU32" i="119"/>
  <c r="CV32" i="119"/>
  <c r="BZ32" i="119"/>
  <c r="CJ32" i="119"/>
  <c r="CZ32" i="119"/>
  <c r="CR32" i="119"/>
  <c r="CC32" i="119"/>
  <c r="CF32" i="119"/>
  <c r="CH32" i="119"/>
  <c r="CO32" i="119"/>
  <c r="CT32" i="119"/>
  <c r="CK32" i="119"/>
  <c r="CW32" i="119"/>
  <c r="CL32" i="119"/>
  <c r="CE32" i="119"/>
  <c r="CY32" i="119"/>
  <c r="CG32" i="119"/>
  <c r="CR30" i="119"/>
  <c r="CS30" i="119"/>
  <c r="CW30" i="119"/>
  <c r="CI30" i="119"/>
  <c r="CL30" i="119"/>
  <c r="CA30" i="119"/>
  <c r="CM30" i="119"/>
  <c r="CQ30" i="119"/>
  <c r="CF30" i="119"/>
  <c r="CU30" i="119"/>
  <c r="CE30" i="119"/>
  <c r="CZ63" i="119"/>
  <c r="CN30" i="119"/>
  <c r="CT30" i="119"/>
  <c r="CH30" i="119"/>
  <c r="CZ30" i="119"/>
  <c r="CX30" i="119"/>
  <c r="CP30" i="119"/>
  <c r="CG30" i="119"/>
  <c r="CY30" i="119"/>
  <c r="CZ51" i="67"/>
  <c r="CZ49" i="67"/>
  <c r="CN64" i="118"/>
  <c r="CU64" i="118"/>
  <c r="CA64" i="118"/>
  <c r="CC64" i="118"/>
  <c r="CX64" i="118"/>
  <c r="CS64" i="118"/>
  <c r="CV64" i="118"/>
  <c r="CR64" i="118"/>
  <c r="CT64" i="118"/>
  <c r="CE64" i="118"/>
  <c r="CH64" i="118"/>
  <c r="CI64" i="118"/>
  <c r="CQ64" i="118"/>
  <c r="CB64" i="118"/>
  <c r="CP64" i="118"/>
  <c r="CJ64" i="118"/>
  <c r="CK64" i="118"/>
  <c r="CL64" i="118"/>
  <c r="CD64" i="118"/>
  <c r="CZ64" i="118"/>
  <c r="CM64" i="118"/>
  <c r="CY64" i="118"/>
  <c r="CW64" i="118"/>
  <c r="CG64" i="118"/>
  <c r="CO64" i="118"/>
  <c r="CF64" i="118"/>
  <c r="BZ64" i="118"/>
  <c r="CZ44" i="67"/>
  <c r="CZ58" i="67" s="1"/>
  <c r="DB58" i="67" s="1"/>
  <c r="CY63" i="67"/>
  <c r="CZ46" i="67"/>
  <c r="CZ60" i="67" s="1"/>
  <c r="DB60" i="67" s="1"/>
  <c r="CZ41" i="67"/>
  <c r="CZ37" i="67"/>
  <c r="DB37" i="67" s="1"/>
  <c r="CZ43" i="67"/>
  <c r="CZ57" i="67" s="1"/>
  <c r="CZ45" i="67"/>
  <c r="CZ59" i="67" s="1"/>
  <c r="DB59" i="67" s="1"/>
  <c r="CZ39" i="67"/>
  <c r="DB39" i="67" s="1"/>
  <c r="CZ40" i="67"/>
  <c r="DB40" i="67" s="1"/>
  <c r="CZ47" i="67"/>
  <c r="CZ38" i="67"/>
  <c r="CZ27" i="67"/>
  <c r="CZ18" i="67"/>
  <c r="DB18" i="67" s="1"/>
  <c r="CZ20" i="67"/>
  <c r="DB20" i="67" s="1"/>
  <c r="CZ19" i="67"/>
  <c r="DB19" i="67" s="1"/>
  <c r="CJ64" i="117" l="1"/>
  <c r="CX64" i="117"/>
  <c r="BZ64" i="117"/>
  <c r="CN64" i="117"/>
  <c r="CT64" i="117"/>
  <c r="CE64" i="117"/>
  <c r="CY64" i="117"/>
  <c r="CI64" i="117"/>
  <c r="CB64" i="117"/>
  <c r="CW64" i="117"/>
  <c r="CD64" i="117"/>
  <c r="CR64" i="117"/>
  <c r="CH64" i="117"/>
  <c r="CG64" i="117"/>
  <c r="CZ64" i="117"/>
  <c r="CM64" i="117"/>
  <c r="CS64" i="117"/>
  <c r="CU64" i="117"/>
  <c r="CF64" i="117"/>
  <c r="CA64" i="117"/>
  <c r="CV64" i="117"/>
  <c r="CQ64" i="117"/>
  <c r="CL64" i="117"/>
  <c r="CC64" i="117"/>
  <c r="CP64" i="117"/>
  <c r="CK64" i="117"/>
  <c r="CO64" i="117"/>
  <c r="DB64" i="118"/>
  <c r="CP64" i="119"/>
  <c r="DB63" i="119"/>
  <c r="CM64" i="119"/>
  <c r="CW64" i="119"/>
  <c r="CS64" i="119"/>
  <c r="CK64" i="119"/>
  <c r="CE64" i="119"/>
  <c r="CV64" i="119"/>
  <c r="BZ64" i="119"/>
  <c r="CX64" i="119"/>
  <c r="CZ64" i="119"/>
  <c r="CT64" i="119"/>
  <c r="CQ64" i="119"/>
  <c r="CC64" i="119"/>
  <c r="CH64" i="119"/>
  <c r="CJ64" i="119"/>
  <c r="CD64" i="119"/>
  <c r="CA64" i="119"/>
  <c r="CG64" i="119"/>
  <c r="CO64" i="119"/>
  <c r="CN64" i="119"/>
  <c r="CR64" i="119"/>
  <c r="CB64" i="119"/>
  <c r="CY64" i="119"/>
  <c r="CI64" i="119"/>
  <c r="CL64" i="119"/>
  <c r="CF64" i="119"/>
  <c r="CU64" i="119"/>
  <c r="BZ50" i="67"/>
  <c r="CK50" i="67"/>
  <c r="CA50" i="67"/>
  <c r="CM50" i="67"/>
  <c r="CJ50" i="67"/>
  <c r="CF50" i="67"/>
  <c r="CC50" i="67"/>
  <c r="CT50" i="67"/>
  <c r="CV50" i="67"/>
  <c r="CZ50" i="67"/>
  <c r="CI50" i="67"/>
  <c r="CO50" i="67"/>
  <c r="CP50" i="67"/>
  <c r="CN50" i="67"/>
  <c r="CH50" i="67"/>
  <c r="CL50" i="67"/>
  <c r="CQ50" i="67"/>
  <c r="CD50" i="67"/>
  <c r="CG50" i="67"/>
  <c r="CB50" i="67"/>
  <c r="CU50" i="67"/>
  <c r="CW50" i="67"/>
  <c r="CX50" i="67"/>
  <c r="CE50" i="67"/>
  <c r="CR50" i="67"/>
  <c r="CY50" i="67"/>
  <c r="CS50" i="67"/>
  <c r="CC52" i="67"/>
  <c r="CM52" i="67"/>
  <c r="CD52" i="67"/>
  <c r="CJ52" i="67"/>
  <c r="CP52" i="67"/>
  <c r="CN52" i="67"/>
  <c r="BZ52" i="67"/>
  <c r="CK52" i="67"/>
  <c r="CA52" i="67"/>
  <c r="CT52" i="67"/>
  <c r="CS52" i="67"/>
  <c r="CR52" i="67"/>
  <c r="CX52" i="67"/>
  <c r="CV52" i="67"/>
  <c r="CU52" i="67"/>
  <c r="CG52" i="67"/>
  <c r="CE52" i="67"/>
  <c r="CL52" i="67"/>
  <c r="CF52" i="67"/>
  <c r="CB52" i="67"/>
  <c r="CY52" i="67"/>
  <c r="CZ52" i="67"/>
  <c r="CI52" i="67"/>
  <c r="CH52" i="67"/>
  <c r="CQ52" i="67"/>
  <c r="CO52" i="67"/>
  <c r="CW52" i="67"/>
  <c r="CZ65" i="67"/>
  <c r="CZ61" i="67"/>
  <c r="CZ48" i="67"/>
  <c r="CZ62" i="67" s="1"/>
  <c r="DH18" i="82" a="1"/>
  <c r="DH37" i="82" a="1"/>
  <c r="DH15" i="82" a="1"/>
  <c r="BZ21" i="67" a="1"/>
  <c r="DH13" i="82" a="1"/>
  <c r="DJ31" i="82" a="1"/>
  <c r="DI21" i="82" a="1"/>
  <c r="DG38" i="82" a="1"/>
  <c r="DI15" i="82" a="1"/>
  <c r="DH20" i="82" a="1"/>
  <c r="DJ36" i="82" a="1"/>
  <c r="DG36" i="82" a="1"/>
  <c r="L25" i="30"/>
  <c r="BZ41" i="67" a="1"/>
  <c r="DH38" i="82" a="1"/>
  <c r="L24" i="30"/>
  <c r="DH36" i="82" a="1"/>
  <c r="DH16" i="82" a="1"/>
  <c r="L27" i="30"/>
  <c r="L28" i="30"/>
  <c r="DJ38" i="82" a="1"/>
  <c r="DJ37" i="82" a="1"/>
  <c r="DI20" i="82" a="1"/>
  <c r="DJ32" i="82" a="1"/>
  <c r="L29" i="30"/>
  <c r="DJ33" i="82" a="1"/>
  <c r="L26" i="30"/>
  <c r="DG32" i="82" a="1"/>
  <c r="DI16" i="82" a="1"/>
  <c r="DH21" i="82" a="1"/>
  <c r="DH35" i="82" a="1"/>
  <c r="DB64" i="117" l="1"/>
  <c r="DB64" i="119"/>
  <c r="CZ63" i="67"/>
  <c r="DH13" i="82"/>
  <c r="DJ38" i="82"/>
  <c r="DH20" i="82"/>
  <c r="DJ33" i="82"/>
  <c r="DI15" i="82"/>
  <c r="DH35" i="82"/>
  <c r="DH16" i="82"/>
  <c r="BZ21" i="67"/>
  <c r="DB21" i="67" s="1"/>
  <c r="DH15" i="82"/>
  <c r="BZ41" i="67"/>
  <c r="DB41" i="67" s="1"/>
  <c r="DG38" i="82"/>
  <c r="DJ31" i="82"/>
  <c r="DH37" i="82"/>
  <c r="DH36" i="82"/>
  <c r="DJ32" i="82"/>
  <c r="DH38" i="82"/>
  <c r="DH21" i="82"/>
  <c r="DI20" i="82"/>
  <c r="DG36" i="82"/>
  <c r="DJ36" i="82"/>
  <c r="DI21" i="82"/>
  <c r="DH18" i="82"/>
  <c r="DJ37" i="82"/>
  <c r="DI16" i="82"/>
  <c r="DG32" i="82"/>
  <c r="DG9" i="95" a="1"/>
  <c r="DG9" i="94" a="1"/>
  <c r="DG8" i="95" a="1"/>
  <c r="DG10" i="94" a="1"/>
  <c r="DG11" i="94" a="1"/>
  <c r="DG11" i="95" a="1"/>
  <c r="DG10" i="95" a="1"/>
  <c r="DG8" i="94" a="1"/>
  <c r="DG11" i="95" l="1"/>
  <c r="DG9" i="95"/>
  <c r="DG10" i="95"/>
  <c r="DG44" i="95" s="1"/>
  <c r="DG8" i="95"/>
  <c r="DG42" i="95" s="1"/>
  <c r="DG10" i="94"/>
  <c r="DG11" i="94"/>
  <c r="DG9" i="94"/>
  <c r="DG8" i="94"/>
  <c r="DG19" i="95" a="1"/>
  <c r="DG19" i="94" a="1"/>
  <c r="DG15" i="94" a="1"/>
  <c r="DG21" i="95" a="1"/>
  <c r="DG8" i="93" a="1"/>
  <c r="DG18" i="95" a="1"/>
  <c r="DG13" i="94" a="1"/>
  <c r="DG18" i="94" a="1"/>
  <c r="DG13" i="95" a="1"/>
  <c r="DG16" i="94" a="1"/>
  <c r="DG20" i="94" a="1"/>
  <c r="DG21" i="94" a="1"/>
  <c r="DG15" i="95" a="1"/>
  <c r="DG20" i="95" a="1"/>
  <c r="DG14" i="95" a="1"/>
  <c r="DG16" i="95" a="1"/>
  <c r="DG14" i="94" a="1"/>
  <c r="CB32" i="67" l="1"/>
  <c r="CN32" i="67"/>
  <c r="CZ32" i="67"/>
  <c r="CF32" i="67"/>
  <c r="CR32" i="67"/>
  <c r="CL32" i="67"/>
  <c r="CC32" i="67"/>
  <c r="CQ32" i="67"/>
  <c r="CE32" i="67"/>
  <c r="CT32" i="67"/>
  <c r="CH32" i="67"/>
  <c r="CV32" i="67"/>
  <c r="CI32" i="67"/>
  <c r="CW32" i="67"/>
  <c r="CO32" i="67"/>
  <c r="CP32" i="67"/>
  <c r="CS32" i="67"/>
  <c r="CU32" i="67"/>
  <c r="CX32" i="67"/>
  <c r="CY32" i="67"/>
  <c r="CA32" i="67"/>
  <c r="CD32" i="67"/>
  <c r="CG32" i="67"/>
  <c r="CJ32" i="67"/>
  <c r="CK32" i="67"/>
  <c r="CM32" i="67"/>
  <c r="CF30" i="67"/>
  <c r="CR30" i="67"/>
  <c r="CJ30" i="67"/>
  <c r="CV30" i="67"/>
  <c r="CG30" i="67"/>
  <c r="CU30" i="67"/>
  <c r="CL30" i="67"/>
  <c r="CZ30" i="67"/>
  <c r="CM30" i="67"/>
  <c r="CN30" i="67"/>
  <c r="CB30" i="67"/>
  <c r="CP30" i="67"/>
  <c r="CC30" i="67"/>
  <c r="CQ30" i="67"/>
  <c r="CS30" i="67"/>
  <c r="CT30" i="67"/>
  <c r="CW30" i="67"/>
  <c r="CX30" i="67"/>
  <c r="CY30" i="67"/>
  <c r="CA30" i="67"/>
  <c r="CD30" i="67"/>
  <c r="CE30" i="67"/>
  <c r="CH30" i="67"/>
  <c r="CI30" i="67"/>
  <c r="CK30" i="67"/>
  <c r="CO30" i="67"/>
  <c r="DG21" i="95"/>
  <c r="DG19" i="95"/>
  <c r="DG18" i="95"/>
  <c r="DG20" i="95"/>
  <c r="DG16" i="95"/>
  <c r="DG14" i="95"/>
  <c r="DG15" i="95"/>
  <c r="DG13" i="95"/>
  <c r="DG43" i="95"/>
  <c r="DG48" i="95"/>
  <c r="DG47" i="95"/>
  <c r="DG50" i="95"/>
  <c r="DG45" i="95"/>
  <c r="DG49" i="95"/>
  <c r="DG13" i="94"/>
  <c r="DG19" i="94"/>
  <c r="DG20" i="94"/>
  <c r="DG18" i="94"/>
  <c r="DG16" i="94"/>
  <c r="DG14" i="94"/>
  <c r="DG15" i="94"/>
  <c r="DG21" i="94"/>
  <c r="DG48" i="94"/>
  <c r="DG43" i="94"/>
  <c r="DG45" i="94"/>
  <c r="DG50" i="94"/>
  <c r="DG47" i="94"/>
  <c r="DG42" i="94"/>
  <c r="DG44" i="94"/>
  <c r="DG49" i="94"/>
  <c r="DG8" i="93"/>
  <c r="DG19" i="82" a="1"/>
  <c r="DG19" i="93" a="1"/>
  <c r="DJ9" i="95" a="1"/>
  <c r="DJ11" i="94" a="1"/>
  <c r="DJ11" i="82" a="1"/>
  <c r="DJ11" i="95" a="1"/>
  <c r="DG20" i="93" a="1"/>
  <c r="DJ10" i="95" a="1"/>
  <c r="DG8" i="82" a="1"/>
  <c r="DJ8" i="95" a="1"/>
  <c r="DJ8" i="94" a="1"/>
  <c r="DG16" i="93" a="1"/>
  <c r="DG9" i="93" a="1"/>
  <c r="DJ10" i="94" a="1"/>
  <c r="DG14" i="93" a="1"/>
  <c r="DG9" i="82" a="1"/>
  <c r="DJ8" i="93" a="1"/>
  <c r="DJ9" i="93" a="1"/>
  <c r="DJ10" i="93" a="1"/>
  <c r="DG21" i="93" a="1"/>
  <c r="DG11" i="93" a="1"/>
  <c r="DJ9" i="94" a="1"/>
  <c r="DJ9" i="82" a="1"/>
  <c r="DJ10" i="82" a="1"/>
  <c r="DG14" i="82" a="1"/>
  <c r="DG10" i="93" a="1"/>
  <c r="DJ11" i="93" a="1"/>
  <c r="DJ8" i="82" a="1"/>
  <c r="DJ10" i="82" l="1"/>
  <c r="DJ44" i="82" s="1"/>
  <c r="DJ11" i="82"/>
  <c r="DJ45" i="82" s="1"/>
  <c r="DJ8" i="82"/>
  <c r="DJ42" i="82" s="1"/>
  <c r="DJ9" i="82"/>
  <c r="DJ43" i="82" s="1"/>
  <c r="DJ10" i="93"/>
  <c r="DJ9" i="93"/>
  <c r="DJ8" i="93"/>
  <c r="DJ11" i="93"/>
  <c r="DJ10" i="94"/>
  <c r="DJ9" i="95"/>
  <c r="DJ9" i="94"/>
  <c r="DJ11" i="94"/>
  <c r="DJ11" i="95"/>
  <c r="DJ8" i="95"/>
  <c r="DJ10" i="95"/>
  <c r="DJ8" i="94"/>
  <c r="DG16" i="93"/>
  <c r="DG14" i="93"/>
  <c r="DG19" i="93"/>
  <c r="DG20" i="93"/>
  <c r="DG11" i="93"/>
  <c r="DG9" i="93"/>
  <c r="DG21" i="93"/>
  <c r="DG10" i="93"/>
  <c r="DG47" i="93"/>
  <c r="DG42" i="93"/>
  <c r="DG14" i="82"/>
  <c r="DG19" i="82"/>
  <c r="DG8" i="82"/>
  <c r="DG9" i="82"/>
  <c r="H71" i="30"/>
  <c r="DJ18" i="94" a="1"/>
  <c r="H70" i="30"/>
  <c r="DJ21" i="82" a="1"/>
  <c r="DJ19" i="94" a="1"/>
  <c r="DG15" i="93" a="1"/>
  <c r="DJ13" i="94" a="1"/>
  <c r="DJ21" i="95" a="1"/>
  <c r="H41" i="30"/>
  <c r="H68" i="30"/>
  <c r="DJ18" i="93" a="1"/>
  <c r="H51" i="30"/>
  <c r="DJ16" i="93" a="1"/>
  <c r="DJ13" i="95" a="1"/>
  <c r="DJ20" i="94" a="1"/>
  <c r="DJ14" i="93" a="1"/>
  <c r="DJ20" i="95" a="1"/>
  <c r="DG11" i="82" a="1"/>
  <c r="DJ15" i="93" a="1"/>
  <c r="DJ13" i="93" a="1"/>
  <c r="H69" i="30"/>
  <c r="H56" i="30"/>
  <c r="DJ13" i="82" a="1"/>
  <c r="DJ16" i="94" a="1"/>
  <c r="DJ19" i="93" a="1"/>
  <c r="DJ16" i="95" a="1"/>
  <c r="H37" i="30"/>
  <c r="DJ19" i="82" a="1"/>
  <c r="DJ20" i="93" a="1"/>
  <c r="DJ15" i="82" a="1"/>
  <c r="H50" i="30"/>
  <c r="DJ18" i="82" a="1"/>
  <c r="DJ14" i="82" a="1"/>
  <c r="DG18" i="93" a="1"/>
  <c r="H40" i="30"/>
  <c r="DJ15" i="95" a="1"/>
  <c r="DJ16" i="82" a="1"/>
  <c r="H43" i="30"/>
  <c r="H39" i="30"/>
  <c r="DJ21" i="94" a="1"/>
  <c r="DJ15" i="94" a="1"/>
  <c r="H38" i="30"/>
  <c r="DJ21" i="93" a="1"/>
  <c r="DJ20" i="82" a="1"/>
  <c r="DJ19" i="95" a="1"/>
  <c r="DJ18" i="95" a="1"/>
  <c r="H52" i="30"/>
  <c r="DG13" i="82" a="1"/>
  <c r="DJ14" i="94" a="1"/>
  <c r="DJ14" i="95" a="1"/>
  <c r="H57" i="30"/>
  <c r="DG13" i="93" a="1"/>
  <c r="H55" i="30"/>
  <c r="DG18" i="82" a="1"/>
  <c r="H64" i="30"/>
  <c r="H65" i="30"/>
  <c r="H54" i="30"/>
  <c r="H66" i="30"/>
  <c r="H42" i="30"/>
  <c r="DJ50" i="82" l="1"/>
  <c r="DJ49" i="82"/>
  <c r="DJ47" i="82"/>
  <c r="DE57" i="82" s="1"/>
  <c r="DJ48" i="82"/>
  <c r="DJ18" i="82"/>
  <c r="DJ20" i="82"/>
  <c r="DJ14" i="82"/>
  <c r="DJ15" i="82"/>
  <c r="DJ16" i="82"/>
  <c r="DJ19" i="82"/>
  <c r="DJ13" i="82"/>
  <c r="DJ21" i="82"/>
  <c r="DJ13" i="93"/>
  <c r="DJ14" i="93"/>
  <c r="DJ19" i="93"/>
  <c r="DJ16" i="93"/>
  <c r="DJ20" i="93"/>
  <c r="DJ21" i="93"/>
  <c r="DJ15" i="93"/>
  <c r="DJ18" i="93"/>
  <c r="DJ50" i="93"/>
  <c r="DJ45" i="93"/>
  <c r="DJ47" i="93"/>
  <c r="DE57" i="93" s="1"/>
  <c r="DJ42" i="93"/>
  <c r="DJ48" i="93"/>
  <c r="DJ43" i="93"/>
  <c r="DJ49" i="93"/>
  <c r="DJ44" i="93"/>
  <c r="DJ16" i="95"/>
  <c r="DJ15" i="94"/>
  <c r="DJ18" i="95"/>
  <c r="DJ15" i="95"/>
  <c r="DJ13" i="94"/>
  <c r="DJ14" i="94"/>
  <c r="DJ19" i="95"/>
  <c r="DJ21" i="95"/>
  <c r="DJ19" i="94"/>
  <c r="DJ14" i="95"/>
  <c r="DJ13" i="95"/>
  <c r="DJ20" i="94"/>
  <c r="DJ21" i="94"/>
  <c r="DJ18" i="94"/>
  <c r="DJ16" i="94"/>
  <c r="DJ20" i="95"/>
  <c r="DJ42" i="94"/>
  <c r="DJ47" i="94"/>
  <c r="DE57" i="94" s="1"/>
  <c r="DJ49" i="95"/>
  <c r="DJ44" i="95"/>
  <c r="DJ42" i="95"/>
  <c r="DJ47" i="95"/>
  <c r="DE57" i="95" s="1"/>
  <c r="DJ45" i="95"/>
  <c r="DJ50" i="95"/>
  <c r="DJ45" i="94"/>
  <c r="DJ50" i="94"/>
  <c r="DJ43" i="94"/>
  <c r="DJ48" i="94"/>
  <c r="DJ43" i="95"/>
  <c r="DJ48" i="95"/>
  <c r="DJ44" i="94"/>
  <c r="DJ49" i="94"/>
  <c r="DG15" i="93"/>
  <c r="DG18" i="93"/>
  <c r="DG13" i="93"/>
  <c r="DG44" i="93"/>
  <c r="DG49" i="93"/>
  <c r="DG48" i="93"/>
  <c r="DG43" i="93"/>
  <c r="DG45" i="93"/>
  <c r="DG50" i="93"/>
  <c r="DG42" i="82"/>
  <c r="DG43" i="82"/>
  <c r="DG47" i="82"/>
  <c r="DG48" i="82"/>
  <c r="DG11" i="82"/>
  <c r="DG18" i="82"/>
  <c r="DG13" i="82"/>
  <c r="H67" i="30"/>
  <c r="DG16" i="82" a="1"/>
  <c r="DG21" i="82" a="1"/>
  <c r="H36" i="30"/>
  <c r="H53" i="30"/>
  <c r="DG45" i="82" l="1"/>
  <c r="DG50" i="82"/>
  <c r="DG21" i="82"/>
  <c r="DG16" i="82"/>
  <c r="BZ28" i="67" l="1"/>
  <c r="E25" i="30"/>
  <c r="H26" i="30"/>
  <c r="E20" i="30"/>
  <c r="H29" i="30"/>
  <c r="L33" i="30"/>
  <c r="I47" i="30"/>
  <c r="K62" i="30"/>
  <c r="H61" i="30"/>
  <c r="H22" i="30"/>
  <c r="E24" i="30"/>
  <c r="H27" i="30"/>
  <c r="H48" i="30"/>
  <c r="L48" i="30"/>
  <c r="E23" i="30"/>
  <c r="E33" i="30"/>
  <c r="BZ43" i="67" a="1"/>
  <c r="H25" i="30"/>
  <c r="I34" i="30"/>
  <c r="H19" i="30"/>
  <c r="I33" i="30"/>
  <c r="H28" i="30"/>
  <c r="I62" i="30"/>
  <c r="L61" i="30"/>
  <c r="L34" i="30"/>
  <c r="H62" i="30"/>
  <c r="E62" i="30"/>
  <c r="L47" i="30"/>
  <c r="E28" i="30"/>
  <c r="H47" i="30"/>
  <c r="I48" i="30"/>
  <c r="E34" i="30"/>
  <c r="E47" i="30"/>
  <c r="H20" i="30"/>
  <c r="H33" i="30"/>
  <c r="L62" i="30"/>
  <c r="H34" i="30"/>
  <c r="E48" i="30"/>
  <c r="E19" i="30"/>
  <c r="H23" i="30"/>
  <c r="I61" i="30"/>
  <c r="K61" i="30"/>
  <c r="E61" i="30"/>
  <c r="E22" i="30"/>
  <c r="H24" i="30"/>
  <c r="BZ47" i="67" a="1"/>
  <c r="E29" i="30"/>
  <c r="BZ38" i="67" a="1"/>
  <c r="BZ38" i="67" l="1"/>
  <c r="DB38" i="67" s="1"/>
  <c r="BZ47" i="67"/>
  <c r="BZ61" i="67" s="1"/>
  <c r="DB61" i="67" s="1"/>
  <c r="BZ43" i="67"/>
  <c r="DB66" i="67" l="1"/>
  <c r="BX67" i="67" s="1"/>
  <c r="BZ57" i="67"/>
  <c r="DB57" i="67" s="1"/>
  <c r="BZ65" i="67"/>
  <c r="BZ66" i="67" s="1"/>
  <c r="BZ48" i="67"/>
  <c r="BZ62" i="67" s="1"/>
  <c r="DB62" i="67" s="1"/>
  <c r="DB65" i="67" l="1"/>
  <c r="CN66" i="67"/>
  <c r="CP66" i="67"/>
  <c r="CA66" i="67"/>
  <c r="CH66" i="67"/>
  <c r="CU66" i="67"/>
  <c r="CT66" i="67"/>
  <c r="CS66" i="67"/>
  <c r="CJ66" i="67"/>
  <c r="CQ66" i="67"/>
  <c r="CE66" i="67"/>
  <c r="CG66" i="67"/>
  <c r="CB66" i="67"/>
  <c r="CI66" i="67"/>
  <c r="CL66" i="67"/>
  <c r="CO66" i="67"/>
  <c r="CM66" i="67"/>
  <c r="CD66" i="67"/>
  <c r="CW66" i="67"/>
  <c r="CY66" i="67"/>
  <c r="CK66" i="67"/>
  <c r="CX66" i="67"/>
  <c r="CV66" i="67"/>
  <c r="CF66" i="67"/>
  <c r="CC66" i="67"/>
  <c r="CZ66" i="67"/>
  <c r="CR66" i="67"/>
  <c r="BZ63" i="67"/>
  <c r="DB63" i="67" s="1"/>
  <c r="BZ32" i="67"/>
  <c r="BZ30" i="67"/>
  <c r="CI64" i="67" l="1"/>
  <c r="CU64" i="67"/>
  <c r="CB64" i="67"/>
  <c r="CN64" i="67"/>
  <c r="CZ64" i="67"/>
  <c r="CC64" i="67"/>
  <c r="CO64" i="67"/>
  <c r="CD64" i="67"/>
  <c r="CP64" i="67"/>
  <c r="CF64" i="67"/>
  <c r="CR64" i="67"/>
  <c r="CG64" i="67"/>
  <c r="CS64" i="67"/>
  <c r="CW64" i="67"/>
  <c r="CX64" i="67"/>
  <c r="CA64" i="67"/>
  <c r="CY64" i="67"/>
  <c r="CE64" i="67"/>
  <c r="CH64" i="67"/>
  <c r="CQ64" i="67"/>
  <c r="CT64" i="67"/>
  <c r="CJ64" i="67"/>
  <c r="CK64" i="67"/>
  <c r="CL64" i="67"/>
  <c r="CM64" i="67"/>
  <c r="CV64" i="67"/>
  <c r="BZ64" i="67"/>
  <c r="DB64" i="67" l="1"/>
  <c r="DG10" i="82" a="1"/>
  <c r="E26" i="30"/>
  <c r="DG10" i="82" l="1"/>
  <c r="DG15" i="82" a="1"/>
  <c r="E27" i="30"/>
  <c r="DG20" i="82" a="1"/>
  <c r="DG44" i="82" l="1"/>
  <c r="DG49" i="82"/>
  <c r="DG15" i="82"/>
  <c r="DG20" i="82"/>
  <c r="I27" i="30"/>
  <c r="I26"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<sst xmlns="http://schemas.openxmlformats.org/spreadsheetml/2006/main" count="7805" uniqueCount="426">
  <si>
    <t>Scenarios</t>
  </si>
  <si>
    <t>Alternative EE</t>
  </si>
  <si>
    <t>Years</t>
  </si>
  <si>
    <t>Customers</t>
  </si>
  <si>
    <t>Sales</t>
  </si>
  <si>
    <t>Lookups and Assumptions</t>
  </si>
  <si>
    <t>GENERAL INPUTS</t>
  </si>
  <si>
    <t>Fuel</t>
  </si>
  <si>
    <t>Electric</t>
  </si>
  <si>
    <t>Period</t>
  </si>
  <si>
    <t>Planned</t>
  </si>
  <si>
    <t>Year 1</t>
  </si>
  <si>
    <t>Year 2</t>
  </si>
  <si>
    <t>Year 3</t>
  </si>
  <si>
    <t>Input</t>
  </si>
  <si>
    <t>Year</t>
  </si>
  <si>
    <t>%</t>
  </si>
  <si>
    <t xml:space="preserve"> </t>
  </si>
  <si>
    <t>Liberty</t>
  </si>
  <si>
    <t>REFERENCED LISTS</t>
  </si>
  <si>
    <t>Residential</t>
  </si>
  <si>
    <t>Low-Income</t>
  </si>
  <si>
    <t>Home Energy Assistance</t>
  </si>
  <si>
    <t>Small Business Energy Solutions</t>
  </si>
  <si>
    <t>Avoided Costs</t>
  </si>
  <si>
    <t>Lookups</t>
  </si>
  <si>
    <t>Distribution</t>
  </si>
  <si>
    <t>Rate Class</t>
  </si>
  <si>
    <t>Notes</t>
  </si>
  <si>
    <t>Rate Class Data</t>
  </si>
  <si>
    <t>Rates</t>
  </si>
  <si>
    <t>$/month</t>
  </si>
  <si>
    <t>$</t>
  </si>
  <si>
    <t>Customer or Meter Charge</t>
  </si>
  <si>
    <t>Costs</t>
  </si>
  <si>
    <t>Sources</t>
  </si>
  <si>
    <t>Rate and Bill Calculations</t>
  </si>
  <si>
    <t>Scenario</t>
  </si>
  <si>
    <t>Program Year</t>
  </si>
  <si>
    <t>Supporting Calculations</t>
  </si>
  <si>
    <t>Average Measure Life</t>
  </si>
  <si>
    <t>Proposed EE</t>
  </si>
  <si>
    <t>Small C&amp;I</t>
  </si>
  <si>
    <t>Large C&amp;I</t>
  </si>
  <si>
    <t>Annual Growth Rate</t>
  </si>
  <si>
    <t>Gas</t>
  </si>
  <si>
    <t>Current Rates</t>
  </si>
  <si>
    <t>Third Block</t>
  </si>
  <si>
    <t>Accounts</t>
  </si>
  <si>
    <t>Second Block Maximum</t>
  </si>
  <si>
    <t>First Block Maximum</t>
  </si>
  <si>
    <t>Bills</t>
  </si>
  <si>
    <t>Rate Classes</t>
  </si>
  <si>
    <t>Distribution Fuels</t>
  </si>
  <si>
    <t>Utilities</t>
  </si>
  <si>
    <t>Equivalent Rate Class</t>
  </si>
  <si>
    <t>Program(s) represented</t>
  </si>
  <si>
    <t>Utility Costs</t>
  </si>
  <si>
    <t>All Res except HEA</t>
  </si>
  <si>
    <t>All C&amp;I except SmallBusiness</t>
  </si>
  <si>
    <t>Programs</t>
  </si>
  <si>
    <t>Annual Rate Change</t>
  </si>
  <si>
    <t>All C&amp;I except Small Business</t>
  </si>
  <si>
    <t>All savings should be retail level savings (as opposed to generation level or source level savings).</t>
  </si>
  <si>
    <t>File name: LU - Customer and Sales by Rate Class ENN_GSE Cust_Vol 2018</t>
  </si>
  <si>
    <t>20% increase over proposed EE case.</t>
  </si>
  <si>
    <t>Description</t>
  </si>
  <si>
    <t>EE Inputs</t>
  </si>
  <si>
    <t>R&amp;B Inputs</t>
  </si>
  <si>
    <t>Lost Revenue</t>
  </si>
  <si>
    <t>Program Years</t>
  </si>
  <si>
    <t>No EE</t>
  </si>
  <si>
    <t>Change in Rates</t>
  </si>
  <si>
    <t>Program Year(s)</t>
  </si>
  <si>
    <t>Data for Figures</t>
  </si>
  <si>
    <t>Customer Charge</t>
  </si>
  <si>
    <t>TOTAL</t>
  </si>
  <si>
    <t>Monthly Bill</t>
  </si>
  <si>
    <t>Average Customer</t>
  </si>
  <si>
    <t>Rate Results</t>
  </si>
  <si>
    <t>Non-Participant</t>
  </si>
  <si>
    <t>Annual Energy Savings</t>
  </si>
  <si>
    <t>Lifetime Energy Savings</t>
  </si>
  <si>
    <t>How to use the model</t>
  </si>
  <si>
    <t>Workbook Organization</t>
  </si>
  <si>
    <t>Tab Name</t>
  </si>
  <si>
    <t>Rate Outputs</t>
  </si>
  <si>
    <t>Bill Outputs</t>
  </si>
  <si>
    <t>Calculation Notes</t>
  </si>
  <si>
    <t>Customers from the R&amp;B Inputs tab, escalated annually by the growth rate included on the R&amp;B Inputs tab.</t>
  </si>
  <si>
    <t>Measure life from the EE Inputs tab, calculated to extend only as far as the number of years.</t>
  </si>
  <si>
    <t>Rate class sales from the R&amp;B Inputs tab, escalated annually by the growth rate included on the R&amp;B Inputs tab.</t>
  </si>
  <si>
    <t>Annual energy savings from the EE inputs tab, extending only as far as the average measure life.</t>
  </si>
  <si>
    <t>No EE Scenario sales less annual savings from scenario.</t>
  </si>
  <si>
    <t>Sum of No EE Scenario energy charges.</t>
  </si>
  <si>
    <t>Customer</t>
  </si>
  <si>
    <t>Usage from the R&amp;B Inputs tab, held constant.</t>
  </si>
  <si>
    <t>No EE Scenario total rates multiplied by monthly usage for energy and demand.</t>
  </si>
  <si>
    <t>Total Avoided Costs</t>
  </si>
  <si>
    <t>Change in Total Rates</t>
  </si>
  <si>
    <t>Average Change in Rates</t>
  </si>
  <si>
    <t>Dollar Change in Bills</t>
  </si>
  <si>
    <t>Percent Change in Bills</t>
  </si>
  <si>
    <t xml:space="preserve">Distribution Revenue divided by No EE Scenario sales less the difference from Distribution Revenue divided by sales after the EE scenario. </t>
  </si>
  <si>
    <t>Scenario savings divided by customers divided by 12.</t>
  </si>
  <si>
    <t>• Efficiency programs and rate classes or customer sectors are not likely to align exactly.</t>
  </si>
  <si>
    <t>% Change</t>
  </si>
  <si>
    <t>Indicates a user input</t>
  </si>
  <si>
    <t>Annual DSM Savings</t>
  </si>
  <si>
    <t>Sales after DSM Scenario</t>
  </si>
  <si>
    <t>Rates after DSM Scenario</t>
  </si>
  <si>
    <t>Bills after DSM Scenario</t>
  </si>
  <si>
    <t>Notes and Assumptions</t>
  </si>
  <si>
    <t>Rate and Bill Impact Summary Results</t>
  </si>
  <si>
    <t>Change in Rates after DSM Scenario</t>
  </si>
  <si>
    <t>Change in Bills</t>
  </si>
  <si>
    <t>'Yr1'!</t>
  </si>
  <si>
    <t>'Yr2'!</t>
  </si>
  <si>
    <t>'Yr3'!</t>
  </si>
  <si>
    <t>'YrAll'!</t>
  </si>
  <si>
    <t>Tab</t>
  </si>
  <si>
    <t>Column</t>
  </si>
  <si>
    <t>First Block</t>
  </si>
  <si>
    <t>Second Block</t>
  </si>
  <si>
    <t>Revenue Requirements</t>
  </si>
  <si>
    <t>Revenue Requirement after DSM Scenario</t>
  </si>
  <si>
    <t>Distribution Charges</t>
  </si>
  <si>
    <t>Units</t>
  </si>
  <si>
    <t>Rate Name</t>
  </si>
  <si>
    <t>Rate Type Data</t>
  </si>
  <si>
    <t>First Block Billing Determinants</t>
  </si>
  <si>
    <t>Second Block Billing Determinants</t>
  </si>
  <si>
    <t>Remaining Billing Determinants</t>
  </si>
  <si>
    <t>Utility</t>
  </si>
  <si>
    <t>Value</t>
  </si>
  <si>
    <t>Source</t>
  </si>
  <si>
    <t>Category</t>
  </si>
  <si>
    <t>Subcategory 1</t>
  </si>
  <si>
    <t>Key</t>
  </si>
  <si>
    <t>Question/Flag</t>
  </si>
  <si>
    <t>Name</t>
  </si>
  <si>
    <t xml:space="preserve">Rate and Bill Analysis Inputs by Utility </t>
  </si>
  <si>
    <t>This tab is meant to be temporary while the model is under development. Eventually, the utilities will populate the R&amp;B Inputs tab directly, and the model user won't need to select the utility on the Rates tab.</t>
  </si>
  <si>
    <t xml:space="preserve">The utilities update the EE Inputs and R&amp;D Inputs tabs with their specific information. </t>
  </si>
  <si>
    <t>NH Rate and Bill Impact Model Overview</t>
  </si>
  <si>
    <t>• This model calculates an average measure life by rate class. Using an average measure life condenses the savings period and assumes some savings occur earlier.</t>
  </si>
  <si>
    <t xml:space="preserve">Background </t>
  </si>
  <si>
    <t>Notes and Sources</t>
  </si>
  <si>
    <t>The proposed scenario inputs should be populated directly from the utility's BC model.</t>
  </si>
  <si>
    <t>The alternative scenario can be populated either by (1) using inputs directly from an alternative BC model analysis (using the "User Input" option in the drop down), or (2) using percent changes from the proposed scenario for budget, cost of saved energy, and savings per participant (using the "% Change" option in the drop down).</t>
  </si>
  <si>
    <t>For each of the four rate classes, the utilities should populate the relevant rate class data.</t>
  </si>
  <si>
    <t>Some inputs are user-defined, making them more discretionary than other inputs. This includes annual growth rates for sales, customers, and rates.</t>
  </si>
  <si>
    <t>Annual compounding growth rate for this input. Used to escalate this input annually.</t>
  </si>
  <si>
    <t>The rate class modeled. Used for reference, not used in calculations.</t>
  </si>
  <si>
    <t>Input definition and use in model</t>
  </si>
  <si>
    <t>Model assumptions</t>
  </si>
  <si>
    <t>• All values and results are represented in nominal dollars.</t>
  </si>
  <si>
    <t>Annual Inputs</t>
  </si>
  <si>
    <t>Source / Notes</t>
  </si>
  <si>
    <t>Nominal Discount Rate</t>
  </si>
  <si>
    <t>Real Discount Rate</t>
  </si>
  <si>
    <t>Calculated: Real Discount Rate = [(1 + Nominal Discount Rate)/(1 + Inflation Rate)] – 1</t>
  </si>
  <si>
    <t>Rate (%)</t>
  </si>
  <si>
    <t>Inflation Rate</t>
  </si>
  <si>
    <t>Average measure life assumptions cause impacts to occur earlier. In practice, savings will gradually fade out over time rather than truncate after a certain year.</t>
  </si>
  <si>
    <t>Increased Costs and Cost Shifting</t>
  </si>
  <si>
    <t>Energy Efficiency Inputs by Rate Class and Year</t>
  </si>
  <si>
    <t>Rate and Bill Inputs</t>
  </si>
  <si>
    <t>Energy Efficiency Inputs</t>
  </si>
  <si>
    <t>EE Portion Only</t>
  </si>
  <si>
    <t>Unitil</t>
  </si>
  <si>
    <t>Unchanged from No EE Scenario.</t>
  </si>
  <si>
    <t>Rate Data</t>
  </si>
  <si>
    <t>Gas Savings (Net)</t>
  </si>
  <si>
    <t>Gas Benefits</t>
  </si>
  <si>
    <t>Gas DRIPE</t>
  </si>
  <si>
    <t>MMBTU</t>
  </si>
  <si>
    <t>User-defined</t>
  </si>
  <si>
    <t>R-3</t>
  </si>
  <si>
    <t>Residential Heating (Excluding Keene Customers)</t>
  </si>
  <si>
    <t>File name: LU - Rates 2019-10 Summary of Rates for Gas Service</t>
  </si>
  <si>
    <t>File name: LU - Rate Schedules - Gas COG filing</t>
  </si>
  <si>
    <t>$/Therm</t>
  </si>
  <si>
    <t>Cost of Gas Charge</t>
  </si>
  <si>
    <t>R-4</t>
  </si>
  <si>
    <t>Residential Heating - Low-Income (Excluding Keene Customers)</t>
  </si>
  <si>
    <t>G-41</t>
  </si>
  <si>
    <t>Commercial / Industrial - Low Annual Use, High Winter Use - (Excluding Keene Customers)</t>
  </si>
  <si>
    <t>G-43</t>
  </si>
  <si>
    <t>Commercial / Industrial - High Annual Use and High Winter Use - (Excluding Keene Customers)</t>
  </si>
  <si>
    <t>Nov-Apr usage</t>
  </si>
  <si>
    <t>Using the same as R-3</t>
  </si>
  <si>
    <t>Headblock</t>
  </si>
  <si>
    <t>Tailblock</t>
  </si>
  <si>
    <t>Monthly Headblock Threshold</t>
  </si>
  <si>
    <t>Therms</t>
  </si>
  <si>
    <t>Conversions to Therms</t>
  </si>
  <si>
    <t>Cost of Gas</t>
  </si>
  <si>
    <t>Distribution Lost Revenue</t>
  </si>
  <si>
    <t>R-5</t>
  </si>
  <si>
    <t>Residential Heating Service</t>
  </si>
  <si>
    <t>File name: NU-NH Rate Schedules</t>
  </si>
  <si>
    <t>Not applicable to this rate class.</t>
  </si>
  <si>
    <t>Winter rate</t>
  </si>
  <si>
    <t>R-10</t>
  </si>
  <si>
    <t>Low Income Residential Heating Service</t>
  </si>
  <si>
    <t>File name: 2018 Cust Count - NU-NH</t>
  </si>
  <si>
    <t>Sum of NU only supplied Therms and Third-Party Supplied Therms</t>
  </si>
  <si>
    <t>File name: 2018 NU-NH Therm Sales</t>
  </si>
  <si>
    <t>File name: Winter 2019-2020 Typical Bill Analysis (Schedule 3)</t>
  </si>
  <si>
    <t>This section is only populated if the rate is based on block pricing.</t>
  </si>
  <si>
    <t>Monthly therms that the first block applies to. Used for reference/informational purposes only; not used in model calculations.</t>
  </si>
  <si>
    <t>Monthly therms that the second block applies to. Used for reference/informational purposes only; not used in model calculations.</t>
  </si>
  <si>
    <t>The distribution cost per therm for the rate class. Used to estimate rate impacts.</t>
  </si>
  <si>
    <t>Local Distribution Adjustment Charge (LDAC)</t>
  </si>
  <si>
    <t>Fitchburg Gas and Electric Light Company, Summary of LDAC/CGA Components, Approved for effect February 1, 2020</t>
  </si>
  <si>
    <t>Total LDAF less EE Charge</t>
  </si>
  <si>
    <t>LDAC</t>
  </si>
  <si>
    <t>Gas Model</t>
  </si>
  <si>
    <t>Yr1, Y2, Yr3, YrAll</t>
  </si>
  <si>
    <t>These tabs calculate for each year of the energy efficiency plans, for both scenarios, the changes in revenue, sales, rates, and bills for each rate class. The calculations are over 25 years to align with the BC model screening period.</t>
  </si>
  <si>
    <t>This tab summarizes rate and bill impact results.</t>
  </si>
  <si>
    <t>Output Summary</t>
  </si>
  <si>
    <t>• All therms and MMBtus are considered retail level (as opposed to wholesale or source level).</t>
  </si>
  <si>
    <t>Gas Avoided Costs</t>
  </si>
  <si>
    <t>Customer charge is not calculated on a per therm basis, but is converted to $/therm for the sake of determining annual bills on a $/therm basis.</t>
  </si>
  <si>
    <t>Medium Annual Use, High Winter Use</t>
  </si>
  <si>
    <t>G-52</t>
  </si>
  <si>
    <t>Total (no blocks)</t>
  </si>
  <si>
    <t>Distribution revenue unchanged from No EE Scenario.</t>
  </si>
  <si>
    <t>LDAC revenue unchanged from No EE Scenario.</t>
  </si>
  <si>
    <t>Cost of Gas revenue less the sum of avoided gas and gas DRIPE.</t>
  </si>
  <si>
    <t>Sum of avoided costs.</t>
  </si>
  <si>
    <t>Total change in rates.</t>
  </si>
  <si>
    <t>Total percent change in rates.</t>
  </si>
  <si>
    <t>Sum of rates.</t>
  </si>
  <si>
    <t>No EE Scenario Cost of Gas rate less the sum of avoided gas and gas DRIPE.</t>
  </si>
  <si>
    <t>LDAC revenue After Scenario divided by After Scenario sales.</t>
  </si>
  <si>
    <t>Distribution revenue After Scenario divided by After Scenario sales.</t>
  </si>
  <si>
    <t>After Scenario total rates multiplied by monthly usage.</t>
  </si>
  <si>
    <t>After Scenario total rates multiplied by monthly usage, accounting for energy savings from program participation.</t>
  </si>
  <si>
    <t>After Scenario bills less Before Scenario bills.</t>
  </si>
  <si>
    <t>After Scenario bills divided by Before Scenario bills.</t>
  </si>
  <si>
    <t>Annual sales divided by customers divided by 12. Used to convert the customer charge into a $/Therm rate.</t>
  </si>
  <si>
    <t>High Annual Use, Low Winter Use</t>
  </si>
  <si>
    <t>File name: LU_Gas_LDAC_BackupData_20200221</t>
  </si>
  <si>
    <t>When subtract EE Charge, the rate becomes negative</t>
  </si>
  <si>
    <r>
      <rPr>
        <sz val="11"/>
        <color theme="1"/>
        <rFont val="Calibri"/>
        <family val="2"/>
      </rPr>
      <t>¢</t>
    </r>
    <r>
      <rPr>
        <sz val="11"/>
        <color theme="1"/>
        <rFont val="Calibri"/>
        <family val="2"/>
        <scheme val="minor"/>
      </rPr>
      <t>/Therm</t>
    </r>
  </si>
  <si>
    <t>File name: LU - EE Bill impact calc Winter 2019-2020 COG Filing (gas)</t>
  </si>
  <si>
    <t>Same as R-3</t>
  </si>
  <si>
    <t>Same as G-41</t>
  </si>
  <si>
    <r>
      <rPr>
        <sz val="10"/>
        <color theme="1"/>
        <rFont val="Calibri"/>
        <family val="2"/>
      </rPr>
      <t>¢</t>
    </r>
    <r>
      <rPr>
        <i/>
        <sz val="10"/>
        <color theme="1"/>
        <rFont val="Calibri"/>
        <family val="2"/>
        <scheme val="minor"/>
      </rPr>
      <t>/Therm</t>
    </r>
  </si>
  <si>
    <t>All results are in real dollars.</t>
  </si>
  <si>
    <t>DO NOT DELETE:</t>
  </si>
  <si>
    <t>Sum of billing determinants, but also very similar to number in customer and sales file.</t>
  </si>
  <si>
    <t>File name: ENN CalMo BillDetm (G-41  G-43) 201811-201910_20200225</t>
  </si>
  <si>
    <t>Using the same as R-5. Chris Khal confirmed 2/28/2020.</t>
  </si>
  <si>
    <t>File name: G-52 typical use</t>
  </si>
  <si>
    <t>The average customer represents an average bill across all customers, both non-participants and participants. It is intended to provide an indication of how customer bills on average are affected by the energy efficiency programs.</t>
  </si>
  <si>
    <t>Change in Annual Rates</t>
  </si>
  <si>
    <t>User Selection</t>
  </si>
  <si>
    <t>% Reduction</t>
  </si>
  <si>
    <t>Therm Reduction</t>
  </si>
  <si>
    <t>Final Reduction</t>
  </si>
  <si>
    <t>Final Customers</t>
  </si>
  <si>
    <t>Single or multi-year input?</t>
  </si>
  <si>
    <t>Single Year</t>
  </si>
  <si>
    <t>If Single Year Inputs</t>
  </si>
  <si>
    <t>If Multi-Year Inputs</t>
  </si>
  <si>
    <t>Annual Customers and Sales</t>
  </si>
  <si>
    <t>Annual Growth Rate after forecast</t>
  </si>
  <si>
    <t>Portfolio Total</t>
  </si>
  <si>
    <t>Total</t>
  </si>
  <si>
    <t>Change in Revenue</t>
  </si>
  <si>
    <t>Participant Bill Inputs</t>
  </si>
  <si>
    <t>Savings Input Method</t>
  </si>
  <si>
    <t>Low Savings</t>
  </si>
  <si>
    <t>High Savings</t>
  </si>
  <si>
    <t>User Selections</t>
  </si>
  <si>
    <t>Scenario Names</t>
  </si>
  <si>
    <t>Model user selects either Single Year or Multi-Year. Single Year: populate the number of customers for a single year in the rows immediately below, including the year corresponding to the customer data and an annual growth rate used to forecast customers after the indicated year. Multi-Year: populate the forecasted number of customers on the Multi-Year Inputs tab, and add an annual growth rate below if the model period extends further than the forecasted customer data.</t>
  </si>
  <si>
    <t>Populated only if "Single Year" is indicated for the customers in the sector. Annual customers taking service under this rate class. Should represent a full calendar year. Used to calculate average customer bills and to convert the customer charge to a dollar per kWh charge.</t>
  </si>
  <si>
    <t>Populated only if "Single Year" is indicated for the customers in the sector. The calendar year associated with the data. Used to determine the starting year from which to escalate the data annually using the corresponding growth rate.</t>
  </si>
  <si>
    <t>Populated only if "Single Year" is indicated for the customers in the sector. Annual compounding growth rate for this input. Used to escalate this input annually.</t>
  </si>
  <si>
    <t>Populated only if "Multi-Year" is indicated for the customers in the sector. Annual compounding growth rate for customers. Used to escalate customers annually if the model period extends longer than the customer data.</t>
  </si>
  <si>
    <t>Model user selects either Single Year or Multi-Year. Single Year: populate the sales for a single year in the rows immediately below, including the year corresponding to the sales data and an annual growth rate used to forecast sales after the indicated year. Multi-Year: populate the forecasted sales on the Multi-Year Inputs tab, and add an annual growth rate below if the model period extends further than the forecasted sales data.</t>
  </si>
  <si>
    <t>Populated only if "Single Year" is indicated for the sales in the sector. Annual sales associated with this rate class. Should represent a full calendar year. Used to calculate rate class revenue, lost revenue, weighted average rates (when the rate is based on blocks or peak pricing), and an avoided cost rate for the rate class.</t>
  </si>
  <si>
    <t>Populated only if "Single Year" is indicated for the sales in the sector. The calendar year associated with the data. Used to determine the starting year from which to escalate the data annually using the corresponding growth rate.</t>
  </si>
  <si>
    <t>Populated only if "Single Year" is indicated for the sales in the sector. Annual compounding growth rate for this input. Used to escalate this input annually.</t>
  </si>
  <si>
    <t>Populated only if "Multi-Year" is indicated for the sales in the sector. Annual compounding growth rate for sales. Used to escalate sales annually if the model period extends longer than the sales data.</t>
  </si>
  <si>
    <t>Participant Bill Savings</t>
  </si>
  <si>
    <t>Placeholder values.</t>
  </si>
  <si>
    <t>DISCOUNT RATES</t>
  </si>
  <si>
    <t>Yr1!</t>
  </si>
  <si>
    <t>Yr2!</t>
  </si>
  <si>
    <t>Yr3!</t>
  </si>
  <si>
    <t>YrAll!</t>
  </si>
  <si>
    <t>Multi-Year Inputs</t>
  </si>
  <si>
    <t>This tab includes customer and sales data forecasts for the modeled period, if applicable.</t>
  </si>
  <si>
    <t xml:space="preserve">Synapse Energy Economics, Inc. (Synapse) prepared this Excel-based rate and bill impact model for the New Hampshire Evaluation, Measurement, and Verification (EM&amp;V) Working Group during 2019 and 2020. Efficiency resources create upward pressure on rates from recovery of program costs and lost revenue or decoupling, as well as downward pressure as a result of avoided costs. The net result indicates the impact on customers’ rates from efficiency resources. This model assesses the long-term rate and bill impacts of energy efficiency resources, summarizing rates and bills from efficiency investments for a utility over the course of a three-year plan. Like cost-effectiveness testing, the end results of a rate, bill, and participant impact analysis can help inform program priorities, program design, and whether and how to place limits on program spending. </t>
  </si>
  <si>
    <t>Average Annual Usage</t>
  </si>
  <si>
    <t>Summer Usage</t>
  </si>
  <si>
    <t>Winter Usage</t>
  </si>
  <si>
    <t>The average energy usage during winter months for the rate class. Used to estimate bill impacts.</t>
  </si>
  <si>
    <t>The average energy usage during summer months for the rate class. Used to estimate bill impacts.</t>
  </si>
  <si>
    <t>Winter</t>
  </si>
  <si>
    <t>Summer</t>
  </si>
  <si>
    <t>Subcategory 2</t>
  </si>
  <si>
    <t>Weighted Average Rates</t>
  </si>
  <si>
    <t>Annual Usage</t>
  </si>
  <si>
    <t>May-Oct usage</t>
  </si>
  <si>
    <t>Winter Inputs</t>
  </si>
  <si>
    <t>Summer Inputs</t>
  </si>
  <si>
    <t>Winter Sales</t>
  </si>
  <si>
    <t>Summer Sales</t>
  </si>
  <si>
    <t>Nov-Apr</t>
  </si>
  <si>
    <t>May-Oct</t>
  </si>
  <si>
    <t>Final Annual Sales</t>
  </si>
  <si>
    <t>Final Winter Sales</t>
  </si>
  <si>
    <t>Final Summer Sales</t>
  </si>
  <si>
    <t>Total distribution revenue from all winter rates.</t>
  </si>
  <si>
    <t>Total distribution revenue from all summer rates.</t>
  </si>
  <si>
    <t>Distribution revenue weighted by winter and summer sales.</t>
  </si>
  <si>
    <t>Winter therms for the rate class' first block. Should be for the same year as sales. Used to calculate a weighted average rate.</t>
  </si>
  <si>
    <t>Winter therms for the rate class' second block. Should be incremental to the first block therms. If there is not a second block, then all remaining billing determinants should be entered here. Should be for the same year as sales. Used to calculate a weighted average rate.</t>
  </si>
  <si>
    <t>All remaining winter therms for the rate class. Should be incremental to the first and second block therms. Should be for the same year as sales. Used to calculate a weighted average rate.</t>
  </si>
  <si>
    <t>Summer therms for the rate class' first block. Should be for the same year as sales. Used to calculate a weighted average rate.</t>
  </si>
  <si>
    <t>Summer therms for the rate class' second block. Should be incremental to the first block therms. If there is not a second block, then all remaining billing determinants should be entered here. Should be for the same year as sales. Used to calculate a weighted average rate.</t>
  </si>
  <si>
    <t>All remaining summer therms for the rate class. Should be incremental to the first and second block therms. Should be for the same year as sales. Used to calculate a weighted average rate.</t>
  </si>
  <si>
    <t>Winter Revenue</t>
  </si>
  <si>
    <t>Summer Revenue</t>
  </si>
  <si>
    <t>Revenue from LDAC winter rates.</t>
  </si>
  <si>
    <t>Revenue from LDAC summer rates.</t>
  </si>
  <si>
    <t>LDAC revenue weighted by winter and summer sales.</t>
  </si>
  <si>
    <t>Revenue from Cost of Gas winter rates.</t>
  </si>
  <si>
    <t>Revenue from Cost of Gas summer rates.</t>
  </si>
  <si>
    <t>Cost of Gas revenue weighted by winter and summer sales.</t>
  </si>
  <si>
    <t>Weighted Distribution Rate</t>
  </si>
  <si>
    <t>Weighted LDAC Rate</t>
  </si>
  <si>
    <t>Weighted Cost of Gas Rate</t>
  </si>
  <si>
    <t>Winter Rate</t>
  </si>
  <si>
    <t>Summer Rate</t>
  </si>
  <si>
    <t>The winter charge recovering other operating and maintenance costs not reflected in the distribution charge. Should not include the Energy Efficiency Charge portion of the rate. Used to estimate rate impacts.</t>
  </si>
  <si>
    <t>The summer charge recovering other operating and maintenance costs not reflected in the distribution charge. Should not include the Energy Efficiency Charge portion of the rate. Used to estimate rate impacts.</t>
  </si>
  <si>
    <t>The winter cost of gas per therm for the rate class. Used to estimate rate impacts.</t>
  </si>
  <si>
    <t>The summer cost of gas per therm for the rate class. Used to estimate rate impacts.</t>
  </si>
  <si>
    <t>The minimum monthly charge per customer in the rate class. Used to estimate bill impacts. If separate rate for summer and winter, take a simple average, because assumed the number of customers remains the same between summer and winter.</t>
  </si>
  <si>
    <t>Annual Savings from DSM Scenario</t>
  </si>
  <si>
    <t>Non-Participant Annual Bill</t>
  </si>
  <si>
    <t>Average Customer Annual Bill</t>
  </si>
  <si>
    <t>Participant Bill Savings: Reduction in Average Annual Usage</t>
  </si>
  <si>
    <t>Nov-Apr. Sum of NU only supplied Therms and Third-Party Supplied Therms</t>
  </si>
  <si>
    <t>May-Oct. Sum of NU only supplied Therms and Third-Party Supplied Therms</t>
  </si>
  <si>
    <t>Summer rate</t>
  </si>
  <si>
    <t>Chris Khal provided 2/26/2020.</t>
  </si>
  <si>
    <t>Chris Khal provided 2/28/2020.</t>
  </si>
  <si>
    <t>Liberty to change from annual to winter only.</t>
  </si>
  <si>
    <t>Liberty to provide summer.</t>
  </si>
  <si>
    <t>Oct-May</t>
  </si>
  <si>
    <t>Annual Sales per Customer</t>
  </si>
  <si>
    <t>Customer charge in $/month divided by annual sales per customer.</t>
  </si>
  <si>
    <t>Instructions to Model User</t>
  </si>
  <si>
    <t xml:space="preserve">These instructions are meant to be a high-level check list for the utilities to use when populating and preparing the model for their energy efficiency plans. </t>
  </si>
  <si>
    <t>This tab can be hidden or deleted prior to filing the workbook for regulatory review.</t>
  </si>
  <si>
    <t>Steps</t>
  </si>
  <si>
    <t>1.</t>
  </si>
  <si>
    <t>Complete the Lookups tab</t>
  </si>
  <si>
    <t>This tab should be consistent with the Utility's Benefit-Cost Screening model.</t>
  </si>
  <si>
    <t>Adjust the Fuel and Utility to be consistent with the model inputs.</t>
  </si>
  <si>
    <t>2.</t>
  </si>
  <si>
    <t>Complete the EE Inputs tab</t>
  </si>
  <si>
    <t>Populate the proposed scenario with data from the utility's Benefit-Cost Screening model.</t>
  </si>
  <si>
    <t xml:space="preserve">Populate the alternative scenario using one of the two options: </t>
  </si>
  <si>
    <r>
      <rPr>
        <b/>
        <sz val="11"/>
        <color theme="1"/>
        <rFont val="Calibri"/>
        <family val="2"/>
        <scheme val="minor"/>
      </rPr>
      <t xml:space="preserve">User Input: </t>
    </r>
    <r>
      <rPr>
        <sz val="11"/>
        <color theme="1"/>
        <rFont val="Calibri"/>
        <family val="2"/>
        <scheme val="minor"/>
      </rPr>
      <t>use data from an alternative Benefit-Cost Screening model analysis.</t>
    </r>
  </si>
  <si>
    <r>
      <rPr>
        <b/>
        <sz val="11"/>
        <color theme="1"/>
        <rFont val="Calibri"/>
        <family val="2"/>
        <scheme val="minor"/>
      </rPr>
      <t xml:space="preserve">% Change: </t>
    </r>
    <r>
      <rPr>
        <sz val="11"/>
        <color theme="1"/>
        <rFont val="Calibri"/>
        <family val="2"/>
        <scheme val="minor"/>
      </rPr>
      <t>use the percent adjustment options to modify the proposed scenario at a high level.</t>
    </r>
  </si>
  <si>
    <t>Populate the participant bill savings information.</t>
  </si>
  <si>
    <t>Indicate the sources for each of the key inputs, and add any notes as appropriate.</t>
  </si>
  <si>
    <t>3.</t>
  </si>
  <si>
    <t>Complete the R&amp;B Inputs tab (and Multi-Year Inputs tab if necessary)</t>
  </si>
  <si>
    <t>For each rate class, populate all relevant rate class information and data.</t>
  </si>
  <si>
    <t>For low-income, note that customers and sales should be specific to low-income customers, and be careful not to double count the low-income customers and sales in residential values.</t>
  </si>
  <si>
    <t>If using multi-year forecasts for customers and/or sales (rather than a single year with an annual growth rate), do so on the Multi-Year Inputs tab and adjust the R&amp;B Inputs tab accordingly.</t>
  </si>
  <si>
    <t>See the "Input definition and use in model" column for more information on how each input should be populated based on how it is used throughout the model.</t>
  </si>
  <si>
    <t>4.</t>
  </si>
  <si>
    <t>Adjust Rate Output tabs</t>
  </si>
  <si>
    <t>Adjust the +/- buttons using the group/ungroup feature in Excel to correspond to the measure life for each sector. Otherwise, the figures may show too many or too few years.</t>
  </si>
  <si>
    <t>5.</t>
  </si>
  <si>
    <t>Final Review</t>
  </si>
  <si>
    <t>Review all tabs to ensure there are no errors, each page is formatted for printing, all notes are accurate, etc.</t>
  </si>
  <si>
    <t>2021-2023</t>
  </si>
  <si>
    <t>Change in Annual Bills</t>
  </si>
  <si>
    <t>This tab provides lists and data referenced throughout the model.</t>
  </si>
  <si>
    <t>This tab includes the utility-specific EE data modeled in the workbook.</t>
  </si>
  <si>
    <t>This tab includes the utility-specific rate class data for the four rate classes modeled in the workbook (Residential, Low-income, Small C&amp;I, and Large C&amp;I).</t>
  </si>
  <si>
    <t>The rate output tabs present summary figures of the rate impacts.</t>
  </si>
  <si>
    <t>The bill output tabs present summary figures of the bill impacts.</t>
  </si>
  <si>
    <t>Annual Bill Impacts</t>
  </si>
  <si>
    <t>If the utility does want to add multiple year's worth of customer and/or sales data, then the utility must change the toggles on the R&amp;B Inputs tab (see rows 10 and 18).</t>
  </si>
  <si>
    <t>At least two year's worth of customers and/or sales must be populated on this tab for the formulas to work.</t>
  </si>
  <si>
    <t>This tab is only populated if the utility wants to input more than one year's worth of customers and/or sales for the rate and bill impact analysis.</t>
  </si>
  <si>
    <r>
      <rPr>
        <sz val="11"/>
        <rFont val="Calibri"/>
        <family val="2"/>
      </rPr>
      <t xml:space="preserve">• This analysis calculates only the lost revenue resulting from the years modeled in the workbook. It does not consider any savings prior to the years modeled in the analysis. This approach implies the utilities file </t>
    </r>
    <r>
      <rPr>
        <sz val="11"/>
        <rFont val="Calibri"/>
        <family val="2"/>
        <scheme val="minor"/>
      </rPr>
      <t>annual rate cases, which is not typical of NH utilities. However, NH utilities file annual rate adjustment mechanisms through the LDAC or a revenue decoupling mechanism.</t>
    </r>
  </si>
  <si>
    <t>• The lost revenues estimated in this model are applicable to either a lost revenue recovery reconciling mechanism included in an LDAC rate or calculated through a decoupling mechanism. We use the term "lost revenue" throughout the workbook to refer to either recovery method.</t>
  </si>
  <si>
    <t>EE Portion of LDAC.</t>
  </si>
  <si>
    <t>Consistent with Increased Cost LDAC calculations.</t>
  </si>
  <si>
    <t>LDAC multiplied by rate class-specific No EE Scenario sales.</t>
  </si>
  <si>
    <t>LDAC (EE Only)</t>
  </si>
  <si>
    <t>LDAC, EE Only</t>
  </si>
  <si>
    <t>LDAC, Non-EE</t>
  </si>
  <si>
    <t>Calculation</t>
  </si>
  <si>
    <t>¢/Therm</t>
  </si>
  <si>
    <t>Retail Margin</t>
  </si>
  <si>
    <t>Retail Margin: See 2018 AESC Study, pages 43-44 and Appendix C. The avoidable retail margin comprises approximately 6 percent of avoided gas costs.</t>
  </si>
  <si>
    <t>Gas, Retail Margin</t>
  </si>
  <si>
    <t>The portion of avoided gas costs that represent the retail marginal avoided cost.</t>
  </si>
  <si>
    <t>This rate and bill impact analysis does not consider two key impacts to customers' bills. First, this analysis focuses on gas utility rates and bills, and the utilities implement the energy efficiency programs in a fuel neutral manner, providing additional benefits to customers consuming electricity. Second, this analysis does not consider the price of carbon, and the cost to reduce greenhouse gas emissions through resources other than energy efficiency would be more costly to ratepayers.</t>
  </si>
  <si>
    <t xml:space="preserve">Levelized </t>
  </si>
  <si>
    <t>Total (NPV)</t>
  </si>
  <si>
    <t>Levlized</t>
  </si>
  <si>
    <t>Levelized</t>
  </si>
  <si>
    <t>Proposed EE Levelized</t>
  </si>
  <si>
    <t>Alternative EE Levelized</t>
  </si>
  <si>
    <t>Long-Term Levelized Change in Bills from each Program Year</t>
  </si>
  <si>
    <t>Long-Term Levelized Total Bill for each Program Year</t>
  </si>
  <si>
    <t>Version date: July 22, 2020</t>
  </si>
  <si>
    <t xml:space="preserve">July 1 draft of the 2021-2023 Plan. Based on the June 2020 Prime Rate in accordance with the Final Energy Efficiency Group Report, dated July 6, 1999 in DR 96-150. Retrieved from http://www.moneycafe.com/personal-finance/prime-rate/  </t>
  </si>
  <si>
    <t xml:space="preserve">July 1 draft of the 2021-2023 Plan. Based on the inflation rate from Q1 2019 to Q1 2020, Retrieved from https://fred.stlouisfed.org/data/GDPDEF.txt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</si>
</sst>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
    <numFmt numFmtId="167" formatCode="0.00000"/>
    <numFmt numFmtId="168" formatCode="_(* #,##0.0_);_(* \(#,##0.0\);_(* &quot;-&quot;??_);_(@_)"/>
    <numFmt numFmtId="169" formatCode="_(* #,##0_);_(* \(#,##0\);_(* &quot;-&quot;??_);_(@_)"/>
    <numFmt numFmtId="170" formatCode="_(* #,##0.00000_);_(* \(#,##0.00000\);_(* &quot;-&quot;??_);_(@_)"/>
    <numFmt numFmtId="171" formatCode="_(* #,##0.000_);_(* \(#,##0.000\);_(* &quot;-&quot;??_);_(@_)"/>
    <numFmt numFmtId="172" formatCode="#,##0.0000"/>
    <numFmt numFmtId="173" formatCode="_(* #,##0.0000_);_(* \(#,##0.0000\);_(* &quot;-&quot;??_);_(@_)"/>
    <numFmt numFmtId="174" formatCode="0.0000"/>
    <numFmt numFmtId="175" formatCode="&quot;$&quot;#,##0"/>
  </numFmts>
  <fonts count="7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20"/>
      <name val="Calibri"/>
      <family val="2"/>
      <scheme val="minor"/>
    </font>
    <font>
      <b/>
      <sz val="16"/>
      <color theme="0"/>
      <name val="Calibri"/>
      <family val="2"/>
      <scheme val="minor"/>
    </font>
    <font>
      <sz val="11"/>
      <name val="Calibri"/>
      <family val="2"/>
      <scheme val="minor"/>
    </font>
    <font>
      <sz val="11"/>
      <color theme="1"/>
      <name val="Calibri"/>
      <family val="2"/>
    </font>
    <font>
      <sz val="10"/>
      <name val="Verdana"/>
      <family val="2"/>
    </font>
    <font>
      <sz val="11"/>
      <color indexed="9"/>
      <name val="Calibri"/>
      <family val="2"/>
    </font>
    <font>
      <sz val="14"/>
      <color theme="1"/>
      <name val="Calibri"/>
      <family val="2"/>
      <scheme val="minor"/>
    </font>
    <font>
      <u/>
      <sz val="11"/>
      <color theme="1"/>
      <name val="Calibri"/>
      <family val="2"/>
      <scheme val="minor"/>
    </font>
    <font>
      <i/>
      <sz val="11"/>
      <color theme="1"/>
      <name val="Calibri"/>
      <family val="2"/>
      <scheme val="minor"/>
    </font>
    <font>
      <b/>
      <i/>
      <sz val="12"/>
      <color theme="1"/>
      <name val="Calibri"/>
      <family val="2"/>
      <scheme val="minor"/>
    </font>
    <font>
      <b/>
      <sz val="11"/>
      <color theme="7"/>
      <name val="Calibri"/>
      <family val="2"/>
      <scheme val="minor"/>
    </font>
    <font>
      <b/>
      <sz val="11"/>
      <name val="Calibri"/>
      <family val="2"/>
      <scheme val="minor"/>
    </font>
    <font>
      <i/>
      <sz val="11"/>
      <name val="Calibri"/>
      <family val="2"/>
      <scheme val="minor"/>
    </font>
    <font>
      <b/>
      <sz val="11"/>
      <color theme="8"/>
      <name val="Calibri"/>
      <family val="2"/>
      <scheme val="minor"/>
    </font>
    <font>
      <b/>
      <i/>
      <sz val="11"/>
      <name val="Calibri"/>
      <family val="2"/>
      <scheme val="minor"/>
    </font>
    <font>
      <sz val="11"/>
      <color theme="0" tint="-0.499984740745262"/>
      <name val="Calibri"/>
      <family val="2"/>
      <scheme val="minor"/>
    </font>
    <font>
      <i/>
      <sz val="11"/>
      <color theme="0" tint="-0.499984740745262"/>
      <name val="Calibri"/>
      <family val="2"/>
      <scheme val="minor"/>
    </font>
    <font>
      <sz val="11"/>
      <color rgb="FF0070C0"/>
      <name val="Calibri"/>
      <family val="2"/>
      <scheme val="minor"/>
    </font>
    <font>
      <i/>
      <sz val="16"/>
      <name val="Calibri"/>
      <family val="2"/>
      <scheme val="minor"/>
    </font>
    <font>
      <sz val="11"/>
      <color theme="0"/>
      <name val="Calibri"/>
      <family val="2"/>
      <scheme val="minor"/>
    </font>
    <font>
      <sz val="11"/>
      <color rgb="FF7030A0"/>
      <name val="Calibri"/>
      <family val="2"/>
      <scheme val="minor"/>
    </font>
    <font>
      <i/>
      <sz val="11"/>
      <color rgb="FF7030A0"/>
      <name val="Calibri"/>
      <family val="2"/>
      <scheme val="minor"/>
    </font>
    <font>
      <i/>
      <sz val="12"/>
      <color theme="1"/>
      <name val="Calibri"/>
      <family val="2"/>
      <scheme val="minor"/>
    </font>
    <font>
      <sz val="11"/>
      <color theme="0" tint="-0.34998626667073579"/>
      <name val="Calibri"/>
      <family val="2"/>
      <scheme val="minor"/>
    </font>
    <font>
      <b/>
      <i/>
      <sz val="12"/>
      <color theme="0" tint="-0.34998626667073579"/>
      <name val="Calibri"/>
      <family val="2"/>
      <scheme val="minor"/>
    </font>
    <font>
      <b/>
      <sz val="12"/>
      <color theme="1"/>
      <name val="Calibri"/>
      <family val="2"/>
      <scheme val="minor"/>
    </font>
    <font>
      <i/>
      <sz val="11"/>
      <color theme="0"/>
      <name val="Calibri"/>
      <family val="2"/>
      <scheme val="minor"/>
    </font>
    <font>
      <b/>
      <sz val="14"/>
      <color theme="0"/>
      <name val="Calibri"/>
      <family val="2"/>
      <scheme val="minor"/>
    </font>
    <font>
      <sz val="11"/>
      <color rgb="FF00B0F0"/>
      <name val="Calibri"/>
      <family val="2"/>
      <scheme val="minor"/>
    </font>
    <font>
      <b/>
      <sz val="14"/>
      <name val="Calibri"/>
      <family val="2"/>
      <scheme val="minor"/>
    </font>
    <font>
      <b/>
      <i/>
      <sz val="12"/>
      <color theme="0" tint="-0.499984740745262"/>
      <name val="Calibri"/>
      <family val="2"/>
      <scheme val="minor"/>
    </font>
    <font>
      <b/>
      <i/>
      <sz val="12"/>
      <name val="Calibri"/>
      <family val="2"/>
      <scheme val="minor"/>
    </font>
    <font>
      <b/>
      <sz val="16"/>
      <color theme="1"/>
      <name val="Calibri"/>
      <family val="2"/>
      <scheme val="minor"/>
    </font>
    <font>
      <i/>
      <u/>
      <sz val="11"/>
      <color theme="1"/>
      <name val="Calibri"/>
      <family val="2"/>
      <scheme val="minor"/>
    </font>
    <font>
      <b/>
      <sz val="20"/>
      <color rgb="FFFF0000"/>
      <name val="Calibri"/>
      <family val="2"/>
      <scheme val="minor"/>
    </font>
    <font>
      <i/>
      <sz val="14"/>
      <color theme="1"/>
      <name val="Calibri"/>
      <family val="2"/>
      <scheme val="minor"/>
    </font>
    <font>
      <sz val="11"/>
      <name val="Calibri"/>
      <family val="2"/>
    </font>
    <font>
      <sz val="11"/>
      <color theme="8"/>
      <name val="Calibri"/>
      <family val="2"/>
      <scheme val="minor"/>
    </font>
    <font>
      <sz val="18"/>
      <color theme="0"/>
      <name val="Calibri"/>
      <family val="2"/>
      <scheme val="minor"/>
    </font>
    <font>
      <sz val="20"/>
      <color theme="0"/>
      <name val="Calibri"/>
      <family val="2"/>
      <scheme val="minor"/>
    </font>
    <font>
      <b/>
      <sz val="20"/>
      <color theme="0"/>
      <name val="Calibri"/>
      <family val="2"/>
      <scheme val="minor"/>
    </font>
    <font>
      <i/>
      <sz val="20"/>
      <color theme="0"/>
      <name val="Calibri"/>
      <family val="2"/>
      <scheme val="minor"/>
    </font>
    <font>
      <sz val="20"/>
      <color theme="1"/>
      <name val="Calibri"/>
      <family val="2"/>
      <scheme val="minor"/>
    </font>
    <font>
      <b/>
      <sz val="12"/>
      <color theme="0"/>
      <name val="Calibri"/>
      <family val="2"/>
      <scheme val="minor"/>
    </font>
    <font>
      <sz val="12"/>
      <color theme="1"/>
      <name val="Calibri"/>
      <family val="2"/>
      <scheme val="minor"/>
    </font>
    <font>
      <i/>
      <sz val="10"/>
      <color theme="1"/>
      <name val="Calibri"/>
      <family val="2"/>
      <scheme val="minor"/>
    </font>
    <font>
      <sz val="10"/>
      <color theme="1"/>
      <name val="Calibri"/>
      <family val="2"/>
    </font>
    <font>
      <i/>
      <sz val="12"/>
      <name val="Calibri"/>
      <family val="2"/>
      <scheme val="minor"/>
    </font>
    <font>
      <sz val="11"/>
      <color theme="0" tint="-0.14999847407452621"/>
      <name val="Calibri"/>
      <family val="2"/>
      <scheme val="minor"/>
    </font>
    <font>
      <i/>
      <sz val="11"/>
      <color theme="0" tint="-0.14999847407452621"/>
      <name val="Calibri"/>
      <family val="2"/>
      <scheme val="minor"/>
    </font>
    <font>
      <i/>
      <sz val="16"/>
      <color theme="0"/>
      <name val="Calibri"/>
      <family val="2"/>
      <scheme val="minor"/>
    </font>
    <font>
      <i/>
      <sz val="12"/>
      <color theme="0"/>
      <name val="Calibri"/>
      <family val="2"/>
      <scheme val="minor"/>
    </font>
    <font>
      <b/>
      <sz val="12"/>
      <name val="Calibri"/>
      <family val="2"/>
      <scheme val="minor"/>
    </font>
    <font>
      <b/>
      <sz val="14"/>
      <color theme="1"/>
      <name val="Calibri"/>
      <family val="2"/>
      <scheme val="minor"/>
    </font>
    <font>
      <sz val="12"/>
      <name val="Calibri"/>
      <family val="2"/>
      <scheme val="minor"/>
    </font>
    <font>
      <i/>
      <sz val="16"/>
      <color theme="1"/>
      <name val="Calibri"/>
      <family val="2"/>
      <scheme val="minor"/>
    </font>
    <font>
      <sz val="20"/>
      <name val="Calibri"/>
      <family val="2"/>
      <scheme val="minor"/>
    </font>
    <font>
      <b/>
      <i/>
      <sz val="11"/>
      <color theme="0"/>
      <name val="Calibri"/>
      <family val="2"/>
      <scheme val="minor"/>
    </font>
    <font>
      <sz val="14"/>
      <color theme="0"/>
      <name val="Calibri"/>
      <family val="2"/>
      <scheme val="minor"/>
    </font>
    <font>
      <sz val="12"/>
      <color theme="0" tint="-0.34998626667073579"/>
      <name val="Calibri"/>
      <family val="2"/>
      <scheme val="minor"/>
    </font>
    <font>
      <i/>
      <sz val="11"/>
      <color theme="0" tint="-0.34998626667073579"/>
      <name val="Calibri"/>
      <family val="2"/>
      <scheme val="minor"/>
    </font>
    <font>
      <b/>
      <sz val="14"/>
      <color theme="0" tint="-0.34998626667073579"/>
      <name val="Calibri"/>
      <family val="2"/>
      <scheme val="minor"/>
    </font>
    <font>
      <b/>
      <sz val="11"/>
      <color theme="0" tint="-0.34998626667073579"/>
      <name val="Calibri"/>
      <family val="2"/>
      <scheme val="minor"/>
    </font>
    <font>
      <b/>
      <sz val="18"/>
      <color theme="0"/>
      <name val="Calibri"/>
      <family val="2"/>
      <scheme val="minor"/>
    </font>
    <font>
      <sz val="16"/>
      <color theme="0"/>
      <name val="Calibri"/>
      <family val="2"/>
      <scheme val="minor"/>
    </font>
    <font>
      <sz val="16"/>
      <color theme="1"/>
      <name val="Calibri"/>
      <family val="2"/>
      <scheme val="minor"/>
    </font>
    <font>
      <u/>
      <sz val="11"/>
      <name val="Calibri"/>
      <family val="2"/>
      <scheme val="minor"/>
    </font>
    <font>
      <b/>
      <sz val="12"/>
      <color theme="8"/>
      <name val="Calibri"/>
      <family val="2"/>
      <scheme val="minor"/>
    </font>
    <font>
      <i/>
      <u/>
      <sz val="12"/>
      <color theme="1"/>
      <name val="Calibri"/>
      <family val="2"/>
      <scheme val="minor"/>
    </font>
    <font>
      <sz val="18"/>
      <color theme="1"/>
      <name val="Calibri"/>
      <family val="2"/>
      <scheme val="minor"/>
    </font>
    <font>
      <sz val="11"/>
      <color theme="0" tint="-0.249977111117893"/>
      <name val="Calibri"/>
      <family val="2"/>
      <scheme val="minor"/>
    </font>
  </fonts>
  <fills count="20">
    <fill>
      <patternFill patternType="none"/>
    </fill>
    <fill>
      <patternFill patternType="gray125"/>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bgColor indexed="64"/>
      </patternFill>
    </fill>
    <fill>
      <patternFill patternType="solid">
        <fgColor theme="4" tint="0.79998168889431442"/>
        <bgColor indexed="64"/>
      </patternFill>
    </fill>
    <fill>
      <patternFill patternType="solid">
        <fgColor indexed="30"/>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s>
  <borders count="92">
    <border>
      <left/>
      <right/>
      <top/>
      <bottom/>
      <diagonal/>
    </border>
    <border>
      <left/>
      <right/>
      <top/>
      <bottom style="medium">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thin">
        <color theme="0" tint="-0.24994659260841701"/>
      </bottom>
      <diagonal/>
    </border>
    <border>
      <left/>
      <right/>
      <top style="thin">
        <color auto="1"/>
      </top>
      <bottom style="thin">
        <color theme="0" tint="-0.24994659260841701"/>
      </bottom>
      <diagonal/>
    </border>
    <border>
      <left style="thin">
        <color indexed="64"/>
      </left>
      <right style="thin">
        <color indexed="64"/>
      </right>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8"/>
      </left>
      <right style="thin">
        <color theme="8"/>
      </right>
      <top style="thin">
        <color theme="8"/>
      </top>
      <bottom style="thin">
        <color theme="8"/>
      </bottom>
      <diagonal/>
    </border>
    <border>
      <left style="thin">
        <color theme="8"/>
      </left>
      <right style="thin">
        <color theme="8"/>
      </right>
      <top/>
      <bottom style="thin">
        <color theme="8"/>
      </bottom>
      <diagonal/>
    </border>
    <border>
      <left/>
      <right style="thin">
        <color theme="8"/>
      </right>
      <top/>
      <bottom style="thin">
        <color theme="8"/>
      </bottom>
      <diagonal/>
    </border>
    <border>
      <left/>
      <right style="thin">
        <color theme="8"/>
      </right>
      <top style="thin">
        <color theme="8"/>
      </top>
      <bottom style="thin">
        <color theme="8"/>
      </bottom>
      <diagonal/>
    </border>
    <border>
      <left style="thin">
        <color theme="8"/>
      </left>
      <right style="thin">
        <color indexed="64"/>
      </right>
      <top/>
      <bottom style="thin">
        <color theme="8"/>
      </bottom>
      <diagonal/>
    </border>
    <border>
      <left style="thin">
        <color theme="8"/>
      </left>
      <right style="thin">
        <color indexed="64"/>
      </right>
      <top style="thin">
        <color theme="8"/>
      </top>
      <bottom style="thin">
        <color theme="8"/>
      </bottom>
      <diagonal/>
    </border>
    <border>
      <left/>
      <right style="thin">
        <color indexed="64"/>
      </right>
      <top/>
      <bottom style="thin">
        <color theme="0" tint="-0.24994659260841701"/>
      </bottom>
      <diagonal/>
    </border>
    <border>
      <left style="thin">
        <color indexed="64"/>
      </left>
      <right style="thin">
        <color indexed="64"/>
      </right>
      <top style="thin">
        <color theme="8"/>
      </top>
      <bottom style="thin">
        <color theme="8"/>
      </bottom>
      <diagonal/>
    </border>
    <border>
      <left style="thin">
        <color indexed="64"/>
      </left>
      <right style="thin">
        <color indexed="64"/>
      </right>
      <top style="thin">
        <color theme="8"/>
      </top>
      <bottom style="thin">
        <color indexed="64"/>
      </bottom>
      <diagonal/>
    </border>
    <border>
      <left style="thin">
        <color indexed="64"/>
      </left>
      <right style="thin">
        <color indexed="64"/>
      </right>
      <top/>
      <bottom style="thin">
        <color theme="8"/>
      </bottom>
      <diagonal/>
    </border>
    <border>
      <left style="thin">
        <color theme="8"/>
      </left>
      <right/>
      <top style="thin">
        <color theme="8"/>
      </top>
      <bottom style="thin">
        <color theme="8"/>
      </bottom>
      <diagonal/>
    </border>
    <border>
      <left/>
      <right/>
      <top style="thin">
        <color theme="8"/>
      </top>
      <bottom style="thin">
        <color theme="8"/>
      </bottom>
      <diagonal/>
    </border>
    <border>
      <left style="thin">
        <color theme="8"/>
      </left>
      <right style="thin">
        <color theme="8"/>
      </right>
      <top style="thin">
        <color theme="8"/>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theme="8"/>
      </top>
      <bottom style="hair">
        <color indexed="64"/>
      </bottom>
      <diagonal/>
    </border>
    <border>
      <left style="thin">
        <color indexed="64"/>
      </left>
      <right style="thin">
        <color theme="8"/>
      </right>
      <top style="thin">
        <color theme="8"/>
      </top>
      <bottom style="hair">
        <color indexed="64"/>
      </bottom>
      <diagonal/>
    </border>
    <border>
      <left/>
      <right style="thin">
        <color theme="8"/>
      </right>
      <top style="thin">
        <color theme="8"/>
      </top>
      <bottom style="hair">
        <color indexed="64"/>
      </bottom>
      <diagonal/>
    </border>
    <border>
      <left style="thin">
        <color indexed="64"/>
      </left>
      <right style="thin">
        <color indexed="64"/>
      </right>
      <top style="thin">
        <color indexed="64"/>
      </top>
      <bottom style="thin">
        <color theme="8"/>
      </bottom>
      <diagonal/>
    </border>
    <border>
      <left/>
      <right style="thin">
        <color theme="8"/>
      </right>
      <top style="thin">
        <color indexed="64"/>
      </top>
      <bottom style="thin">
        <color theme="8"/>
      </bottom>
      <diagonal/>
    </border>
    <border>
      <left style="thin">
        <color theme="8"/>
      </left>
      <right style="thin">
        <color indexed="64"/>
      </right>
      <top style="thin">
        <color indexed="64"/>
      </top>
      <bottom style="thin">
        <color theme="8"/>
      </bottom>
      <diagonal/>
    </border>
    <border>
      <left style="thin">
        <color theme="8"/>
      </left>
      <right style="thin">
        <color theme="8"/>
      </right>
      <top style="thin">
        <color theme="8"/>
      </top>
      <bottom style="hair">
        <color indexed="64"/>
      </bottom>
      <diagonal/>
    </border>
    <border>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style="double">
        <color theme="0"/>
      </bottom>
      <diagonal/>
    </border>
    <border>
      <left/>
      <right style="thin">
        <color indexed="64"/>
      </right>
      <top style="thin">
        <color indexed="64"/>
      </top>
      <bottom style="double">
        <color theme="0"/>
      </bottom>
      <diagonal/>
    </border>
    <border>
      <left style="thin">
        <color indexed="64"/>
      </left>
      <right/>
      <top style="thin">
        <color indexed="64"/>
      </top>
      <bottom style="double">
        <color theme="0"/>
      </bottom>
      <diagonal/>
    </border>
    <border>
      <left/>
      <right style="thin">
        <color indexed="64"/>
      </right>
      <top style="thin">
        <color indexed="64"/>
      </top>
      <bottom style="thin">
        <color theme="0" tint="-0.24994659260841701"/>
      </bottom>
      <diagonal/>
    </border>
    <border>
      <left/>
      <right/>
      <top style="double">
        <color theme="0"/>
      </top>
      <bottom style="thin">
        <color indexed="64"/>
      </bottom>
      <diagonal/>
    </border>
    <border>
      <left/>
      <right style="thin">
        <color indexed="64"/>
      </right>
      <top style="double">
        <color theme="0"/>
      </top>
      <bottom style="thin">
        <color indexed="64"/>
      </bottom>
      <diagonal/>
    </border>
    <border>
      <left style="thin">
        <color indexed="64"/>
      </left>
      <right style="thin">
        <color theme="8"/>
      </right>
      <top/>
      <bottom style="thin">
        <color theme="8"/>
      </bottom>
      <diagonal/>
    </border>
    <border>
      <left style="thin">
        <color indexed="64"/>
      </left>
      <right style="thin">
        <color theme="8"/>
      </right>
      <top style="thin">
        <color theme="8"/>
      </top>
      <bottom style="thin">
        <color theme="8"/>
      </bottom>
      <diagonal/>
    </border>
    <border>
      <left/>
      <right/>
      <top/>
      <bottom style="double">
        <color theme="0"/>
      </bottom>
      <diagonal/>
    </border>
    <border>
      <left style="thin">
        <color indexed="64"/>
      </left>
      <right/>
      <top style="double">
        <color theme="0"/>
      </top>
      <bottom style="thin">
        <color indexed="64"/>
      </bottom>
      <diagonal/>
    </border>
    <border>
      <left style="thin">
        <color indexed="64"/>
      </left>
      <right style="thin">
        <color theme="8"/>
      </right>
      <top style="thin">
        <color theme="8"/>
      </top>
      <bottom/>
      <diagonal/>
    </border>
    <border>
      <left style="thin">
        <color theme="8"/>
      </left>
      <right style="thin">
        <color indexed="64"/>
      </right>
      <top style="thin">
        <color theme="8"/>
      </top>
      <bottom/>
      <diagonal/>
    </border>
    <border>
      <left style="thin">
        <color indexed="64"/>
      </left>
      <right/>
      <top/>
      <bottom style="double">
        <color theme="0"/>
      </bottom>
      <diagonal/>
    </border>
    <border>
      <left/>
      <right style="thin">
        <color indexed="64"/>
      </right>
      <top/>
      <bottom style="double">
        <color theme="0"/>
      </bottom>
      <diagonal/>
    </border>
    <border>
      <left style="thin">
        <color theme="8"/>
      </left>
      <right style="thin">
        <color indexed="64"/>
      </right>
      <top style="thin">
        <color theme="8"/>
      </top>
      <bottom style="thin">
        <color indexed="64"/>
      </bottom>
      <diagonal/>
    </border>
    <border>
      <left/>
      <right style="double">
        <color theme="0"/>
      </right>
      <top/>
      <bottom/>
      <diagonal/>
    </border>
    <border>
      <left style="thin">
        <color theme="8"/>
      </left>
      <right/>
      <top style="thin">
        <color indexed="64"/>
      </top>
      <bottom style="thin">
        <color theme="8"/>
      </bottom>
      <diagonal/>
    </border>
    <border>
      <left style="thin">
        <color theme="8"/>
      </left>
      <right style="thin">
        <color indexed="64"/>
      </right>
      <top style="medium">
        <color auto="1"/>
      </top>
      <bottom style="thin">
        <color theme="8"/>
      </bottom>
      <diagonal/>
    </border>
    <border>
      <left style="thin">
        <color indexed="64"/>
      </left>
      <right style="thin">
        <color indexed="64"/>
      </right>
      <top/>
      <bottom style="hair">
        <color indexed="64"/>
      </bottom>
      <diagonal/>
    </border>
    <border>
      <left style="thin">
        <color indexed="64"/>
      </left>
      <right style="thin">
        <color auto="1"/>
      </right>
      <top style="double">
        <color theme="0"/>
      </top>
      <bottom/>
      <diagonal/>
    </border>
    <border>
      <left style="thin">
        <color theme="8"/>
      </left>
      <right style="thin">
        <color indexed="64"/>
      </right>
      <top style="thin">
        <color theme="8"/>
      </top>
      <bottom style="hair">
        <color indexed="64"/>
      </bottom>
      <diagonal/>
    </border>
    <border>
      <left style="thin">
        <color indexed="64"/>
      </left>
      <right style="thin">
        <color indexed="64"/>
      </right>
      <top style="double">
        <color theme="0"/>
      </top>
      <bottom style="thin">
        <color indexed="64"/>
      </bottom>
      <diagonal/>
    </border>
    <border>
      <left style="thin">
        <color indexed="64"/>
      </left>
      <right/>
      <top style="thin">
        <color indexed="64"/>
      </top>
      <bottom style="thin">
        <color theme="8"/>
      </bottom>
      <diagonal/>
    </border>
    <border>
      <left style="thin">
        <color indexed="64"/>
      </left>
      <right/>
      <top style="thin">
        <color theme="8"/>
      </top>
      <bottom style="thin">
        <color theme="8"/>
      </bottom>
      <diagonal/>
    </border>
    <border>
      <left style="thin">
        <color indexed="64"/>
      </left>
      <right/>
      <top/>
      <bottom style="thin">
        <color theme="8"/>
      </bottom>
      <diagonal/>
    </border>
    <border>
      <left style="thin">
        <color indexed="64"/>
      </left>
      <right/>
      <top style="thin">
        <color theme="8"/>
      </top>
      <bottom style="thin">
        <color indexed="64"/>
      </bottom>
      <diagonal/>
    </border>
    <border>
      <left/>
      <right style="thin">
        <color theme="8"/>
      </right>
      <top style="thin">
        <color theme="8"/>
      </top>
      <bottom style="thin">
        <color indexed="64"/>
      </bottom>
      <diagonal/>
    </border>
    <border>
      <left style="thin">
        <color theme="8"/>
      </left>
      <right/>
      <top style="thin">
        <color theme="8"/>
      </top>
      <bottom style="thin">
        <color indexed="64"/>
      </bottom>
      <diagonal/>
    </border>
    <border>
      <left style="hair">
        <color theme="0"/>
      </left>
      <right style="thin">
        <color indexed="64"/>
      </right>
      <top/>
      <bottom style="thin">
        <color indexed="64"/>
      </bottom>
      <diagonal/>
    </border>
    <border>
      <left style="hair">
        <color theme="0"/>
      </left>
      <right/>
      <top/>
      <bottom style="thin">
        <color indexed="64"/>
      </bottom>
      <diagonal/>
    </border>
    <border>
      <left style="thin">
        <color theme="0" tint="-0.14996795556505021"/>
      </left>
      <right style="thin">
        <color indexed="64"/>
      </right>
      <top/>
      <bottom/>
      <diagonal/>
    </border>
    <border>
      <left style="thin">
        <color theme="0" tint="-0.14996795556505021"/>
      </left>
      <right style="thin">
        <color indexed="64"/>
      </right>
      <top/>
      <bottom style="thin">
        <color theme="0" tint="-0.14996795556505021"/>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top style="thin">
        <color indexed="64"/>
      </top>
      <bottom style="thin">
        <color theme="8"/>
      </bottom>
      <diagonal/>
    </border>
    <border>
      <left/>
      <right/>
      <top/>
      <bottom style="thin">
        <color theme="8"/>
      </bottom>
      <diagonal/>
    </border>
    <border>
      <left/>
      <right/>
      <top style="thin">
        <color theme="8"/>
      </top>
      <bottom style="thin">
        <color indexed="64"/>
      </bottom>
      <diagonal/>
    </border>
    <border>
      <left style="thin">
        <color theme="8"/>
      </left>
      <right/>
      <top/>
      <bottom style="thin">
        <color theme="8"/>
      </bottom>
      <diagonal/>
    </border>
    <border>
      <left style="thin">
        <color theme="8"/>
      </left>
      <right style="thin">
        <color theme="8"/>
      </right>
      <top style="thin">
        <color indexed="64"/>
      </top>
      <bottom style="thin">
        <color theme="8"/>
      </bottom>
      <diagonal/>
    </border>
    <border>
      <left style="thin">
        <color theme="8"/>
      </left>
      <right style="thin">
        <color theme="8"/>
      </right>
      <top style="thin">
        <color theme="8"/>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s>
  <cellStyleXfs count="12">
    <xf numFmtId="0" fontId="0" fillId="0" borderId="0"/>
    <xf numFmtId="43" fontId="1"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8" fillId="0" borderId="0"/>
    <xf numFmtId="0" fontId="9" fillId="0" borderId="0"/>
    <xf numFmtId="0" fontId="10" fillId="8" borderId="0" applyNumberFormat="0" applyBorder="0" applyAlignment="0" applyProtection="0"/>
    <xf numFmtId="0" fontId="4" fillId="0" borderId="0"/>
    <xf numFmtId="9" fontId="1" fillId="0" borderId="0" applyFont="0" applyFill="0" applyBorder="0" applyAlignment="0" applyProtection="0"/>
    <xf numFmtId="44" fontId="1" fillId="0" borderId="0" applyFont="0" applyFill="0" applyBorder="0" applyAlignment="0" applyProtection="0"/>
  </cellStyleXfs>
  <cellXfs count="776">
    <xf numFmtId="0" fontId="0" fillId="0" borderId="0" xfId="0"/>
    <xf numFmtId="0" fontId="2" fillId="0" borderId="0" xfId="0" applyFont="1"/>
    <xf numFmtId="0" fontId="5" fillId="0" borderId="0" xfId="2" applyFont="1" applyAlignment="1">
      <alignment vertical="center"/>
    </xf>
    <xf numFmtId="0" fontId="6" fillId="2" borderId="1" xfId="2" applyFont="1" applyFill="1" applyBorder="1" applyAlignment="1" applyProtection="1">
      <alignment vertical="center"/>
      <protection locked="0"/>
    </xf>
    <xf numFmtId="0" fontId="3" fillId="0" borderId="0" xfId="0" applyFont="1"/>
    <xf numFmtId="0" fontId="0" fillId="0" borderId="0" xfId="0" applyBorder="1"/>
    <xf numFmtId="0" fontId="0" fillId="0" borderId="0" xfId="0" applyFont="1"/>
    <xf numFmtId="0" fontId="12" fillId="0" borderId="0" xfId="0" applyFont="1" applyAlignment="1">
      <alignment horizontal="left"/>
    </xf>
    <xf numFmtId="0" fontId="13" fillId="0" borderId="0" xfId="0" applyFont="1" applyBorder="1"/>
    <xf numFmtId="0" fontId="0" fillId="0" borderId="0" xfId="0" applyBorder="1" applyAlignment="1">
      <alignment horizontal="left" vertical="top"/>
    </xf>
    <xf numFmtId="0" fontId="11" fillId="0" borderId="0" xfId="0" applyFont="1" applyBorder="1" applyAlignment="1">
      <alignment horizontal="left" vertical="top"/>
    </xf>
    <xf numFmtId="0" fontId="0" fillId="0" borderId="0" xfId="0" applyFill="1" applyBorder="1"/>
    <xf numFmtId="0" fontId="0" fillId="0" borderId="0" xfId="0" applyFill="1" applyBorder="1" applyAlignment="1">
      <alignment vertical="top"/>
    </xf>
    <xf numFmtId="0" fontId="14" fillId="0" borderId="0" xfId="0" applyFont="1" applyBorder="1"/>
    <xf numFmtId="0" fontId="15" fillId="0" borderId="0" xfId="0" applyFont="1" applyBorder="1" applyAlignment="1">
      <alignment horizontal="left" vertical="top"/>
    </xf>
    <xf numFmtId="3" fontId="0" fillId="0" borderId="0" xfId="0" applyNumberFormat="1" applyFill="1" applyBorder="1" applyAlignment="1">
      <alignment horizontal="left" vertical="top"/>
    </xf>
    <xf numFmtId="3" fontId="0" fillId="0" borderId="0" xfId="0" applyNumberFormat="1" applyFill="1" applyBorder="1" applyAlignment="1">
      <alignment horizontal="left"/>
    </xf>
    <xf numFmtId="0" fontId="0" fillId="0" borderId="0" xfId="0" applyFont="1" applyAlignment="1">
      <alignment horizontal="left"/>
    </xf>
    <xf numFmtId="0" fontId="13" fillId="0" borderId="0" xfId="0" applyFont="1"/>
    <xf numFmtId="164" fontId="0" fillId="0" borderId="0" xfId="10" applyNumberFormat="1" applyFont="1" applyFill="1" applyBorder="1" applyAlignment="1">
      <alignment horizontal="left" vertical="top"/>
    </xf>
    <xf numFmtId="164" fontId="0" fillId="0" borderId="0" xfId="10" applyNumberFormat="1" applyFont="1" applyFill="1" applyBorder="1" applyAlignment="1">
      <alignment horizontal="left"/>
    </xf>
    <xf numFmtId="0" fontId="0" fillId="0" borderId="0" xfId="0" applyNumberFormat="1" applyBorder="1" applyAlignment="1">
      <alignment horizontal="left" vertical="top"/>
    </xf>
    <xf numFmtId="169" fontId="0" fillId="0" borderId="0" xfId="0" applyNumberFormat="1"/>
    <xf numFmtId="169" fontId="18" fillId="3" borderId="19" xfId="1" applyNumberFormat="1" applyFont="1" applyFill="1" applyBorder="1"/>
    <xf numFmtId="0" fontId="18" fillId="3" borderId="23" xfId="0" applyNumberFormat="1" applyFont="1" applyFill="1" applyBorder="1" applyAlignment="1">
      <alignment horizontal="left" vertical="top"/>
    </xf>
    <xf numFmtId="0" fontId="18" fillId="3" borderId="24" xfId="0" applyNumberFormat="1" applyFont="1" applyFill="1" applyBorder="1" applyAlignment="1">
      <alignment horizontal="left" vertical="top"/>
    </xf>
    <xf numFmtId="0" fontId="18" fillId="3" borderId="24" xfId="10" applyNumberFormat="1" applyFont="1" applyFill="1" applyBorder="1" applyAlignment="1">
      <alignment horizontal="left" vertical="top"/>
    </xf>
    <xf numFmtId="0" fontId="3" fillId="0" borderId="18" xfId="0" applyFont="1" applyBorder="1" applyAlignment="1">
      <alignment horizontal="center"/>
    </xf>
    <xf numFmtId="0" fontId="3" fillId="0" borderId="0" xfId="0" applyFont="1" applyAlignment="1">
      <alignment horizontal="left" vertical="top"/>
    </xf>
    <xf numFmtId="0" fontId="20" fillId="0" borderId="0" xfId="0" applyNumberFormat="1" applyFont="1" applyBorder="1" applyAlignment="1">
      <alignment horizontal="left" vertical="top"/>
    </xf>
    <xf numFmtId="0" fontId="20" fillId="0" borderId="0" xfId="0" applyFont="1"/>
    <xf numFmtId="0" fontId="21" fillId="0" borderId="0" xfId="0" applyFont="1" applyBorder="1"/>
    <xf numFmtId="169" fontId="18" fillId="3" borderId="22" xfId="1" applyNumberFormat="1" applyFont="1" applyFill="1" applyBorder="1"/>
    <xf numFmtId="0" fontId="0" fillId="0" borderId="3" xfId="0" applyFont="1" applyBorder="1" applyAlignment="1">
      <alignment horizontal="left"/>
    </xf>
    <xf numFmtId="169" fontId="18" fillId="3" borderId="21" xfId="1" applyNumberFormat="1" applyFont="1" applyFill="1" applyBorder="1"/>
    <xf numFmtId="169" fontId="18" fillId="3" borderId="20" xfId="1" applyNumberFormat="1" applyFont="1" applyFill="1" applyBorder="1"/>
    <xf numFmtId="0" fontId="0" fillId="0" borderId="6" xfId="0" applyFont="1" applyBorder="1" applyAlignment="1">
      <alignment horizontal="left"/>
    </xf>
    <xf numFmtId="0" fontId="0" fillId="0" borderId="5" xfId="0" applyFont="1" applyBorder="1" applyAlignment="1">
      <alignment horizontal="left"/>
    </xf>
    <xf numFmtId="0" fontId="0" fillId="0" borderId="2" xfId="0" applyFont="1" applyBorder="1"/>
    <xf numFmtId="0" fontId="0" fillId="0" borderId="0" xfId="0" applyFont="1" applyBorder="1" applyAlignment="1">
      <alignment horizontal="left"/>
    </xf>
    <xf numFmtId="0" fontId="0" fillId="0" borderId="4" xfId="0" applyFont="1" applyBorder="1"/>
    <xf numFmtId="169" fontId="18" fillId="3" borderId="24" xfId="1" applyNumberFormat="1" applyFont="1" applyFill="1" applyBorder="1"/>
    <xf numFmtId="169" fontId="18" fillId="3" borderId="23" xfId="1" applyNumberFormat="1" applyFont="1" applyFill="1" applyBorder="1"/>
    <xf numFmtId="169" fontId="18" fillId="3" borderId="26" xfId="1" applyNumberFormat="1" applyFont="1" applyFill="1" applyBorder="1"/>
    <xf numFmtId="169" fontId="18" fillId="3" borderId="27" xfId="1" applyNumberFormat="1" applyFont="1" applyFill="1" applyBorder="1"/>
    <xf numFmtId="169" fontId="18" fillId="3" borderId="28" xfId="1" applyNumberFormat="1" applyFont="1" applyFill="1" applyBorder="1"/>
    <xf numFmtId="164" fontId="14" fillId="0" borderId="0" xfId="10" applyNumberFormat="1" applyFont="1" applyFill="1" applyBorder="1"/>
    <xf numFmtId="164" fontId="0" fillId="0" borderId="0" xfId="10" applyNumberFormat="1" applyFont="1" applyFill="1" applyBorder="1"/>
    <xf numFmtId="0" fontId="0" fillId="9" borderId="0" xfId="0" applyFill="1" applyBorder="1"/>
    <xf numFmtId="0" fontId="0" fillId="9" borderId="0" xfId="0" applyFill="1"/>
    <xf numFmtId="0" fontId="22" fillId="0" borderId="0" xfId="0" applyFont="1"/>
    <xf numFmtId="0" fontId="0" fillId="0" borderId="0" xfId="0" applyFont="1" applyAlignment="1">
      <alignment horizontal="left" vertical="top"/>
    </xf>
    <xf numFmtId="0" fontId="7" fillId="0" borderId="0" xfId="0" applyFont="1"/>
    <xf numFmtId="0" fontId="2" fillId="0" borderId="0" xfId="0" applyFont="1" applyFill="1" applyBorder="1" applyAlignment="1">
      <alignment vertical="top"/>
    </xf>
    <xf numFmtId="0" fontId="0" fillId="0" borderId="0" xfId="0" applyBorder="1" applyAlignment="1">
      <alignment horizontal="left"/>
    </xf>
    <xf numFmtId="0" fontId="23" fillId="5" borderId="6" xfId="0" applyFont="1" applyFill="1" applyBorder="1" applyAlignment="1">
      <alignment horizontal="left" vertical="top"/>
    </xf>
    <xf numFmtId="0" fontId="7" fillId="5" borderId="6" xfId="0" applyFont="1" applyFill="1" applyBorder="1" applyAlignment="1"/>
    <xf numFmtId="167" fontId="2" fillId="0" borderId="0" xfId="0" applyNumberFormat="1" applyFont="1" applyBorder="1" applyAlignment="1">
      <alignment horizontal="left"/>
    </xf>
    <xf numFmtId="0" fontId="25" fillId="0" borderId="0" xfId="0" applyFont="1" applyFill="1" applyBorder="1"/>
    <xf numFmtId="0" fontId="28" fillId="0" borderId="0" xfId="0" applyFont="1" applyFill="1" applyBorder="1"/>
    <xf numFmtId="164" fontId="28" fillId="0" borderId="0" xfId="10" applyNumberFormat="1" applyFont="1" applyFill="1" applyBorder="1"/>
    <xf numFmtId="0" fontId="13" fillId="5" borderId="0" xfId="0" applyFont="1" applyFill="1" applyBorder="1"/>
    <xf numFmtId="0" fontId="0" fillId="5" borderId="0" xfId="0" applyFill="1" applyBorder="1"/>
    <xf numFmtId="0" fontId="30" fillId="5" borderId="0" xfId="0" applyFont="1" applyFill="1" applyBorder="1"/>
    <xf numFmtId="169" fontId="0" fillId="9" borderId="0" xfId="1" applyNumberFormat="1" applyFont="1" applyFill="1"/>
    <xf numFmtId="169" fontId="0" fillId="9" borderId="0" xfId="0" applyNumberFormat="1" applyFill="1"/>
    <xf numFmtId="170" fontId="0" fillId="9" borderId="0" xfId="1" applyNumberFormat="1" applyFont="1" applyFill="1"/>
    <xf numFmtId="0" fontId="3" fillId="9" borderId="0" xfId="0" applyFont="1" applyFill="1" applyAlignment="1">
      <alignment horizontal="left" vertical="top"/>
    </xf>
    <xf numFmtId="0" fontId="0" fillId="9" borderId="0" xfId="0" applyFont="1" applyFill="1" applyAlignment="1">
      <alignment horizontal="left" vertical="top"/>
    </xf>
    <xf numFmtId="0" fontId="3" fillId="7" borderId="0" xfId="0" applyFont="1" applyFill="1" applyAlignment="1">
      <alignment horizontal="left" vertical="top"/>
    </xf>
    <xf numFmtId="0" fontId="0" fillId="7" borderId="0" xfId="0" applyFont="1" applyFill="1" applyAlignment="1">
      <alignment horizontal="left" vertical="top"/>
    </xf>
    <xf numFmtId="169" fontId="0" fillId="7" borderId="0" xfId="1" applyNumberFormat="1" applyFont="1" applyFill="1"/>
    <xf numFmtId="169" fontId="0" fillId="7" borderId="0" xfId="0" applyNumberFormat="1" applyFill="1"/>
    <xf numFmtId="0" fontId="0" fillId="7" borderId="0" xfId="0" applyFill="1" applyBorder="1"/>
    <xf numFmtId="0" fontId="0" fillId="7" borderId="0" xfId="0" applyFill="1"/>
    <xf numFmtId="170" fontId="0" fillId="7" borderId="0" xfId="1" applyNumberFormat="1" applyFont="1" applyFill="1"/>
    <xf numFmtId="0" fontId="0" fillId="10" borderId="0" xfId="0" applyFill="1" applyBorder="1"/>
    <xf numFmtId="0" fontId="13" fillId="10" borderId="0" xfId="0" applyFont="1" applyFill="1" applyBorder="1"/>
    <xf numFmtId="0" fontId="16" fillId="10" borderId="0" xfId="0" applyFont="1" applyFill="1" applyAlignment="1">
      <alignment horizontal="left" vertical="top"/>
    </xf>
    <xf numFmtId="0" fontId="19" fillId="10" borderId="0" xfId="0" applyFont="1" applyFill="1" applyAlignment="1">
      <alignment horizontal="left" vertical="top"/>
    </xf>
    <xf numFmtId="0" fontId="3" fillId="10" borderId="0" xfId="0" applyFont="1" applyFill="1" applyAlignment="1">
      <alignment horizontal="left" vertical="top"/>
    </xf>
    <xf numFmtId="0" fontId="7" fillId="10" borderId="0" xfId="0" applyFont="1" applyFill="1" applyAlignment="1">
      <alignment horizontal="left" vertical="top"/>
    </xf>
    <xf numFmtId="0" fontId="17" fillId="10" borderId="0" xfId="0" applyFont="1" applyFill="1" applyAlignment="1">
      <alignment horizontal="left" vertical="top"/>
    </xf>
    <xf numFmtId="0" fontId="0" fillId="10" borderId="0" xfId="0" applyFont="1" applyFill="1" applyAlignment="1">
      <alignment horizontal="left" vertical="top"/>
    </xf>
    <xf numFmtId="0" fontId="0" fillId="10" borderId="0" xfId="0" applyFill="1"/>
    <xf numFmtId="0" fontId="13" fillId="10" borderId="0" xfId="0" applyFont="1" applyFill="1"/>
    <xf numFmtId="0" fontId="7" fillId="10" borderId="0" xfId="0" applyFont="1" applyFill="1"/>
    <xf numFmtId="0" fontId="27" fillId="0" borderId="0" xfId="0" applyFont="1" applyBorder="1" applyAlignment="1">
      <alignment horizontal="left"/>
    </xf>
    <xf numFmtId="169" fontId="7" fillId="0" borderId="0" xfId="1" applyNumberFormat="1" applyFont="1"/>
    <xf numFmtId="170" fontId="7" fillId="9" borderId="0" xfId="1" applyNumberFormat="1" applyFont="1" applyFill="1"/>
    <xf numFmtId="0" fontId="24" fillId="12" borderId="0" xfId="0" applyFont="1" applyFill="1"/>
    <xf numFmtId="0" fontId="32" fillId="12" borderId="0" xfId="0" applyFont="1" applyFill="1"/>
    <xf numFmtId="0" fontId="32" fillId="13" borderId="0" xfId="0" applyFont="1" applyFill="1"/>
    <xf numFmtId="0" fontId="24" fillId="13" borderId="0" xfId="0" applyFont="1" applyFill="1"/>
    <xf numFmtId="0" fontId="32" fillId="2" borderId="0" xfId="0" applyFont="1" applyFill="1"/>
    <xf numFmtId="0" fontId="24" fillId="2" borderId="0" xfId="0" applyFont="1" applyFill="1"/>
    <xf numFmtId="0" fontId="0" fillId="0" borderId="0" xfId="0" applyAlignment="1">
      <alignment horizontal="left"/>
    </xf>
    <xf numFmtId="0" fontId="3" fillId="0" borderId="0" xfId="0" applyFont="1" applyAlignment="1">
      <alignment horizontal="left"/>
    </xf>
    <xf numFmtId="170" fontId="24" fillId="12" borderId="0" xfId="1" applyNumberFormat="1" applyFont="1" applyFill="1"/>
    <xf numFmtId="170" fontId="24" fillId="13" borderId="0" xfId="1" applyNumberFormat="1" applyFont="1" applyFill="1"/>
    <xf numFmtId="0" fontId="34" fillId="0" borderId="0" xfId="2" applyFont="1" applyAlignment="1">
      <alignment vertical="center"/>
    </xf>
    <xf numFmtId="0" fontId="32" fillId="14" borderId="0" xfId="0" applyFont="1" applyFill="1"/>
    <xf numFmtId="0" fontId="24" fillId="14" borderId="0" xfId="0" applyFont="1" applyFill="1"/>
    <xf numFmtId="43" fontId="0" fillId="9" borderId="0" xfId="0" applyNumberFormat="1" applyFill="1"/>
    <xf numFmtId="0" fontId="20" fillId="0" borderId="0" xfId="0" applyFont="1" applyBorder="1"/>
    <xf numFmtId="0" fontId="35" fillId="0" borderId="0" xfId="0" applyFont="1" applyBorder="1"/>
    <xf numFmtId="0" fontId="20" fillId="0" borderId="0" xfId="0" applyFont="1" applyBorder="1" applyAlignment="1">
      <alignment horizontal="left" vertical="top"/>
    </xf>
    <xf numFmtId="0" fontId="7" fillId="0" borderId="0" xfId="0" applyFont="1" applyFill="1" applyBorder="1"/>
    <xf numFmtId="0" fontId="7" fillId="0" borderId="0" xfId="0" applyFont="1" applyFill="1" applyBorder="1" applyAlignment="1">
      <alignment horizontal="left" vertical="top"/>
    </xf>
    <xf numFmtId="170" fontId="0" fillId="9" borderId="0" xfId="0" applyNumberFormat="1" applyFill="1"/>
    <xf numFmtId="0" fontId="0" fillId="0" borderId="3" xfId="0" applyBorder="1" applyAlignment="1">
      <alignment horizontal="left" vertical="top"/>
    </xf>
    <xf numFmtId="0" fontId="20" fillId="0" borderId="3" xfId="0" applyFont="1" applyBorder="1" applyAlignment="1">
      <alignment horizontal="left" vertical="top"/>
    </xf>
    <xf numFmtId="3" fontId="20" fillId="0" borderId="0" xfId="0" applyNumberFormat="1" applyFont="1" applyFill="1" applyBorder="1" applyAlignment="1">
      <alignment horizontal="left" vertical="top"/>
    </xf>
    <xf numFmtId="167" fontId="20" fillId="0" borderId="0" xfId="0" applyNumberFormat="1" applyFont="1" applyFill="1" applyBorder="1" applyAlignment="1">
      <alignment horizontal="left" vertical="top"/>
    </xf>
    <xf numFmtId="0" fontId="38" fillId="10" borderId="0" xfId="0" applyFont="1" applyFill="1"/>
    <xf numFmtId="0" fontId="0" fillId="0" borderId="0" xfId="0" applyAlignment="1">
      <alignment vertical="center"/>
    </xf>
    <xf numFmtId="0" fontId="7" fillId="0" borderId="0" xfId="0" applyFont="1" applyFill="1" applyAlignment="1">
      <alignment vertical="center"/>
    </xf>
    <xf numFmtId="0" fontId="3" fillId="0" borderId="0" xfId="0" applyFont="1" applyAlignment="1">
      <alignment horizontal="left" vertical="center"/>
    </xf>
    <xf numFmtId="0" fontId="32" fillId="2" borderId="0" xfId="0" applyFont="1" applyFill="1" applyAlignment="1">
      <alignment vertical="center"/>
    </xf>
    <xf numFmtId="0" fontId="24" fillId="2" borderId="0" xfId="0" applyFont="1" applyFill="1" applyAlignment="1">
      <alignment vertical="center"/>
    </xf>
    <xf numFmtId="0" fontId="34" fillId="0" borderId="0" xfId="0" applyFont="1" applyFill="1" applyAlignment="1">
      <alignment vertical="center"/>
    </xf>
    <xf numFmtId="0" fontId="0" fillId="10" borderId="0" xfId="0" applyFill="1" applyAlignment="1">
      <alignment vertical="center"/>
    </xf>
    <xf numFmtId="170" fontId="0" fillId="10" borderId="0" xfId="1" applyNumberFormat="1" applyFont="1" applyFill="1" applyAlignment="1">
      <alignment vertical="center"/>
    </xf>
    <xf numFmtId="0" fontId="33" fillId="0" borderId="0" xfId="0" applyFont="1" applyFill="1" applyAlignment="1">
      <alignment horizontal="left" vertical="center"/>
    </xf>
    <xf numFmtId="0" fontId="24" fillId="12" borderId="0" xfId="0" applyFont="1" applyFill="1" applyAlignment="1">
      <alignment vertical="center"/>
    </xf>
    <xf numFmtId="170" fontId="24" fillId="12" borderId="0" xfId="1" applyNumberFormat="1" applyFont="1" applyFill="1" applyAlignment="1">
      <alignment vertical="center"/>
    </xf>
    <xf numFmtId="0" fontId="0" fillId="9" borderId="0" xfId="0" applyFill="1" applyAlignment="1">
      <alignment vertical="center"/>
    </xf>
    <xf numFmtId="170" fontId="0" fillId="9" borderId="0" xfId="1" applyNumberFormat="1" applyFont="1" applyFill="1" applyAlignment="1">
      <alignment vertical="center"/>
    </xf>
    <xf numFmtId="0" fontId="2" fillId="0" borderId="0" xfId="0" applyFont="1" applyAlignment="1">
      <alignment vertical="center"/>
    </xf>
    <xf numFmtId="0" fontId="24" fillId="13" borderId="0" xfId="0" applyFont="1" applyFill="1" applyAlignment="1">
      <alignment vertical="center"/>
    </xf>
    <xf numFmtId="170" fontId="24" fillId="13" borderId="0" xfId="1" applyNumberFormat="1" applyFont="1" applyFill="1" applyAlignment="1">
      <alignment vertical="center"/>
    </xf>
    <xf numFmtId="0" fontId="0" fillId="7" borderId="0" xfId="0" applyFill="1" applyAlignment="1">
      <alignment vertical="center"/>
    </xf>
    <xf numFmtId="170" fontId="0" fillId="7" borderId="0" xfId="1" applyNumberFormat="1" applyFont="1" applyFill="1" applyAlignment="1">
      <alignment vertical="center"/>
    </xf>
    <xf numFmtId="0" fontId="33" fillId="0" borderId="0" xfId="0" applyFont="1" applyAlignment="1">
      <alignment vertical="center"/>
    </xf>
    <xf numFmtId="43" fontId="0" fillId="9" borderId="0" xfId="1" applyNumberFormat="1" applyFont="1" applyFill="1" applyAlignment="1">
      <alignment vertical="center"/>
    </xf>
    <xf numFmtId="43" fontId="0" fillId="7" borderId="0" xfId="1" applyNumberFormat="1" applyFont="1" applyFill="1" applyAlignment="1">
      <alignment vertical="center"/>
    </xf>
    <xf numFmtId="0" fontId="39" fillId="0" borderId="0" xfId="2" applyFont="1" applyAlignment="1">
      <alignment vertical="center"/>
    </xf>
    <xf numFmtId="0" fontId="0" fillId="11" borderId="18" xfId="0" applyFill="1" applyBorder="1" applyAlignment="1">
      <alignment horizontal="left" vertical="top"/>
    </xf>
    <xf numFmtId="0" fontId="0" fillId="0" borderId="18" xfId="0" applyBorder="1" applyAlignment="1">
      <alignment horizontal="left" vertical="top" wrapText="1"/>
    </xf>
    <xf numFmtId="0" fontId="0" fillId="5" borderId="18" xfId="0" applyFill="1" applyBorder="1" applyAlignment="1">
      <alignment horizontal="left" vertical="top" wrapText="1"/>
    </xf>
    <xf numFmtId="0" fontId="0" fillId="0" borderId="32" xfId="0" applyFont="1" applyBorder="1"/>
    <xf numFmtId="0" fontId="0" fillId="0" borderId="33" xfId="0" applyFont="1" applyBorder="1" applyAlignment="1">
      <alignment horizontal="left"/>
    </xf>
    <xf numFmtId="0" fontId="0" fillId="0" borderId="34" xfId="0" applyFont="1" applyBorder="1" applyAlignment="1">
      <alignment horizontal="left"/>
    </xf>
    <xf numFmtId="169" fontId="18" fillId="3" borderId="35" xfId="1" applyNumberFormat="1" applyFont="1" applyFill="1" applyBorder="1"/>
    <xf numFmtId="164" fontId="7" fillId="0" borderId="7" xfId="10" applyNumberFormat="1" applyFont="1" applyFill="1" applyBorder="1" applyAlignment="1">
      <alignment vertical="top"/>
    </xf>
    <xf numFmtId="164" fontId="7" fillId="0" borderId="7" xfId="10" applyNumberFormat="1" applyFont="1" applyFill="1" applyBorder="1" applyAlignment="1">
      <alignment horizontal="left" vertical="top"/>
    </xf>
    <xf numFmtId="169" fontId="18" fillId="3" borderId="37" xfId="1" applyNumberFormat="1" applyFont="1" applyFill="1" applyBorder="1"/>
    <xf numFmtId="0" fontId="30" fillId="4" borderId="0" xfId="0" applyFont="1" applyFill="1"/>
    <xf numFmtId="0" fontId="40" fillId="4" borderId="0" xfId="0" applyFont="1" applyFill="1"/>
    <xf numFmtId="43" fontId="0" fillId="7" borderId="0" xfId="1" applyFont="1" applyFill="1"/>
    <xf numFmtId="171" fontId="0" fillId="10" borderId="0" xfId="1" applyNumberFormat="1" applyFont="1" applyFill="1" applyAlignment="1">
      <alignment vertical="center"/>
    </xf>
    <xf numFmtId="171" fontId="0" fillId="9" borderId="0" xfId="1" applyNumberFormat="1" applyFont="1" applyFill="1" applyAlignment="1">
      <alignment vertical="center"/>
    </xf>
    <xf numFmtId="171" fontId="0" fillId="7" borderId="0" xfId="1" applyNumberFormat="1" applyFont="1" applyFill="1" applyAlignment="1">
      <alignment vertical="center"/>
    </xf>
    <xf numFmtId="171" fontId="2" fillId="0" borderId="0" xfId="0" applyNumberFormat="1" applyFont="1" applyAlignment="1">
      <alignment vertical="center"/>
    </xf>
    <xf numFmtId="0" fontId="25" fillId="0" borderId="0" xfId="0" applyFont="1"/>
    <xf numFmtId="0" fontId="7" fillId="9" borderId="0" xfId="0" applyFont="1" applyFill="1" applyAlignment="1">
      <alignment vertical="center"/>
    </xf>
    <xf numFmtId="0" fontId="8" fillId="9" borderId="0" xfId="0" applyFont="1" applyFill="1" applyAlignment="1">
      <alignment vertical="center"/>
    </xf>
    <xf numFmtId="9" fontId="0" fillId="9" borderId="0" xfId="10" applyFont="1" applyFill="1" applyAlignment="1">
      <alignment vertical="center"/>
    </xf>
    <xf numFmtId="0" fontId="13" fillId="10" borderId="0" xfId="0" applyFont="1" applyFill="1" applyAlignment="1">
      <alignment vertical="center"/>
    </xf>
    <xf numFmtId="0" fontId="13" fillId="9" borderId="0" xfId="0" applyFont="1" applyFill="1" applyAlignment="1">
      <alignment vertical="center"/>
    </xf>
    <xf numFmtId="0" fontId="13" fillId="7" borderId="0" xfId="0" applyFont="1" applyFill="1" applyAlignment="1">
      <alignment vertical="center"/>
    </xf>
    <xf numFmtId="0" fontId="8" fillId="7" borderId="0" xfId="0" applyFont="1" applyFill="1" applyAlignment="1">
      <alignment vertical="center"/>
    </xf>
    <xf numFmtId="9" fontId="0" fillId="7" borderId="0" xfId="10" applyFont="1" applyFill="1" applyAlignment="1">
      <alignment vertical="center"/>
    </xf>
    <xf numFmtId="164" fontId="0" fillId="7" borderId="0" xfId="10" applyNumberFormat="1" applyFont="1" applyFill="1" applyAlignment="1">
      <alignment vertical="center"/>
    </xf>
    <xf numFmtId="164" fontId="0" fillId="9" borderId="0" xfId="10" applyNumberFormat="1" applyFont="1" applyFill="1" applyAlignment="1">
      <alignment vertical="center"/>
    </xf>
    <xf numFmtId="0" fontId="7" fillId="7" borderId="0" xfId="0" applyFont="1" applyFill="1" applyAlignment="1">
      <alignment vertical="center"/>
    </xf>
    <xf numFmtId="0" fontId="32" fillId="14" borderId="0" xfId="0" applyFont="1" applyFill="1" applyAlignment="1">
      <alignment vertical="center"/>
    </xf>
    <xf numFmtId="0" fontId="24" fillId="14" borderId="0" xfId="0" applyFont="1" applyFill="1" applyAlignment="1">
      <alignment vertical="center"/>
    </xf>
    <xf numFmtId="170" fontId="24" fillId="14" borderId="0" xfId="1" applyNumberFormat="1" applyFont="1" applyFill="1" applyAlignment="1">
      <alignment vertical="center"/>
    </xf>
    <xf numFmtId="0" fontId="13" fillId="15" borderId="0" xfId="0" applyFont="1" applyFill="1" applyAlignment="1">
      <alignment vertical="center"/>
    </xf>
    <xf numFmtId="0" fontId="0" fillId="15" borderId="0" xfId="0" applyFill="1" applyAlignment="1">
      <alignment vertical="center"/>
    </xf>
    <xf numFmtId="170" fontId="0" fillId="15" borderId="0" xfId="1" applyNumberFormat="1" applyFont="1" applyFill="1" applyAlignment="1">
      <alignment vertical="center"/>
    </xf>
    <xf numFmtId="171" fontId="0" fillId="15" borderId="0" xfId="1" applyNumberFormat="1" applyFont="1" applyFill="1" applyAlignment="1">
      <alignment vertical="center"/>
    </xf>
    <xf numFmtId="0" fontId="7" fillId="15" borderId="0" xfId="0" applyFont="1" applyFill="1" applyAlignment="1">
      <alignment vertical="center"/>
    </xf>
    <xf numFmtId="0" fontId="8" fillId="15" borderId="0" xfId="0" applyFont="1" applyFill="1" applyAlignment="1">
      <alignment vertical="center"/>
    </xf>
    <xf numFmtId="164" fontId="0" fillId="15" borderId="0" xfId="10" applyNumberFormat="1" applyFont="1" applyFill="1" applyAlignment="1">
      <alignment vertical="center"/>
    </xf>
    <xf numFmtId="9" fontId="0" fillId="15" borderId="0" xfId="10" applyFont="1" applyFill="1" applyAlignment="1">
      <alignment vertical="center"/>
    </xf>
    <xf numFmtId="0" fontId="13" fillId="7" borderId="0" xfId="0" applyFont="1" applyFill="1"/>
    <xf numFmtId="0" fontId="13" fillId="9" borderId="0" xfId="0" applyFont="1" applyFill="1"/>
    <xf numFmtId="43" fontId="0" fillId="15" borderId="0" xfId="1" applyNumberFormat="1" applyFont="1" applyFill="1" applyAlignment="1">
      <alignment vertical="center"/>
    </xf>
    <xf numFmtId="0" fontId="21" fillId="9" borderId="0" xfId="0" applyFont="1" applyFill="1" applyAlignment="1">
      <alignment vertical="center"/>
    </xf>
    <xf numFmtId="0" fontId="21" fillId="15" borderId="0" xfId="0" applyFont="1" applyFill="1" applyAlignment="1">
      <alignment vertical="center"/>
    </xf>
    <xf numFmtId="0" fontId="21" fillId="7" borderId="0" xfId="0" applyFont="1" applyFill="1" applyAlignment="1">
      <alignment vertical="center"/>
    </xf>
    <xf numFmtId="9" fontId="0" fillId="9" borderId="0" xfId="10" applyNumberFormat="1" applyFont="1" applyFill="1" applyAlignment="1">
      <alignment vertical="center"/>
    </xf>
    <xf numFmtId="43" fontId="0" fillId="9" borderId="0" xfId="1" applyFont="1" applyFill="1"/>
    <xf numFmtId="0" fontId="25" fillId="0" borderId="0" xfId="0" applyFont="1" applyAlignment="1">
      <alignment horizontal="right" vertical="center"/>
    </xf>
    <xf numFmtId="0" fontId="0" fillId="0" borderId="0" xfId="0" applyFont="1" applyFill="1"/>
    <xf numFmtId="0" fontId="42" fillId="3" borderId="29" xfId="0" applyFont="1" applyFill="1" applyBorder="1"/>
    <xf numFmtId="0" fontId="42" fillId="3" borderId="30" xfId="0" applyFont="1" applyFill="1" applyBorder="1"/>
    <xf numFmtId="0" fontId="0" fillId="0" borderId="10" xfId="0" applyFont="1" applyBorder="1"/>
    <xf numFmtId="0" fontId="0" fillId="0" borderId="11" xfId="0" applyFont="1" applyBorder="1" applyAlignment="1">
      <alignment horizontal="left"/>
    </xf>
    <xf numFmtId="0" fontId="0" fillId="0" borderId="12" xfId="0" applyFont="1" applyBorder="1" applyAlignment="1">
      <alignment horizontal="left"/>
    </xf>
    <xf numFmtId="169" fontId="18" fillId="3" borderId="38" xfId="1" applyNumberFormat="1" applyFont="1" applyFill="1" applyBorder="1"/>
    <xf numFmtId="169" fontId="18" fillId="3" borderId="39" xfId="1" applyNumberFormat="1" applyFont="1" applyFill="1" applyBorder="1"/>
    <xf numFmtId="169" fontId="18" fillId="3" borderId="40" xfId="1" applyNumberFormat="1" applyFont="1" applyFill="1" applyBorder="1"/>
    <xf numFmtId="0" fontId="43" fillId="6" borderId="0" xfId="0" applyFont="1" applyFill="1" applyAlignment="1">
      <alignment horizontal="left" vertical="top"/>
    </xf>
    <xf numFmtId="0" fontId="31" fillId="6" borderId="0" xfId="0" applyFont="1" applyFill="1" applyAlignment="1">
      <alignment horizontal="left" vertical="top"/>
    </xf>
    <xf numFmtId="0" fontId="24" fillId="6" borderId="0" xfId="0" applyFont="1" applyFill="1" applyAlignment="1">
      <alignment horizontal="left" vertical="top"/>
    </xf>
    <xf numFmtId="0" fontId="44" fillId="2" borderId="0" xfId="0" applyFont="1" applyFill="1" applyBorder="1"/>
    <xf numFmtId="0" fontId="45" fillId="2" borderId="0" xfId="0" applyFont="1" applyFill="1" applyBorder="1"/>
    <xf numFmtId="0" fontId="46" fillId="2" borderId="0" xfId="0" applyFont="1" applyFill="1" applyBorder="1"/>
    <xf numFmtId="0" fontId="45" fillId="12" borderId="0" xfId="0" applyFont="1" applyFill="1" applyBorder="1" applyAlignment="1"/>
    <xf numFmtId="0" fontId="45" fillId="12" borderId="0" xfId="0" applyFont="1" applyFill="1" applyBorder="1" applyAlignment="1">
      <alignment horizontal="left"/>
    </xf>
    <xf numFmtId="0" fontId="47" fillId="0" borderId="0" xfId="0" applyFont="1" applyBorder="1"/>
    <xf numFmtId="0" fontId="45" fillId="13" borderId="0" xfId="0" applyFont="1" applyFill="1" applyBorder="1" applyAlignment="1"/>
    <xf numFmtId="0" fontId="7" fillId="0" borderId="0" xfId="0" applyFont="1" applyBorder="1" applyAlignment="1">
      <alignment horizontal="left"/>
    </xf>
    <xf numFmtId="0" fontId="42" fillId="0" borderId="0" xfId="0" applyFont="1" applyBorder="1"/>
    <xf numFmtId="0" fontId="2" fillId="0" borderId="0" xfId="0" applyFont="1" applyBorder="1" applyAlignment="1">
      <alignment horizontal="left" vertical="top"/>
    </xf>
    <xf numFmtId="0" fontId="2" fillId="0" borderId="0" xfId="0" applyFont="1" applyFill="1" applyBorder="1"/>
    <xf numFmtId="43" fontId="24" fillId="12" borderId="0" xfId="1" applyNumberFormat="1" applyFont="1" applyFill="1"/>
    <xf numFmtId="169" fontId="18" fillId="3" borderId="36" xfId="1" applyNumberFormat="1" applyFont="1" applyFill="1" applyBorder="1"/>
    <xf numFmtId="169" fontId="18" fillId="3" borderId="41" xfId="1" applyNumberFormat="1" applyFont="1" applyFill="1" applyBorder="1"/>
    <xf numFmtId="164" fontId="0" fillId="0" borderId="0" xfId="10" applyNumberFormat="1" applyFont="1"/>
    <xf numFmtId="0" fontId="0" fillId="0" borderId="3" xfId="0" applyNumberFormat="1" applyBorder="1" applyAlignment="1">
      <alignment horizontal="left" vertical="top"/>
    </xf>
    <xf numFmtId="0" fontId="2" fillId="0" borderId="0" xfId="0" applyFont="1" applyFill="1" applyAlignment="1">
      <alignment vertical="center"/>
    </xf>
    <xf numFmtId="0" fontId="13" fillId="0" borderId="0" xfId="0" applyFont="1" applyAlignment="1">
      <alignment horizontal="center"/>
    </xf>
    <xf numFmtId="0" fontId="0" fillId="0" borderId="6" xfId="0" applyBorder="1" applyAlignment="1">
      <alignment horizontal="left" vertical="top"/>
    </xf>
    <xf numFmtId="0" fontId="0" fillId="0" borderId="5" xfId="0" applyBorder="1" applyAlignment="1">
      <alignment horizontal="left" vertical="top"/>
    </xf>
    <xf numFmtId="0" fontId="13" fillId="0" borderId="3" xfId="0" applyFont="1" applyBorder="1" applyAlignment="1">
      <alignment horizontal="center"/>
    </xf>
    <xf numFmtId="0" fontId="49" fillId="0" borderId="0" xfId="0" applyFont="1"/>
    <xf numFmtId="0" fontId="0" fillId="0" borderId="42" xfId="0" applyFont="1" applyBorder="1" applyAlignment="1">
      <alignment horizontal="left"/>
    </xf>
    <xf numFmtId="0" fontId="13" fillId="0" borderId="43" xfId="0" applyFont="1" applyBorder="1" applyAlignment="1">
      <alignment horizontal="center"/>
    </xf>
    <xf numFmtId="0" fontId="13" fillId="0" borderId="0" xfId="0" applyFont="1" applyBorder="1" applyAlignment="1">
      <alignment horizontal="center"/>
    </xf>
    <xf numFmtId="9" fontId="0" fillId="9" borderId="0" xfId="10" applyFont="1" applyFill="1"/>
    <xf numFmtId="164" fontId="0" fillId="9" borderId="0" xfId="10" applyNumberFormat="1" applyFont="1" applyFill="1"/>
    <xf numFmtId="0" fontId="0" fillId="0" borderId="0" xfId="0" applyFont="1" applyBorder="1"/>
    <xf numFmtId="165" fontId="1" fillId="0" borderId="0" xfId="11" applyNumberFormat="1" applyFont="1" applyAlignment="1">
      <alignment horizontal="right"/>
    </xf>
    <xf numFmtId="164" fontId="1" fillId="0" borderId="42" xfId="10" applyNumberFormat="1" applyFont="1" applyBorder="1" applyAlignment="1">
      <alignment horizontal="right"/>
    </xf>
    <xf numFmtId="0" fontId="0" fillId="0" borderId="0" xfId="0" applyAlignment="1">
      <alignment horizontal="left" indent="2"/>
    </xf>
    <xf numFmtId="0" fontId="0" fillId="0" borderId="42" xfId="0" applyBorder="1" applyAlignment="1">
      <alignment horizontal="left" indent="2"/>
    </xf>
    <xf numFmtId="0" fontId="13" fillId="3" borderId="3" xfId="0" applyFont="1" applyFill="1" applyBorder="1" applyAlignment="1">
      <alignment horizontal="center"/>
    </xf>
    <xf numFmtId="164" fontId="1" fillId="3" borderId="0" xfId="10" applyNumberFormat="1" applyFont="1" applyFill="1" applyBorder="1" applyAlignment="1">
      <alignment horizontal="right"/>
    </xf>
    <xf numFmtId="164" fontId="1" fillId="3" borderId="3" xfId="10" applyNumberFormat="1" applyFont="1" applyFill="1" applyBorder="1" applyAlignment="1">
      <alignment horizontal="right"/>
    </xf>
    <xf numFmtId="166" fontId="20" fillId="0" borderId="0" xfId="0" applyNumberFormat="1" applyFont="1"/>
    <xf numFmtId="0" fontId="2" fillId="0" borderId="0" xfId="0" applyNumberFormat="1" applyFont="1" applyAlignment="1">
      <alignment vertical="center"/>
    </xf>
    <xf numFmtId="169" fontId="0" fillId="9" borderId="0" xfId="0" applyNumberFormat="1" applyFill="1" applyBorder="1"/>
    <xf numFmtId="9" fontId="0" fillId="7" borderId="0" xfId="10" applyNumberFormat="1" applyFont="1" applyFill="1" applyAlignment="1">
      <alignment vertical="center"/>
    </xf>
    <xf numFmtId="9" fontId="0" fillId="15" borderId="0" xfId="10" applyNumberFormat="1" applyFont="1" applyFill="1" applyAlignment="1">
      <alignment vertical="center"/>
    </xf>
    <xf numFmtId="170" fontId="2" fillId="9" borderId="0" xfId="0" applyNumberFormat="1" applyFont="1" applyFill="1"/>
    <xf numFmtId="0" fontId="7" fillId="0" borderId="0" xfId="0" applyFont="1" applyBorder="1"/>
    <xf numFmtId="0" fontId="40" fillId="0" borderId="0" xfId="0" applyFont="1" applyFill="1" applyBorder="1" applyAlignment="1">
      <alignment vertical="top"/>
    </xf>
    <xf numFmtId="0" fontId="53" fillId="5" borderId="0" xfId="0" applyFont="1" applyFill="1" applyBorder="1"/>
    <xf numFmtId="0" fontId="53" fillId="10" borderId="0" xfId="0" applyFont="1" applyFill="1" applyBorder="1"/>
    <xf numFmtId="0" fontId="53" fillId="10" borderId="0" xfId="0" applyFont="1" applyFill="1"/>
    <xf numFmtId="0" fontId="54" fillId="10" borderId="0" xfId="0" applyFont="1" applyFill="1"/>
    <xf numFmtId="0" fontId="23" fillId="0" borderId="0" xfId="2" applyFont="1" applyAlignment="1">
      <alignment vertical="center"/>
    </xf>
    <xf numFmtId="0" fontId="7" fillId="0" borderId="0" xfId="0" applyFont="1" applyFill="1"/>
    <xf numFmtId="0" fontId="7" fillId="0" borderId="7" xfId="0" applyFont="1" applyFill="1" applyBorder="1" applyAlignment="1">
      <alignment horizontal="left" vertical="top"/>
    </xf>
    <xf numFmtId="164" fontId="52" fillId="5" borderId="16" xfId="10" applyNumberFormat="1" applyFont="1" applyFill="1" applyBorder="1" applyAlignment="1">
      <alignment horizontal="left" vertical="top"/>
    </xf>
    <xf numFmtId="164" fontId="52" fillId="5" borderId="17" xfId="10" applyNumberFormat="1" applyFont="1" applyFill="1" applyBorder="1" applyAlignment="1">
      <alignment horizontal="left" vertical="top"/>
    </xf>
    <xf numFmtId="0" fontId="57" fillId="5" borderId="16" xfId="0" applyFont="1" applyFill="1" applyBorder="1" applyAlignment="1">
      <alignment vertical="top"/>
    </xf>
    <xf numFmtId="164" fontId="7" fillId="0" borderId="0" xfId="10" applyNumberFormat="1" applyFont="1" applyFill="1" applyBorder="1" applyAlignment="1">
      <alignment horizontal="left" vertical="top"/>
    </xf>
    <xf numFmtId="0" fontId="48" fillId="5" borderId="16" xfId="0" applyFont="1" applyFill="1" applyBorder="1" applyAlignment="1">
      <alignment vertical="top"/>
    </xf>
    <xf numFmtId="164" fontId="56" fillId="5" borderId="16" xfId="10" applyNumberFormat="1" applyFont="1" applyFill="1" applyBorder="1" applyAlignment="1">
      <alignment horizontal="left" vertical="top"/>
    </xf>
    <xf numFmtId="164" fontId="56" fillId="5" borderId="17" xfId="10" applyNumberFormat="1" applyFont="1" applyFill="1" applyBorder="1" applyAlignment="1">
      <alignment horizontal="left" vertical="top"/>
    </xf>
    <xf numFmtId="164" fontId="56" fillId="5" borderId="16" xfId="10" applyNumberFormat="1" applyFont="1" applyFill="1" applyBorder="1"/>
    <xf numFmtId="0" fontId="24" fillId="6" borderId="44" xfId="0" applyFont="1" applyFill="1" applyBorder="1" applyAlignment="1"/>
    <xf numFmtId="0" fontId="24" fillId="6" borderId="44" xfId="0" applyFont="1" applyFill="1" applyBorder="1" applyAlignment="1">
      <alignment horizontal="left" vertical="top"/>
    </xf>
    <xf numFmtId="0" fontId="24" fillId="6" borderId="45" xfId="0" applyNumberFormat="1" applyFont="1" applyFill="1" applyBorder="1" applyAlignment="1">
      <alignment horizontal="left" vertical="top"/>
    </xf>
    <xf numFmtId="0" fontId="24" fillId="6" borderId="44" xfId="0" applyNumberFormat="1" applyFont="1" applyFill="1" applyBorder="1" applyAlignment="1">
      <alignment horizontal="left" vertical="top"/>
    </xf>
    <xf numFmtId="0" fontId="0" fillId="0" borderId="8" xfId="0" applyFill="1" applyBorder="1" applyAlignment="1">
      <alignment horizontal="left" vertical="top"/>
    </xf>
    <xf numFmtId="164" fontId="2" fillId="0" borderId="0" xfId="10" applyNumberFormat="1" applyFont="1" applyFill="1" applyBorder="1"/>
    <xf numFmtId="0" fontId="0" fillId="0" borderId="0" xfId="0" applyFont="1" applyFill="1" applyBorder="1" applyAlignment="1">
      <alignment vertical="top"/>
    </xf>
    <xf numFmtId="0" fontId="57" fillId="5" borderId="48" xfId="0" applyFont="1" applyFill="1" applyBorder="1" applyAlignment="1">
      <alignment vertical="top"/>
    </xf>
    <xf numFmtId="164" fontId="52" fillId="5" borderId="48" xfId="10" applyNumberFormat="1" applyFont="1" applyFill="1" applyBorder="1" applyAlignment="1">
      <alignment horizontal="left" vertical="top"/>
    </xf>
    <xf numFmtId="164" fontId="52" fillId="5" borderId="49" xfId="10" applyNumberFormat="1" applyFont="1" applyFill="1" applyBorder="1" applyAlignment="1">
      <alignment horizontal="left" vertical="top"/>
    </xf>
    <xf numFmtId="3" fontId="18" fillId="3" borderId="50" xfId="0" applyNumberFormat="1" applyFont="1" applyFill="1" applyBorder="1" applyAlignment="1">
      <alignment horizontal="left" vertical="top"/>
    </xf>
    <xf numFmtId="164" fontId="18" fillId="3" borderId="51" xfId="10" applyNumberFormat="1" applyFont="1" applyFill="1" applyBorder="1" applyAlignment="1">
      <alignment horizontal="left" vertical="top"/>
    </xf>
    <xf numFmtId="0" fontId="18" fillId="3" borderId="50" xfId="0" applyFont="1" applyFill="1" applyBorder="1" applyAlignment="1">
      <alignment horizontal="left" vertical="top"/>
    </xf>
    <xf numFmtId="3" fontId="18" fillId="3" borderId="51" xfId="0" applyNumberFormat="1" applyFont="1" applyFill="1" applyBorder="1" applyAlignment="1">
      <alignment horizontal="left" vertical="top"/>
    </xf>
    <xf numFmtId="167" fontId="18" fillId="3" borderId="51" xfId="0" applyNumberFormat="1" applyFont="1" applyFill="1" applyBorder="1" applyAlignment="1">
      <alignment horizontal="left" vertical="top"/>
    </xf>
    <xf numFmtId="0" fontId="24" fillId="6" borderId="52" xfId="0" applyFont="1" applyFill="1" applyBorder="1" applyAlignment="1">
      <alignment horizontal="left" vertical="top"/>
    </xf>
    <xf numFmtId="0" fontId="24" fillId="6" borderId="52" xfId="0" applyFont="1" applyFill="1" applyBorder="1" applyAlignment="1">
      <alignment horizontal="left"/>
    </xf>
    <xf numFmtId="0" fontId="24" fillId="6" borderId="52" xfId="0" applyNumberFormat="1" applyFont="1" applyFill="1" applyBorder="1" applyAlignment="1">
      <alignment horizontal="left" vertical="top"/>
    </xf>
    <xf numFmtId="3" fontId="18" fillId="3" borderId="51" xfId="0" applyNumberFormat="1" applyFont="1" applyFill="1" applyBorder="1" applyAlignment="1">
      <alignment horizontal="left"/>
    </xf>
    <xf numFmtId="164" fontId="2" fillId="0" borderId="0" xfId="10" applyNumberFormat="1" applyFont="1" applyFill="1" applyBorder="1" applyAlignment="1">
      <alignment horizontal="left"/>
    </xf>
    <xf numFmtId="0" fontId="55" fillId="6" borderId="52" xfId="0" applyFont="1" applyFill="1" applyBorder="1" applyAlignment="1">
      <alignment horizontal="left" vertical="top"/>
    </xf>
    <xf numFmtId="0" fontId="24" fillId="6" borderId="52" xfId="0" applyFont="1" applyFill="1" applyBorder="1" applyAlignment="1"/>
    <xf numFmtId="0" fontId="3" fillId="0" borderId="0" xfId="0" applyNumberFormat="1" applyFont="1" applyFill="1" applyBorder="1" applyAlignment="1">
      <alignment horizontal="left" vertical="top"/>
    </xf>
    <xf numFmtId="3" fontId="20" fillId="0" borderId="0" xfId="0" applyNumberFormat="1" applyFont="1" applyBorder="1" applyAlignment="1">
      <alignment horizontal="left" vertical="top"/>
    </xf>
    <xf numFmtId="0" fontId="3" fillId="0" borderId="0" xfId="0" applyFont="1" applyFill="1" applyBorder="1" applyAlignment="1">
      <alignment vertical="top"/>
    </xf>
    <xf numFmtId="0" fontId="3" fillId="0" borderId="0" xfId="0" applyFont="1" applyFill="1" applyBorder="1" applyAlignment="1">
      <alignment horizontal="left" vertical="top"/>
    </xf>
    <xf numFmtId="0" fontId="18" fillId="3" borderId="19" xfId="10" applyNumberFormat="1" applyFont="1" applyFill="1" applyBorder="1" applyAlignment="1">
      <alignment horizontal="left" vertical="top"/>
    </xf>
    <xf numFmtId="0" fontId="18" fillId="3" borderId="19" xfId="0" applyNumberFormat="1" applyFont="1" applyFill="1" applyBorder="1" applyAlignment="1">
      <alignment horizontal="left" vertical="top"/>
    </xf>
    <xf numFmtId="0" fontId="18" fillId="3" borderId="31" xfId="10" applyNumberFormat="1" applyFont="1" applyFill="1" applyBorder="1" applyAlignment="1">
      <alignment horizontal="left" vertical="top"/>
    </xf>
    <xf numFmtId="0" fontId="18" fillId="3" borderId="20" xfId="0" applyNumberFormat="1" applyFont="1" applyFill="1" applyBorder="1" applyAlignment="1">
      <alignment horizontal="left" vertical="top"/>
    </xf>
    <xf numFmtId="164" fontId="52" fillId="5" borderId="15" xfId="10" applyNumberFormat="1" applyFont="1" applyFill="1" applyBorder="1"/>
    <xf numFmtId="0" fontId="37" fillId="0" borderId="15" xfId="0"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3" xfId="0" applyNumberFormat="1" applyFont="1" applyFill="1" applyBorder="1" applyAlignment="1">
      <alignment horizontal="left" vertical="top"/>
    </xf>
    <xf numFmtId="0" fontId="24" fillId="6" borderId="46" xfId="0" applyFont="1" applyFill="1" applyBorder="1" applyAlignment="1">
      <alignment horizontal="left" vertical="top"/>
    </xf>
    <xf numFmtId="164" fontId="52" fillId="5" borderId="53" xfId="10" applyNumberFormat="1" applyFont="1" applyFill="1" applyBorder="1"/>
    <xf numFmtId="0" fontId="18" fillId="3" borderId="51" xfId="0" applyNumberFormat="1" applyFont="1" applyFill="1" applyBorder="1" applyAlignment="1">
      <alignment horizontal="left" vertical="top"/>
    </xf>
    <xf numFmtId="164" fontId="18" fillId="3" borderId="54" xfId="10" applyNumberFormat="1" applyFont="1" applyFill="1" applyBorder="1" applyAlignment="1">
      <alignment horizontal="left" vertical="top"/>
    </xf>
    <xf numFmtId="0" fontId="18" fillId="3" borderId="55" xfId="10" applyNumberFormat="1" applyFont="1" applyFill="1" applyBorder="1" applyAlignment="1">
      <alignment horizontal="left" vertical="top"/>
    </xf>
    <xf numFmtId="0" fontId="0" fillId="0" borderId="2" xfId="0" applyBorder="1" applyAlignment="1">
      <alignment horizontal="left" vertical="top"/>
    </xf>
    <xf numFmtId="0" fontId="24" fillId="6" borderId="56" xfId="0" applyFont="1" applyFill="1" applyBorder="1" applyAlignment="1">
      <alignment horizontal="left" vertical="top"/>
    </xf>
    <xf numFmtId="0" fontId="24" fillId="6" borderId="57" xfId="0" applyNumberFormat="1" applyFont="1" applyFill="1" applyBorder="1" applyAlignment="1">
      <alignment horizontal="left" vertical="top"/>
    </xf>
    <xf numFmtId="0" fontId="20" fillId="0" borderId="59" xfId="0" applyNumberFormat="1" applyFont="1" applyBorder="1" applyAlignment="1">
      <alignment horizontal="left" vertical="top"/>
    </xf>
    <xf numFmtId="3" fontId="20" fillId="0" borderId="59" xfId="0" applyNumberFormat="1" applyFont="1" applyBorder="1" applyAlignment="1">
      <alignment horizontal="left" vertical="top"/>
    </xf>
    <xf numFmtId="0" fontId="3" fillId="0" borderId="16" xfId="0" applyFont="1" applyFill="1" applyBorder="1" applyAlignment="1">
      <alignment vertical="top"/>
    </xf>
    <xf numFmtId="0" fontId="3" fillId="0" borderId="16" xfId="0" applyFont="1" applyFill="1" applyBorder="1" applyAlignment="1">
      <alignment horizontal="left" vertical="top"/>
    </xf>
    <xf numFmtId="0" fontId="0" fillId="0" borderId="2" xfId="0" applyFill="1" applyBorder="1" applyAlignment="1">
      <alignment vertical="top"/>
    </xf>
    <xf numFmtId="0" fontId="0" fillId="0" borderId="15" xfId="0" applyFill="1" applyBorder="1" applyAlignment="1">
      <alignment vertical="top"/>
    </xf>
    <xf numFmtId="0" fontId="43" fillId="6" borderId="46" xfId="0" applyFont="1" applyFill="1" applyBorder="1" applyAlignment="1">
      <alignment horizontal="left" vertical="top"/>
    </xf>
    <xf numFmtId="164" fontId="14" fillId="0" borderId="2" xfId="10" applyNumberFormat="1" applyFont="1" applyFill="1" applyBorder="1"/>
    <xf numFmtId="3" fontId="14" fillId="0" borderId="2" xfId="0" applyNumberFormat="1" applyFont="1" applyFill="1" applyBorder="1" applyAlignment="1">
      <alignment horizontal="left"/>
    </xf>
    <xf numFmtId="164" fontId="14" fillId="0" borderId="2" xfId="10" applyNumberFormat="1" applyFont="1" applyFill="1" applyBorder="1" applyAlignment="1">
      <alignment horizontal="left"/>
    </xf>
    <xf numFmtId="0" fontId="14" fillId="0" borderId="2" xfId="0" applyFont="1" applyBorder="1"/>
    <xf numFmtId="0" fontId="14" fillId="0" borderId="2" xfId="0" applyFont="1" applyFill="1" applyBorder="1"/>
    <xf numFmtId="0" fontId="29" fillId="0" borderId="2" xfId="0" applyFont="1" applyFill="1" applyBorder="1"/>
    <xf numFmtId="0" fontId="36" fillId="0" borderId="2" xfId="0" applyFont="1" applyFill="1" applyBorder="1"/>
    <xf numFmtId="164" fontId="36" fillId="0" borderId="2" xfId="10" applyNumberFormat="1" applyFont="1" applyFill="1" applyBorder="1"/>
    <xf numFmtId="0" fontId="52" fillId="5" borderId="16" xfId="10" applyNumberFormat="1" applyFont="1" applyFill="1" applyBorder="1" applyAlignment="1">
      <alignment horizontal="left" vertical="top"/>
    </xf>
    <xf numFmtId="0" fontId="52" fillId="5" borderId="17" xfId="10" applyNumberFormat="1" applyFont="1" applyFill="1" applyBorder="1" applyAlignment="1">
      <alignment horizontal="left" vertical="top"/>
    </xf>
    <xf numFmtId="0" fontId="52" fillId="5" borderId="48" xfId="10" applyNumberFormat="1" applyFont="1" applyFill="1" applyBorder="1" applyAlignment="1">
      <alignment horizontal="left" vertical="top"/>
    </xf>
    <xf numFmtId="0" fontId="52" fillId="5" borderId="49" xfId="10" applyNumberFormat="1" applyFont="1" applyFill="1" applyBorder="1" applyAlignment="1">
      <alignment horizontal="left" vertical="top"/>
    </xf>
    <xf numFmtId="164" fontId="0" fillId="0" borderId="0" xfId="10" applyNumberFormat="1" applyFont="1" applyFill="1" applyBorder="1" applyAlignment="1">
      <alignment vertical="top"/>
    </xf>
    <xf numFmtId="0" fontId="2" fillId="0" borderId="0" xfId="0" applyFont="1" applyFill="1" applyBorder="1" applyAlignment="1">
      <alignment horizontal="left" vertical="top"/>
    </xf>
    <xf numFmtId="0" fontId="0" fillId="0" borderId="0" xfId="0" applyFont="1" applyFill="1" applyBorder="1"/>
    <xf numFmtId="3" fontId="0" fillId="0" borderId="0" xfId="0" applyNumberFormat="1" applyFont="1" applyFill="1" applyBorder="1" applyAlignment="1">
      <alignment horizontal="left"/>
    </xf>
    <xf numFmtId="164" fontId="1" fillId="0" borderId="0" xfId="10" applyNumberFormat="1" applyFont="1" applyFill="1" applyBorder="1" applyAlignment="1">
      <alignment horizontal="left"/>
    </xf>
    <xf numFmtId="164" fontId="1" fillId="0" borderId="0" xfId="10" applyNumberFormat="1" applyFont="1" applyFill="1" applyBorder="1"/>
    <xf numFmtId="0" fontId="7" fillId="0" borderId="0" xfId="0" applyNumberFormat="1" applyFont="1" applyFill="1" applyBorder="1" applyAlignment="1">
      <alignment horizontal="left" vertical="top"/>
    </xf>
    <xf numFmtId="0" fontId="7" fillId="0" borderId="0" xfId="10" applyNumberFormat="1" applyFont="1" applyFill="1" applyBorder="1" applyAlignment="1">
      <alignment horizontal="left" vertical="top"/>
    </xf>
    <xf numFmtId="0" fontId="58" fillId="0" borderId="0" xfId="0" applyFont="1" applyFill="1" applyBorder="1" applyAlignment="1">
      <alignment vertical="top"/>
    </xf>
    <xf numFmtId="0" fontId="58" fillId="0" borderId="0" xfId="0" applyFont="1" applyFill="1" applyBorder="1"/>
    <xf numFmtId="0" fontId="34" fillId="0" borderId="0" xfId="0" applyFont="1" applyFill="1" applyBorder="1" applyAlignment="1">
      <alignment vertical="top"/>
    </xf>
    <xf numFmtId="0" fontId="34" fillId="0" borderId="0" xfId="0" applyFont="1" applyFill="1" applyBorder="1" applyAlignment="1">
      <alignment horizontal="left" vertical="top"/>
    </xf>
    <xf numFmtId="0" fontId="24" fillId="0" borderId="16" xfId="0" applyNumberFormat="1" applyFont="1" applyFill="1" applyBorder="1" applyAlignment="1">
      <alignment horizontal="left" vertical="top"/>
    </xf>
    <xf numFmtId="0" fontId="24" fillId="0" borderId="17" xfId="0" applyNumberFormat="1" applyFont="1" applyFill="1" applyBorder="1" applyAlignment="1">
      <alignment horizontal="left" vertical="top"/>
    </xf>
    <xf numFmtId="0" fontId="20" fillId="0" borderId="0" xfId="0" applyFont="1" applyFill="1" applyBorder="1" applyAlignment="1">
      <alignment vertical="top"/>
    </xf>
    <xf numFmtId="164" fontId="20" fillId="0" borderId="0" xfId="10" applyNumberFormat="1" applyFont="1" applyFill="1" applyBorder="1"/>
    <xf numFmtId="0" fontId="20" fillId="0" borderId="0" xfId="0" applyFont="1" applyFill="1" applyBorder="1"/>
    <xf numFmtId="0" fontId="7" fillId="9" borderId="0" xfId="0" applyFont="1" applyFill="1" applyBorder="1" applyAlignment="1">
      <alignment vertical="center"/>
    </xf>
    <xf numFmtId="0" fontId="0" fillId="9" borderId="0" xfId="0" applyFill="1" applyBorder="1" applyAlignment="1">
      <alignment vertical="center"/>
    </xf>
    <xf numFmtId="0" fontId="7" fillId="9" borderId="33" xfId="0" applyFont="1" applyFill="1" applyBorder="1" applyAlignment="1">
      <alignment vertical="center"/>
    </xf>
    <xf numFmtId="0" fontId="0" fillId="9" borderId="33" xfId="0" applyFill="1" applyBorder="1" applyAlignment="1">
      <alignment vertical="center"/>
    </xf>
    <xf numFmtId="171" fontId="0" fillId="7" borderId="0" xfId="1" applyNumberFormat="1" applyFont="1" applyFill="1" applyBorder="1" applyAlignment="1">
      <alignment vertical="center"/>
    </xf>
    <xf numFmtId="0" fontId="25" fillId="0" borderId="0" xfId="0" applyNumberFormat="1" applyFont="1" applyBorder="1" applyAlignment="1">
      <alignment horizontal="left" vertical="top"/>
    </xf>
    <xf numFmtId="0" fontId="17" fillId="0" borderId="14" xfId="9" applyFont="1" applyBorder="1" applyAlignment="1">
      <alignment horizontal="left" wrapText="1"/>
    </xf>
    <xf numFmtId="0" fontId="17" fillId="0" borderId="6" xfId="9" applyFont="1" applyBorder="1" applyAlignment="1">
      <alignment horizontal="left" wrapText="1"/>
    </xf>
    <xf numFmtId="168" fontId="17" fillId="0" borderId="6" xfId="5" applyNumberFormat="1" applyFont="1" applyBorder="1" applyAlignment="1">
      <alignment horizontal="left" wrapText="1"/>
    </xf>
    <xf numFmtId="0" fontId="53" fillId="0" borderId="0" xfId="0" applyFont="1"/>
    <xf numFmtId="0" fontId="53" fillId="10" borderId="0" xfId="0" applyFont="1" applyFill="1" applyAlignment="1">
      <alignment vertical="center"/>
    </xf>
    <xf numFmtId="0" fontId="53" fillId="9" borderId="0" xfId="0" applyFont="1" applyFill="1" applyAlignment="1">
      <alignment vertical="center"/>
    </xf>
    <xf numFmtId="0" fontId="53" fillId="7" borderId="0" xfId="0" applyFont="1" applyFill="1" applyAlignment="1">
      <alignment vertical="center"/>
    </xf>
    <xf numFmtId="0" fontId="53" fillId="15" borderId="0" xfId="0" applyFont="1" applyFill="1" applyAlignment="1">
      <alignment horizontal="left" vertical="center"/>
    </xf>
    <xf numFmtId="0" fontId="17" fillId="0" borderId="0" xfId="2" applyFont="1" applyAlignment="1">
      <alignment vertical="center"/>
    </xf>
    <xf numFmtId="0" fontId="0" fillId="0" borderId="0" xfId="0" applyFont="1" applyAlignment="1">
      <alignment vertical="center"/>
    </xf>
    <xf numFmtId="0" fontId="0" fillId="7" borderId="33" xfId="0" applyFill="1" applyBorder="1" applyAlignment="1">
      <alignment vertical="center"/>
    </xf>
    <xf numFmtId="0" fontId="53" fillId="0" borderId="0" xfId="0" applyFont="1" applyBorder="1"/>
    <xf numFmtId="0" fontId="53" fillId="7" borderId="0" xfId="0" applyFont="1" applyFill="1" applyBorder="1" applyAlignment="1">
      <alignment vertical="center"/>
    </xf>
    <xf numFmtId="0" fontId="0" fillId="7" borderId="0" xfId="0" applyFill="1" applyBorder="1" applyAlignment="1">
      <alignment vertical="center"/>
    </xf>
    <xf numFmtId="0" fontId="0" fillId="0" borderId="0" xfId="0" applyBorder="1" applyAlignment="1">
      <alignment vertical="center"/>
    </xf>
    <xf numFmtId="0" fontId="33" fillId="0" borderId="0" xfId="0" applyFont="1" applyFill="1" applyBorder="1" applyAlignment="1">
      <alignment horizontal="left" vertical="center"/>
    </xf>
    <xf numFmtId="169" fontId="18" fillId="3" borderId="29" xfId="1" applyNumberFormat="1" applyFont="1" applyFill="1" applyBorder="1"/>
    <xf numFmtId="169" fontId="18" fillId="3" borderId="60" xfId="1" applyNumberFormat="1" applyFont="1" applyFill="1" applyBorder="1"/>
    <xf numFmtId="3" fontId="2" fillId="0" borderId="59" xfId="0" applyNumberFormat="1" applyFont="1" applyBorder="1" applyAlignment="1">
      <alignment horizontal="left" vertical="top"/>
    </xf>
    <xf numFmtId="0" fontId="59" fillId="0" borderId="0" xfId="1" applyNumberFormat="1" applyFont="1" applyFill="1" applyBorder="1" applyAlignment="1">
      <alignment horizontal="left"/>
    </xf>
    <xf numFmtId="169" fontId="18" fillId="3" borderId="51" xfId="1" applyNumberFormat="1" applyFont="1" applyFill="1" applyBorder="1"/>
    <xf numFmtId="0" fontId="5" fillId="0" borderId="0" xfId="2" applyNumberFormat="1" applyFont="1" applyAlignment="1">
      <alignment vertical="center"/>
    </xf>
    <xf numFmtId="0" fontId="43" fillId="6" borderId="44" xfId="0" applyFont="1" applyFill="1" applyBorder="1" applyAlignment="1">
      <alignment horizontal="left" vertical="top"/>
    </xf>
    <xf numFmtId="0" fontId="60" fillId="0" borderId="0" xfId="0" applyFont="1"/>
    <xf numFmtId="0" fontId="18" fillId="3" borderId="19" xfId="1" applyNumberFormat="1" applyFont="1" applyFill="1" applyBorder="1"/>
    <xf numFmtId="43" fontId="0" fillId="0" borderId="0" xfId="1" applyFont="1"/>
    <xf numFmtId="169" fontId="7" fillId="0" borderId="0" xfId="1" applyNumberFormat="1" applyFont="1" applyFill="1" applyBorder="1"/>
    <xf numFmtId="169" fontId="7" fillId="0" borderId="3" xfId="1" applyNumberFormat="1" applyFont="1" applyFill="1" applyBorder="1"/>
    <xf numFmtId="169" fontId="7" fillId="0" borderId="33" xfId="1" applyNumberFormat="1" applyFont="1" applyFill="1" applyBorder="1"/>
    <xf numFmtId="169" fontId="7" fillId="0" borderId="34" xfId="1" applyNumberFormat="1" applyFont="1" applyFill="1" applyBorder="1"/>
    <xf numFmtId="169" fontId="7" fillId="0" borderId="2" xfId="1" applyNumberFormat="1" applyFont="1" applyFill="1" applyBorder="1"/>
    <xf numFmtId="169" fontId="7" fillId="0" borderId="62" xfId="1" applyNumberFormat="1" applyFont="1" applyFill="1" applyBorder="1"/>
    <xf numFmtId="169" fontId="7" fillId="0" borderId="4" xfId="1" applyNumberFormat="1" applyFont="1" applyFill="1" applyBorder="1"/>
    <xf numFmtId="169" fontId="7" fillId="0" borderId="6" xfId="1" applyNumberFormat="1" applyFont="1" applyFill="1" applyBorder="1"/>
    <xf numFmtId="169" fontId="7" fillId="0" borderId="5" xfId="1" applyNumberFormat="1" applyFont="1" applyFill="1" applyBorder="1"/>
    <xf numFmtId="169" fontId="7" fillId="0" borderId="14" xfId="1" applyNumberFormat="1" applyFont="1" applyFill="1" applyBorder="1"/>
    <xf numFmtId="9" fontId="18" fillId="3" borderId="19" xfId="10" applyFont="1" applyFill="1" applyBorder="1" applyAlignment="1">
      <alignment horizontal="center"/>
    </xf>
    <xf numFmtId="169" fontId="18" fillId="3" borderId="50" xfId="1" applyNumberFormat="1" applyFont="1" applyFill="1" applyBorder="1"/>
    <xf numFmtId="169" fontId="7" fillId="0" borderId="32" xfId="1" applyNumberFormat="1" applyFont="1" applyFill="1" applyBorder="1"/>
    <xf numFmtId="169" fontId="7" fillId="0" borderId="9" xfId="1" applyNumberFormat="1" applyFont="1" applyFill="1" applyBorder="1"/>
    <xf numFmtId="169" fontId="7" fillId="0" borderId="10" xfId="1" applyNumberFormat="1" applyFont="1" applyFill="1" applyBorder="1"/>
    <xf numFmtId="169" fontId="7" fillId="0" borderId="11" xfId="1" applyNumberFormat="1" applyFont="1" applyFill="1" applyBorder="1"/>
    <xf numFmtId="169" fontId="7" fillId="0" borderId="12" xfId="1" applyNumberFormat="1" applyFont="1" applyFill="1" applyBorder="1"/>
    <xf numFmtId="0" fontId="7" fillId="6" borderId="44" xfId="0" applyFont="1" applyFill="1" applyBorder="1" applyAlignment="1">
      <alignment horizontal="left" vertical="top"/>
    </xf>
    <xf numFmtId="0" fontId="61" fillId="0" borderId="0" xfId="0" applyFont="1" applyBorder="1"/>
    <xf numFmtId="0" fontId="16" fillId="0" borderId="0" xfId="0" applyFont="1" applyAlignment="1">
      <alignment horizontal="left" vertical="top"/>
    </xf>
    <xf numFmtId="0" fontId="7" fillId="0" borderId="0" xfId="0" applyFont="1" applyAlignment="1">
      <alignment horizontal="left" vertical="top"/>
    </xf>
    <xf numFmtId="0" fontId="1" fillId="0" borderId="9" xfId="0" applyFont="1" applyBorder="1" applyAlignment="1">
      <alignment horizontal="left"/>
    </xf>
    <xf numFmtId="0" fontId="1" fillId="0" borderId="14" xfId="0" applyFont="1" applyBorder="1"/>
    <xf numFmtId="0" fontId="7" fillId="0" borderId="0" xfId="2" applyFont="1"/>
    <xf numFmtId="0" fontId="19" fillId="0" borderId="0" xfId="2" applyFont="1"/>
    <xf numFmtId="0" fontId="62" fillId="2" borderId="1" xfId="2" applyFont="1" applyFill="1" applyBorder="1" applyAlignment="1">
      <alignment vertical="center"/>
    </xf>
    <xf numFmtId="0" fontId="24" fillId="2" borderId="1" xfId="2" applyFont="1" applyFill="1" applyBorder="1" applyAlignment="1">
      <alignment vertical="center"/>
    </xf>
    <xf numFmtId="0" fontId="16" fillId="0" borderId="0" xfId="2" applyFont="1"/>
    <xf numFmtId="0" fontId="7" fillId="0" borderId="2" xfId="2" applyFont="1" applyBorder="1"/>
    <xf numFmtId="0" fontId="18" fillId="3" borderId="61" xfId="2" applyFont="1" applyFill="1" applyBorder="1"/>
    <xf numFmtId="0" fontId="18" fillId="3" borderId="24" xfId="2" applyFont="1" applyFill="1" applyBorder="1"/>
    <xf numFmtId="0" fontId="18" fillId="3" borderId="24" xfId="2" applyFont="1" applyFill="1" applyBorder="1" applyAlignment="1">
      <alignment horizontal="left"/>
    </xf>
    <xf numFmtId="0" fontId="7" fillId="0" borderId="4" xfId="2" applyFont="1" applyBorder="1"/>
    <xf numFmtId="0" fontId="18" fillId="3" borderId="58" xfId="2" applyFont="1" applyFill="1" applyBorder="1" applyAlignment="1">
      <alignment horizontal="left"/>
    </xf>
    <xf numFmtId="0" fontId="16" fillId="0" borderId="6" xfId="2" applyFont="1" applyBorder="1"/>
    <xf numFmtId="0" fontId="16" fillId="0" borderId="6" xfId="2" applyFont="1" applyBorder="1" applyAlignment="1">
      <alignment horizontal="center"/>
    </xf>
    <xf numFmtId="0" fontId="16" fillId="0" borderId="6" xfId="2" applyFont="1" applyBorder="1" applyAlignment="1">
      <alignment horizontal="left"/>
    </xf>
    <xf numFmtId="0" fontId="7" fillId="0" borderId="7" xfId="2" applyFont="1" applyBorder="1" applyAlignment="1">
      <alignment vertical="center"/>
    </xf>
    <xf numFmtId="0" fontId="16" fillId="4" borderId="0" xfId="2" applyFont="1" applyFill="1" applyAlignment="1">
      <alignment horizontal="left"/>
    </xf>
    <xf numFmtId="0" fontId="16" fillId="4" borderId="0" xfId="2" applyFont="1" applyFill="1"/>
    <xf numFmtId="0" fontId="1" fillId="0" borderId="7" xfId="2" applyFont="1" applyBorder="1" applyAlignment="1">
      <alignment horizontal="left" vertical="top" wrapText="1"/>
    </xf>
    <xf numFmtId="10" fontId="18" fillId="3" borderId="19" xfId="4" applyNumberFormat="1" applyFont="1" applyFill="1" applyBorder="1" applyAlignment="1">
      <alignment horizontal="center" vertical="center"/>
    </xf>
    <xf numFmtId="10" fontId="18" fillId="3" borderId="20" xfId="4" applyNumberFormat="1" applyFont="1" applyFill="1" applyBorder="1" applyAlignment="1">
      <alignment horizontal="center" vertical="center"/>
    </xf>
    <xf numFmtId="10" fontId="0" fillId="0" borderId="0" xfId="10" applyNumberFormat="1" applyFont="1"/>
    <xf numFmtId="169" fontId="0" fillId="0" borderId="0" xfId="1" applyNumberFormat="1" applyFont="1"/>
    <xf numFmtId="0" fontId="63" fillId="6" borderId="0" xfId="0" applyFont="1" applyFill="1" applyAlignment="1">
      <alignment horizontal="left" vertical="top"/>
    </xf>
    <xf numFmtId="0" fontId="0" fillId="0" borderId="0" xfId="0" applyAlignment="1"/>
    <xf numFmtId="0" fontId="0" fillId="0" borderId="0" xfId="0" applyFont="1" applyAlignment="1"/>
    <xf numFmtId="0" fontId="25" fillId="0" borderId="0" xfId="0" applyFont="1" applyAlignment="1"/>
    <xf numFmtId="0" fontId="0" fillId="0" borderId="0" xfId="0" applyAlignment="1">
      <alignment vertical="top"/>
    </xf>
    <xf numFmtId="0" fontId="20" fillId="0" borderId="0" xfId="0" applyFont="1" applyAlignment="1">
      <alignment horizontal="left" vertical="top"/>
    </xf>
    <xf numFmtId="3" fontId="20" fillId="0" borderId="0" xfId="0" applyNumberFormat="1" applyFont="1" applyAlignment="1">
      <alignment horizontal="left" vertical="top"/>
    </xf>
    <xf numFmtId="167" fontId="20" fillId="0" borderId="0" xfId="0" applyNumberFormat="1" applyFont="1" applyAlignment="1">
      <alignment horizontal="left" vertical="top"/>
    </xf>
    <xf numFmtId="43" fontId="0" fillId="0" borderId="0" xfId="0" applyNumberFormat="1"/>
    <xf numFmtId="0" fontId="3" fillId="0" borderId="0" xfId="0" applyFont="1" applyFill="1" applyAlignment="1">
      <alignment horizontal="left" vertical="center"/>
    </xf>
    <xf numFmtId="9" fontId="0" fillId="0" borderId="0" xfId="10" applyFont="1"/>
    <xf numFmtId="2" fontId="0" fillId="0" borderId="0" xfId="0" applyNumberFormat="1" applyAlignment="1">
      <alignment horizontal="right"/>
    </xf>
    <xf numFmtId="0" fontId="0" fillId="0" borderId="0" xfId="0" applyAlignment="1">
      <alignment horizontal="right"/>
    </xf>
    <xf numFmtId="3" fontId="0" fillId="0" borderId="0" xfId="0" applyNumberFormat="1" applyFont="1"/>
    <xf numFmtId="0" fontId="7" fillId="0" borderId="0" xfId="0" applyFont="1" applyAlignment="1">
      <alignment horizontal="right"/>
    </xf>
    <xf numFmtId="3" fontId="0" fillId="0" borderId="0" xfId="0" applyNumberFormat="1"/>
    <xf numFmtId="3" fontId="0" fillId="0" borderId="0" xfId="0" applyNumberFormat="1" applyAlignment="1">
      <alignment horizontal="right"/>
    </xf>
    <xf numFmtId="3" fontId="2" fillId="0" borderId="0" xfId="0" applyNumberFormat="1" applyFont="1" applyAlignment="1">
      <alignment horizontal="right"/>
    </xf>
    <xf numFmtId="169" fontId="0" fillId="0" borderId="0" xfId="1" applyNumberFormat="1" applyFont="1" applyAlignment="1">
      <alignment vertical="center"/>
    </xf>
    <xf numFmtId="169" fontId="0" fillId="0" borderId="0" xfId="1" applyNumberFormat="1" applyFont="1" applyFill="1" applyBorder="1"/>
    <xf numFmtId="169" fontId="2" fillId="0" borderId="0" xfId="1" applyNumberFormat="1" applyFont="1" applyAlignment="1">
      <alignment horizontal="left"/>
    </xf>
    <xf numFmtId="0" fontId="3" fillId="0" borderId="3" xfId="0" applyFont="1" applyFill="1" applyBorder="1" applyAlignment="1">
      <alignment horizontal="left" vertical="top"/>
    </xf>
    <xf numFmtId="0" fontId="24" fillId="6" borderId="45" xfId="0" applyFont="1" applyFill="1" applyBorder="1" applyAlignment="1">
      <alignment horizontal="left" vertical="top"/>
    </xf>
    <xf numFmtId="164" fontId="0" fillId="0" borderId="3" xfId="10" applyNumberFormat="1" applyFont="1" applyFill="1" applyBorder="1" applyAlignment="1">
      <alignment horizontal="left" vertical="top"/>
    </xf>
    <xf numFmtId="164" fontId="17" fillId="5" borderId="17" xfId="10" applyNumberFormat="1" applyFont="1" applyFill="1" applyBorder="1" applyAlignment="1">
      <alignment horizontal="left" vertical="top"/>
    </xf>
    <xf numFmtId="0" fontId="7" fillId="0" borderId="3" xfId="0" applyFont="1" applyFill="1" applyBorder="1" applyAlignment="1">
      <alignment horizontal="left" vertical="top"/>
    </xf>
    <xf numFmtId="0" fontId="7" fillId="0" borderId="25" xfId="0" applyFont="1" applyFill="1" applyBorder="1" applyAlignment="1">
      <alignment horizontal="left" vertical="top"/>
    </xf>
    <xf numFmtId="0" fontId="24" fillId="6" borderId="57" xfId="0" applyFont="1" applyFill="1" applyBorder="1" applyAlignment="1">
      <alignment horizontal="left" vertical="top"/>
    </xf>
    <xf numFmtId="0" fontId="0" fillId="0" borderId="47" xfId="0" applyFill="1" applyBorder="1" applyAlignment="1">
      <alignment horizontal="left" vertical="top"/>
    </xf>
    <xf numFmtId="169" fontId="18" fillId="3" borderId="64" xfId="1" applyNumberFormat="1" applyFont="1" applyFill="1" applyBorder="1"/>
    <xf numFmtId="0" fontId="17" fillId="0" borderId="4" xfId="9" applyFont="1" applyBorder="1" applyAlignment="1">
      <alignment horizontal="left" wrapText="1"/>
    </xf>
    <xf numFmtId="0" fontId="30" fillId="0" borderId="18" xfId="0" applyFont="1" applyFill="1" applyBorder="1" applyAlignment="1">
      <alignment horizontal="left" vertical="top"/>
    </xf>
    <xf numFmtId="0" fontId="7" fillId="5" borderId="0" xfId="0" applyFont="1" applyFill="1" applyBorder="1" applyAlignment="1"/>
    <xf numFmtId="0" fontId="3" fillId="0" borderId="65" xfId="0" applyFont="1" applyBorder="1" applyAlignment="1">
      <alignment horizontal="center"/>
    </xf>
    <xf numFmtId="168" fontId="17" fillId="0" borderId="5" xfId="5" applyNumberFormat="1" applyFont="1" applyBorder="1" applyAlignment="1">
      <alignment horizontal="left" wrapText="1"/>
    </xf>
    <xf numFmtId="169" fontId="18" fillId="3" borderId="58" xfId="1" applyNumberFormat="1" applyFont="1" applyFill="1" applyBorder="1"/>
    <xf numFmtId="169" fontId="18" fillId="3" borderId="66" xfId="1" applyNumberFormat="1" applyFont="1" applyFill="1" applyBorder="1"/>
    <xf numFmtId="169" fontId="18" fillId="3" borderId="67" xfId="1" applyNumberFormat="1" applyFont="1" applyFill="1" applyBorder="1"/>
    <xf numFmtId="169" fontId="18" fillId="3" borderId="68" xfId="1" applyNumberFormat="1" applyFont="1" applyFill="1" applyBorder="1"/>
    <xf numFmtId="169" fontId="18" fillId="3" borderId="69" xfId="1" applyNumberFormat="1" applyFont="1" applyFill="1" applyBorder="1"/>
    <xf numFmtId="169" fontId="18" fillId="3" borderId="70" xfId="1" applyNumberFormat="1" applyFont="1" applyFill="1" applyBorder="1"/>
    <xf numFmtId="169" fontId="18" fillId="3" borderId="71" xfId="1" applyNumberFormat="1" applyFont="1" applyFill="1" applyBorder="1"/>
    <xf numFmtId="0" fontId="42" fillId="3" borderId="22" xfId="0" applyFont="1" applyFill="1" applyBorder="1"/>
    <xf numFmtId="3" fontId="7" fillId="0" borderId="0" xfId="0" applyNumberFormat="1" applyFont="1" applyAlignment="1">
      <alignment horizontal="left" vertical="top"/>
    </xf>
    <xf numFmtId="0" fontId="7" fillId="0" borderId="0" xfId="0" applyFont="1" applyAlignment="1">
      <alignment vertical="top"/>
    </xf>
    <xf numFmtId="167" fontId="7" fillId="0" borderId="0" xfId="0" applyNumberFormat="1" applyFont="1" applyAlignment="1">
      <alignment horizontal="left" vertical="top"/>
    </xf>
    <xf numFmtId="2" fontId="7" fillId="0" borderId="0" xfId="0" applyNumberFormat="1" applyFont="1" applyAlignment="1">
      <alignment horizontal="left"/>
    </xf>
    <xf numFmtId="0" fontId="7" fillId="0" borderId="0" xfId="0" applyFont="1" applyAlignment="1">
      <alignment horizontal="left"/>
    </xf>
    <xf numFmtId="3" fontId="7" fillId="0" borderId="0" xfId="0" applyNumberFormat="1" applyFont="1" applyFill="1" applyAlignment="1">
      <alignment horizontal="left"/>
    </xf>
    <xf numFmtId="3" fontId="7" fillId="0" borderId="0" xfId="0" applyNumberFormat="1" applyFont="1" applyFill="1" applyAlignment="1">
      <alignment horizontal="left" vertical="top"/>
    </xf>
    <xf numFmtId="0" fontId="14" fillId="0" borderId="4" xfId="0" applyFont="1" applyFill="1" applyBorder="1"/>
    <xf numFmtId="0" fontId="0" fillId="0" borderId="4" xfId="0" applyBorder="1" applyAlignment="1">
      <alignment horizontal="left" vertical="top"/>
    </xf>
    <xf numFmtId="0" fontId="0" fillId="0" borderId="6" xfId="0" applyNumberFormat="1" applyBorder="1" applyAlignment="1">
      <alignment horizontal="left" vertical="top"/>
    </xf>
    <xf numFmtId="0" fontId="0" fillId="0" borderId="5" xfId="0" applyNumberFormat="1" applyBorder="1" applyAlignment="1">
      <alignment horizontal="left" vertical="top"/>
    </xf>
    <xf numFmtId="0" fontId="0" fillId="0" borderId="11" xfId="0" applyFill="1" applyBorder="1" applyAlignment="1">
      <alignment vertical="top"/>
    </xf>
    <xf numFmtId="0" fontId="0" fillId="0" borderId="11" xfId="0" applyFill="1" applyBorder="1" applyAlignment="1">
      <alignment horizontal="left" vertical="top"/>
    </xf>
    <xf numFmtId="0" fontId="0" fillId="0" borderId="12" xfId="0" applyFill="1" applyBorder="1" applyAlignment="1">
      <alignment horizontal="left" vertical="top"/>
    </xf>
    <xf numFmtId="164" fontId="0" fillId="9" borderId="0" xfId="10" applyNumberFormat="1" applyFont="1" applyFill="1" applyBorder="1"/>
    <xf numFmtId="0" fontId="0" fillId="16" borderId="18" xfId="0" applyFill="1" applyBorder="1" applyAlignment="1">
      <alignment horizontal="left" vertical="top" wrapText="1"/>
    </xf>
    <xf numFmtId="0" fontId="24" fillId="17" borderId="18" xfId="0" applyFont="1" applyFill="1" applyBorder="1" applyAlignment="1">
      <alignment horizontal="left" vertical="top"/>
    </xf>
    <xf numFmtId="0" fontId="24" fillId="13" borderId="18" xfId="0" applyFont="1" applyFill="1" applyBorder="1" applyAlignment="1">
      <alignment horizontal="left" vertical="top"/>
    </xf>
    <xf numFmtId="171" fontId="0" fillId="9" borderId="33" xfId="1" applyNumberFormat="1" applyFont="1" applyFill="1" applyBorder="1" applyAlignment="1">
      <alignment vertical="center"/>
    </xf>
    <xf numFmtId="171" fontId="0" fillId="7" borderId="33" xfId="1" applyNumberFormat="1" applyFont="1" applyFill="1" applyBorder="1" applyAlignment="1">
      <alignment vertical="center"/>
    </xf>
    <xf numFmtId="4" fontId="7" fillId="0" borderId="0" xfId="0" applyNumberFormat="1" applyFont="1" applyAlignment="1">
      <alignment horizontal="left"/>
    </xf>
    <xf numFmtId="0" fontId="50" fillId="0" borderId="3" xfId="0" applyFont="1" applyBorder="1" applyAlignment="1">
      <alignment horizontal="center"/>
    </xf>
    <xf numFmtId="0" fontId="2" fillId="0" borderId="0" xfId="0" applyFont="1" applyFill="1"/>
    <xf numFmtId="172" fontId="1" fillId="0" borderId="0" xfId="11" applyNumberFormat="1" applyFont="1" applyAlignment="1">
      <alignment horizontal="right"/>
    </xf>
    <xf numFmtId="173" fontId="18" fillId="3" borderId="28" xfId="1" applyNumberFormat="1" applyFont="1" applyFill="1" applyBorder="1"/>
    <xf numFmtId="173" fontId="18" fillId="3" borderId="26" xfId="1" applyNumberFormat="1" applyFont="1" applyFill="1" applyBorder="1"/>
    <xf numFmtId="173" fontId="7" fillId="0" borderId="13" xfId="1" applyNumberFormat="1" applyFont="1" applyFill="1" applyBorder="1"/>
    <xf numFmtId="173" fontId="7" fillId="0" borderId="9" xfId="1" applyNumberFormat="1" applyFont="1" applyFill="1" applyBorder="1"/>
    <xf numFmtId="173" fontId="7" fillId="0" borderId="62" xfId="1" applyNumberFormat="1" applyFont="1" applyFill="1" applyBorder="1"/>
    <xf numFmtId="173" fontId="7" fillId="0" borderId="14" xfId="1" applyNumberFormat="1" applyFont="1" applyFill="1" applyBorder="1"/>
    <xf numFmtId="0" fontId="17" fillId="0" borderId="0" xfId="0" applyFont="1"/>
    <xf numFmtId="174" fontId="7" fillId="0" borderId="0" xfId="0" applyNumberFormat="1" applyFont="1" applyAlignment="1">
      <alignment horizontal="left" vertical="top"/>
    </xf>
    <xf numFmtId="174" fontId="7" fillId="0" borderId="0" xfId="0" applyNumberFormat="1" applyFont="1" applyFill="1" applyAlignment="1">
      <alignment horizontal="left" vertical="top"/>
    </xf>
    <xf numFmtId="0" fontId="2" fillId="0" borderId="0" xfId="0" applyNumberFormat="1" applyFont="1" applyFill="1" applyBorder="1"/>
    <xf numFmtId="0" fontId="7" fillId="0" borderId="0" xfId="0" applyNumberFormat="1" applyFont="1" applyFill="1" applyBorder="1"/>
    <xf numFmtId="0" fontId="34" fillId="0" borderId="0" xfId="0" applyNumberFormat="1" applyFont="1" applyFill="1" applyBorder="1" applyAlignment="1">
      <alignment horizontal="left" vertical="top"/>
    </xf>
    <xf numFmtId="0" fontId="58" fillId="0" borderId="0" xfId="0" applyNumberFormat="1" applyFont="1" applyFill="1" applyBorder="1" applyAlignment="1">
      <alignment vertical="top"/>
    </xf>
    <xf numFmtId="0" fontId="34" fillId="0" borderId="0" xfId="0" applyNumberFormat="1" applyFont="1" applyFill="1" applyBorder="1" applyAlignment="1">
      <alignment vertical="top"/>
    </xf>
    <xf numFmtId="0" fontId="7" fillId="0" borderId="0" xfId="0" applyNumberFormat="1" applyFont="1" applyAlignment="1">
      <alignment horizontal="left" vertical="top"/>
    </xf>
    <xf numFmtId="0" fontId="0" fillId="0" borderId="0" xfId="0" applyNumberFormat="1" applyFont="1" applyFill="1" applyBorder="1"/>
    <xf numFmtId="0" fontId="1" fillId="0" borderId="0" xfId="10" applyNumberFormat="1" applyFont="1" applyFill="1" applyBorder="1" applyAlignment="1">
      <alignment horizontal="left"/>
    </xf>
    <xf numFmtId="0" fontId="7" fillId="0" borderId="0" xfId="0" applyNumberFormat="1" applyFont="1" applyFill="1" applyAlignment="1">
      <alignment horizontal="left" vertical="top"/>
    </xf>
    <xf numFmtId="0" fontId="0" fillId="0" borderId="0" xfId="0" applyNumberFormat="1" applyFont="1" applyFill="1" applyBorder="1" applyAlignment="1">
      <alignment horizontal="left"/>
    </xf>
    <xf numFmtId="0" fontId="28" fillId="0" borderId="0" xfId="0" applyNumberFormat="1" applyFont="1" applyFill="1" applyBorder="1"/>
    <xf numFmtId="0" fontId="28" fillId="0" borderId="0" xfId="10" applyNumberFormat="1" applyFont="1" applyFill="1" applyBorder="1"/>
    <xf numFmtId="0" fontId="1" fillId="0" borderId="0" xfId="10" applyNumberFormat="1" applyFont="1" applyFill="1" applyBorder="1"/>
    <xf numFmtId="0" fontId="0" fillId="0" borderId="0" xfId="10" applyNumberFormat="1" applyFont="1" applyFill="1" applyBorder="1"/>
    <xf numFmtId="0" fontId="7" fillId="0" borderId="0" xfId="10" applyNumberFormat="1" applyFont="1" applyFill="1" applyBorder="1" applyAlignment="1">
      <alignment horizontal="left"/>
    </xf>
    <xf numFmtId="0" fontId="7" fillId="0" borderId="0" xfId="0" applyFont="1" applyFill="1" applyAlignment="1">
      <alignment horizontal="left"/>
    </xf>
    <xf numFmtId="0" fontId="7" fillId="3" borderId="0" xfId="0" applyFont="1" applyFill="1" applyBorder="1" applyAlignment="1">
      <alignment horizontal="left"/>
    </xf>
    <xf numFmtId="164" fontId="0" fillId="7" borderId="0" xfId="10" applyNumberFormat="1" applyFont="1" applyFill="1"/>
    <xf numFmtId="1" fontId="7" fillId="0" borderId="0" xfId="0" applyNumberFormat="1" applyFont="1" applyFill="1" applyAlignment="1">
      <alignment horizontal="left"/>
    </xf>
    <xf numFmtId="173" fontId="7" fillId="9" borderId="0" xfId="1" applyNumberFormat="1" applyFont="1" applyFill="1"/>
    <xf numFmtId="173" fontId="0" fillId="0" borderId="0" xfId="0" applyNumberFormat="1"/>
    <xf numFmtId="173" fontId="0" fillId="7" borderId="0" xfId="1" applyNumberFormat="1" applyFont="1" applyFill="1"/>
    <xf numFmtId="173" fontId="0" fillId="9" borderId="0" xfId="1" applyNumberFormat="1" applyFont="1" applyFill="1"/>
    <xf numFmtId="173" fontId="0" fillId="9" borderId="0" xfId="0" applyNumberFormat="1" applyFill="1"/>
    <xf numFmtId="0" fontId="48" fillId="13" borderId="0" xfId="0" applyFont="1" applyFill="1"/>
    <xf numFmtId="0" fontId="28" fillId="0" borderId="0" xfId="0" applyFont="1"/>
    <xf numFmtId="0" fontId="64" fillId="0" borderId="0" xfId="0" applyFont="1"/>
    <xf numFmtId="0" fontId="28" fillId="0" borderId="0" xfId="0" applyFont="1" applyBorder="1" applyAlignment="1">
      <alignment horizontal="left" vertical="top"/>
    </xf>
    <xf numFmtId="0" fontId="28" fillId="10" borderId="0" xfId="0" applyFont="1" applyFill="1" applyAlignment="1">
      <alignment horizontal="left" vertical="center"/>
    </xf>
    <xf numFmtId="0" fontId="28" fillId="0" borderId="0" xfId="0" applyFont="1" applyFill="1" applyAlignment="1">
      <alignment horizontal="left" vertical="center"/>
    </xf>
    <xf numFmtId="0" fontId="28" fillId="0" borderId="0" xfId="0" applyFont="1" applyBorder="1"/>
    <xf numFmtId="0" fontId="65" fillId="0" borderId="0" xfId="0" applyFont="1" applyAlignment="1">
      <alignment horizontal="center"/>
    </xf>
    <xf numFmtId="0" fontId="28" fillId="10" borderId="0" xfId="0" quotePrefix="1" applyFont="1" applyFill="1"/>
    <xf numFmtId="0" fontId="28" fillId="10" borderId="0" xfId="0" applyFont="1" applyFill="1"/>
    <xf numFmtId="0" fontId="28" fillId="0" borderId="0" xfId="0" applyFont="1" applyAlignment="1">
      <alignment horizontal="right"/>
    </xf>
    <xf numFmtId="0" fontId="28" fillId="0" borderId="0" xfId="0" applyFon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xf>
    <xf numFmtId="0" fontId="28" fillId="10" borderId="0" xfId="0" applyFont="1" applyFill="1" applyAlignment="1">
      <alignment horizontal="center" vertical="center"/>
    </xf>
    <xf numFmtId="0" fontId="28" fillId="0" borderId="0" xfId="0" applyFont="1" applyFill="1" applyAlignment="1">
      <alignment vertical="center"/>
    </xf>
    <xf numFmtId="0" fontId="66" fillId="0" borderId="0" xfId="0" applyFont="1" applyFill="1" applyAlignment="1">
      <alignment vertical="center"/>
    </xf>
    <xf numFmtId="0" fontId="28" fillId="0" borderId="0" xfId="0" applyFont="1" applyFill="1" applyAlignment="1">
      <alignment horizontal="center" vertical="center"/>
    </xf>
    <xf numFmtId="0" fontId="28" fillId="0" borderId="0" xfId="0" applyFont="1" applyBorder="1" applyAlignment="1">
      <alignment horizontal="center"/>
    </xf>
    <xf numFmtId="0" fontId="28" fillId="0" borderId="0" xfId="0" applyFont="1" applyAlignment="1">
      <alignment horizontal="right" vertical="center"/>
    </xf>
    <xf numFmtId="0" fontId="67" fillId="0" borderId="0" xfId="0" applyFont="1"/>
    <xf numFmtId="0" fontId="28" fillId="0" borderId="0" xfId="1" applyNumberFormat="1" applyFont="1" applyFill="1" applyAlignment="1">
      <alignment vertical="center"/>
    </xf>
    <xf numFmtId="0" fontId="28" fillId="0" borderId="0" xfId="1" applyNumberFormat="1" applyFont="1" applyFill="1" applyAlignment="1">
      <alignment horizontal="left" vertical="center"/>
    </xf>
    <xf numFmtId="0" fontId="67" fillId="0" borderId="0" xfId="1" applyNumberFormat="1" applyFont="1" applyFill="1" applyAlignment="1">
      <alignment vertical="center"/>
    </xf>
    <xf numFmtId="0" fontId="66" fillId="0" borderId="0" xfId="1" applyNumberFormat="1" applyFont="1" applyFill="1" applyAlignment="1">
      <alignment vertical="center"/>
    </xf>
    <xf numFmtId="0" fontId="68" fillId="12" borderId="0" xfId="0" applyFont="1" applyFill="1"/>
    <xf numFmtId="0" fontId="6" fillId="12" borderId="0" xfId="0" applyFont="1" applyFill="1"/>
    <xf numFmtId="0" fontId="6" fillId="12" borderId="3" xfId="0" applyFont="1" applyFill="1" applyBorder="1"/>
    <xf numFmtId="0" fontId="68" fillId="13" borderId="0" xfId="0" applyFont="1" applyFill="1"/>
    <xf numFmtId="0" fontId="56" fillId="12" borderId="6" xfId="0" applyFont="1" applyFill="1" applyBorder="1" applyAlignment="1">
      <alignment horizontal="left" vertical="top" wrapText="1"/>
    </xf>
    <xf numFmtId="0" fontId="56" fillId="12" borderId="72" xfId="0" applyFont="1" applyFill="1" applyBorder="1" applyAlignment="1">
      <alignment horizontal="left" vertical="top" wrapText="1"/>
    </xf>
    <xf numFmtId="0" fontId="56" fillId="13" borderId="6" xfId="0" applyFont="1" applyFill="1" applyBorder="1" applyAlignment="1">
      <alignment horizontal="left" vertical="top" wrapText="1"/>
    </xf>
    <xf numFmtId="0" fontId="56" fillId="13" borderId="73" xfId="0" applyFont="1" applyFill="1" applyBorder="1" applyAlignment="1">
      <alignment horizontal="left" vertical="top" wrapText="1"/>
    </xf>
    <xf numFmtId="0" fontId="70" fillId="0" borderId="0" xfId="0" applyFont="1"/>
    <xf numFmtId="0" fontId="11" fillId="0" borderId="0" xfId="0" applyFont="1"/>
    <xf numFmtId="0" fontId="0" fillId="3" borderId="0" xfId="0" applyFill="1" applyAlignment="1">
      <alignment horizontal="left"/>
    </xf>
    <xf numFmtId="172" fontId="1" fillId="0" borderId="74" xfId="11" applyNumberFormat="1" applyFont="1" applyBorder="1" applyAlignment="1">
      <alignment horizontal="right"/>
    </xf>
    <xf numFmtId="164" fontId="1" fillId="0" borderId="75" xfId="10" applyNumberFormat="1" applyFont="1" applyBorder="1" applyAlignment="1">
      <alignment horizontal="right"/>
    </xf>
    <xf numFmtId="165" fontId="1" fillId="0" borderId="74" xfId="11" applyNumberFormat="1" applyFont="1" applyBorder="1" applyAlignment="1">
      <alignment horizontal="right"/>
    </xf>
    <xf numFmtId="0" fontId="63" fillId="6" borderId="6" xfId="0" applyFont="1" applyFill="1" applyBorder="1" applyAlignment="1">
      <alignment horizontal="left" vertical="top"/>
    </xf>
    <xf numFmtId="0" fontId="31" fillId="6" borderId="6" xfId="0" applyFont="1" applyFill="1" applyBorder="1" applyAlignment="1">
      <alignment horizontal="left" vertical="top"/>
    </xf>
    <xf numFmtId="0" fontId="24" fillId="6" borderId="6" xfId="0" applyFont="1" applyFill="1" applyBorder="1" applyAlignment="1">
      <alignment horizontal="left" vertical="top"/>
    </xf>
    <xf numFmtId="172" fontId="1" fillId="0" borderId="76" xfId="11" applyNumberFormat="1" applyFont="1" applyBorder="1" applyAlignment="1">
      <alignment horizontal="right"/>
    </xf>
    <xf numFmtId="164" fontId="1" fillId="0" borderId="77" xfId="10" applyNumberFormat="1" applyFont="1" applyBorder="1" applyAlignment="1">
      <alignment horizontal="right"/>
    </xf>
    <xf numFmtId="165" fontId="1" fillId="0" borderId="76" xfId="11" applyNumberFormat="1" applyFont="1" applyBorder="1" applyAlignment="1">
      <alignment horizontal="right"/>
    </xf>
    <xf numFmtId="0" fontId="28" fillId="0" borderId="0" xfId="0" applyFont="1" applyAlignment="1">
      <alignment horizontal="left" vertical="center"/>
    </xf>
    <xf numFmtId="0" fontId="21" fillId="0" borderId="14" xfId="0" applyFont="1" applyBorder="1" applyAlignment="1">
      <alignment horizontal="left"/>
    </xf>
    <xf numFmtId="0" fontId="20" fillId="0" borderId="9" xfId="0" applyFont="1" applyBorder="1"/>
    <xf numFmtId="0" fontId="20" fillId="0" borderId="62" xfId="0" applyFont="1" applyBorder="1"/>
    <xf numFmtId="0" fontId="20" fillId="0" borderId="14" xfId="0" applyFont="1" applyBorder="1"/>
    <xf numFmtId="0" fontId="21" fillId="0" borderId="4" xfId="9" applyFont="1" applyBorder="1" applyAlignment="1">
      <alignment horizontal="left" wrapText="1"/>
    </xf>
    <xf numFmtId="169" fontId="20" fillId="0" borderId="10" xfId="1" applyNumberFormat="1" applyFont="1" applyFill="1" applyBorder="1"/>
    <xf numFmtId="169" fontId="20" fillId="0" borderId="2" xfId="1" applyNumberFormat="1" applyFont="1" applyFill="1" applyBorder="1"/>
    <xf numFmtId="169" fontId="20" fillId="0" borderId="32" xfId="1" applyNumberFormat="1" applyFont="1" applyFill="1" applyBorder="1"/>
    <xf numFmtId="169" fontId="20" fillId="0" borderId="4" xfId="1" applyNumberFormat="1" applyFont="1" applyFill="1" applyBorder="1"/>
    <xf numFmtId="0" fontId="0" fillId="0" borderId="0" xfId="0" applyNumberFormat="1" applyFont="1" applyBorder="1" applyAlignment="1">
      <alignment vertical="top"/>
    </xf>
    <xf numFmtId="0" fontId="7" fillId="0" borderId="11" xfId="5" applyNumberFormat="1" applyFont="1" applyBorder="1" applyAlignment="1">
      <alignment vertical="top" wrapText="1"/>
    </xf>
    <xf numFmtId="0" fontId="7" fillId="0" borderId="11" xfId="9" applyNumberFormat="1" applyFont="1" applyBorder="1" applyAlignment="1">
      <alignment vertical="top"/>
    </xf>
    <xf numFmtId="0" fontId="20" fillId="0" borderId="0" xfId="0" applyNumberFormat="1" applyFont="1" applyBorder="1" applyAlignment="1">
      <alignment vertical="top"/>
    </xf>
    <xf numFmtId="0" fontId="7" fillId="0" borderId="0" xfId="5" applyNumberFormat="1" applyFont="1" applyBorder="1" applyAlignment="1">
      <alignment vertical="top" wrapText="1"/>
    </xf>
    <xf numFmtId="0" fontId="7" fillId="0" borderId="0" xfId="9" applyNumberFormat="1" applyFont="1" applyBorder="1" applyAlignment="1">
      <alignment vertical="top"/>
    </xf>
    <xf numFmtId="0" fontId="7" fillId="0" borderId="0" xfId="9" applyNumberFormat="1" applyFont="1" applyBorder="1" applyAlignment="1">
      <alignment vertical="top" wrapText="1"/>
    </xf>
    <xf numFmtId="9" fontId="18" fillId="3" borderId="66" xfId="10" applyFont="1" applyFill="1" applyBorder="1"/>
    <xf numFmtId="9" fontId="18" fillId="3" borderId="50" xfId="10" applyFont="1" applyFill="1" applyBorder="1"/>
    <xf numFmtId="9" fontId="18" fillId="3" borderId="20" xfId="10" applyFont="1" applyFill="1" applyBorder="1"/>
    <xf numFmtId="9" fontId="18" fillId="3" borderId="51" xfId="10" applyFont="1" applyFill="1" applyBorder="1"/>
    <xf numFmtId="9" fontId="18" fillId="3" borderId="19" xfId="10" applyFont="1" applyFill="1" applyBorder="1"/>
    <xf numFmtId="9" fontId="18" fillId="3" borderId="36" xfId="10" applyFont="1" applyFill="1" applyBorder="1"/>
    <xf numFmtId="9" fontId="18" fillId="3" borderId="41" xfId="10" applyFont="1" applyFill="1" applyBorder="1"/>
    <xf numFmtId="9" fontId="7" fillId="0" borderId="10" xfId="10" applyFont="1" applyFill="1" applyBorder="1"/>
    <xf numFmtId="9" fontId="7" fillId="0" borderId="11" xfId="10" applyFont="1" applyFill="1" applyBorder="1"/>
    <xf numFmtId="9" fontId="7" fillId="0" borderId="2" xfId="10" applyFont="1" applyFill="1" applyBorder="1"/>
    <xf numFmtId="9" fontId="7" fillId="0" borderId="0" xfId="10" applyFont="1" applyFill="1" applyBorder="1"/>
    <xf numFmtId="9" fontId="7" fillId="0" borderId="32" xfId="10" applyFont="1" applyFill="1" applyBorder="1"/>
    <xf numFmtId="9" fontId="7" fillId="0" borderId="33" xfId="10" applyFont="1" applyFill="1" applyBorder="1"/>
    <xf numFmtId="9" fontId="7" fillId="0" borderId="4" xfId="10" applyFont="1" applyFill="1" applyBorder="1"/>
    <xf numFmtId="9" fontId="7" fillId="0" borderId="6" xfId="10" applyFont="1" applyFill="1" applyBorder="1"/>
    <xf numFmtId="9" fontId="18" fillId="3" borderId="67" xfId="10" applyFont="1" applyFill="1" applyBorder="1"/>
    <xf numFmtId="9" fontId="18" fillId="3" borderId="68" xfId="10" applyFont="1" applyFill="1" applyBorder="1"/>
    <xf numFmtId="9" fontId="18" fillId="3" borderId="69" xfId="10" applyFont="1" applyFill="1" applyBorder="1"/>
    <xf numFmtId="169" fontId="0" fillId="0" borderId="0" xfId="1" applyNumberFormat="1" applyFont="1" applyBorder="1" applyAlignment="1">
      <alignment horizontal="left"/>
    </xf>
    <xf numFmtId="169" fontId="42" fillId="3" borderId="19" xfId="1" applyNumberFormat="1" applyFont="1" applyFill="1" applyBorder="1" applyAlignment="1">
      <alignment horizontal="left"/>
    </xf>
    <xf numFmtId="0" fontId="30" fillId="0" borderId="0" xfId="0" applyFont="1" applyFill="1" applyBorder="1" applyAlignment="1">
      <alignment horizontal="left" vertical="top"/>
    </xf>
    <xf numFmtId="0" fontId="30" fillId="0" borderId="0" xfId="0" applyFont="1" applyFill="1" applyBorder="1" applyAlignment="1">
      <alignment horizontal="left" vertical="top" wrapText="1"/>
    </xf>
    <xf numFmtId="0" fontId="18" fillId="10" borderId="16" xfId="10" applyNumberFormat="1" applyFont="1" applyFill="1" applyBorder="1" applyAlignment="1">
      <alignment horizontal="left" vertical="top"/>
    </xf>
    <xf numFmtId="0" fontId="18" fillId="10" borderId="17" xfId="10" applyNumberFormat="1" applyFont="1" applyFill="1" applyBorder="1" applyAlignment="1">
      <alignment horizontal="left" vertical="top"/>
    </xf>
    <xf numFmtId="164" fontId="18" fillId="10" borderId="15" xfId="10" applyNumberFormat="1" applyFont="1" applyFill="1" applyBorder="1" applyAlignment="1"/>
    <xf numFmtId="0" fontId="0" fillId="10" borderId="16" xfId="0" applyFill="1" applyBorder="1" applyAlignment="1">
      <alignment vertical="top"/>
    </xf>
    <xf numFmtId="164" fontId="0" fillId="10" borderId="16" xfId="10" applyNumberFormat="1" applyFont="1" applyFill="1" applyBorder="1" applyAlignment="1">
      <alignment horizontal="left" vertical="top"/>
    </xf>
    <xf numFmtId="0" fontId="69" fillId="6" borderId="6" xfId="0" applyFont="1" applyFill="1" applyBorder="1" applyAlignment="1">
      <alignment horizontal="left" vertical="top"/>
    </xf>
    <xf numFmtId="164" fontId="13" fillId="10" borderId="17" xfId="10" applyNumberFormat="1" applyFont="1" applyFill="1" applyBorder="1" applyAlignment="1">
      <alignment horizontal="left" vertical="top"/>
    </xf>
    <xf numFmtId="0" fontId="49" fillId="0" borderId="0" xfId="0" applyFont="1" applyFill="1"/>
    <xf numFmtId="0" fontId="48" fillId="0" borderId="0" xfId="0" applyFont="1" applyFill="1" applyBorder="1"/>
    <xf numFmtId="0" fontId="48" fillId="0" borderId="3" xfId="0" applyFont="1" applyFill="1" applyBorder="1"/>
    <xf numFmtId="0" fontId="0" fillId="0" borderId="0" xfId="0" applyFill="1" applyBorder="1" applyAlignment="1">
      <alignment horizontal="left" vertical="top"/>
    </xf>
    <xf numFmtId="0" fontId="0" fillId="0" borderId="6" xfId="0" applyFill="1" applyBorder="1" applyAlignment="1">
      <alignment horizontal="left" vertical="top"/>
    </xf>
    <xf numFmtId="0" fontId="0" fillId="0" borderId="5" xfId="0" applyFill="1" applyBorder="1" applyAlignment="1">
      <alignment horizontal="left" vertical="top"/>
    </xf>
    <xf numFmtId="0" fontId="18" fillId="3" borderId="51" xfId="1" applyNumberFormat="1" applyFont="1" applyFill="1" applyBorder="1"/>
    <xf numFmtId="9" fontId="7" fillId="0" borderId="2" xfId="9" applyNumberFormat="1" applyFont="1" applyBorder="1" applyAlignment="1">
      <alignment vertical="top" wrapText="1"/>
    </xf>
    <xf numFmtId="0" fontId="20" fillId="0" borderId="0" xfId="9" applyNumberFormat="1" applyFont="1" applyBorder="1" applyAlignment="1">
      <alignment horizontal="left" vertical="top" wrapText="1"/>
    </xf>
    <xf numFmtId="169" fontId="20" fillId="0" borderId="0" xfId="1" applyNumberFormat="1" applyFont="1" applyFill="1" applyBorder="1"/>
    <xf numFmtId="0" fontId="21" fillId="0" borderId="6" xfId="9" applyFont="1" applyBorder="1" applyAlignment="1">
      <alignment horizontal="left" wrapText="1"/>
    </xf>
    <xf numFmtId="169" fontId="20" fillId="0" borderId="11" xfId="1" applyNumberFormat="1" applyFont="1" applyFill="1" applyBorder="1"/>
    <xf numFmtId="169" fontId="20" fillId="0" borderId="33" xfId="1" applyNumberFormat="1" applyFont="1" applyFill="1" applyBorder="1"/>
    <xf numFmtId="169" fontId="20" fillId="0" borderId="6" xfId="1" applyNumberFormat="1" applyFont="1" applyFill="1" applyBorder="1"/>
    <xf numFmtId="9" fontId="18" fillId="3" borderId="60" xfId="10" applyFont="1" applyFill="1" applyBorder="1"/>
    <xf numFmtId="9" fontId="18" fillId="3" borderId="29" xfId="10" applyFont="1" applyFill="1" applyBorder="1"/>
    <xf numFmtId="9" fontId="18" fillId="3" borderId="81" xfId="10" applyFont="1" applyFill="1" applyBorder="1"/>
    <xf numFmtId="9" fontId="18" fillId="3" borderId="71" xfId="10" applyFont="1" applyFill="1" applyBorder="1"/>
    <xf numFmtId="169" fontId="18" fillId="3" borderId="78" xfId="1" applyNumberFormat="1" applyFont="1" applyFill="1" applyBorder="1"/>
    <xf numFmtId="169" fontId="18" fillId="3" borderId="30" xfId="1" applyNumberFormat="1" applyFont="1" applyFill="1" applyBorder="1"/>
    <xf numFmtId="169" fontId="18" fillId="3" borderId="79" xfId="1" applyNumberFormat="1" applyFont="1" applyFill="1" applyBorder="1"/>
    <xf numFmtId="169" fontId="18" fillId="3" borderId="80" xfId="1" applyNumberFormat="1" applyFont="1" applyFill="1" applyBorder="1"/>
    <xf numFmtId="169" fontId="18" fillId="3" borderId="82" xfId="1" applyNumberFormat="1" applyFont="1" applyFill="1" applyBorder="1"/>
    <xf numFmtId="169" fontId="18" fillId="3" borderId="83" xfId="1" applyNumberFormat="1" applyFont="1" applyFill="1" applyBorder="1"/>
    <xf numFmtId="0" fontId="20" fillId="0" borderId="2" xfId="9" applyNumberFormat="1" applyFont="1" applyBorder="1" applyAlignment="1">
      <alignment horizontal="left" vertical="top" wrapText="1"/>
    </xf>
    <xf numFmtId="0" fontId="71" fillId="10" borderId="9" xfId="1" applyNumberFormat="1" applyFont="1" applyFill="1" applyBorder="1" applyAlignment="1">
      <alignment horizontal="left"/>
    </xf>
    <xf numFmtId="0" fontId="13" fillId="10" borderId="9" xfId="0" applyFont="1" applyFill="1" applyBorder="1"/>
    <xf numFmtId="0" fontId="0" fillId="10" borderId="9" xfId="0" applyFill="1" applyBorder="1"/>
    <xf numFmtId="0" fontId="71" fillId="10" borderId="9" xfId="9" applyFont="1" applyFill="1" applyBorder="1" applyAlignment="1">
      <alignment horizontal="left"/>
    </xf>
    <xf numFmtId="0" fontId="20" fillId="10" borderId="9" xfId="0" applyFont="1" applyFill="1" applyBorder="1"/>
    <xf numFmtId="170" fontId="7" fillId="10" borderId="9" xfId="1" applyNumberFormat="1" applyFont="1" applyFill="1" applyBorder="1"/>
    <xf numFmtId="170" fontId="7" fillId="10" borderId="14" xfId="1" applyNumberFormat="1" applyFont="1" applyFill="1" applyBorder="1"/>
    <xf numFmtId="0" fontId="18" fillId="3" borderId="51" xfId="10" applyNumberFormat="1" applyFont="1" applyFill="1" applyBorder="1"/>
    <xf numFmtId="3" fontId="0" fillId="0" borderId="3" xfId="0" applyNumberFormat="1" applyBorder="1" applyAlignment="1">
      <alignment horizontal="left" vertical="top"/>
    </xf>
    <xf numFmtId="0" fontId="14" fillId="0" borderId="0" xfId="0" applyFont="1"/>
    <xf numFmtId="0" fontId="0" fillId="0" borderId="0" xfId="0" applyAlignment="1">
      <alignment horizontal="left" vertical="top"/>
    </xf>
    <xf numFmtId="0" fontId="2" fillId="0" borderId="0" xfId="0" applyFont="1" applyAlignment="1">
      <alignment horizontal="left" vertical="top"/>
    </xf>
    <xf numFmtId="0" fontId="72" fillId="3" borderId="19" xfId="1" applyNumberFormat="1" applyFont="1" applyFill="1" applyBorder="1" applyAlignment="1">
      <alignment horizontal="left"/>
    </xf>
    <xf numFmtId="0" fontId="1" fillId="0" borderId="13" xfId="0" applyFont="1" applyBorder="1" applyAlignment="1">
      <alignment horizontal="left"/>
    </xf>
    <xf numFmtId="165" fontId="0" fillId="9" borderId="0" xfId="1" applyNumberFormat="1" applyFont="1" applyFill="1" applyAlignment="1">
      <alignment vertical="center"/>
    </xf>
    <xf numFmtId="175" fontId="0" fillId="9" borderId="0" xfId="1" applyNumberFormat="1" applyFont="1" applyFill="1" applyAlignment="1">
      <alignment vertical="center"/>
    </xf>
    <xf numFmtId="0" fontId="3" fillId="0" borderId="0" xfId="0" applyFont="1" applyBorder="1" applyAlignment="1">
      <alignment horizontal="left" vertical="center"/>
    </xf>
    <xf numFmtId="169" fontId="0" fillId="7" borderId="0" xfId="1" applyNumberFormat="1" applyFont="1" applyFill="1" applyAlignment="1">
      <alignment horizontal="right"/>
    </xf>
    <xf numFmtId="175" fontId="0" fillId="7" borderId="0" xfId="1" applyNumberFormat="1" applyFont="1" applyFill="1" applyAlignment="1">
      <alignment vertical="center"/>
    </xf>
    <xf numFmtId="165" fontId="0" fillId="7" borderId="0" xfId="1" applyNumberFormat="1" applyFont="1" applyFill="1" applyAlignment="1">
      <alignment vertical="center"/>
    </xf>
    <xf numFmtId="165" fontId="0" fillId="15" borderId="0" xfId="1" applyNumberFormat="1" applyFont="1" applyFill="1" applyAlignment="1">
      <alignment vertical="center"/>
    </xf>
    <xf numFmtId="3" fontId="7" fillId="18" borderId="0" xfId="0" applyNumberFormat="1" applyFont="1" applyFill="1" applyAlignment="1">
      <alignment horizontal="left"/>
    </xf>
    <xf numFmtId="0" fontId="7" fillId="18" borderId="0" xfId="0" applyNumberFormat="1" applyFont="1" applyFill="1" applyAlignment="1">
      <alignment horizontal="left" vertical="top"/>
    </xf>
    <xf numFmtId="0" fontId="0" fillId="10" borderId="16" xfId="0" applyFill="1" applyBorder="1" applyAlignment="1">
      <alignment vertical="top" wrapText="1"/>
    </xf>
    <xf numFmtId="164" fontId="0" fillId="10" borderId="17" xfId="10" applyNumberFormat="1" applyFont="1" applyFill="1" applyBorder="1" applyAlignment="1">
      <alignment horizontal="left" vertical="top"/>
    </xf>
    <xf numFmtId="164" fontId="18" fillId="10" borderId="15" xfId="10" applyNumberFormat="1" applyFont="1" applyFill="1" applyBorder="1"/>
    <xf numFmtId="0" fontId="42" fillId="0" borderId="0" xfId="0" applyFont="1"/>
    <xf numFmtId="3" fontId="0" fillId="0" borderId="0" xfId="0" applyNumberFormat="1" applyAlignment="1">
      <alignment horizontal="left"/>
    </xf>
    <xf numFmtId="0" fontId="34" fillId="0" borderId="0" xfId="0" applyFont="1" applyAlignment="1">
      <alignment vertical="top"/>
    </xf>
    <xf numFmtId="0" fontId="7" fillId="18" borderId="0" xfId="10" applyNumberFormat="1" applyFont="1" applyFill="1" applyBorder="1" applyAlignment="1">
      <alignment horizontal="left" vertical="top"/>
    </xf>
    <xf numFmtId="0" fontId="7" fillId="3" borderId="0" xfId="0" applyNumberFormat="1" applyFont="1" applyFill="1" applyBorder="1" applyAlignment="1">
      <alignment horizontal="left" vertical="top"/>
    </xf>
    <xf numFmtId="43" fontId="7" fillId="9" borderId="0" xfId="1" applyNumberFormat="1" applyFont="1" applyFill="1"/>
    <xf numFmtId="174" fontId="20" fillId="0" borderId="0" xfId="0" applyNumberFormat="1" applyFont="1" applyFill="1" applyBorder="1" applyAlignment="1">
      <alignment horizontal="left" vertical="top"/>
    </xf>
    <xf numFmtId="164" fontId="0" fillId="10" borderId="0" xfId="10" applyNumberFormat="1" applyFont="1" applyFill="1" applyBorder="1" applyAlignment="1">
      <alignment horizontal="left" vertical="top"/>
    </xf>
    <xf numFmtId="0" fontId="18" fillId="10" borderId="0" xfId="10" applyNumberFormat="1" applyFont="1" applyFill="1" applyBorder="1" applyAlignment="1">
      <alignment horizontal="left" vertical="top"/>
    </xf>
    <xf numFmtId="3" fontId="7" fillId="18" borderId="0" xfId="0" applyNumberFormat="1" applyFont="1" applyFill="1" applyAlignment="1">
      <alignment horizontal="left" vertical="top"/>
    </xf>
    <xf numFmtId="164" fontId="7" fillId="10" borderId="16" xfId="10" applyNumberFormat="1" applyFont="1" applyFill="1" applyBorder="1" applyAlignment="1">
      <alignment horizontal="left" vertical="top"/>
    </xf>
    <xf numFmtId="0" fontId="2" fillId="0" borderId="0" xfId="0" applyFont="1" applyFill="1" applyAlignment="1">
      <alignment vertical="top"/>
    </xf>
    <xf numFmtId="164" fontId="7" fillId="10" borderId="0" xfId="10" applyNumberFormat="1" applyFont="1" applyFill="1" applyBorder="1" applyAlignment="1">
      <alignment horizontal="left" vertical="top"/>
    </xf>
    <xf numFmtId="164" fontId="18" fillId="10" borderId="0" xfId="10" applyNumberFormat="1" applyFont="1" applyFill="1" applyBorder="1"/>
    <xf numFmtId="3" fontId="0" fillId="0" borderId="0" xfId="0" applyNumberFormat="1" applyBorder="1" applyAlignment="1">
      <alignment horizontal="left"/>
    </xf>
    <xf numFmtId="0" fontId="20" fillId="10" borderId="0" xfId="0" applyFont="1" applyFill="1" applyBorder="1" applyAlignment="1">
      <alignment vertical="top" wrapText="1"/>
    </xf>
    <xf numFmtId="0" fontId="0" fillId="0" borderId="3" xfId="0" applyFill="1" applyBorder="1" applyAlignment="1">
      <alignment horizontal="left" vertical="top"/>
    </xf>
    <xf numFmtId="0" fontId="26" fillId="0" borderId="0" xfId="0" applyFont="1" applyFill="1" applyBorder="1"/>
    <xf numFmtId="164" fontId="7" fillId="0" borderId="0" xfId="10" applyNumberFormat="1" applyFont="1"/>
    <xf numFmtId="0" fontId="0" fillId="0" borderId="0" xfId="10" applyNumberFormat="1" applyFont="1" applyFill="1" applyBorder="1" applyAlignment="1">
      <alignment horizontal="left"/>
    </xf>
    <xf numFmtId="174" fontId="7" fillId="18" borderId="0" xfId="0" applyNumberFormat="1" applyFont="1" applyFill="1" applyAlignment="1">
      <alignment horizontal="left" vertical="top"/>
    </xf>
    <xf numFmtId="0" fontId="2" fillId="0" borderId="0" xfId="10" applyNumberFormat="1" applyFont="1" applyFill="1" applyBorder="1" applyAlignment="1">
      <alignment horizontal="left"/>
    </xf>
    <xf numFmtId="0" fontId="27" fillId="0" borderId="0" xfId="0" applyFont="1" applyAlignment="1">
      <alignment horizontal="center"/>
    </xf>
    <xf numFmtId="0" fontId="27" fillId="0" borderId="0" xfId="0" quotePrefix="1" applyFont="1" applyAlignment="1">
      <alignment horizontal="center"/>
    </xf>
    <xf numFmtId="0" fontId="73" fillId="0" borderId="0" xfId="0" applyFont="1"/>
    <xf numFmtId="0" fontId="0" fillId="0" borderId="0" xfId="0" applyAlignment="1">
      <alignment horizontal="center"/>
    </xf>
    <xf numFmtId="0" fontId="2" fillId="0" borderId="0" xfId="2" applyFont="1" applyAlignment="1">
      <alignment vertical="center"/>
    </xf>
    <xf numFmtId="0" fontId="74" fillId="0" borderId="0" xfId="0" applyFont="1"/>
    <xf numFmtId="0" fontId="68" fillId="2" borderId="0" xfId="0" applyFont="1" applyFill="1"/>
    <xf numFmtId="0" fontId="5" fillId="0" borderId="0" xfId="2" applyFont="1" applyBorder="1" applyAlignment="1">
      <alignment vertical="center"/>
    </xf>
    <xf numFmtId="170" fontId="24" fillId="12" borderId="0" xfId="1" applyNumberFormat="1" applyFont="1" applyFill="1" applyBorder="1"/>
    <xf numFmtId="43" fontId="24" fillId="12" borderId="0" xfId="1" applyNumberFormat="1" applyFont="1" applyFill="1" applyBorder="1"/>
    <xf numFmtId="43" fontId="0" fillId="9" borderId="0" xfId="0" applyNumberFormat="1" applyFill="1" applyBorder="1"/>
    <xf numFmtId="175" fontId="0" fillId="9" borderId="0" xfId="1" applyNumberFormat="1" applyFont="1" applyFill="1" applyBorder="1" applyAlignment="1">
      <alignment vertical="center"/>
    </xf>
    <xf numFmtId="165" fontId="0" fillId="9" borderId="0" xfId="1" applyNumberFormat="1" applyFont="1" applyFill="1" applyBorder="1" applyAlignment="1">
      <alignment vertical="center"/>
    </xf>
    <xf numFmtId="43" fontId="0" fillId="9" borderId="0" xfId="1" applyNumberFormat="1" applyFont="1" applyFill="1" applyBorder="1" applyAlignment="1">
      <alignment vertical="center"/>
    </xf>
    <xf numFmtId="164" fontId="0" fillId="9" borderId="0" xfId="10" applyNumberFormat="1" applyFont="1" applyFill="1" applyBorder="1" applyAlignment="1">
      <alignment vertical="center"/>
    </xf>
    <xf numFmtId="170" fontId="24" fillId="13" borderId="0" xfId="1" applyNumberFormat="1" applyFont="1" applyFill="1" applyBorder="1"/>
    <xf numFmtId="175" fontId="0" fillId="7" borderId="0" xfId="1" applyNumberFormat="1" applyFont="1" applyFill="1" applyBorder="1" applyAlignment="1">
      <alignment vertical="center"/>
    </xf>
    <xf numFmtId="165" fontId="0" fillId="7" borderId="0" xfId="1" applyNumberFormat="1" applyFont="1" applyFill="1" applyBorder="1" applyAlignment="1">
      <alignment vertical="center"/>
    </xf>
    <xf numFmtId="43" fontId="0" fillId="7" borderId="0" xfId="1" applyNumberFormat="1" applyFont="1" applyFill="1" applyBorder="1" applyAlignment="1">
      <alignment vertical="center"/>
    </xf>
    <xf numFmtId="164" fontId="0" fillId="7" borderId="0" xfId="10" applyNumberFormat="1" applyFont="1" applyFill="1" applyBorder="1" applyAlignment="1">
      <alignment vertical="center"/>
    </xf>
    <xf numFmtId="0" fontId="24" fillId="14" borderId="0" xfId="0" applyFont="1" applyFill="1" applyBorder="1" applyAlignment="1">
      <alignment vertical="center"/>
    </xf>
    <xf numFmtId="170" fontId="24" fillId="14" borderId="0" xfId="1" applyNumberFormat="1" applyFont="1" applyFill="1" applyBorder="1" applyAlignment="1">
      <alignment vertical="center"/>
    </xf>
    <xf numFmtId="0" fontId="0" fillId="15" borderId="0" xfId="0" applyFill="1" applyBorder="1" applyAlignment="1">
      <alignment vertical="center"/>
    </xf>
    <xf numFmtId="170" fontId="0" fillId="15" borderId="0" xfId="1" applyNumberFormat="1" applyFont="1" applyFill="1" applyBorder="1" applyAlignment="1">
      <alignment vertical="center"/>
    </xf>
    <xf numFmtId="165" fontId="0" fillId="15" borderId="0" xfId="1" applyNumberFormat="1" applyFont="1" applyFill="1" applyBorder="1" applyAlignment="1">
      <alignment vertical="center"/>
    </xf>
    <xf numFmtId="164" fontId="0" fillId="15" borderId="0" xfId="10" applyNumberFormat="1" applyFont="1" applyFill="1" applyBorder="1" applyAlignment="1">
      <alignment vertical="center"/>
    </xf>
    <xf numFmtId="43" fontId="0" fillId="15" borderId="0" xfId="1" applyNumberFormat="1" applyFont="1" applyFill="1" applyBorder="1" applyAlignment="1">
      <alignment vertical="center"/>
    </xf>
    <xf numFmtId="0" fontId="28" fillId="0" borderId="0" xfId="0" applyFont="1" applyBorder="1" applyAlignment="1">
      <alignment vertical="center"/>
    </xf>
    <xf numFmtId="169" fontId="0" fillId="9" borderId="0" xfId="1" applyNumberFormat="1" applyFont="1" applyFill="1" applyAlignment="1">
      <alignment horizontal="center"/>
    </xf>
    <xf numFmtId="43" fontId="7" fillId="7" borderId="0" xfId="1" applyNumberFormat="1" applyFont="1" applyFill="1"/>
    <xf numFmtId="3" fontId="20" fillId="0" borderId="59" xfId="0" applyNumberFormat="1" applyFont="1" applyFill="1" applyBorder="1" applyAlignment="1">
      <alignment horizontal="left" vertical="top"/>
    </xf>
    <xf numFmtId="3" fontId="2" fillId="0" borderId="59" xfId="0" applyNumberFormat="1" applyFont="1" applyFill="1" applyBorder="1" applyAlignment="1">
      <alignment horizontal="left" vertical="top"/>
    </xf>
    <xf numFmtId="169" fontId="20" fillId="0" borderId="13" xfId="1" applyNumberFormat="1" applyFont="1" applyFill="1" applyBorder="1"/>
    <xf numFmtId="169" fontId="20" fillId="0" borderId="9" xfId="1" applyNumberFormat="1" applyFont="1" applyBorder="1"/>
    <xf numFmtId="169" fontId="20" fillId="0" borderId="62" xfId="1" applyNumberFormat="1" applyFont="1" applyBorder="1"/>
    <xf numFmtId="169" fontId="20" fillId="0" borderId="14" xfId="1" applyNumberFormat="1" applyFont="1" applyBorder="1"/>
    <xf numFmtId="0" fontId="0" fillId="0" borderId="0" xfId="0" applyFont="1" applyFill="1" applyBorder="1" applyAlignment="1">
      <alignment horizontal="left"/>
    </xf>
    <xf numFmtId="0" fontId="0" fillId="0" borderId="0" xfId="0" applyAlignment="1">
      <alignment vertical="top" wrapText="1"/>
    </xf>
    <xf numFmtId="0" fontId="63" fillId="6" borderId="0" xfId="0" applyFont="1" applyFill="1" applyBorder="1" applyAlignment="1">
      <alignment horizontal="left" vertical="top"/>
    </xf>
    <xf numFmtId="0" fontId="31" fillId="6" borderId="0" xfId="0" applyFont="1" applyFill="1" applyBorder="1" applyAlignment="1">
      <alignment horizontal="left" vertical="top"/>
    </xf>
    <xf numFmtId="0" fontId="24" fillId="6" borderId="0" xfId="0" applyFont="1" applyFill="1" applyBorder="1" applyAlignment="1">
      <alignment horizontal="left" vertical="top"/>
    </xf>
    <xf numFmtId="0" fontId="0" fillId="0" borderId="84" xfId="0" applyBorder="1"/>
    <xf numFmtId="0" fontId="0" fillId="0" borderId="87" xfId="0" applyBorder="1"/>
    <xf numFmtId="0" fontId="0" fillId="0" borderId="90" xfId="0" applyBorder="1"/>
    <xf numFmtId="168" fontId="7" fillId="9" borderId="0" xfId="1" applyNumberFormat="1" applyFont="1" applyFill="1"/>
    <xf numFmtId="0" fontId="75" fillId="0" borderId="0" xfId="0" applyFont="1" applyAlignment="1">
      <alignment vertical="center"/>
    </xf>
    <xf numFmtId="164" fontId="8" fillId="9" borderId="0" xfId="10" applyNumberFormat="1" applyFont="1" applyFill="1" applyAlignment="1">
      <alignment vertical="center"/>
    </xf>
    <xf numFmtId="164" fontId="8" fillId="7" borderId="0" xfId="10" applyNumberFormat="1" applyFont="1" applyFill="1" applyAlignment="1">
      <alignment vertical="center"/>
    </xf>
    <xf numFmtId="10" fontId="0" fillId="15" borderId="0" xfId="10" applyNumberFormat="1" applyFont="1" applyFill="1" applyAlignment="1">
      <alignment vertical="center"/>
    </xf>
    <xf numFmtId="43" fontId="7" fillId="19" borderId="0" xfId="1" applyNumberFormat="1" applyFont="1" applyFill="1"/>
    <xf numFmtId="8" fontId="0" fillId="7" borderId="0" xfId="1" applyNumberFormat="1" applyFont="1" applyFill="1"/>
    <xf numFmtId="0" fontId="0" fillId="0" borderId="0" xfId="0" applyAlignment="1">
      <alignment horizontal="left" vertical="top" wrapText="1"/>
    </xf>
    <xf numFmtId="0" fontId="7" fillId="0" borderId="0" xfId="0" applyFont="1" applyAlignment="1">
      <alignment horizontal="left" vertical="top" wrapText="1"/>
    </xf>
    <xf numFmtId="0" fontId="0" fillId="0" borderId="0" xfId="0" applyAlignment="1">
      <alignment horizontal="left" wrapText="1"/>
    </xf>
    <xf numFmtId="0" fontId="7" fillId="0" borderId="0" xfId="0" applyFont="1" applyAlignment="1">
      <alignment horizontal="left" wrapText="1"/>
    </xf>
    <xf numFmtId="0" fontId="0" fillId="0" borderId="10" xfId="0" applyNumberFormat="1" applyFont="1" applyBorder="1" applyAlignment="1">
      <alignment horizontal="left" vertical="top"/>
    </xf>
    <xf numFmtId="0" fontId="0" fillId="0" borderId="2" xfId="0" applyNumberFormat="1" applyFont="1" applyBorder="1" applyAlignment="1">
      <alignment horizontal="left" vertical="top"/>
    </xf>
    <xf numFmtId="0" fontId="0" fillId="0" borderId="4" xfId="0" applyNumberFormat="1" applyFont="1" applyBorder="1" applyAlignment="1">
      <alignment horizontal="left" vertical="top"/>
    </xf>
    <xf numFmtId="0" fontId="0" fillId="0" borderId="12" xfId="0" applyNumberFormat="1" applyFont="1" applyBorder="1" applyAlignment="1">
      <alignment horizontal="left" vertical="top"/>
    </xf>
    <xf numFmtId="0" fontId="0" fillId="0" borderId="3" xfId="0" applyNumberFormat="1" applyFont="1" applyBorder="1" applyAlignment="1">
      <alignment horizontal="left" vertical="top"/>
    </xf>
    <xf numFmtId="0" fontId="0" fillId="0" borderId="5" xfId="0" applyNumberFormat="1" applyFont="1" applyBorder="1" applyAlignment="1">
      <alignment horizontal="left" vertical="top"/>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53" xfId="0" applyFont="1" applyBorder="1" applyAlignment="1">
      <alignment horizontal="center"/>
    </xf>
    <xf numFmtId="0" fontId="3" fillId="0" borderId="49" xfId="0" applyFont="1" applyBorder="1" applyAlignment="1">
      <alignment horizontal="center"/>
    </xf>
    <xf numFmtId="0" fontId="0" fillId="0" borderId="11" xfId="0" applyNumberFormat="1" applyFont="1" applyBorder="1" applyAlignment="1">
      <alignment horizontal="left" vertical="top" wrapText="1"/>
    </xf>
    <xf numFmtId="0" fontId="0" fillId="0" borderId="0" xfId="0" applyNumberFormat="1" applyFont="1" applyBorder="1" applyAlignment="1">
      <alignment horizontal="left" vertical="top" wrapText="1"/>
    </xf>
    <xf numFmtId="0" fontId="0" fillId="0" borderId="6" xfId="0" applyNumberFormat="1" applyFont="1" applyBorder="1" applyAlignment="1">
      <alignment horizontal="left" vertical="top" wrapText="1"/>
    </xf>
    <xf numFmtId="0" fontId="7" fillId="0" borderId="10" xfId="9" applyNumberFormat="1" applyFont="1" applyBorder="1" applyAlignment="1">
      <alignment horizontal="left" vertical="top" wrapText="1"/>
    </xf>
    <xf numFmtId="0" fontId="7" fillId="0" borderId="2" xfId="9" applyNumberFormat="1" applyFont="1" applyBorder="1" applyAlignment="1">
      <alignment horizontal="left" vertical="top" wrapText="1"/>
    </xf>
    <xf numFmtId="0" fontId="7" fillId="0" borderId="12" xfId="5" applyNumberFormat="1" applyFont="1" applyBorder="1" applyAlignment="1">
      <alignment horizontal="left" vertical="top" wrapText="1"/>
    </xf>
    <xf numFmtId="0" fontId="7" fillId="0" borderId="3" xfId="5" applyNumberFormat="1" applyFont="1" applyBorder="1" applyAlignment="1">
      <alignment horizontal="left" vertical="top" wrapText="1"/>
    </xf>
    <xf numFmtId="0" fontId="7" fillId="0" borderId="13" xfId="9" applyNumberFormat="1" applyFont="1" applyBorder="1" applyAlignment="1">
      <alignment horizontal="left" vertical="top" wrapText="1"/>
    </xf>
    <xf numFmtId="0" fontId="7" fillId="0" borderId="9" xfId="9" applyNumberFormat="1" applyFont="1" applyBorder="1" applyAlignment="1">
      <alignment horizontal="left" vertical="top" wrapText="1"/>
    </xf>
    <xf numFmtId="0" fontId="3" fillId="0" borderId="48" xfId="0" applyFont="1" applyBorder="1" applyAlignment="1">
      <alignment horizontal="center"/>
    </xf>
    <xf numFmtId="0" fontId="7" fillId="10" borderId="9" xfId="9" applyFont="1" applyFill="1" applyBorder="1" applyAlignment="1">
      <alignment horizontal="center" vertical="top" wrapText="1"/>
    </xf>
    <xf numFmtId="0" fontId="20" fillId="0" borderId="2" xfId="9" applyNumberFormat="1" applyFont="1" applyBorder="1" applyAlignment="1">
      <alignment horizontal="center" vertical="top" wrapText="1"/>
    </xf>
    <xf numFmtId="0" fontId="20" fillId="0" borderId="0" xfId="9" applyNumberFormat="1" applyFont="1" applyBorder="1" applyAlignment="1">
      <alignment horizontal="center" vertical="top" wrapText="1"/>
    </xf>
    <xf numFmtId="0" fontId="20" fillId="0" borderId="63" xfId="9" applyNumberFormat="1" applyFont="1" applyBorder="1" applyAlignment="1">
      <alignment horizontal="left" vertical="top" wrapText="1"/>
    </xf>
    <xf numFmtId="0" fontId="20" fillId="0" borderId="9" xfId="9" applyNumberFormat="1" applyFont="1" applyBorder="1" applyAlignment="1">
      <alignment horizontal="left" vertical="top" wrapText="1"/>
    </xf>
    <xf numFmtId="0" fontId="7" fillId="0" borderId="2" xfId="9" applyNumberFormat="1" applyFont="1" applyBorder="1" applyAlignment="1">
      <alignment horizontal="center" vertical="top" wrapText="1"/>
    </xf>
    <xf numFmtId="0" fontId="7" fillId="0" borderId="0" xfId="9" applyNumberFormat="1" applyFont="1" applyBorder="1" applyAlignment="1">
      <alignment horizontal="center" vertical="top" wrapText="1"/>
    </xf>
    <xf numFmtId="0" fontId="16" fillId="0" borderId="53" xfId="0" applyFont="1" applyBorder="1" applyAlignment="1">
      <alignment horizontal="center"/>
    </xf>
    <xf numFmtId="0" fontId="16" fillId="0" borderId="48" xfId="0" applyFont="1" applyBorder="1" applyAlignment="1">
      <alignment horizontal="center"/>
    </xf>
    <xf numFmtId="0" fontId="0" fillId="0" borderId="85" xfId="0" applyFont="1" applyBorder="1" applyAlignment="1">
      <alignment horizontal="left" vertical="top" wrapText="1"/>
    </xf>
    <xf numFmtId="0" fontId="0" fillId="0" borderId="86" xfId="0" applyFont="1" applyBorder="1" applyAlignment="1">
      <alignment horizontal="left" vertical="top" wrapText="1"/>
    </xf>
    <xf numFmtId="0" fontId="0" fillId="0" borderId="0" xfId="0" applyFont="1" applyBorder="1" applyAlignment="1">
      <alignment horizontal="left" vertical="top" wrapText="1"/>
    </xf>
    <xf numFmtId="0" fontId="0" fillId="0" borderId="91" xfId="0" applyFont="1" applyBorder="1" applyAlignment="1">
      <alignment horizontal="left" vertical="top" wrapText="1"/>
    </xf>
    <xf numFmtId="0" fontId="0" fillId="0" borderId="88" xfId="0" applyFont="1" applyBorder="1" applyAlignment="1">
      <alignment horizontal="left" vertical="top" wrapText="1"/>
    </xf>
    <xf numFmtId="0" fontId="0" fillId="0" borderId="89" xfId="0" applyFont="1" applyBorder="1" applyAlignment="1">
      <alignment horizontal="left" vertical="top"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0" xfId="0" applyBorder="1" applyAlignment="1">
      <alignment horizontal="left" vertical="top" wrapText="1"/>
    </xf>
    <xf numFmtId="0" fontId="0" fillId="0" borderId="91" xfId="0" applyBorder="1" applyAlignment="1">
      <alignment horizontal="left" vertical="top" wrapText="1"/>
    </xf>
    <xf numFmtId="0" fontId="0" fillId="0" borderId="88" xfId="0" applyBorder="1" applyAlignment="1">
      <alignment horizontal="left" vertical="top" wrapText="1"/>
    </xf>
    <xf numFmtId="0" fontId="0" fillId="0" borderId="89" xfId="0" applyBorder="1" applyAlignment="1">
      <alignment horizontal="left" vertical="top" wrapText="1"/>
    </xf>
    <xf numFmtId="0" fontId="18" fillId="3" borderId="29" xfId="0" applyFont="1" applyFill="1" applyBorder="1" applyAlignment="1">
      <alignment horizontal="left"/>
    </xf>
    <xf numFmtId="0" fontId="18" fillId="3" borderId="30" xfId="0" applyFont="1" applyFill="1" applyBorder="1" applyAlignment="1">
      <alignment horizontal="left"/>
    </xf>
    <xf numFmtId="0" fontId="18" fillId="3" borderId="22" xfId="0" applyFont="1" applyFill="1" applyBorder="1" applyAlignment="1">
      <alignment horizontal="left"/>
    </xf>
  </cellXfs>
  <cellStyles count="12">
    <cellStyle name="60% - Accent1 2" xfId="8" xr:uid="{00000000-0005-0000-0000-000000000000}"/>
    <cellStyle name="Comma" xfId="1" builtinId="3"/>
    <cellStyle name="Comma 2 2 2 2" xfId="5" xr:uid="{00000000-0005-0000-0000-000002000000}"/>
    <cellStyle name="Currency" xfId="11" builtinId="4"/>
    <cellStyle name="Currency 2 2 2" xfId="3" xr:uid="{00000000-0005-0000-0000-000004000000}"/>
    <cellStyle name="Normal" xfId="0" builtinId="0"/>
    <cellStyle name="Normal 11 2 3" xfId="6" xr:uid="{00000000-0005-0000-0000-000006000000}"/>
    <cellStyle name="Normal 2 2 2" xfId="2" xr:uid="{00000000-0005-0000-0000-000007000000}"/>
    <cellStyle name="Normal 3" xfId="7" xr:uid="{00000000-0005-0000-0000-000008000000}"/>
    <cellStyle name="Normal_Appendix BC" xfId="9" xr:uid="{00000000-0005-0000-0000-000009000000}"/>
    <cellStyle name="Percent" xfId="10" builtinId="5"/>
    <cellStyle name="Percent 2 2" xfId="4" xr:uid="{00000000-0005-0000-0000-00000B000000}"/>
  </cellStyles>
  <dxfs count="6">
    <dxf>
      <border>
        <left/>
        <right/>
        <top/>
        <bottom/>
        <vertical/>
        <horizontal/>
      </border>
    </dxf>
    <dxf>
      <font>
        <b val="0"/>
        <i val="0"/>
        <color theme="0" tint="-0.499984740745262"/>
      </font>
      <fill>
        <patternFill patternType="none">
          <bgColor auto="1"/>
        </patternFill>
      </fill>
    </dxf>
    <dxf>
      <border>
        <left/>
        <right/>
        <top/>
        <bottom/>
        <vertical/>
        <horizontal/>
      </border>
    </dxf>
    <dxf>
      <font>
        <b val="0"/>
        <i val="0"/>
        <color theme="0" tint="-0.499984740745262"/>
      </font>
      <fill>
        <patternFill patternType="none">
          <bgColor auto="1"/>
        </patternFill>
      </fill>
    </dxf>
    <dxf>
      <font>
        <color theme="0" tint="-0.24994659260841701"/>
      </font>
      <fill>
        <patternFill patternType="solid">
          <bgColor theme="0" tint="-4.9989318521683403E-2"/>
        </patternFill>
      </fill>
      <border>
        <left/>
        <right/>
        <top/>
        <bottom/>
        <vertical/>
        <horizontal/>
      </border>
    </dxf>
    <dxf>
      <font>
        <color theme="0" tint="-0.24994659260841701"/>
      </font>
      <fill>
        <patternFill patternType="solid">
          <bgColor theme="0" tint="-4.9989318521683403E-2"/>
        </patternFill>
      </fill>
      <border>
        <left/>
        <right/>
        <top/>
        <bottom/>
        <vertical/>
        <horizontal/>
      </border>
    </dxf>
  </dxfs>
  <tableStyles count="0" defaultTableStyle="TableStyleMedium2" defaultPivotStyle="PivotStyleLight16"/>
  <colors>
    <mruColors>
      <color rgb="FFFFFF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Rates_Res!$BX$17</c:f>
              <c:strCache>
                <c:ptCount val="1"/>
                <c:pt idx="0">
                  <c:v>Customer</c:v>
                </c:pt>
              </c:strCache>
            </c:strRef>
          </c:tx>
          <c:spPr>
            <a:solidFill>
              <a:schemeClr val="accent1"/>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Rates_Res!$BZ$17:$CZ$17</c:f>
              <c:numCache>
                <c:formatCode>_(* #,##0.000_);_(* \(#,##0.000\);_(* "-"??_);_(@_)</c:formatCode>
                <c:ptCount val="17"/>
                <c:pt idx="0">
                  <c:v>22.33803664496018</c:v>
                </c:pt>
                <c:pt idx="1">
                  <c:v>22.33803664496018</c:v>
                </c:pt>
                <c:pt idx="2">
                  <c:v>22.33803664496018</c:v>
                </c:pt>
                <c:pt idx="3">
                  <c:v>22.33803664496018</c:v>
                </c:pt>
                <c:pt idx="4">
                  <c:v>22.33803664496018</c:v>
                </c:pt>
                <c:pt idx="5">
                  <c:v>22.33803664496018</c:v>
                </c:pt>
                <c:pt idx="6">
                  <c:v>22.33803664496018</c:v>
                </c:pt>
                <c:pt idx="7">
                  <c:v>22.33803664496018</c:v>
                </c:pt>
                <c:pt idx="8">
                  <c:v>22.33803664496018</c:v>
                </c:pt>
                <c:pt idx="9">
                  <c:v>22.33803664496018</c:v>
                </c:pt>
                <c:pt idx="10">
                  <c:v>22.33803664496018</c:v>
                </c:pt>
                <c:pt idx="11">
                  <c:v>22.33803664496018</c:v>
                </c:pt>
                <c:pt idx="12">
                  <c:v>22.33803664496018</c:v>
                </c:pt>
                <c:pt idx="13">
                  <c:v>22.33803664496018</c:v>
                </c:pt>
                <c:pt idx="14">
                  <c:v>22.33803664496018</c:v>
                </c:pt>
                <c:pt idx="15">
                  <c:v>22.33803664496018</c:v>
                </c:pt>
                <c:pt idx="16">
                  <c:v>22.33803664496018</c:v>
                </c:pt>
              </c:numCache>
            </c:numRef>
          </c:val>
          <c:extLst>
            <c:ext xmlns:c16="http://schemas.microsoft.com/office/drawing/2014/chart" uri="{C3380CC4-5D6E-409C-BE32-E72D297353CC}">
              <c16:uniqueId val="{00000000-CB1D-4692-9D1D-92C03C580F95}"/>
            </c:ext>
          </c:extLst>
        </c:ser>
        <c:ser>
          <c:idx val="1"/>
          <c:order val="1"/>
          <c:tx>
            <c:strRef>
              <c:f>Rates_Res!$BX$18</c:f>
              <c:strCache>
                <c:ptCount val="1"/>
                <c:pt idx="0">
                  <c:v>Distribution</c:v>
                </c:pt>
              </c:strCache>
            </c:strRef>
          </c:tx>
          <c:spPr>
            <a:solidFill>
              <a:schemeClr val="bg1">
                <a:lumMod val="50000"/>
              </a:schemeClr>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Rates_Res!$BZ$18:$CZ$18</c:f>
              <c:numCache>
                <c:formatCode>_(* #,##0.000_);_(* \(#,##0.000\);_(* "-"??_);_(@_)</c:formatCode>
                <c:ptCount val="17"/>
                <c:pt idx="0">
                  <c:v>56.019109774755847</c:v>
                </c:pt>
                <c:pt idx="1">
                  <c:v>56.357049220755137</c:v>
                </c:pt>
                <c:pt idx="2">
                  <c:v>56.70596318225742</c:v>
                </c:pt>
                <c:pt idx="3">
                  <c:v>56.70596318225742</c:v>
                </c:pt>
                <c:pt idx="4">
                  <c:v>56.70596318225742</c:v>
                </c:pt>
                <c:pt idx="5">
                  <c:v>56.70596318225742</c:v>
                </c:pt>
                <c:pt idx="6">
                  <c:v>56.70596318225742</c:v>
                </c:pt>
                <c:pt idx="7">
                  <c:v>56.70596318225742</c:v>
                </c:pt>
                <c:pt idx="8">
                  <c:v>56.70596318225742</c:v>
                </c:pt>
                <c:pt idx="9">
                  <c:v>56.70596318225742</c:v>
                </c:pt>
                <c:pt idx="10">
                  <c:v>56.70596318225742</c:v>
                </c:pt>
                <c:pt idx="11">
                  <c:v>56.70596318225742</c:v>
                </c:pt>
                <c:pt idx="12">
                  <c:v>56.70596318225742</c:v>
                </c:pt>
                <c:pt idx="13">
                  <c:v>56.70596318225742</c:v>
                </c:pt>
                <c:pt idx="14">
                  <c:v>56.70596318225742</c:v>
                </c:pt>
                <c:pt idx="15">
                  <c:v>56.368011618395585</c:v>
                </c:pt>
                <c:pt idx="16">
                  <c:v>56.029929463711383</c:v>
                </c:pt>
              </c:numCache>
            </c:numRef>
          </c:val>
          <c:extLst>
            <c:ext xmlns:c16="http://schemas.microsoft.com/office/drawing/2014/chart" uri="{C3380CC4-5D6E-409C-BE32-E72D297353CC}">
              <c16:uniqueId val="{00000001-CB1D-4692-9D1D-92C03C580F95}"/>
            </c:ext>
          </c:extLst>
        </c:ser>
        <c:ser>
          <c:idx val="2"/>
          <c:order val="2"/>
          <c:tx>
            <c:strRef>
              <c:f>Rates_Res!$BX$19</c:f>
              <c:strCache>
                <c:ptCount val="1"/>
                <c:pt idx="0">
                  <c:v>LDAC, Non-EE</c:v>
                </c:pt>
              </c:strCache>
            </c:strRef>
          </c:tx>
          <c:spPr>
            <a:solidFill>
              <a:schemeClr val="accent3"/>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Rates_Res!$BZ$19:$CZ$19</c:f>
              <c:numCache>
                <c:formatCode>_(* #,##0.000_);_(* \(#,##0.000\);_(* "-"??_);_(@_)</c:formatCode>
                <c:ptCount val="17"/>
                <c:pt idx="0">
                  <c:v>-3.3213062159716276</c:v>
                </c:pt>
                <c:pt idx="1">
                  <c:v>-3.3431819178023034</c:v>
                </c:pt>
                <c:pt idx="2">
                  <c:v>-3.3657671536912739</c:v>
                </c:pt>
                <c:pt idx="3">
                  <c:v>-3.3657671536912739</c:v>
                </c:pt>
                <c:pt idx="4">
                  <c:v>-3.3657671536912739</c:v>
                </c:pt>
                <c:pt idx="5">
                  <c:v>-3.3657671536912739</c:v>
                </c:pt>
                <c:pt idx="6">
                  <c:v>-3.3657671536912739</c:v>
                </c:pt>
                <c:pt idx="7">
                  <c:v>-3.3657671536912739</c:v>
                </c:pt>
                <c:pt idx="8">
                  <c:v>-3.3657671536912739</c:v>
                </c:pt>
                <c:pt idx="9">
                  <c:v>-3.3657671536912739</c:v>
                </c:pt>
                <c:pt idx="10">
                  <c:v>-3.3657671536912739</c:v>
                </c:pt>
                <c:pt idx="11">
                  <c:v>-3.3657671536912739</c:v>
                </c:pt>
                <c:pt idx="12">
                  <c:v>-3.3657671536912739</c:v>
                </c:pt>
                <c:pt idx="13">
                  <c:v>-3.3657671536912739</c:v>
                </c:pt>
                <c:pt idx="14">
                  <c:v>-3.3657671536912739</c:v>
                </c:pt>
                <c:pt idx="15">
                  <c:v>-3.3438885636482096</c:v>
                </c:pt>
                <c:pt idx="16">
                  <c:v>-3.3220036434072795</c:v>
                </c:pt>
              </c:numCache>
            </c:numRef>
          </c:val>
          <c:extLst>
            <c:ext xmlns:c16="http://schemas.microsoft.com/office/drawing/2014/chart" uri="{C3380CC4-5D6E-409C-BE32-E72D297353CC}">
              <c16:uniqueId val="{00000002-CB1D-4692-9D1D-92C03C580F95}"/>
            </c:ext>
          </c:extLst>
        </c:ser>
        <c:ser>
          <c:idx val="3"/>
          <c:order val="3"/>
          <c:tx>
            <c:strRef>
              <c:f>Rates_Res!$BX$20</c:f>
              <c:strCache>
                <c:ptCount val="1"/>
                <c:pt idx="0">
                  <c:v>Cost of Gas</c:v>
                </c:pt>
              </c:strCache>
            </c:strRef>
          </c:tx>
          <c:spPr>
            <a:solidFill>
              <a:schemeClr val="accent5"/>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Rates_Res!$BZ$20:$CZ$20</c:f>
              <c:numCache>
                <c:formatCode>_(* #,##0.000_);_(* \(#,##0.000\);_(* "-"??_);_(@_)</c:formatCode>
                <c:ptCount val="17"/>
                <c:pt idx="0">
                  <c:v>62.011027931184273</c:v>
                </c:pt>
                <c:pt idx="1">
                  <c:v>61.991666971791879</c:v>
                </c:pt>
                <c:pt idx="2">
                  <c:v>61.971736312700166</c:v>
                </c:pt>
                <c:pt idx="3">
                  <c:v>61.971736312700166</c:v>
                </c:pt>
                <c:pt idx="4">
                  <c:v>61.971736312700166</c:v>
                </c:pt>
                <c:pt idx="5">
                  <c:v>61.971736312700166</c:v>
                </c:pt>
                <c:pt idx="6">
                  <c:v>61.971736312700166</c:v>
                </c:pt>
                <c:pt idx="7">
                  <c:v>61.971736312700166</c:v>
                </c:pt>
                <c:pt idx="8">
                  <c:v>61.971736312700166</c:v>
                </c:pt>
                <c:pt idx="9">
                  <c:v>61.971736312700166</c:v>
                </c:pt>
                <c:pt idx="10">
                  <c:v>61.971736312700166</c:v>
                </c:pt>
                <c:pt idx="11">
                  <c:v>61.971736312700166</c:v>
                </c:pt>
                <c:pt idx="12">
                  <c:v>61.971736312700166</c:v>
                </c:pt>
                <c:pt idx="13">
                  <c:v>61.971736312700166</c:v>
                </c:pt>
                <c:pt idx="14">
                  <c:v>61.971736312700166</c:v>
                </c:pt>
                <c:pt idx="15">
                  <c:v>61.991216110176197</c:v>
                </c:pt>
                <c:pt idx="16">
                  <c:v>62.010584085874157</c:v>
                </c:pt>
              </c:numCache>
            </c:numRef>
          </c:val>
          <c:extLst>
            <c:ext xmlns:c16="http://schemas.microsoft.com/office/drawing/2014/chart" uri="{C3380CC4-5D6E-409C-BE32-E72D297353CC}">
              <c16:uniqueId val="{00000003-CB1D-4692-9D1D-92C03C580F95}"/>
            </c:ext>
          </c:extLst>
        </c:ser>
        <c:ser>
          <c:idx val="4"/>
          <c:order val="4"/>
          <c:tx>
            <c:strRef>
              <c:f>Rates_Res!$BX$21</c:f>
              <c:strCache>
                <c:ptCount val="1"/>
                <c:pt idx="0">
                  <c:v>LDAC (EE Only)</c:v>
                </c:pt>
              </c:strCache>
            </c:strRef>
          </c:tx>
          <c:spPr>
            <a:solidFill>
              <a:srgbClr val="FFC000"/>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Rates_Res!$BZ$21:$CZ$21</c:f>
              <c:numCache>
                <c:formatCode>_(* #,##0.000_);_(* \(#,##0.000\);_(* "-"??_);_(@_)</c:formatCode>
                <c:ptCount val="17"/>
                <c:pt idx="0">
                  <c:v>6.468639699185835</c:v>
                </c:pt>
                <c:pt idx="1">
                  <c:v>6.6654138295917704</c:v>
                </c:pt>
                <c:pt idx="2">
                  <c:v>6.8785811560470815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CB1D-4692-9D1D-92C03C580F95}"/>
            </c:ext>
          </c:extLst>
        </c:ser>
        <c:dLbls>
          <c:showLegendKey val="0"/>
          <c:showVal val="0"/>
          <c:showCatName val="0"/>
          <c:showSerName val="0"/>
          <c:showPercent val="0"/>
          <c:showBubbleSize val="0"/>
        </c:dLbls>
        <c:gapWidth val="0"/>
        <c:overlap val="100"/>
        <c:axId val="-830895216"/>
        <c:axId val="-830899024"/>
      </c:barChart>
      <c:catAx>
        <c:axId val="-8308952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9024"/>
        <c:crosses val="autoZero"/>
        <c:auto val="1"/>
        <c:lblAlgn val="ctr"/>
        <c:lblOffset val="100"/>
        <c:noMultiLvlLbl val="0"/>
      </c:catAx>
      <c:valAx>
        <c:axId val="-8308990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361111111111112"/>
          <c:w val="0.66498826197990513"/>
          <c:h val="0.70957822980460783"/>
        </c:manualLayout>
      </c:layout>
      <c:barChart>
        <c:barDir val="col"/>
        <c:grouping val="stacked"/>
        <c:varyColors val="0"/>
        <c:ser>
          <c:idx val="4"/>
          <c:order val="0"/>
          <c:tx>
            <c:strRef>
              <c:f>Rates_LI!$BX$48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Rates_LI!$BZ$48:$CZ$48</c:f>
              <c:numCache>
                <c:formatCode>_(* #,##0.000_);_(* \(#,##0.000\);_(* "-"??_);_(@_)</c:formatCode>
                <c:ptCount val="22"/>
                <c:pt idx="0">
                  <c:v>-1.5733038800777572</c:v>
                </c:pt>
                <c:pt idx="1">
                  <c:v>-3.2684772287347101</c:v>
                </c:pt>
                <c:pt idx="2">
                  <c:v>-5.1131536567824716</c:v>
                </c:pt>
                <c:pt idx="3">
                  <c:v>-5.1131536567824716</c:v>
                </c:pt>
                <c:pt idx="4">
                  <c:v>-5.1131536567824716</c:v>
                </c:pt>
                <c:pt idx="5">
                  <c:v>-5.1131536567824716</c:v>
                </c:pt>
                <c:pt idx="6">
                  <c:v>-5.1131536567824716</c:v>
                </c:pt>
                <c:pt idx="7">
                  <c:v>-5.1131536567824716</c:v>
                </c:pt>
                <c:pt idx="8">
                  <c:v>-5.1131536567824716</c:v>
                </c:pt>
                <c:pt idx="9">
                  <c:v>-5.1131536567824716</c:v>
                </c:pt>
                <c:pt idx="10">
                  <c:v>-5.1131536567824716</c:v>
                </c:pt>
                <c:pt idx="11">
                  <c:v>-5.1131536567824716</c:v>
                </c:pt>
                <c:pt idx="12">
                  <c:v>-5.1131536567824716</c:v>
                </c:pt>
                <c:pt idx="13">
                  <c:v>-5.1131536567824716</c:v>
                </c:pt>
                <c:pt idx="14">
                  <c:v>-5.1131536567824716</c:v>
                </c:pt>
                <c:pt idx="15">
                  <c:v>-5.1131536567824716</c:v>
                </c:pt>
                <c:pt idx="16">
                  <c:v>-5.1131536567824716</c:v>
                </c:pt>
                <c:pt idx="17">
                  <c:v>-5.1131536567824716</c:v>
                </c:pt>
                <c:pt idx="18">
                  <c:v>-5.1131536567824716</c:v>
                </c:pt>
                <c:pt idx="19">
                  <c:v>-5.1131536567824716</c:v>
                </c:pt>
                <c:pt idx="20">
                  <c:v>-3.3867032860623891</c:v>
                </c:pt>
                <c:pt idx="21">
                  <c:v>-1.6862379460716261</c:v>
                </c:pt>
              </c:numCache>
            </c:numRef>
          </c:val>
          <c:extLst>
            <c:ext xmlns:c16="http://schemas.microsoft.com/office/drawing/2014/chart" uri="{C3380CC4-5D6E-409C-BE32-E72D297353CC}">
              <c16:uniqueId val="{00000000-28FE-4F66-9052-4944CB37F0B1}"/>
            </c:ext>
          </c:extLst>
        </c:ser>
        <c:ser>
          <c:idx val="8"/>
          <c:order val="1"/>
          <c:tx>
            <c:strRef>
              <c:f>Rates_LI!$BX$47</c:f>
              <c:strCache>
                <c:ptCount val="1"/>
                <c:pt idx="0">
                  <c:v>Lost Revenue</c:v>
                </c:pt>
              </c:strCache>
            </c:strRef>
          </c:tx>
          <c:spPr>
            <a:solidFill>
              <a:schemeClr val="accent2"/>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Rates_LI!$BZ$47:$CZ$47</c:f>
              <c:numCache>
                <c:formatCode>_(* #,##0.000_);_(* \(#,##0.000\);_(* "-"??_);_(@_)</c:formatCode>
                <c:ptCount val="22"/>
                <c:pt idx="0">
                  <c:v>0.48417808606264212</c:v>
                </c:pt>
                <c:pt idx="1">
                  <c:v>1.0011730651406565</c:v>
                </c:pt>
                <c:pt idx="2">
                  <c:v>1.5588877133996426</c:v>
                </c:pt>
                <c:pt idx="3">
                  <c:v>1.5588877133996426</c:v>
                </c:pt>
                <c:pt idx="4">
                  <c:v>1.5588877133996426</c:v>
                </c:pt>
                <c:pt idx="5">
                  <c:v>1.5588877133996426</c:v>
                </c:pt>
                <c:pt idx="6">
                  <c:v>1.5588877133996426</c:v>
                </c:pt>
                <c:pt idx="7">
                  <c:v>1.5588877133996426</c:v>
                </c:pt>
                <c:pt idx="8">
                  <c:v>1.5588877133996426</c:v>
                </c:pt>
                <c:pt idx="9">
                  <c:v>1.5588877133996426</c:v>
                </c:pt>
                <c:pt idx="10">
                  <c:v>1.5588877133996426</c:v>
                </c:pt>
                <c:pt idx="11">
                  <c:v>1.5588877133996426</c:v>
                </c:pt>
                <c:pt idx="12">
                  <c:v>1.5588877133996426</c:v>
                </c:pt>
                <c:pt idx="13">
                  <c:v>1.5588877133996426</c:v>
                </c:pt>
                <c:pt idx="14">
                  <c:v>1.5588877133996426</c:v>
                </c:pt>
                <c:pt idx="15">
                  <c:v>1.5588877133996426</c:v>
                </c:pt>
                <c:pt idx="16">
                  <c:v>1.5588877133996426</c:v>
                </c:pt>
                <c:pt idx="17">
                  <c:v>1.5588877133996426</c:v>
                </c:pt>
                <c:pt idx="18">
                  <c:v>1.5588877133996426</c:v>
                </c:pt>
                <c:pt idx="19">
                  <c:v>1.5588877133996426</c:v>
                </c:pt>
                <c:pt idx="20">
                  <c:v>1.037428755030656</c:v>
                </c:pt>
                <c:pt idx="21">
                  <c:v>0.51913741775079236</c:v>
                </c:pt>
              </c:numCache>
            </c:numRef>
          </c:val>
          <c:extLst>
            <c:ext xmlns:c16="http://schemas.microsoft.com/office/drawing/2014/chart" uri="{C3380CC4-5D6E-409C-BE32-E72D297353CC}">
              <c16:uniqueId val="{00000001-28FE-4F66-9052-4944CB37F0B1}"/>
            </c:ext>
          </c:extLst>
        </c:ser>
        <c:ser>
          <c:idx val="7"/>
          <c:order val="2"/>
          <c:tx>
            <c:strRef>
              <c:f>Rates_LI!$BX$46</c:f>
              <c:strCache>
                <c:ptCount val="1"/>
                <c:pt idx="0">
                  <c:v>LDAC (EE Only)</c:v>
                </c:pt>
              </c:strCache>
            </c:strRef>
          </c:tx>
          <c:spPr>
            <a:solidFill>
              <a:srgbClr val="FFC000"/>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Rates_LI!$BZ$46:$CZ$46</c:f>
              <c:numCache>
                <c:formatCode>_(* #,##0.000_);_(* \(#,##0.000\);_(* "-"??_);_(@_)</c:formatCode>
                <c:ptCount val="22"/>
                <c:pt idx="0">
                  <c:v>7.7623676390230019</c:v>
                </c:pt>
                <c:pt idx="1">
                  <c:v>7.998496595510125</c:v>
                </c:pt>
                <c:pt idx="2">
                  <c:v>8.2542973872564964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28FE-4F66-9052-4944CB37F0B1}"/>
            </c:ext>
          </c:extLst>
        </c:ser>
        <c:dLbls>
          <c:showLegendKey val="0"/>
          <c:showVal val="1"/>
          <c:showCatName val="0"/>
          <c:showSerName val="0"/>
          <c:showPercent val="0"/>
          <c:showBubbleSize val="0"/>
        </c:dLbls>
        <c:gapWidth val="0"/>
        <c:overlap val="100"/>
        <c:axId val="-830889776"/>
        <c:axId val="-830888144"/>
      </c:barChart>
      <c:lineChart>
        <c:grouping val="standard"/>
        <c:varyColors val="0"/>
        <c:ser>
          <c:idx val="0"/>
          <c:order val="3"/>
          <c:tx>
            <c:strRef>
              <c:f>Rates_LI!$BX$49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F1F02DAB-B206-48C6-BA0E-CAC6CF93F1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FE-4F66-9052-4944CB37F0B1}"/>
                </c:ext>
              </c:extLst>
            </c:dLbl>
            <c:dLbl>
              <c:idx val="1"/>
              <c:tx>
                <c:rich>
                  <a:bodyPr/>
                  <a:lstStyle/>
                  <a:p>
                    <a:fld id="{891DE8C5-AD71-4721-A312-032417697D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FE-4F66-9052-4944CB37F0B1}"/>
                </c:ext>
              </c:extLst>
            </c:dLbl>
            <c:dLbl>
              <c:idx val="2"/>
              <c:tx>
                <c:rich>
                  <a:bodyPr/>
                  <a:lstStyle/>
                  <a:p>
                    <a:fld id="{3D475BDD-E908-4451-83D2-411249C32D7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FE-4F66-9052-4944CB37F0B1}"/>
                </c:ext>
              </c:extLst>
            </c:dLbl>
            <c:dLbl>
              <c:idx val="3"/>
              <c:tx>
                <c:rich>
                  <a:bodyPr/>
                  <a:lstStyle/>
                  <a:p>
                    <a:fld id="{F3F8A3B3-432C-4C7B-9A31-A1D2DFCDC5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FE-4F66-9052-4944CB37F0B1}"/>
                </c:ext>
              </c:extLst>
            </c:dLbl>
            <c:dLbl>
              <c:idx val="4"/>
              <c:tx>
                <c:rich>
                  <a:bodyPr/>
                  <a:lstStyle/>
                  <a:p>
                    <a:fld id="{B036D3C5-B3A6-4431-A3F7-525EFB13A4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FE-4F66-9052-4944CB37F0B1}"/>
                </c:ext>
              </c:extLst>
            </c:dLbl>
            <c:dLbl>
              <c:idx val="5"/>
              <c:tx>
                <c:rich>
                  <a:bodyPr/>
                  <a:lstStyle/>
                  <a:p>
                    <a:fld id="{16922927-07F3-468F-9BF8-E07DA4F411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FE-4F66-9052-4944CB37F0B1}"/>
                </c:ext>
              </c:extLst>
            </c:dLbl>
            <c:dLbl>
              <c:idx val="6"/>
              <c:tx>
                <c:rich>
                  <a:bodyPr/>
                  <a:lstStyle/>
                  <a:p>
                    <a:fld id="{38A74705-4B70-4D66-AF0C-C45F6CAAF4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FE-4F66-9052-4944CB37F0B1}"/>
                </c:ext>
              </c:extLst>
            </c:dLbl>
            <c:dLbl>
              <c:idx val="7"/>
              <c:tx>
                <c:rich>
                  <a:bodyPr/>
                  <a:lstStyle/>
                  <a:p>
                    <a:fld id="{711EFB1F-F0FD-4DF2-BFCE-2AEB358907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FE-4F66-9052-4944CB37F0B1}"/>
                </c:ext>
              </c:extLst>
            </c:dLbl>
            <c:dLbl>
              <c:idx val="8"/>
              <c:tx>
                <c:rich>
                  <a:bodyPr/>
                  <a:lstStyle/>
                  <a:p>
                    <a:fld id="{3AF524FB-D960-4B9E-9E5A-B21BC75472E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FE-4F66-9052-4944CB37F0B1}"/>
                </c:ext>
              </c:extLst>
            </c:dLbl>
            <c:dLbl>
              <c:idx val="9"/>
              <c:tx>
                <c:rich>
                  <a:bodyPr/>
                  <a:lstStyle/>
                  <a:p>
                    <a:fld id="{6A1ECD39-A34F-4A54-AB7A-73121735518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FE-4F66-9052-4944CB37F0B1}"/>
                </c:ext>
              </c:extLst>
            </c:dLbl>
            <c:dLbl>
              <c:idx val="10"/>
              <c:tx>
                <c:rich>
                  <a:bodyPr/>
                  <a:lstStyle/>
                  <a:p>
                    <a:fld id="{11EFB817-4A10-4299-A8A0-4303C401FC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FE-4F66-9052-4944CB37F0B1}"/>
                </c:ext>
              </c:extLst>
            </c:dLbl>
            <c:dLbl>
              <c:idx val="11"/>
              <c:tx>
                <c:rich>
                  <a:bodyPr/>
                  <a:lstStyle/>
                  <a:p>
                    <a:fld id="{778B7D97-0CEA-4B9F-847A-3B5E0EF00A1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FE-4F66-9052-4944CB37F0B1}"/>
                </c:ext>
              </c:extLst>
            </c:dLbl>
            <c:dLbl>
              <c:idx val="12"/>
              <c:tx>
                <c:rich>
                  <a:bodyPr/>
                  <a:lstStyle/>
                  <a:p>
                    <a:fld id="{5508BFDC-AA42-4613-A5FB-D618BEC14D0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FE-4F66-9052-4944CB37F0B1}"/>
                </c:ext>
              </c:extLst>
            </c:dLbl>
            <c:dLbl>
              <c:idx val="13"/>
              <c:tx>
                <c:rich>
                  <a:bodyPr/>
                  <a:lstStyle/>
                  <a:p>
                    <a:fld id="{B4BFF334-D0F6-4F87-AC34-03B2D2FB2A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FE-4F66-9052-4944CB37F0B1}"/>
                </c:ext>
              </c:extLst>
            </c:dLbl>
            <c:dLbl>
              <c:idx val="14"/>
              <c:tx>
                <c:rich>
                  <a:bodyPr/>
                  <a:lstStyle/>
                  <a:p>
                    <a:fld id="{59AAF84E-9818-4A63-A69B-EB748E6FC4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FE-4F66-9052-4944CB37F0B1}"/>
                </c:ext>
              </c:extLst>
            </c:dLbl>
            <c:dLbl>
              <c:idx val="15"/>
              <c:tx>
                <c:rich>
                  <a:bodyPr/>
                  <a:lstStyle/>
                  <a:p>
                    <a:fld id="{3415C05F-A44C-4776-AAC2-94CDC57371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FE-4F66-9052-4944CB37F0B1}"/>
                </c:ext>
              </c:extLst>
            </c:dLbl>
            <c:dLbl>
              <c:idx val="16"/>
              <c:tx>
                <c:rich>
                  <a:bodyPr/>
                  <a:lstStyle/>
                  <a:p>
                    <a:fld id="{7142E0B6-C1C7-459F-A03D-081A45EA8B5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FE-4F66-9052-4944CB37F0B1}"/>
                </c:ext>
              </c:extLst>
            </c:dLbl>
            <c:dLbl>
              <c:idx val="17"/>
              <c:tx>
                <c:rich>
                  <a:bodyPr/>
                  <a:lstStyle/>
                  <a:p>
                    <a:fld id="{CA53169A-8D0F-47C4-8A23-6118A24A5F7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FE-4F66-9052-4944CB37F0B1}"/>
                </c:ext>
              </c:extLst>
            </c:dLbl>
            <c:dLbl>
              <c:idx val="18"/>
              <c:tx>
                <c:rich>
                  <a:bodyPr/>
                  <a:lstStyle/>
                  <a:p>
                    <a:fld id="{B495CA8F-5A75-4D22-8AC7-662F119221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FE-4F66-9052-4944CB37F0B1}"/>
                </c:ext>
              </c:extLst>
            </c:dLbl>
            <c:dLbl>
              <c:idx val="19"/>
              <c:tx>
                <c:rich>
                  <a:bodyPr/>
                  <a:lstStyle/>
                  <a:p>
                    <a:fld id="{619BC398-872D-406A-9110-149201404E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FE-4F66-9052-4944CB37F0B1}"/>
                </c:ext>
              </c:extLst>
            </c:dLbl>
            <c:dLbl>
              <c:idx val="20"/>
              <c:tx>
                <c:rich>
                  <a:bodyPr/>
                  <a:lstStyle/>
                  <a:p>
                    <a:fld id="{FC0A7D67-475A-4C70-9414-8D506308960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FE-4F66-9052-4944CB37F0B1}"/>
                </c:ext>
              </c:extLst>
            </c:dLbl>
            <c:dLbl>
              <c:idx val="21"/>
              <c:tx>
                <c:rich>
                  <a:bodyPr/>
                  <a:lstStyle/>
                  <a:p>
                    <a:fld id="{C67CB083-D4BE-473C-93B4-95D7D93245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FE-4F66-9052-4944CB37F0B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Rates_LI!$BZ$49:$CZ$49</c:f>
              <c:numCache>
                <c:formatCode>_(* #,##0.000_);_(* \(#,##0.000\);_(* "-"??_);_(@_)</c:formatCode>
                <c:ptCount val="22"/>
                <c:pt idx="0">
                  <c:v>8.0178213733644093</c:v>
                </c:pt>
                <c:pt idx="1">
                  <c:v>8.5292569467878003</c:v>
                </c:pt>
                <c:pt idx="2">
                  <c:v>9.0850422267313657</c:v>
                </c:pt>
                <c:pt idx="3">
                  <c:v>0.83074483947487288</c:v>
                </c:pt>
                <c:pt idx="4">
                  <c:v>0.83074483947487288</c:v>
                </c:pt>
                <c:pt idx="5">
                  <c:v>0.83074483947487288</c:v>
                </c:pt>
                <c:pt idx="6">
                  <c:v>0.83074483947487288</c:v>
                </c:pt>
                <c:pt idx="7">
                  <c:v>0.83074483947487288</c:v>
                </c:pt>
                <c:pt idx="8">
                  <c:v>0.83074483947487288</c:v>
                </c:pt>
                <c:pt idx="9">
                  <c:v>0.83074483947487288</c:v>
                </c:pt>
                <c:pt idx="10">
                  <c:v>0.83074483947487288</c:v>
                </c:pt>
                <c:pt idx="11">
                  <c:v>0.83074483947487288</c:v>
                </c:pt>
                <c:pt idx="12">
                  <c:v>0.83074483947487288</c:v>
                </c:pt>
                <c:pt idx="13">
                  <c:v>0.83074483947487288</c:v>
                </c:pt>
                <c:pt idx="14">
                  <c:v>0.83074483947487288</c:v>
                </c:pt>
                <c:pt idx="15">
                  <c:v>0.83074483947487288</c:v>
                </c:pt>
                <c:pt idx="16">
                  <c:v>0.83074483947487288</c:v>
                </c:pt>
                <c:pt idx="17">
                  <c:v>0.83074483947487288</c:v>
                </c:pt>
                <c:pt idx="18">
                  <c:v>0.83074483947487288</c:v>
                </c:pt>
                <c:pt idx="19">
                  <c:v>0.83074483947487288</c:v>
                </c:pt>
                <c:pt idx="20">
                  <c:v>0.55041312029947553</c:v>
                </c:pt>
                <c:pt idx="21">
                  <c:v>0.27423686118762669</c:v>
                </c:pt>
              </c:numCache>
            </c:numRef>
          </c:val>
          <c:smooth val="0"/>
          <c:extLst>
            <c:ext xmlns:c15="http://schemas.microsoft.com/office/drawing/2012/chart" uri="{02D57815-91ED-43cb-92C2-25804820EDAC}">
              <c15:datalabelsRange>
                <c15:f>Rates_LI!$BZ$51:$CZ$51</c15:f>
                <c15:dlblRangeCache>
                  <c:ptCount val="22"/>
                  <c:pt idx="0">
                    <c:v>9%</c:v>
                  </c:pt>
                  <c:pt idx="1">
                    <c:v>9%</c:v>
                  </c:pt>
                  <c:pt idx="2">
                    <c:v>10%</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15:dlblRangeCache>
              </c15:datalabelsRange>
            </c:ext>
            <c:ext xmlns:c16="http://schemas.microsoft.com/office/drawing/2014/chart" uri="{C3380CC4-5D6E-409C-BE32-E72D297353CC}">
              <c16:uniqueId val="{00000014-28FE-4F66-9052-4944CB37F0B1}"/>
            </c:ext>
          </c:extLst>
        </c:ser>
        <c:dLbls>
          <c:showLegendKey val="0"/>
          <c:showVal val="1"/>
          <c:showCatName val="0"/>
          <c:showSerName val="0"/>
          <c:showPercent val="0"/>
          <c:showBubbleSize val="0"/>
        </c:dLbls>
        <c:marker val="1"/>
        <c:smooth val="0"/>
        <c:axId val="-830889776"/>
        <c:axId val="-830888144"/>
      </c:lineChart>
      <c:catAx>
        <c:axId val="-83088977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8144"/>
        <c:crosses val="autoZero"/>
        <c:auto val="1"/>
        <c:lblAlgn val="ctr"/>
        <c:lblOffset val="100"/>
        <c:noMultiLvlLbl val="0"/>
      </c:catAx>
      <c:valAx>
        <c:axId val="-8308881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9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Rates_LI!$BX$9</c:f>
              <c:strCache>
                <c:ptCount val="1"/>
                <c:pt idx="0">
                  <c:v>Customer</c:v>
                </c:pt>
              </c:strCache>
            </c:strRef>
          </c:tx>
          <c:spPr>
            <a:solidFill>
              <a:schemeClr val="accent1"/>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Rates_LI!$BZ$9:$CZ$9</c:f>
              <c:numCache>
                <c:formatCode>_(* #,##0.000_);_(* \(#,##0.000\);_(* "-"??_);_(@_)</c:formatCode>
                <c:ptCount val="22"/>
                <c:pt idx="0">
                  <c:v>9.0952917202036048</c:v>
                </c:pt>
                <c:pt idx="1">
                  <c:v>9.0952917202036048</c:v>
                </c:pt>
                <c:pt idx="2">
                  <c:v>9.0952917202036048</c:v>
                </c:pt>
                <c:pt idx="3">
                  <c:v>9.0952917202036048</c:v>
                </c:pt>
                <c:pt idx="4">
                  <c:v>9.0952917202036048</c:v>
                </c:pt>
                <c:pt idx="5">
                  <c:v>9.0952917202036048</c:v>
                </c:pt>
                <c:pt idx="6">
                  <c:v>9.0952917202036048</c:v>
                </c:pt>
                <c:pt idx="7">
                  <c:v>9.0952917202036048</c:v>
                </c:pt>
                <c:pt idx="8">
                  <c:v>9.0952917202036048</c:v>
                </c:pt>
                <c:pt idx="9">
                  <c:v>9.0952917202036048</c:v>
                </c:pt>
                <c:pt idx="10">
                  <c:v>9.0952917202036048</c:v>
                </c:pt>
                <c:pt idx="11">
                  <c:v>9.0952917202036048</c:v>
                </c:pt>
                <c:pt idx="12">
                  <c:v>9.0952917202036048</c:v>
                </c:pt>
                <c:pt idx="13">
                  <c:v>9.0952917202036048</c:v>
                </c:pt>
                <c:pt idx="14">
                  <c:v>9.0952917202036048</c:v>
                </c:pt>
                <c:pt idx="15">
                  <c:v>9.0952917202036048</c:v>
                </c:pt>
                <c:pt idx="16">
                  <c:v>9.0952917202036048</c:v>
                </c:pt>
                <c:pt idx="17">
                  <c:v>9.0952917202036048</c:v>
                </c:pt>
                <c:pt idx="18">
                  <c:v>9.0952917202036048</c:v>
                </c:pt>
                <c:pt idx="19">
                  <c:v>9.0952917202036048</c:v>
                </c:pt>
                <c:pt idx="20">
                  <c:v>9.0952917202036048</c:v>
                </c:pt>
                <c:pt idx="21">
                  <c:v>9.0952917202036048</c:v>
                </c:pt>
              </c:numCache>
            </c:numRef>
          </c:val>
          <c:extLst>
            <c:ext xmlns:c16="http://schemas.microsoft.com/office/drawing/2014/chart" uri="{C3380CC4-5D6E-409C-BE32-E72D297353CC}">
              <c16:uniqueId val="{00000000-8F81-4BE5-9079-41C215140B01}"/>
            </c:ext>
          </c:extLst>
        </c:ser>
        <c:ser>
          <c:idx val="1"/>
          <c:order val="1"/>
          <c:tx>
            <c:strRef>
              <c:f>Rates_LI!$BX$10</c:f>
              <c:strCache>
                <c:ptCount val="1"/>
                <c:pt idx="0">
                  <c:v>Distribution</c:v>
                </c:pt>
              </c:strCache>
            </c:strRef>
          </c:tx>
          <c:spPr>
            <a:solidFill>
              <a:schemeClr val="bg1">
                <a:lumMod val="50000"/>
              </a:schemeClr>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Rates_LI!$BZ$10:$CZ$10</c:f>
              <c:numCache>
                <c:formatCode>_(* #,##0.000_);_(* \(#,##0.000\);_(* "-"??_);_(@_)</c:formatCode>
                <c:ptCount val="22"/>
                <c:pt idx="0">
                  <c:v>22.28</c:v>
                </c:pt>
                <c:pt idx="1">
                  <c:v>22.28</c:v>
                </c:pt>
                <c:pt idx="2">
                  <c:v>22.28</c:v>
                </c:pt>
                <c:pt idx="3">
                  <c:v>22.28</c:v>
                </c:pt>
                <c:pt idx="4">
                  <c:v>22.28</c:v>
                </c:pt>
                <c:pt idx="5">
                  <c:v>22.28</c:v>
                </c:pt>
                <c:pt idx="6">
                  <c:v>22.28</c:v>
                </c:pt>
                <c:pt idx="7">
                  <c:v>22.28</c:v>
                </c:pt>
                <c:pt idx="8">
                  <c:v>22.28</c:v>
                </c:pt>
                <c:pt idx="9">
                  <c:v>22.28</c:v>
                </c:pt>
                <c:pt idx="10">
                  <c:v>22.28</c:v>
                </c:pt>
                <c:pt idx="11">
                  <c:v>22.28</c:v>
                </c:pt>
                <c:pt idx="12">
                  <c:v>22.28</c:v>
                </c:pt>
                <c:pt idx="13">
                  <c:v>22.28</c:v>
                </c:pt>
                <c:pt idx="14">
                  <c:v>22.28</c:v>
                </c:pt>
                <c:pt idx="15">
                  <c:v>22.28</c:v>
                </c:pt>
                <c:pt idx="16">
                  <c:v>22.28</c:v>
                </c:pt>
                <c:pt idx="17">
                  <c:v>22.28</c:v>
                </c:pt>
                <c:pt idx="18">
                  <c:v>22.28</c:v>
                </c:pt>
                <c:pt idx="19">
                  <c:v>22.28</c:v>
                </c:pt>
                <c:pt idx="20">
                  <c:v>22.28</c:v>
                </c:pt>
                <c:pt idx="21">
                  <c:v>22.28</c:v>
                </c:pt>
              </c:numCache>
            </c:numRef>
          </c:val>
          <c:extLst>
            <c:ext xmlns:c16="http://schemas.microsoft.com/office/drawing/2014/chart" uri="{C3380CC4-5D6E-409C-BE32-E72D297353CC}">
              <c16:uniqueId val="{00000001-8F81-4BE5-9079-41C215140B01}"/>
            </c:ext>
          </c:extLst>
        </c:ser>
        <c:ser>
          <c:idx val="2"/>
          <c:order val="2"/>
          <c:tx>
            <c:strRef>
              <c:f>Rates_LI!$BX$11</c:f>
              <c:strCache>
                <c:ptCount val="1"/>
                <c:pt idx="0">
                  <c:v>LDAC, Non-EE</c:v>
                </c:pt>
              </c:strCache>
            </c:strRef>
          </c:tx>
          <c:spPr>
            <a:solidFill>
              <a:schemeClr val="accent3"/>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Rates_LI!$BZ$11:$CZ$11</c:f>
              <c:numCache>
                <c:formatCode>_(* #,##0.000_);_(* \(#,##0.000\);_(* "-"??_);_(@_)</c:formatCode>
                <c:ptCount val="22"/>
                <c:pt idx="0">
                  <c:v>-3.3000000000000003</c:v>
                </c:pt>
                <c:pt idx="1">
                  <c:v>-3.3000000000000003</c:v>
                </c:pt>
                <c:pt idx="2">
                  <c:v>-3.3000000000000003</c:v>
                </c:pt>
                <c:pt idx="3">
                  <c:v>-3.3000000000000003</c:v>
                </c:pt>
                <c:pt idx="4">
                  <c:v>-3.3000000000000003</c:v>
                </c:pt>
                <c:pt idx="5">
                  <c:v>-3.3000000000000003</c:v>
                </c:pt>
                <c:pt idx="6">
                  <c:v>-3.3000000000000003</c:v>
                </c:pt>
                <c:pt idx="7">
                  <c:v>-3.3000000000000003</c:v>
                </c:pt>
                <c:pt idx="8">
                  <c:v>-3.3000000000000003</c:v>
                </c:pt>
                <c:pt idx="9">
                  <c:v>-3.3000000000000003</c:v>
                </c:pt>
                <c:pt idx="10">
                  <c:v>-3.3000000000000003</c:v>
                </c:pt>
                <c:pt idx="11">
                  <c:v>-3.3000000000000003</c:v>
                </c:pt>
                <c:pt idx="12">
                  <c:v>-3.3000000000000003</c:v>
                </c:pt>
                <c:pt idx="13">
                  <c:v>-3.3000000000000003</c:v>
                </c:pt>
                <c:pt idx="14">
                  <c:v>-3.3000000000000003</c:v>
                </c:pt>
                <c:pt idx="15">
                  <c:v>-3.3000000000000003</c:v>
                </c:pt>
                <c:pt idx="16">
                  <c:v>-3.3000000000000003</c:v>
                </c:pt>
                <c:pt idx="17">
                  <c:v>-3.3000000000000003</c:v>
                </c:pt>
                <c:pt idx="18">
                  <c:v>-3.3000000000000003</c:v>
                </c:pt>
                <c:pt idx="19">
                  <c:v>-3.3000000000000003</c:v>
                </c:pt>
                <c:pt idx="20">
                  <c:v>-3.3000000000000003</c:v>
                </c:pt>
                <c:pt idx="21">
                  <c:v>-3.3000000000000003</c:v>
                </c:pt>
              </c:numCache>
            </c:numRef>
          </c:val>
          <c:extLst>
            <c:ext xmlns:c16="http://schemas.microsoft.com/office/drawing/2014/chart" uri="{C3380CC4-5D6E-409C-BE32-E72D297353CC}">
              <c16:uniqueId val="{00000002-8F81-4BE5-9079-41C215140B01}"/>
            </c:ext>
          </c:extLst>
        </c:ser>
        <c:ser>
          <c:idx val="3"/>
          <c:order val="3"/>
          <c:tx>
            <c:strRef>
              <c:f>Rates_LI!$BX$12</c:f>
              <c:strCache>
                <c:ptCount val="1"/>
                <c:pt idx="0">
                  <c:v>Cost of Gas</c:v>
                </c:pt>
              </c:strCache>
            </c:strRef>
          </c:tx>
          <c:spPr>
            <a:solidFill>
              <a:schemeClr val="accent5"/>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Rates_LI!$BZ$12:$CZ$12</c:f>
              <c:numCache>
                <c:formatCode>_(* #,##0.000_);_(* \(#,##0.000\);_(* "-"??_);_(@_)</c:formatCode>
                <c:ptCount val="22"/>
                <c:pt idx="0">
                  <c:v>62.029999999999994</c:v>
                </c:pt>
                <c:pt idx="1">
                  <c:v>62.029999999999994</c:v>
                </c:pt>
                <c:pt idx="2">
                  <c:v>62.029999999999994</c:v>
                </c:pt>
                <c:pt idx="3">
                  <c:v>62.029999999999994</c:v>
                </c:pt>
                <c:pt idx="4">
                  <c:v>62.029999999999994</c:v>
                </c:pt>
                <c:pt idx="5">
                  <c:v>62.029999999999994</c:v>
                </c:pt>
                <c:pt idx="6">
                  <c:v>62.029999999999994</c:v>
                </c:pt>
                <c:pt idx="7">
                  <c:v>62.029999999999994</c:v>
                </c:pt>
                <c:pt idx="8">
                  <c:v>62.029999999999994</c:v>
                </c:pt>
                <c:pt idx="9">
                  <c:v>62.029999999999994</c:v>
                </c:pt>
                <c:pt idx="10">
                  <c:v>62.029999999999994</c:v>
                </c:pt>
                <c:pt idx="11">
                  <c:v>62.029999999999994</c:v>
                </c:pt>
                <c:pt idx="12">
                  <c:v>62.029999999999994</c:v>
                </c:pt>
                <c:pt idx="13">
                  <c:v>62.029999999999994</c:v>
                </c:pt>
                <c:pt idx="14">
                  <c:v>62.029999999999994</c:v>
                </c:pt>
                <c:pt idx="15">
                  <c:v>62.029999999999994</c:v>
                </c:pt>
                <c:pt idx="16">
                  <c:v>62.029999999999994</c:v>
                </c:pt>
                <c:pt idx="17">
                  <c:v>62.029999999999994</c:v>
                </c:pt>
                <c:pt idx="18">
                  <c:v>62.029999999999994</c:v>
                </c:pt>
                <c:pt idx="19">
                  <c:v>62.029999999999994</c:v>
                </c:pt>
                <c:pt idx="20">
                  <c:v>62.029999999999994</c:v>
                </c:pt>
                <c:pt idx="21">
                  <c:v>62.029999999999994</c:v>
                </c:pt>
              </c:numCache>
            </c:numRef>
          </c:val>
          <c:extLst>
            <c:ext xmlns:c16="http://schemas.microsoft.com/office/drawing/2014/chart" uri="{C3380CC4-5D6E-409C-BE32-E72D297353CC}">
              <c16:uniqueId val="{00000003-8F81-4BE5-9079-41C215140B01}"/>
            </c:ext>
          </c:extLst>
        </c:ser>
        <c:ser>
          <c:idx val="4"/>
          <c:order val="4"/>
          <c:tx>
            <c:strRef>
              <c:f>Rates_LI!$BX$13</c:f>
              <c:strCache>
                <c:ptCount val="1"/>
                <c:pt idx="0">
                  <c:v>LDAC (EE Only)</c:v>
                </c:pt>
              </c:strCache>
            </c:strRef>
          </c:tx>
          <c:spPr>
            <a:solidFill>
              <a:schemeClr val="accent5"/>
            </a:solidFill>
            <a:ln>
              <a:no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Rates_LI!$BZ$13:$CZ$13</c:f>
              <c:numCache>
                <c:formatCode>_(* #,##0.000_);_(* \(#,##0.000\);_(*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8F81-4BE5-9079-41C215140B01}"/>
            </c:ext>
          </c:extLst>
        </c:ser>
        <c:dLbls>
          <c:showLegendKey val="0"/>
          <c:showVal val="0"/>
          <c:showCatName val="0"/>
          <c:showSerName val="0"/>
          <c:showPercent val="0"/>
          <c:showBubbleSize val="0"/>
        </c:dLbls>
        <c:gapWidth val="0"/>
        <c:overlap val="100"/>
        <c:axId val="-830887600"/>
        <c:axId val="-830887056"/>
      </c:barChart>
      <c:catAx>
        <c:axId val="-8308876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056"/>
        <c:crosses val="autoZero"/>
        <c:auto val="1"/>
        <c:lblAlgn val="ctr"/>
        <c:lblOffset val="100"/>
        <c:noMultiLvlLbl val="0"/>
      </c:catAx>
      <c:valAx>
        <c:axId val="-8308870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836403605059474"/>
          <c:w val="0.66498826197990513"/>
          <c:h val="0.70482543632243899"/>
        </c:manualLayout>
      </c:layout>
      <c:barChart>
        <c:barDir val="col"/>
        <c:grouping val="stacked"/>
        <c:varyColors val="0"/>
        <c:ser>
          <c:idx val="4"/>
          <c:order val="0"/>
          <c:tx>
            <c:strRef>
              <c:f>Rates_LI!$BX$62</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Rates_LI!$BZ$62:$CZ$62</c:f>
              <c:numCache>
                <c:formatCode>_(* #,##0.000_);_(* \(#,##0.000\);_(* "-"??_);_(@_)</c:formatCode>
                <c:ptCount val="22"/>
                <c:pt idx="0">
                  <c:v>-0.11009910858761951</c:v>
                </c:pt>
                <c:pt idx="1">
                  <c:v>-0.23761294461025839</c:v>
                </c:pt>
                <c:pt idx="2">
                  <c:v>-0.38675748546218269</c:v>
                </c:pt>
                <c:pt idx="3">
                  <c:v>-0.38675748546218269</c:v>
                </c:pt>
                <c:pt idx="4">
                  <c:v>-0.38675748546218269</c:v>
                </c:pt>
                <c:pt idx="5">
                  <c:v>-0.38675748546218269</c:v>
                </c:pt>
                <c:pt idx="6">
                  <c:v>-0.38675748546218269</c:v>
                </c:pt>
                <c:pt idx="7">
                  <c:v>-0.38675748546218269</c:v>
                </c:pt>
                <c:pt idx="8">
                  <c:v>-0.38675748546218269</c:v>
                </c:pt>
                <c:pt idx="9">
                  <c:v>-0.38675748546218269</c:v>
                </c:pt>
                <c:pt idx="10">
                  <c:v>-0.38675748546218269</c:v>
                </c:pt>
                <c:pt idx="11">
                  <c:v>-0.38675748546218269</c:v>
                </c:pt>
                <c:pt idx="12">
                  <c:v>-0.38675748546218269</c:v>
                </c:pt>
                <c:pt idx="13">
                  <c:v>-0.38675748546218269</c:v>
                </c:pt>
                <c:pt idx="14">
                  <c:v>-0.38675748546218269</c:v>
                </c:pt>
                <c:pt idx="15">
                  <c:v>-0.38675748546218269</c:v>
                </c:pt>
                <c:pt idx="16">
                  <c:v>-0.38675748546218269</c:v>
                </c:pt>
                <c:pt idx="17">
                  <c:v>-0.38675748546218269</c:v>
                </c:pt>
                <c:pt idx="18">
                  <c:v>-0.38675748546218269</c:v>
                </c:pt>
                <c:pt idx="19">
                  <c:v>-0.38675748546218269</c:v>
                </c:pt>
                <c:pt idx="20">
                  <c:v>-0.24684634698276664</c:v>
                </c:pt>
                <c:pt idx="21">
                  <c:v>-0.11830351174642773</c:v>
                </c:pt>
              </c:numCache>
            </c:numRef>
          </c:val>
          <c:extLst>
            <c:ext xmlns:c16="http://schemas.microsoft.com/office/drawing/2014/chart" uri="{C3380CC4-5D6E-409C-BE32-E72D297353CC}">
              <c16:uniqueId val="{00000000-E8F1-4173-9D89-B5512CEC81DE}"/>
            </c:ext>
          </c:extLst>
        </c:ser>
        <c:ser>
          <c:idx val="8"/>
          <c:order val="1"/>
          <c:tx>
            <c:strRef>
              <c:f>Rates_LI!$BX$61</c:f>
              <c:strCache>
                <c:ptCount val="1"/>
                <c:pt idx="0">
                  <c:v>Lost Revenue</c:v>
                </c:pt>
              </c:strCache>
            </c:strRef>
          </c:tx>
          <c:spPr>
            <a:solidFill>
              <a:schemeClr val="accent2"/>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Rates_LI!$BZ$61:$CZ$61</c:f>
              <c:numCache>
                <c:formatCode>_(* #,##0.000_);_(* \(#,##0.000\);_(* "-"??_);_(@_)</c:formatCode>
                <c:ptCount val="22"/>
                <c:pt idx="0">
                  <c:v>6.1434027603426977E-2</c:v>
                </c:pt>
                <c:pt idx="1">
                  <c:v>0.12907057613612283</c:v>
                </c:pt>
                <c:pt idx="2">
                  <c:v>0.204438486400768</c:v>
                </c:pt>
                <c:pt idx="3">
                  <c:v>0.204438486400768</c:v>
                </c:pt>
                <c:pt idx="4">
                  <c:v>0.204438486400768</c:v>
                </c:pt>
                <c:pt idx="5">
                  <c:v>0.204438486400768</c:v>
                </c:pt>
                <c:pt idx="6">
                  <c:v>0.204438486400768</c:v>
                </c:pt>
                <c:pt idx="7">
                  <c:v>0.204438486400768</c:v>
                </c:pt>
                <c:pt idx="8">
                  <c:v>0.204438486400768</c:v>
                </c:pt>
                <c:pt idx="9">
                  <c:v>0.204438486400768</c:v>
                </c:pt>
                <c:pt idx="10">
                  <c:v>0.204438486400768</c:v>
                </c:pt>
                <c:pt idx="11">
                  <c:v>0.204438486400768</c:v>
                </c:pt>
                <c:pt idx="12">
                  <c:v>0.204438486400768</c:v>
                </c:pt>
                <c:pt idx="13">
                  <c:v>0.204438486400768</c:v>
                </c:pt>
                <c:pt idx="14">
                  <c:v>0.204438486400768</c:v>
                </c:pt>
                <c:pt idx="15">
                  <c:v>0.204438486400768</c:v>
                </c:pt>
                <c:pt idx="16">
                  <c:v>0.204438486400768</c:v>
                </c:pt>
                <c:pt idx="17">
                  <c:v>0.204438486400768</c:v>
                </c:pt>
                <c:pt idx="18">
                  <c:v>0.204438486400768</c:v>
                </c:pt>
                <c:pt idx="19">
                  <c:v>0.204438486400768</c:v>
                </c:pt>
                <c:pt idx="20">
                  <c:v>0.13389409165308896</c:v>
                </c:pt>
                <c:pt idx="21">
                  <c:v>6.5941006632508348E-2</c:v>
                </c:pt>
              </c:numCache>
            </c:numRef>
          </c:val>
          <c:extLst>
            <c:ext xmlns:c16="http://schemas.microsoft.com/office/drawing/2014/chart" uri="{C3380CC4-5D6E-409C-BE32-E72D297353CC}">
              <c16:uniqueId val="{00000001-E8F1-4173-9D89-B5512CEC81DE}"/>
            </c:ext>
          </c:extLst>
        </c:ser>
        <c:ser>
          <c:idx val="7"/>
          <c:order val="2"/>
          <c:tx>
            <c:strRef>
              <c:f>Rates_LI!$BX$60</c:f>
              <c:strCache>
                <c:ptCount val="1"/>
                <c:pt idx="0">
                  <c:v>LDAC (EE Only)</c:v>
                </c:pt>
              </c:strCache>
            </c:strRef>
          </c:tx>
          <c:spPr>
            <a:solidFill>
              <a:srgbClr val="FFC000"/>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Rates_LI!$BZ$60:$CZ$60</c:f>
              <c:numCache>
                <c:formatCode>_(* #,##0.000_);_(* \(#,##0.000\);_(* "-"??_);_(@_)</c:formatCode>
                <c:ptCount val="22"/>
                <c:pt idx="0">
                  <c:v>1.2937279398371668</c:v>
                </c:pt>
                <c:pt idx="1">
                  <c:v>1.3330827659183546</c:v>
                </c:pt>
                <c:pt idx="2">
                  <c:v>1.3757162312094149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E8F1-4173-9D89-B5512CEC81DE}"/>
            </c:ext>
          </c:extLst>
        </c:ser>
        <c:dLbls>
          <c:showLegendKey val="0"/>
          <c:showVal val="1"/>
          <c:showCatName val="0"/>
          <c:showSerName val="0"/>
          <c:showPercent val="0"/>
          <c:showBubbleSize val="0"/>
        </c:dLbls>
        <c:gapWidth val="0"/>
        <c:overlap val="100"/>
        <c:axId val="-971650032"/>
        <c:axId val="-697819344"/>
      </c:barChart>
      <c:lineChart>
        <c:grouping val="standard"/>
        <c:varyColors val="0"/>
        <c:ser>
          <c:idx val="0"/>
          <c:order val="3"/>
          <c:tx>
            <c:strRef>
              <c:f>Rates_LI!$BX$63</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8E88BBF1-E9DE-4986-B8E0-61AA1A1B12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8F1-4173-9D89-B5512CEC81DE}"/>
                </c:ext>
              </c:extLst>
            </c:dLbl>
            <c:dLbl>
              <c:idx val="1"/>
              <c:tx>
                <c:rich>
                  <a:bodyPr/>
                  <a:lstStyle/>
                  <a:p>
                    <a:fld id="{33F71FD8-A018-43C8-AF81-CDBF565530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8F1-4173-9D89-B5512CEC81DE}"/>
                </c:ext>
              </c:extLst>
            </c:dLbl>
            <c:dLbl>
              <c:idx val="2"/>
              <c:tx>
                <c:rich>
                  <a:bodyPr/>
                  <a:lstStyle/>
                  <a:p>
                    <a:fld id="{B0351256-0E38-4C84-B853-4E839F868E4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8F1-4173-9D89-B5512CEC81DE}"/>
                </c:ext>
              </c:extLst>
            </c:dLbl>
            <c:dLbl>
              <c:idx val="3"/>
              <c:tx>
                <c:rich>
                  <a:bodyPr/>
                  <a:lstStyle/>
                  <a:p>
                    <a:fld id="{E9C55DDC-AA7E-4121-9B0C-14A5CF67F9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8F1-4173-9D89-B5512CEC81DE}"/>
                </c:ext>
              </c:extLst>
            </c:dLbl>
            <c:dLbl>
              <c:idx val="4"/>
              <c:tx>
                <c:rich>
                  <a:bodyPr/>
                  <a:lstStyle/>
                  <a:p>
                    <a:fld id="{F40E5DC0-4966-42E6-BF8B-16D43862A7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8F1-4173-9D89-B5512CEC81DE}"/>
                </c:ext>
              </c:extLst>
            </c:dLbl>
            <c:dLbl>
              <c:idx val="5"/>
              <c:tx>
                <c:rich>
                  <a:bodyPr/>
                  <a:lstStyle/>
                  <a:p>
                    <a:fld id="{7D122460-8318-4185-817D-F770839AFC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8F1-4173-9D89-B5512CEC81DE}"/>
                </c:ext>
              </c:extLst>
            </c:dLbl>
            <c:dLbl>
              <c:idx val="6"/>
              <c:tx>
                <c:rich>
                  <a:bodyPr/>
                  <a:lstStyle/>
                  <a:p>
                    <a:fld id="{B6B57AE7-0D3B-48EE-A622-11A53779EA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8F1-4173-9D89-B5512CEC81DE}"/>
                </c:ext>
              </c:extLst>
            </c:dLbl>
            <c:dLbl>
              <c:idx val="7"/>
              <c:tx>
                <c:rich>
                  <a:bodyPr/>
                  <a:lstStyle/>
                  <a:p>
                    <a:fld id="{FB44EEF2-9CC3-46B1-839A-E3FC174E59F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8F1-4173-9D89-B5512CEC81DE}"/>
                </c:ext>
              </c:extLst>
            </c:dLbl>
            <c:dLbl>
              <c:idx val="8"/>
              <c:tx>
                <c:rich>
                  <a:bodyPr/>
                  <a:lstStyle/>
                  <a:p>
                    <a:fld id="{8833A924-34F3-47AD-A954-1DF440F9335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8F1-4173-9D89-B5512CEC81DE}"/>
                </c:ext>
              </c:extLst>
            </c:dLbl>
            <c:dLbl>
              <c:idx val="9"/>
              <c:tx>
                <c:rich>
                  <a:bodyPr/>
                  <a:lstStyle/>
                  <a:p>
                    <a:fld id="{0DE4897A-221E-403F-9FD2-DBDCCD95ADF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8F1-4173-9D89-B5512CEC81DE}"/>
                </c:ext>
              </c:extLst>
            </c:dLbl>
            <c:dLbl>
              <c:idx val="10"/>
              <c:tx>
                <c:rich>
                  <a:bodyPr/>
                  <a:lstStyle/>
                  <a:p>
                    <a:fld id="{FB271CA0-0D19-43E7-8C19-CD0AF9F51CE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8F1-4173-9D89-B5512CEC81DE}"/>
                </c:ext>
              </c:extLst>
            </c:dLbl>
            <c:dLbl>
              <c:idx val="11"/>
              <c:tx>
                <c:rich>
                  <a:bodyPr/>
                  <a:lstStyle/>
                  <a:p>
                    <a:fld id="{AA975BAD-175F-4F97-AC3F-59BA78488B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8F1-4173-9D89-B5512CEC81DE}"/>
                </c:ext>
              </c:extLst>
            </c:dLbl>
            <c:dLbl>
              <c:idx val="12"/>
              <c:tx>
                <c:rich>
                  <a:bodyPr/>
                  <a:lstStyle/>
                  <a:p>
                    <a:fld id="{FBCF9EC2-FCC7-49D8-BE80-EE59E6565B2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8F1-4173-9D89-B5512CEC81DE}"/>
                </c:ext>
              </c:extLst>
            </c:dLbl>
            <c:dLbl>
              <c:idx val="13"/>
              <c:tx>
                <c:rich>
                  <a:bodyPr/>
                  <a:lstStyle/>
                  <a:p>
                    <a:fld id="{3A04E498-0714-4956-B581-660C8C3E85D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8F1-4173-9D89-B5512CEC81DE}"/>
                </c:ext>
              </c:extLst>
            </c:dLbl>
            <c:dLbl>
              <c:idx val="14"/>
              <c:tx>
                <c:rich>
                  <a:bodyPr/>
                  <a:lstStyle/>
                  <a:p>
                    <a:fld id="{3C6A5CD0-0B3B-4DC3-AB6D-89D0AA7D9C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8F1-4173-9D89-B5512CEC81DE}"/>
                </c:ext>
              </c:extLst>
            </c:dLbl>
            <c:dLbl>
              <c:idx val="15"/>
              <c:tx>
                <c:rich>
                  <a:bodyPr/>
                  <a:lstStyle/>
                  <a:p>
                    <a:fld id="{C9D91BBB-DF40-422F-AC17-68FD3C2F8F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8F1-4173-9D89-B5512CEC81DE}"/>
                </c:ext>
              </c:extLst>
            </c:dLbl>
            <c:dLbl>
              <c:idx val="16"/>
              <c:tx>
                <c:rich>
                  <a:bodyPr/>
                  <a:lstStyle/>
                  <a:p>
                    <a:fld id="{A26FE892-A8C8-4409-962D-2C0123F2C0E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8F1-4173-9D89-B5512CEC81DE}"/>
                </c:ext>
              </c:extLst>
            </c:dLbl>
            <c:dLbl>
              <c:idx val="17"/>
              <c:tx>
                <c:rich>
                  <a:bodyPr/>
                  <a:lstStyle/>
                  <a:p>
                    <a:fld id="{3CB40F8B-9105-4901-92CB-F8F1D8C2E7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8F1-4173-9D89-B5512CEC81DE}"/>
                </c:ext>
              </c:extLst>
            </c:dLbl>
            <c:dLbl>
              <c:idx val="18"/>
              <c:tx>
                <c:rich>
                  <a:bodyPr/>
                  <a:lstStyle/>
                  <a:p>
                    <a:fld id="{48E80F75-2ACC-4305-B139-F270877487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8F1-4173-9D89-B5512CEC81DE}"/>
                </c:ext>
              </c:extLst>
            </c:dLbl>
            <c:dLbl>
              <c:idx val="19"/>
              <c:tx>
                <c:rich>
                  <a:bodyPr/>
                  <a:lstStyle/>
                  <a:p>
                    <a:fld id="{AAD32ABD-7960-4B27-AF65-AD36BDA6B6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8F1-4173-9D89-B5512CEC81DE}"/>
                </c:ext>
              </c:extLst>
            </c:dLbl>
            <c:dLbl>
              <c:idx val="20"/>
              <c:tx>
                <c:rich>
                  <a:bodyPr/>
                  <a:lstStyle/>
                  <a:p>
                    <a:fld id="{368A2243-DC74-47D5-8960-84202A26439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8F1-4173-9D89-B5512CEC81DE}"/>
                </c:ext>
              </c:extLst>
            </c:dLbl>
            <c:dLbl>
              <c:idx val="21"/>
              <c:tx>
                <c:rich>
                  <a:bodyPr/>
                  <a:lstStyle/>
                  <a:p>
                    <a:fld id="{DEFF4047-6D7E-4F3C-9E8C-F6411BF1687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8F1-4173-9D89-B5512CEC81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Rates_LI!$BZ$63:$CZ$63</c:f>
              <c:numCache>
                <c:formatCode>_(* #,##0.000_);_(* \(#,##0.000\);_(* "-"??_);_(@_)</c:formatCode>
                <c:ptCount val="22"/>
                <c:pt idx="0">
                  <c:v>1.3262679534007837</c:v>
                </c:pt>
                <c:pt idx="1">
                  <c:v>1.4020458909314364</c:v>
                </c:pt>
                <c:pt idx="2">
                  <c:v>1.4859510203406368</c:v>
                </c:pt>
                <c:pt idx="3">
                  <c:v>0.11023478913122498</c:v>
                </c:pt>
                <c:pt idx="4">
                  <c:v>0.11023478913122498</c:v>
                </c:pt>
                <c:pt idx="5">
                  <c:v>0.11023478913122498</c:v>
                </c:pt>
                <c:pt idx="6">
                  <c:v>0.11023478913122498</c:v>
                </c:pt>
                <c:pt idx="7">
                  <c:v>0.11023478913122498</c:v>
                </c:pt>
                <c:pt idx="8">
                  <c:v>0.11023478913122498</c:v>
                </c:pt>
                <c:pt idx="9">
                  <c:v>0.11023478913122498</c:v>
                </c:pt>
                <c:pt idx="10">
                  <c:v>0.11023478913122498</c:v>
                </c:pt>
                <c:pt idx="11">
                  <c:v>0.11023478913122498</c:v>
                </c:pt>
                <c:pt idx="12">
                  <c:v>0.11023478913122498</c:v>
                </c:pt>
                <c:pt idx="13">
                  <c:v>0.11023478913122498</c:v>
                </c:pt>
                <c:pt idx="14">
                  <c:v>0.11023478913122498</c:v>
                </c:pt>
                <c:pt idx="15">
                  <c:v>0.11023478913122498</c:v>
                </c:pt>
                <c:pt idx="16">
                  <c:v>0.11023478913122498</c:v>
                </c:pt>
                <c:pt idx="17">
                  <c:v>0.11023478913122498</c:v>
                </c:pt>
                <c:pt idx="18">
                  <c:v>0.11023478913122498</c:v>
                </c:pt>
                <c:pt idx="19">
                  <c:v>0.11023478913122498</c:v>
                </c:pt>
                <c:pt idx="20">
                  <c:v>7.1615308941763711E-2</c:v>
                </c:pt>
                <c:pt idx="21">
                  <c:v>3.497986846892065E-2</c:v>
                </c:pt>
              </c:numCache>
            </c:numRef>
          </c:val>
          <c:smooth val="0"/>
          <c:extLst>
            <c:ext xmlns:c15="http://schemas.microsoft.com/office/drawing/2012/chart" uri="{02D57815-91ED-43cb-92C2-25804820EDAC}">
              <c15:datalabelsRange>
                <c15:f>Rates_LI!$BZ$65:$CZ$65</c15:f>
                <c15:dlblRangeCache>
                  <c:ptCount val="22"/>
                  <c:pt idx="0">
                    <c:v>1%</c:v>
                  </c:pt>
                  <c:pt idx="1">
                    <c:v>1%</c:v>
                  </c:pt>
                  <c:pt idx="2">
                    <c:v>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15:dlblRangeCache>
              </c15:datalabelsRange>
            </c:ext>
            <c:ext xmlns:c16="http://schemas.microsoft.com/office/drawing/2014/chart" uri="{C3380CC4-5D6E-409C-BE32-E72D297353CC}">
              <c16:uniqueId val="{00000014-E8F1-4173-9D89-B5512CEC81DE}"/>
            </c:ext>
          </c:extLst>
        </c:ser>
        <c:dLbls>
          <c:showLegendKey val="0"/>
          <c:showVal val="1"/>
          <c:showCatName val="0"/>
          <c:showSerName val="0"/>
          <c:showPercent val="0"/>
          <c:showBubbleSize val="0"/>
        </c:dLbls>
        <c:marker val="1"/>
        <c:smooth val="0"/>
        <c:axId val="-971650032"/>
        <c:axId val="-697819344"/>
      </c:lineChart>
      <c:catAx>
        <c:axId val="-97165003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7819344"/>
        <c:crosses val="autoZero"/>
        <c:auto val="1"/>
        <c:lblAlgn val="ctr"/>
        <c:lblOffset val="100"/>
        <c:noMultiLvlLbl val="0"/>
      </c:catAx>
      <c:valAx>
        <c:axId val="-6978193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7165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Rates_Small!$BX$17</c:f>
              <c:strCache>
                <c:ptCount val="1"/>
                <c:pt idx="0">
                  <c:v>Customer</c:v>
                </c:pt>
              </c:strCache>
            </c:strRef>
          </c:tx>
          <c:spPr>
            <a:solidFill>
              <a:schemeClr val="accent1"/>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Rates_Small!$BZ$17:$CZ$17</c:f>
              <c:numCache>
                <c:formatCode>_(* #,##0.000_);_(* \(#,##0.000\);_(* "-"??_);_(@_)</c:formatCode>
                <c:ptCount val="18"/>
                <c:pt idx="0">
                  <c:v>28.453457229491285</c:v>
                </c:pt>
                <c:pt idx="1">
                  <c:v>28.453457229491285</c:v>
                </c:pt>
                <c:pt idx="2">
                  <c:v>28.453457229491285</c:v>
                </c:pt>
                <c:pt idx="3">
                  <c:v>28.453457229491285</c:v>
                </c:pt>
                <c:pt idx="4">
                  <c:v>28.453457229491285</c:v>
                </c:pt>
                <c:pt idx="5">
                  <c:v>28.453457229491285</c:v>
                </c:pt>
                <c:pt idx="6">
                  <c:v>28.453457229491285</c:v>
                </c:pt>
                <c:pt idx="7">
                  <c:v>28.453457229491285</c:v>
                </c:pt>
                <c:pt idx="8">
                  <c:v>28.453457229491285</c:v>
                </c:pt>
                <c:pt idx="9">
                  <c:v>28.453457229491285</c:v>
                </c:pt>
                <c:pt idx="10">
                  <c:v>28.453457229491285</c:v>
                </c:pt>
                <c:pt idx="11">
                  <c:v>28.453457229491285</c:v>
                </c:pt>
                <c:pt idx="12">
                  <c:v>28.453457229491285</c:v>
                </c:pt>
                <c:pt idx="13">
                  <c:v>28.453457229491285</c:v>
                </c:pt>
                <c:pt idx="14">
                  <c:v>28.453457229491285</c:v>
                </c:pt>
                <c:pt idx="15">
                  <c:v>28.453457229491285</c:v>
                </c:pt>
                <c:pt idx="16">
                  <c:v>28.453457229491285</c:v>
                </c:pt>
                <c:pt idx="17">
                  <c:v>28.453457229491285</c:v>
                </c:pt>
              </c:numCache>
            </c:numRef>
          </c:val>
          <c:extLst>
            <c:ext xmlns:c16="http://schemas.microsoft.com/office/drawing/2014/chart" uri="{C3380CC4-5D6E-409C-BE32-E72D297353CC}">
              <c16:uniqueId val="{00000000-5794-4C22-8D23-3EFE79018E67}"/>
            </c:ext>
          </c:extLst>
        </c:ser>
        <c:ser>
          <c:idx val="1"/>
          <c:order val="1"/>
          <c:tx>
            <c:strRef>
              <c:f>Rates_Small!$BX$18</c:f>
              <c:strCache>
                <c:ptCount val="1"/>
                <c:pt idx="0">
                  <c:v>Distribution</c:v>
                </c:pt>
              </c:strCache>
            </c:strRef>
          </c:tx>
          <c:spPr>
            <a:solidFill>
              <a:schemeClr val="bg1">
                <a:lumMod val="50000"/>
              </a:schemeClr>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Rates_Small!$BZ$18:$CZ$18</c:f>
              <c:numCache>
                <c:formatCode>_(* #,##0.000_);_(* \(#,##0.000\);_(* "-"??_);_(@_)</c:formatCode>
                <c:ptCount val="18"/>
                <c:pt idx="0">
                  <c:v>39.785934430033791</c:v>
                </c:pt>
                <c:pt idx="1">
                  <c:v>40.412367610955833</c:v>
                </c:pt>
                <c:pt idx="2">
                  <c:v>41.091558640334256</c:v>
                </c:pt>
                <c:pt idx="3">
                  <c:v>41.091558640334256</c:v>
                </c:pt>
                <c:pt idx="4">
                  <c:v>41.091558640334256</c:v>
                </c:pt>
                <c:pt idx="5">
                  <c:v>41.091558640334256</c:v>
                </c:pt>
                <c:pt idx="6">
                  <c:v>41.091558640334256</c:v>
                </c:pt>
                <c:pt idx="7">
                  <c:v>41.091558640334256</c:v>
                </c:pt>
                <c:pt idx="8">
                  <c:v>41.091558640334256</c:v>
                </c:pt>
                <c:pt idx="9">
                  <c:v>41.091558640334256</c:v>
                </c:pt>
                <c:pt idx="10">
                  <c:v>41.091558640334256</c:v>
                </c:pt>
                <c:pt idx="11">
                  <c:v>41.091558640334256</c:v>
                </c:pt>
                <c:pt idx="12">
                  <c:v>41.091558640334256</c:v>
                </c:pt>
                <c:pt idx="13">
                  <c:v>41.091558640334256</c:v>
                </c:pt>
                <c:pt idx="14">
                  <c:v>41.091558640334256</c:v>
                </c:pt>
                <c:pt idx="15">
                  <c:v>41.091558640334256</c:v>
                </c:pt>
                <c:pt idx="16">
                  <c:v>40.474478565617581</c:v>
                </c:pt>
                <c:pt idx="17">
                  <c:v>39.845921904106135</c:v>
                </c:pt>
              </c:numCache>
            </c:numRef>
          </c:val>
          <c:extLst>
            <c:ext xmlns:c16="http://schemas.microsoft.com/office/drawing/2014/chart" uri="{C3380CC4-5D6E-409C-BE32-E72D297353CC}">
              <c16:uniqueId val="{00000001-5794-4C22-8D23-3EFE79018E67}"/>
            </c:ext>
          </c:extLst>
        </c:ser>
        <c:ser>
          <c:idx val="2"/>
          <c:order val="2"/>
          <c:tx>
            <c:strRef>
              <c:f>Rates_Small!$BX$19</c:f>
              <c:strCache>
                <c:ptCount val="1"/>
                <c:pt idx="0">
                  <c:v>LDAC, Non-EE</c:v>
                </c:pt>
              </c:strCache>
            </c:strRef>
          </c:tx>
          <c:spPr>
            <a:solidFill>
              <a:schemeClr val="accent3"/>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Rates_Small!$BZ$19:$CZ$19</c:f>
              <c:numCache>
                <c:formatCode>_(* #,##0.000_);_(* \(#,##0.000\);_(* "-"??_);_(@_)</c:formatCode>
                <c:ptCount val="18"/>
                <c:pt idx="0">
                  <c:v>0.52849997707929242</c:v>
                </c:pt>
                <c:pt idx="1">
                  <c:v>0.53776557390991575</c:v>
                </c:pt>
                <c:pt idx="2">
                  <c:v>0.54781125138187337</c:v>
                </c:pt>
                <c:pt idx="3">
                  <c:v>0.54781125138187337</c:v>
                </c:pt>
                <c:pt idx="4">
                  <c:v>0.54781125138187337</c:v>
                </c:pt>
                <c:pt idx="5">
                  <c:v>0.54781125138187337</c:v>
                </c:pt>
                <c:pt idx="6">
                  <c:v>0.54781125138187337</c:v>
                </c:pt>
                <c:pt idx="7">
                  <c:v>0.54781125138187337</c:v>
                </c:pt>
                <c:pt idx="8">
                  <c:v>0.54781125138187337</c:v>
                </c:pt>
                <c:pt idx="9">
                  <c:v>0.54781125138187337</c:v>
                </c:pt>
                <c:pt idx="10">
                  <c:v>0.54781125138187337</c:v>
                </c:pt>
                <c:pt idx="11">
                  <c:v>0.54781125138187337</c:v>
                </c:pt>
                <c:pt idx="12">
                  <c:v>0.54781125138187337</c:v>
                </c:pt>
                <c:pt idx="13">
                  <c:v>0.54781125138187337</c:v>
                </c:pt>
                <c:pt idx="14">
                  <c:v>0.54781125138187337</c:v>
                </c:pt>
                <c:pt idx="15">
                  <c:v>0.54781125138187337</c:v>
                </c:pt>
                <c:pt idx="16">
                  <c:v>0.53868411468816335</c:v>
                </c:pt>
                <c:pt idx="17">
                  <c:v>0.52938711187325793</c:v>
                </c:pt>
              </c:numCache>
            </c:numRef>
          </c:val>
          <c:extLst>
            <c:ext xmlns:c16="http://schemas.microsoft.com/office/drawing/2014/chart" uri="{C3380CC4-5D6E-409C-BE32-E72D297353CC}">
              <c16:uniqueId val="{00000002-5794-4C22-8D23-3EFE79018E67}"/>
            </c:ext>
          </c:extLst>
        </c:ser>
        <c:ser>
          <c:idx val="3"/>
          <c:order val="3"/>
          <c:tx>
            <c:strRef>
              <c:f>Rates_Small!$BX$20</c:f>
              <c:strCache>
                <c:ptCount val="1"/>
                <c:pt idx="0">
                  <c:v>Cost of Gas</c:v>
                </c:pt>
              </c:strCache>
            </c:strRef>
          </c:tx>
          <c:spPr>
            <a:solidFill>
              <a:schemeClr val="accent5"/>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Rates_Small!$BZ$20:$CZ$20</c:f>
              <c:numCache>
                <c:formatCode>_(* #,##0.000_);_(* \(#,##0.000\);_(* "-"??_);_(@_)</c:formatCode>
                <c:ptCount val="18"/>
                <c:pt idx="0">
                  <c:v>61.861089912435254</c:v>
                </c:pt>
                <c:pt idx="1">
                  <c:v>61.818670233514595</c:v>
                </c:pt>
                <c:pt idx="2">
                  <c:v>61.772747121128404</c:v>
                </c:pt>
                <c:pt idx="3">
                  <c:v>61.772747121128404</c:v>
                </c:pt>
                <c:pt idx="4">
                  <c:v>61.772747121128404</c:v>
                </c:pt>
                <c:pt idx="5">
                  <c:v>61.772747121128404</c:v>
                </c:pt>
                <c:pt idx="6">
                  <c:v>61.772747121128404</c:v>
                </c:pt>
                <c:pt idx="7">
                  <c:v>61.772747121128404</c:v>
                </c:pt>
                <c:pt idx="8">
                  <c:v>61.772747121128404</c:v>
                </c:pt>
                <c:pt idx="9">
                  <c:v>61.772747121128404</c:v>
                </c:pt>
                <c:pt idx="10">
                  <c:v>61.772747121128404</c:v>
                </c:pt>
                <c:pt idx="11">
                  <c:v>61.772747121128404</c:v>
                </c:pt>
                <c:pt idx="12">
                  <c:v>61.772747121128404</c:v>
                </c:pt>
                <c:pt idx="13">
                  <c:v>61.772747121128404</c:v>
                </c:pt>
                <c:pt idx="14">
                  <c:v>61.772747121128404</c:v>
                </c:pt>
                <c:pt idx="15">
                  <c:v>61.772747121128404</c:v>
                </c:pt>
                <c:pt idx="16">
                  <c:v>61.814527174515035</c:v>
                </c:pt>
                <c:pt idx="17">
                  <c:v>61.85708956261584</c:v>
                </c:pt>
              </c:numCache>
            </c:numRef>
          </c:val>
          <c:extLst>
            <c:ext xmlns:c16="http://schemas.microsoft.com/office/drawing/2014/chart" uri="{C3380CC4-5D6E-409C-BE32-E72D297353CC}">
              <c16:uniqueId val="{00000003-5794-4C22-8D23-3EFE79018E67}"/>
            </c:ext>
          </c:extLst>
        </c:ser>
        <c:ser>
          <c:idx val="4"/>
          <c:order val="4"/>
          <c:tx>
            <c:strRef>
              <c:f>Rates_Small!$BX$21</c:f>
              <c:strCache>
                <c:ptCount val="1"/>
                <c:pt idx="0">
                  <c:v>LDAC (EE Only)</c:v>
                </c:pt>
              </c:strCache>
            </c:strRef>
          </c:tx>
          <c:spPr>
            <a:solidFill>
              <a:srgbClr val="FFC000"/>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Rates_Small!$BZ$21:$CZ$21</c:f>
              <c:numCache>
                <c:formatCode>_(* #,##0.000_);_(* \(#,##0.000\);_(* "-"??_);_(@_)</c:formatCode>
                <c:ptCount val="18"/>
                <c:pt idx="0">
                  <c:v>14.245258051119242</c:v>
                </c:pt>
                <c:pt idx="1">
                  <c:v>14.926911562058558</c:v>
                </c:pt>
                <c:pt idx="2">
                  <c:v>15.875101082198512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5794-4C22-8D23-3EFE79018E67}"/>
            </c:ext>
          </c:extLst>
        </c:ser>
        <c:dLbls>
          <c:showLegendKey val="0"/>
          <c:showVal val="0"/>
          <c:showCatName val="0"/>
          <c:showSerName val="0"/>
          <c:showPercent val="0"/>
          <c:showBubbleSize val="0"/>
        </c:dLbls>
        <c:gapWidth val="0"/>
        <c:overlap val="100"/>
        <c:axId val="-830895216"/>
        <c:axId val="-830899024"/>
      </c:barChart>
      <c:catAx>
        <c:axId val="-8308952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9024"/>
        <c:crosses val="autoZero"/>
        <c:auto val="1"/>
        <c:lblAlgn val="ctr"/>
        <c:lblOffset val="100"/>
        <c:noMultiLvlLbl val="0"/>
      </c:catAx>
      <c:valAx>
        <c:axId val="-8308990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763904178945"/>
          <c:y val="0.11908582599995543"/>
          <c:w val="0.68440019516791173"/>
          <c:h val="0.71410364637307833"/>
        </c:manualLayout>
      </c:layout>
      <c:barChart>
        <c:barDir val="col"/>
        <c:grouping val="stacked"/>
        <c:varyColors val="0"/>
        <c:ser>
          <c:idx val="4"/>
          <c:order val="0"/>
          <c:tx>
            <c:strRef>
              <c:f>Rates_Small!$BX$28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Rates_Small!$BZ$28:$CZ$28</c:f>
              <c:numCache>
                <c:formatCode>_(* #,##0.000_);_(* \(#,##0.000\);_(* "-"??_);_(@_)</c:formatCode>
                <c:ptCount val="18"/>
                <c:pt idx="0">
                  <c:v>-1.0771919809331731</c:v>
                </c:pt>
                <c:pt idx="1">
                  <c:v>-2.2515415075124379</c:v>
                </c:pt>
                <c:pt idx="2">
                  <c:v>-3.5244146302983679</c:v>
                </c:pt>
                <c:pt idx="3">
                  <c:v>-3.5244146302983679</c:v>
                </c:pt>
                <c:pt idx="4">
                  <c:v>-3.5244146302983679</c:v>
                </c:pt>
                <c:pt idx="5">
                  <c:v>-3.5244146302983679</c:v>
                </c:pt>
                <c:pt idx="6">
                  <c:v>-3.5244146302983679</c:v>
                </c:pt>
                <c:pt idx="7">
                  <c:v>-3.5244146302983679</c:v>
                </c:pt>
                <c:pt idx="8">
                  <c:v>-3.5244146302983679</c:v>
                </c:pt>
                <c:pt idx="9">
                  <c:v>-3.5244146302983679</c:v>
                </c:pt>
                <c:pt idx="10">
                  <c:v>-3.5244146302983679</c:v>
                </c:pt>
                <c:pt idx="11">
                  <c:v>-3.5244146302983679</c:v>
                </c:pt>
                <c:pt idx="12">
                  <c:v>-3.5244146302983679</c:v>
                </c:pt>
                <c:pt idx="13">
                  <c:v>-3.5244146302983679</c:v>
                </c:pt>
                <c:pt idx="14">
                  <c:v>-3.5244146302983679</c:v>
                </c:pt>
                <c:pt idx="15">
                  <c:v>-3.5244146302983679</c:v>
                </c:pt>
                <c:pt idx="16">
                  <c:v>-2.3677446600345644</c:v>
                </c:pt>
                <c:pt idx="17">
                  <c:v>-1.1894183633991209</c:v>
                </c:pt>
              </c:numCache>
            </c:numRef>
          </c:val>
          <c:extLst>
            <c:ext xmlns:c16="http://schemas.microsoft.com/office/drawing/2014/chart" uri="{C3380CC4-5D6E-409C-BE32-E72D297353CC}">
              <c16:uniqueId val="{00000000-525F-4F55-9C4D-B41466C24230}"/>
            </c:ext>
          </c:extLst>
        </c:ser>
        <c:ser>
          <c:idx val="8"/>
          <c:order val="1"/>
          <c:tx>
            <c:strRef>
              <c:f>Rates_Small!$BX$27</c:f>
              <c:strCache>
                <c:ptCount val="1"/>
                <c:pt idx="0">
                  <c:v>Lost Revenue</c:v>
                </c:pt>
              </c:strCache>
            </c:strRef>
          </c:tx>
          <c:spPr>
            <a:solidFill>
              <a:schemeClr val="accent2"/>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Rates_Small!$BZ$27:$CZ$27</c:f>
              <c:numCache>
                <c:formatCode>_(* #,##0.000_);_(* \(#,##0.000\);_(* "-"??_);_(@_)</c:formatCode>
                <c:ptCount val="18"/>
                <c:pt idx="0">
                  <c:v>0.63988561097471086</c:v>
                </c:pt>
                <c:pt idx="1">
                  <c:v>1.3350592497900937</c:v>
                </c:pt>
                <c:pt idx="2">
                  <c:v>2.0861339816160007</c:v>
                </c:pt>
                <c:pt idx="3">
                  <c:v>2.0861339816160007</c:v>
                </c:pt>
                <c:pt idx="4">
                  <c:v>2.0861339816160007</c:v>
                </c:pt>
                <c:pt idx="5">
                  <c:v>2.0861339816160007</c:v>
                </c:pt>
                <c:pt idx="6">
                  <c:v>2.0861339816160007</c:v>
                </c:pt>
                <c:pt idx="7">
                  <c:v>2.0861339816160007</c:v>
                </c:pt>
                <c:pt idx="8">
                  <c:v>2.0861339816160007</c:v>
                </c:pt>
                <c:pt idx="9">
                  <c:v>2.0861339816160007</c:v>
                </c:pt>
                <c:pt idx="10">
                  <c:v>2.0861339816160007</c:v>
                </c:pt>
                <c:pt idx="11">
                  <c:v>2.0861339816160007</c:v>
                </c:pt>
                <c:pt idx="12">
                  <c:v>2.0861339816160007</c:v>
                </c:pt>
                <c:pt idx="13">
                  <c:v>2.0861339816160007</c:v>
                </c:pt>
                <c:pt idx="14">
                  <c:v>2.0861339816160007</c:v>
                </c:pt>
                <c:pt idx="15">
                  <c:v>2.0861339816160007</c:v>
                </c:pt>
                <c:pt idx="16">
                  <c:v>1.4038464822772156</c:v>
                </c:pt>
                <c:pt idx="17">
                  <c:v>0.70654936287243286</c:v>
                </c:pt>
              </c:numCache>
            </c:numRef>
          </c:val>
          <c:extLst>
            <c:ext xmlns:c16="http://schemas.microsoft.com/office/drawing/2014/chart" uri="{C3380CC4-5D6E-409C-BE32-E72D297353CC}">
              <c16:uniqueId val="{00000001-525F-4F55-9C4D-B41466C24230}"/>
            </c:ext>
          </c:extLst>
        </c:ser>
        <c:ser>
          <c:idx val="7"/>
          <c:order val="2"/>
          <c:tx>
            <c:strRef>
              <c:f>Rates_Small!$BX$26</c:f>
              <c:strCache>
                <c:ptCount val="1"/>
                <c:pt idx="0">
                  <c:v>LDAC (EE Only)</c:v>
                </c:pt>
              </c:strCache>
            </c:strRef>
          </c:tx>
          <c:spPr>
            <a:solidFill>
              <a:srgbClr val="FFC000"/>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Rates_Small!$BZ$26:$CZ$26</c:f>
              <c:numCache>
                <c:formatCode>_(* #,##0.000_);_(* \(#,##0.000\);_(* "-"??_);_(@_)</c:formatCode>
                <c:ptCount val="18"/>
                <c:pt idx="0">
                  <c:v>14.245258051119242</c:v>
                </c:pt>
                <c:pt idx="1">
                  <c:v>14.926911562058558</c:v>
                </c:pt>
                <c:pt idx="2">
                  <c:v>15.875101082198512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525F-4F55-9C4D-B41466C24230}"/>
            </c:ext>
          </c:extLst>
        </c:ser>
        <c:dLbls>
          <c:showLegendKey val="0"/>
          <c:showVal val="1"/>
          <c:showCatName val="0"/>
          <c:showSerName val="0"/>
          <c:showPercent val="0"/>
          <c:showBubbleSize val="0"/>
        </c:dLbls>
        <c:gapWidth val="0"/>
        <c:overlap val="100"/>
        <c:axId val="-830898480"/>
        <c:axId val="-830897936"/>
      </c:barChart>
      <c:lineChart>
        <c:grouping val="standard"/>
        <c:varyColors val="0"/>
        <c:ser>
          <c:idx val="0"/>
          <c:order val="3"/>
          <c:tx>
            <c:strRef>
              <c:f>Rates_Small!$BX$29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1AA9CAA3-FFC1-4B59-81C9-F1D43EF681A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25F-4F55-9C4D-B41466C24230}"/>
                </c:ext>
              </c:extLst>
            </c:dLbl>
            <c:dLbl>
              <c:idx val="1"/>
              <c:tx>
                <c:rich>
                  <a:bodyPr/>
                  <a:lstStyle/>
                  <a:p>
                    <a:fld id="{2640AA12-2501-4CE7-B481-81BCE0745C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25F-4F55-9C4D-B41466C24230}"/>
                </c:ext>
              </c:extLst>
            </c:dLbl>
            <c:dLbl>
              <c:idx val="2"/>
              <c:tx>
                <c:rich>
                  <a:bodyPr/>
                  <a:lstStyle/>
                  <a:p>
                    <a:fld id="{15437228-3625-4665-81C7-B3F266B8F0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25F-4F55-9C4D-B41466C24230}"/>
                </c:ext>
              </c:extLst>
            </c:dLbl>
            <c:dLbl>
              <c:idx val="3"/>
              <c:tx>
                <c:rich>
                  <a:bodyPr/>
                  <a:lstStyle/>
                  <a:p>
                    <a:fld id="{5C145BC3-6947-4681-B3F6-2EA932BACAF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25F-4F55-9C4D-B41466C24230}"/>
                </c:ext>
              </c:extLst>
            </c:dLbl>
            <c:dLbl>
              <c:idx val="4"/>
              <c:tx>
                <c:rich>
                  <a:bodyPr/>
                  <a:lstStyle/>
                  <a:p>
                    <a:fld id="{57AA2E02-52E2-44CF-BD1E-AB24D06A59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25F-4F55-9C4D-B41466C24230}"/>
                </c:ext>
              </c:extLst>
            </c:dLbl>
            <c:dLbl>
              <c:idx val="5"/>
              <c:tx>
                <c:rich>
                  <a:bodyPr/>
                  <a:lstStyle/>
                  <a:p>
                    <a:fld id="{6835D217-34A4-4B9C-A5D8-D390A581E14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25F-4F55-9C4D-B41466C24230}"/>
                </c:ext>
              </c:extLst>
            </c:dLbl>
            <c:dLbl>
              <c:idx val="6"/>
              <c:tx>
                <c:rich>
                  <a:bodyPr/>
                  <a:lstStyle/>
                  <a:p>
                    <a:fld id="{FBEF3F58-0F5E-411F-B6CC-CA106508842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25F-4F55-9C4D-B41466C24230}"/>
                </c:ext>
              </c:extLst>
            </c:dLbl>
            <c:dLbl>
              <c:idx val="7"/>
              <c:tx>
                <c:rich>
                  <a:bodyPr/>
                  <a:lstStyle/>
                  <a:p>
                    <a:fld id="{824E3DA3-EC75-4C4B-9953-952C06E8C4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25F-4F55-9C4D-B41466C24230}"/>
                </c:ext>
              </c:extLst>
            </c:dLbl>
            <c:dLbl>
              <c:idx val="8"/>
              <c:tx>
                <c:rich>
                  <a:bodyPr/>
                  <a:lstStyle/>
                  <a:p>
                    <a:fld id="{D352EDC9-27F1-4FE5-AF72-D60BA079D8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25F-4F55-9C4D-B41466C24230}"/>
                </c:ext>
              </c:extLst>
            </c:dLbl>
            <c:dLbl>
              <c:idx val="9"/>
              <c:tx>
                <c:rich>
                  <a:bodyPr/>
                  <a:lstStyle/>
                  <a:p>
                    <a:fld id="{AD85F34E-D87B-4D69-A30D-5B100D3CB0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25F-4F55-9C4D-B41466C24230}"/>
                </c:ext>
              </c:extLst>
            </c:dLbl>
            <c:dLbl>
              <c:idx val="10"/>
              <c:tx>
                <c:rich>
                  <a:bodyPr/>
                  <a:lstStyle/>
                  <a:p>
                    <a:fld id="{C1C360B9-6FBE-4835-8177-334CB514AA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25F-4F55-9C4D-B41466C24230}"/>
                </c:ext>
              </c:extLst>
            </c:dLbl>
            <c:dLbl>
              <c:idx val="11"/>
              <c:tx>
                <c:rich>
                  <a:bodyPr/>
                  <a:lstStyle/>
                  <a:p>
                    <a:fld id="{7E0A42A7-B47B-4242-A87D-2A7092297F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25F-4F55-9C4D-B41466C24230}"/>
                </c:ext>
              </c:extLst>
            </c:dLbl>
            <c:dLbl>
              <c:idx val="12"/>
              <c:tx>
                <c:rich>
                  <a:bodyPr/>
                  <a:lstStyle/>
                  <a:p>
                    <a:fld id="{4776C278-F393-43A8-B9ED-2C05ED842B6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25F-4F55-9C4D-B41466C24230}"/>
                </c:ext>
              </c:extLst>
            </c:dLbl>
            <c:dLbl>
              <c:idx val="13"/>
              <c:tx>
                <c:rich>
                  <a:bodyPr/>
                  <a:lstStyle/>
                  <a:p>
                    <a:fld id="{438942A7-1F0C-4BE9-944B-9FC6EA6EA6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25F-4F55-9C4D-B41466C24230}"/>
                </c:ext>
              </c:extLst>
            </c:dLbl>
            <c:dLbl>
              <c:idx val="14"/>
              <c:tx>
                <c:rich>
                  <a:bodyPr/>
                  <a:lstStyle/>
                  <a:p>
                    <a:fld id="{4722A9A5-86EC-4200-8527-C10BC3604B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25F-4F55-9C4D-B41466C24230}"/>
                </c:ext>
              </c:extLst>
            </c:dLbl>
            <c:dLbl>
              <c:idx val="15"/>
              <c:tx>
                <c:rich>
                  <a:bodyPr/>
                  <a:lstStyle/>
                  <a:p>
                    <a:fld id="{36545979-37AA-4AAA-A619-B9B20CE6C62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25F-4F55-9C4D-B41466C24230}"/>
                </c:ext>
              </c:extLst>
            </c:dLbl>
            <c:dLbl>
              <c:idx val="16"/>
              <c:tx>
                <c:rich>
                  <a:bodyPr/>
                  <a:lstStyle/>
                  <a:p>
                    <a:fld id="{9C58A9B7-D1FD-4B1E-9586-4456286E3B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25F-4F55-9C4D-B41466C24230}"/>
                </c:ext>
              </c:extLst>
            </c:dLbl>
            <c:dLbl>
              <c:idx val="17"/>
              <c:tx>
                <c:rich>
                  <a:bodyPr/>
                  <a:lstStyle/>
                  <a:p>
                    <a:fld id="{4A01968E-3D33-43FA-8357-A0D1F9170C1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25F-4F55-9C4D-B41466C2423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Rates_Small!$BZ$29:$CZ$29</c:f>
              <c:numCache>
                <c:formatCode>_(* #,##0.000_);_(* \(#,##0.000\);_(* "-"??_);_(@_)</c:formatCode>
                <c:ptCount val="18"/>
                <c:pt idx="0">
                  <c:v>14.789526126986408</c:v>
                </c:pt>
                <c:pt idx="1">
                  <c:v>16.064458736757725</c:v>
                </c:pt>
                <c:pt idx="2">
                  <c:v>17.655961851361866</c:v>
                </c:pt>
                <c:pt idx="3">
                  <c:v>1.7808607691633505</c:v>
                </c:pt>
                <c:pt idx="4">
                  <c:v>1.7808607691633505</c:v>
                </c:pt>
                <c:pt idx="5">
                  <c:v>1.7808607691633505</c:v>
                </c:pt>
                <c:pt idx="6">
                  <c:v>1.7808607691633505</c:v>
                </c:pt>
                <c:pt idx="7">
                  <c:v>1.7808607691633505</c:v>
                </c:pt>
                <c:pt idx="8">
                  <c:v>1.7808607691633505</c:v>
                </c:pt>
                <c:pt idx="9">
                  <c:v>1.7808607691633505</c:v>
                </c:pt>
                <c:pt idx="10">
                  <c:v>1.7808607691633505</c:v>
                </c:pt>
                <c:pt idx="11">
                  <c:v>1.7808607691633505</c:v>
                </c:pt>
                <c:pt idx="12">
                  <c:v>1.7808607691633505</c:v>
                </c:pt>
                <c:pt idx="13">
                  <c:v>1.7808607691633505</c:v>
                </c:pt>
                <c:pt idx="14">
                  <c:v>1.7808607691633505</c:v>
                </c:pt>
                <c:pt idx="15">
                  <c:v>1.7808607691633505</c:v>
                </c:pt>
                <c:pt idx="16">
                  <c:v>1.1964336111395912</c:v>
                </c:pt>
                <c:pt idx="17">
                  <c:v>0.6011423349140399</c:v>
                </c:pt>
              </c:numCache>
            </c:numRef>
          </c:val>
          <c:smooth val="0"/>
          <c:extLst>
            <c:ext xmlns:c15="http://schemas.microsoft.com/office/drawing/2012/chart" uri="{02D57815-91ED-43cb-92C2-25804820EDAC}">
              <c15:datalabelsRange>
                <c15:f>Rates_Small!$BZ$31:$CY$31</c15:f>
                <c15:dlblRangeCache>
                  <c:ptCount val="18"/>
                  <c:pt idx="0">
                    <c:v>11%</c:v>
                  </c:pt>
                  <c:pt idx="1">
                    <c:v>12%</c:v>
                  </c:pt>
                  <c:pt idx="2">
                    <c:v>14%</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0%</c:v>
                  </c:pt>
                </c15:dlblRangeCache>
              </c15:datalabelsRange>
            </c:ext>
            <c:ext xmlns:c16="http://schemas.microsoft.com/office/drawing/2014/chart" uri="{C3380CC4-5D6E-409C-BE32-E72D297353CC}">
              <c16:uniqueId val="{00000014-525F-4F55-9C4D-B41466C24230}"/>
            </c:ext>
          </c:extLst>
        </c:ser>
        <c:dLbls>
          <c:showLegendKey val="0"/>
          <c:showVal val="1"/>
          <c:showCatName val="0"/>
          <c:showSerName val="0"/>
          <c:showPercent val="0"/>
          <c:showBubbleSize val="0"/>
        </c:dLbls>
        <c:marker val="1"/>
        <c:smooth val="0"/>
        <c:axId val="-830898480"/>
        <c:axId val="-830897936"/>
      </c:lineChart>
      <c:catAx>
        <c:axId val="-83089848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7936"/>
        <c:crosses val="autoZero"/>
        <c:auto val="1"/>
        <c:lblAlgn val="ctr"/>
        <c:lblOffset val="100"/>
        <c:noMultiLvlLbl val="0"/>
      </c:catAx>
      <c:valAx>
        <c:axId val="-830897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/Therm</a:t>
                </a:r>
                <a:r>
                  <a:rPr lang="en-US"/>
                  <a:t>)</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8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Rates_Small!$BX$37</c:f>
              <c:strCache>
                <c:ptCount val="1"/>
                <c:pt idx="0">
                  <c:v>Customer</c:v>
                </c:pt>
              </c:strCache>
            </c:strRef>
          </c:tx>
          <c:spPr>
            <a:solidFill>
              <a:schemeClr val="accent1"/>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Rates_Small!$BZ$37:$CZ$37</c:f>
              <c:numCache>
                <c:formatCode>_(* #,##0.000_);_(* \(#,##0.000\);_(* "-"??_);_(@_)</c:formatCode>
                <c:ptCount val="18"/>
                <c:pt idx="0">
                  <c:v>28.453457229491285</c:v>
                </c:pt>
                <c:pt idx="1">
                  <c:v>28.453457229491285</c:v>
                </c:pt>
                <c:pt idx="2">
                  <c:v>28.453457229491285</c:v>
                </c:pt>
                <c:pt idx="3">
                  <c:v>28.453457229491285</c:v>
                </c:pt>
                <c:pt idx="4">
                  <c:v>28.453457229491285</c:v>
                </c:pt>
                <c:pt idx="5">
                  <c:v>28.453457229491285</c:v>
                </c:pt>
                <c:pt idx="6">
                  <c:v>28.453457229491285</c:v>
                </c:pt>
                <c:pt idx="7">
                  <c:v>28.453457229491285</c:v>
                </c:pt>
                <c:pt idx="8">
                  <c:v>28.453457229491285</c:v>
                </c:pt>
                <c:pt idx="9">
                  <c:v>28.453457229491285</c:v>
                </c:pt>
                <c:pt idx="10">
                  <c:v>28.453457229491285</c:v>
                </c:pt>
                <c:pt idx="11">
                  <c:v>28.453457229491285</c:v>
                </c:pt>
                <c:pt idx="12">
                  <c:v>28.453457229491285</c:v>
                </c:pt>
                <c:pt idx="13">
                  <c:v>28.453457229491285</c:v>
                </c:pt>
                <c:pt idx="14">
                  <c:v>28.453457229491285</c:v>
                </c:pt>
                <c:pt idx="15">
                  <c:v>28.453457229491285</c:v>
                </c:pt>
                <c:pt idx="16">
                  <c:v>28.453457229491285</c:v>
                </c:pt>
                <c:pt idx="17">
                  <c:v>28.453457229491285</c:v>
                </c:pt>
              </c:numCache>
            </c:numRef>
          </c:val>
          <c:extLst>
            <c:ext xmlns:c16="http://schemas.microsoft.com/office/drawing/2014/chart" uri="{C3380CC4-5D6E-409C-BE32-E72D297353CC}">
              <c16:uniqueId val="{00000000-1A8F-447A-A4C2-EC41A1681051}"/>
            </c:ext>
          </c:extLst>
        </c:ser>
        <c:ser>
          <c:idx val="1"/>
          <c:order val="1"/>
          <c:tx>
            <c:strRef>
              <c:f>Rates_Small!$BX$38</c:f>
              <c:strCache>
                <c:ptCount val="1"/>
                <c:pt idx="0">
                  <c:v>Distribution</c:v>
                </c:pt>
              </c:strCache>
            </c:strRef>
          </c:tx>
          <c:spPr>
            <a:solidFill>
              <a:schemeClr val="bg1">
                <a:lumMod val="50000"/>
              </a:schemeClr>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Rates_Small!$BZ$38:$CZ$38</c:f>
              <c:numCache>
                <c:formatCode>_(* #,##0.000_);_(* \(#,##0.000\);_(* "-"??_);_(@_)</c:formatCode>
                <c:ptCount val="18"/>
                <c:pt idx="0">
                  <c:v>39.869568577465536</c:v>
                </c:pt>
                <c:pt idx="1">
                  <c:v>40.590687473165687</c:v>
                </c:pt>
                <c:pt idx="2">
                  <c:v>41.376718381580027</c:v>
                </c:pt>
                <c:pt idx="3">
                  <c:v>41.376718381580027</c:v>
                </c:pt>
                <c:pt idx="4">
                  <c:v>41.376718381580027</c:v>
                </c:pt>
                <c:pt idx="5">
                  <c:v>41.376718381580027</c:v>
                </c:pt>
                <c:pt idx="6">
                  <c:v>41.376718381580027</c:v>
                </c:pt>
                <c:pt idx="7">
                  <c:v>41.376718381580027</c:v>
                </c:pt>
                <c:pt idx="8">
                  <c:v>41.376718381580027</c:v>
                </c:pt>
                <c:pt idx="9">
                  <c:v>41.376718381580027</c:v>
                </c:pt>
                <c:pt idx="10">
                  <c:v>41.376718381580027</c:v>
                </c:pt>
                <c:pt idx="11">
                  <c:v>41.376718381580027</c:v>
                </c:pt>
                <c:pt idx="12">
                  <c:v>41.376718381580027</c:v>
                </c:pt>
                <c:pt idx="13">
                  <c:v>41.376718381580027</c:v>
                </c:pt>
                <c:pt idx="14">
                  <c:v>41.376718381580027</c:v>
                </c:pt>
                <c:pt idx="15">
                  <c:v>41.376718381580027</c:v>
                </c:pt>
                <c:pt idx="16">
                  <c:v>40.662387552211833</c:v>
                </c:pt>
                <c:pt idx="17">
                  <c:v>39.938463805798897</c:v>
                </c:pt>
              </c:numCache>
            </c:numRef>
          </c:val>
          <c:extLst>
            <c:ext xmlns:c16="http://schemas.microsoft.com/office/drawing/2014/chart" uri="{C3380CC4-5D6E-409C-BE32-E72D297353CC}">
              <c16:uniqueId val="{00000001-1A8F-447A-A4C2-EC41A1681051}"/>
            </c:ext>
          </c:extLst>
        </c:ser>
        <c:ser>
          <c:idx val="2"/>
          <c:order val="2"/>
          <c:tx>
            <c:strRef>
              <c:f>Rates_Small!$BX$39</c:f>
              <c:strCache>
                <c:ptCount val="1"/>
                <c:pt idx="0">
                  <c:v>LDAC, Non-EE</c:v>
                </c:pt>
              </c:strCache>
            </c:strRef>
          </c:tx>
          <c:spPr>
            <a:solidFill>
              <a:schemeClr val="accent3"/>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Rates_Small!$BZ$39:$CZ$39</c:f>
              <c:numCache>
                <c:formatCode>_(* #,##0.000_);_(* \(#,##0.000\);_(* "-"??_);_(@_)</c:formatCode>
                <c:ptCount val="18"/>
                <c:pt idx="0">
                  <c:v>0.52973699695075793</c:v>
                </c:pt>
                <c:pt idx="1">
                  <c:v>0.54040309344224968</c:v>
                </c:pt>
                <c:pt idx="2">
                  <c:v>0.55202900341042604</c:v>
                </c:pt>
                <c:pt idx="3">
                  <c:v>0.55202900341042604</c:v>
                </c:pt>
                <c:pt idx="4">
                  <c:v>0.55202900341042604</c:v>
                </c:pt>
                <c:pt idx="5">
                  <c:v>0.55202900341042604</c:v>
                </c:pt>
                <c:pt idx="6">
                  <c:v>0.55202900341042604</c:v>
                </c:pt>
                <c:pt idx="7">
                  <c:v>0.55202900341042604</c:v>
                </c:pt>
                <c:pt idx="8">
                  <c:v>0.55202900341042604</c:v>
                </c:pt>
                <c:pt idx="9">
                  <c:v>0.55202900341042604</c:v>
                </c:pt>
                <c:pt idx="10">
                  <c:v>0.55202900341042604</c:v>
                </c:pt>
                <c:pt idx="11">
                  <c:v>0.55202900341042604</c:v>
                </c:pt>
                <c:pt idx="12">
                  <c:v>0.55202900341042604</c:v>
                </c:pt>
                <c:pt idx="13">
                  <c:v>0.55202900341042604</c:v>
                </c:pt>
                <c:pt idx="14">
                  <c:v>0.55202900341042604</c:v>
                </c:pt>
                <c:pt idx="15">
                  <c:v>0.55202900341042604</c:v>
                </c:pt>
                <c:pt idx="16">
                  <c:v>0.54146344576512029</c:v>
                </c:pt>
                <c:pt idx="17">
                  <c:v>0.53075586590915813</c:v>
                </c:pt>
              </c:numCache>
            </c:numRef>
          </c:val>
          <c:extLst>
            <c:ext xmlns:c16="http://schemas.microsoft.com/office/drawing/2014/chart" uri="{C3380CC4-5D6E-409C-BE32-E72D297353CC}">
              <c16:uniqueId val="{00000002-1A8F-447A-A4C2-EC41A1681051}"/>
            </c:ext>
          </c:extLst>
        </c:ser>
        <c:ser>
          <c:idx val="3"/>
          <c:order val="3"/>
          <c:tx>
            <c:strRef>
              <c:f>Rates_Small!$BX$40</c:f>
              <c:strCache>
                <c:ptCount val="1"/>
                <c:pt idx="0">
                  <c:v>Cost of Gas</c:v>
                </c:pt>
              </c:strCache>
            </c:strRef>
          </c:tx>
          <c:spPr>
            <a:solidFill>
              <a:schemeClr val="accent5"/>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Rates_Small!$BZ$40:$CZ$40</c:f>
              <c:numCache>
                <c:formatCode>_(* #,##0.000_);_(* \(#,##0.000\);_(* "-"??_);_(@_)</c:formatCode>
                <c:ptCount val="18"/>
                <c:pt idx="0">
                  <c:v>61.855427244045792</c:v>
                </c:pt>
                <c:pt idx="1">
                  <c:v>61.806595822141617</c:v>
                </c:pt>
                <c:pt idx="2">
                  <c:v>61.753448417857904</c:v>
                </c:pt>
                <c:pt idx="3">
                  <c:v>61.753448417857904</c:v>
                </c:pt>
                <c:pt idx="4">
                  <c:v>61.753448417857904</c:v>
                </c:pt>
                <c:pt idx="5">
                  <c:v>61.753448417857904</c:v>
                </c:pt>
                <c:pt idx="6">
                  <c:v>61.753448417857904</c:v>
                </c:pt>
                <c:pt idx="7">
                  <c:v>61.753448417857904</c:v>
                </c:pt>
                <c:pt idx="8">
                  <c:v>61.753448417857904</c:v>
                </c:pt>
                <c:pt idx="9">
                  <c:v>61.753448417857904</c:v>
                </c:pt>
                <c:pt idx="10">
                  <c:v>61.753448417857904</c:v>
                </c:pt>
                <c:pt idx="11">
                  <c:v>61.753448417857904</c:v>
                </c:pt>
                <c:pt idx="12">
                  <c:v>61.753448417857904</c:v>
                </c:pt>
                <c:pt idx="13">
                  <c:v>61.753448417857904</c:v>
                </c:pt>
                <c:pt idx="14">
                  <c:v>61.753448417857904</c:v>
                </c:pt>
                <c:pt idx="15">
                  <c:v>61.753448417857904</c:v>
                </c:pt>
                <c:pt idx="16">
                  <c:v>61.801812775996801</c:v>
                </c:pt>
                <c:pt idx="17">
                  <c:v>61.850832703728372</c:v>
                </c:pt>
              </c:numCache>
            </c:numRef>
          </c:val>
          <c:extLst>
            <c:ext xmlns:c16="http://schemas.microsoft.com/office/drawing/2014/chart" uri="{C3380CC4-5D6E-409C-BE32-E72D297353CC}">
              <c16:uniqueId val="{00000003-1A8F-447A-A4C2-EC41A1681051}"/>
            </c:ext>
          </c:extLst>
        </c:ser>
        <c:ser>
          <c:idx val="4"/>
          <c:order val="4"/>
          <c:tx>
            <c:strRef>
              <c:f>Rates_Small!$BX$41</c:f>
              <c:strCache>
                <c:ptCount val="1"/>
                <c:pt idx="0">
                  <c:v>LDAC (EE Only)</c:v>
                </c:pt>
              </c:strCache>
            </c:strRef>
          </c:tx>
          <c:spPr>
            <a:solidFill>
              <a:srgbClr val="FFC000"/>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Rates_Small!$BZ$41:$CZ$41</c:f>
              <c:numCache>
                <c:formatCode>_(* #,##0.000_);_(* \(#,##0.000\);_(* "-"??_);_(@_)</c:formatCode>
                <c:ptCount val="18"/>
                <c:pt idx="0">
                  <c:v>17.09430966134309</c:v>
                </c:pt>
                <c:pt idx="1">
                  <c:v>17.912293874470269</c:v>
                </c:pt>
                <c:pt idx="2">
                  <c:v>19.050121298638214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1A8F-447A-A4C2-EC41A1681051}"/>
            </c:ext>
          </c:extLst>
        </c:ser>
        <c:dLbls>
          <c:showLegendKey val="0"/>
          <c:showVal val="0"/>
          <c:showCatName val="0"/>
          <c:showSerName val="0"/>
          <c:showPercent val="0"/>
          <c:showBubbleSize val="0"/>
        </c:dLbls>
        <c:gapWidth val="0"/>
        <c:overlap val="100"/>
        <c:axId val="-830896848"/>
        <c:axId val="-830891952"/>
      </c:barChart>
      <c:catAx>
        <c:axId val="-8308968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1952"/>
        <c:crosses val="autoZero"/>
        <c:auto val="1"/>
        <c:lblAlgn val="ctr"/>
        <c:lblOffset val="100"/>
        <c:noMultiLvlLbl val="0"/>
      </c:catAx>
      <c:valAx>
        <c:axId val="-8308919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361111111111112"/>
          <c:w val="0.66498826197990513"/>
          <c:h val="0.70957822980460783"/>
        </c:manualLayout>
      </c:layout>
      <c:barChart>
        <c:barDir val="col"/>
        <c:grouping val="stacked"/>
        <c:varyColors val="0"/>
        <c:ser>
          <c:idx val="4"/>
          <c:order val="0"/>
          <c:tx>
            <c:strRef>
              <c:f>Rates_Small!$BX$48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Rates_Small!$BZ$48:$CZ$48</c:f>
              <c:numCache>
                <c:formatCode>_(* #,##0.000_);_(* \(#,##0.000\);_(* "-"??_);_(@_)</c:formatCode>
                <c:ptCount val="18"/>
                <c:pt idx="0">
                  <c:v>-1.1580398278379238</c:v>
                </c:pt>
                <c:pt idx="1">
                  <c:v>-2.4267209567163484</c:v>
                </c:pt>
                <c:pt idx="2">
                  <c:v>-3.8091890968447646</c:v>
                </c:pt>
                <c:pt idx="3">
                  <c:v>-3.8091890968447646</c:v>
                </c:pt>
                <c:pt idx="4">
                  <c:v>-3.8091890968447646</c:v>
                </c:pt>
                <c:pt idx="5">
                  <c:v>-3.8091890968447646</c:v>
                </c:pt>
                <c:pt idx="6">
                  <c:v>-3.8091890968447646</c:v>
                </c:pt>
                <c:pt idx="7">
                  <c:v>-3.8091890968447646</c:v>
                </c:pt>
                <c:pt idx="8">
                  <c:v>-3.8091890968447646</c:v>
                </c:pt>
                <c:pt idx="9">
                  <c:v>-3.8091890968447646</c:v>
                </c:pt>
                <c:pt idx="10">
                  <c:v>-3.8091890968447646</c:v>
                </c:pt>
                <c:pt idx="11">
                  <c:v>-3.8091890968447646</c:v>
                </c:pt>
                <c:pt idx="12">
                  <c:v>-3.8091890968447646</c:v>
                </c:pt>
                <c:pt idx="13">
                  <c:v>-3.8091890968447646</c:v>
                </c:pt>
                <c:pt idx="14">
                  <c:v>-3.8091890968447646</c:v>
                </c:pt>
                <c:pt idx="15">
                  <c:v>-3.8091890968447646</c:v>
                </c:pt>
                <c:pt idx="16">
                  <c:v>-2.5526085179978901</c:v>
                </c:pt>
                <c:pt idx="17">
                  <c:v>-1.2789978138101008</c:v>
                </c:pt>
              </c:numCache>
            </c:numRef>
          </c:val>
          <c:extLst>
            <c:ext xmlns:c16="http://schemas.microsoft.com/office/drawing/2014/chart" uri="{C3380CC4-5D6E-409C-BE32-E72D297353CC}">
              <c16:uniqueId val="{00000000-E7E7-43FF-AC66-1F2A4E5C15E1}"/>
            </c:ext>
          </c:extLst>
        </c:ser>
        <c:ser>
          <c:idx val="8"/>
          <c:order val="1"/>
          <c:tx>
            <c:strRef>
              <c:f>Rates_Small!$BX$47</c:f>
              <c:strCache>
                <c:ptCount val="1"/>
                <c:pt idx="0">
                  <c:v>Lost Revenue</c:v>
                </c:pt>
              </c:strCache>
            </c:strRef>
          </c:tx>
          <c:spPr>
            <a:solidFill>
              <a:schemeClr val="accent2"/>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Rates_Small!$BZ$47:$CZ$47</c:f>
              <c:numCache>
                <c:formatCode>_(* #,##0.000_);_(* \(#,##0.000\);_(* "-"??_);_(@_)</c:formatCode>
                <c:ptCount val="18"/>
                <c:pt idx="0">
                  <c:v>0.73283510478104885</c:v>
                </c:pt>
                <c:pt idx="1">
                  <c:v>1.5325145237878701</c:v>
                </c:pt>
                <c:pt idx="2">
                  <c:v>2.4006982349993433</c:v>
                </c:pt>
                <c:pt idx="3">
                  <c:v>2.4006982349993433</c:v>
                </c:pt>
                <c:pt idx="4">
                  <c:v>2.4006982349993433</c:v>
                </c:pt>
                <c:pt idx="5">
                  <c:v>2.4006982349993433</c:v>
                </c:pt>
                <c:pt idx="6">
                  <c:v>2.4006982349993433</c:v>
                </c:pt>
                <c:pt idx="7">
                  <c:v>2.4006982349993433</c:v>
                </c:pt>
                <c:pt idx="8">
                  <c:v>2.4006982349993433</c:v>
                </c:pt>
                <c:pt idx="9">
                  <c:v>2.4006982349993433</c:v>
                </c:pt>
                <c:pt idx="10">
                  <c:v>2.4006982349993433</c:v>
                </c:pt>
                <c:pt idx="11">
                  <c:v>2.4006982349993433</c:v>
                </c:pt>
                <c:pt idx="12">
                  <c:v>2.4006982349993433</c:v>
                </c:pt>
                <c:pt idx="13">
                  <c:v>2.4006982349993433</c:v>
                </c:pt>
                <c:pt idx="14">
                  <c:v>2.4006982349993433</c:v>
                </c:pt>
                <c:pt idx="15">
                  <c:v>2.4006982349993433</c:v>
                </c:pt>
                <c:pt idx="16">
                  <c:v>1.6118446346344462</c:v>
                </c:pt>
                <c:pt idx="17">
                  <c:v>0.8093603649148351</c:v>
                </c:pt>
              </c:numCache>
            </c:numRef>
          </c:val>
          <c:extLst>
            <c:ext xmlns:c16="http://schemas.microsoft.com/office/drawing/2014/chart" uri="{C3380CC4-5D6E-409C-BE32-E72D297353CC}">
              <c16:uniqueId val="{00000001-E7E7-43FF-AC66-1F2A4E5C15E1}"/>
            </c:ext>
          </c:extLst>
        </c:ser>
        <c:ser>
          <c:idx val="7"/>
          <c:order val="2"/>
          <c:tx>
            <c:strRef>
              <c:f>Rates_Small!$BX$46</c:f>
              <c:strCache>
                <c:ptCount val="1"/>
                <c:pt idx="0">
                  <c:v>LDAC (EE Only)</c:v>
                </c:pt>
              </c:strCache>
            </c:strRef>
          </c:tx>
          <c:spPr>
            <a:solidFill>
              <a:srgbClr val="FFC000"/>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Rates_Small!$BZ$46:$CZ$46</c:f>
              <c:numCache>
                <c:formatCode>_(* #,##0.000_);_(* \(#,##0.000\);_(* "-"??_);_(@_)</c:formatCode>
                <c:ptCount val="18"/>
                <c:pt idx="0">
                  <c:v>17.09430966134309</c:v>
                </c:pt>
                <c:pt idx="1">
                  <c:v>17.912293874470269</c:v>
                </c:pt>
                <c:pt idx="2">
                  <c:v>19.050121298638214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E7E7-43FF-AC66-1F2A4E5C15E1}"/>
            </c:ext>
          </c:extLst>
        </c:ser>
        <c:dLbls>
          <c:showLegendKey val="0"/>
          <c:showVal val="1"/>
          <c:showCatName val="0"/>
          <c:showSerName val="0"/>
          <c:showPercent val="0"/>
          <c:showBubbleSize val="0"/>
        </c:dLbls>
        <c:gapWidth val="0"/>
        <c:overlap val="100"/>
        <c:axId val="-830889776"/>
        <c:axId val="-830888144"/>
      </c:barChart>
      <c:lineChart>
        <c:grouping val="standard"/>
        <c:varyColors val="0"/>
        <c:ser>
          <c:idx val="0"/>
          <c:order val="3"/>
          <c:tx>
            <c:strRef>
              <c:f>Rates_Small!$BX$49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3229039F-8222-4CE2-B50D-C18166B7A7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7E7-43FF-AC66-1F2A4E5C15E1}"/>
                </c:ext>
              </c:extLst>
            </c:dLbl>
            <c:dLbl>
              <c:idx val="1"/>
              <c:tx>
                <c:rich>
                  <a:bodyPr/>
                  <a:lstStyle/>
                  <a:p>
                    <a:fld id="{55C07AF0-698D-4664-9075-A50ABC30C53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7E7-43FF-AC66-1F2A4E5C15E1}"/>
                </c:ext>
              </c:extLst>
            </c:dLbl>
            <c:dLbl>
              <c:idx val="2"/>
              <c:tx>
                <c:rich>
                  <a:bodyPr/>
                  <a:lstStyle/>
                  <a:p>
                    <a:fld id="{29494898-102D-496B-9D66-5A82EBF4C0F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7E7-43FF-AC66-1F2A4E5C15E1}"/>
                </c:ext>
              </c:extLst>
            </c:dLbl>
            <c:dLbl>
              <c:idx val="3"/>
              <c:tx>
                <c:rich>
                  <a:bodyPr/>
                  <a:lstStyle/>
                  <a:p>
                    <a:fld id="{B4C3EBDE-EE07-4250-9AFC-CE0A16832C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7E7-43FF-AC66-1F2A4E5C15E1}"/>
                </c:ext>
              </c:extLst>
            </c:dLbl>
            <c:dLbl>
              <c:idx val="4"/>
              <c:tx>
                <c:rich>
                  <a:bodyPr/>
                  <a:lstStyle/>
                  <a:p>
                    <a:fld id="{0FE098A0-753E-4FC7-98EE-CCFB278C72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7E7-43FF-AC66-1F2A4E5C15E1}"/>
                </c:ext>
              </c:extLst>
            </c:dLbl>
            <c:dLbl>
              <c:idx val="5"/>
              <c:tx>
                <c:rich>
                  <a:bodyPr/>
                  <a:lstStyle/>
                  <a:p>
                    <a:fld id="{CAAD0DA4-7E4F-4C23-9426-D147C9628F3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7E7-43FF-AC66-1F2A4E5C15E1}"/>
                </c:ext>
              </c:extLst>
            </c:dLbl>
            <c:dLbl>
              <c:idx val="6"/>
              <c:tx>
                <c:rich>
                  <a:bodyPr/>
                  <a:lstStyle/>
                  <a:p>
                    <a:fld id="{5CFFCDC3-3B0F-44D8-945E-0CE864A4679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7E7-43FF-AC66-1F2A4E5C15E1}"/>
                </c:ext>
              </c:extLst>
            </c:dLbl>
            <c:dLbl>
              <c:idx val="7"/>
              <c:tx>
                <c:rich>
                  <a:bodyPr/>
                  <a:lstStyle/>
                  <a:p>
                    <a:fld id="{604D6326-31E2-426F-9A9A-9CCA756F3F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E7-43FF-AC66-1F2A4E5C15E1}"/>
                </c:ext>
              </c:extLst>
            </c:dLbl>
            <c:dLbl>
              <c:idx val="8"/>
              <c:tx>
                <c:rich>
                  <a:bodyPr/>
                  <a:lstStyle/>
                  <a:p>
                    <a:fld id="{C1E95A88-3FBB-40CB-AE0B-35F001CE894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E7-43FF-AC66-1F2A4E5C15E1}"/>
                </c:ext>
              </c:extLst>
            </c:dLbl>
            <c:dLbl>
              <c:idx val="9"/>
              <c:tx>
                <c:rich>
                  <a:bodyPr/>
                  <a:lstStyle/>
                  <a:p>
                    <a:fld id="{197FDBB7-90C0-42F4-AF56-345C310D5C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E7-43FF-AC66-1F2A4E5C15E1}"/>
                </c:ext>
              </c:extLst>
            </c:dLbl>
            <c:dLbl>
              <c:idx val="10"/>
              <c:tx>
                <c:rich>
                  <a:bodyPr/>
                  <a:lstStyle/>
                  <a:p>
                    <a:fld id="{6AE7642F-ED37-4605-AED0-79124B1F6F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E7-43FF-AC66-1F2A4E5C15E1}"/>
                </c:ext>
              </c:extLst>
            </c:dLbl>
            <c:dLbl>
              <c:idx val="11"/>
              <c:tx>
                <c:rich>
                  <a:bodyPr/>
                  <a:lstStyle/>
                  <a:p>
                    <a:fld id="{05EAF6CD-D4AF-4A84-B831-BDC501AD23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7E7-43FF-AC66-1F2A4E5C15E1}"/>
                </c:ext>
              </c:extLst>
            </c:dLbl>
            <c:dLbl>
              <c:idx val="12"/>
              <c:tx>
                <c:rich>
                  <a:bodyPr/>
                  <a:lstStyle/>
                  <a:p>
                    <a:fld id="{079547CA-AA2E-49C7-A1B0-DA8AF70010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7E7-43FF-AC66-1F2A4E5C15E1}"/>
                </c:ext>
              </c:extLst>
            </c:dLbl>
            <c:dLbl>
              <c:idx val="13"/>
              <c:tx>
                <c:rich>
                  <a:bodyPr/>
                  <a:lstStyle/>
                  <a:p>
                    <a:fld id="{F9500292-D69A-489C-BA2B-35028DCB910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E7-43FF-AC66-1F2A4E5C15E1}"/>
                </c:ext>
              </c:extLst>
            </c:dLbl>
            <c:dLbl>
              <c:idx val="14"/>
              <c:tx>
                <c:rich>
                  <a:bodyPr/>
                  <a:lstStyle/>
                  <a:p>
                    <a:fld id="{5A309CE2-2C93-477C-94E4-65CCB289E2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E7-43FF-AC66-1F2A4E5C15E1}"/>
                </c:ext>
              </c:extLst>
            </c:dLbl>
            <c:dLbl>
              <c:idx val="15"/>
              <c:tx>
                <c:rich>
                  <a:bodyPr/>
                  <a:lstStyle/>
                  <a:p>
                    <a:fld id="{0A2D2715-0D18-462F-90A1-1939180378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7E7-43FF-AC66-1F2A4E5C15E1}"/>
                </c:ext>
              </c:extLst>
            </c:dLbl>
            <c:dLbl>
              <c:idx val="16"/>
              <c:tx>
                <c:rich>
                  <a:bodyPr/>
                  <a:lstStyle/>
                  <a:p>
                    <a:fld id="{D2F0431E-7A8B-4B68-B59F-285892994C8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E7-43FF-AC66-1F2A4E5C15E1}"/>
                </c:ext>
              </c:extLst>
            </c:dLbl>
            <c:dLbl>
              <c:idx val="17"/>
              <c:tx>
                <c:rich>
                  <a:bodyPr/>
                  <a:lstStyle/>
                  <a:p>
                    <a:fld id="{000B0396-3E58-420A-9985-C90F1D64173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7E7-43FF-AC66-1F2A4E5C15E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Rates_Small!$BZ$49:$CZ$49</c:f>
              <c:numCache>
                <c:formatCode>_(* #,##0.000_);_(* \(#,##0.000\);_(* "-"??_);_(@_)</c:formatCode>
                <c:ptCount val="18"/>
                <c:pt idx="0">
                  <c:v>17.717786236123988</c:v>
                </c:pt>
                <c:pt idx="1">
                  <c:v>19.218724019538634</c:v>
                </c:pt>
                <c:pt idx="2">
                  <c:v>21.101060857805386</c:v>
                </c:pt>
                <c:pt idx="3">
                  <c:v>2.0509395591671753</c:v>
                </c:pt>
                <c:pt idx="4">
                  <c:v>2.0509395591671753</c:v>
                </c:pt>
                <c:pt idx="5">
                  <c:v>2.0509395591671753</c:v>
                </c:pt>
                <c:pt idx="6">
                  <c:v>2.0509395591671753</c:v>
                </c:pt>
                <c:pt idx="7">
                  <c:v>2.0509395591671753</c:v>
                </c:pt>
                <c:pt idx="8">
                  <c:v>2.0509395591671753</c:v>
                </c:pt>
                <c:pt idx="9">
                  <c:v>2.0509395591671753</c:v>
                </c:pt>
                <c:pt idx="10">
                  <c:v>2.0509395591671753</c:v>
                </c:pt>
                <c:pt idx="11">
                  <c:v>2.0509395591671753</c:v>
                </c:pt>
                <c:pt idx="12">
                  <c:v>2.0509395591671753</c:v>
                </c:pt>
                <c:pt idx="13">
                  <c:v>2.0509395591671753</c:v>
                </c:pt>
                <c:pt idx="14">
                  <c:v>2.0509395591671753</c:v>
                </c:pt>
                <c:pt idx="15">
                  <c:v>2.0509395591671753</c:v>
                </c:pt>
                <c:pt idx="16">
                  <c:v>1.3744075302925651</c:v>
                </c:pt>
                <c:pt idx="17">
                  <c:v>0.68879613175525378</c:v>
                </c:pt>
              </c:numCache>
            </c:numRef>
          </c:val>
          <c:smooth val="0"/>
          <c:extLst>
            <c:ext xmlns:c15="http://schemas.microsoft.com/office/drawing/2012/chart" uri="{02D57815-91ED-43cb-92C2-25804820EDAC}">
              <c15:datalabelsRange>
                <c15:f>Rates_Small!$BZ$51:$CZ$51</c15:f>
                <c15:dlblRangeCache>
                  <c:ptCount val="18"/>
                  <c:pt idx="0">
                    <c:v>14%</c:v>
                  </c:pt>
                  <c:pt idx="1">
                    <c:v>15%</c:v>
                  </c:pt>
                  <c:pt idx="2">
                    <c:v>16%</c:v>
                  </c:pt>
                  <c:pt idx="3">
                    <c:v>2%</c:v>
                  </c:pt>
                  <c:pt idx="4">
                    <c:v>2%</c:v>
                  </c:pt>
                  <c:pt idx="5">
                    <c:v>2%</c:v>
                  </c:pt>
                  <c:pt idx="6">
                    <c:v>2%</c:v>
                  </c:pt>
                  <c:pt idx="7">
                    <c:v>2%</c:v>
                  </c:pt>
                  <c:pt idx="8">
                    <c:v>2%</c:v>
                  </c:pt>
                  <c:pt idx="9">
                    <c:v>2%</c:v>
                  </c:pt>
                  <c:pt idx="10">
                    <c:v>2%</c:v>
                  </c:pt>
                  <c:pt idx="11">
                    <c:v>2%</c:v>
                  </c:pt>
                  <c:pt idx="12">
                    <c:v>2%</c:v>
                  </c:pt>
                  <c:pt idx="13">
                    <c:v>2%</c:v>
                  </c:pt>
                  <c:pt idx="14">
                    <c:v>2%</c:v>
                  </c:pt>
                  <c:pt idx="15">
                    <c:v>2%</c:v>
                  </c:pt>
                  <c:pt idx="16">
                    <c:v>1%</c:v>
                  </c:pt>
                  <c:pt idx="17">
                    <c:v>1%</c:v>
                  </c:pt>
                </c15:dlblRangeCache>
              </c15:datalabelsRange>
            </c:ext>
            <c:ext xmlns:c16="http://schemas.microsoft.com/office/drawing/2014/chart" uri="{C3380CC4-5D6E-409C-BE32-E72D297353CC}">
              <c16:uniqueId val="{00000014-E7E7-43FF-AC66-1F2A4E5C15E1}"/>
            </c:ext>
          </c:extLst>
        </c:ser>
        <c:dLbls>
          <c:showLegendKey val="0"/>
          <c:showVal val="1"/>
          <c:showCatName val="0"/>
          <c:showSerName val="0"/>
          <c:showPercent val="0"/>
          <c:showBubbleSize val="0"/>
        </c:dLbls>
        <c:marker val="1"/>
        <c:smooth val="0"/>
        <c:axId val="-830889776"/>
        <c:axId val="-830888144"/>
      </c:lineChart>
      <c:catAx>
        <c:axId val="-83088977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8144"/>
        <c:crosses val="autoZero"/>
        <c:auto val="1"/>
        <c:lblAlgn val="ctr"/>
        <c:lblOffset val="100"/>
        <c:noMultiLvlLbl val="0"/>
      </c:catAx>
      <c:valAx>
        <c:axId val="-8308881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9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Rates_Small!$BX$9</c:f>
              <c:strCache>
                <c:ptCount val="1"/>
                <c:pt idx="0">
                  <c:v>Customer</c:v>
                </c:pt>
              </c:strCache>
            </c:strRef>
          </c:tx>
          <c:spPr>
            <a:solidFill>
              <a:schemeClr val="accent1"/>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Rates_Small!$BZ$9:$CZ$9</c:f>
              <c:numCache>
                <c:formatCode>_(* #,##0.000_);_(* \(#,##0.000\);_(* "-"??_);_(@_)</c:formatCode>
                <c:ptCount val="18"/>
                <c:pt idx="0">
                  <c:v>28.453457229491285</c:v>
                </c:pt>
                <c:pt idx="1">
                  <c:v>28.453457229491285</c:v>
                </c:pt>
                <c:pt idx="2">
                  <c:v>28.453457229491285</c:v>
                </c:pt>
                <c:pt idx="3">
                  <c:v>28.453457229491285</c:v>
                </c:pt>
                <c:pt idx="4">
                  <c:v>28.453457229491285</c:v>
                </c:pt>
                <c:pt idx="5">
                  <c:v>28.453457229491285</c:v>
                </c:pt>
                <c:pt idx="6">
                  <c:v>28.453457229491285</c:v>
                </c:pt>
                <c:pt idx="7">
                  <c:v>28.453457229491285</c:v>
                </c:pt>
                <c:pt idx="8">
                  <c:v>28.453457229491285</c:v>
                </c:pt>
                <c:pt idx="9">
                  <c:v>28.453457229491285</c:v>
                </c:pt>
                <c:pt idx="10">
                  <c:v>28.453457229491285</c:v>
                </c:pt>
                <c:pt idx="11">
                  <c:v>28.453457229491285</c:v>
                </c:pt>
                <c:pt idx="12">
                  <c:v>28.453457229491285</c:v>
                </c:pt>
                <c:pt idx="13">
                  <c:v>28.453457229491285</c:v>
                </c:pt>
                <c:pt idx="14">
                  <c:v>28.453457229491285</c:v>
                </c:pt>
                <c:pt idx="15">
                  <c:v>28.453457229491285</c:v>
                </c:pt>
                <c:pt idx="16">
                  <c:v>28.453457229491285</c:v>
                </c:pt>
                <c:pt idx="17">
                  <c:v>28.453457229491285</c:v>
                </c:pt>
              </c:numCache>
            </c:numRef>
          </c:val>
          <c:extLst>
            <c:ext xmlns:c16="http://schemas.microsoft.com/office/drawing/2014/chart" uri="{C3380CC4-5D6E-409C-BE32-E72D297353CC}">
              <c16:uniqueId val="{00000000-A9FF-4446-B86F-50CE5FD67BF6}"/>
            </c:ext>
          </c:extLst>
        </c:ser>
        <c:ser>
          <c:idx val="1"/>
          <c:order val="1"/>
          <c:tx>
            <c:strRef>
              <c:f>Rates_Small!$BX$10</c:f>
              <c:strCache>
                <c:ptCount val="1"/>
                <c:pt idx="0">
                  <c:v>Distribution</c:v>
                </c:pt>
              </c:strCache>
            </c:strRef>
          </c:tx>
          <c:spPr>
            <a:solidFill>
              <a:schemeClr val="bg1">
                <a:lumMod val="50000"/>
              </a:schemeClr>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Rates_Small!$BZ$10:$CZ$10</c:f>
              <c:numCache>
                <c:formatCode>_(* #,##0.000_);_(* \(#,##0.000\);_(* "-"??_);_(@_)</c:formatCode>
                <c:ptCount val="18"/>
                <c:pt idx="0">
                  <c:v>39.211256243681191</c:v>
                </c:pt>
                <c:pt idx="1">
                  <c:v>39.211256243681191</c:v>
                </c:pt>
                <c:pt idx="2">
                  <c:v>39.211256243681191</c:v>
                </c:pt>
                <c:pt idx="3">
                  <c:v>39.211256243681191</c:v>
                </c:pt>
                <c:pt idx="4">
                  <c:v>39.211256243681191</c:v>
                </c:pt>
                <c:pt idx="5">
                  <c:v>39.211256243681191</c:v>
                </c:pt>
                <c:pt idx="6">
                  <c:v>39.211256243681191</c:v>
                </c:pt>
                <c:pt idx="7">
                  <c:v>39.211256243681191</c:v>
                </c:pt>
                <c:pt idx="8">
                  <c:v>39.211256243681191</c:v>
                </c:pt>
                <c:pt idx="9">
                  <c:v>39.211256243681191</c:v>
                </c:pt>
                <c:pt idx="10">
                  <c:v>39.211256243681191</c:v>
                </c:pt>
                <c:pt idx="11">
                  <c:v>39.211256243681191</c:v>
                </c:pt>
                <c:pt idx="12">
                  <c:v>39.211256243681191</c:v>
                </c:pt>
                <c:pt idx="13">
                  <c:v>39.211256243681191</c:v>
                </c:pt>
                <c:pt idx="14">
                  <c:v>39.211256243681191</c:v>
                </c:pt>
                <c:pt idx="15">
                  <c:v>39.211256243681191</c:v>
                </c:pt>
                <c:pt idx="16">
                  <c:v>39.211256243681191</c:v>
                </c:pt>
                <c:pt idx="17">
                  <c:v>39.211256243681191</c:v>
                </c:pt>
              </c:numCache>
            </c:numRef>
          </c:val>
          <c:extLst>
            <c:ext xmlns:c16="http://schemas.microsoft.com/office/drawing/2014/chart" uri="{C3380CC4-5D6E-409C-BE32-E72D297353CC}">
              <c16:uniqueId val="{00000001-A9FF-4446-B86F-50CE5FD67BF6}"/>
            </c:ext>
          </c:extLst>
        </c:ser>
        <c:ser>
          <c:idx val="2"/>
          <c:order val="2"/>
          <c:tx>
            <c:strRef>
              <c:f>Rates_Small!$BX$11</c:f>
              <c:strCache>
                <c:ptCount val="1"/>
                <c:pt idx="0">
                  <c:v>LDAC, Non-EE</c:v>
                </c:pt>
              </c:strCache>
            </c:strRef>
          </c:tx>
          <c:spPr>
            <a:solidFill>
              <a:schemeClr val="accent3"/>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Rates_Small!$BZ$11:$CZ$11</c:f>
              <c:numCache>
                <c:formatCode>_(* #,##0.000_);_(* \(#,##0.000\);_(* "-"??_);_(@_)</c:formatCode>
                <c:ptCount val="18"/>
                <c:pt idx="0">
                  <c:v>0.52000000000000035</c:v>
                </c:pt>
                <c:pt idx="1">
                  <c:v>0.52000000000000035</c:v>
                </c:pt>
                <c:pt idx="2">
                  <c:v>0.52000000000000035</c:v>
                </c:pt>
                <c:pt idx="3">
                  <c:v>0.52000000000000035</c:v>
                </c:pt>
                <c:pt idx="4">
                  <c:v>0.52000000000000035</c:v>
                </c:pt>
                <c:pt idx="5">
                  <c:v>0.52000000000000035</c:v>
                </c:pt>
                <c:pt idx="6">
                  <c:v>0.52000000000000035</c:v>
                </c:pt>
                <c:pt idx="7">
                  <c:v>0.52000000000000035</c:v>
                </c:pt>
                <c:pt idx="8">
                  <c:v>0.52000000000000035</c:v>
                </c:pt>
                <c:pt idx="9">
                  <c:v>0.52000000000000035</c:v>
                </c:pt>
                <c:pt idx="10">
                  <c:v>0.52000000000000035</c:v>
                </c:pt>
                <c:pt idx="11">
                  <c:v>0.52000000000000035</c:v>
                </c:pt>
                <c:pt idx="12">
                  <c:v>0.52000000000000035</c:v>
                </c:pt>
                <c:pt idx="13">
                  <c:v>0.52000000000000035</c:v>
                </c:pt>
                <c:pt idx="14">
                  <c:v>0.52000000000000035</c:v>
                </c:pt>
                <c:pt idx="15">
                  <c:v>0.52000000000000035</c:v>
                </c:pt>
                <c:pt idx="16">
                  <c:v>0.52000000000000035</c:v>
                </c:pt>
                <c:pt idx="17">
                  <c:v>0.52000000000000035</c:v>
                </c:pt>
              </c:numCache>
            </c:numRef>
          </c:val>
          <c:extLst>
            <c:ext xmlns:c16="http://schemas.microsoft.com/office/drawing/2014/chart" uri="{C3380CC4-5D6E-409C-BE32-E72D297353CC}">
              <c16:uniqueId val="{00000002-A9FF-4446-B86F-50CE5FD67BF6}"/>
            </c:ext>
          </c:extLst>
        </c:ser>
        <c:ser>
          <c:idx val="3"/>
          <c:order val="3"/>
          <c:tx>
            <c:strRef>
              <c:f>Rates_Small!$BX$12</c:f>
              <c:strCache>
                <c:ptCount val="1"/>
                <c:pt idx="0">
                  <c:v>Cost of Gas</c:v>
                </c:pt>
              </c:strCache>
            </c:strRef>
          </c:tx>
          <c:spPr>
            <a:solidFill>
              <a:schemeClr val="accent5"/>
            </a:solidFill>
            <a:ln>
              <a:solidFill>
                <a:schemeClr val="bg1"/>
              </a:solid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Rates_Small!$BZ$12:$CZ$12</c:f>
              <c:numCache>
                <c:formatCode>_(* #,##0.000_);_(* \(#,##0.000\);_(* "-"??_);_(@_)</c:formatCode>
                <c:ptCount val="18"/>
                <c:pt idx="0">
                  <c:v>61.9</c:v>
                </c:pt>
                <c:pt idx="1">
                  <c:v>61.9</c:v>
                </c:pt>
                <c:pt idx="2">
                  <c:v>61.9</c:v>
                </c:pt>
                <c:pt idx="3">
                  <c:v>61.9</c:v>
                </c:pt>
                <c:pt idx="4">
                  <c:v>61.9</c:v>
                </c:pt>
                <c:pt idx="5">
                  <c:v>61.9</c:v>
                </c:pt>
                <c:pt idx="6">
                  <c:v>61.9</c:v>
                </c:pt>
                <c:pt idx="7">
                  <c:v>61.9</c:v>
                </c:pt>
                <c:pt idx="8">
                  <c:v>61.9</c:v>
                </c:pt>
                <c:pt idx="9">
                  <c:v>61.9</c:v>
                </c:pt>
                <c:pt idx="10">
                  <c:v>61.9</c:v>
                </c:pt>
                <c:pt idx="11">
                  <c:v>61.9</c:v>
                </c:pt>
                <c:pt idx="12">
                  <c:v>61.9</c:v>
                </c:pt>
                <c:pt idx="13">
                  <c:v>61.9</c:v>
                </c:pt>
                <c:pt idx="14">
                  <c:v>61.9</c:v>
                </c:pt>
                <c:pt idx="15">
                  <c:v>61.9</c:v>
                </c:pt>
                <c:pt idx="16">
                  <c:v>61.9</c:v>
                </c:pt>
                <c:pt idx="17">
                  <c:v>61.9</c:v>
                </c:pt>
              </c:numCache>
            </c:numRef>
          </c:val>
          <c:extLst>
            <c:ext xmlns:c16="http://schemas.microsoft.com/office/drawing/2014/chart" uri="{C3380CC4-5D6E-409C-BE32-E72D297353CC}">
              <c16:uniqueId val="{00000003-A9FF-4446-B86F-50CE5FD67BF6}"/>
            </c:ext>
          </c:extLst>
        </c:ser>
        <c:ser>
          <c:idx val="4"/>
          <c:order val="4"/>
          <c:tx>
            <c:strRef>
              <c:f>Rates_Small!$BX$13</c:f>
              <c:strCache>
                <c:ptCount val="1"/>
                <c:pt idx="0">
                  <c:v>LDAC (EE Only)</c:v>
                </c:pt>
              </c:strCache>
            </c:strRef>
          </c:tx>
          <c:spPr>
            <a:solidFill>
              <a:schemeClr val="accent5"/>
            </a:solidFill>
            <a:ln>
              <a:noFill/>
            </a:ln>
            <a:effectLst/>
          </c:spPr>
          <c:invertIfNegative val="0"/>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Rates_Small!$BZ$13:$CZ$13</c:f>
              <c:numCache>
                <c:formatCode>_(* #,##0.000_);_(* \(#,##0.000\);_(* "-"??_);_(@_)</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4-A9FF-4446-B86F-50CE5FD67BF6}"/>
            </c:ext>
          </c:extLst>
        </c:ser>
        <c:dLbls>
          <c:showLegendKey val="0"/>
          <c:showVal val="0"/>
          <c:showCatName val="0"/>
          <c:showSerName val="0"/>
          <c:showPercent val="0"/>
          <c:showBubbleSize val="0"/>
        </c:dLbls>
        <c:gapWidth val="0"/>
        <c:overlap val="100"/>
        <c:axId val="-830887600"/>
        <c:axId val="-830887056"/>
      </c:barChart>
      <c:catAx>
        <c:axId val="-8308876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056"/>
        <c:crosses val="autoZero"/>
        <c:auto val="1"/>
        <c:lblAlgn val="ctr"/>
        <c:lblOffset val="100"/>
        <c:noMultiLvlLbl val="0"/>
      </c:catAx>
      <c:valAx>
        <c:axId val="-8308870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836403605059474"/>
          <c:w val="0.66498826197990513"/>
          <c:h val="0.70482543632243899"/>
        </c:manualLayout>
      </c:layout>
      <c:barChart>
        <c:barDir val="col"/>
        <c:grouping val="stacked"/>
        <c:varyColors val="0"/>
        <c:ser>
          <c:idx val="4"/>
          <c:order val="0"/>
          <c:tx>
            <c:strRef>
              <c:f>Rates_Small!$BX$62</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Rates_Small!$BZ$62:$CZ$62</c:f>
              <c:numCache>
                <c:formatCode>_(* #,##0.000_);_(* \(#,##0.000\);_(* "-"??_);_(@_)</c:formatCode>
                <c:ptCount val="18"/>
                <c:pt idx="0">
                  <c:v>-8.0847846904750664E-2</c:v>
                </c:pt>
                <c:pt idx="1">
                  <c:v>-0.17517944920391049</c:v>
                </c:pt>
                <c:pt idx="2">
                  <c:v>-0.28477446654639671</c:v>
                </c:pt>
                <c:pt idx="3">
                  <c:v>-0.28477446654639671</c:v>
                </c:pt>
                <c:pt idx="4">
                  <c:v>-0.28477446654639671</c:v>
                </c:pt>
                <c:pt idx="5">
                  <c:v>-0.28477446654639671</c:v>
                </c:pt>
                <c:pt idx="6">
                  <c:v>-0.28477446654639671</c:v>
                </c:pt>
                <c:pt idx="7">
                  <c:v>-0.28477446654639671</c:v>
                </c:pt>
                <c:pt idx="8">
                  <c:v>-0.28477446654639671</c:v>
                </c:pt>
                <c:pt idx="9">
                  <c:v>-0.28477446654639671</c:v>
                </c:pt>
                <c:pt idx="10">
                  <c:v>-0.28477446654639671</c:v>
                </c:pt>
                <c:pt idx="11">
                  <c:v>-0.28477446654639671</c:v>
                </c:pt>
                <c:pt idx="12">
                  <c:v>-0.28477446654639671</c:v>
                </c:pt>
                <c:pt idx="13">
                  <c:v>-0.28477446654639671</c:v>
                </c:pt>
                <c:pt idx="14">
                  <c:v>-0.28477446654639671</c:v>
                </c:pt>
                <c:pt idx="15">
                  <c:v>-0.28477446654639671</c:v>
                </c:pt>
                <c:pt idx="16">
                  <c:v>-0.18486385796332572</c:v>
                </c:pt>
                <c:pt idx="17">
                  <c:v>-8.9579450410979922E-2</c:v>
                </c:pt>
              </c:numCache>
            </c:numRef>
          </c:val>
          <c:extLst>
            <c:ext xmlns:c16="http://schemas.microsoft.com/office/drawing/2014/chart" uri="{C3380CC4-5D6E-409C-BE32-E72D297353CC}">
              <c16:uniqueId val="{00000000-FCD1-4DF3-8005-642832531204}"/>
            </c:ext>
          </c:extLst>
        </c:ser>
        <c:ser>
          <c:idx val="8"/>
          <c:order val="1"/>
          <c:tx>
            <c:strRef>
              <c:f>Rates_Small!$BX$61</c:f>
              <c:strCache>
                <c:ptCount val="1"/>
                <c:pt idx="0">
                  <c:v>Lost Revenue</c:v>
                </c:pt>
              </c:strCache>
            </c:strRef>
          </c:tx>
          <c:spPr>
            <a:solidFill>
              <a:schemeClr val="accent2"/>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Rates_Small!$BZ$61:$CZ$61</c:f>
              <c:numCache>
                <c:formatCode>_(* #,##0.000_);_(* \(#,##0.000\);_(* "-"??_);_(@_)</c:formatCode>
                <c:ptCount val="18"/>
                <c:pt idx="0">
                  <c:v>9.2949493806337991E-2</c:v>
                </c:pt>
                <c:pt idx="1">
                  <c:v>0.1974552739977764</c:v>
                </c:pt>
                <c:pt idx="2">
                  <c:v>0.3145642533833426</c:v>
                </c:pt>
                <c:pt idx="3">
                  <c:v>0.3145642533833426</c:v>
                </c:pt>
                <c:pt idx="4">
                  <c:v>0.3145642533833426</c:v>
                </c:pt>
                <c:pt idx="5">
                  <c:v>0.3145642533833426</c:v>
                </c:pt>
                <c:pt idx="6">
                  <c:v>0.3145642533833426</c:v>
                </c:pt>
                <c:pt idx="7">
                  <c:v>0.3145642533833426</c:v>
                </c:pt>
                <c:pt idx="8">
                  <c:v>0.3145642533833426</c:v>
                </c:pt>
                <c:pt idx="9">
                  <c:v>0.3145642533833426</c:v>
                </c:pt>
                <c:pt idx="10">
                  <c:v>0.3145642533833426</c:v>
                </c:pt>
                <c:pt idx="11">
                  <c:v>0.3145642533833426</c:v>
                </c:pt>
                <c:pt idx="12">
                  <c:v>0.3145642533833426</c:v>
                </c:pt>
                <c:pt idx="13">
                  <c:v>0.3145642533833426</c:v>
                </c:pt>
                <c:pt idx="14">
                  <c:v>0.3145642533833426</c:v>
                </c:pt>
                <c:pt idx="15">
                  <c:v>0.3145642533833426</c:v>
                </c:pt>
                <c:pt idx="16">
                  <c:v>0.20799815235723051</c:v>
                </c:pt>
                <c:pt idx="17">
                  <c:v>0.10281100204240223</c:v>
                </c:pt>
              </c:numCache>
            </c:numRef>
          </c:val>
          <c:extLst>
            <c:ext xmlns:c16="http://schemas.microsoft.com/office/drawing/2014/chart" uri="{C3380CC4-5D6E-409C-BE32-E72D297353CC}">
              <c16:uniqueId val="{00000001-FCD1-4DF3-8005-642832531204}"/>
            </c:ext>
          </c:extLst>
        </c:ser>
        <c:ser>
          <c:idx val="7"/>
          <c:order val="2"/>
          <c:tx>
            <c:strRef>
              <c:f>Rates_Small!$BX$60</c:f>
              <c:strCache>
                <c:ptCount val="1"/>
                <c:pt idx="0">
                  <c:v>LDAC (EE Only)</c:v>
                </c:pt>
              </c:strCache>
            </c:strRef>
          </c:tx>
          <c:spPr>
            <a:solidFill>
              <a:srgbClr val="FFC000"/>
            </a:solidFill>
            <a:ln>
              <a:solidFill>
                <a:schemeClr val="bg1"/>
              </a:solidFill>
            </a:ln>
            <a:effectLst/>
          </c:spPr>
          <c:invertIfNegative val="0"/>
          <c:dLbls>
            <c:delete val="1"/>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Rates_Small!$BZ$60:$CZ$60</c:f>
              <c:numCache>
                <c:formatCode>_(* #,##0.000_);_(* \(#,##0.000\);_(* "-"??_);_(@_)</c:formatCode>
                <c:ptCount val="18"/>
                <c:pt idx="0">
                  <c:v>2.8490516102238477</c:v>
                </c:pt>
                <c:pt idx="1">
                  <c:v>2.9853823124117103</c:v>
                </c:pt>
                <c:pt idx="2">
                  <c:v>3.1750202164397017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CD1-4DF3-8005-642832531204}"/>
            </c:ext>
          </c:extLst>
        </c:ser>
        <c:dLbls>
          <c:showLegendKey val="0"/>
          <c:showVal val="1"/>
          <c:showCatName val="0"/>
          <c:showSerName val="0"/>
          <c:showPercent val="0"/>
          <c:showBubbleSize val="0"/>
        </c:dLbls>
        <c:gapWidth val="0"/>
        <c:overlap val="100"/>
        <c:axId val="-971650032"/>
        <c:axId val="-697819344"/>
      </c:barChart>
      <c:lineChart>
        <c:grouping val="standard"/>
        <c:varyColors val="0"/>
        <c:ser>
          <c:idx val="0"/>
          <c:order val="3"/>
          <c:tx>
            <c:strRef>
              <c:f>Rates_Small!$BX$63</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1710CD53-2579-4CC8-B209-5F2234E0D79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D1-4DF3-8005-642832531204}"/>
                </c:ext>
              </c:extLst>
            </c:dLbl>
            <c:dLbl>
              <c:idx val="1"/>
              <c:tx>
                <c:rich>
                  <a:bodyPr/>
                  <a:lstStyle/>
                  <a:p>
                    <a:fld id="{4E11DF88-A124-4C09-B2A0-A1909544C8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D1-4DF3-8005-642832531204}"/>
                </c:ext>
              </c:extLst>
            </c:dLbl>
            <c:dLbl>
              <c:idx val="2"/>
              <c:tx>
                <c:rich>
                  <a:bodyPr/>
                  <a:lstStyle/>
                  <a:p>
                    <a:fld id="{E472E52A-A02B-4D93-83FC-D894B832F71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D1-4DF3-8005-642832531204}"/>
                </c:ext>
              </c:extLst>
            </c:dLbl>
            <c:dLbl>
              <c:idx val="3"/>
              <c:tx>
                <c:rich>
                  <a:bodyPr/>
                  <a:lstStyle/>
                  <a:p>
                    <a:fld id="{87666DC2-CE41-4266-8B0C-FEBE3DF60EE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CD1-4DF3-8005-642832531204}"/>
                </c:ext>
              </c:extLst>
            </c:dLbl>
            <c:dLbl>
              <c:idx val="4"/>
              <c:tx>
                <c:rich>
                  <a:bodyPr/>
                  <a:lstStyle/>
                  <a:p>
                    <a:fld id="{55B6E0CE-442B-4D85-8A80-C1BC3287B9E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CD1-4DF3-8005-642832531204}"/>
                </c:ext>
              </c:extLst>
            </c:dLbl>
            <c:dLbl>
              <c:idx val="5"/>
              <c:tx>
                <c:rich>
                  <a:bodyPr/>
                  <a:lstStyle/>
                  <a:p>
                    <a:fld id="{D127DCF9-1BEB-4E87-BCD1-00AD287AD8F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CD1-4DF3-8005-642832531204}"/>
                </c:ext>
              </c:extLst>
            </c:dLbl>
            <c:dLbl>
              <c:idx val="6"/>
              <c:tx>
                <c:rich>
                  <a:bodyPr/>
                  <a:lstStyle/>
                  <a:p>
                    <a:fld id="{4F691543-BC59-40A1-BD58-37D8620216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D1-4DF3-8005-642832531204}"/>
                </c:ext>
              </c:extLst>
            </c:dLbl>
            <c:dLbl>
              <c:idx val="7"/>
              <c:tx>
                <c:rich>
                  <a:bodyPr/>
                  <a:lstStyle/>
                  <a:p>
                    <a:fld id="{3A7A4286-A31A-4890-9954-BB670D24FF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D1-4DF3-8005-642832531204}"/>
                </c:ext>
              </c:extLst>
            </c:dLbl>
            <c:dLbl>
              <c:idx val="8"/>
              <c:tx>
                <c:rich>
                  <a:bodyPr/>
                  <a:lstStyle/>
                  <a:p>
                    <a:fld id="{85F6ABF0-B9E9-486B-B219-341D1E93F3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D1-4DF3-8005-642832531204}"/>
                </c:ext>
              </c:extLst>
            </c:dLbl>
            <c:dLbl>
              <c:idx val="9"/>
              <c:tx>
                <c:rich>
                  <a:bodyPr/>
                  <a:lstStyle/>
                  <a:p>
                    <a:fld id="{E573C30F-2E77-4200-8304-8EF483BC63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D1-4DF3-8005-642832531204}"/>
                </c:ext>
              </c:extLst>
            </c:dLbl>
            <c:dLbl>
              <c:idx val="10"/>
              <c:tx>
                <c:rich>
                  <a:bodyPr/>
                  <a:lstStyle/>
                  <a:p>
                    <a:fld id="{04FCE443-341A-4943-A999-9FAC091B3A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CD1-4DF3-8005-642832531204}"/>
                </c:ext>
              </c:extLst>
            </c:dLbl>
            <c:dLbl>
              <c:idx val="11"/>
              <c:tx>
                <c:rich>
                  <a:bodyPr/>
                  <a:lstStyle/>
                  <a:p>
                    <a:fld id="{FF6E32BE-0E36-4A12-978C-3D08917F7B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D1-4DF3-8005-642832531204}"/>
                </c:ext>
              </c:extLst>
            </c:dLbl>
            <c:dLbl>
              <c:idx val="12"/>
              <c:tx>
                <c:rich>
                  <a:bodyPr/>
                  <a:lstStyle/>
                  <a:p>
                    <a:fld id="{978470DE-3577-42D2-8D13-86F3C04921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CD1-4DF3-8005-642832531204}"/>
                </c:ext>
              </c:extLst>
            </c:dLbl>
            <c:dLbl>
              <c:idx val="13"/>
              <c:tx>
                <c:rich>
                  <a:bodyPr/>
                  <a:lstStyle/>
                  <a:p>
                    <a:fld id="{32568E5F-D763-4650-978E-39C8377793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D1-4DF3-8005-642832531204}"/>
                </c:ext>
              </c:extLst>
            </c:dLbl>
            <c:dLbl>
              <c:idx val="14"/>
              <c:tx>
                <c:rich>
                  <a:bodyPr/>
                  <a:lstStyle/>
                  <a:p>
                    <a:fld id="{794283D9-628D-490A-9319-20C34E7545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D1-4DF3-8005-642832531204}"/>
                </c:ext>
              </c:extLst>
            </c:dLbl>
            <c:dLbl>
              <c:idx val="15"/>
              <c:tx>
                <c:rich>
                  <a:bodyPr/>
                  <a:lstStyle/>
                  <a:p>
                    <a:fld id="{A3E2DCAD-63F7-418E-ADE6-8DEB4B3A28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CD1-4DF3-8005-642832531204}"/>
                </c:ext>
              </c:extLst>
            </c:dLbl>
            <c:dLbl>
              <c:idx val="16"/>
              <c:tx>
                <c:rich>
                  <a:bodyPr/>
                  <a:lstStyle/>
                  <a:p>
                    <a:fld id="{CC279461-EBA2-42AE-8EE4-4C22ECA3ADF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CD1-4DF3-8005-642832531204}"/>
                </c:ext>
              </c:extLst>
            </c:dLbl>
            <c:dLbl>
              <c:idx val="17"/>
              <c:tx>
                <c:rich>
                  <a:bodyPr/>
                  <a:lstStyle/>
                  <a:p>
                    <a:fld id="{06C8D659-E241-49DD-855D-AD7C071665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CD1-4DF3-8005-64283253120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Rates_Small!$BZ$6:$CZ$6</c:f>
              <c:numCache>
                <c:formatCode>General</c:formatCode>
                <c:ptCount val="18"/>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numCache>
            </c:numRef>
          </c:cat>
          <c:val>
            <c:numRef>
              <c:f>Rates_Small!$BZ$63:$CZ$63</c:f>
              <c:numCache>
                <c:formatCode>_(* #,##0.000_);_(* \(#,##0.000\);_(* "-"??_);_(@_)</c:formatCode>
                <c:ptCount val="18"/>
                <c:pt idx="0">
                  <c:v>2.9282601091375806</c:v>
                </c:pt>
                <c:pt idx="1">
                  <c:v>3.1542652827809086</c:v>
                </c:pt>
                <c:pt idx="2">
                  <c:v>3.4450990064435203</c:v>
                </c:pt>
                <c:pt idx="3">
                  <c:v>0.27007879000382484</c:v>
                </c:pt>
                <c:pt idx="4">
                  <c:v>0.27007879000382484</c:v>
                </c:pt>
                <c:pt idx="5">
                  <c:v>0.27007879000382484</c:v>
                </c:pt>
                <c:pt idx="6">
                  <c:v>0.27007879000382484</c:v>
                </c:pt>
                <c:pt idx="7">
                  <c:v>0.27007879000382484</c:v>
                </c:pt>
                <c:pt idx="8">
                  <c:v>0.27007879000382484</c:v>
                </c:pt>
                <c:pt idx="9">
                  <c:v>0.27007879000382484</c:v>
                </c:pt>
                <c:pt idx="10">
                  <c:v>0.27007879000382484</c:v>
                </c:pt>
                <c:pt idx="11">
                  <c:v>0.27007879000382484</c:v>
                </c:pt>
                <c:pt idx="12">
                  <c:v>0.27007879000382484</c:v>
                </c:pt>
                <c:pt idx="13">
                  <c:v>0.27007879000382484</c:v>
                </c:pt>
                <c:pt idx="14">
                  <c:v>0.27007879000382484</c:v>
                </c:pt>
                <c:pt idx="15">
                  <c:v>0.27007879000382484</c:v>
                </c:pt>
                <c:pt idx="16">
                  <c:v>0.17797391915297389</c:v>
                </c:pt>
                <c:pt idx="17">
                  <c:v>8.7653796841213882E-2</c:v>
                </c:pt>
              </c:numCache>
            </c:numRef>
          </c:val>
          <c:smooth val="0"/>
          <c:extLst>
            <c:ext xmlns:c15="http://schemas.microsoft.com/office/drawing/2012/chart" uri="{02D57815-91ED-43cb-92C2-25804820EDAC}">
              <c15:datalabelsRange>
                <c15:f>Rates_Small!$BZ$65:$CZ$65</c15:f>
                <c15:dlblRangeCache>
                  <c:ptCount val="18"/>
                  <c:pt idx="0">
                    <c:v>2%</c:v>
                  </c:pt>
                  <c:pt idx="1">
                    <c:v>2%</c:v>
                  </c:pt>
                  <c:pt idx="2">
                    <c:v>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15:dlblRangeCache>
              </c15:datalabelsRange>
            </c:ext>
            <c:ext xmlns:c16="http://schemas.microsoft.com/office/drawing/2014/chart" uri="{C3380CC4-5D6E-409C-BE32-E72D297353CC}">
              <c16:uniqueId val="{00000014-FCD1-4DF3-8005-642832531204}"/>
            </c:ext>
          </c:extLst>
        </c:ser>
        <c:dLbls>
          <c:showLegendKey val="0"/>
          <c:showVal val="1"/>
          <c:showCatName val="0"/>
          <c:showSerName val="0"/>
          <c:showPercent val="0"/>
          <c:showBubbleSize val="0"/>
        </c:dLbls>
        <c:marker val="1"/>
        <c:smooth val="0"/>
        <c:axId val="-971650032"/>
        <c:axId val="-697819344"/>
      </c:lineChart>
      <c:catAx>
        <c:axId val="-97165003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7819344"/>
        <c:crosses val="autoZero"/>
        <c:auto val="1"/>
        <c:lblAlgn val="ctr"/>
        <c:lblOffset val="100"/>
        <c:noMultiLvlLbl val="0"/>
      </c:catAx>
      <c:valAx>
        <c:axId val="-6978193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7165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Rates_Large!$BX$17</c:f>
              <c:strCache>
                <c:ptCount val="1"/>
                <c:pt idx="0">
                  <c:v>Customer</c:v>
                </c:pt>
              </c:strCache>
            </c:strRef>
          </c:tx>
          <c:spPr>
            <a:solidFill>
              <a:schemeClr val="accent1"/>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Rates_Large!$BZ$17:$CZ$17</c:f>
              <c:numCache>
                <c:formatCode>_(* #,##0.000_);_(* \(#,##0.000\);_(* "-"??_);_(@_)</c:formatCode>
                <c:ptCount val="15"/>
                <c:pt idx="0">
                  <c:v>4.271893828439878</c:v>
                </c:pt>
                <c:pt idx="1">
                  <c:v>4.271893828439878</c:v>
                </c:pt>
                <c:pt idx="2">
                  <c:v>4.271893828439878</c:v>
                </c:pt>
                <c:pt idx="3">
                  <c:v>4.271893828439878</c:v>
                </c:pt>
                <c:pt idx="4">
                  <c:v>4.271893828439878</c:v>
                </c:pt>
                <c:pt idx="5">
                  <c:v>4.271893828439878</c:v>
                </c:pt>
                <c:pt idx="6">
                  <c:v>4.271893828439878</c:v>
                </c:pt>
                <c:pt idx="7">
                  <c:v>4.271893828439878</c:v>
                </c:pt>
                <c:pt idx="8">
                  <c:v>4.271893828439878</c:v>
                </c:pt>
                <c:pt idx="9">
                  <c:v>4.271893828439878</c:v>
                </c:pt>
                <c:pt idx="10">
                  <c:v>4.271893828439878</c:v>
                </c:pt>
                <c:pt idx="11">
                  <c:v>4.271893828439878</c:v>
                </c:pt>
                <c:pt idx="12">
                  <c:v>4.271893828439878</c:v>
                </c:pt>
                <c:pt idx="13">
                  <c:v>4.271893828439878</c:v>
                </c:pt>
                <c:pt idx="14">
                  <c:v>4.271893828439878</c:v>
                </c:pt>
              </c:numCache>
            </c:numRef>
          </c:val>
          <c:extLst>
            <c:ext xmlns:c16="http://schemas.microsoft.com/office/drawing/2014/chart" uri="{C3380CC4-5D6E-409C-BE32-E72D297353CC}">
              <c16:uniqueId val="{00000000-108A-4491-9C30-FF05D0ACA43B}"/>
            </c:ext>
          </c:extLst>
        </c:ser>
        <c:ser>
          <c:idx val="1"/>
          <c:order val="1"/>
          <c:tx>
            <c:strRef>
              <c:f>Rates_Large!$BX$18</c:f>
              <c:strCache>
                <c:ptCount val="1"/>
                <c:pt idx="0">
                  <c:v>Distribution</c:v>
                </c:pt>
              </c:strCache>
            </c:strRef>
          </c:tx>
          <c:spPr>
            <a:solidFill>
              <a:schemeClr val="bg1">
                <a:lumMod val="50000"/>
              </a:schemeClr>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Rates_Large!$BZ$18:$CZ$18</c:f>
              <c:numCache>
                <c:formatCode>_(* #,##0.000_);_(* \(#,##0.000\);_(* "-"??_);_(@_)</c:formatCode>
                <c:ptCount val="15"/>
                <c:pt idx="0">
                  <c:v>12.483993226813153</c:v>
                </c:pt>
                <c:pt idx="1">
                  <c:v>13.333885877233756</c:v>
                </c:pt>
                <c:pt idx="2">
                  <c:v>14.445424193884564</c:v>
                </c:pt>
                <c:pt idx="3">
                  <c:v>14.445424193884564</c:v>
                </c:pt>
                <c:pt idx="4">
                  <c:v>14.445424193884564</c:v>
                </c:pt>
                <c:pt idx="5">
                  <c:v>14.445424193884564</c:v>
                </c:pt>
                <c:pt idx="6">
                  <c:v>14.445424193884564</c:v>
                </c:pt>
                <c:pt idx="7">
                  <c:v>14.445424193884564</c:v>
                </c:pt>
                <c:pt idx="8">
                  <c:v>14.445424193884564</c:v>
                </c:pt>
                <c:pt idx="9">
                  <c:v>14.445424193884564</c:v>
                </c:pt>
                <c:pt idx="10">
                  <c:v>14.445424193884564</c:v>
                </c:pt>
                <c:pt idx="11">
                  <c:v>14.445424193884564</c:v>
                </c:pt>
                <c:pt idx="12">
                  <c:v>14.445424193884564</c:v>
                </c:pt>
                <c:pt idx="13">
                  <c:v>13.429646718426152</c:v>
                </c:pt>
                <c:pt idx="14">
                  <c:v>12.56251251682842</c:v>
                </c:pt>
              </c:numCache>
            </c:numRef>
          </c:val>
          <c:extLst>
            <c:ext xmlns:c16="http://schemas.microsoft.com/office/drawing/2014/chart" uri="{C3380CC4-5D6E-409C-BE32-E72D297353CC}">
              <c16:uniqueId val="{00000001-108A-4491-9C30-FF05D0ACA43B}"/>
            </c:ext>
          </c:extLst>
        </c:ser>
        <c:ser>
          <c:idx val="2"/>
          <c:order val="2"/>
          <c:tx>
            <c:strRef>
              <c:f>Rates_Large!$BX$19</c:f>
              <c:strCache>
                <c:ptCount val="1"/>
                <c:pt idx="0">
                  <c:v>LDAC, Non-EE</c:v>
                </c:pt>
              </c:strCache>
            </c:strRef>
          </c:tx>
          <c:spPr>
            <a:solidFill>
              <a:schemeClr val="accent3"/>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Rates_Large!$BZ$19:$CZ$19</c:f>
              <c:numCache>
                <c:formatCode>_(* #,##0.000_);_(* \(#,##0.000\);_(* "-"??_);_(@_)</c:formatCode>
                <c:ptCount val="15"/>
                <c:pt idx="0">
                  <c:v>0.56667651891697135</c:v>
                </c:pt>
                <c:pt idx="1">
                  <c:v>0.62553669434658599</c:v>
                </c:pt>
                <c:pt idx="2">
                  <c:v>0.7025061323660643</c:v>
                </c:pt>
                <c:pt idx="3">
                  <c:v>0.7025061323660643</c:v>
                </c:pt>
                <c:pt idx="4">
                  <c:v>0.7025061323660643</c:v>
                </c:pt>
                <c:pt idx="5">
                  <c:v>0.7025061323660643</c:v>
                </c:pt>
                <c:pt idx="6">
                  <c:v>0.7025061323660643</c:v>
                </c:pt>
                <c:pt idx="7">
                  <c:v>0.7025061323660643</c:v>
                </c:pt>
                <c:pt idx="8">
                  <c:v>0.7025061323660643</c:v>
                </c:pt>
                <c:pt idx="9">
                  <c:v>0.7025061323660643</c:v>
                </c:pt>
                <c:pt idx="10">
                  <c:v>0.7025061323660643</c:v>
                </c:pt>
                <c:pt idx="11">
                  <c:v>0.7025061323660643</c:v>
                </c:pt>
                <c:pt idx="12">
                  <c:v>0.7025061323660643</c:v>
                </c:pt>
                <c:pt idx="13">
                  <c:v>0.63216046562615202</c:v>
                </c:pt>
                <c:pt idx="14">
                  <c:v>0.57210699215510574</c:v>
                </c:pt>
              </c:numCache>
            </c:numRef>
          </c:val>
          <c:extLst>
            <c:ext xmlns:c16="http://schemas.microsoft.com/office/drawing/2014/chart" uri="{C3380CC4-5D6E-409C-BE32-E72D297353CC}">
              <c16:uniqueId val="{00000002-108A-4491-9C30-FF05D0ACA43B}"/>
            </c:ext>
          </c:extLst>
        </c:ser>
        <c:ser>
          <c:idx val="3"/>
          <c:order val="3"/>
          <c:tx>
            <c:strRef>
              <c:f>Rates_Large!$BX$20</c:f>
              <c:strCache>
                <c:ptCount val="1"/>
                <c:pt idx="0">
                  <c:v>Cost of Gas</c:v>
                </c:pt>
              </c:strCache>
            </c:strRef>
          </c:tx>
          <c:spPr>
            <a:solidFill>
              <a:schemeClr val="accent5"/>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Rates_Large!$BZ$20:$CZ$20</c:f>
              <c:numCache>
                <c:formatCode>_(* #,##0.000_);_(* \(#,##0.000\);_(* "-"??_);_(@_)</c:formatCode>
                <c:ptCount val="15"/>
                <c:pt idx="0">
                  <c:v>61.593283789457608</c:v>
                </c:pt>
                <c:pt idx="1">
                  <c:v>61.20625647813317</c:v>
                </c:pt>
                <c:pt idx="2">
                  <c:v>60.701706329622155</c:v>
                </c:pt>
                <c:pt idx="3">
                  <c:v>60.701706329622155</c:v>
                </c:pt>
                <c:pt idx="4">
                  <c:v>60.701706329622155</c:v>
                </c:pt>
                <c:pt idx="5">
                  <c:v>60.701706329622155</c:v>
                </c:pt>
                <c:pt idx="6">
                  <c:v>60.701706329622155</c:v>
                </c:pt>
                <c:pt idx="7">
                  <c:v>60.701706329622155</c:v>
                </c:pt>
                <c:pt idx="8">
                  <c:v>60.701706329622155</c:v>
                </c:pt>
                <c:pt idx="9">
                  <c:v>60.701706329622155</c:v>
                </c:pt>
                <c:pt idx="10">
                  <c:v>60.701706329622155</c:v>
                </c:pt>
                <c:pt idx="11">
                  <c:v>60.701706329622155</c:v>
                </c:pt>
                <c:pt idx="12">
                  <c:v>60.701706329622155</c:v>
                </c:pt>
                <c:pt idx="13">
                  <c:v>61.163857524095476</c:v>
                </c:pt>
                <c:pt idx="14">
                  <c:v>61.558621508316158</c:v>
                </c:pt>
              </c:numCache>
            </c:numRef>
          </c:val>
          <c:extLst>
            <c:ext xmlns:c16="http://schemas.microsoft.com/office/drawing/2014/chart" uri="{C3380CC4-5D6E-409C-BE32-E72D297353CC}">
              <c16:uniqueId val="{00000003-108A-4491-9C30-FF05D0ACA43B}"/>
            </c:ext>
          </c:extLst>
        </c:ser>
        <c:ser>
          <c:idx val="4"/>
          <c:order val="4"/>
          <c:tx>
            <c:strRef>
              <c:f>Rates_Large!$BX$21</c:f>
              <c:strCache>
                <c:ptCount val="1"/>
                <c:pt idx="0">
                  <c:v>LDAC (EE Only)</c:v>
                </c:pt>
              </c:strCache>
            </c:strRef>
          </c:tx>
          <c:spPr>
            <a:solidFill>
              <a:srgbClr val="FFC000"/>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Rates_Large!$BZ$21:$CZ$21</c:f>
              <c:numCache>
                <c:formatCode>_(* #,##0.000_);_(* \(#,##0.000\);_(* "-"??_);_(@_)</c:formatCode>
                <c:ptCount val="15"/>
                <c:pt idx="0">
                  <c:v>14.245258051119242</c:v>
                </c:pt>
                <c:pt idx="1">
                  <c:v>14.926911562058558</c:v>
                </c:pt>
                <c:pt idx="2">
                  <c:v>15.875101082198512</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108A-4491-9C30-FF05D0ACA43B}"/>
            </c:ext>
          </c:extLst>
        </c:ser>
        <c:dLbls>
          <c:showLegendKey val="0"/>
          <c:showVal val="0"/>
          <c:showCatName val="0"/>
          <c:showSerName val="0"/>
          <c:showPercent val="0"/>
          <c:showBubbleSize val="0"/>
        </c:dLbls>
        <c:gapWidth val="0"/>
        <c:overlap val="100"/>
        <c:axId val="-830895216"/>
        <c:axId val="-830899024"/>
      </c:barChart>
      <c:catAx>
        <c:axId val="-8308952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9024"/>
        <c:crosses val="autoZero"/>
        <c:auto val="1"/>
        <c:lblAlgn val="ctr"/>
        <c:lblOffset val="100"/>
        <c:noMultiLvlLbl val="0"/>
      </c:catAx>
      <c:valAx>
        <c:axId val="-8308990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763904178945"/>
          <c:y val="0.11908582599995543"/>
          <c:w val="0.68440019516791173"/>
          <c:h val="0.71410364637307833"/>
        </c:manualLayout>
      </c:layout>
      <c:barChart>
        <c:barDir val="col"/>
        <c:grouping val="stacked"/>
        <c:varyColors val="0"/>
        <c:ser>
          <c:idx val="4"/>
          <c:order val="0"/>
          <c:tx>
            <c:strRef>
              <c:f>Rates_Res!$BX$28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Rates_Res!$BZ$28:$CZ$28</c:f>
              <c:numCache>
                <c:formatCode>_(* #,##0.000_);_(* \(#,##0.000\);_(* "-"??_);_(@_)</c:formatCode>
                <c:ptCount val="17"/>
                <c:pt idx="0">
                  <c:v>-0.49600265527870724</c:v>
                </c:pt>
                <c:pt idx="1">
                  <c:v>-1.0046272680222359</c:v>
                </c:pt>
                <c:pt idx="2">
                  <c:v>-1.5294789921505734</c:v>
                </c:pt>
                <c:pt idx="3">
                  <c:v>-1.5294789921505734</c:v>
                </c:pt>
                <c:pt idx="4">
                  <c:v>-1.5294789921505734</c:v>
                </c:pt>
                <c:pt idx="5">
                  <c:v>-1.5294789921505734</c:v>
                </c:pt>
                <c:pt idx="6">
                  <c:v>-1.5294789921505734</c:v>
                </c:pt>
                <c:pt idx="7">
                  <c:v>-1.5294789921505734</c:v>
                </c:pt>
                <c:pt idx="8">
                  <c:v>-1.5294789921505734</c:v>
                </c:pt>
                <c:pt idx="9">
                  <c:v>-1.5294789921505734</c:v>
                </c:pt>
                <c:pt idx="10">
                  <c:v>-1.5294789921505734</c:v>
                </c:pt>
                <c:pt idx="11">
                  <c:v>-1.5294789921505734</c:v>
                </c:pt>
                <c:pt idx="12">
                  <c:v>-1.5294789921505734</c:v>
                </c:pt>
                <c:pt idx="13">
                  <c:v>-1.5294789921505734</c:v>
                </c:pt>
                <c:pt idx="14">
                  <c:v>-1.5294789921505734</c:v>
                </c:pt>
                <c:pt idx="15">
                  <c:v>-1.0201617824072196</c:v>
                </c:pt>
                <c:pt idx="16">
                  <c:v>-0.51132869613376819</c:v>
                </c:pt>
              </c:numCache>
            </c:numRef>
          </c:val>
          <c:extLst>
            <c:ext xmlns:c16="http://schemas.microsoft.com/office/drawing/2014/chart" uri="{C3380CC4-5D6E-409C-BE32-E72D297353CC}">
              <c16:uniqueId val="{00000000-3062-47FA-87F2-5A02D3C46ABE}"/>
            </c:ext>
          </c:extLst>
        </c:ser>
        <c:ser>
          <c:idx val="8"/>
          <c:order val="1"/>
          <c:tx>
            <c:strRef>
              <c:f>Rates_Res!$BX$27</c:f>
              <c:strCache>
                <c:ptCount val="1"/>
                <c:pt idx="0">
                  <c:v>Lost Revenue</c:v>
                </c:pt>
              </c:strCache>
            </c:strRef>
          </c:tx>
          <c:spPr>
            <a:solidFill>
              <a:schemeClr val="accent2"/>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Rates_Res!$BZ$27:$CZ$27</c:f>
              <c:numCache>
                <c:formatCode>_(* #,##0.000_);_(* \(#,##0.000\);_(* "-"??_);_(@_)</c:formatCode>
                <c:ptCount val="17"/>
                <c:pt idx="0">
                  <c:v>0.3593632064576413</c:v>
                </c:pt>
                <c:pt idx="1">
                  <c:v>0.7279309133829015</c:v>
                </c:pt>
                <c:pt idx="2">
                  <c:v>1.1080355905574657</c:v>
                </c:pt>
                <c:pt idx="3">
                  <c:v>1.1080355905574657</c:v>
                </c:pt>
                <c:pt idx="4">
                  <c:v>1.1080355905574657</c:v>
                </c:pt>
                <c:pt idx="5">
                  <c:v>1.1080355905574657</c:v>
                </c:pt>
                <c:pt idx="6">
                  <c:v>1.1080355905574657</c:v>
                </c:pt>
                <c:pt idx="7">
                  <c:v>1.1080355905574657</c:v>
                </c:pt>
                <c:pt idx="8">
                  <c:v>1.1080355905574657</c:v>
                </c:pt>
                <c:pt idx="9">
                  <c:v>1.1080355905574657</c:v>
                </c:pt>
                <c:pt idx="10">
                  <c:v>1.1080355905574657</c:v>
                </c:pt>
                <c:pt idx="11">
                  <c:v>1.1080355905574657</c:v>
                </c:pt>
                <c:pt idx="12">
                  <c:v>1.1080355905574657</c:v>
                </c:pt>
                <c:pt idx="13">
                  <c:v>1.1080355905574657</c:v>
                </c:pt>
                <c:pt idx="14">
                  <c:v>1.1080355905574657</c:v>
                </c:pt>
                <c:pt idx="15">
                  <c:v>0.73983059499383996</c:v>
                </c:pt>
                <c:pt idx="16">
                  <c:v>0.37112017938366604</c:v>
                </c:pt>
              </c:numCache>
            </c:numRef>
          </c:val>
          <c:extLst>
            <c:ext xmlns:c16="http://schemas.microsoft.com/office/drawing/2014/chart" uri="{C3380CC4-5D6E-409C-BE32-E72D297353CC}">
              <c16:uniqueId val="{00000001-3062-47FA-87F2-5A02D3C46ABE}"/>
            </c:ext>
          </c:extLst>
        </c:ser>
        <c:ser>
          <c:idx val="7"/>
          <c:order val="2"/>
          <c:tx>
            <c:strRef>
              <c:f>Rates_Res!$BX$26</c:f>
              <c:strCache>
                <c:ptCount val="1"/>
                <c:pt idx="0">
                  <c:v>LDAC (EE Only)</c:v>
                </c:pt>
              </c:strCache>
            </c:strRef>
          </c:tx>
          <c:spPr>
            <a:solidFill>
              <a:srgbClr val="FFC000"/>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Rates_Res!$BZ$26:$CZ$26</c:f>
              <c:numCache>
                <c:formatCode>_(* #,##0.000_);_(* \(#,##0.000\);_(* "-"??_);_(@_)</c:formatCode>
                <c:ptCount val="17"/>
                <c:pt idx="0">
                  <c:v>6.468639699185835</c:v>
                </c:pt>
                <c:pt idx="1">
                  <c:v>6.6654138295917704</c:v>
                </c:pt>
                <c:pt idx="2">
                  <c:v>6.8785811560470815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3062-47FA-87F2-5A02D3C46ABE}"/>
            </c:ext>
          </c:extLst>
        </c:ser>
        <c:dLbls>
          <c:showLegendKey val="0"/>
          <c:showVal val="1"/>
          <c:showCatName val="0"/>
          <c:showSerName val="0"/>
          <c:showPercent val="0"/>
          <c:showBubbleSize val="0"/>
        </c:dLbls>
        <c:gapWidth val="0"/>
        <c:overlap val="100"/>
        <c:axId val="-830898480"/>
        <c:axId val="-830897936"/>
      </c:barChart>
      <c:lineChart>
        <c:grouping val="standard"/>
        <c:varyColors val="0"/>
        <c:ser>
          <c:idx val="0"/>
          <c:order val="3"/>
          <c:tx>
            <c:strRef>
              <c:f>Rates_Res!$BX$29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9DBF9146-75F2-4627-8EA8-FC04680DF19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36-4C9C-81EC-E7D03CB8F11B}"/>
                </c:ext>
              </c:extLst>
            </c:dLbl>
            <c:dLbl>
              <c:idx val="1"/>
              <c:tx>
                <c:rich>
                  <a:bodyPr/>
                  <a:lstStyle/>
                  <a:p>
                    <a:fld id="{F4A68C0E-0408-4D1D-BA94-702A04AE86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36-4C9C-81EC-E7D03CB8F11B}"/>
                </c:ext>
              </c:extLst>
            </c:dLbl>
            <c:dLbl>
              <c:idx val="2"/>
              <c:tx>
                <c:rich>
                  <a:bodyPr/>
                  <a:lstStyle/>
                  <a:p>
                    <a:fld id="{E93AF733-1DC7-4372-9C46-FA382E88A20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36-4C9C-81EC-E7D03CB8F11B}"/>
                </c:ext>
              </c:extLst>
            </c:dLbl>
            <c:dLbl>
              <c:idx val="3"/>
              <c:tx>
                <c:rich>
                  <a:bodyPr/>
                  <a:lstStyle/>
                  <a:p>
                    <a:fld id="{BD110C71-BC9E-4E87-8D67-A74C8C5A0B5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36-4C9C-81EC-E7D03CB8F11B}"/>
                </c:ext>
              </c:extLst>
            </c:dLbl>
            <c:dLbl>
              <c:idx val="4"/>
              <c:tx>
                <c:rich>
                  <a:bodyPr/>
                  <a:lstStyle/>
                  <a:p>
                    <a:fld id="{2516F731-E64C-4B7E-91EF-A944FFDDE0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36-4C9C-81EC-E7D03CB8F11B}"/>
                </c:ext>
              </c:extLst>
            </c:dLbl>
            <c:dLbl>
              <c:idx val="5"/>
              <c:tx>
                <c:rich>
                  <a:bodyPr/>
                  <a:lstStyle/>
                  <a:p>
                    <a:fld id="{EAEEAD18-59E1-4512-AB94-F0E79E4089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36-4C9C-81EC-E7D03CB8F11B}"/>
                </c:ext>
              </c:extLst>
            </c:dLbl>
            <c:dLbl>
              <c:idx val="6"/>
              <c:tx>
                <c:rich>
                  <a:bodyPr/>
                  <a:lstStyle/>
                  <a:p>
                    <a:fld id="{5DF34105-7A95-488B-8290-E22B4DFD8A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36-4C9C-81EC-E7D03CB8F11B}"/>
                </c:ext>
              </c:extLst>
            </c:dLbl>
            <c:dLbl>
              <c:idx val="7"/>
              <c:tx>
                <c:rich>
                  <a:bodyPr/>
                  <a:lstStyle/>
                  <a:p>
                    <a:fld id="{3546C214-35C0-4829-9184-5F8727307CF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36-4C9C-81EC-E7D03CB8F11B}"/>
                </c:ext>
              </c:extLst>
            </c:dLbl>
            <c:dLbl>
              <c:idx val="8"/>
              <c:tx>
                <c:rich>
                  <a:bodyPr/>
                  <a:lstStyle/>
                  <a:p>
                    <a:fld id="{54BCF28F-3430-4F84-BD2D-C84D6FF7F5C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36-4C9C-81EC-E7D03CB8F11B}"/>
                </c:ext>
              </c:extLst>
            </c:dLbl>
            <c:dLbl>
              <c:idx val="9"/>
              <c:tx>
                <c:rich>
                  <a:bodyPr/>
                  <a:lstStyle/>
                  <a:p>
                    <a:fld id="{76FAEBC2-390B-4D24-9666-0275514DAD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36-4C9C-81EC-E7D03CB8F11B}"/>
                </c:ext>
              </c:extLst>
            </c:dLbl>
            <c:dLbl>
              <c:idx val="10"/>
              <c:tx>
                <c:rich>
                  <a:bodyPr/>
                  <a:lstStyle/>
                  <a:p>
                    <a:fld id="{377E33F6-DD3C-446F-8B9D-11BEE63BA42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36-4C9C-81EC-E7D03CB8F11B}"/>
                </c:ext>
              </c:extLst>
            </c:dLbl>
            <c:dLbl>
              <c:idx val="11"/>
              <c:tx>
                <c:rich>
                  <a:bodyPr/>
                  <a:lstStyle/>
                  <a:p>
                    <a:fld id="{4C088AB7-0BF6-4D4A-8BF9-177B7D2F2E3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36-4C9C-81EC-E7D03CB8F11B}"/>
                </c:ext>
              </c:extLst>
            </c:dLbl>
            <c:dLbl>
              <c:idx val="12"/>
              <c:tx>
                <c:rich>
                  <a:bodyPr/>
                  <a:lstStyle/>
                  <a:p>
                    <a:fld id="{07AB2C34-302A-4209-A2F8-48D9363E0AC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36-4C9C-81EC-E7D03CB8F11B}"/>
                </c:ext>
              </c:extLst>
            </c:dLbl>
            <c:dLbl>
              <c:idx val="13"/>
              <c:tx>
                <c:rich>
                  <a:bodyPr/>
                  <a:lstStyle/>
                  <a:p>
                    <a:fld id="{3CCDAF99-EDBB-4208-BDC0-6F313163E0D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36-4C9C-81EC-E7D03CB8F11B}"/>
                </c:ext>
              </c:extLst>
            </c:dLbl>
            <c:dLbl>
              <c:idx val="14"/>
              <c:tx>
                <c:rich>
                  <a:bodyPr/>
                  <a:lstStyle/>
                  <a:p>
                    <a:fld id="{77338524-A55E-4EBB-BEAD-E7A2D57EA94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36-4C9C-81EC-E7D03CB8F11B}"/>
                </c:ext>
              </c:extLst>
            </c:dLbl>
            <c:dLbl>
              <c:idx val="15"/>
              <c:tx>
                <c:rich>
                  <a:bodyPr/>
                  <a:lstStyle/>
                  <a:p>
                    <a:fld id="{05888C81-5ECD-4130-905B-952BF5B9EF3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36-4C9C-81EC-E7D03CB8F11B}"/>
                </c:ext>
              </c:extLst>
            </c:dLbl>
            <c:dLbl>
              <c:idx val="16"/>
              <c:tx>
                <c:rich>
                  <a:bodyPr/>
                  <a:lstStyle/>
                  <a:p>
                    <a:fld id="{737E179D-3F80-4897-A925-47073F74308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456-425D-9DBB-5B1CACE7B74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Rates_Res!$BZ$29:$CZ$29</c:f>
              <c:numCache>
                <c:formatCode>_(* #,##0.000_);_(* \(#,##0.000\);_(* "-"??_);_(@_)</c:formatCode>
                <c:ptCount val="17"/>
                <c:pt idx="0">
                  <c:v>6.7574711891543515</c:v>
                </c:pt>
                <c:pt idx="1">
                  <c:v>7.2509481043365298</c:v>
                </c:pt>
                <c:pt idx="2">
                  <c:v>7.770513497313436</c:v>
                </c:pt>
                <c:pt idx="3">
                  <c:v>0.8919323412663438</c:v>
                </c:pt>
                <c:pt idx="4">
                  <c:v>0.8919323412663438</c:v>
                </c:pt>
                <c:pt idx="5">
                  <c:v>0.8919323412663438</c:v>
                </c:pt>
                <c:pt idx="6">
                  <c:v>0.8919323412663438</c:v>
                </c:pt>
                <c:pt idx="7">
                  <c:v>0.8919323412663438</c:v>
                </c:pt>
                <c:pt idx="8">
                  <c:v>0.8919323412663438</c:v>
                </c:pt>
                <c:pt idx="9">
                  <c:v>0.8919323412663438</c:v>
                </c:pt>
                <c:pt idx="10">
                  <c:v>0.8919323412663438</c:v>
                </c:pt>
                <c:pt idx="11">
                  <c:v>0.8919323412663438</c:v>
                </c:pt>
                <c:pt idx="12">
                  <c:v>0.8919323412663438</c:v>
                </c:pt>
                <c:pt idx="13">
                  <c:v>0.8919323412663438</c:v>
                </c:pt>
                <c:pt idx="14">
                  <c:v>0.8919323412663438</c:v>
                </c:pt>
                <c:pt idx="15">
                  <c:v>0.59533916492360284</c:v>
                </c:pt>
                <c:pt idx="16">
                  <c:v>0.29850990617830142</c:v>
                </c:pt>
              </c:numCache>
            </c:numRef>
          </c:val>
          <c:smooth val="0"/>
          <c:extLst>
            <c:ext xmlns:c15="http://schemas.microsoft.com/office/drawing/2012/chart" uri="{02D57815-91ED-43cb-92C2-25804820EDAC}">
              <c15:datalabelsRange>
                <c15:f>Rates_Res!$BZ$31:$CY$31</c15:f>
                <c15:dlblRangeCache>
                  <c:ptCount val="17"/>
                  <c:pt idx="0">
                    <c:v>5%</c:v>
                  </c:pt>
                  <c:pt idx="1">
                    <c:v>5%</c:v>
                  </c:pt>
                  <c:pt idx="2">
                    <c:v>6%</c:v>
                  </c:pt>
                  <c:pt idx="3">
                    <c:v>1%</c:v>
                  </c:pt>
                  <c:pt idx="4">
                    <c:v>1%</c:v>
                  </c:pt>
                  <c:pt idx="5">
                    <c:v>1%</c:v>
                  </c:pt>
                  <c:pt idx="6">
                    <c:v>1%</c:v>
                  </c:pt>
                  <c:pt idx="7">
                    <c:v>1%</c:v>
                  </c:pt>
                  <c:pt idx="8">
                    <c:v>1%</c:v>
                  </c:pt>
                  <c:pt idx="9">
                    <c:v>1%</c:v>
                  </c:pt>
                  <c:pt idx="10">
                    <c:v>1%</c:v>
                  </c:pt>
                  <c:pt idx="11">
                    <c:v>1%</c:v>
                  </c:pt>
                  <c:pt idx="12">
                    <c:v>1%</c:v>
                  </c:pt>
                  <c:pt idx="13">
                    <c:v>1%</c:v>
                  </c:pt>
                  <c:pt idx="14">
                    <c:v>1%</c:v>
                  </c:pt>
                  <c:pt idx="15">
                    <c:v>0%</c:v>
                  </c:pt>
                  <c:pt idx="16">
                    <c:v>0%</c:v>
                  </c:pt>
                </c15:dlblRangeCache>
              </c15:datalabelsRange>
            </c:ext>
            <c:ext xmlns:c16="http://schemas.microsoft.com/office/drawing/2014/chart" uri="{C3380CC4-5D6E-409C-BE32-E72D297353CC}">
              <c16:uniqueId val="{0000001E-3062-47FA-87F2-5A02D3C46ABE}"/>
            </c:ext>
          </c:extLst>
        </c:ser>
        <c:dLbls>
          <c:showLegendKey val="0"/>
          <c:showVal val="1"/>
          <c:showCatName val="0"/>
          <c:showSerName val="0"/>
          <c:showPercent val="0"/>
          <c:showBubbleSize val="0"/>
        </c:dLbls>
        <c:marker val="1"/>
        <c:smooth val="0"/>
        <c:axId val="-830898480"/>
        <c:axId val="-830897936"/>
      </c:lineChart>
      <c:catAx>
        <c:axId val="-83089848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7936"/>
        <c:crosses val="autoZero"/>
        <c:auto val="1"/>
        <c:lblAlgn val="ctr"/>
        <c:lblOffset val="100"/>
        <c:noMultiLvlLbl val="0"/>
      </c:catAx>
      <c:valAx>
        <c:axId val="-830897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/Therm</a:t>
                </a:r>
                <a:r>
                  <a:rPr lang="en-US"/>
                  <a:t>)</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8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763904178945"/>
          <c:y val="0.11908582599995543"/>
          <c:w val="0.68440019516791173"/>
          <c:h val="0.71410364637307833"/>
        </c:manualLayout>
      </c:layout>
      <c:barChart>
        <c:barDir val="col"/>
        <c:grouping val="stacked"/>
        <c:varyColors val="0"/>
        <c:ser>
          <c:idx val="4"/>
          <c:order val="0"/>
          <c:tx>
            <c:strRef>
              <c:f>Rates_Large!$BX$28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Rates_Large!$BZ$28:$CZ$28</c:f>
              <c:numCache>
                <c:formatCode>_(* #,##0.000_);_(* \(#,##0.000\);_(* "-"??_);_(@_)</c:formatCode>
                <c:ptCount val="15"/>
                <c:pt idx="0">
                  <c:v>-6.3556526797280464</c:v>
                </c:pt>
                <c:pt idx="1">
                  <c:v>-14.37097563171702</c:v>
                </c:pt>
                <c:pt idx="2">
                  <c:v>-24.848236999796011</c:v>
                </c:pt>
                <c:pt idx="3">
                  <c:v>-24.848236999796011</c:v>
                </c:pt>
                <c:pt idx="4">
                  <c:v>-24.848236999796011</c:v>
                </c:pt>
                <c:pt idx="5">
                  <c:v>-24.848236999796011</c:v>
                </c:pt>
                <c:pt idx="6">
                  <c:v>-24.848236999796011</c:v>
                </c:pt>
                <c:pt idx="7">
                  <c:v>-24.848236999796011</c:v>
                </c:pt>
                <c:pt idx="8">
                  <c:v>-24.848236999796011</c:v>
                </c:pt>
                <c:pt idx="9">
                  <c:v>-24.848236999796011</c:v>
                </c:pt>
                <c:pt idx="10">
                  <c:v>-24.848236999796011</c:v>
                </c:pt>
                <c:pt idx="11">
                  <c:v>-24.848236999796011</c:v>
                </c:pt>
                <c:pt idx="12">
                  <c:v>-24.848236999796011</c:v>
                </c:pt>
                <c:pt idx="13">
                  <c:v>-15.269952640502471</c:v>
                </c:pt>
                <c:pt idx="14">
                  <c:v>-7.0924183790221775</c:v>
                </c:pt>
              </c:numCache>
            </c:numRef>
          </c:val>
          <c:extLst>
            <c:ext xmlns:c16="http://schemas.microsoft.com/office/drawing/2014/chart" uri="{C3380CC4-5D6E-409C-BE32-E72D297353CC}">
              <c16:uniqueId val="{00000000-D8FC-416B-A6D2-0259C6EE4A0B}"/>
            </c:ext>
          </c:extLst>
        </c:ser>
        <c:ser>
          <c:idx val="8"/>
          <c:order val="1"/>
          <c:tx>
            <c:strRef>
              <c:f>Rates_Large!$BX$27</c:f>
              <c:strCache>
                <c:ptCount val="1"/>
                <c:pt idx="0">
                  <c:v>Lost Revenue</c:v>
                </c:pt>
              </c:strCache>
            </c:strRef>
          </c:tx>
          <c:spPr>
            <a:solidFill>
              <a:schemeClr val="accent2"/>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Rates_Large!$BZ$27:$CZ$27</c:f>
              <c:numCache>
                <c:formatCode>_(* #,##0.000_);_(* \(#,##0.000\);_(* "-"??_);_(@_)</c:formatCode>
                <c:ptCount val="15"/>
                <c:pt idx="0">
                  <c:v>1.0282927323764068</c:v>
                </c:pt>
                <c:pt idx="1">
                  <c:v>2.2496110156220368</c:v>
                </c:pt>
                <c:pt idx="2">
                  <c:v>3.7528191976540173</c:v>
                </c:pt>
                <c:pt idx="3">
                  <c:v>3.7528191976540173</c:v>
                </c:pt>
                <c:pt idx="4">
                  <c:v>3.7528191976540173</c:v>
                </c:pt>
                <c:pt idx="5">
                  <c:v>3.7528191976540173</c:v>
                </c:pt>
                <c:pt idx="6">
                  <c:v>3.7528191976540173</c:v>
                </c:pt>
                <c:pt idx="7">
                  <c:v>3.7528191976540173</c:v>
                </c:pt>
                <c:pt idx="8">
                  <c:v>3.7528191976540173</c:v>
                </c:pt>
                <c:pt idx="9">
                  <c:v>3.7528191976540173</c:v>
                </c:pt>
                <c:pt idx="10">
                  <c:v>3.7528191976540173</c:v>
                </c:pt>
                <c:pt idx="11">
                  <c:v>3.7528191976540173</c:v>
                </c:pt>
                <c:pt idx="12">
                  <c:v>3.7528191976540173</c:v>
                </c:pt>
                <c:pt idx="13">
                  <c:v>2.3827422166323524</c:v>
                </c:pt>
                <c:pt idx="14">
                  <c:v>1.1441823822095896</c:v>
                </c:pt>
              </c:numCache>
            </c:numRef>
          </c:val>
          <c:extLst>
            <c:ext xmlns:c16="http://schemas.microsoft.com/office/drawing/2014/chart" uri="{C3380CC4-5D6E-409C-BE32-E72D297353CC}">
              <c16:uniqueId val="{00000001-D8FC-416B-A6D2-0259C6EE4A0B}"/>
            </c:ext>
          </c:extLst>
        </c:ser>
        <c:ser>
          <c:idx val="7"/>
          <c:order val="2"/>
          <c:tx>
            <c:strRef>
              <c:f>Rates_Large!$BX$26</c:f>
              <c:strCache>
                <c:ptCount val="1"/>
                <c:pt idx="0">
                  <c:v>LDAC (EE Only)</c:v>
                </c:pt>
              </c:strCache>
            </c:strRef>
          </c:tx>
          <c:spPr>
            <a:solidFill>
              <a:srgbClr val="FFC000"/>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Rates_Large!$BZ$26:$CZ$26</c:f>
              <c:numCache>
                <c:formatCode>_(* #,##0.000_);_(* \(#,##0.000\);_(* "-"??_);_(@_)</c:formatCode>
                <c:ptCount val="15"/>
                <c:pt idx="0">
                  <c:v>14.245258051119242</c:v>
                </c:pt>
                <c:pt idx="1">
                  <c:v>14.926911562058558</c:v>
                </c:pt>
                <c:pt idx="2">
                  <c:v>15.875101082198512</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8FC-416B-A6D2-0259C6EE4A0B}"/>
            </c:ext>
          </c:extLst>
        </c:ser>
        <c:dLbls>
          <c:showLegendKey val="0"/>
          <c:showVal val="1"/>
          <c:showCatName val="0"/>
          <c:showSerName val="0"/>
          <c:showPercent val="0"/>
          <c:showBubbleSize val="0"/>
        </c:dLbls>
        <c:gapWidth val="0"/>
        <c:overlap val="100"/>
        <c:axId val="-830898480"/>
        <c:axId val="-830897936"/>
      </c:barChart>
      <c:lineChart>
        <c:grouping val="standard"/>
        <c:varyColors val="0"/>
        <c:ser>
          <c:idx val="0"/>
          <c:order val="3"/>
          <c:tx>
            <c:strRef>
              <c:f>Rates_Large!$BX$29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27723BF0-201F-42BA-86FD-EBD7451C933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FC-416B-A6D2-0259C6EE4A0B}"/>
                </c:ext>
              </c:extLst>
            </c:dLbl>
            <c:dLbl>
              <c:idx val="1"/>
              <c:tx>
                <c:rich>
                  <a:bodyPr/>
                  <a:lstStyle/>
                  <a:p>
                    <a:fld id="{BFAA68D6-D7D1-4895-9899-B2D591134F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FC-416B-A6D2-0259C6EE4A0B}"/>
                </c:ext>
              </c:extLst>
            </c:dLbl>
            <c:dLbl>
              <c:idx val="2"/>
              <c:tx>
                <c:rich>
                  <a:bodyPr/>
                  <a:lstStyle/>
                  <a:p>
                    <a:fld id="{5B124C8F-12C0-42DE-9F78-BB6430A19F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FC-416B-A6D2-0259C6EE4A0B}"/>
                </c:ext>
              </c:extLst>
            </c:dLbl>
            <c:dLbl>
              <c:idx val="3"/>
              <c:tx>
                <c:rich>
                  <a:bodyPr/>
                  <a:lstStyle/>
                  <a:p>
                    <a:fld id="{E250EDF6-3440-4BAD-B0B1-68CCA026E8B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FC-416B-A6D2-0259C6EE4A0B}"/>
                </c:ext>
              </c:extLst>
            </c:dLbl>
            <c:dLbl>
              <c:idx val="4"/>
              <c:tx>
                <c:rich>
                  <a:bodyPr/>
                  <a:lstStyle/>
                  <a:p>
                    <a:fld id="{45648ABB-F26E-4175-8C2E-B4D1B0C5F8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FC-416B-A6D2-0259C6EE4A0B}"/>
                </c:ext>
              </c:extLst>
            </c:dLbl>
            <c:dLbl>
              <c:idx val="5"/>
              <c:tx>
                <c:rich>
                  <a:bodyPr/>
                  <a:lstStyle/>
                  <a:p>
                    <a:fld id="{E1654B37-1505-4C9C-92D8-558C716BF33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FC-416B-A6D2-0259C6EE4A0B}"/>
                </c:ext>
              </c:extLst>
            </c:dLbl>
            <c:dLbl>
              <c:idx val="6"/>
              <c:tx>
                <c:rich>
                  <a:bodyPr/>
                  <a:lstStyle/>
                  <a:p>
                    <a:fld id="{60C9B22D-EFEE-46D6-B5E7-D9AF1050EE9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FC-416B-A6D2-0259C6EE4A0B}"/>
                </c:ext>
              </c:extLst>
            </c:dLbl>
            <c:dLbl>
              <c:idx val="7"/>
              <c:tx>
                <c:rich>
                  <a:bodyPr/>
                  <a:lstStyle/>
                  <a:p>
                    <a:fld id="{51C03001-B06F-4F21-966D-87427EDF9C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FC-416B-A6D2-0259C6EE4A0B}"/>
                </c:ext>
              </c:extLst>
            </c:dLbl>
            <c:dLbl>
              <c:idx val="8"/>
              <c:tx>
                <c:rich>
                  <a:bodyPr/>
                  <a:lstStyle/>
                  <a:p>
                    <a:fld id="{191DEE83-34AB-47CA-A87F-56C1C50BCD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FC-416B-A6D2-0259C6EE4A0B}"/>
                </c:ext>
              </c:extLst>
            </c:dLbl>
            <c:dLbl>
              <c:idx val="9"/>
              <c:tx>
                <c:rich>
                  <a:bodyPr/>
                  <a:lstStyle/>
                  <a:p>
                    <a:fld id="{7C70F712-834A-4B5B-B4A5-1C917F446B6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FC-416B-A6D2-0259C6EE4A0B}"/>
                </c:ext>
              </c:extLst>
            </c:dLbl>
            <c:dLbl>
              <c:idx val="10"/>
              <c:tx>
                <c:rich>
                  <a:bodyPr/>
                  <a:lstStyle/>
                  <a:p>
                    <a:fld id="{727CB519-0A40-4DEF-884F-DDB363CDEC7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FC-416B-A6D2-0259C6EE4A0B}"/>
                </c:ext>
              </c:extLst>
            </c:dLbl>
            <c:dLbl>
              <c:idx val="11"/>
              <c:tx>
                <c:rich>
                  <a:bodyPr/>
                  <a:lstStyle/>
                  <a:p>
                    <a:fld id="{0F623707-4F4B-400C-9311-20FC75BF94C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FC-416B-A6D2-0259C6EE4A0B}"/>
                </c:ext>
              </c:extLst>
            </c:dLbl>
            <c:dLbl>
              <c:idx val="12"/>
              <c:tx>
                <c:rich>
                  <a:bodyPr/>
                  <a:lstStyle/>
                  <a:p>
                    <a:fld id="{BBCE375C-5F65-4225-B5B2-F54669E155E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FC-416B-A6D2-0259C6EE4A0B}"/>
                </c:ext>
              </c:extLst>
            </c:dLbl>
            <c:dLbl>
              <c:idx val="13"/>
              <c:tx>
                <c:rich>
                  <a:bodyPr/>
                  <a:lstStyle/>
                  <a:p>
                    <a:fld id="{14C4A6AC-AF9D-4ECA-8FF3-F3044A75ED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8FC-416B-A6D2-0259C6EE4A0B}"/>
                </c:ext>
              </c:extLst>
            </c:dLbl>
            <c:dLbl>
              <c:idx val="14"/>
              <c:tx>
                <c:rich>
                  <a:bodyPr/>
                  <a:lstStyle/>
                  <a:p>
                    <a:fld id="{8CE04D2F-8E31-4404-86FB-576EEB08123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8FC-416B-A6D2-0259C6EE4A0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Rates_Large!$BZ$29:$CZ$29</c:f>
              <c:numCache>
                <c:formatCode>_(* #,##0.000_);_(* \(#,##0.000\);_(* "-"??_);_(@_)</c:formatCode>
                <c:ptCount val="15"/>
                <c:pt idx="0">
                  <c:v>14.659211586306986</c:v>
                </c:pt>
                <c:pt idx="1">
                  <c:v>15.862590611772088</c:v>
                </c:pt>
                <c:pt idx="2">
                  <c:v>17.494737738071308</c:v>
                </c:pt>
                <c:pt idx="3">
                  <c:v>1.6196366558727915</c:v>
                </c:pt>
                <c:pt idx="4">
                  <c:v>1.6196366558727915</c:v>
                </c:pt>
                <c:pt idx="5">
                  <c:v>1.6196366558727915</c:v>
                </c:pt>
                <c:pt idx="6">
                  <c:v>1.6196366558727915</c:v>
                </c:pt>
                <c:pt idx="7">
                  <c:v>1.6196366558727915</c:v>
                </c:pt>
                <c:pt idx="8">
                  <c:v>1.6196366558727915</c:v>
                </c:pt>
                <c:pt idx="9">
                  <c:v>1.6196366558727915</c:v>
                </c:pt>
                <c:pt idx="10">
                  <c:v>1.6196366558727915</c:v>
                </c:pt>
                <c:pt idx="11">
                  <c:v>1.6196366558727915</c:v>
                </c:pt>
                <c:pt idx="12">
                  <c:v>1.6196366558727915</c:v>
                </c:pt>
                <c:pt idx="13">
                  <c:v>0.99566470814778096</c:v>
                </c:pt>
                <c:pt idx="14">
                  <c:v>0.46324101729968703</c:v>
                </c:pt>
              </c:numCache>
            </c:numRef>
          </c:val>
          <c:smooth val="0"/>
          <c:extLst>
            <c:ext xmlns:c15="http://schemas.microsoft.com/office/drawing/2012/chart" uri="{02D57815-91ED-43cb-92C2-25804820EDAC}">
              <c15:datalabelsRange>
                <c15:f>Rates_Large!$BZ$31:$CY$31</c15:f>
                <c15:dlblRangeCache>
                  <c:ptCount val="15"/>
                  <c:pt idx="0">
                    <c:v>19%</c:v>
                  </c:pt>
                  <c:pt idx="1">
                    <c:v>20%</c:v>
                  </c:pt>
                  <c:pt idx="2">
                    <c:v>22%</c:v>
                  </c:pt>
                  <c:pt idx="3">
                    <c:v>2%</c:v>
                  </c:pt>
                  <c:pt idx="4">
                    <c:v>2%</c:v>
                  </c:pt>
                  <c:pt idx="5">
                    <c:v>2%</c:v>
                  </c:pt>
                  <c:pt idx="6">
                    <c:v>2%</c:v>
                  </c:pt>
                  <c:pt idx="7">
                    <c:v>2%</c:v>
                  </c:pt>
                  <c:pt idx="8">
                    <c:v>2%</c:v>
                  </c:pt>
                  <c:pt idx="9">
                    <c:v>2%</c:v>
                  </c:pt>
                  <c:pt idx="10">
                    <c:v>2%</c:v>
                  </c:pt>
                  <c:pt idx="11">
                    <c:v>2%</c:v>
                  </c:pt>
                  <c:pt idx="12">
                    <c:v>2%</c:v>
                  </c:pt>
                  <c:pt idx="13">
                    <c:v>1%</c:v>
                  </c:pt>
                  <c:pt idx="14">
                    <c:v>1%</c:v>
                  </c:pt>
                </c15:dlblRangeCache>
              </c15:datalabelsRange>
            </c:ext>
            <c:ext xmlns:c16="http://schemas.microsoft.com/office/drawing/2014/chart" uri="{C3380CC4-5D6E-409C-BE32-E72D297353CC}">
              <c16:uniqueId val="{00000014-D8FC-416B-A6D2-0259C6EE4A0B}"/>
            </c:ext>
          </c:extLst>
        </c:ser>
        <c:dLbls>
          <c:showLegendKey val="0"/>
          <c:showVal val="1"/>
          <c:showCatName val="0"/>
          <c:showSerName val="0"/>
          <c:showPercent val="0"/>
          <c:showBubbleSize val="0"/>
        </c:dLbls>
        <c:marker val="1"/>
        <c:smooth val="0"/>
        <c:axId val="-830898480"/>
        <c:axId val="-830897936"/>
      </c:lineChart>
      <c:catAx>
        <c:axId val="-83089848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7936"/>
        <c:crosses val="autoZero"/>
        <c:auto val="1"/>
        <c:lblAlgn val="ctr"/>
        <c:lblOffset val="100"/>
        <c:noMultiLvlLbl val="0"/>
      </c:catAx>
      <c:valAx>
        <c:axId val="-830897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/Therm</a:t>
                </a:r>
                <a:r>
                  <a:rPr lang="en-US"/>
                  <a:t>)</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8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Rates_Large!$BX$37</c:f>
              <c:strCache>
                <c:ptCount val="1"/>
                <c:pt idx="0">
                  <c:v>Customer</c:v>
                </c:pt>
              </c:strCache>
            </c:strRef>
          </c:tx>
          <c:spPr>
            <a:solidFill>
              <a:schemeClr val="accent1"/>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Rates_Large!$BZ$37:$CZ$37</c:f>
              <c:numCache>
                <c:formatCode>_(* #,##0.000_);_(* \(#,##0.000\);_(* "-"??_);_(@_)</c:formatCode>
                <c:ptCount val="15"/>
                <c:pt idx="0">
                  <c:v>4.271893828439878</c:v>
                </c:pt>
                <c:pt idx="1">
                  <c:v>4.271893828439878</c:v>
                </c:pt>
                <c:pt idx="2">
                  <c:v>4.271893828439878</c:v>
                </c:pt>
                <c:pt idx="3">
                  <c:v>4.271893828439878</c:v>
                </c:pt>
                <c:pt idx="4">
                  <c:v>4.271893828439878</c:v>
                </c:pt>
                <c:pt idx="5">
                  <c:v>4.271893828439878</c:v>
                </c:pt>
                <c:pt idx="6">
                  <c:v>4.271893828439878</c:v>
                </c:pt>
                <c:pt idx="7">
                  <c:v>4.271893828439878</c:v>
                </c:pt>
                <c:pt idx="8">
                  <c:v>4.271893828439878</c:v>
                </c:pt>
                <c:pt idx="9">
                  <c:v>4.271893828439878</c:v>
                </c:pt>
                <c:pt idx="10">
                  <c:v>4.271893828439878</c:v>
                </c:pt>
                <c:pt idx="11">
                  <c:v>4.271893828439878</c:v>
                </c:pt>
                <c:pt idx="12">
                  <c:v>4.271893828439878</c:v>
                </c:pt>
                <c:pt idx="13">
                  <c:v>4.271893828439878</c:v>
                </c:pt>
                <c:pt idx="14">
                  <c:v>4.271893828439878</c:v>
                </c:pt>
              </c:numCache>
            </c:numRef>
          </c:val>
          <c:extLst>
            <c:ext xmlns:c16="http://schemas.microsoft.com/office/drawing/2014/chart" uri="{C3380CC4-5D6E-409C-BE32-E72D297353CC}">
              <c16:uniqueId val="{00000000-EF2E-44CD-A38B-F53574938FA4}"/>
            </c:ext>
          </c:extLst>
        </c:ser>
        <c:ser>
          <c:idx val="1"/>
          <c:order val="1"/>
          <c:tx>
            <c:strRef>
              <c:f>Rates_Large!$BX$38</c:f>
              <c:strCache>
                <c:ptCount val="1"/>
                <c:pt idx="0">
                  <c:v>Distribution</c:v>
                </c:pt>
              </c:strCache>
            </c:strRef>
          </c:tx>
          <c:spPr>
            <a:solidFill>
              <a:schemeClr val="bg1">
                <a:lumMod val="50000"/>
              </a:schemeClr>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Rates_Large!$BZ$38:$CZ$38</c:f>
              <c:numCache>
                <c:formatCode>_(* #,##0.000_);_(* \(#,##0.000\);_(* "-"??_);_(@_)</c:formatCode>
                <c:ptCount val="15"/>
                <c:pt idx="0">
                  <c:v>12.590283722938759</c:v>
                </c:pt>
                <c:pt idx="1">
                  <c:v>13.603586381036278</c:v>
                </c:pt>
                <c:pt idx="2">
                  <c:v>14.980899231142336</c:v>
                </c:pt>
                <c:pt idx="3">
                  <c:v>14.980899231142336</c:v>
                </c:pt>
                <c:pt idx="4">
                  <c:v>14.980899231142336</c:v>
                </c:pt>
                <c:pt idx="5">
                  <c:v>14.980899231142336</c:v>
                </c:pt>
                <c:pt idx="6">
                  <c:v>14.980899231142336</c:v>
                </c:pt>
                <c:pt idx="7">
                  <c:v>14.980899231142336</c:v>
                </c:pt>
                <c:pt idx="8">
                  <c:v>14.980899231142336</c:v>
                </c:pt>
                <c:pt idx="9">
                  <c:v>14.980899231142336</c:v>
                </c:pt>
                <c:pt idx="10">
                  <c:v>14.980899231142336</c:v>
                </c:pt>
                <c:pt idx="11">
                  <c:v>14.980899231142336</c:v>
                </c:pt>
                <c:pt idx="12">
                  <c:v>14.980899231142336</c:v>
                </c:pt>
                <c:pt idx="13">
                  <c:v>13.719874381474288</c:v>
                </c:pt>
                <c:pt idx="14">
                  <c:v>12.682504297971404</c:v>
                </c:pt>
              </c:numCache>
            </c:numRef>
          </c:val>
          <c:extLst>
            <c:ext xmlns:c16="http://schemas.microsoft.com/office/drawing/2014/chart" uri="{C3380CC4-5D6E-409C-BE32-E72D297353CC}">
              <c16:uniqueId val="{00000001-EF2E-44CD-A38B-F53574938FA4}"/>
            </c:ext>
          </c:extLst>
        </c:ser>
        <c:ser>
          <c:idx val="2"/>
          <c:order val="2"/>
          <c:tx>
            <c:strRef>
              <c:f>Rates_Large!$BX$39</c:f>
              <c:strCache>
                <c:ptCount val="1"/>
                <c:pt idx="0">
                  <c:v>LDAC, Non-EE</c:v>
                </c:pt>
              </c:strCache>
            </c:strRef>
          </c:tx>
          <c:spPr>
            <a:solidFill>
              <a:schemeClr val="accent3"/>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Rates_Large!$BZ$39:$CZ$39</c:f>
              <c:numCache>
                <c:formatCode>_(* #,##0.000_);_(* \(#,##0.000\);_(* "-"??_);_(@_)</c:formatCode>
                <c:ptCount val="15"/>
                <c:pt idx="0">
                  <c:v>0.57403752813149922</c:v>
                </c:pt>
                <c:pt idx="1">
                  <c:v>0.64421479882944599</c:v>
                </c:pt>
                <c:pt idx="2">
                  <c:v>0.7395883896570401</c:v>
                </c:pt>
                <c:pt idx="3">
                  <c:v>0.7395883896570401</c:v>
                </c:pt>
                <c:pt idx="4">
                  <c:v>0.7395883896570401</c:v>
                </c:pt>
                <c:pt idx="5">
                  <c:v>0.7395883896570401</c:v>
                </c:pt>
                <c:pt idx="6">
                  <c:v>0.7395883896570401</c:v>
                </c:pt>
                <c:pt idx="7">
                  <c:v>0.7395883896570401</c:v>
                </c:pt>
                <c:pt idx="8">
                  <c:v>0.7395883896570401</c:v>
                </c:pt>
                <c:pt idx="9">
                  <c:v>0.7395883896570401</c:v>
                </c:pt>
                <c:pt idx="10">
                  <c:v>0.7395883896570401</c:v>
                </c:pt>
                <c:pt idx="11">
                  <c:v>0.7395883896570401</c:v>
                </c:pt>
                <c:pt idx="12">
                  <c:v>0.7395883896570401</c:v>
                </c:pt>
                <c:pt idx="13">
                  <c:v>0.6522587188160206</c:v>
                </c:pt>
                <c:pt idx="14">
                  <c:v>0.5804157055105279</c:v>
                </c:pt>
              </c:numCache>
            </c:numRef>
          </c:val>
          <c:extLst>
            <c:ext xmlns:c16="http://schemas.microsoft.com/office/drawing/2014/chart" uri="{C3380CC4-5D6E-409C-BE32-E72D297353CC}">
              <c16:uniqueId val="{00000002-EF2E-44CD-A38B-F53574938FA4}"/>
            </c:ext>
          </c:extLst>
        </c:ser>
        <c:ser>
          <c:idx val="3"/>
          <c:order val="3"/>
          <c:tx>
            <c:strRef>
              <c:f>Rates_Large!$BX$40</c:f>
              <c:strCache>
                <c:ptCount val="1"/>
                <c:pt idx="0">
                  <c:v>Cost of Gas</c:v>
                </c:pt>
              </c:strCache>
            </c:strRef>
          </c:tx>
          <c:spPr>
            <a:solidFill>
              <a:schemeClr val="accent5"/>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Rates_Large!$BZ$40:$CZ$40</c:f>
              <c:numCache>
                <c:formatCode>_(* #,##0.000_);_(* \(#,##0.000\);_(* "-"??_);_(@_)</c:formatCode>
                <c:ptCount val="15"/>
                <c:pt idx="0">
                  <c:v>61.544913840189039</c:v>
                </c:pt>
                <c:pt idx="1">
                  <c:v>61.083476301380792</c:v>
                </c:pt>
                <c:pt idx="2">
                  <c:v>60.45823267961913</c:v>
                </c:pt>
                <c:pt idx="3">
                  <c:v>60.45823267961913</c:v>
                </c:pt>
                <c:pt idx="4">
                  <c:v>60.45823267961913</c:v>
                </c:pt>
                <c:pt idx="5">
                  <c:v>60.45823267961913</c:v>
                </c:pt>
                <c:pt idx="6">
                  <c:v>60.45823267961913</c:v>
                </c:pt>
                <c:pt idx="7">
                  <c:v>60.45823267961913</c:v>
                </c:pt>
                <c:pt idx="8">
                  <c:v>60.45823267961913</c:v>
                </c:pt>
                <c:pt idx="9">
                  <c:v>60.45823267961913</c:v>
                </c:pt>
                <c:pt idx="10">
                  <c:v>60.45823267961913</c:v>
                </c:pt>
                <c:pt idx="11">
                  <c:v>60.45823267961913</c:v>
                </c:pt>
                <c:pt idx="12">
                  <c:v>60.45823267961913</c:v>
                </c:pt>
                <c:pt idx="13">
                  <c:v>61.03194671415055</c:v>
                </c:pt>
                <c:pt idx="14">
                  <c:v>61.504187047300555</c:v>
                </c:pt>
              </c:numCache>
            </c:numRef>
          </c:val>
          <c:extLst>
            <c:ext xmlns:c16="http://schemas.microsoft.com/office/drawing/2014/chart" uri="{C3380CC4-5D6E-409C-BE32-E72D297353CC}">
              <c16:uniqueId val="{00000003-EF2E-44CD-A38B-F53574938FA4}"/>
            </c:ext>
          </c:extLst>
        </c:ser>
        <c:ser>
          <c:idx val="4"/>
          <c:order val="4"/>
          <c:tx>
            <c:strRef>
              <c:f>Rates_Large!$BX$41</c:f>
              <c:strCache>
                <c:ptCount val="1"/>
                <c:pt idx="0">
                  <c:v>LDAC (EE Only)</c:v>
                </c:pt>
              </c:strCache>
            </c:strRef>
          </c:tx>
          <c:spPr>
            <a:solidFill>
              <a:srgbClr val="FFC000"/>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Rates_Large!$BZ$41:$CZ$41</c:f>
              <c:numCache>
                <c:formatCode>_(* #,##0.000_);_(* \(#,##0.000\);_(* "-"??_);_(@_)</c:formatCode>
                <c:ptCount val="15"/>
                <c:pt idx="0">
                  <c:v>17.09430966134309</c:v>
                </c:pt>
                <c:pt idx="1">
                  <c:v>17.912293874470269</c:v>
                </c:pt>
                <c:pt idx="2">
                  <c:v>19.050121298638214</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EF2E-44CD-A38B-F53574938FA4}"/>
            </c:ext>
          </c:extLst>
        </c:ser>
        <c:dLbls>
          <c:showLegendKey val="0"/>
          <c:showVal val="0"/>
          <c:showCatName val="0"/>
          <c:showSerName val="0"/>
          <c:showPercent val="0"/>
          <c:showBubbleSize val="0"/>
        </c:dLbls>
        <c:gapWidth val="0"/>
        <c:overlap val="100"/>
        <c:axId val="-830896848"/>
        <c:axId val="-830891952"/>
      </c:barChart>
      <c:catAx>
        <c:axId val="-8308968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1952"/>
        <c:crosses val="autoZero"/>
        <c:auto val="1"/>
        <c:lblAlgn val="ctr"/>
        <c:lblOffset val="100"/>
        <c:noMultiLvlLbl val="0"/>
      </c:catAx>
      <c:valAx>
        <c:axId val="-8308919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361111111111112"/>
          <c:w val="0.66498826197990513"/>
          <c:h val="0.70957822980460783"/>
        </c:manualLayout>
      </c:layout>
      <c:barChart>
        <c:barDir val="col"/>
        <c:grouping val="stacked"/>
        <c:varyColors val="0"/>
        <c:ser>
          <c:idx val="4"/>
          <c:order val="0"/>
          <c:tx>
            <c:strRef>
              <c:f>Rates_Large!$BX$48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Rates_Large!$BZ$48:$CZ$48</c:f>
              <c:numCache>
                <c:formatCode>_(* #,##0.000_);_(* \(#,##0.000\);_(* "-"??_);_(@_)</c:formatCode>
                <c:ptCount val="15"/>
                <c:pt idx="0">
                  <c:v>-6.9109640684092266</c:v>
                </c:pt>
                <c:pt idx="1">
                  <c:v>-15.886858099659658</c:v>
                </c:pt>
                <c:pt idx="2">
                  <c:v>-28.080700905539473</c:v>
                </c:pt>
                <c:pt idx="3">
                  <c:v>-28.080700905539473</c:v>
                </c:pt>
                <c:pt idx="4">
                  <c:v>-28.080700905539473</c:v>
                </c:pt>
                <c:pt idx="5">
                  <c:v>-28.080700905539473</c:v>
                </c:pt>
                <c:pt idx="6">
                  <c:v>-28.080700905539473</c:v>
                </c:pt>
                <c:pt idx="7">
                  <c:v>-28.080700905539473</c:v>
                </c:pt>
                <c:pt idx="8">
                  <c:v>-28.080700905539473</c:v>
                </c:pt>
                <c:pt idx="9">
                  <c:v>-28.080700905539473</c:v>
                </c:pt>
                <c:pt idx="10">
                  <c:v>-28.080700905539473</c:v>
                </c:pt>
                <c:pt idx="11">
                  <c:v>-28.080700905539473</c:v>
                </c:pt>
                <c:pt idx="12">
                  <c:v>-28.080700905539473</c:v>
                </c:pt>
                <c:pt idx="13">
                  <c:v>-16.912280720096273</c:v>
                </c:pt>
                <c:pt idx="14">
                  <c:v>-7.7237096667410174</c:v>
                </c:pt>
              </c:numCache>
            </c:numRef>
          </c:val>
          <c:extLst>
            <c:ext xmlns:c16="http://schemas.microsoft.com/office/drawing/2014/chart" uri="{C3380CC4-5D6E-409C-BE32-E72D297353CC}">
              <c16:uniqueId val="{00000000-300B-447E-AD3A-1806F75582F0}"/>
            </c:ext>
          </c:extLst>
        </c:ser>
        <c:ser>
          <c:idx val="8"/>
          <c:order val="1"/>
          <c:tx>
            <c:strRef>
              <c:f>Rates_Large!$BX$47</c:f>
              <c:strCache>
                <c:ptCount val="1"/>
                <c:pt idx="0">
                  <c:v>Lost Revenue</c:v>
                </c:pt>
              </c:strCache>
            </c:strRef>
          </c:tx>
          <c:spPr>
            <a:solidFill>
              <a:schemeClr val="accent2"/>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Rates_Large!$BZ$47:$CZ$47</c:f>
              <c:numCache>
                <c:formatCode>_(* #,##0.000_);_(* \(#,##0.000\);_(* "-"??_);_(@_)</c:formatCode>
                <c:ptCount val="15"/>
                <c:pt idx="0">
                  <c:v>1.1851974435824766</c:v>
                </c:pt>
                <c:pt idx="1">
                  <c:v>2.6229865391943123</c:v>
                </c:pt>
                <c:pt idx="2">
                  <c:v>4.4479220925931369</c:v>
                </c:pt>
                <c:pt idx="3">
                  <c:v>4.4479220925931369</c:v>
                </c:pt>
                <c:pt idx="4">
                  <c:v>4.4479220925931369</c:v>
                </c:pt>
                <c:pt idx="5">
                  <c:v>4.4479220925931369</c:v>
                </c:pt>
                <c:pt idx="6">
                  <c:v>4.4479220925931369</c:v>
                </c:pt>
                <c:pt idx="7">
                  <c:v>4.4479220925931369</c:v>
                </c:pt>
                <c:pt idx="8">
                  <c:v>4.4479220925931369</c:v>
                </c:pt>
                <c:pt idx="9">
                  <c:v>4.4479220925931369</c:v>
                </c:pt>
                <c:pt idx="10">
                  <c:v>4.4479220925931369</c:v>
                </c:pt>
                <c:pt idx="11">
                  <c:v>4.4479220925931369</c:v>
                </c:pt>
                <c:pt idx="12">
                  <c:v>4.4479220925931369</c:v>
                </c:pt>
                <c:pt idx="13">
                  <c:v>2.7819835222813727</c:v>
                </c:pt>
                <c:pt idx="14">
                  <c:v>1.3201270012641708</c:v>
                </c:pt>
              </c:numCache>
            </c:numRef>
          </c:val>
          <c:extLst>
            <c:ext xmlns:c16="http://schemas.microsoft.com/office/drawing/2014/chart" uri="{C3380CC4-5D6E-409C-BE32-E72D297353CC}">
              <c16:uniqueId val="{00000001-300B-447E-AD3A-1806F75582F0}"/>
            </c:ext>
          </c:extLst>
        </c:ser>
        <c:ser>
          <c:idx val="7"/>
          <c:order val="2"/>
          <c:tx>
            <c:strRef>
              <c:f>Rates_Large!$BX$46</c:f>
              <c:strCache>
                <c:ptCount val="1"/>
                <c:pt idx="0">
                  <c:v>LDAC (EE Only)</c:v>
                </c:pt>
              </c:strCache>
            </c:strRef>
          </c:tx>
          <c:spPr>
            <a:solidFill>
              <a:srgbClr val="FFC000"/>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Rates_Large!$BZ$46:$CZ$46</c:f>
              <c:numCache>
                <c:formatCode>_(* #,##0.000_);_(* \(#,##0.000\);_(* "-"??_);_(@_)</c:formatCode>
                <c:ptCount val="15"/>
                <c:pt idx="0">
                  <c:v>17.09430966134309</c:v>
                </c:pt>
                <c:pt idx="1">
                  <c:v>17.912293874470269</c:v>
                </c:pt>
                <c:pt idx="2">
                  <c:v>19.050121298638214</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300B-447E-AD3A-1806F75582F0}"/>
            </c:ext>
          </c:extLst>
        </c:ser>
        <c:dLbls>
          <c:showLegendKey val="0"/>
          <c:showVal val="1"/>
          <c:showCatName val="0"/>
          <c:showSerName val="0"/>
          <c:showPercent val="0"/>
          <c:showBubbleSize val="0"/>
        </c:dLbls>
        <c:gapWidth val="0"/>
        <c:overlap val="100"/>
        <c:axId val="-830889776"/>
        <c:axId val="-830888144"/>
      </c:barChart>
      <c:lineChart>
        <c:grouping val="standard"/>
        <c:varyColors val="0"/>
        <c:ser>
          <c:idx val="0"/>
          <c:order val="3"/>
          <c:tx>
            <c:strRef>
              <c:f>Rates_Large!$BX$49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CE4FC1BD-1626-4200-A223-9AE319E1172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00B-447E-AD3A-1806F75582F0}"/>
                </c:ext>
              </c:extLst>
            </c:dLbl>
            <c:dLbl>
              <c:idx val="1"/>
              <c:tx>
                <c:rich>
                  <a:bodyPr/>
                  <a:lstStyle/>
                  <a:p>
                    <a:fld id="{04CD5939-D886-4026-8D53-CD6B7B2A3BE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00B-447E-AD3A-1806F75582F0}"/>
                </c:ext>
              </c:extLst>
            </c:dLbl>
            <c:dLbl>
              <c:idx val="2"/>
              <c:tx>
                <c:rich>
                  <a:bodyPr/>
                  <a:lstStyle/>
                  <a:p>
                    <a:fld id="{BDE4650F-272E-4C1D-A663-73463928945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00B-447E-AD3A-1806F75582F0}"/>
                </c:ext>
              </c:extLst>
            </c:dLbl>
            <c:dLbl>
              <c:idx val="3"/>
              <c:tx>
                <c:rich>
                  <a:bodyPr/>
                  <a:lstStyle/>
                  <a:p>
                    <a:fld id="{550E5AAA-5B74-4149-ACEE-5CE75DB50B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00B-447E-AD3A-1806F75582F0}"/>
                </c:ext>
              </c:extLst>
            </c:dLbl>
            <c:dLbl>
              <c:idx val="4"/>
              <c:tx>
                <c:rich>
                  <a:bodyPr/>
                  <a:lstStyle/>
                  <a:p>
                    <a:fld id="{0EE52977-BD52-4D73-8494-CB9D31F2EE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00B-447E-AD3A-1806F75582F0}"/>
                </c:ext>
              </c:extLst>
            </c:dLbl>
            <c:dLbl>
              <c:idx val="5"/>
              <c:tx>
                <c:rich>
                  <a:bodyPr/>
                  <a:lstStyle/>
                  <a:p>
                    <a:fld id="{AA407388-1014-4A95-9C12-E5BD2EC5DB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00B-447E-AD3A-1806F75582F0}"/>
                </c:ext>
              </c:extLst>
            </c:dLbl>
            <c:dLbl>
              <c:idx val="6"/>
              <c:tx>
                <c:rich>
                  <a:bodyPr/>
                  <a:lstStyle/>
                  <a:p>
                    <a:fld id="{B13F2BA7-288E-49BB-8E75-7B53ACE4FA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00B-447E-AD3A-1806F75582F0}"/>
                </c:ext>
              </c:extLst>
            </c:dLbl>
            <c:dLbl>
              <c:idx val="7"/>
              <c:tx>
                <c:rich>
                  <a:bodyPr/>
                  <a:lstStyle/>
                  <a:p>
                    <a:fld id="{2BE21DD9-D760-49D9-B869-E126AAA1AC2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00B-447E-AD3A-1806F75582F0}"/>
                </c:ext>
              </c:extLst>
            </c:dLbl>
            <c:dLbl>
              <c:idx val="8"/>
              <c:tx>
                <c:rich>
                  <a:bodyPr/>
                  <a:lstStyle/>
                  <a:p>
                    <a:fld id="{D7EE3873-675F-4F52-B0FC-C4A90FE4B5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00B-447E-AD3A-1806F75582F0}"/>
                </c:ext>
              </c:extLst>
            </c:dLbl>
            <c:dLbl>
              <c:idx val="9"/>
              <c:tx>
                <c:rich>
                  <a:bodyPr/>
                  <a:lstStyle/>
                  <a:p>
                    <a:fld id="{D5EBFC53-55FF-424C-AA7A-D04F6A79663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00B-447E-AD3A-1806F75582F0}"/>
                </c:ext>
              </c:extLst>
            </c:dLbl>
            <c:dLbl>
              <c:idx val="10"/>
              <c:tx>
                <c:rich>
                  <a:bodyPr/>
                  <a:lstStyle/>
                  <a:p>
                    <a:fld id="{BB818DE2-D240-41DF-8C9F-BB61AC991CB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00B-447E-AD3A-1806F75582F0}"/>
                </c:ext>
              </c:extLst>
            </c:dLbl>
            <c:dLbl>
              <c:idx val="11"/>
              <c:tx>
                <c:rich>
                  <a:bodyPr/>
                  <a:lstStyle/>
                  <a:p>
                    <a:fld id="{93F888AA-D6BF-466F-9FD5-9ADDDABC26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00B-447E-AD3A-1806F75582F0}"/>
                </c:ext>
              </c:extLst>
            </c:dLbl>
            <c:dLbl>
              <c:idx val="12"/>
              <c:tx>
                <c:rich>
                  <a:bodyPr/>
                  <a:lstStyle/>
                  <a:p>
                    <a:fld id="{C98AD3D2-FD95-4097-8AB7-3EC713FF23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00B-447E-AD3A-1806F75582F0}"/>
                </c:ext>
              </c:extLst>
            </c:dLbl>
            <c:dLbl>
              <c:idx val="13"/>
              <c:tx>
                <c:rich>
                  <a:bodyPr/>
                  <a:lstStyle/>
                  <a:p>
                    <a:fld id="{46A83633-F59F-4148-A11D-88BA64A20C9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00B-447E-AD3A-1806F75582F0}"/>
                </c:ext>
              </c:extLst>
            </c:dLbl>
            <c:dLbl>
              <c:idx val="14"/>
              <c:tx>
                <c:rich>
                  <a:bodyPr/>
                  <a:lstStyle/>
                  <a:p>
                    <a:fld id="{CFDF667C-61E2-4E72-B1CE-8D3A9A6AE7D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00B-447E-AD3A-1806F75582F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Rates_Large!$BZ$49:$CZ$49</c:f>
              <c:numCache>
                <c:formatCode>_(* #,##0.000_);_(* \(#,##0.000\);_(* "-"??_);_(@_)</c:formatCode>
                <c:ptCount val="15"/>
                <c:pt idx="0">
                  <c:v>17.573544752602388</c:v>
                </c:pt>
                <c:pt idx="1">
                  <c:v>19.013571355716795</c:v>
                </c:pt>
                <c:pt idx="2">
                  <c:v>20.998841599056718</c:v>
                </c:pt>
                <c:pt idx="3">
                  <c:v>1.948720300418505</c:v>
                </c:pt>
                <c:pt idx="4">
                  <c:v>1.948720300418505</c:v>
                </c:pt>
                <c:pt idx="5">
                  <c:v>1.948720300418505</c:v>
                </c:pt>
                <c:pt idx="6">
                  <c:v>1.948720300418505</c:v>
                </c:pt>
                <c:pt idx="7">
                  <c:v>1.948720300418505</c:v>
                </c:pt>
                <c:pt idx="8">
                  <c:v>1.948720300418505</c:v>
                </c:pt>
                <c:pt idx="9">
                  <c:v>1.948720300418505</c:v>
                </c:pt>
                <c:pt idx="10">
                  <c:v>1.948720300418505</c:v>
                </c:pt>
                <c:pt idx="11">
                  <c:v>1.948720300418505</c:v>
                </c:pt>
                <c:pt idx="12">
                  <c:v>1.948720300418505</c:v>
                </c:pt>
                <c:pt idx="13">
                  <c:v>1.1740798144408648</c:v>
                </c:pt>
                <c:pt idx="14">
                  <c:v>0.53710705078249266</c:v>
                </c:pt>
              </c:numCache>
            </c:numRef>
          </c:val>
          <c:smooth val="0"/>
          <c:extLst>
            <c:ext xmlns:c15="http://schemas.microsoft.com/office/drawing/2012/chart" uri="{02D57815-91ED-43cb-92C2-25804820EDAC}">
              <c15:datalabelsRange>
                <c15:f>Rates_Large!$BZ$51:$CZ$51</c15:f>
                <c15:dlblRangeCache>
                  <c:ptCount val="15"/>
                  <c:pt idx="0">
                    <c:v>22%</c:v>
                  </c:pt>
                  <c:pt idx="1">
                    <c:v>24%</c:v>
                  </c:pt>
                  <c:pt idx="2">
                    <c:v>27%</c:v>
                  </c:pt>
                  <c:pt idx="3">
                    <c:v>2%</c:v>
                  </c:pt>
                  <c:pt idx="4">
                    <c:v>2%</c:v>
                  </c:pt>
                  <c:pt idx="5">
                    <c:v>2%</c:v>
                  </c:pt>
                  <c:pt idx="6">
                    <c:v>2%</c:v>
                  </c:pt>
                  <c:pt idx="7">
                    <c:v>2%</c:v>
                  </c:pt>
                  <c:pt idx="8">
                    <c:v>2%</c:v>
                  </c:pt>
                  <c:pt idx="9">
                    <c:v>2%</c:v>
                  </c:pt>
                  <c:pt idx="10">
                    <c:v>2%</c:v>
                  </c:pt>
                  <c:pt idx="11">
                    <c:v>2%</c:v>
                  </c:pt>
                  <c:pt idx="12">
                    <c:v>2%</c:v>
                  </c:pt>
                  <c:pt idx="13">
                    <c:v>1%</c:v>
                  </c:pt>
                  <c:pt idx="14">
                    <c:v>1%</c:v>
                  </c:pt>
                </c15:dlblRangeCache>
              </c15:datalabelsRange>
            </c:ext>
            <c:ext xmlns:c16="http://schemas.microsoft.com/office/drawing/2014/chart" uri="{C3380CC4-5D6E-409C-BE32-E72D297353CC}">
              <c16:uniqueId val="{00000014-300B-447E-AD3A-1806F75582F0}"/>
            </c:ext>
          </c:extLst>
        </c:ser>
        <c:dLbls>
          <c:showLegendKey val="0"/>
          <c:showVal val="1"/>
          <c:showCatName val="0"/>
          <c:showSerName val="0"/>
          <c:showPercent val="0"/>
          <c:showBubbleSize val="0"/>
        </c:dLbls>
        <c:marker val="1"/>
        <c:smooth val="0"/>
        <c:axId val="-830889776"/>
        <c:axId val="-830888144"/>
      </c:lineChart>
      <c:catAx>
        <c:axId val="-83088977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8144"/>
        <c:crosses val="autoZero"/>
        <c:auto val="1"/>
        <c:lblAlgn val="ctr"/>
        <c:lblOffset val="100"/>
        <c:noMultiLvlLbl val="0"/>
      </c:catAx>
      <c:valAx>
        <c:axId val="-8308881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9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Rates_Large!$BX$9</c:f>
              <c:strCache>
                <c:ptCount val="1"/>
                <c:pt idx="0">
                  <c:v>Customer</c:v>
                </c:pt>
              </c:strCache>
            </c:strRef>
          </c:tx>
          <c:spPr>
            <a:solidFill>
              <a:schemeClr val="accent1"/>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Rates_Large!$BZ$9:$CZ$9</c:f>
              <c:numCache>
                <c:formatCode>_(* #,##0.000_);_(* \(#,##0.000\);_(* "-"??_);_(@_)</c:formatCode>
                <c:ptCount val="15"/>
                <c:pt idx="0">
                  <c:v>4.271893828439878</c:v>
                </c:pt>
                <c:pt idx="1">
                  <c:v>4.271893828439878</c:v>
                </c:pt>
                <c:pt idx="2">
                  <c:v>4.271893828439878</c:v>
                </c:pt>
                <c:pt idx="3">
                  <c:v>4.271893828439878</c:v>
                </c:pt>
                <c:pt idx="4">
                  <c:v>4.271893828439878</c:v>
                </c:pt>
                <c:pt idx="5">
                  <c:v>4.271893828439878</c:v>
                </c:pt>
                <c:pt idx="6">
                  <c:v>4.271893828439878</c:v>
                </c:pt>
                <c:pt idx="7">
                  <c:v>4.271893828439878</c:v>
                </c:pt>
                <c:pt idx="8">
                  <c:v>4.271893828439878</c:v>
                </c:pt>
                <c:pt idx="9">
                  <c:v>4.271893828439878</c:v>
                </c:pt>
                <c:pt idx="10">
                  <c:v>4.271893828439878</c:v>
                </c:pt>
                <c:pt idx="11">
                  <c:v>4.271893828439878</c:v>
                </c:pt>
                <c:pt idx="12">
                  <c:v>4.271893828439878</c:v>
                </c:pt>
                <c:pt idx="13">
                  <c:v>4.271893828439878</c:v>
                </c:pt>
                <c:pt idx="14">
                  <c:v>4.271893828439878</c:v>
                </c:pt>
              </c:numCache>
            </c:numRef>
          </c:val>
          <c:extLst>
            <c:ext xmlns:c16="http://schemas.microsoft.com/office/drawing/2014/chart" uri="{C3380CC4-5D6E-409C-BE32-E72D297353CC}">
              <c16:uniqueId val="{00000000-1C50-45B7-A08A-D6E984D7B33C}"/>
            </c:ext>
          </c:extLst>
        </c:ser>
        <c:ser>
          <c:idx val="1"/>
          <c:order val="1"/>
          <c:tx>
            <c:strRef>
              <c:f>Rates_Large!$BX$10</c:f>
              <c:strCache>
                <c:ptCount val="1"/>
                <c:pt idx="0">
                  <c:v>Distribution</c:v>
                </c:pt>
              </c:strCache>
            </c:strRef>
          </c:tx>
          <c:spPr>
            <a:solidFill>
              <a:schemeClr val="bg1">
                <a:lumMod val="50000"/>
              </a:schemeClr>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Rates_Large!$BZ$10:$CZ$10</c:f>
              <c:numCache>
                <c:formatCode>_(* #,##0.000_);_(* \(#,##0.000\);_(* "-"??_);_(@_)</c:formatCode>
                <c:ptCount val="15"/>
                <c:pt idx="0">
                  <c:v>11.81</c:v>
                </c:pt>
                <c:pt idx="1">
                  <c:v>11.81</c:v>
                </c:pt>
                <c:pt idx="2">
                  <c:v>11.81</c:v>
                </c:pt>
                <c:pt idx="3">
                  <c:v>11.81</c:v>
                </c:pt>
                <c:pt idx="4">
                  <c:v>11.81</c:v>
                </c:pt>
                <c:pt idx="5">
                  <c:v>11.81</c:v>
                </c:pt>
                <c:pt idx="6">
                  <c:v>11.81</c:v>
                </c:pt>
                <c:pt idx="7">
                  <c:v>11.81</c:v>
                </c:pt>
                <c:pt idx="8">
                  <c:v>11.81</c:v>
                </c:pt>
                <c:pt idx="9">
                  <c:v>11.81</c:v>
                </c:pt>
                <c:pt idx="10">
                  <c:v>11.81</c:v>
                </c:pt>
                <c:pt idx="11">
                  <c:v>11.81</c:v>
                </c:pt>
                <c:pt idx="12">
                  <c:v>11.81</c:v>
                </c:pt>
                <c:pt idx="13">
                  <c:v>11.81</c:v>
                </c:pt>
                <c:pt idx="14">
                  <c:v>11.81</c:v>
                </c:pt>
              </c:numCache>
            </c:numRef>
          </c:val>
          <c:extLst>
            <c:ext xmlns:c16="http://schemas.microsoft.com/office/drawing/2014/chart" uri="{C3380CC4-5D6E-409C-BE32-E72D297353CC}">
              <c16:uniqueId val="{00000001-1C50-45B7-A08A-D6E984D7B33C}"/>
            </c:ext>
          </c:extLst>
        </c:ser>
        <c:ser>
          <c:idx val="2"/>
          <c:order val="2"/>
          <c:tx>
            <c:strRef>
              <c:f>Rates_Large!$BX$11</c:f>
              <c:strCache>
                <c:ptCount val="1"/>
                <c:pt idx="0">
                  <c:v>LDAC, Non-EE</c:v>
                </c:pt>
              </c:strCache>
            </c:strRef>
          </c:tx>
          <c:spPr>
            <a:solidFill>
              <a:schemeClr val="accent3"/>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Rates_Large!$BZ$11:$CZ$11</c:f>
              <c:numCache>
                <c:formatCode>_(* #,##0.000_);_(* \(#,##0.000\);_(* "-"??_);_(@_)</c:formatCode>
                <c:ptCount val="15"/>
                <c:pt idx="0">
                  <c:v>0.52000000000000035</c:v>
                </c:pt>
                <c:pt idx="1">
                  <c:v>0.52000000000000035</c:v>
                </c:pt>
                <c:pt idx="2">
                  <c:v>0.52000000000000035</c:v>
                </c:pt>
                <c:pt idx="3">
                  <c:v>0.52000000000000035</c:v>
                </c:pt>
                <c:pt idx="4">
                  <c:v>0.52000000000000035</c:v>
                </c:pt>
                <c:pt idx="5">
                  <c:v>0.52000000000000035</c:v>
                </c:pt>
                <c:pt idx="6">
                  <c:v>0.52000000000000035</c:v>
                </c:pt>
                <c:pt idx="7">
                  <c:v>0.52000000000000035</c:v>
                </c:pt>
                <c:pt idx="8">
                  <c:v>0.52000000000000035</c:v>
                </c:pt>
                <c:pt idx="9">
                  <c:v>0.52000000000000035</c:v>
                </c:pt>
                <c:pt idx="10">
                  <c:v>0.52000000000000035</c:v>
                </c:pt>
                <c:pt idx="11">
                  <c:v>0.52000000000000035</c:v>
                </c:pt>
                <c:pt idx="12">
                  <c:v>0.52000000000000035</c:v>
                </c:pt>
                <c:pt idx="13">
                  <c:v>0.52000000000000035</c:v>
                </c:pt>
                <c:pt idx="14">
                  <c:v>0.52000000000000035</c:v>
                </c:pt>
              </c:numCache>
            </c:numRef>
          </c:val>
          <c:extLst>
            <c:ext xmlns:c16="http://schemas.microsoft.com/office/drawing/2014/chart" uri="{C3380CC4-5D6E-409C-BE32-E72D297353CC}">
              <c16:uniqueId val="{00000002-1C50-45B7-A08A-D6E984D7B33C}"/>
            </c:ext>
          </c:extLst>
        </c:ser>
        <c:ser>
          <c:idx val="3"/>
          <c:order val="3"/>
          <c:tx>
            <c:strRef>
              <c:f>Rates_Large!$BX$12</c:f>
              <c:strCache>
                <c:ptCount val="1"/>
                <c:pt idx="0">
                  <c:v>Cost of Gas</c:v>
                </c:pt>
              </c:strCache>
            </c:strRef>
          </c:tx>
          <c:spPr>
            <a:solidFill>
              <a:schemeClr val="accent5"/>
            </a:solidFill>
            <a:ln>
              <a:solidFill>
                <a:schemeClr val="bg1"/>
              </a:solid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Rates_Large!$BZ$12:$CZ$12</c:f>
              <c:numCache>
                <c:formatCode>_(* #,##0.000_);_(* \(#,##0.000\);_(* "-"??_);_(@_)</c:formatCode>
                <c:ptCount val="15"/>
                <c:pt idx="0">
                  <c:v>61.9</c:v>
                </c:pt>
                <c:pt idx="1">
                  <c:v>61.9</c:v>
                </c:pt>
                <c:pt idx="2">
                  <c:v>61.9</c:v>
                </c:pt>
                <c:pt idx="3">
                  <c:v>61.9</c:v>
                </c:pt>
                <c:pt idx="4">
                  <c:v>61.9</c:v>
                </c:pt>
                <c:pt idx="5">
                  <c:v>61.9</c:v>
                </c:pt>
                <c:pt idx="6">
                  <c:v>61.9</c:v>
                </c:pt>
                <c:pt idx="7">
                  <c:v>61.9</c:v>
                </c:pt>
                <c:pt idx="8">
                  <c:v>61.9</c:v>
                </c:pt>
                <c:pt idx="9">
                  <c:v>61.9</c:v>
                </c:pt>
                <c:pt idx="10">
                  <c:v>61.9</c:v>
                </c:pt>
                <c:pt idx="11">
                  <c:v>61.9</c:v>
                </c:pt>
                <c:pt idx="12">
                  <c:v>61.9</c:v>
                </c:pt>
                <c:pt idx="13">
                  <c:v>61.9</c:v>
                </c:pt>
                <c:pt idx="14">
                  <c:v>61.9</c:v>
                </c:pt>
              </c:numCache>
            </c:numRef>
          </c:val>
          <c:extLst>
            <c:ext xmlns:c16="http://schemas.microsoft.com/office/drawing/2014/chart" uri="{C3380CC4-5D6E-409C-BE32-E72D297353CC}">
              <c16:uniqueId val="{00000003-1C50-45B7-A08A-D6E984D7B33C}"/>
            </c:ext>
          </c:extLst>
        </c:ser>
        <c:ser>
          <c:idx val="4"/>
          <c:order val="4"/>
          <c:tx>
            <c:strRef>
              <c:f>Rates_Large!$BX$13</c:f>
              <c:strCache>
                <c:ptCount val="1"/>
                <c:pt idx="0">
                  <c:v>LDAC (EE Only)</c:v>
                </c:pt>
              </c:strCache>
            </c:strRef>
          </c:tx>
          <c:spPr>
            <a:solidFill>
              <a:schemeClr val="accent5"/>
            </a:solidFill>
            <a:ln>
              <a:noFill/>
            </a:ln>
            <a:effectLst/>
          </c:spPr>
          <c:invertIfNegative val="0"/>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Rates_Large!$BZ$13:$CZ$13</c:f>
              <c:numCache>
                <c:formatCode>_(* #,##0.000_);_(* \(#,##0.000\);_(*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1C50-45B7-A08A-D6E984D7B33C}"/>
            </c:ext>
          </c:extLst>
        </c:ser>
        <c:dLbls>
          <c:showLegendKey val="0"/>
          <c:showVal val="0"/>
          <c:showCatName val="0"/>
          <c:showSerName val="0"/>
          <c:showPercent val="0"/>
          <c:showBubbleSize val="0"/>
        </c:dLbls>
        <c:gapWidth val="0"/>
        <c:overlap val="100"/>
        <c:axId val="-830887600"/>
        <c:axId val="-830887056"/>
      </c:barChart>
      <c:catAx>
        <c:axId val="-8308876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056"/>
        <c:crosses val="autoZero"/>
        <c:auto val="1"/>
        <c:lblAlgn val="ctr"/>
        <c:lblOffset val="100"/>
        <c:noMultiLvlLbl val="0"/>
      </c:catAx>
      <c:valAx>
        <c:axId val="-8308870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836403605059474"/>
          <c:w val="0.66498826197990513"/>
          <c:h val="0.70482543632243899"/>
        </c:manualLayout>
      </c:layout>
      <c:barChart>
        <c:barDir val="col"/>
        <c:grouping val="stacked"/>
        <c:varyColors val="0"/>
        <c:ser>
          <c:idx val="4"/>
          <c:order val="0"/>
          <c:tx>
            <c:strRef>
              <c:f>Rates_Large!$BX$62</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Rates_Large!$BZ$62:$CZ$62</c:f>
              <c:numCache>
                <c:formatCode>_(* #,##0.000_);_(* \(#,##0.000\);_(* "-"??_);_(@_)</c:formatCode>
                <c:ptCount val="15"/>
                <c:pt idx="0">
                  <c:v>-0.55531138868118024</c:v>
                </c:pt>
                <c:pt idx="1">
                  <c:v>-1.5158824679426388</c:v>
                </c:pt>
                <c:pt idx="2">
                  <c:v>-3.2324639057434617</c:v>
                </c:pt>
                <c:pt idx="3">
                  <c:v>-3.2324639057434617</c:v>
                </c:pt>
                <c:pt idx="4">
                  <c:v>-3.2324639057434617</c:v>
                </c:pt>
                <c:pt idx="5">
                  <c:v>-3.2324639057434617</c:v>
                </c:pt>
                <c:pt idx="6">
                  <c:v>-3.2324639057434617</c:v>
                </c:pt>
                <c:pt idx="7">
                  <c:v>-3.2324639057434617</c:v>
                </c:pt>
                <c:pt idx="8">
                  <c:v>-3.2324639057434617</c:v>
                </c:pt>
                <c:pt idx="9">
                  <c:v>-3.2324639057434617</c:v>
                </c:pt>
                <c:pt idx="10">
                  <c:v>-3.2324639057434617</c:v>
                </c:pt>
                <c:pt idx="11">
                  <c:v>-3.2324639057434617</c:v>
                </c:pt>
                <c:pt idx="12">
                  <c:v>-3.2324639057434617</c:v>
                </c:pt>
                <c:pt idx="13">
                  <c:v>-1.6423280795938027</c:v>
                </c:pt>
                <c:pt idx="14">
                  <c:v>-0.63129128771883991</c:v>
                </c:pt>
              </c:numCache>
            </c:numRef>
          </c:val>
          <c:extLst>
            <c:ext xmlns:c16="http://schemas.microsoft.com/office/drawing/2014/chart" uri="{C3380CC4-5D6E-409C-BE32-E72D297353CC}">
              <c16:uniqueId val="{00000000-4F8D-470A-8F2C-C863BB4BED83}"/>
            </c:ext>
          </c:extLst>
        </c:ser>
        <c:ser>
          <c:idx val="8"/>
          <c:order val="1"/>
          <c:tx>
            <c:strRef>
              <c:f>Rates_Large!$BX$61</c:f>
              <c:strCache>
                <c:ptCount val="1"/>
                <c:pt idx="0">
                  <c:v>Lost Revenue</c:v>
                </c:pt>
              </c:strCache>
            </c:strRef>
          </c:tx>
          <c:spPr>
            <a:solidFill>
              <a:schemeClr val="accent2"/>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Rates_Large!$BZ$61:$CZ$61</c:f>
              <c:numCache>
                <c:formatCode>_(* #,##0.000_);_(* \(#,##0.000\);_(* "-"??_);_(@_)</c:formatCode>
                <c:ptCount val="15"/>
                <c:pt idx="0">
                  <c:v>0.15690471120606975</c:v>
                </c:pt>
                <c:pt idx="1">
                  <c:v>0.37337552357227555</c:v>
                </c:pt>
                <c:pt idx="2">
                  <c:v>0.69510289493911959</c:v>
                </c:pt>
                <c:pt idx="3">
                  <c:v>0.69510289493911959</c:v>
                </c:pt>
                <c:pt idx="4">
                  <c:v>0.69510289493911959</c:v>
                </c:pt>
                <c:pt idx="5">
                  <c:v>0.69510289493911959</c:v>
                </c:pt>
                <c:pt idx="6">
                  <c:v>0.69510289493911959</c:v>
                </c:pt>
                <c:pt idx="7">
                  <c:v>0.69510289493911959</c:v>
                </c:pt>
                <c:pt idx="8">
                  <c:v>0.69510289493911959</c:v>
                </c:pt>
                <c:pt idx="9">
                  <c:v>0.69510289493911959</c:v>
                </c:pt>
                <c:pt idx="10">
                  <c:v>0.69510289493911959</c:v>
                </c:pt>
                <c:pt idx="11">
                  <c:v>0.69510289493911959</c:v>
                </c:pt>
                <c:pt idx="12">
                  <c:v>0.69510289493911959</c:v>
                </c:pt>
                <c:pt idx="13">
                  <c:v>0.39924130564902027</c:v>
                </c:pt>
                <c:pt idx="14">
                  <c:v>0.17594461905458125</c:v>
                </c:pt>
              </c:numCache>
            </c:numRef>
          </c:val>
          <c:extLst>
            <c:ext xmlns:c16="http://schemas.microsoft.com/office/drawing/2014/chart" uri="{C3380CC4-5D6E-409C-BE32-E72D297353CC}">
              <c16:uniqueId val="{00000001-4F8D-470A-8F2C-C863BB4BED83}"/>
            </c:ext>
          </c:extLst>
        </c:ser>
        <c:ser>
          <c:idx val="7"/>
          <c:order val="2"/>
          <c:tx>
            <c:strRef>
              <c:f>Rates_Large!$BX$60</c:f>
              <c:strCache>
                <c:ptCount val="1"/>
                <c:pt idx="0">
                  <c:v>LDAC (EE Only)</c:v>
                </c:pt>
              </c:strCache>
            </c:strRef>
          </c:tx>
          <c:spPr>
            <a:solidFill>
              <a:srgbClr val="FFC000"/>
            </a:solidFill>
            <a:ln>
              <a:solidFill>
                <a:schemeClr val="bg1"/>
              </a:solidFill>
            </a:ln>
            <a:effectLst/>
          </c:spPr>
          <c:invertIfNegative val="0"/>
          <c:dLbls>
            <c:delete val="1"/>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Rates_Large!$BZ$60:$CZ$60</c:f>
              <c:numCache>
                <c:formatCode>_(* #,##0.000_);_(* \(#,##0.000\);_(* "-"??_);_(@_)</c:formatCode>
                <c:ptCount val="15"/>
                <c:pt idx="0">
                  <c:v>2.8490516102238477</c:v>
                </c:pt>
                <c:pt idx="1">
                  <c:v>2.9853823124117103</c:v>
                </c:pt>
                <c:pt idx="2">
                  <c:v>3.1750202164397017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F8D-470A-8F2C-C863BB4BED83}"/>
            </c:ext>
          </c:extLst>
        </c:ser>
        <c:dLbls>
          <c:showLegendKey val="0"/>
          <c:showVal val="1"/>
          <c:showCatName val="0"/>
          <c:showSerName val="0"/>
          <c:showPercent val="0"/>
          <c:showBubbleSize val="0"/>
        </c:dLbls>
        <c:gapWidth val="0"/>
        <c:overlap val="100"/>
        <c:axId val="-971650032"/>
        <c:axId val="-697819344"/>
      </c:barChart>
      <c:lineChart>
        <c:grouping val="standard"/>
        <c:varyColors val="0"/>
        <c:ser>
          <c:idx val="0"/>
          <c:order val="3"/>
          <c:tx>
            <c:strRef>
              <c:f>Rates_Large!$BX$63</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3D202C6F-5258-4926-AFB1-6379C50DAF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F8D-470A-8F2C-C863BB4BED83}"/>
                </c:ext>
              </c:extLst>
            </c:dLbl>
            <c:dLbl>
              <c:idx val="1"/>
              <c:tx>
                <c:rich>
                  <a:bodyPr/>
                  <a:lstStyle/>
                  <a:p>
                    <a:fld id="{5706CCBF-9057-4C9B-B187-902576F3F94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F8D-470A-8F2C-C863BB4BED83}"/>
                </c:ext>
              </c:extLst>
            </c:dLbl>
            <c:dLbl>
              <c:idx val="2"/>
              <c:tx>
                <c:rich>
                  <a:bodyPr/>
                  <a:lstStyle/>
                  <a:p>
                    <a:fld id="{135145BE-46E0-4116-9AC9-57B494752A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F8D-470A-8F2C-C863BB4BED83}"/>
                </c:ext>
              </c:extLst>
            </c:dLbl>
            <c:dLbl>
              <c:idx val="3"/>
              <c:tx>
                <c:rich>
                  <a:bodyPr/>
                  <a:lstStyle/>
                  <a:p>
                    <a:fld id="{BB2677CE-E6DF-45DD-8333-83C5702A25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F8D-470A-8F2C-C863BB4BED83}"/>
                </c:ext>
              </c:extLst>
            </c:dLbl>
            <c:dLbl>
              <c:idx val="4"/>
              <c:tx>
                <c:rich>
                  <a:bodyPr/>
                  <a:lstStyle/>
                  <a:p>
                    <a:fld id="{41E9FB70-FA0D-4796-82EA-5D56EE12F5F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F8D-470A-8F2C-C863BB4BED83}"/>
                </c:ext>
              </c:extLst>
            </c:dLbl>
            <c:dLbl>
              <c:idx val="5"/>
              <c:tx>
                <c:rich>
                  <a:bodyPr/>
                  <a:lstStyle/>
                  <a:p>
                    <a:fld id="{CD9B80A5-B160-44F4-B55F-15BC4814C10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F8D-470A-8F2C-C863BB4BED83}"/>
                </c:ext>
              </c:extLst>
            </c:dLbl>
            <c:dLbl>
              <c:idx val="6"/>
              <c:tx>
                <c:rich>
                  <a:bodyPr/>
                  <a:lstStyle/>
                  <a:p>
                    <a:fld id="{945242C2-8E74-4BB8-8AA8-633D30E14F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F8D-470A-8F2C-C863BB4BED83}"/>
                </c:ext>
              </c:extLst>
            </c:dLbl>
            <c:dLbl>
              <c:idx val="7"/>
              <c:tx>
                <c:rich>
                  <a:bodyPr/>
                  <a:lstStyle/>
                  <a:p>
                    <a:fld id="{F6F95641-16F2-4EC8-BDA0-BA880CA00EC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F8D-470A-8F2C-C863BB4BED83}"/>
                </c:ext>
              </c:extLst>
            </c:dLbl>
            <c:dLbl>
              <c:idx val="8"/>
              <c:tx>
                <c:rich>
                  <a:bodyPr/>
                  <a:lstStyle/>
                  <a:p>
                    <a:fld id="{50CEC261-2288-44EB-8646-F24CC19B57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F8D-470A-8F2C-C863BB4BED83}"/>
                </c:ext>
              </c:extLst>
            </c:dLbl>
            <c:dLbl>
              <c:idx val="9"/>
              <c:tx>
                <c:rich>
                  <a:bodyPr/>
                  <a:lstStyle/>
                  <a:p>
                    <a:fld id="{DFC7CA01-7BFA-4F62-8EA8-B03EB1838B1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F8D-470A-8F2C-C863BB4BED83}"/>
                </c:ext>
              </c:extLst>
            </c:dLbl>
            <c:dLbl>
              <c:idx val="10"/>
              <c:tx>
                <c:rich>
                  <a:bodyPr/>
                  <a:lstStyle/>
                  <a:p>
                    <a:fld id="{0B254C13-5FD5-422E-AFD3-86AE0196811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F8D-470A-8F2C-C863BB4BED83}"/>
                </c:ext>
              </c:extLst>
            </c:dLbl>
            <c:dLbl>
              <c:idx val="11"/>
              <c:tx>
                <c:rich>
                  <a:bodyPr/>
                  <a:lstStyle/>
                  <a:p>
                    <a:fld id="{E2C8B31A-9C86-4483-8B58-6B1F2F8FF7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F8D-470A-8F2C-C863BB4BED83}"/>
                </c:ext>
              </c:extLst>
            </c:dLbl>
            <c:dLbl>
              <c:idx val="12"/>
              <c:tx>
                <c:rich>
                  <a:bodyPr/>
                  <a:lstStyle/>
                  <a:p>
                    <a:fld id="{F1DA3D36-16DE-4A51-B938-8B283EB118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F8D-470A-8F2C-C863BB4BED83}"/>
                </c:ext>
              </c:extLst>
            </c:dLbl>
            <c:dLbl>
              <c:idx val="13"/>
              <c:tx>
                <c:rich>
                  <a:bodyPr/>
                  <a:lstStyle/>
                  <a:p>
                    <a:fld id="{9E68A4C7-0473-467F-ACE3-677FF122CF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F8D-470A-8F2C-C863BB4BED83}"/>
                </c:ext>
              </c:extLst>
            </c:dLbl>
            <c:dLbl>
              <c:idx val="14"/>
              <c:tx>
                <c:rich>
                  <a:bodyPr/>
                  <a:lstStyle/>
                  <a:p>
                    <a:fld id="{63ECC07A-6D99-43B0-B837-3BF97CBD77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F8D-470A-8F2C-C863BB4BED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Rates_Large!$BZ$6:$CZ$6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Rates_Large!$BZ$63:$CZ$63</c:f>
              <c:numCache>
                <c:formatCode>_(* #,##0.000_);_(* \(#,##0.000\);_(* "-"??_);_(@_)</c:formatCode>
                <c:ptCount val="15"/>
                <c:pt idx="0">
                  <c:v>2.9143331662954015</c:v>
                </c:pt>
                <c:pt idx="1">
                  <c:v>3.1509807439447073</c:v>
                </c:pt>
                <c:pt idx="2">
                  <c:v>3.5041038609854098</c:v>
                </c:pt>
                <c:pt idx="3">
                  <c:v>0.32908364454571348</c:v>
                </c:pt>
                <c:pt idx="4">
                  <c:v>0.32908364454571348</c:v>
                </c:pt>
                <c:pt idx="5">
                  <c:v>0.32908364454571348</c:v>
                </c:pt>
                <c:pt idx="6">
                  <c:v>0.32908364454571348</c:v>
                </c:pt>
                <c:pt idx="7">
                  <c:v>0.32908364454571348</c:v>
                </c:pt>
                <c:pt idx="8">
                  <c:v>0.32908364454571348</c:v>
                </c:pt>
                <c:pt idx="9">
                  <c:v>0.32908364454571348</c:v>
                </c:pt>
                <c:pt idx="10">
                  <c:v>0.32908364454571348</c:v>
                </c:pt>
                <c:pt idx="11">
                  <c:v>0.32908364454571348</c:v>
                </c:pt>
                <c:pt idx="12">
                  <c:v>0.32908364454571348</c:v>
                </c:pt>
                <c:pt idx="13">
                  <c:v>0.17841510629308388</c:v>
                </c:pt>
                <c:pt idx="14">
                  <c:v>7.3866033482805626E-2</c:v>
                </c:pt>
              </c:numCache>
            </c:numRef>
          </c:val>
          <c:smooth val="0"/>
          <c:extLst>
            <c:ext xmlns:c15="http://schemas.microsoft.com/office/drawing/2012/chart" uri="{02D57815-91ED-43cb-92C2-25804820EDAC}">
              <c15:datalabelsRange>
                <c15:f>Rates_Large!$BZ$65:$CZ$65</c15:f>
                <c15:dlblRangeCache>
                  <c:ptCount val="15"/>
                  <c:pt idx="0">
                    <c:v>3%</c:v>
                  </c:pt>
                  <c:pt idx="1">
                    <c:v>3%</c:v>
                  </c:pt>
                  <c:pt idx="2">
                    <c:v>4%</c:v>
                  </c:pt>
                  <c:pt idx="3">
                    <c:v>0%</c:v>
                  </c:pt>
                  <c:pt idx="4">
                    <c:v>0%</c:v>
                  </c:pt>
                  <c:pt idx="5">
                    <c:v>0%</c:v>
                  </c:pt>
                  <c:pt idx="6">
                    <c:v>0%</c:v>
                  </c:pt>
                  <c:pt idx="7">
                    <c:v>0%</c:v>
                  </c:pt>
                  <c:pt idx="8">
                    <c:v>0%</c:v>
                  </c:pt>
                  <c:pt idx="9">
                    <c:v>0%</c:v>
                  </c:pt>
                  <c:pt idx="10">
                    <c:v>0%</c:v>
                  </c:pt>
                  <c:pt idx="11">
                    <c:v>0%</c:v>
                  </c:pt>
                  <c:pt idx="12">
                    <c:v>0%</c:v>
                  </c:pt>
                  <c:pt idx="13">
                    <c:v>0%</c:v>
                  </c:pt>
                  <c:pt idx="14">
                    <c:v>0%</c:v>
                  </c:pt>
                </c15:dlblRangeCache>
              </c15:datalabelsRange>
            </c:ext>
            <c:ext xmlns:c16="http://schemas.microsoft.com/office/drawing/2014/chart" uri="{C3380CC4-5D6E-409C-BE32-E72D297353CC}">
              <c16:uniqueId val="{00000014-4F8D-470A-8F2C-C863BB4BED83}"/>
            </c:ext>
          </c:extLst>
        </c:ser>
        <c:dLbls>
          <c:showLegendKey val="0"/>
          <c:showVal val="1"/>
          <c:showCatName val="0"/>
          <c:showSerName val="0"/>
          <c:showPercent val="0"/>
          <c:showBubbleSize val="0"/>
        </c:dLbls>
        <c:marker val="1"/>
        <c:smooth val="0"/>
        <c:axId val="-971650032"/>
        <c:axId val="-697819344"/>
      </c:lineChart>
      <c:catAx>
        <c:axId val="-97165003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7819344"/>
        <c:crosses val="autoZero"/>
        <c:auto val="1"/>
        <c:lblAlgn val="ctr"/>
        <c:lblOffset val="100"/>
        <c:noMultiLvlLbl val="0"/>
      </c:catAx>
      <c:valAx>
        <c:axId val="-6978193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7165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Bills_Res!$DJ$5</c:f>
              <c:strCache>
                <c:ptCount val="1"/>
                <c:pt idx="0">
                  <c:v>2021-2023</c:v>
                </c:pt>
              </c:strCache>
            </c:strRef>
          </c:tx>
          <c:spPr>
            <a:solidFill>
              <a:schemeClr val="accent1">
                <a:lumMod val="75000"/>
              </a:schemeClr>
            </a:solidFill>
            <a:ln>
              <a:solidFill>
                <a:schemeClr val="bg1"/>
              </a:solidFill>
            </a:ln>
            <a:effectLst/>
          </c:spPr>
          <c:invertIfNegative val="0"/>
          <c:dLbls>
            <c:dLbl>
              <c:idx val="0"/>
              <c:tx>
                <c:rich>
                  <a:bodyPr/>
                  <a:lstStyle/>
                  <a:p>
                    <a:fld id="{C417FDD6-8C43-4AC6-9D62-37CE34E73B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CAC-41F5-89B4-293AB96191E8}"/>
                </c:ext>
              </c:extLst>
            </c:dLbl>
            <c:dLbl>
              <c:idx val="1"/>
              <c:tx>
                <c:rich>
                  <a:bodyPr/>
                  <a:lstStyle/>
                  <a:p>
                    <a:fld id="{A3B77A8F-99FB-4720-B18C-EDEEBF3AEB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CAC-41F5-89B4-293AB96191E8}"/>
                </c:ext>
              </c:extLst>
            </c:dLbl>
            <c:dLbl>
              <c:idx val="2"/>
              <c:tx>
                <c:rich>
                  <a:bodyPr/>
                  <a:lstStyle/>
                  <a:p>
                    <a:fld id="{D13C83B0-393A-454D-86DA-E601BEE9D3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AC-41F5-89B4-293AB96191E8}"/>
                </c:ext>
              </c:extLst>
            </c:dLbl>
            <c:dLbl>
              <c:idx val="3"/>
              <c:tx>
                <c:rich>
                  <a:bodyPr/>
                  <a:lstStyle/>
                  <a:p>
                    <a:fld id="{4ED220AC-A05E-44D9-98FA-FE2059A3DB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AC-41F5-89B4-293AB96191E8}"/>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Bills_Res!$DE$13:$DE$16</c:f>
              <c:strCache>
                <c:ptCount val="4"/>
                <c:pt idx="0">
                  <c:v>Non-Participant</c:v>
                </c:pt>
                <c:pt idx="1">
                  <c:v>Average Customer</c:v>
                </c:pt>
                <c:pt idx="2">
                  <c:v>Low Savings Partcipant</c:v>
                </c:pt>
                <c:pt idx="3">
                  <c:v>High Savings Partcipant</c:v>
                </c:pt>
              </c:strCache>
            </c:strRef>
          </c:cat>
          <c:val>
            <c:numRef>
              <c:f>Bills_Res!$DJ$13:$DJ$16</c:f>
              <c:numCache>
                <c:formatCode>"$"#,##0.00</c:formatCode>
                <c:ptCount val="4"/>
                <c:pt idx="0">
                  <c:v>9.1976328449342155</c:v>
                </c:pt>
                <c:pt idx="1">
                  <c:v>-1.6552759838273285</c:v>
                </c:pt>
                <c:pt idx="2">
                  <c:v>4.584967026387738</c:v>
                </c:pt>
                <c:pt idx="3">
                  <c:v>-23.091027884891044</c:v>
                </c:pt>
              </c:numCache>
            </c:numRef>
          </c:val>
          <c:extLst>
            <c:ext xmlns:c15="http://schemas.microsoft.com/office/drawing/2012/chart" uri="{02D57815-91ED-43cb-92C2-25804820EDAC}">
              <c15:datalabelsRange>
                <c15:f>Bills_Res!$DJ$18:$DJ$21</c15:f>
                <c15:dlblRangeCache>
                  <c:ptCount val="4"/>
                  <c:pt idx="0">
                    <c:v>1.0%</c:v>
                  </c:pt>
                  <c:pt idx="1">
                    <c:v>-0.2%</c:v>
                  </c:pt>
                  <c:pt idx="2">
                    <c:v>0.5%</c:v>
                  </c:pt>
                  <c:pt idx="3">
                    <c:v>-2.5%</c:v>
                  </c:pt>
                </c15:dlblRangeCache>
              </c15:datalabelsRange>
            </c:ext>
            <c:ext xmlns:c16="http://schemas.microsoft.com/office/drawing/2014/chart" uri="{C3380CC4-5D6E-409C-BE32-E72D297353CC}">
              <c16:uniqueId val="{00000004-59C2-41DF-9A2C-DA5D35912782}"/>
            </c:ext>
          </c:extLst>
        </c:ser>
        <c:dLbls>
          <c:dLblPos val="outEnd"/>
          <c:showLegendKey val="0"/>
          <c:showVal val="1"/>
          <c:showCatName val="0"/>
          <c:showSerName val="0"/>
          <c:showPercent val="0"/>
          <c:showBubbleSize val="0"/>
        </c:dLbls>
        <c:gapWidth val="50"/>
        <c:axId val="-694142912"/>
        <c:axId val="-694138560"/>
      </c:barChart>
      <c:catAx>
        <c:axId val="-69414291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38560"/>
        <c:crosses val="autoZero"/>
        <c:auto val="1"/>
        <c:lblAlgn val="ctr"/>
        <c:lblOffset val="100"/>
        <c:noMultiLvlLbl val="0"/>
      </c:catAx>
      <c:valAx>
        <c:axId val="-69413856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Bills_Res!$DG$5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AD3CAA1E-FA6E-442A-90D7-5F3FEABB97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843-42DF-B10B-9B23B20AD8EA}"/>
                </c:ext>
              </c:extLst>
            </c:dLbl>
            <c:dLbl>
              <c:idx val="1"/>
              <c:tx>
                <c:rich>
                  <a:bodyPr/>
                  <a:lstStyle/>
                  <a:p>
                    <a:fld id="{9FE81C85-0C85-4A56-8518-73A0A3F209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843-42DF-B10B-9B23B20AD8EA}"/>
                </c:ext>
              </c:extLst>
            </c:dLbl>
            <c:dLbl>
              <c:idx val="2"/>
              <c:tx>
                <c:rich>
                  <a:bodyPr/>
                  <a:lstStyle/>
                  <a:p>
                    <a:fld id="{817CA7EE-049C-450B-966C-5DA3B879C3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43-42DF-B10B-9B23B20AD8EA}"/>
                </c:ext>
              </c:extLst>
            </c:dLbl>
            <c:dLbl>
              <c:idx val="3"/>
              <c:tx>
                <c:rich>
                  <a:bodyPr/>
                  <a:lstStyle/>
                  <a:p>
                    <a:fld id="{369F5613-934B-4A15-B72D-90C0DC2A2E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43-42DF-B10B-9B23B20AD8E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Bills_Res!$DE$13:$DE$16</c:f>
              <c:strCache>
                <c:ptCount val="4"/>
                <c:pt idx="0">
                  <c:v>Non-Participant</c:v>
                </c:pt>
                <c:pt idx="1">
                  <c:v>Average Customer</c:v>
                </c:pt>
                <c:pt idx="2">
                  <c:v>Low Savings Partcipant</c:v>
                </c:pt>
                <c:pt idx="3">
                  <c:v>High Savings Partcipant</c:v>
                </c:pt>
              </c:strCache>
            </c:strRef>
          </c:cat>
          <c:val>
            <c:numRef>
              <c:f>Bills_Res!$DG$13:$DG$16</c:f>
              <c:numCache>
                <c:formatCode>"$"#,##0.00</c:formatCode>
                <c:ptCount val="4"/>
                <c:pt idx="0">
                  <c:v>3.2177315135524562</c:v>
                </c:pt>
                <c:pt idx="1">
                  <c:v>-0.59900676707088951</c:v>
                </c:pt>
                <c:pt idx="2">
                  <c:v>-1.6350346891809564</c:v>
                </c:pt>
                <c:pt idx="3">
                  <c:v>-30.751631905581792</c:v>
                </c:pt>
              </c:numCache>
            </c:numRef>
          </c:val>
          <c:extLst>
            <c:ext xmlns:c15="http://schemas.microsoft.com/office/drawing/2012/chart" uri="{02D57815-91ED-43cb-92C2-25804820EDAC}">
              <c15:datalabelsRange>
                <c15:f>Bills_Res!$DG$18:$DG$21</c15:f>
                <c15:dlblRangeCache>
                  <c:ptCount val="4"/>
                  <c:pt idx="0">
                    <c:v>0.3%</c:v>
                  </c:pt>
                  <c:pt idx="1">
                    <c:v>-0.1%</c:v>
                  </c:pt>
                  <c:pt idx="2">
                    <c:v>-0.2%</c:v>
                  </c:pt>
                  <c:pt idx="3">
                    <c:v>-3.3%</c:v>
                  </c:pt>
                </c15:dlblRangeCache>
              </c15:datalabelsRange>
            </c:ext>
            <c:ext xmlns:c16="http://schemas.microsoft.com/office/drawing/2014/chart" uri="{C3380CC4-5D6E-409C-BE32-E72D297353CC}">
              <c16:uniqueId val="{00000000-870F-45B0-ACB2-DE9C2D97B21C}"/>
            </c:ext>
          </c:extLst>
        </c:ser>
        <c:ser>
          <c:idx val="1"/>
          <c:order val="1"/>
          <c:tx>
            <c:strRef>
              <c:f>Bills_Res!$DH$5</c:f>
              <c:strCache>
                <c:ptCount val="1"/>
                <c:pt idx="0">
                  <c:v>2022</c:v>
                </c:pt>
              </c:strCache>
            </c:strRef>
          </c:tx>
          <c:spPr>
            <a:solidFill>
              <a:schemeClr val="accent5"/>
            </a:solidFill>
            <a:ln>
              <a:solidFill>
                <a:schemeClr val="bg1"/>
              </a:solidFill>
            </a:ln>
            <a:effectLst/>
          </c:spPr>
          <c:invertIfNegative val="0"/>
          <c:dLbls>
            <c:dLbl>
              <c:idx val="0"/>
              <c:tx>
                <c:rich>
                  <a:bodyPr/>
                  <a:lstStyle/>
                  <a:p>
                    <a:fld id="{C90CB50E-2B9B-4FB2-A193-ABE5190207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43-42DF-B10B-9B23B20AD8EA}"/>
                </c:ext>
              </c:extLst>
            </c:dLbl>
            <c:dLbl>
              <c:idx val="1"/>
              <c:tx>
                <c:rich>
                  <a:bodyPr/>
                  <a:lstStyle/>
                  <a:p>
                    <a:fld id="{2E42EA49-F162-4221-877F-538D9F4895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43-42DF-B10B-9B23B20AD8EA}"/>
                </c:ext>
              </c:extLst>
            </c:dLbl>
            <c:dLbl>
              <c:idx val="2"/>
              <c:tx>
                <c:rich>
                  <a:bodyPr/>
                  <a:lstStyle/>
                  <a:p>
                    <a:fld id="{D17539CE-D306-44EB-8588-1BED0DE423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43-42DF-B10B-9B23B20AD8EA}"/>
                </c:ext>
              </c:extLst>
            </c:dLbl>
            <c:dLbl>
              <c:idx val="3"/>
              <c:tx>
                <c:rich>
                  <a:bodyPr/>
                  <a:lstStyle/>
                  <a:p>
                    <a:fld id="{24FD2440-99E6-441D-93E1-B462C51E87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43-42DF-B10B-9B23B20AD8E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Bills_Res!$DE$13:$DE$16</c:f>
              <c:strCache>
                <c:ptCount val="4"/>
                <c:pt idx="0">
                  <c:v>Non-Participant</c:v>
                </c:pt>
                <c:pt idx="1">
                  <c:v>Average Customer</c:v>
                </c:pt>
                <c:pt idx="2">
                  <c:v>Low Savings Partcipant</c:v>
                </c:pt>
                <c:pt idx="3">
                  <c:v>High Savings Partcipant</c:v>
                </c:pt>
              </c:strCache>
            </c:strRef>
          </c:cat>
          <c:val>
            <c:numRef>
              <c:f>Bills_Res!$DH$13:$DH$16</c:f>
              <c:numCache>
                <c:formatCode>"$"#,##0.00</c:formatCode>
                <c:ptCount val="4"/>
                <c:pt idx="0">
                  <c:v>3.2957250151192783</c:v>
                </c:pt>
                <c:pt idx="1">
                  <c:v>-0.57303486783655599</c:v>
                </c:pt>
                <c:pt idx="2">
                  <c:v>-1.5578211226298151</c:v>
                </c:pt>
                <c:pt idx="3">
                  <c:v>-30.679097949124653</c:v>
                </c:pt>
              </c:numCache>
            </c:numRef>
          </c:val>
          <c:extLst>
            <c:ext xmlns:c15="http://schemas.microsoft.com/office/drawing/2012/chart" uri="{02D57815-91ED-43cb-92C2-25804820EDAC}">
              <c15:datalabelsRange>
                <c15:f>Bills_Res!$DH$18:$DH$21</c15:f>
                <c15:dlblRangeCache>
                  <c:ptCount val="4"/>
                  <c:pt idx="0">
                    <c:v>0.4%</c:v>
                  </c:pt>
                  <c:pt idx="1">
                    <c:v>-0.1%</c:v>
                  </c:pt>
                  <c:pt idx="2">
                    <c:v>-0.2%</c:v>
                  </c:pt>
                  <c:pt idx="3">
                    <c:v>-3.3%</c:v>
                  </c:pt>
                </c15:dlblRangeCache>
              </c15:datalabelsRange>
            </c:ext>
            <c:ext xmlns:c16="http://schemas.microsoft.com/office/drawing/2014/chart" uri="{C3380CC4-5D6E-409C-BE32-E72D297353CC}">
              <c16:uniqueId val="{00000001-870F-45B0-ACB2-DE9C2D97B21C}"/>
            </c:ext>
          </c:extLst>
        </c:ser>
        <c:ser>
          <c:idx val="2"/>
          <c:order val="2"/>
          <c:tx>
            <c:strRef>
              <c:f>Bills_Res!$DI$5</c:f>
              <c:strCache>
                <c:ptCount val="1"/>
                <c:pt idx="0">
                  <c:v>2023</c:v>
                </c:pt>
              </c:strCache>
            </c:strRef>
          </c:tx>
          <c:spPr>
            <a:solidFill>
              <a:schemeClr val="accent3"/>
            </a:solidFill>
            <a:ln>
              <a:solidFill>
                <a:schemeClr val="bg1"/>
              </a:solidFill>
            </a:ln>
            <a:effectLst/>
          </c:spPr>
          <c:invertIfNegative val="0"/>
          <c:dLbls>
            <c:dLbl>
              <c:idx val="0"/>
              <c:tx>
                <c:rich>
                  <a:bodyPr/>
                  <a:lstStyle/>
                  <a:p>
                    <a:fld id="{931B40DA-02FF-4AF0-A68E-35C4834E3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43-42DF-B10B-9B23B20AD8EA}"/>
                </c:ext>
              </c:extLst>
            </c:dLbl>
            <c:dLbl>
              <c:idx val="1"/>
              <c:tx>
                <c:rich>
                  <a:bodyPr/>
                  <a:lstStyle/>
                  <a:p>
                    <a:fld id="{EFE6E628-1482-4F37-8881-F35E90A0D6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43-42DF-B10B-9B23B20AD8EA}"/>
                </c:ext>
              </c:extLst>
            </c:dLbl>
            <c:dLbl>
              <c:idx val="2"/>
              <c:tx>
                <c:rich>
                  <a:bodyPr/>
                  <a:lstStyle/>
                  <a:p>
                    <a:fld id="{FE7BF66E-5613-44E2-8F1C-280FA90BB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43-42DF-B10B-9B23B20AD8EA}"/>
                </c:ext>
              </c:extLst>
            </c:dLbl>
            <c:dLbl>
              <c:idx val="3"/>
              <c:tx>
                <c:rich>
                  <a:bodyPr/>
                  <a:lstStyle/>
                  <a:p>
                    <a:fld id="{5B33F02B-736C-43FB-8387-DA73816578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43-42DF-B10B-9B23B20AD8E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Bills_Res!$DE$13:$DE$16</c:f>
              <c:strCache>
                <c:ptCount val="4"/>
                <c:pt idx="0">
                  <c:v>Non-Participant</c:v>
                </c:pt>
                <c:pt idx="1">
                  <c:v>Average Customer</c:v>
                </c:pt>
                <c:pt idx="2">
                  <c:v>Low Savings Partcipant</c:v>
                </c:pt>
                <c:pt idx="3">
                  <c:v>High Savings Partcipant</c:v>
                </c:pt>
              </c:strCache>
            </c:strRef>
          </c:cat>
          <c:val>
            <c:numRef>
              <c:f>Bills_Res!$DI$13:$DI$16</c:f>
              <c:numCache>
                <c:formatCode>"$"#,##0.00</c:formatCode>
                <c:ptCount val="4"/>
                <c:pt idx="0">
                  <c:v>3.3853095175577788</c:v>
                </c:pt>
                <c:pt idx="1">
                  <c:v>-0.55689738936786526</c:v>
                </c:pt>
                <c:pt idx="2">
                  <c:v>-1.4691324652157141</c:v>
                </c:pt>
                <c:pt idx="3">
                  <c:v>-30.595784361856808</c:v>
                </c:pt>
              </c:numCache>
            </c:numRef>
          </c:val>
          <c:extLst>
            <c:ext xmlns:c15="http://schemas.microsoft.com/office/drawing/2012/chart" uri="{02D57815-91ED-43cb-92C2-25804820EDAC}">
              <c15:datalabelsRange>
                <c15:f>Bills_Res!$DI$18:$DI$21</c15:f>
                <c15:dlblRangeCache>
                  <c:ptCount val="4"/>
                  <c:pt idx="0">
                    <c:v>0.4%</c:v>
                  </c:pt>
                  <c:pt idx="1">
                    <c:v>-0.1%</c:v>
                  </c:pt>
                  <c:pt idx="2">
                    <c:v>-0.2%</c:v>
                  </c:pt>
                  <c:pt idx="3">
                    <c:v>-3.3%</c:v>
                  </c:pt>
                </c15:dlblRangeCache>
              </c15:datalabelsRange>
            </c:ext>
            <c:ext xmlns:c16="http://schemas.microsoft.com/office/drawing/2014/chart" uri="{C3380CC4-5D6E-409C-BE32-E72D297353CC}">
              <c16:uniqueId val="{00000002-870F-45B0-ACB2-DE9C2D97B21C}"/>
            </c:ext>
          </c:extLst>
        </c:ser>
        <c:dLbls>
          <c:showLegendKey val="0"/>
          <c:showVal val="0"/>
          <c:showCatName val="0"/>
          <c:showSerName val="0"/>
          <c:showPercent val="0"/>
          <c:showBubbleSize val="0"/>
        </c:dLbls>
        <c:gapWidth val="50"/>
        <c:axId val="-694138016"/>
        <c:axId val="-694142368"/>
      </c:barChart>
      <c:catAx>
        <c:axId val="-69413801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2368"/>
        <c:crosses val="autoZero"/>
        <c:auto val="1"/>
        <c:lblAlgn val="ctr"/>
        <c:lblOffset val="100"/>
        <c:noMultiLvlLbl val="0"/>
      </c:catAx>
      <c:valAx>
        <c:axId val="-69414236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3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Bills_Res!$DG$5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Bills_Res!$DE$8:$DE$11</c:f>
              <c:strCache>
                <c:ptCount val="4"/>
                <c:pt idx="0">
                  <c:v>Non-Participant</c:v>
                </c:pt>
                <c:pt idx="1">
                  <c:v>Average Customer</c:v>
                </c:pt>
                <c:pt idx="2">
                  <c:v>Low Savings Partcipant</c:v>
                </c:pt>
                <c:pt idx="3">
                  <c:v>High Savings Partcipant</c:v>
                </c:pt>
              </c:strCache>
            </c:strRef>
          </c:cat>
          <c:val>
            <c:numRef>
              <c:f>Bills_Res!$DG$8:$DG$11</c:f>
              <c:numCache>
                <c:formatCode>"$"#,##0</c:formatCode>
                <c:ptCount val="4"/>
                <c:pt idx="0">
                  <c:v>934.48311971694216</c:v>
                </c:pt>
                <c:pt idx="1">
                  <c:v>930.6663814363186</c:v>
                </c:pt>
                <c:pt idx="2">
                  <c:v>929.63035351420876</c:v>
                </c:pt>
                <c:pt idx="3">
                  <c:v>900.51375629780773</c:v>
                </c:pt>
              </c:numCache>
            </c:numRef>
          </c:val>
          <c:extLst>
            <c:ext xmlns:c16="http://schemas.microsoft.com/office/drawing/2014/chart" uri="{C3380CC4-5D6E-409C-BE32-E72D297353CC}">
              <c16:uniqueId val="{00000000-9481-452D-8A0C-A9B028BA8FEA}"/>
            </c:ext>
          </c:extLst>
        </c:ser>
        <c:ser>
          <c:idx val="1"/>
          <c:order val="1"/>
          <c:tx>
            <c:strRef>
              <c:f>Bills_Res!$DH$5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Bills_Res!$DE$8:$DE$11</c:f>
              <c:strCache>
                <c:ptCount val="4"/>
                <c:pt idx="0">
                  <c:v>Non-Participant</c:v>
                </c:pt>
                <c:pt idx="1">
                  <c:v>Average Customer</c:v>
                </c:pt>
                <c:pt idx="2">
                  <c:v>Low Savings Partcipant</c:v>
                </c:pt>
                <c:pt idx="3">
                  <c:v>High Savings Partcipant</c:v>
                </c:pt>
              </c:strCache>
            </c:strRef>
          </c:cat>
          <c:val>
            <c:numRef>
              <c:f>Bills_Res!$DH$8:$DH$11</c:f>
              <c:numCache>
                <c:formatCode>"$"#,##0</c:formatCode>
                <c:ptCount val="4"/>
                <c:pt idx="0">
                  <c:v>934.56111321850904</c:v>
                </c:pt>
                <c:pt idx="1">
                  <c:v>930.69235333555309</c:v>
                </c:pt>
                <c:pt idx="2">
                  <c:v>929.70756708075976</c:v>
                </c:pt>
                <c:pt idx="3">
                  <c:v>900.58629025426512</c:v>
                </c:pt>
              </c:numCache>
            </c:numRef>
          </c:val>
          <c:extLst>
            <c:ext xmlns:c16="http://schemas.microsoft.com/office/drawing/2014/chart" uri="{C3380CC4-5D6E-409C-BE32-E72D297353CC}">
              <c16:uniqueId val="{00000001-9481-452D-8A0C-A9B028BA8FEA}"/>
            </c:ext>
          </c:extLst>
        </c:ser>
        <c:ser>
          <c:idx val="2"/>
          <c:order val="2"/>
          <c:tx>
            <c:strRef>
              <c:f>Bills_Res!$DI$5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Bills_Res!$DE$8:$DE$11</c:f>
              <c:strCache>
                <c:ptCount val="4"/>
                <c:pt idx="0">
                  <c:v>Non-Participant</c:v>
                </c:pt>
                <c:pt idx="1">
                  <c:v>Average Customer</c:v>
                </c:pt>
                <c:pt idx="2">
                  <c:v>Low Savings Partcipant</c:v>
                </c:pt>
                <c:pt idx="3">
                  <c:v>High Savings Partcipant</c:v>
                </c:pt>
              </c:strCache>
            </c:strRef>
          </c:cat>
          <c:val>
            <c:numRef>
              <c:f>Bills_Res!$DI$8:$DI$11</c:f>
              <c:numCache>
                <c:formatCode>"$"#,##0</c:formatCode>
                <c:ptCount val="4"/>
                <c:pt idx="0">
                  <c:v>934.65069772094739</c:v>
                </c:pt>
                <c:pt idx="1">
                  <c:v>930.70849081402184</c:v>
                </c:pt>
                <c:pt idx="2">
                  <c:v>929.79625573817384</c:v>
                </c:pt>
                <c:pt idx="3">
                  <c:v>900.66960384153276</c:v>
                </c:pt>
              </c:numCache>
            </c:numRef>
          </c:val>
          <c:extLst>
            <c:ext xmlns:c16="http://schemas.microsoft.com/office/drawing/2014/chart" uri="{C3380CC4-5D6E-409C-BE32-E72D297353CC}">
              <c16:uniqueId val="{00000002-9481-452D-8A0C-A9B028BA8FEA}"/>
            </c:ext>
          </c:extLst>
        </c:ser>
        <c:dLbls>
          <c:dLblPos val="outEnd"/>
          <c:showLegendKey val="0"/>
          <c:showVal val="1"/>
          <c:showCatName val="0"/>
          <c:showSerName val="0"/>
          <c:showPercent val="0"/>
          <c:showBubbleSize val="0"/>
        </c:dLbls>
        <c:gapWidth val="50"/>
        <c:axId val="-694141824"/>
        <c:axId val="-694141280"/>
      </c:barChart>
      <c:catAx>
        <c:axId val="-69414182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1280"/>
        <c:crosses val="autoZero"/>
        <c:auto val="1"/>
        <c:lblAlgn val="ctr"/>
        <c:lblOffset val="100"/>
        <c:noMultiLvlLbl val="0"/>
      </c:catAx>
      <c:valAx>
        <c:axId val="-694141280"/>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1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Bills_Res!$DJ$5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05C27C17-8F57-4906-B7B5-ABF247C19B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562-458A-9665-F1E45ACE8B87}"/>
                </c:ext>
              </c:extLst>
            </c:dLbl>
            <c:dLbl>
              <c:idx val="1"/>
              <c:tx>
                <c:rich>
                  <a:bodyPr/>
                  <a:lstStyle/>
                  <a:p>
                    <a:fld id="{FFFEE593-7478-446B-8FCA-7A2D313DCF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562-458A-9665-F1E45ACE8B87}"/>
                </c:ext>
              </c:extLst>
            </c:dLbl>
            <c:dLbl>
              <c:idx val="2"/>
              <c:tx>
                <c:rich>
                  <a:bodyPr/>
                  <a:lstStyle/>
                  <a:p>
                    <a:fld id="{1DC889BA-45D0-4835-80A4-DD9DC3E185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562-458A-9665-F1E45ACE8B87}"/>
                </c:ext>
              </c:extLst>
            </c:dLbl>
            <c:dLbl>
              <c:idx val="3"/>
              <c:tx>
                <c:rich>
                  <a:bodyPr/>
                  <a:lstStyle/>
                  <a:p>
                    <a:fld id="{6416E9D7-D035-46AA-A9E5-AA67CAE1F6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562-458A-9665-F1E45ACE8B87}"/>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Bills_Res!$DE$30:$DE$33</c:f>
              <c:strCache>
                <c:ptCount val="4"/>
                <c:pt idx="0">
                  <c:v>Non-Participant</c:v>
                </c:pt>
                <c:pt idx="1">
                  <c:v>Average Customer</c:v>
                </c:pt>
                <c:pt idx="2">
                  <c:v>Low Savings Partcipant</c:v>
                </c:pt>
                <c:pt idx="3">
                  <c:v>High Savings Partcipant</c:v>
                </c:pt>
              </c:strCache>
            </c:strRef>
          </c:cat>
          <c:val>
            <c:numRef>
              <c:f>Bills_Res!$DJ$30:$DJ$33</c:f>
              <c:numCache>
                <c:formatCode>"$"#,##0.00</c:formatCode>
                <c:ptCount val="4"/>
                <c:pt idx="0">
                  <c:v>10.849409610960254</c:v>
                </c:pt>
                <c:pt idx="1">
                  <c:v>-1.5878839780638696</c:v>
                </c:pt>
                <c:pt idx="2">
                  <c:v>5.2947524045264833</c:v>
                </c:pt>
                <c:pt idx="3">
                  <c:v>-28.033190834076382</c:v>
                </c:pt>
              </c:numCache>
            </c:numRef>
          </c:val>
          <c:extLst>
            <c:ext xmlns:c15="http://schemas.microsoft.com/office/drawing/2012/chart" uri="{02D57815-91ED-43cb-92C2-25804820EDAC}">
              <c15:datalabelsRange>
                <c15:f>Bills_Res!$DJ$35:$DJ$38</c15:f>
                <c15:dlblRangeCache>
                  <c:ptCount val="4"/>
                  <c:pt idx="0">
                    <c:v>1.2%</c:v>
                  </c:pt>
                  <c:pt idx="1">
                    <c:v>-0.2%</c:v>
                  </c:pt>
                  <c:pt idx="2">
                    <c:v>0.6%</c:v>
                  </c:pt>
                  <c:pt idx="3">
                    <c:v>-3.0%</c:v>
                  </c:pt>
                </c15:dlblRangeCache>
              </c15:datalabelsRange>
            </c:ext>
            <c:ext xmlns:c16="http://schemas.microsoft.com/office/drawing/2014/chart" uri="{C3380CC4-5D6E-409C-BE32-E72D297353CC}">
              <c16:uniqueId val="{00000004-8120-40EE-B6EB-85C56EE70322}"/>
            </c:ext>
          </c:extLst>
        </c:ser>
        <c:dLbls>
          <c:dLblPos val="outEnd"/>
          <c:showLegendKey val="0"/>
          <c:showVal val="1"/>
          <c:showCatName val="0"/>
          <c:showSerName val="0"/>
          <c:showPercent val="0"/>
          <c:showBubbleSize val="0"/>
        </c:dLbls>
        <c:gapWidth val="50"/>
        <c:axId val="-694140736"/>
        <c:axId val="-694144544"/>
      </c:barChart>
      <c:catAx>
        <c:axId val="-69414073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4544"/>
        <c:crosses val="autoZero"/>
        <c:auto val="1"/>
        <c:lblAlgn val="ctr"/>
        <c:lblOffset val="100"/>
        <c:noMultiLvlLbl val="0"/>
      </c:catAx>
      <c:valAx>
        <c:axId val="-6941445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Bills_Res!$DG$5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AEEB5709-8D49-414D-AB08-C057615411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733-420B-A41A-59BF46CBA1B9}"/>
                </c:ext>
              </c:extLst>
            </c:dLbl>
            <c:dLbl>
              <c:idx val="1"/>
              <c:tx>
                <c:rich>
                  <a:bodyPr/>
                  <a:lstStyle/>
                  <a:p>
                    <a:fld id="{C6ACF900-A73B-4DA4-BECD-FADDAFFEF8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33-420B-A41A-59BF46CBA1B9}"/>
                </c:ext>
              </c:extLst>
            </c:dLbl>
            <c:dLbl>
              <c:idx val="2"/>
              <c:tx>
                <c:rich>
                  <a:bodyPr/>
                  <a:lstStyle/>
                  <a:p>
                    <a:fld id="{E633AA73-DAAE-4C7E-9299-8814E651AD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33-420B-A41A-59BF46CBA1B9}"/>
                </c:ext>
              </c:extLst>
            </c:dLbl>
            <c:dLbl>
              <c:idx val="3"/>
              <c:tx>
                <c:rich>
                  <a:bodyPr/>
                  <a:lstStyle/>
                  <a:p>
                    <a:fld id="{A5337FC4-FDE5-415F-94C5-BA20689FC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733-420B-A41A-59BF46CBA1B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Bills_Res!$DE$30:$DE$33</c:f>
              <c:strCache>
                <c:ptCount val="4"/>
                <c:pt idx="0">
                  <c:v>Non-Participant</c:v>
                </c:pt>
                <c:pt idx="1">
                  <c:v>Average Customer</c:v>
                </c:pt>
                <c:pt idx="2">
                  <c:v>Low Savings Partcipant</c:v>
                </c:pt>
                <c:pt idx="3">
                  <c:v>High Savings Partcipant</c:v>
                </c:pt>
              </c:strCache>
            </c:strRef>
          </c:cat>
          <c:val>
            <c:numRef>
              <c:f>Bills_Res!$DG$30:$DG$33</c:f>
              <c:numCache>
                <c:formatCode>"$"#,##0.00</c:formatCode>
                <c:ptCount val="4"/>
                <c:pt idx="0">
                  <c:v>3.7930265222503547</c:v>
                </c:pt>
                <c:pt idx="1">
                  <c:v>-0.57413121548127233</c:v>
                </c:pt>
                <c:pt idx="2">
                  <c:v>-2.0371964611341169</c:v>
                </c:pt>
                <c:pt idx="3">
                  <c:v>-37.018534361441304</c:v>
                </c:pt>
              </c:numCache>
            </c:numRef>
          </c:val>
          <c:extLst>
            <c:ext xmlns:c15="http://schemas.microsoft.com/office/drawing/2012/chart" uri="{02D57815-91ED-43cb-92C2-25804820EDAC}">
              <c15:datalabelsRange>
                <c15:f>Bills_Res!$DG$18:$DG$21</c15:f>
                <c15:dlblRangeCache>
                  <c:ptCount val="4"/>
                  <c:pt idx="0">
                    <c:v>0.3%</c:v>
                  </c:pt>
                  <c:pt idx="1">
                    <c:v>-0.1%</c:v>
                  </c:pt>
                  <c:pt idx="2">
                    <c:v>-0.2%</c:v>
                  </c:pt>
                  <c:pt idx="3">
                    <c:v>-3.3%</c:v>
                  </c:pt>
                </c15:dlblRangeCache>
              </c15:datalabelsRange>
            </c:ext>
            <c:ext xmlns:c16="http://schemas.microsoft.com/office/drawing/2014/chart" uri="{C3380CC4-5D6E-409C-BE32-E72D297353CC}">
              <c16:uniqueId val="{00000004-1223-4439-9586-5A3DE8ECF246}"/>
            </c:ext>
          </c:extLst>
        </c:ser>
        <c:ser>
          <c:idx val="1"/>
          <c:order val="1"/>
          <c:tx>
            <c:strRef>
              <c:f>Bills_Res!$DH$5</c:f>
              <c:strCache>
                <c:ptCount val="1"/>
                <c:pt idx="0">
                  <c:v>2022</c:v>
                </c:pt>
              </c:strCache>
            </c:strRef>
          </c:tx>
          <c:spPr>
            <a:solidFill>
              <a:schemeClr val="accent5"/>
            </a:solidFill>
            <a:ln>
              <a:solidFill>
                <a:schemeClr val="bg1"/>
              </a:solidFill>
            </a:ln>
            <a:effectLst/>
          </c:spPr>
          <c:invertIfNegative val="0"/>
          <c:dLbls>
            <c:dLbl>
              <c:idx val="0"/>
              <c:tx>
                <c:rich>
                  <a:bodyPr/>
                  <a:lstStyle/>
                  <a:p>
                    <a:fld id="{3863E7F3-FF12-4B71-96D4-3DBD18B7F9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33-420B-A41A-59BF46CBA1B9}"/>
                </c:ext>
              </c:extLst>
            </c:dLbl>
            <c:dLbl>
              <c:idx val="1"/>
              <c:tx>
                <c:rich>
                  <a:bodyPr/>
                  <a:lstStyle/>
                  <a:p>
                    <a:fld id="{8C0043DD-B3DA-4EB3-B138-ABE99C1232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33-420B-A41A-59BF46CBA1B9}"/>
                </c:ext>
              </c:extLst>
            </c:dLbl>
            <c:dLbl>
              <c:idx val="2"/>
              <c:tx>
                <c:rich>
                  <a:bodyPr/>
                  <a:lstStyle/>
                  <a:p>
                    <a:fld id="{ABDCF7DE-2DE8-4B94-A2B8-B510F52A5C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33-420B-A41A-59BF46CBA1B9}"/>
                </c:ext>
              </c:extLst>
            </c:dLbl>
            <c:dLbl>
              <c:idx val="3"/>
              <c:tx>
                <c:rich>
                  <a:bodyPr/>
                  <a:lstStyle/>
                  <a:p>
                    <a:fld id="{E93263F4-05F8-4B75-BEE4-F74E4420A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33-420B-A41A-59BF46CBA1B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Bills_Res!$DE$30:$DE$33</c:f>
              <c:strCache>
                <c:ptCount val="4"/>
                <c:pt idx="0">
                  <c:v>Non-Participant</c:v>
                </c:pt>
                <c:pt idx="1">
                  <c:v>Average Customer</c:v>
                </c:pt>
                <c:pt idx="2">
                  <c:v>Low Savings Partcipant</c:v>
                </c:pt>
                <c:pt idx="3">
                  <c:v>High Savings Partcipant</c:v>
                </c:pt>
              </c:strCache>
            </c:strRef>
          </c:cat>
          <c:val>
            <c:numRef>
              <c:f>Bills_Res!$DH$30:$DH$33</c:f>
              <c:numCache>
                <c:formatCode>"$"#,##0.00</c:formatCode>
                <c:ptCount val="4"/>
                <c:pt idx="0">
                  <c:v>3.8856757314954655</c:v>
                </c:pt>
                <c:pt idx="1">
                  <c:v>-0.54113841478668512</c:v>
                </c:pt>
                <c:pt idx="2">
                  <c:v>-1.9456590423999129</c:v>
                </c:pt>
                <c:pt idx="3">
                  <c:v>-36.933667685772797</c:v>
                </c:pt>
              </c:numCache>
            </c:numRef>
          </c:val>
          <c:extLst>
            <c:ext xmlns:c15="http://schemas.microsoft.com/office/drawing/2012/chart" uri="{02D57815-91ED-43cb-92C2-25804820EDAC}">
              <c15:datalabelsRange>
                <c15:f>Bills_Res!$DH$35:$DH$38</c15:f>
                <c15:dlblRangeCache>
                  <c:ptCount val="4"/>
                  <c:pt idx="0">
                    <c:v>0.4%</c:v>
                  </c:pt>
                  <c:pt idx="1">
                    <c:v>-0.1%</c:v>
                  </c:pt>
                  <c:pt idx="2">
                    <c:v>-0.2%</c:v>
                  </c:pt>
                  <c:pt idx="3">
                    <c:v>-4.0%</c:v>
                  </c:pt>
                </c15:dlblRangeCache>
              </c15:datalabelsRange>
            </c:ext>
            <c:ext xmlns:c16="http://schemas.microsoft.com/office/drawing/2014/chart" uri="{C3380CC4-5D6E-409C-BE32-E72D297353CC}">
              <c16:uniqueId val="{00000009-1223-4439-9586-5A3DE8ECF246}"/>
            </c:ext>
          </c:extLst>
        </c:ser>
        <c:ser>
          <c:idx val="2"/>
          <c:order val="2"/>
          <c:tx>
            <c:strRef>
              <c:f>Bills_Res!$DI$5</c:f>
              <c:strCache>
                <c:ptCount val="1"/>
                <c:pt idx="0">
                  <c:v>2023</c:v>
                </c:pt>
              </c:strCache>
            </c:strRef>
          </c:tx>
          <c:spPr>
            <a:solidFill>
              <a:schemeClr val="accent3"/>
            </a:solidFill>
            <a:ln>
              <a:solidFill>
                <a:schemeClr val="bg1"/>
              </a:solidFill>
            </a:ln>
            <a:effectLst/>
          </c:spPr>
          <c:invertIfNegative val="0"/>
          <c:dLbls>
            <c:dLbl>
              <c:idx val="0"/>
              <c:tx>
                <c:rich>
                  <a:bodyPr/>
                  <a:lstStyle/>
                  <a:p>
                    <a:fld id="{1E021D57-05E5-41DB-BDCE-DE6481443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33-420B-A41A-59BF46CBA1B9}"/>
                </c:ext>
              </c:extLst>
            </c:dLbl>
            <c:dLbl>
              <c:idx val="1"/>
              <c:tx>
                <c:rich>
                  <a:bodyPr/>
                  <a:lstStyle/>
                  <a:p>
                    <a:fld id="{270E5586-C544-46CF-ABEC-5E8110B2E9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33-420B-A41A-59BF46CBA1B9}"/>
                </c:ext>
              </c:extLst>
            </c:dLbl>
            <c:dLbl>
              <c:idx val="2"/>
              <c:tx>
                <c:rich>
                  <a:bodyPr/>
                  <a:lstStyle/>
                  <a:p>
                    <a:fld id="{4E6B7DB9-421A-4A2F-A3B2-8690D1BA2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33-420B-A41A-59BF46CBA1B9}"/>
                </c:ext>
              </c:extLst>
            </c:dLbl>
            <c:dLbl>
              <c:idx val="3"/>
              <c:tx>
                <c:rich>
                  <a:bodyPr/>
                  <a:lstStyle/>
                  <a:p>
                    <a:fld id="{1C2E12E0-12AE-47AC-8C09-D06E1FEE87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33-420B-A41A-59BF46CBA1B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Bills_Res!$DE$30:$DE$33</c:f>
              <c:strCache>
                <c:ptCount val="4"/>
                <c:pt idx="0">
                  <c:v>Non-Participant</c:v>
                </c:pt>
                <c:pt idx="1">
                  <c:v>Average Customer</c:v>
                </c:pt>
                <c:pt idx="2">
                  <c:v>Low Savings Partcipant</c:v>
                </c:pt>
                <c:pt idx="3">
                  <c:v>High Savings Partcipant</c:v>
                </c:pt>
              </c:strCache>
            </c:strRef>
          </c:cat>
          <c:val>
            <c:numRef>
              <c:f>Bills_Res!$DI$30:$DI$33</c:f>
              <c:numCache>
                <c:formatCode>"$"#,##0.00</c:formatCode>
                <c:ptCount val="4"/>
                <c:pt idx="0">
                  <c:v>3.9918765795643409</c:v>
                </c:pt>
                <c:pt idx="1">
                  <c:v>-0.51913225620023595</c:v>
                </c:pt>
                <c:pt idx="2">
                  <c:v>-1.8407326045078745</c:v>
                </c:pt>
                <c:pt idx="3">
                  <c:v>-36.836387708941707</c:v>
                </c:pt>
              </c:numCache>
            </c:numRef>
          </c:val>
          <c:extLst>
            <c:ext xmlns:c15="http://schemas.microsoft.com/office/drawing/2012/chart" uri="{02D57815-91ED-43cb-92C2-25804820EDAC}">
              <c15:datalabelsRange>
                <c15:f>Bills_Res!$DI$35:$DI$38</c15:f>
                <c15:dlblRangeCache>
                  <c:ptCount val="4"/>
                  <c:pt idx="0">
                    <c:v>0.4%</c:v>
                  </c:pt>
                  <c:pt idx="1">
                    <c:v>-0.1%</c:v>
                  </c:pt>
                  <c:pt idx="2">
                    <c:v>-0.2%</c:v>
                  </c:pt>
                  <c:pt idx="3">
                    <c:v>-4.0%</c:v>
                  </c:pt>
                </c15:dlblRangeCache>
              </c15:datalabelsRange>
            </c:ext>
            <c:ext xmlns:c16="http://schemas.microsoft.com/office/drawing/2014/chart" uri="{C3380CC4-5D6E-409C-BE32-E72D297353CC}">
              <c16:uniqueId val="{0000000E-1223-4439-9586-5A3DE8ECF246}"/>
            </c:ext>
          </c:extLst>
        </c:ser>
        <c:dLbls>
          <c:dLblPos val="outEnd"/>
          <c:showLegendKey val="0"/>
          <c:showVal val="1"/>
          <c:showCatName val="0"/>
          <c:showSerName val="0"/>
          <c:showPercent val="0"/>
          <c:showBubbleSize val="0"/>
        </c:dLbls>
        <c:gapWidth val="50"/>
        <c:axId val="-694151072"/>
        <c:axId val="-694145088"/>
      </c:barChart>
      <c:catAx>
        <c:axId val="-69415107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5088"/>
        <c:crosses val="autoZero"/>
        <c:auto val="1"/>
        <c:lblAlgn val="ctr"/>
        <c:lblOffset val="100"/>
        <c:noMultiLvlLbl val="0"/>
      </c:catAx>
      <c:valAx>
        <c:axId val="-69414508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5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Rates_Res!$BX$37</c:f>
              <c:strCache>
                <c:ptCount val="1"/>
                <c:pt idx="0">
                  <c:v>Customer</c:v>
                </c:pt>
              </c:strCache>
            </c:strRef>
          </c:tx>
          <c:spPr>
            <a:solidFill>
              <a:schemeClr val="accent1"/>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Rates_Res!$BZ$37:$CZ$37</c:f>
              <c:numCache>
                <c:formatCode>_(* #,##0.000_);_(* \(#,##0.000\);_(* "-"??_);_(@_)</c:formatCode>
                <c:ptCount val="17"/>
                <c:pt idx="0">
                  <c:v>22.33803664496018</c:v>
                </c:pt>
                <c:pt idx="1">
                  <c:v>22.33803664496018</c:v>
                </c:pt>
                <c:pt idx="2">
                  <c:v>22.33803664496018</c:v>
                </c:pt>
                <c:pt idx="3">
                  <c:v>22.33803664496018</c:v>
                </c:pt>
                <c:pt idx="4">
                  <c:v>22.33803664496018</c:v>
                </c:pt>
                <c:pt idx="5">
                  <c:v>22.33803664496018</c:v>
                </c:pt>
                <c:pt idx="6">
                  <c:v>22.33803664496018</c:v>
                </c:pt>
                <c:pt idx="7">
                  <c:v>22.33803664496018</c:v>
                </c:pt>
                <c:pt idx="8">
                  <c:v>22.33803664496018</c:v>
                </c:pt>
                <c:pt idx="9">
                  <c:v>22.33803664496018</c:v>
                </c:pt>
                <c:pt idx="10">
                  <c:v>22.33803664496018</c:v>
                </c:pt>
                <c:pt idx="11">
                  <c:v>22.33803664496018</c:v>
                </c:pt>
                <c:pt idx="12">
                  <c:v>22.33803664496018</c:v>
                </c:pt>
                <c:pt idx="13">
                  <c:v>22.33803664496018</c:v>
                </c:pt>
                <c:pt idx="14">
                  <c:v>22.33803664496018</c:v>
                </c:pt>
                <c:pt idx="15">
                  <c:v>22.33803664496018</c:v>
                </c:pt>
                <c:pt idx="16">
                  <c:v>22.33803664496018</c:v>
                </c:pt>
              </c:numCache>
            </c:numRef>
          </c:val>
          <c:extLst>
            <c:ext xmlns:c16="http://schemas.microsoft.com/office/drawing/2014/chart" uri="{C3380CC4-5D6E-409C-BE32-E72D297353CC}">
              <c16:uniqueId val="{00000000-BCE4-4F51-8B74-61CC692370B1}"/>
            </c:ext>
          </c:extLst>
        </c:ser>
        <c:ser>
          <c:idx val="1"/>
          <c:order val="1"/>
          <c:tx>
            <c:strRef>
              <c:f>Rates_Res!$BX$38</c:f>
              <c:strCache>
                <c:ptCount val="1"/>
                <c:pt idx="0">
                  <c:v>Distribution</c:v>
                </c:pt>
              </c:strCache>
            </c:strRef>
          </c:tx>
          <c:spPr>
            <a:solidFill>
              <a:schemeClr val="bg1">
                <a:lumMod val="50000"/>
              </a:schemeClr>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Rates_Res!$BZ$38:$CZ$38</c:f>
              <c:numCache>
                <c:formatCode>_(* #,##0.000_);_(* \(#,##0.000\);_(* "-"??_);_(@_)</c:formatCode>
                <c:ptCount val="17"/>
                <c:pt idx="0">
                  <c:v>56.066472695329374</c:v>
                </c:pt>
                <c:pt idx="1">
                  <c:v>56.453769717276501</c:v>
                </c:pt>
                <c:pt idx="2">
                  <c:v>56.854415945195861</c:v>
                </c:pt>
                <c:pt idx="3">
                  <c:v>56.854415945195861</c:v>
                </c:pt>
                <c:pt idx="4">
                  <c:v>56.854415945195861</c:v>
                </c:pt>
                <c:pt idx="5">
                  <c:v>56.854415945195861</c:v>
                </c:pt>
                <c:pt idx="6">
                  <c:v>56.854415945195861</c:v>
                </c:pt>
                <c:pt idx="7">
                  <c:v>56.854415945195861</c:v>
                </c:pt>
                <c:pt idx="8">
                  <c:v>56.854415945195861</c:v>
                </c:pt>
                <c:pt idx="9">
                  <c:v>56.854415945195861</c:v>
                </c:pt>
                <c:pt idx="10">
                  <c:v>56.854415945195861</c:v>
                </c:pt>
                <c:pt idx="11">
                  <c:v>56.854415945195861</c:v>
                </c:pt>
                <c:pt idx="12">
                  <c:v>56.854415945195861</c:v>
                </c:pt>
                <c:pt idx="13">
                  <c:v>56.854415945195861</c:v>
                </c:pt>
                <c:pt idx="14">
                  <c:v>56.854415945195861</c:v>
                </c:pt>
                <c:pt idx="15">
                  <c:v>56.466345429065804</c:v>
                </c:pt>
                <c:pt idx="16">
                  <c:v>56.078861221022635</c:v>
                </c:pt>
              </c:numCache>
            </c:numRef>
          </c:val>
          <c:extLst>
            <c:ext xmlns:c16="http://schemas.microsoft.com/office/drawing/2014/chart" uri="{C3380CC4-5D6E-409C-BE32-E72D297353CC}">
              <c16:uniqueId val="{00000001-BCE4-4F51-8B74-61CC692370B1}"/>
            </c:ext>
          </c:extLst>
        </c:ser>
        <c:ser>
          <c:idx val="2"/>
          <c:order val="2"/>
          <c:tx>
            <c:strRef>
              <c:f>Rates_Res!$BX$39</c:f>
              <c:strCache>
                <c:ptCount val="1"/>
                <c:pt idx="0">
                  <c:v>LDAC, Non-EE</c:v>
                </c:pt>
              </c:strCache>
            </c:strRef>
          </c:tx>
          <c:spPr>
            <a:solidFill>
              <a:schemeClr val="accent3"/>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Rates_Res!$BZ$39:$CZ$39</c:f>
              <c:numCache>
                <c:formatCode>_(* #,##0.000_);_(* \(#,##0.000\);_(* "-"??_);_(@_)</c:formatCode>
                <c:ptCount val="17"/>
                <c:pt idx="0">
                  <c:v>-3.3243724409585189</c:v>
                </c:pt>
                <c:pt idx="1">
                  <c:v>-3.3494431896854415</c:v>
                </c:pt>
                <c:pt idx="2">
                  <c:v>-3.3753770646078998</c:v>
                </c:pt>
                <c:pt idx="3">
                  <c:v>-3.3753770646078998</c:v>
                </c:pt>
                <c:pt idx="4">
                  <c:v>-3.3753770646078998</c:v>
                </c:pt>
                <c:pt idx="5">
                  <c:v>-3.3753770646078998</c:v>
                </c:pt>
                <c:pt idx="6">
                  <c:v>-3.3753770646078998</c:v>
                </c:pt>
                <c:pt idx="7">
                  <c:v>-3.3753770646078998</c:v>
                </c:pt>
                <c:pt idx="8">
                  <c:v>-3.3753770646078998</c:v>
                </c:pt>
                <c:pt idx="9">
                  <c:v>-3.3753770646078998</c:v>
                </c:pt>
                <c:pt idx="10">
                  <c:v>-3.3753770646078998</c:v>
                </c:pt>
                <c:pt idx="11">
                  <c:v>-3.3753770646078998</c:v>
                </c:pt>
                <c:pt idx="12">
                  <c:v>-3.3753770646078998</c:v>
                </c:pt>
                <c:pt idx="13">
                  <c:v>-3.3753770646078998</c:v>
                </c:pt>
                <c:pt idx="14">
                  <c:v>-3.3753770646078998</c:v>
                </c:pt>
                <c:pt idx="15">
                  <c:v>-3.3502538376218083</c:v>
                </c:pt>
                <c:pt idx="16">
                  <c:v>-3.3251709973854049</c:v>
                </c:pt>
              </c:numCache>
            </c:numRef>
          </c:val>
          <c:extLst>
            <c:ext xmlns:c16="http://schemas.microsoft.com/office/drawing/2014/chart" uri="{C3380CC4-5D6E-409C-BE32-E72D297353CC}">
              <c16:uniqueId val="{00000002-BCE4-4F51-8B74-61CC692370B1}"/>
            </c:ext>
          </c:extLst>
        </c:ser>
        <c:ser>
          <c:idx val="3"/>
          <c:order val="3"/>
          <c:tx>
            <c:strRef>
              <c:f>Rates_Res!$BX$40</c:f>
              <c:strCache>
                <c:ptCount val="1"/>
                <c:pt idx="0">
                  <c:v>Cost of Gas</c:v>
                </c:pt>
              </c:strCache>
            </c:strRef>
          </c:tx>
          <c:spPr>
            <a:solidFill>
              <a:schemeClr val="accent5"/>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Rates_Res!$BZ$40:$CZ$40</c:f>
              <c:numCache>
                <c:formatCode>_(* #,##0.000_);_(* \(#,##0.000\);_(* "-"??_);_(@_)</c:formatCode>
                <c:ptCount val="17"/>
                <c:pt idx="0">
                  <c:v>62.008297618512451</c:v>
                </c:pt>
                <c:pt idx="1">
                  <c:v>61.986108776974923</c:v>
                </c:pt>
                <c:pt idx="2">
                  <c:v>61.963222809937776</c:v>
                </c:pt>
                <c:pt idx="3">
                  <c:v>61.963222809937776</c:v>
                </c:pt>
                <c:pt idx="4">
                  <c:v>61.963222809937776</c:v>
                </c:pt>
                <c:pt idx="5">
                  <c:v>61.963222809937776</c:v>
                </c:pt>
                <c:pt idx="6">
                  <c:v>61.963222809937776</c:v>
                </c:pt>
                <c:pt idx="7">
                  <c:v>61.963222809937776</c:v>
                </c:pt>
                <c:pt idx="8">
                  <c:v>61.963222809937776</c:v>
                </c:pt>
                <c:pt idx="9">
                  <c:v>61.963222809937776</c:v>
                </c:pt>
                <c:pt idx="10">
                  <c:v>61.963222809937776</c:v>
                </c:pt>
                <c:pt idx="11">
                  <c:v>61.963222809937776</c:v>
                </c:pt>
                <c:pt idx="12">
                  <c:v>61.963222809937776</c:v>
                </c:pt>
                <c:pt idx="13">
                  <c:v>61.963222809937776</c:v>
                </c:pt>
                <c:pt idx="14">
                  <c:v>61.963222809937776</c:v>
                </c:pt>
                <c:pt idx="15">
                  <c:v>61.985591180491348</c:v>
                </c:pt>
                <c:pt idx="16">
                  <c:v>62.00778922723611</c:v>
                </c:pt>
              </c:numCache>
            </c:numRef>
          </c:val>
          <c:extLst>
            <c:ext xmlns:c16="http://schemas.microsoft.com/office/drawing/2014/chart" uri="{C3380CC4-5D6E-409C-BE32-E72D297353CC}">
              <c16:uniqueId val="{00000003-BCE4-4F51-8B74-61CC692370B1}"/>
            </c:ext>
          </c:extLst>
        </c:ser>
        <c:ser>
          <c:idx val="4"/>
          <c:order val="4"/>
          <c:tx>
            <c:strRef>
              <c:f>Rates_Res!$BX$41</c:f>
              <c:strCache>
                <c:ptCount val="1"/>
                <c:pt idx="0">
                  <c:v>LDAC (EE Only)</c:v>
                </c:pt>
              </c:strCache>
            </c:strRef>
          </c:tx>
          <c:spPr>
            <a:solidFill>
              <a:srgbClr val="FFC000"/>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Rates_Res!$BZ$41:$CZ$41</c:f>
              <c:numCache>
                <c:formatCode>_(* #,##0.000_);_(* \(#,##0.000\);_(* "-"??_);_(@_)</c:formatCode>
                <c:ptCount val="17"/>
                <c:pt idx="0">
                  <c:v>7.7623676390230019</c:v>
                </c:pt>
                <c:pt idx="1">
                  <c:v>7.998496595510125</c:v>
                </c:pt>
                <c:pt idx="2">
                  <c:v>8.2542973872564964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BCE4-4F51-8B74-61CC692370B1}"/>
            </c:ext>
          </c:extLst>
        </c:ser>
        <c:dLbls>
          <c:showLegendKey val="0"/>
          <c:showVal val="0"/>
          <c:showCatName val="0"/>
          <c:showSerName val="0"/>
          <c:showPercent val="0"/>
          <c:showBubbleSize val="0"/>
        </c:dLbls>
        <c:gapWidth val="0"/>
        <c:overlap val="100"/>
        <c:axId val="-830896848"/>
        <c:axId val="-830891952"/>
      </c:barChart>
      <c:catAx>
        <c:axId val="-8308968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1952"/>
        <c:crosses val="autoZero"/>
        <c:auto val="1"/>
        <c:lblAlgn val="ctr"/>
        <c:lblOffset val="100"/>
        <c:noMultiLvlLbl val="0"/>
      </c:catAx>
      <c:valAx>
        <c:axId val="-8308919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Bills_Res!$DG$5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Bills_Res!$DE$25:$DE$28</c:f>
              <c:strCache>
                <c:ptCount val="4"/>
                <c:pt idx="0">
                  <c:v>Non-Participant</c:v>
                </c:pt>
                <c:pt idx="1">
                  <c:v>Average Customer</c:v>
                </c:pt>
                <c:pt idx="2">
                  <c:v>Low Savings Partcipant</c:v>
                </c:pt>
                <c:pt idx="3">
                  <c:v>High Savings Partcipant</c:v>
                </c:pt>
              </c:strCache>
            </c:strRef>
          </c:cat>
          <c:val>
            <c:numRef>
              <c:f>Bills_Res!$DG$25:$DG$28</c:f>
              <c:numCache>
                <c:formatCode>"$"#,##0</c:formatCode>
                <c:ptCount val="4"/>
                <c:pt idx="0">
                  <c:v>935.05841472563975</c:v>
                </c:pt>
                <c:pt idx="1">
                  <c:v>930.69125698790822</c:v>
                </c:pt>
                <c:pt idx="2">
                  <c:v>929.22819174225538</c:v>
                </c:pt>
                <c:pt idx="3">
                  <c:v>894.24685384194834</c:v>
                </c:pt>
              </c:numCache>
            </c:numRef>
          </c:val>
          <c:extLst>
            <c:ext xmlns:c16="http://schemas.microsoft.com/office/drawing/2014/chart" uri="{C3380CC4-5D6E-409C-BE32-E72D297353CC}">
              <c16:uniqueId val="{00000000-978D-4330-A518-3ACBB6AC98B6}"/>
            </c:ext>
          </c:extLst>
        </c:ser>
        <c:ser>
          <c:idx val="1"/>
          <c:order val="1"/>
          <c:tx>
            <c:strRef>
              <c:f>Bills_Res!$DH$5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Bills_Res!$DE$25:$DE$28</c:f>
              <c:strCache>
                <c:ptCount val="4"/>
                <c:pt idx="0">
                  <c:v>Non-Participant</c:v>
                </c:pt>
                <c:pt idx="1">
                  <c:v>Average Customer</c:v>
                </c:pt>
                <c:pt idx="2">
                  <c:v>Low Savings Partcipant</c:v>
                </c:pt>
                <c:pt idx="3">
                  <c:v>High Savings Partcipant</c:v>
                </c:pt>
              </c:strCache>
            </c:strRef>
          </c:cat>
          <c:val>
            <c:numRef>
              <c:f>Bills_Res!$DH$25:$DH$28</c:f>
              <c:numCache>
                <c:formatCode>"$"#,##0</c:formatCode>
                <c:ptCount val="4"/>
                <c:pt idx="0">
                  <c:v>935.15106393488509</c:v>
                </c:pt>
                <c:pt idx="1">
                  <c:v>930.72424978860317</c:v>
                </c:pt>
                <c:pt idx="2">
                  <c:v>929.31972916098971</c:v>
                </c:pt>
                <c:pt idx="3">
                  <c:v>894.33172051761665</c:v>
                </c:pt>
              </c:numCache>
            </c:numRef>
          </c:val>
          <c:extLst>
            <c:ext xmlns:c16="http://schemas.microsoft.com/office/drawing/2014/chart" uri="{C3380CC4-5D6E-409C-BE32-E72D297353CC}">
              <c16:uniqueId val="{00000001-978D-4330-A518-3ACBB6AC98B6}"/>
            </c:ext>
          </c:extLst>
        </c:ser>
        <c:ser>
          <c:idx val="2"/>
          <c:order val="2"/>
          <c:tx>
            <c:strRef>
              <c:f>Bills_Res!$DI$5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Bills_Res!$DE$25:$DE$28</c:f>
              <c:strCache>
                <c:ptCount val="4"/>
                <c:pt idx="0">
                  <c:v>Non-Participant</c:v>
                </c:pt>
                <c:pt idx="1">
                  <c:v>Average Customer</c:v>
                </c:pt>
                <c:pt idx="2">
                  <c:v>Low Savings Partcipant</c:v>
                </c:pt>
                <c:pt idx="3">
                  <c:v>High Savings Partcipant</c:v>
                </c:pt>
              </c:strCache>
            </c:strRef>
          </c:cat>
          <c:val>
            <c:numRef>
              <c:f>Bills_Res!$DI$25:$DI$28</c:f>
              <c:numCache>
                <c:formatCode>"$"#,##0</c:formatCode>
                <c:ptCount val="4"/>
                <c:pt idx="0">
                  <c:v>935.25726478295405</c:v>
                </c:pt>
                <c:pt idx="1">
                  <c:v>930.74625594718941</c:v>
                </c:pt>
                <c:pt idx="2">
                  <c:v>929.42465559888183</c:v>
                </c:pt>
                <c:pt idx="3">
                  <c:v>894.42900049444802</c:v>
                </c:pt>
              </c:numCache>
            </c:numRef>
          </c:val>
          <c:extLst>
            <c:ext xmlns:c16="http://schemas.microsoft.com/office/drawing/2014/chart" uri="{C3380CC4-5D6E-409C-BE32-E72D297353CC}">
              <c16:uniqueId val="{00000002-978D-4330-A518-3ACBB6AC98B6}"/>
            </c:ext>
          </c:extLst>
        </c:ser>
        <c:dLbls>
          <c:dLblPos val="outEnd"/>
          <c:showLegendKey val="0"/>
          <c:showVal val="1"/>
          <c:showCatName val="0"/>
          <c:showSerName val="0"/>
          <c:showPercent val="0"/>
          <c:showBubbleSize val="0"/>
        </c:dLbls>
        <c:gapWidth val="50"/>
        <c:axId val="-694147264"/>
        <c:axId val="-694149984"/>
      </c:barChart>
      <c:catAx>
        <c:axId val="-6941472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9984"/>
        <c:crosses val="autoZero"/>
        <c:auto val="1"/>
        <c:lblAlgn val="ctr"/>
        <c:lblOffset val="100"/>
        <c:noMultiLvlLbl val="0"/>
      </c:catAx>
      <c:valAx>
        <c:axId val="-694149984"/>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56160080745636409"/>
        </c:manualLayout>
      </c:layout>
      <c:barChart>
        <c:barDir val="col"/>
        <c:grouping val="clustered"/>
        <c:varyColors val="0"/>
        <c:ser>
          <c:idx val="0"/>
          <c:order val="0"/>
          <c:tx>
            <c:strRef>
              <c:f>Bills_Res!$DJ$5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8F4DA1B2-D328-4E70-8BB2-F8AC1CF2F7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F2D-4FE6-AC69-43954BC8B4D6}"/>
                </c:ext>
              </c:extLst>
            </c:dLbl>
            <c:dLbl>
              <c:idx val="1"/>
              <c:tx>
                <c:rich>
                  <a:bodyPr/>
                  <a:lstStyle/>
                  <a:p>
                    <a:fld id="{29A23DFC-3E64-4A4F-8079-BCEFCEB7F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F2D-4FE6-AC69-43954BC8B4D6}"/>
                </c:ext>
              </c:extLst>
            </c:dLbl>
            <c:dLbl>
              <c:idx val="2"/>
              <c:tx>
                <c:rich>
                  <a:bodyPr/>
                  <a:lstStyle/>
                  <a:p>
                    <a:fld id="{06843353-63FC-4EF6-A87E-86EC88DFA1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F2D-4FE6-AC69-43954BC8B4D6}"/>
                </c:ext>
              </c:extLst>
            </c:dLbl>
            <c:dLbl>
              <c:idx val="3"/>
              <c:tx>
                <c:rich>
                  <a:bodyPr/>
                  <a:lstStyle/>
                  <a:p>
                    <a:fld id="{D379D0D9-7E2F-4CD9-A344-1FBCE6FF43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F2D-4FE6-AC69-43954BC8B4D6}"/>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Bills_Res!$DE$42:$DE$45</c:f>
              <c:strCache>
                <c:ptCount val="4"/>
                <c:pt idx="0">
                  <c:v>Non-Participant</c:v>
                </c:pt>
                <c:pt idx="1">
                  <c:v>Average Customer</c:v>
                </c:pt>
                <c:pt idx="2">
                  <c:v>Low Savings Partcipant</c:v>
                </c:pt>
                <c:pt idx="3">
                  <c:v>High Savings Partcipant</c:v>
                </c:pt>
              </c:strCache>
            </c:strRef>
          </c:cat>
          <c:val>
            <c:numRef>
              <c:f>Bills_Res!$DJ$42:$DJ$45</c:f>
              <c:numCache>
                <c:formatCode>"$"#,##0.00</c:formatCode>
                <c:ptCount val="4"/>
                <c:pt idx="0">
                  <c:v>1.6517767660260461</c:v>
                </c:pt>
                <c:pt idx="1">
                  <c:v>6.7392005763167617E-2</c:v>
                </c:pt>
                <c:pt idx="2">
                  <c:v>0.70978537813880394</c:v>
                </c:pt>
                <c:pt idx="3">
                  <c:v>-4.9421629491854446</c:v>
                </c:pt>
              </c:numCache>
            </c:numRef>
          </c:val>
          <c:extLst>
            <c:ext xmlns:c15="http://schemas.microsoft.com/office/drawing/2012/chart" uri="{02D57815-91ED-43cb-92C2-25804820EDAC}">
              <c15:datalabelsRange>
                <c15:f>Bills_Res!$DJ$47:$DJ$50</c15:f>
                <c15:dlblRangeCache>
                  <c:ptCount val="4"/>
                  <c:pt idx="0">
                    <c:v>0.2%</c:v>
                  </c:pt>
                  <c:pt idx="1">
                    <c:v>0.0%</c:v>
                  </c:pt>
                  <c:pt idx="2">
                    <c:v>0.1%</c:v>
                  </c:pt>
                  <c:pt idx="3">
                    <c:v>-0.5%</c:v>
                  </c:pt>
                </c15:dlblRangeCache>
              </c15:datalabelsRange>
            </c:ext>
            <c:ext xmlns:c16="http://schemas.microsoft.com/office/drawing/2014/chart" uri="{C3380CC4-5D6E-409C-BE32-E72D297353CC}">
              <c16:uniqueId val="{00000004-051E-414E-8DDF-4F78D335BD32}"/>
            </c:ext>
          </c:extLst>
        </c:ser>
        <c:dLbls>
          <c:dLblPos val="outEnd"/>
          <c:showLegendKey val="0"/>
          <c:showVal val="1"/>
          <c:showCatName val="0"/>
          <c:showSerName val="0"/>
          <c:showPercent val="0"/>
          <c:showBubbleSize val="0"/>
        </c:dLbls>
        <c:gapWidth val="50"/>
        <c:axId val="-694140192"/>
        <c:axId val="-694150528"/>
      </c:barChart>
      <c:catAx>
        <c:axId val="-69414019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50528"/>
        <c:crosses val="autoZero"/>
        <c:auto val="1"/>
        <c:lblAlgn val="ctr"/>
        <c:lblOffset val="100"/>
        <c:noMultiLvlLbl val="0"/>
      </c:catAx>
      <c:valAx>
        <c:axId val="-69415052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Bills_Res!$DG$5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C1C98569-C839-46EF-8CEB-CCCCFD96AC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30C-41E3-9C2F-B3D0F515DA1D}"/>
                </c:ext>
              </c:extLst>
            </c:dLbl>
            <c:dLbl>
              <c:idx val="1"/>
              <c:tx>
                <c:rich>
                  <a:bodyPr/>
                  <a:lstStyle/>
                  <a:p>
                    <a:fld id="{2BF3D25C-132E-4C36-8CE6-389BA38E10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30C-41E3-9C2F-B3D0F515DA1D}"/>
                </c:ext>
              </c:extLst>
            </c:dLbl>
            <c:dLbl>
              <c:idx val="2"/>
              <c:tx>
                <c:rich>
                  <a:bodyPr/>
                  <a:lstStyle/>
                  <a:p>
                    <a:fld id="{21EA8F7E-2217-4490-9A88-532BF78C4A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30C-41E3-9C2F-B3D0F515DA1D}"/>
                </c:ext>
              </c:extLst>
            </c:dLbl>
            <c:dLbl>
              <c:idx val="3"/>
              <c:tx>
                <c:rich>
                  <a:bodyPr/>
                  <a:lstStyle/>
                  <a:p>
                    <a:fld id="{68E430BC-B956-4E7E-85C4-135DB1D865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0C-41E3-9C2F-B3D0F515DA1D}"/>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Bills_Res!$DE$42:$DE$45</c:f>
              <c:strCache>
                <c:ptCount val="4"/>
                <c:pt idx="0">
                  <c:v>Non-Participant</c:v>
                </c:pt>
                <c:pt idx="1">
                  <c:v>Average Customer</c:v>
                </c:pt>
                <c:pt idx="2">
                  <c:v>Low Savings Partcipant</c:v>
                </c:pt>
                <c:pt idx="3">
                  <c:v>High Savings Partcipant</c:v>
                </c:pt>
              </c:strCache>
            </c:strRef>
          </c:cat>
          <c:val>
            <c:numRef>
              <c:f>Bills_Res!$DG$42:$DG$45</c:f>
              <c:numCache>
                <c:formatCode>"$"#,##0.00</c:formatCode>
                <c:ptCount val="4"/>
                <c:pt idx="0">
                  <c:v>0.57529500869759431</c:v>
                </c:pt>
                <c:pt idx="1">
                  <c:v>2.4875551589616407E-2</c:v>
                </c:pt>
                <c:pt idx="2">
                  <c:v>-0.40216177195338787</c:v>
                </c:pt>
                <c:pt idx="3">
                  <c:v>-6.2669024558593946</c:v>
                </c:pt>
              </c:numCache>
            </c:numRef>
          </c:val>
          <c:extLst>
            <c:ext xmlns:c15="http://schemas.microsoft.com/office/drawing/2012/chart" uri="{02D57815-91ED-43cb-92C2-25804820EDAC}">
              <c15:datalabelsRange>
                <c15:f>Bills_Res!$DG$47:$DG$50</c15:f>
                <c15:dlblRangeCache>
                  <c:ptCount val="4"/>
                  <c:pt idx="0">
                    <c:v>0.1%</c:v>
                  </c:pt>
                  <c:pt idx="1">
                    <c:v>0.0%</c:v>
                  </c:pt>
                  <c:pt idx="2">
                    <c:v>0.0%</c:v>
                  </c:pt>
                  <c:pt idx="3">
                    <c:v>-0.7%</c:v>
                  </c:pt>
                </c15:dlblRangeCache>
              </c15:datalabelsRange>
            </c:ext>
            <c:ext xmlns:c16="http://schemas.microsoft.com/office/drawing/2014/chart" uri="{C3380CC4-5D6E-409C-BE32-E72D297353CC}">
              <c16:uniqueId val="{00000000-26AD-4C9C-BB69-67EC2BCFE5E8}"/>
            </c:ext>
          </c:extLst>
        </c:ser>
        <c:ser>
          <c:idx val="1"/>
          <c:order val="1"/>
          <c:tx>
            <c:strRef>
              <c:f>Bills_Res!$DH$5</c:f>
              <c:strCache>
                <c:ptCount val="1"/>
                <c:pt idx="0">
                  <c:v>2022</c:v>
                </c:pt>
              </c:strCache>
            </c:strRef>
          </c:tx>
          <c:spPr>
            <a:solidFill>
              <a:schemeClr val="accent5"/>
            </a:solidFill>
            <a:ln>
              <a:solidFill>
                <a:schemeClr val="bg1"/>
              </a:solidFill>
            </a:ln>
            <a:effectLst/>
          </c:spPr>
          <c:invertIfNegative val="0"/>
          <c:dLbls>
            <c:dLbl>
              <c:idx val="0"/>
              <c:tx>
                <c:rich>
                  <a:bodyPr/>
                  <a:lstStyle/>
                  <a:p>
                    <a:fld id="{2DC02FA6-638C-47A3-B8B9-626F4F6614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0C-41E3-9C2F-B3D0F515DA1D}"/>
                </c:ext>
              </c:extLst>
            </c:dLbl>
            <c:dLbl>
              <c:idx val="1"/>
              <c:tx>
                <c:rich>
                  <a:bodyPr/>
                  <a:lstStyle/>
                  <a:p>
                    <a:fld id="{36E9A904-F515-4FCA-AEAD-F1F10C9B9F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0C-41E3-9C2F-B3D0F515DA1D}"/>
                </c:ext>
              </c:extLst>
            </c:dLbl>
            <c:dLbl>
              <c:idx val="2"/>
              <c:tx>
                <c:rich>
                  <a:bodyPr/>
                  <a:lstStyle/>
                  <a:p>
                    <a:fld id="{54569D43-08C9-4B81-A3EC-F5F6440163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0C-41E3-9C2F-B3D0F515DA1D}"/>
                </c:ext>
              </c:extLst>
            </c:dLbl>
            <c:dLbl>
              <c:idx val="3"/>
              <c:tx>
                <c:rich>
                  <a:bodyPr/>
                  <a:lstStyle/>
                  <a:p>
                    <a:fld id="{9378159E-389D-41B0-BDAD-2D39BFB12F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0C-41E3-9C2F-B3D0F515DA1D}"/>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Bills_Res!$DE$42:$DE$45</c:f>
              <c:strCache>
                <c:ptCount val="4"/>
                <c:pt idx="0">
                  <c:v>Non-Participant</c:v>
                </c:pt>
                <c:pt idx="1">
                  <c:v>Average Customer</c:v>
                </c:pt>
                <c:pt idx="2">
                  <c:v>Low Savings Partcipant</c:v>
                </c:pt>
                <c:pt idx="3">
                  <c:v>High Savings Partcipant</c:v>
                </c:pt>
              </c:strCache>
            </c:strRef>
          </c:cat>
          <c:val>
            <c:numRef>
              <c:f>Bills_Res!$DH$42:$DH$45</c:f>
              <c:numCache>
                <c:formatCode>"$"#,##0.00</c:formatCode>
                <c:ptCount val="4"/>
                <c:pt idx="0">
                  <c:v>0.58995071637605179</c:v>
                </c:pt>
                <c:pt idx="1">
                  <c:v>3.1896453050080709E-2</c:v>
                </c:pt>
                <c:pt idx="2">
                  <c:v>-0.38783791977004967</c:v>
                </c:pt>
                <c:pt idx="3">
                  <c:v>-6.2545697366484774</c:v>
                </c:pt>
              </c:numCache>
            </c:numRef>
          </c:val>
          <c:extLst>
            <c:ext xmlns:c15="http://schemas.microsoft.com/office/drawing/2012/chart" uri="{02D57815-91ED-43cb-92C2-25804820EDAC}">
              <c15:datalabelsRange>
                <c15:f>Bills_Res!$DH$35:$DH$38</c15:f>
                <c15:dlblRangeCache>
                  <c:ptCount val="4"/>
                  <c:pt idx="0">
                    <c:v>0.4%</c:v>
                  </c:pt>
                  <c:pt idx="1">
                    <c:v>-0.1%</c:v>
                  </c:pt>
                  <c:pt idx="2">
                    <c:v>-0.2%</c:v>
                  </c:pt>
                  <c:pt idx="3">
                    <c:v>-4.0%</c:v>
                  </c:pt>
                </c15:dlblRangeCache>
              </c15:datalabelsRange>
            </c:ext>
            <c:ext xmlns:c16="http://schemas.microsoft.com/office/drawing/2014/chart" uri="{C3380CC4-5D6E-409C-BE32-E72D297353CC}">
              <c16:uniqueId val="{00000001-26AD-4C9C-BB69-67EC2BCFE5E8}"/>
            </c:ext>
          </c:extLst>
        </c:ser>
        <c:ser>
          <c:idx val="2"/>
          <c:order val="2"/>
          <c:tx>
            <c:strRef>
              <c:f>Bills_Res!$DI$5</c:f>
              <c:strCache>
                <c:ptCount val="1"/>
                <c:pt idx="0">
                  <c:v>2023</c:v>
                </c:pt>
              </c:strCache>
            </c:strRef>
          </c:tx>
          <c:spPr>
            <a:solidFill>
              <a:schemeClr val="accent3"/>
            </a:solidFill>
            <a:ln>
              <a:solidFill>
                <a:schemeClr val="bg1"/>
              </a:solidFill>
            </a:ln>
            <a:effectLst/>
          </c:spPr>
          <c:invertIfNegative val="0"/>
          <c:dLbls>
            <c:dLbl>
              <c:idx val="0"/>
              <c:tx>
                <c:rich>
                  <a:bodyPr/>
                  <a:lstStyle/>
                  <a:p>
                    <a:fld id="{617DC7E8-E56B-4CA6-9C2F-297F396D07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0C-41E3-9C2F-B3D0F515DA1D}"/>
                </c:ext>
              </c:extLst>
            </c:dLbl>
            <c:dLbl>
              <c:idx val="1"/>
              <c:tx>
                <c:rich>
                  <a:bodyPr/>
                  <a:lstStyle/>
                  <a:p>
                    <a:fld id="{76178F6F-BC06-4919-B0F3-F3079A95CC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0C-41E3-9C2F-B3D0F515DA1D}"/>
                </c:ext>
              </c:extLst>
            </c:dLbl>
            <c:dLbl>
              <c:idx val="2"/>
              <c:tx>
                <c:rich>
                  <a:bodyPr/>
                  <a:lstStyle/>
                  <a:p>
                    <a:fld id="{9F267966-3282-4324-BBA2-ADD493B111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30C-41E3-9C2F-B3D0F515DA1D}"/>
                </c:ext>
              </c:extLst>
            </c:dLbl>
            <c:dLbl>
              <c:idx val="3"/>
              <c:tx>
                <c:rich>
                  <a:bodyPr/>
                  <a:lstStyle/>
                  <a:p>
                    <a:fld id="{2284B768-780D-48C6-881F-1E9D4A6D83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30C-41E3-9C2F-B3D0F515DA1D}"/>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Bills_Res!$DE$42:$DE$45</c:f>
              <c:strCache>
                <c:ptCount val="4"/>
                <c:pt idx="0">
                  <c:v>Non-Participant</c:v>
                </c:pt>
                <c:pt idx="1">
                  <c:v>Average Customer</c:v>
                </c:pt>
                <c:pt idx="2">
                  <c:v>Low Savings Partcipant</c:v>
                </c:pt>
                <c:pt idx="3">
                  <c:v>High Savings Partcipant</c:v>
                </c:pt>
              </c:strCache>
            </c:strRef>
          </c:cat>
          <c:val>
            <c:numRef>
              <c:f>Bills_Res!$DI$42:$DI$45</c:f>
              <c:numCache>
                <c:formatCode>"$"#,##0.00</c:formatCode>
                <c:ptCount val="4"/>
                <c:pt idx="0">
                  <c:v>0.60656706200666122</c:v>
                </c:pt>
                <c:pt idx="1">
                  <c:v>3.776513316756791E-2</c:v>
                </c:pt>
                <c:pt idx="2">
                  <c:v>-0.37160013929201341</c:v>
                </c:pt>
                <c:pt idx="3">
                  <c:v>-6.2406033470847433</c:v>
                </c:pt>
              </c:numCache>
            </c:numRef>
          </c:val>
          <c:extLst>
            <c:ext xmlns:c15="http://schemas.microsoft.com/office/drawing/2012/chart" uri="{02D57815-91ED-43cb-92C2-25804820EDAC}">
              <c15:datalabelsRange>
                <c15:f>Bills_Res!$DI$47:$DI$50</c15:f>
                <c15:dlblRangeCache>
                  <c:ptCount val="4"/>
                  <c:pt idx="0">
                    <c:v>0.1%</c:v>
                  </c:pt>
                  <c:pt idx="1">
                    <c:v>0.0%</c:v>
                  </c:pt>
                  <c:pt idx="2">
                    <c:v>0.0%</c:v>
                  </c:pt>
                  <c:pt idx="3">
                    <c:v>-0.7%</c:v>
                  </c:pt>
                </c15:dlblRangeCache>
              </c15:datalabelsRange>
            </c:ext>
            <c:ext xmlns:c16="http://schemas.microsoft.com/office/drawing/2014/chart" uri="{C3380CC4-5D6E-409C-BE32-E72D297353CC}">
              <c16:uniqueId val="{00000002-26AD-4C9C-BB69-67EC2BCFE5E8}"/>
            </c:ext>
          </c:extLst>
        </c:ser>
        <c:dLbls>
          <c:dLblPos val="outEnd"/>
          <c:showLegendKey val="0"/>
          <c:showVal val="1"/>
          <c:showCatName val="0"/>
          <c:showSerName val="0"/>
          <c:showPercent val="0"/>
          <c:showBubbleSize val="0"/>
        </c:dLbls>
        <c:gapWidth val="50"/>
        <c:axId val="-694139648"/>
        <c:axId val="-694137472"/>
      </c:barChart>
      <c:catAx>
        <c:axId val="-69413964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37472"/>
        <c:crosses val="autoZero"/>
        <c:auto val="1"/>
        <c:lblAlgn val="ctr"/>
        <c:lblOffset val="100"/>
        <c:noMultiLvlLbl val="0"/>
      </c:catAx>
      <c:valAx>
        <c:axId val="-69413747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3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Bills_LI!$DJ$5</c:f>
              <c:strCache>
                <c:ptCount val="1"/>
                <c:pt idx="0">
                  <c:v>2021-2023</c:v>
                </c:pt>
              </c:strCache>
            </c:strRef>
          </c:tx>
          <c:spPr>
            <a:solidFill>
              <a:schemeClr val="accent1">
                <a:lumMod val="75000"/>
              </a:schemeClr>
            </a:solidFill>
            <a:ln>
              <a:solidFill>
                <a:schemeClr val="bg1"/>
              </a:solidFill>
            </a:ln>
            <a:effectLst/>
          </c:spPr>
          <c:invertIfNegative val="0"/>
          <c:dLbls>
            <c:dLbl>
              <c:idx val="0"/>
              <c:tx>
                <c:rich>
                  <a:bodyPr/>
                  <a:lstStyle/>
                  <a:p>
                    <a:fld id="{BCD5143A-C096-4C3C-AB77-8AFF7C5D6B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3D1-4AA2-899D-04D029213C16}"/>
                </c:ext>
              </c:extLst>
            </c:dLbl>
            <c:dLbl>
              <c:idx val="1"/>
              <c:tx>
                <c:rich>
                  <a:bodyPr/>
                  <a:lstStyle/>
                  <a:p>
                    <a:fld id="{98873B47-F548-47FB-BED1-BB9CF0CA51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D1-4AA2-899D-04D029213C16}"/>
                </c:ext>
              </c:extLst>
            </c:dLbl>
            <c:dLbl>
              <c:idx val="2"/>
              <c:tx>
                <c:rich>
                  <a:bodyPr/>
                  <a:lstStyle/>
                  <a:p>
                    <a:fld id="{B56CFDAB-F8D2-4B53-ADA2-6F7D0826E3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D1-4AA2-899D-04D029213C16}"/>
                </c:ext>
              </c:extLst>
            </c:dLbl>
            <c:dLbl>
              <c:idx val="3"/>
              <c:tx>
                <c:rich>
                  <a:bodyPr/>
                  <a:lstStyle/>
                  <a:p>
                    <a:fld id="{8B9D72B5-AF19-41CB-8DAD-4C4DE147B0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D1-4AA2-899D-04D029213C16}"/>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Bills_LI!$DE$13:$DE$16</c:f>
              <c:strCache>
                <c:ptCount val="4"/>
                <c:pt idx="0">
                  <c:v>Non-Participant</c:v>
                </c:pt>
                <c:pt idx="1">
                  <c:v>Average Customer</c:v>
                </c:pt>
                <c:pt idx="2">
                  <c:v>Low Savings Partcipant</c:v>
                </c:pt>
                <c:pt idx="3">
                  <c:v>High Savings Partcipant</c:v>
                </c:pt>
              </c:strCache>
            </c:strRef>
          </c:cat>
          <c:val>
            <c:numRef>
              <c:f>Bills_LI!$DJ$13:$DJ$16</c:f>
              <c:numCache>
                <c:formatCode>"$"#,##0.00</c:formatCode>
                <c:ptCount val="4"/>
                <c:pt idx="0">
                  <c:v>9.3353679862618293</c:v>
                </c:pt>
                <c:pt idx="1">
                  <c:v>-19.59158041687455</c:v>
                </c:pt>
                <c:pt idx="2">
                  <c:v>5.1154259582299604</c:v>
                </c:pt>
                <c:pt idx="3">
                  <c:v>-20.204226209961291</c:v>
                </c:pt>
              </c:numCache>
            </c:numRef>
          </c:val>
          <c:extLst>
            <c:ext xmlns:c15="http://schemas.microsoft.com/office/drawing/2012/chart" uri="{02D57815-91ED-43cb-92C2-25804820EDAC}">
              <c15:datalabelsRange>
                <c15:f>Bills_LI!$DJ$18:$DJ$21</c15:f>
                <c15:dlblRangeCache>
                  <c:ptCount val="4"/>
                  <c:pt idx="0">
                    <c:v>1.5%</c:v>
                  </c:pt>
                  <c:pt idx="1">
                    <c:v>-3.2%</c:v>
                  </c:pt>
                  <c:pt idx="2">
                    <c:v>0.8%</c:v>
                  </c:pt>
                  <c:pt idx="3">
                    <c:v>-3.3%</c:v>
                  </c:pt>
                </c15:dlblRangeCache>
              </c15:datalabelsRange>
            </c:ext>
            <c:ext xmlns:c16="http://schemas.microsoft.com/office/drawing/2014/chart" uri="{C3380CC4-5D6E-409C-BE32-E72D297353CC}">
              <c16:uniqueId val="{00000004-228E-4446-A4D5-1A503D3E9D99}"/>
            </c:ext>
          </c:extLst>
        </c:ser>
        <c:dLbls>
          <c:dLblPos val="outEnd"/>
          <c:showLegendKey val="0"/>
          <c:showVal val="1"/>
          <c:showCatName val="0"/>
          <c:showSerName val="0"/>
          <c:showPercent val="0"/>
          <c:showBubbleSize val="0"/>
        </c:dLbls>
        <c:gapWidth val="50"/>
        <c:axId val="-694149440"/>
        <c:axId val="-694146720"/>
      </c:barChart>
      <c:catAx>
        <c:axId val="-69414944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6720"/>
        <c:crosses val="autoZero"/>
        <c:auto val="1"/>
        <c:lblAlgn val="ctr"/>
        <c:lblOffset val="100"/>
        <c:noMultiLvlLbl val="0"/>
      </c:catAx>
      <c:valAx>
        <c:axId val="-6941467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Bills_LI!$DG$5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D73BEE1C-1A82-47E2-8419-4CBBF56175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775-476E-91FC-8130875D510E}"/>
                </c:ext>
              </c:extLst>
            </c:dLbl>
            <c:dLbl>
              <c:idx val="1"/>
              <c:tx>
                <c:rich>
                  <a:bodyPr/>
                  <a:lstStyle/>
                  <a:p>
                    <a:fld id="{814096EE-1C49-4E02-B848-56BEE06A55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775-476E-91FC-8130875D510E}"/>
                </c:ext>
              </c:extLst>
            </c:dLbl>
            <c:dLbl>
              <c:idx val="2"/>
              <c:tx>
                <c:rich>
                  <a:bodyPr/>
                  <a:lstStyle/>
                  <a:p>
                    <a:fld id="{65E4D25E-1E45-401F-9964-6C44B5136B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75-476E-91FC-8130875D510E}"/>
                </c:ext>
              </c:extLst>
            </c:dLbl>
            <c:dLbl>
              <c:idx val="3"/>
              <c:tx>
                <c:rich>
                  <a:bodyPr/>
                  <a:lstStyle/>
                  <a:p>
                    <a:fld id="{C42EF57F-029E-459D-B5D7-151BCC7FD0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75-476E-91FC-8130875D510E}"/>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Bills_LI!$DE$13:$DE$16</c:f>
              <c:strCache>
                <c:ptCount val="4"/>
                <c:pt idx="0">
                  <c:v>Non-Participant</c:v>
                </c:pt>
                <c:pt idx="1">
                  <c:v>Average Customer</c:v>
                </c:pt>
                <c:pt idx="2">
                  <c:v>Low Savings Partcipant</c:v>
                </c:pt>
                <c:pt idx="3">
                  <c:v>High Savings Partcipant</c:v>
                </c:pt>
              </c:strCache>
            </c:strRef>
          </c:cat>
          <c:val>
            <c:numRef>
              <c:f>Bills_LI!$DG$13:$DG$16</c:f>
              <c:numCache>
                <c:formatCode>"$"#,##0.00</c:formatCode>
                <c:ptCount val="4"/>
                <c:pt idx="0">
                  <c:v>3.2115994702308921</c:v>
                </c:pt>
                <c:pt idx="1">
                  <c:v>-6.7677146070967664</c:v>
                </c:pt>
                <c:pt idx="2">
                  <c:v>-1.2204943672123041</c:v>
                </c:pt>
                <c:pt idx="3">
                  <c:v>-27.813057391872093</c:v>
                </c:pt>
              </c:numCache>
            </c:numRef>
          </c:val>
          <c:extLst>
            <c:ext xmlns:c15="http://schemas.microsoft.com/office/drawing/2012/chart" uri="{02D57815-91ED-43cb-92C2-25804820EDAC}">
              <c15:datalabelsRange>
                <c15:f>Bills_LI!$DG$18:$DG$21</c15:f>
                <c15:dlblRangeCache>
                  <c:ptCount val="4"/>
                  <c:pt idx="0">
                    <c:v>0.5%</c:v>
                  </c:pt>
                  <c:pt idx="1">
                    <c:v>-1.1%</c:v>
                  </c:pt>
                  <c:pt idx="2">
                    <c:v>-0.2%</c:v>
                  </c:pt>
                  <c:pt idx="3">
                    <c:v>-4.6%</c:v>
                  </c:pt>
                </c15:dlblRangeCache>
              </c15:datalabelsRange>
            </c:ext>
            <c:ext xmlns:c16="http://schemas.microsoft.com/office/drawing/2014/chart" uri="{C3380CC4-5D6E-409C-BE32-E72D297353CC}">
              <c16:uniqueId val="{00000004-9284-4E61-B5CD-B10CD48F0A64}"/>
            </c:ext>
          </c:extLst>
        </c:ser>
        <c:ser>
          <c:idx val="1"/>
          <c:order val="1"/>
          <c:tx>
            <c:strRef>
              <c:f>Bills_LI!$DH$5</c:f>
              <c:strCache>
                <c:ptCount val="1"/>
                <c:pt idx="0">
                  <c:v>2022</c:v>
                </c:pt>
              </c:strCache>
            </c:strRef>
          </c:tx>
          <c:spPr>
            <a:solidFill>
              <a:schemeClr val="accent5"/>
            </a:solidFill>
            <a:ln>
              <a:solidFill>
                <a:schemeClr val="bg1"/>
              </a:solidFill>
            </a:ln>
            <a:effectLst/>
          </c:spPr>
          <c:invertIfNegative val="0"/>
          <c:dLbls>
            <c:dLbl>
              <c:idx val="0"/>
              <c:tx>
                <c:rich>
                  <a:bodyPr/>
                  <a:lstStyle/>
                  <a:p>
                    <a:fld id="{33648974-2F65-4966-B50D-BD3A0235D5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75-476E-91FC-8130875D510E}"/>
                </c:ext>
              </c:extLst>
            </c:dLbl>
            <c:dLbl>
              <c:idx val="1"/>
              <c:tx>
                <c:rich>
                  <a:bodyPr/>
                  <a:lstStyle/>
                  <a:p>
                    <a:fld id="{FA4E0D7F-10C2-466D-90F4-B337CB06B4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75-476E-91FC-8130875D510E}"/>
                </c:ext>
              </c:extLst>
            </c:dLbl>
            <c:dLbl>
              <c:idx val="2"/>
              <c:tx>
                <c:rich>
                  <a:bodyPr/>
                  <a:lstStyle/>
                  <a:p>
                    <a:fld id="{24482126-8E46-46E0-9488-526B85A2EF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75-476E-91FC-8130875D510E}"/>
                </c:ext>
              </c:extLst>
            </c:dLbl>
            <c:dLbl>
              <c:idx val="3"/>
              <c:tx>
                <c:rich>
                  <a:bodyPr/>
                  <a:lstStyle/>
                  <a:p>
                    <a:fld id="{7F9E5660-722F-4CA4-9F04-19FDE3EFB5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75-476E-91FC-8130875D510E}"/>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Bills_LI!$DE$13:$DE$16</c:f>
              <c:strCache>
                <c:ptCount val="4"/>
                <c:pt idx="0">
                  <c:v>Non-Participant</c:v>
                </c:pt>
                <c:pt idx="1">
                  <c:v>Average Customer</c:v>
                </c:pt>
                <c:pt idx="2">
                  <c:v>Low Savings Partcipant</c:v>
                </c:pt>
                <c:pt idx="3">
                  <c:v>High Savings Partcipant</c:v>
                </c:pt>
              </c:strCache>
            </c:strRef>
          </c:cat>
          <c:val>
            <c:numRef>
              <c:f>Bills_LI!$DH$13:$DH$16</c:f>
              <c:numCache>
                <c:formatCode>"$"#,##0.00</c:formatCode>
                <c:ptCount val="4"/>
                <c:pt idx="0">
                  <c:v>3.3106834031239316</c:v>
                </c:pt>
                <c:pt idx="1">
                  <c:v>-6.978350503734152</c:v>
                </c:pt>
                <c:pt idx="2">
                  <c:v>-1.1224012736482698</c:v>
                </c:pt>
                <c:pt idx="3">
                  <c:v>-27.720909334281568</c:v>
                </c:pt>
              </c:numCache>
            </c:numRef>
          </c:val>
          <c:extLst>
            <c:ext xmlns:c15="http://schemas.microsoft.com/office/drawing/2012/chart" uri="{02D57815-91ED-43cb-92C2-25804820EDAC}">
              <c15:datalabelsRange>
                <c15:f>Bills_LI!$DH$18:$DH$21</c15:f>
                <c15:dlblRangeCache>
                  <c:ptCount val="4"/>
                  <c:pt idx="0">
                    <c:v>0.5%</c:v>
                  </c:pt>
                  <c:pt idx="1">
                    <c:v>-1.2%</c:v>
                  </c:pt>
                  <c:pt idx="2">
                    <c:v>-0.2%</c:v>
                  </c:pt>
                  <c:pt idx="3">
                    <c:v>-4.6%</c:v>
                  </c:pt>
                </c15:dlblRangeCache>
              </c15:datalabelsRange>
            </c:ext>
            <c:ext xmlns:c16="http://schemas.microsoft.com/office/drawing/2014/chart" uri="{C3380CC4-5D6E-409C-BE32-E72D297353CC}">
              <c16:uniqueId val="{00000009-9284-4E61-B5CD-B10CD48F0A64}"/>
            </c:ext>
          </c:extLst>
        </c:ser>
        <c:ser>
          <c:idx val="2"/>
          <c:order val="2"/>
          <c:tx>
            <c:strRef>
              <c:f>Bills_LI!$DI$5</c:f>
              <c:strCache>
                <c:ptCount val="1"/>
                <c:pt idx="0">
                  <c:v>2023</c:v>
                </c:pt>
              </c:strCache>
            </c:strRef>
          </c:tx>
          <c:spPr>
            <a:solidFill>
              <a:schemeClr val="accent3"/>
            </a:solidFill>
            <a:ln>
              <a:solidFill>
                <a:schemeClr val="bg1"/>
              </a:solidFill>
            </a:ln>
            <a:effectLst/>
          </c:spPr>
          <c:invertIfNegative val="0"/>
          <c:dLbls>
            <c:dLbl>
              <c:idx val="0"/>
              <c:tx>
                <c:rich>
                  <a:bodyPr/>
                  <a:lstStyle/>
                  <a:p>
                    <a:fld id="{3848EFCE-EAF0-48B4-8066-DBF03C7918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75-476E-91FC-8130875D510E}"/>
                </c:ext>
              </c:extLst>
            </c:dLbl>
            <c:dLbl>
              <c:idx val="1"/>
              <c:tx>
                <c:rich>
                  <a:bodyPr/>
                  <a:lstStyle/>
                  <a:p>
                    <a:fld id="{3893EAAC-F01F-44B8-8B50-F310E698C2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75-476E-91FC-8130875D510E}"/>
                </c:ext>
              </c:extLst>
            </c:dLbl>
            <c:dLbl>
              <c:idx val="2"/>
              <c:tx>
                <c:rich>
                  <a:bodyPr/>
                  <a:lstStyle/>
                  <a:p>
                    <a:fld id="{C2CD1A7F-D96E-43C9-99B3-43439C7FC3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75-476E-91FC-8130875D510E}"/>
                </c:ext>
              </c:extLst>
            </c:dLbl>
            <c:dLbl>
              <c:idx val="3"/>
              <c:tx>
                <c:rich>
                  <a:bodyPr/>
                  <a:lstStyle/>
                  <a:p>
                    <a:fld id="{29A177B2-5909-47C7-BF9A-3D5AB209A5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75-476E-91FC-8130875D510E}"/>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Bills_LI!$DE$13:$DE$16</c:f>
              <c:strCache>
                <c:ptCount val="4"/>
                <c:pt idx="0">
                  <c:v>Non-Participant</c:v>
                </c:pt>
                <c:pt idx="1">
                  <c:v>Average Customer</c:v>
                </c:pt>
                <c:pt idx="2">
                  <c:v>Low Savings Partcipant</c:v>
                </c:pt>
                <c:pt idx="3">
                  <c:v>High Savings Partcipant</c:v>
                </c:pt>
              </c:strCache>
            </c:strRef>
          </c:cat>
          <c:val>
            <c:numRef>
              <c:f>Bills_LI!$DI$13:$DI$16</c:f>
              <c:numCache>
                <c:formatCode>"$"#,##0.00</c:formatCode>
                <c:ptCount val="4"/>
                <c:pt idx="0">
                  <c:v>3.4271685397669507</c:v>
                </c:pt>
                <c:pt idx="1">
                  <c:v>-7.264752620974555</c:v>
                </c:pt>
                <c:pt idx="2">
                  <c:v>-1.007080988371724</c:v>
                </c:pt>
                <c:pt idx="3">
                  <c:v>-27.612578157203618</c:v>
                </c:pt>
              </c:numCache>
            </c:numRef>
          </c:val>
          <c:extLst>
            <c:ext xmlns:c15="http://schemas.microsoft.com/office/drawing/2012/chart" uri="{02D57815-91ED-43cb-92C2-25804820EDAC}">
              <c15:datalabelsRange>
                <c15:f>Bills_LI!$DI$18:$DI$21</c15:f>
                <c15:dlblRangeCache>
                  <c:ptCount val="4"/>
                  <c:pt idx="0">
                    <c:v>0.6%</c:v>
                  </c:pt>
                  <c:pt idx="1">
                    <c:v>-1.2%</c:v>
                  </c:pt>
                  <c:pt idx="2">
                    <c:v>-0.2%</c:v>
                  </c:pt>
                  <c:pt idx="3">
                    <c:v>-4.6%</c:v>
                  </c:pt>
                </c15:dlblRangeCache>
              </c15:datalabelsRange>
            </c:ext>
            <c:ext xmlns:c16="http://schemas.microsoft.com/office/drawing/2014/chart" uri="{C3380CC4-5D6E-409C-BE32-E72D297353CC}">
              <c16:uniqueId val="{0000000E-9284-4E61-B5CD-B10CD48F0A64}"/>
            </c:ext>
          </c:extLst>
        </c:ser>
        <c:dLbls>
          <c:showLegendKey val="0"/>
          <c:showVal val="0"/>
          <c:showCatName val="0"/>
          <c:showSerName val="0"/>
          <c:showPercent val="0"/>
          <c:showBubbleSize val="0"/>
        </c:dLbls>
        <c:gapWidth val="50"/>
        <c:axId val="-694148896"/>
        <c:axId val="-694148352"/>
      </c:barChart>
      <c:catAx>
        <c:axId val="-69414889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8352"/>
        <c:crosses val="autoZero"/>
        <c:auto val="1"/>
        <c:lblAlgn val="ctr"/>
        <c:lblOffset val="100"/>
        <c:noMultiLvlLbl val="0"/>
      </c:catAx>
      <c:valAx>
        <c:axId val="-6941483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Bills_LI!$DG$5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Bills_LI!$DE$8:$DE$11</c:f>
              <c:strCache>
                <c:ptCount val="4"/>
                <c:pt idx="0">
                  <c:v>Non-Participant</c:v>
                </c:pt>
                <c:pt idx="1">
                  <c:v>Average Customer</c:v>
                </c:pt>
                <c:pt idx="2">
                  <c:v>Low Savings Partcipant</c:v>
                </c:pt>
                <c:pt idx="3">
                  <c:v>High Savings Partcipant</c:v>
                </c:pt>
              </c:strCache>
            </c:strRef>
          </c:cat>
          <c:val>
            <c:numRef>
              <c:f>Bills_LI!$DG$8:$DG$11</c:f>
              <c:numCache>
                <c:formatCode>"$"#,##0</c:formatCode>
                <c:ptCount val="4"/>
                <c:pt idx="0">
                  <c:v>607.15601347507345</c:v>
                </c:pt>
                <c:pt idx="1">
                  <c:v>597.17669939774578</c:v>
                </c:pt>
                <c:pt idx="2">
                  <c:v>602.72391963763027</c:v>
                </c:pt>
                <c:pt idx="3">
                  <c:v>576.13135661297031</c:v>
                </c:pt>
              </c:numCache>
            </c:numRef>
          </c:val>
          <c:extLst>
            <c:ext xmlns:c16="http://schemas.microsoft.com/office/drawing/2014/chart" uri="{C3380CC4-5D6E-409C-BE32-E72D297353CC}">
              <c16:uniqueId val="{00000000-426F-4B30-8D40-63EC55C85F3A}"/>
            </c:ext>
          </c:extLst>
        </c:ser>
        <c:ser>
          <c:idx val="1"/>
          <c:order val="1"/>
          <c:tx>
            <c:strRef>
              <c:f>Bills_LI!$DH$5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Bills_LI!$DE$8:$DE$11</c:f>
              <c:strCache>
                <c:ptCount val="4"/>
                <c:pt idx="0">
                  <c:v>Non-Participant</c:v>
                </c:pt>
                <c:pt idx="1">
                  <c:v>Average Customer</c:v>
                </c:pt>
                <c:pt idx="2">
                  <c:v>Low Savings Partcipant</c:v>
                </c:pt>
                <c:pt idx="3">
                  <c:v>High Savings Partcipant</c:v>
                </c:pt>
              </c:strCache>
            </c:strRef>
          </c:cat>
          <c:val>
            <c:numRef>
              <c:f>Bills_LI!$DH$8:$DH$11</c:f>
              <c:numCache>
                <c:formatCode>"$"#,##0</c:formatCode>
                <c:ptCount val="4"/>
                <c:pt idx="0">
                  <c:v>607.25509740796656</c:v>
                </c:pt>
                <c:pt idx="1">
                  <c:v>596.96606350110847</c:v>
                </c:pt>
                <c:pt idx="2">
                  <c:v>602.82201273119426</c:v>
                </c:pt>
                <c:pt idx="3">
                  <c:v>576.22350467056094</c:v>
                </c:pt>
              </c:numCache>
            </c:numRef>
          </c:val>
          <c:extLst>
            <c:ext xmlns:c16="http://schemas.microsoft.com/office/drawing/2014/chart" uri="{C3380CC4-5D6E-409C-BE32-E72D297353CC}">
              <c16:uniqueId val="{00000001-426F-4B30-8D40-63EC55C85F3A}"/>
            </c:ext>
          </c:extLst>
        </c:ser>
        <c:ser>
          <c:idx val="2"/>
          <c:order val="2"/>
          <c:tx>
            <c:strRef>
              <c:f>Bills_LI!$DI$5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Bills_LI!$DE$8:$DE$11</c:f>
              <c:strCache>
                <c:ptCount val="4"/>
                <c:pt idx="0">
                  <c:v>Non-Participant</c:v>
                </c:pt>
                <c:pt idx="1">
                  <c:v>Average Customer</c:v>
                </c:pt>
                <c:pt idx="2">
                  <c:v>Low Savings Partcipant</c:v>
                </c:pt>
                <c:pt idx="3">
                  <c:v>High Savings Partcipant</c:v>
                </c:pt>
              </c:strCache>
            </c:strRef>
          </c:cat>
          <c:val>
            <c:numRef>
              <c:f>Bills_LI!$DI$8:$DI$11</c:f>
              <c:numCache>
                <c:formatCode>"$"#,##0</c:formatCode>
                <c:ptCount val="4"/>
                <c:pt idx="0">
                  <c:v>607.3715825446094</c:v>
                </c:pt>
                <c:pt idx="1">
                  <c:v>596.67966138386805</c:v>
                </c:pt>
                <c:pt idx="2">
                  <c:v>602.93733301647092</c:v>
                </c:pt>
                <c:pt idx="3">
                  <c:v>576.3318358476389</c:v>
                </c:pt>
              </c:numCache>
            </c:numRef>
          </c:val>
          <c:extLst>
            <c:ext xmlns:c16="http://schemas.microsoft.com/office/drawing/2014/chart" uri="{C3380CC4-5D6E-409C-BE32-E72D297353CC}">
              <c16:uniqueId val="{00000002-426F-4B30-8D40-63EC55C85F3A}"/>
            </c:ext>
          </c:extLst>
        </c:ser>
        <c:dLbls>
          <c:dLblPos val="outEnd"/>
          <c:showLegendKey val="0"/>
          <c:showVal val="1"/>
          <c:showCatName val="0"/>
          <c:showSerName val="0"/>
          <c:showPercent val="0"/>
          <c:showBubbleSize val="0"/>
        </c:dLbls>
        <c:gapWidth val="50"/>
        <c:axId val="-694146176"/>
        <c:axId val="-690819200"/>
      </c:barChart>
      <c:catAx>
        <c:axId val="-69414617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9200"/>
        <c:crosses val="autoZero"/>
        <c:auto val="1"/>
        <c:lblAlgn val="ctr"/>
        <c:lblOffset val="100"/>
        <c:noMultiLvlLbl val="0"/>
      </c:catAx>
      <c:valAx>
        <c:axId val="-690819200"/>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146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Bills_LI!$DJ$5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7C7B6E12-99B5-4294-B875-C2390B4853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D9F-4FCC-AC32-C5F8F4AD24B9}"/>
                </c:ext>
              </c:extLst>
            </c:dLbl>
            <c:dLbl>
              <c:idx val="1"/>
              <c:tx>
                <c:rich>
                  <a:bodyPr/>
                  <a:lstStyle/>
                  <a:p>
                    <a:fld id="{3479373B-E1E0-4DE7-B2E2-EBAECC5730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D9F-4FCC-AC32-C5F8F4AD24B9}"/>
                </c:ext>
              </c:extLst>
            </c:dLbl>
            <c:dLbl>
              <c:idx val="2"/>
              <c:tx>
                <c:rich>
                  <a:bodyPr/>
                  <a:lstStyle/>
                  <a:p>
                    <a:fld id="{A499A73F-30BE-4448-9080-D3090134E6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D9F-4FCC-AC32-C5F8F4AD24B9}"/>
                </c:ext>
              </c:extLst>
            </c:dLbl>
            <c:dLbl>
              <c:idx val="3"/>
              <c:tx>
                <c:rich>
                  <a:bodyPr/>
                  <a:lstStyle/>
                  <a:p>
                    <a:fld id="{6343D674-A35D-4160-8DA4-4DFC2CA124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D9F-4FCC-AC32-C5F8F4AD24B9}"/>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Bills_LI!$DE$30:$DE$33</c:f>
              <c:strCache>
                <c:ptCount val="4"/>
                <c:pt idx="0">
                  <c:v>Non-Participant</c:v>
                </c:pt>
                <c:pt idx="1">
                  <c:v>Average Customer</c:v>
                </c:pt>
                <c:pt idx="2">
                  <c:v>Low Savings Partcipant</c:v>
                </c:pt>
                <c:pt idx="3">
                  <c:v>High Savings Partcipant</c:v>
                </c:pt>
              </c:strCache>
            </c:strRef>
          </c:cat>
          <c:val>
            <c:numRef>
              <c:f>Bills_LI!$DJ$30:$DJ$33</c:f>
              <c:numCache>
                <c:formatCode>"$"#,##0.00</c:formatCode>
                <c:ptCount val="4"/>
                <c:pt idx="0">
                  <c:v>11.031116826418488</c:v>
                </c:pt>
                <c:pt idx="1">
                  <c:v>-22.1309275807373</c:v>
                </c:pt>
                <c:pt idx="2">
                  <c:v>5.9471164326392545</c:v>
                </c:pt>
                <c:pt idx="3">
                  <c:v>-24.556885930036508</c:v>
                </c:pt>
              </c:numCache>
            </c:numRef>
          </c:val>
          <c:extLst>
            <c:ext xmlns:c15="http://schemas.microsoft.com/office/drawing/2012/chart" uri="{02D57815-91ED-43cb-92C2-25804820EDAC}">
              <c15:datalabelsRange>
                <c15:f>Bills_LI!$DJ$35:$DJ$38</c15:f>
                <c15:dlblRangeCache>
                  <c:ptCount val="4"/>
                  <c:pt idx="0">
                    <c:v>1.8%</c:v>
                  </c:pt>
                  <c:pt idx="1">
                    <c:v>-3.7%</c:v>
                  </c:pt>
                  <c:pt idx="2">
                    <c:v>1.0%</c:v>
                  </c:pt>
                  <c:pt idx="3">
                    <c:v>-4.1%</c:v>
                  </c:pt>
                </c15:dlblRangeCache>
              </c15:datalabelsRange>
            </c:ext>
            <c:ext xmlns:c16="http://schemas.microsoft.com/office/drawing/2014/chart" uri="{C3380CC4-5D6E-409C-BE32-E72D297353CC}">
              <c16:uniqueId val="{00000004-84AC-4B4D-9757-307CACCBB1FE}"/>
            </c:ext>
          </c:extLst>
        </c:ser>
        <c:dLbls>
          <c:dLblPos val="outEnd"/>
          <c:showLegendKey val="0"/>
          <c:showVal val="1"/>
          <c:showCatName val="0"/>
          <c:showSerName val="0"/>
          <c:showPercent val="0"/>
          <c:showBubbleSize val="0"/>
        </c:dLbls>
        <c:gapWidth val="50"/>
        <c:axId val="-690822464"/>
        <c:axId val="-690807776"/>
      </c:barChart>
      <c:catAx>
        <c:axId val="-6908224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07776"/>
        <c:crosses val="autoZero"/>
        <c:auto val="1"/>
        <c:lblAlgn val="ctr"/>
        <c:lblOffset val="100"/>
        <c:noMultiLvlLbl val="0"/>
      </c:catAx>
      <c:valAx>
        <c:axId val="-6908077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Bills_LI!$DG$5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59440776-77BE-463D-8749-67259158BD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550-4A66-AA22-3FD302994B51}"/>
                </c:ext>
              </c:extLst>
            </c:dLbl>
            <c:dLbl>
              <c:idx val="1"/>
              <c:tx>
                <c:rich>
                  <a:bodyPr/>
                  <a:lstStyle/>
                  <a:p>
                    <a:fld id="{BE806266-4FDA-4A05-A90D-1BF9DB928C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50-4A66-AA22-3FD302994B51}"/>
                </c:ext>
              </c:extLst>
            </c:dLbl>
            <c:dLbl>
              <c:idx val="2"/>
              <c:tx>
                <c:rich>
                  <a:bodyPr/>
                  <a:lstStyle/>
                  <a:p>
                    <a:fld id="{A9504CD5-483C-4C6C-B769-3E13C1B22C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50-4A66-AA22-3FD302994B51}"/>
                </c:ext>
              </c:extLst>
            </c:dLbl>
            <c:dLbl>
              <c:idx val="3"/>
              <c:tx>
                <c:rich>
                  <a:bodyPr/>
                  <a:lstStyle/>
                  <a:p>
                    <a:fld id="{F4B7865A-7F67-4ADD-87C6-CF8466B7C2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50-4A66-AA22-3FD302994B5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Bills_LI!$DE$30:$DE$33</c:f>
              <c:strCache>
                <c:ptCount val="4"/>
                <c:pt idx="0">
                  <c:v>Non-Participant</c:v>
                </c:pt>
                <c:pt idx="1">
                  <c:v>Average Customer</c:v>
                </c:pt>
                <c:pt idx="2">
                  <c:v>Low Savings Partcipant</c:v>
                </c:pt>
                <c:pt idx="3">
                  <c:v>High Savings Partcipant</c:v>
                </c:pt>
              </c:strCache>
            </c:strRef>
          </c:cat>
          <c:val>
            <c:numRef>
              <c:f>Bills_LI!$DG$30:$DG$33</c:f>
              <c:numCache>
                <c:formatCode>"$"#,##0.00</c:formatCode>
                <c:ptCount val="4"/>
                <c:pt idx="0">
                  <c:v>3.7885104668931895</c:v>
                </c:pt>
                <c:pt idx="1">
                  <c:v>-7.6312653278710298</c:v>
                </c:pt>
                <c:pt idx="2">
                  <c:v>-1.5369250699986576</c:v>
                </c:pt>
                <c:pt idx="3">
                  <c:v>-33.489538291350023</c:v>
                </c:pt>
              </c:numCache>
            </c:numRef>
          </c:val>
          <c:extLst>
            <c:ext xmlns:c15="http://schemas.microsoft.com/office/drawing/2012/chart" uri="{02D57815-91ED-43cb-92C2-25804820EDAC}">
              <c15:datalabelsRange>
                <c15:f>Bills_LI!$DG$18:$DG$21</c15:f>
                <c15:dlblRangeCache>
                  <c:ptCount val="4"/>
                  <c:pt idx="0">
                    <c:v>0.5%</c:v>
                  </c:pt>
                  <c:pt idx="1">
                    <c:v>-1.1%</c:v>
                  </c:pt>
                  <c:pt idx="2">
                    <c:v>-0.2%</c:v>
                  </c:pt>
                  <c:pt idx="3">
                    <c:v>-4.6%</c:v>
                  </c:pt>
                </c15:dlblRangeCache>
              </c15:datalabelsRange>
            </c:ext>
            <c:ext xmlns:c16="http://schemas.microsoft.com/office/drawing/2014/chart" uri="{C3380CC4-5D6E-409C-BE32-E72D297353CC}">
              <c16:uniqueId val="{00000004-594D-4370-9C6E-EFBF3C9A2BA0}"/>
            </c:ext>
          </c:extLst>
        </c:ser>
        <c:ser>
          <c:idx val="1"/>
          <c:order val="1"/>
          <c:tx>
            <c:strRef>
              <c:f>Bills_LI!$DH$5</c:f>
              <c:strCache>
                <c:ptCount val="1"/>
                <c:pt idx="0">
                  <c:v>2022</c:v>
                </c:pt>
              </c:strCache>
            </c:strRef>
          </c:tx>
          <c:spPr>
            <a:solidFill>
              <a:schemeClr val="accent5"/>
            </a:solidFill>
            <a:ln>
              <a:solidFill>
                <a:schemeClr val="bg1"/>
              </a:solidFill>
            </a:ln>
            <a:effectLst/>
          </c:spPr>
          <c:invertIfNegative val="0"/>
          <c:dLbls>
            <c:dLbl>
              <c:idx val="0"/>
              <c:tx>
                <c:rich>
                  <a:bodyPr/>
                  <a:lstStyle/>
                  <a:p>
                    <a:fld id="{AB5D99C8-13B0-410F-9482-62B5D5AD71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50-4A66-AA22-3FD302994B51}"/>
                </c:ext>
              </c:extLst>
            </c:dLbl>
            <c:dLbl>
              <c:idx val="1"/>
              <c:tx>
                <c:rich>
                  <a:bodyPr/>
                  <a:lstStyle/>
                  <a:p>
                    <a:fld id="{29A748CC-4E61-495A-968A-99D5211945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50-4A66-AA22-3FD302994B51}"/>
                </c:ext>
              </c:extLst>
            </c:dLbl>
            <c:dLbl>
              <c:idx val="2"/>
              <c:tx>
                <c:rich>
                  <a:bodyPr/>
                  <a:lstStyle/>
                  <a:p>
                    <a:fld id="{E064A156-9174-49F7-BC58-E47D75578C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50-4A66-AA22-3FD302994B51}"/>
                </c:ext>
              </c:extLst>
            </c:dLbl>
            <c:dLbl>
              <c:idx val="3"/>
              <c:tx>
                <c:rich>
                  <a:bodyPr/>
                  <a:lstStyle/>
                  <a:p>
                    <a:fld id="{4BBFE145-0126-4328-9A51-B4705A37D8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50-4A66-AA22-3FD302994B5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Bills_LI!$DE$30:$DE$33</c:f>
              <c:strCache>
                <c:ptCount val="4"/>
                <c:pt idx="0">
                  <c:v>Non-Participant</c:v>
                </c:pt>
                <c:pt idx="1">
                  <c:v>Average Customer</c:v>
                </c:pt>
                <c:pt idx="2">
                  <c:v>Low Savings Partcipant</c:v>
                </c:pt>
                <c:pt idx="3">
                  <c:v>High Savings Partcipant</c:v>
                </c:pt>
              </c:strCache>
            </c:strRef>
          </c:cat>
          <c:val>
            <c:numRef>
              <c:f>Bills_LI!$DH$30:$DH$33</c:f>
              <c:numCache>
                <c:formatCode>"$"#,##0.00</c:formatCode>
                <c:ptCount val="4"/>
                <c:pt idx="0">
                  <c:v>3.9054691732554772</c:v>
                </c:pt>
                <c:pt idx="1">
                  <c:v>-7.8692035990614579</c:v>
                </c:pt>
                <c:pt idx="2">
                  <c:v>-1.4213698681127973</c:v>
                </c:pt>
                <c:pt idx="3">
                  <c:v>-33.382404116322185</c:v>
                </c:pt>
              </c:numCache>
            </c:numRef>
          </c:val>
          <c:extLst>
            <c:ext xmlns:c15="http://schemas.microsoft.com/office/drawing/2012/chart" uri="{02D57815-91ED-43cb-92C2-25804820EDAC}">
              <c15:datalabelsRange>
                <c15:f>Bills_LI!$DH$35:$DH$38</c15:f>
                <c15:dlblRangeCache>
                  <c:ptCount val="4"/>
                  <c:pt idx="0">
                    <c:v>0.6%</c:v>
                  </c:pt>
                  <c:pt idx="1">
                    <c:v>-1.3%</c:v>
                  </c:pt>
                  <c:pt idx="2">
                    <c:v>-0.2%</c:v>
                  </c:pt>
                  <c:pt idx="3">
                    <c:v>-5.5%</c:v>
                  </c:pt>
                </c15:dlblRangeCache>
              </c15:datalabelsRange>
            </c:ext>
            <c:ext xmlns:c16="http://schemas.microsoft.com/office/drawing/2014/chart" uri="{C3380CC4-5D6E-409C-BE32-E72D297353CC}">
              <c16:uniqueId val="{00000009-594D-4370-9C6E-EFBF3C9A2BA0}"/>
            </c:ext>
          </c:extLst>
        </c:ser>
        <c:ser>
          <c:idx val="2"/>
          <c:order val="2"/>
          <c:tx>
            <c:strRef>
              <c:f>Bills_LI!$DI$5</c:f>
              <c:strCache>
                <c:ptCount val="1"/>
                <c:pt idx="0">
                  <c:v>2023</c:v>
                </c:pt>
              </c:strCache>
            </c:strRef>
          </c:tx>
          <c:spPr>
            <a:solidFill>
              <a:schemeClr val="accent3"/>
            </a:solidFill>
            <a:ln>
              <a:solidFill>
                <a:schemeClr val="bg1"/>
              </a:solidFill>
            </a:ln>
            <a:effectLst/>
          </c:spPr>
          <c:invertIfNegative val="0"/>
          <c:dLbls>
            <c:dLbl>
              <c:idx val="0"/>
              <c:tx>
                <c:rich>
                  <a:bodyPr/>
                  <a:lstStyle/>
                  <a:p>
                    <a:fld id="{EC2E507D-9752-4E7E-9FF1-915C233CEF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50-4A66-AA22-3FD302994B51}"/>
                </c:ext>
              </c:extLst>
            </c:dLbl>
            <c:dLbl>
              <c:idx val="1"/>
              <c:tx>
                <c:rich>
                  <a:bodyPr/>
                  <a:lstStyle/>
                  <a:p>
                    <a:fld id="{F846C9AB-B84B-4BDC-B741-16661F327B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50-4A66-AA22-3FD302994B51}"/>
                </c:ext>
              </c:extLst>
            </c:dLbl>
            <c:dLbl>
              <c:idx val="2"/>
              <c:tx>
                <c:rich>
                  <a:bodyPr/>
                  <a:lstStyle/>
                  <a:p>
                    <a:fld id="{CF0AE508-5B2D-4A25-8F99-60D9F0247F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50-4A66-AA22-3FD302994B51}"/>
                </c:ext>
              </c:extLst>
            </c:dLbl>
            <c:dLbl>
              <c:idx val="3"/>
              <c:tx>
                <c:rich>
                  <a:bodyPr/>
                  <a:lstStyle/>
                  <a:p>
                    <a:fld id="{730FB300-FE72-44EB-8FF7-73BB65B335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550-4A66-AA22-3FD302994B5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Bills_LI!$DE$30:$DE$33</c:f>
              <c:strCache>
                <c:ptCount val="4"/>
                <c:pt idx="0">
                  <c:v>Non-Participant</c:v>
                </c:pt>
                <c:pt idx="1">
                  <c:v>Average Customer</c:v>
                </c:pt>
                <c:pt idx="2">
                  <c:v>Low Savings Partcipant</c:v>
                </c:pt>
                <c:pt idx="3">
                  <c:v>High Savings Partcipant</c:v>
                </c:pt>
              </c:strCache>
            </c:strRef>
          </c:cat>
          <c:val>
            <c:numRef>
              <c:f>Bills_LI!$DI$30:$DI$33</c:f>
              <c:numCache>
                <c:formatCode>"$"#,##0.00</c:formatCode>
                <c:ptCount val="4"/>
                <c:pt idx="0">
                  <c:v>4.0426918081062162</c:v>
                </c:pt>
                <c:pt idx="1">
                  <c:v>-8.1936084653426029</c:v>
                </c:pt>
                <c:pt idx="2">
                  <c:v>-1.285793904880232</c:v>
                </c:pt>
                <c:pt idx="3">
                  <c:v>-33.256708182798917</c:v>
                </c:pt>
              </c:numCache>
            </c:numRef>
          </c:val>
          <c:extLst>
            <c:ext xmlns:c15="http://schemas.microsoft.com/office/drawing/2012/chart" uri="{02D57815-91ED-43cb-92C2-25804820EDAC}">
              <c15:datalabelsRange>
                <c15:f>Bills_LI!$DI$35:$DI$38</c15:f>
                <c15:dlblRangeCache>
                  <c:ptCount val="4"/>
                  <c:pt idx="0">
                    <c:v>0.7%</c:v>
                  </c:pt>
                  <c:pt idx="1">
                    <c:v>-1.4%</c:v>
                  </c:pt>
                  <c:pt idx="2">
                    <c:v>-0.2%</c:v>
                  </c:pt>
                  <c:pt idx="3">
                    <c:v>-5.5%</c:v>
                  </c:pt>
                </c15:dlblRangeCache>
              </c15:datalabelsRange>
            </c:ext>
            <c:ext xmlns:c16="http://schemas.microsoft.com/office/drawing/2014/chart" uri="{C3380CC4-5D6E-409C-BE32-E72D297353CC}">
              <c16:uniqueId val="{0000000E-594D-4370-9C6E-EFBF3C9A2BA0}"/>
            </c:ext>
          </c:extLst>
        </c:ser>
        <c:dLbls>
          <c:dLblPos val="outEnd"/>
          <c:showLegendKey val="0"/>
          <c:showVal val="1"/>
          <c:showCatName val="0"/>
          <c:showSerName val="0"/>
          <c:showPercent val="0"/>
          <c:showBubbleSize val="0"/>
        </c:dLbls>
        <c:gapWidth val="50"/>
        <c:axId val="-690817568"/>
        <c:axId val="-690820832"/>
      </c:barChart>
      <c:catAx>
        <c:axId val="-6908175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0832"/>
        <c:crosses val="autoZero"/>
        <c:auto val="1"/>
        <c:lblAlgn val="ctr"/>
        <c:lblOffset val="100"/>
        <c:noMultiLvlLbl val="0"/>
      </c:catAx>
      <c:valAx>
        <c:axId val="-6908208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Bills_LI!$DG$5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Bills_LI!$DE$25:$DE$28</c:f>
              <c:strCache>
                <c:ptCount val="4"/>
                <c:pt idx="0">
                  <c:v>Non-Participant</c:v>
                </c:pt>
                <c:pt idx="1">
                  <c:v>Average Customer</c:v>
                </c:pt>
                <c:pt idx="2">
                  <c:v>Low Savings Partcipant</c:v>
                </c:pt>
                <c:pt idx="3">
                  <c:v>High Savings Partcipant</c:v>
                </c:pt>
              </c:strCache>
            </c:strRef>
          </c:cat>
          <c:val>
            <c:numRef>
              <c:f>Bills_LI!$DG$25:$DG$28</c:f>
              <c:numCache>
                <c:formatCode>"$"#,##0</c:formatCode>
                <c:ptCount val="4"/>
                <c:pt idx="0">
                  <c:v>607.73292447173583</c:v>
                </c:pt>
                <c:pt idx="1">
                  <c:v>596.31314867697142</c:v>
                </c:pt>
                <c:pt idx="2">
                  <c:v>602.40748893484397</c:v>
                </c:pt>
                <c:pt idx="3">
                  <c:v>570.45487571349247</c:v>
                </c:pt>
              </c:numCache>
            </c:numRef>
          </c:val>
          <c:extLst>
            <c:ext xmlns:c16="http://schemas.microsoft.com/office/drawing/2014/chart" uri="{C3380CC4-5D6E-409C-BE32-E72D297353CC}">
              <c16:uniqueId val="{00000000-B9C4-4490-86EB-D7920CB51DD3}"/>
            </c:ext>
          </c:extLst>
        </c:ser>
        <c:ser>
          <c:idx val="1"/>
          <c:order val="1"/>
          <c:tx>
            <c:strRef>
              <c:f>Bills_LI!$DH$5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Bills_LI!$DE$25:$DE$28</c:f>
              <c:strCache>
                <c:ptCount val="4"/>
                <c:pt idx="0">
                  <c:v>Non-Participant</c:v>
                </c:pt>
                <c:pt idx="1">
                  <c:v>Average Customer</c:v>
                </c:pt>
                <c:pt idx="2">
                  <c:v>Low Savings Partcipant</c:v>
                </c:pt>
                <c:pt idx="3">
                  <c:v>High Savings Partcipant</c:v>
                </c:pt>
              </c:strCache>
            </c:strRef>
          </c:cat>
          <c:val>
            <c:numRef>
              <c:f>Bills_LI!$DH$25:$DH$28</c:f>
              <c:numCache>
                <c:formatCode>"$"#,##0</c:formatCode>
                <c:ptCount val="4"/>
                <c:pt idx="0">
                  <c:v>607.84988317809803</c:v>
                </c:pt>
                <c:pt idx="1">
                  <c:v>596.07521040578104</c:v>
                </c:pt>
                <c:pt idx="2">
                  <c:v>602.52304413672971</c:v>
                </c:pt>
                <c:pt idx="3">
                  <c:v>570.56200988852027</c:v>
                </c:pt>
              </c:numCache>
            </c:numRef>
          </c:val>
          <c:extLst>
            <c:ext xmlns:c16="http://schemas.microsoft.com/office/drawing/2014/chart" uri="{C3380CC4-5D6E-409C-BE32-E72D297353CC}">
              <c16:uniqueId val="{00000001-B9C4-4490-86EB-D7920CB51DD3}"/>
            </c:ext>
          </c:extLst>
        </c:ser>
        <c:ser>
          <c:idx val="2"/>
          <c:order val="2"/>
          <c:tx>
            <c:strRef>
              <c:f>Bills_LI!$DI$5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Bills_LI!$DE$25:$DE$28</c:f>
              <c:strCache>
                <c:ptCount val="4"/>
                <c:pt idx="0">
                  <c:v>Non-Participant</c:v>
                </c:pt>
                <c:pt idx="1">
                  <c:v>Average Customer</c:v>
                </c:pt>
                <c:pt idx="2">
                  <c:v>Low Savings Partcipant</c:v>
                </c:pt>
                <c:pt idx="3">
                  <c:v>High Savings Partcipant</c:v>
                </c:pt>
              </c:strCache>
            </c:strRef>
          </c:cat>
          <c:val>
            <c:numRef>
              <c:f>Bills_LI!$DI$25:$DI$28</c:f>
              <c:numCache>
                <c:formatCode>"$"#,##0</c:formatCode>
                <c:ptCount val="4"/>
                <c:pt idx="0">
                  <c:v>607.9871058129487</c:v>
                </c:pt>
                <c:pt idx="1">
                  <c:v>595.75080553949999</c:v>
                </c:pt>
                <c:pt idx="2">
                  <c:v>602.65862009996238</c:v>
                </c:pt>
                <c:pt idx="3">
                  <c:v>570.68770582204354</c:v>
                </c:pt>
              </c:numCache>
            </c:numRef>
          </c:val>
          <c:extLst>
            <c:ext xmlns:c16="http://schemas.microsoft.com/office/drawing/2014/chart" uri="{C3380CC4-5D6E-409C-BE32-E72D297353CC}">
              <c16:uniqueId val="{00000002-B9C4-4490-86EB-D7920CB51DD3}"/>
            </c:ext>
          </c:extLst>
        </c:ser>
        <c:dLbls>
          <c:dLblPos val="outEnd"/>
          <c:showLegendKey val="0"/>
          <c:showVal val="1"/>
          <c:showCatName val="0"/>
          <c:showSerName val="0"/>
          <c:showPercent val="0"/>
          <c:showBubbleSize val="0"/>
        </c:dLbls>
        <c:gapWidth val="50"/>
        <c:axId val="-690812128"/>
        <c:axId val="-690812672"/>
      </c:barChart>
      <c:catAx>
        <c:axId val="-69081212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2672"/>
        <c:crosses val="autoZero"/>
        <c:auto val="1"/>
        <c:lblAlgn val="ctr"/>
        <c:lblOffset val="100"/>
        <c:noMultiLvlLbl val="0"/>
      </c:catAx>
      <c:valAx>
        <c:axId val="-690812672"/>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56160080745636409"/>
        </c:manualLayout>
      </c:layout>
      <c:barChart>
        <c:barDir val="col"/>
        <c:grouping val="clustered"/>
        <c:varyColors val="0"/>
        <c:ser>
          <c:idx val="0"/>
          <c:order val="0"/>
          <c:tx>
            <c:strRef>
              <c:f>Bills_LI!$DJ$5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3CC34D88-0C2B-4F0B-82AD-3F03B45ED3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76A-4A81-9E69-19539BB83BAF}"/>
                </c:ext>
              </c:extLst>
            </c:dLbl>
            <c:dLbl>
              <c:idx val="1"/>
              <c:tx>
                <c:rich>
                  <a:bodyPr/>
                  <a:lstStyle/>
                  <a:p>
                    <a:fld id="{118C407B-6444-4BB7-8FD3-2B0CAB1A69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76A-4A81-9E69-19539BB83BAF}"/>
                </c:ext>
              </c:extLst>
            </c:dLbl>
            <c:dLbl>
              <c:idx val="2"/>
              <c:tx>
                <c:rich>
                  <a:bodyPr/>
                  <a:lstStyle/>
                  <a:p>
                    <a:fld id="{A529E42B-EF4C-4F3E-8FC4-5F3B8732F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76A-4A81-9E69-19539BB83BAF}"/>
                </c:ext>
              </c:extLst>
            </c:dLbl>
            <c:dLbl>
              <c:idx val="3"/>
              <c:tx>
                <c:rich>
                  <a:bodyPr/>
                  <a:lstStyle/>
                  <a:p>
                    <a:fld id="{0A810019-C2BF-4B08-81AA-C7528F25C7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6A-4A81-9E69-19539BB83BAF}"/>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Bills_LI!$DE$42:$DE$45</c:f>
              <c:strCache>
                <c:ptCount val="4"/>
                <c:pt idx="0">
                  <c:v>Non-Participant</c:v>
                </c:pt>
                <c:pt idx="1">
                  <c:v>Average Customer</c:v>
                </c:pt>
                <c:pt idx="2">
                  <c:v>Low Savings Partcipant</c:v>
                </c:pt>
                <c:pt idx="3">
                  <c:v>High Savings Partcipant</c:v>
                </c:pt>
              </c:strCache>
            </c:strRef>
          </c:cat>
          <c:val>
            <c:numRef>
              <c:f>Bills_LI!$DJ$42:$DJ$45</c:f>
              <c:numCache>
                <c:formatCode>"$"#,##0.00</c:formatCode>
                <c:ptCount val="4"/>
                <c:pt idx="0">
                  <c:v>1.6957488401565115</c:v>
                </c:pt>
                <c:pt idx="1">
                  <c:v>-2.5393471638626579</c:v>
                </c:pt>
                <c:pt idx="2">
                  <c:v>0.8316904744092426</c:v>
                </c:pt>
                <c:pt idx="3">
                  <c:v>-4.3526597200752803</c:v>
                </c:pt>
              </c:numCache>
            </c:numRef>
          </c:val>
          <c:extLst>
            <c:ext xmlns:c15="http://schemas.microsoft.com/office/drawing/2012/chart" uri="{02D57815-91ED-43cb-92C2-25804820EDAC}">
              <c15:datalabelsRange>
                <c15:f>Bills_LI!$DJ$47:$DJ$50</c15:f>
                <c15:dlblRangeCache>
                  <c:ptCount val="4"/>
                  <c:pt idx="0">
                    <c:v>0.3%</c:v>
                  </c:pt>
                  <c:pt idx="1">
                    <c:v>-0.4%</c:v>
                  </c:pt>
                  <c:pt idx="2">
                    <c:v>0.1%</c:v>
                  </c:pt>
                  <c:pt idx="3">
                    <c:v>-0.7%</c:v>
                  </c:pt>
                </c15:dlblRangeCache>
              </c15:datalabelsRange>
            </c:ext>
            <c:ext xmlns:c16="http://schemas.microsoft.com/office/drawing/2014/chart" uri="{C3380CC4-5D6E-409C-BE32-E72D297353CC}">
              <c16:uniqueId val="{00000004-8B2E-4873-BA96-3547A4158288}"/>
            </c:ext>
          </c:extLst>
        </c:ser>
        <c:dLbls>
          <c:dLblPos val="outEnd"/>
          <c:showLegendKey val="0"/>
          <c:showVal val="1"/>
          <c:showCatName val="0"/>
          <c:showSerName val="0"/>
          <c:showPercent val="0"/>
          <c:showBubbleSize val="0"/>
        </c:dLbls>
        <c:gapWidth val="50"/>
        <c:axId val="-690811584"/>
        <c:axId val="-690816480"/>
      </c:barChart>
      <c:catAx>
        <c:axId val="-6908115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6480"/>
        <c:crosses val="autoZero"/>
        <c:auto val="1"/>
        <c:lblAlgn val="ctr"/>
        <c:lblOffset val="100"/>
        <c:noMultiLvlLbl val="0"/>
      </c:catAx>
      <c:valAx>
        <c:axId val="-6908164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361111111111112"/>
          <c:w val="0.66498826197990513"/>
          <c:h val="0.70957822980460783"/>
        </c:manualLayout>
      </c:layout>
      <c:barChart>
        <c:barDir val="col"/>
        <c:grouping val="stacked"/>
        <c:varyColors val="0"/>
        <c:ser>
          <c:idx val="4"/>
          <c:order val="0"/>
          <c:tx>
            <c:strRef>
              <c:f>Rates_Res!$BX$48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Rates_Res!$BZ$48:$CZ$48</c:f>
              <c:numCache>
                <c:formatCode>_(* #,##0.000_);_(* \(#,##0.000\);_(* "-"??_);_(@_)</c:formatCode>
                <c:ptCount val="17"/>
                <c:pt idx="0">
                  <c:v>-0.53255279212286921</c:v>
                </c:pt>
                <c:pt idx="1">
                  <c:v>-1.0796741855573457</c:v>
                </c:pt>
                <c:pt idx="2">
                  <c:v>-1.6453376739181722</c:v>
                </c:pt>
                <c:pt idx="3">
                  <c:v>-1.6453376739181722</c:v>
                </c:pt>
                <c:pt idx="4">
                  <c:v>-1.6453376739181722</c:v>
                </c:pt>
                <c:pt idx="5">
                  <c:v>-1.6453376739181722</c:v>
                </c:pt>
                <c:pt idx="6">
                  <c:v>-1.6453376739181722</c:v>
                </c:pt>
                <c:pt idx="7">
                  <c:v>-1.6453376739181722</c:v>
                </c:pt>
                <c:pt idx="8">
                  <c:v>-1.6453376739181722</c:v>
                </c:pt>
                <c:pt idx="9">
                  <c:v>-1.6453376739181722</c:v>
                </c:pt>
                <c:pt idx="10">
                  <c:v>-1.6453376739181722</c:v>
                </c:pt>
                <c:pt idx="11">
                  <c:v>-1.6453376739181722</c:v>
                </c:pt>
                <c:pt idx="12">
                  <c:v>-1.6453376739181722</c:v>
                </c:pt>
                <c:pt idx="13">
                  <c:v>-1.6453376739181722</c:v>
                </c:pt>
                <c:pt idx="14">
                  <c:v>-1.6453376739181722</c:v>
                </c:pt>
                <c:pt idx="15">
                  <c:v>-1.0963923805810647</c:v>
                </c:pt>
                <c:pt idx="16">
                  <c:v>-0.54901439506820993</c:v>
                </c:pt>
              </c:numCache>
            </c:numRef>
          </c:val>
          <c:extLst>
            <c:ext xmlns:c16="http://schemas.microsoft.com/office/drawing/2014/chart" uri="{C3380CC4-5D6E-409C-BE32-E72D297353CC}">
              <c16:uniqueId val="{00000000-FDDB-4984-AA92-17859248CED5}"/>
            </c:ext>
          </c:extLst>
        </c:ser>
        <c:ser>
          <c:idx val="8"/>
          <c:order val="1"/>
          <c:tx>
            <c:strRef>
              <c:f>Rates_Res!$BX$47</c:f>
              <c:strCache>
                <c:ptCount val="1"/>
                <c:pt idx="0">
                  <c:v>Lost Revenue</c:v>
                </c:pt>
              </c:strCache>
            </c:strRef>
          </c:tx>
          <c:spPr>
            <a:solidFill>
              <a:schemeClr val="accent2"/>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Rates_Res!$BZ$47:$CZ$47</c:f>
              <c:numCache>
                <c:formatCode>_(* #,##0.000_);_(* \(#,##0.000\);_(* "-"??_);_(@_)</c:formatCode>
                <c:ptCount val="17"/>
                <c:pt idx="0">
                  <c:v>0.41104804584570775</c:v>
                </c:pt>
                <c:pt idx="1">
                  <c:v>0.83334879456536948</c:v>
                </c:pt>
                <c:pt idx="2">
                  <c:v>1.2696415546816109</c:v>
                </c:pt>
                <c:pt idx="3">
                  <c:v>1.2696415546816109</c:v>
                </c:pt>
                <c:pt idx="4">
                  <c:v>1.2696415546816109</c:v>
                </c:pt>
                <c:pt idx="5">
                  <c:v>1.2696415546816109</c:v>
                </c:pt>
                <c:pt idx="6">
                  <c:v>1.2696415546816109</c:v>
                </c:pt>
                <c:pt idx="7">
                  <c:v>1.2696415546816109</c:v>
                </c:pt>
                <c:pt idx="8">
                  <c:v>1.2696415546816109</c:v>
                </c:pt>
                <c:pt idx="9">
                  <c:v>1.2696415546816109</c:v>
                </c:pt>
                <c:pt idx="10">
                  <c:v>1.2696415546816109</c:v>
                </c:pt>
                <c:pt idx="11">
                  <c:v>1.2696415546816109</c:v>
                </c:pt>
                <c:pt idx="12">
                  <c:v>1.2696415546816109</c:v>
                </c:pt>
                <c:pt idx="13">
                  <c:v>1.2696415546816109</c:v>
                </c:pt>
                <c:pt idx="14">
                  <c:v>1.2696415546816109</c:v>
                </c:pt>
                <c:pt idx="15">
                  <c:v>0.84699568803523473</c:v>
                </c:pt>
                <c:pt idx="16">
                  <c:v>0.42450775321953849</c:v>
                </c:pt>
              </c:numCache>
            </c:numRef>
          </c:val>
          <c:extLst>
            <c:ext xmlns:c16="http://schemas.microsoft.com/office/drawing/2014/chart" uri="{C3380CC4-5D6E-409C-BE32-E72D297353CC}">
              <c16:uniqueId val="{00000001-FDDB-4984-AA92-17859248CED5}"/>
            </c:ext>
          </c:extLst>
        </c:ser>
        <c:ser>
          <c:idx val="7"/>
          <c:order val="2"/>
          <c:tx>
            <c:strRef>
              <c:f>Rates_Res!$BX$46</c:f>
              <c:strCache>
                <c:ptCount val="1"/>
                <c:pt idx="0">
                  <c:v>LDAC (EE Only)</c:v>
                </c:pt>
              </c:strCache>
            </c:strRef>
          </c:tx>
          <c:spPr>
            <a:solidFill>
              <a:srgbClr val="FFC000"/>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Rates_Res!$BZ$46:$CZ$46</c:f>
              <c:numCache>
                <c:formatCode>_(* #,##0.000_);_(* \(#,##0.000\);_(* "-"??_);_(@_)</c:formatCode>
                <c:ptCount val="17"/>
                <c:pt idx="0">
                  <c:v>7.7623676390230019</c:v>
                </c:pt>
                <c:pt idx="1">
                  <c:v>7.998496595510125</c:v>
                </c:pt>
                <c:pt idx="2">
                  <c:v>8.2542973872564964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FDDB-4984-AA92-17859248CED5}"/>
            </c:ext>
          </c:extLst>
        </c:ser>
        <c:dLbls>
          <c:showLegendKey val="0"/>
          <c:showVal val="1"/>
          <c:showCatName val="0"/>
          <c:showSerName val="0"/>
          <c:showPercent val="0"/>
          <c:showBubbleSize val="0"/>
        </c:dLbls>
        <c:gapWidth val="0"/>
        <c:overlap val="100"/>
        <c:axId val="-830889776"/>
        <c:axId val="-830888144"/>
      </c:barChart>
      <c:lineChart>
        <c:grouping val="standard"/>
        <c:varyColors val="0"/>
        <c:ser>
          <c:idx val="0"/>
          <c:order val="3"/>
          <c:tx>
            <c:strRef>
              <c:f>Rates_Res!$BX$49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D55470DA-600C-49E9-9A75-DBB5A1F08C1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F2-4E6C-853E-AB43F7B0D096}"/>
                </c:ext>
              </c:extLst>
            </c:dLbl>
            <c:dLbl>
              <c:idx val="1"/>
              <c:tx>
                <c:rich>
                  <a:bodyPr/>
                  <a:lstStyle/>
                  <a:p>
                    <a:fld id="{713C13BF-B441-4910-A2C7-373F12EF371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F2-4E6C-853E-AB43F7B0D096}"/>
                </c:ext>
              </c:extLst>
            </c:dLbl>
            <c:dLbl>
              <c:idx val="2"/>
              <c:tx>
                <c:rich>
                  <a:bodyPr/>
                  <a:lstStyle/>
                  <a:p>
                    <a:fld id="{3F83AF6D-D3D0-4DA1-AF35-38E5B235AF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F2-4E6C-853E-AB43F7B0D096}"/>
                </c:ext>
              </c:extLst>
            </c:dLbl>
            <c:dLbl>
              <c:idx val="3"/>
              <c:tx>
                <c:rich>
                  <a:bodyPr/>
                  <a:lstStyle/>
                  <a:p>
                    <a:fld id="{DED5AC93-AB10-43D8-AC77-88DFD4CBD5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F2-4E6C-853E-AB43F7B0D096}"/>
                </c:ext>
              </c:extLst>
            </c:dLbl>
            <c:dLbl>
              <c:idx val="4"/>
              <c:tx>
                <c:rich>
                  <a:bodyPr/>
                  <a:lstStyle/>
                  <a:p>
                    <a:fld id="{98C9D2CC-0164-4D3E-B465-0B3E378E81F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F2-4E6C-853E-AB43F7B0D096}"/>
                </c:ext>
              </c:extLst>
            </c:dLbl>
            <c:dLbl>
              <c:idx val="5"/>
              <c:tx>
                <c:rich>
                  <a:bodyPr/>
                  <a:lstStyle/>
                  <a:p>
                    <a:fld id="{E4BA894D-936D-41E7-906F-4FDCA8511D7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F2-4E6C-853E-AB43F7B0D096}"/>
                </c:ext>
              </c:extLst>
            </c:dLbl>
            <c:dLbl>
              <c:idx val="6"/>
              <c:tx>
                <c:rich>
                  <a:bodyPr/>
                  <a:lstStyle/>
                  <a:p>
                    <a:fld id="{26DEB96C-E518-47FF-BD25-BE53AD5CCD9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F2-4E6C-853E-AB43F7B0D096}"/>
                </c:ext>
              </c:extLst>
            </c:dLbl>
            <c:dLbl>
              <c:idx val="7"/>
              <c:tx>
                <c:rich>
                  <a:bodyPr/>
                  <a:lstStyle/>
                  <a:p>
                    <a:fld id="{FA3A2541-BAB1-4E2F-9340-375C750100A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F2-4E6C-853E-AB43F7B0D096}"/>
                </c:ext>
              </c:extLst>
            </c:dLbl>
            <c:dLbl>
              <c:idx val="8"/>
              <c:tx>
                <c:rich>
                  <a:bodyPr/>
                  <a:lstStyle/>
                  <a:p>
                    <a:fld id="{E3AF84F1-6E07-4EC4-8BCC-5358BB05568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F2-4E6C-853E-AB43F7B0D096}"/>
                </c:ext>
              </c:extLst>
            </c:dLbl>
            <c:dLbl>
              <c:idx val="9"/>
              <c:tx>
                <c:rich>
                  <a:bodyPr/>
                  <a:lstStyle/>
                  <a:p>
                    <a:fld id="{F8815EC7-2C4E-42FD-BA16-4FF8607202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F2-4E6C-853E-AB43F7B0D096}"/>
                </c:ext>
              </c:extLst>
            </c:dLbl>
            <c:dLbl>
              <c:idx val="10"/>
              <c:tx>
                <c:rich>
                  <a:bodyPr/>
                  <a:lstStyle/>
                  <a:p>
                    <a:fld id="{99AA0C43-7BF7-433A-8EF6-838847A13D8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F2-4E6C-853E-AB43F7B0D096}"/>
                </c:ext>
              </c:extLst>
            </c:dLbl>
            <c:dLbl>
              <c:idx val="11"/>
              <c:tx>
                <c:rich>
                  <a:bodyPr/>
                  <a:lstStyle/>
                  <a:p>
                    <a:fld id="{26067099-E71C-42F6-9252-36E7A8758C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F2-4E6C-853E-AB43F7B0D096}"/>
                </c:ext>
              </c:extLst>
            </c:dLbl>
            <c:dLbl>
              <c:idx val="12"/>
              <c:tx>
                <c:rich>
                  <a:bodyPr/>
                  <a:lstStyle/>
                  <a:p>
                    <a:fld id="{5E1B6F5C-79E8-4F3E-A6B9-947261EA30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F2-4E6C-853E-AB43F7B0D096}"/>
                </c:ext>
              </c:extLst>
            </c:dLbl>
            <c:dLbl>
              <c:idx val="13"/>
              <c:tx>
                <c:rich>
                  <a:bodyPr/>
                  <a:lstStyle/>
                  <a:p>
                    <a:fld id="{98F899A9-681F-47E1-A0BC-5517037B7B1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F2-4E6C-853E-AB43F7B0D096}"/>
                </c:ext>
              </c:extLst>
            </c:dLbl>
            <c:dLbl>
              <c:idx val="14"/>
              <c:tx>
                <c:rich>
                  <a:bodyPr/>
                  <a:lstStyle/>
                  <a:p>
                    <a:fld id="{A42FA418-092C-46DE-AA81-F6684F5E39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F2-4E6C-853E-AB43F7B0D096}"/>
                </c:ext>
              </c:extLst>
            </c:dLbl>
            <c:dLbl>
              <c:idx val="15"/>
              <c:tx>
                <c:rich>
                  <a:bodyPr/>
                  <a:lstStyle/>
                  <a:p>
                    <a:fld id="{D5649EF6-5441-4C48-AF88-DBDB284BE6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F2-4E6C-853E-AB43F7B0D096}"/>
                </c:ext>
              </c:extLst>
            </c:dLbl>
            <c:dLbl>
              <c:idx val="16"/>
              <c:tx>
                <c:rich>
                  <a:bodyPr/>
                  <a:lstStyle/>
                  <a:p>
                    <a:fld id="{FD023B26-3AE7-4F31-9DB0-D1795586A3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622-4E42-AA5B-1FE3B1934C9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Rates_Res!$BZ$49:$CZ$49</c:f>
              <c:numCache>
                <c:formatCode>_(* #,##0.000_);_(* \(#,##0.000\);_(* "-"??_);_(@_)</c:formatCode>
                <c:ptCount val="17"/>
                <c:pt idx="0">
                  <c:v>8.0927655119063413</c:v>
                </c:pt>
                <c:pt idx="1">
                  <c:v>8.66893190007616</c:v>
                </c:pt>
                <c:pt idx="2">
                  <c:v>9.2765590777822649</c:v>
                </c:pt>
                <c:pt idx="3">
                  <c:v>1.022261690525772</c:v>
                </c:pt>
                <c:pt idx="4">
                  <c:v>1.022261690525772</c:v>
                </c:pt>
                <c:pt idx="5">
                  <c:v>1.022261690525772</c:v>
                </c:pt>
                <c:pt idx="6">
                  <c:v>1.022261690525772</c:v>
                </c:pt>
                <c:pt idx="7">
                  <c:v>1.022261690525772</c:v>
                </c:pt>
                <c:pt idx="8">
                  <c:v>1.022261690525772</c:v>
                </c:pt>
                <c:pt idx="9">
                  <c:v>1.022261690525772</c:v>
                </c:pt>
                <c:pt idx="10">
                  <c:v>1.022261690525772</c:v>
                </c:pt>
                <c:pt idx="11">
                  <c:v>1.022261690525772</c:v>
                </c:pt>
                <c:pt idx="12">
                  <c:v>1.022261690525772</c:v>
                </c:pt>
                <c:pt idx="13">
                  <c:v>1.022261690525772</c:v>
                </c:pt>
                <c:pt idx="14">
                  <c:v>1.022261690525772</c:v>
                </c:pt>
                <c:pt idx="15">
                  <c:v>0.68168277193536575</c:v>
                </c:pt>
                <c:pt idx="16">
                  <c:v>0.34147945087337206</c:v>
                </c:pt>
              </c:numCache>
            </c:numRef>
          </c:val>
          <c:smooth val="0"/>
          <c:extLst>
            <c:ext xmlns:c15="http://schemas.microsoft.com/office/drawing/2012/chart" uri="{02D57815-91ED-43cb-92C2-25804820EDAC}">
              <c15:datalabelsRange>
                <c15:f>Rates_Res!$BZ$51:$CZ$51</c15:f>
                <c15:dlblRangeCache>
                  <c:ptCount val="17"/>
                  <c:pt idx="0">
                    <c:v>6%</c:v>
                  </c:pt>
                  <c:pt idx="1">
                    <c:v>6%</c:v>
                  </c:pt>
                  <c:pt idx="2">
                    <c:v>7%</c:v>
                  </c:pt>
                  <c:pt idx="3">
                    <c:v>1%</c:v>
                  </c:pt>
                  <c:pt idx="4">
                    <c:v>1%</c:v>
                  </c:pt>
                  <c:pt idx="5">
                    <c:v>1%</c:v>
                  </c:pt>
                  <c:pt idx="6">
                    <c:v>1%</c:v>
                  </c:pt>
                  <c:pt idx="7">
                    <c:v>1%</c:v>
                  </c:pt>
                  <c:pt idx="8">
                    <c:v>1%</c:v>
                  </c:pt>
                  <c:pt idx="9">
                    <c:v>1%</c:v>
                  </c:pt>
                  <c:pt idx="10">
                    <c:v>1%</c:v>
                  </c:pt>
                  <c:pt idx="11">
                    <c:v>1%</c:v>
                  </c:pt>
                  <c:pt idx="12">
                    <c:v>1%</c:v>
                  </c:pt>
                  <c:pt idx="13">
                    <c:v>1%</c:v>
                  </c:pt>
                  <c:pt idx="14">
                    <c:v>1%</c:v>
                  </c:pt>
                  <c:pt idx="15">
                    <c:v>0%</c:v>
                  </c:pt>
                  <c:pt idx="16">
                    <c:v>0%</c:v>
                  </c:pt>
                </c15:dlblRangeCache>
              </c15:datalabelsRange>
            </c:ext>
            <c:ext xmlns:c16="http://schemas.microsoft.com/office/drawing/2014/chart" uri="{C3380CC4-5D6E-409C-BE32-E72D297353CC}">
              <c16:uniqueId val="{0000001E-FDDB-4984-AA92-17859248CED5}"/>
            </c:ext>
          </c:extLst>
        </c:ser>
        <c:dLbls>
          <c:showLegendKey val="0"/>
          <c:showVal val="1"/>
          <c:showCatName val="0"/>
          <c:showSerName val="0"/>
          <c:showPercent val="0"/>
          <c:showBubbleSize val="0"/>
        </c:dLbls>
        <c:marker val="1"/>
        <c:smooth val="0"/>
        <c:axId val="-830889776"/>
        <c:axId val="-830888144"/>
      </c:lineChart>
      <c:catAx>
        <c:axId val="-83088977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8144"/>
        <c:crosses val="autoZero"/>
        <c:auto val="1"/>
        <c:lblAlgn val="ctr"/>
        <c:lblOffset val="100"/>
        <c:noMultiLvlLbl val="0"/>
      </c:catAx>
      <c:valAx>
        <c:axId val="-8308881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9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Bills_LI!$DG$5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9218501C-403D-435D-AD33-68346DCF73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880-4E34-BB2D-47B8612EE0DA}"/>
                </c:ext>
              </c:extLst>
            </c:dLbl>
            <c:dLbl>
              <c:idx val="1"/>
              <c:tx>
                <c:rich>
                  <a:bodyPr/>
                  <a:lstStyle/>
                  <a:p>
                    <a:fld id="{44FD716A-3B46-4FD7-AC56-B611F20AF9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880-4E34-BB2D-47B8612EE0DA}"/>
                </c:ext>
              </c:extLst>
            </c:dLbl>
            <c:dLbl>
              <c:idx val="2"/>
              <c:tx>
                <c:rich>
                  <a:bodyPr/>
                  <a:lstStyle/>
                  <a:p>
                    <a:fld id="{BE5062BD-5E36-4F16-B5A5-C56FE10011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80-4E34-BB2D-47B8612EE0DA}"/>
                </c:ext>
              </c:extLst>
            </c:dLbl>
            <c:dLbl>
              <c:idx val="3"/>
              <c:tx>
                <c:rich>
                  <a:bodyPr/>
                  <a:lstStyle/>
                  <a:p>
                    <a:fld id="{C1F1E77A-DC92-4495-BE0F-E5E7F7996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80-4E34-BB2D-47B8612EE0D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Bills_LI!$DE$42:$DE$45</c:f>
              <c:strCache>
                <c:ptCount val="4"/>
                <c:pt idx="0">
                  <c:v>Non-Participant</c:v>
                </c:pt>
                <c:pt idx="1">
                  <c:v>Average Customer</c:v>
                </c:pt>
                <c:pt idx="2">
                  <c:v>Low Savings Partcipant</c:v>
                </c:pt>
                <c:pt idx="3">
                  <c:v>High Savings Partcipant</c:v>
                </c:pt>
              </c:strCache>
            </c:strRef>
          </c:cat>
          <c:val>
            <c:numRef>
              <c:f>Bills_LI!$DG$42:$DG$45</c:f>
              <c:numCache>
                <c:formatCode>"$"#,##0.00</c:formatCode>
                <c:ptCount val="4"/>
                <c:pt idx="0">
                  <c:v>0.57691099666237733</c:v>
                </c:pt>
                <c:pt idx="1">
                  <c:v>-0.8635507207743558</c:v>
                </c:pt>
                <c:pt idx="2">
                  <c:v>-0.31643070278630603</c:v>
                </c:pt>
                <c:pt idx="3">
                  <c:v>-5.6764808994778377</c:v>
                </c:pt>
              </c:numCache>
            </c:numRef>
          </c:val>
          <c:extLst>
            <c:ext xmlns:c15="http://schemas.microsoft.com/office/drawing/2012/chart" uri="{02D57815-91ED-43cb-92C2-25804820EDAC}">
              <c15:datalabelsRange>
                <c15:f>Bills_LI!$DG$47:$DG$50</c15:f>
                <c15:dlblRangeCache>
                  <c:ptCount val="4"/>
                  <c:pt idx="0">
                    <c:v>0.1%</c:v>
                  </c:pt>
                  <c:pt idx="1">
                    <c:v>-0.1%</c:v>
                  </c:pt>
                  <c:pt idx="2">
                    <c:v>-0.1%</c:v>
                  </c:pt>
                  <c:pt idx="3">
                    <c:v>-1.0%</c:v>
                  </c:pt>
                </c15:dlblRangeCache>
              </c15:datalabelsRange>
            </c:ext>
            <c:ext xmlns:c16="http://schemas.microsoft.com/office/drawing/2014/chart" uri="{C3380CC4-5D6E-409C-BE32-E72D297353CC}">
              <c16:uniqueId val="{00000004-5D40-4499-A245-1B5E8E24F16A}"/>
            </c:ext>
          </c:extLst>
        </c:ser>
        <c:ser>
          <c:idx val="1"/>
          <c:order val="1"/>
          <c:tx>
            <c:strRef>
              <c:f>Bills_LI!$DH$5</c:f>
              <c:strCache>
                <c:ptCount val="1"/>
                <c:pt idx="0">
                  <c:v>2022</c:v>
                </c:pt>
              </c:strCache>
            </c:strRef>
          </c:tx>
          <c:spPr>
            <a:solidFill>
              <a:schemeClr val="accent5"/>
            </a:solidFill>
            <a:ln>
              <a:solidFill>
                <a:schemeClr val="bg1"/>
              </a:solidFill>
            </a:ln>
            <a:effectLst/>
          </c:spPr>
          <c:invertIfNegative val="0"/>
          <c:dLbls>
            <c:dLbl>
              <c:idx val="0"/>
              <c:tx>
                <c:rich>
                  <a:bodyPr/>
                  <a:lstStyle/>
                  <a:p>
                    <a:fld id="{49CB63A1-9A83-4090-AF5D-EB5AF5F2C7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80-4E34-BB2D-47B8612EE0DA}"/>
                </c:ext>
              </c:extLst>
            </c:dLbl>
            <c:dLbl>
              <c:idx val="1"/>
              <c:tx>
                <c:rich>
                  <a:bodyPr/>
                  <a:lstStyle/>
                  <a:p>
                    <a:fld id="{A10743C8-5E10-4493-8974-623F9B45D7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80-4E34-BB2D-47B8612EE0DA}"/>
                </c:ext>
              </c:extLst>
            </c:dLbl>
            <c:dLbl>
              <c:idx val="2"/>
              <c:tx>
                <c:rich>
                  <a:bodyPr/>
                  <a:lstStyle/>
                  <a:p>
                    <a:fld id="{8F2D5A9E-D0FF-456D-B39D-E29642F6DC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80-4E34-BB2D-47B8612EE0DA}"/>
                </c:ext>
              </c:extLst>
            </c:dLbl>
            <c:dLbl>
              <c:idx val="3"/>
              <c:tx>
                <c:rich>
                  <a:bodyPr/>
                  <a:lstStyle/>
                  <a:p>
                    <a:fld id="{AA7D2648-90C4-48CB-87FF-51091C232E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80-4E34-BB2D-47B8612EE0D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Bills_LI!$DE$42:$DE$45</c:f>
              <c:strCache>
                <c:ptCount val="4"/>
                <c:pt idx="0">
                  <c:v>Non-Participant</c:v>
                </c:pt>
                <c:pt idx="1">
                  <c:v>Average Customer</c:v>
                </c:pt>
                <c:pt idx="2">
                  <c:v>Low Savings Partcipant</c:v>
                </c:pt>
                <c:pt idx="3">
                  <c:v>High Savings Partcipant</c:v>
                </c:pt>
              </c:strCache>
            </c:strRef>
          </c:cat>
          <c:val>
            <c:numRef>
              <c:f>Bills_LI!$DH$42:$DH$45</c:f>
              <c:numCache>
                <c:formatCode>"$"#,##0.00</c:formatCode>
                <c:ptCount val="4"/>
                <c:pt idx="0">
                  <c:v>0.59478577013146605</c:v>
                </c:pt>
                <c:pt idx="1">
                  <c:v>-0.8908530953274294</c:v>
                </c:pt>
                <c:pt idx="2">
                  <c:v>-0.29896859446455437</c:v>
                </c:pt>
                <c:pt idx="3">
                  <c:v>-5.6614947820406769</c:v>
                </c:pt>
              </c:numCache>
            </c:numRef>
          </c:val>
          <c:extLst>
            <c:ext xmlns:c15="http://schemas.microsoft.com/office/drawing/2012/chart" uri="{02D57815-91ED-43cb-92C2-25804820EDAC}">
              <c15:datalabelsRange>
                <c15:f>Bills_LI!$DH$35:$DH$38</c15:f>
                <c15:dlblRangeCache>
                  <c:ptCount val="4"/>
                  <c:pt idx="0">
                    <c:v>0.6%</c:v>
                  </c:pt>
                  <c:pt idx="1">
                    <c:v>-1.3%</c:v>
                  </c:pt>
                  <c:pt idx="2">
                    <c:v>-0.2%</c:v>
                  </c:pt>
                  <c:pt idx="3">
                    <c:v>-5.5%</c:v>
                  </c:pt>
                </c15:dlblRangeCache>
              </c15:datalabelsRange>
            </c:ext>
            <c:ext xmlns:c16="http://schemas.microsoft.com/office/drawing/2014/chart" uri="{C3380CC4-5D6E-409C-BE32-E72D297353CC}">
              <c16:uniqueId val="{00000009-5D40-4499-A245-1B5E8E24F16A}"/>
            </c:ext>
          </c:extLst>
        </c:ser>
        <c:ser>
          <c:idx val="2"/>
          <c:order val="2"/>
          <c:tx>
            <c:strRef>
              <c:f>Bills_LI!$DI$5</c:f>
              <c:strCache>
                <c:ptCount val="1"/>
                <c:pt idx="0">
                  <c:v>2023</c:v>
                </c:pt>
              </c:strCache>
            </c:strRef>
          </c:tx>
          <c:spPr>
            <a:solidFill>
              <a:schemeClr val="accent3"/>
            </a:solidFill>
            <a:ln>
              <a:solidFill>
                <a:schemeClr val="bg1"/>
              </a:solidFill>
            </a:ln>
            <a:effectLst/>
          </c:spPr>
          <c:invertIfNegative val="0"/>
          <c:dLbls>
            <c:dLbl>
              <c:idx val="0"/>
              <c:tx>
                <c:rich>
                  <a:bodyPr/>
                  <a:lstStyle/>
                  <a:p>
                    <a:fld id="{58F42E44-C88C-4DEF-943C-1D6CAB4CBD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80-4E34-BB2D-47B8612EE0DA}"/>
                </c:ext>
              </c:extLst>
            </c:dLbl>
            <c:dLbl>
              <c:idx val="1"/>
              <c:tx>
                <c:rich>
                  <a:bodyPr/>
                  <a:lstStyle/>
                  <a:p>
                    <a:fld id="{32753DF2-A12C-4D56-8609-6278479FBE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80-4E34-BB2D-47B8612EE0DA}"/>
                </c:ext>
              </c:extLst>
            </c:dLbl>
            <c:dLbl>
              <c:idx val="2"/>
              <c:tx>
                <c:rich>
                  <a:bodyPr/>
                  <a:lstStyle/>
                  <a:p>
                    <a:fld id="{4F932DB9-8AB0-4E9B-90D7-2EE0CA8634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80-4E34-BB2D-47B8612EE0DA}"/>
                </c:ext>
              </c:extLst>
            </c:dLbl>
            <c:dLbl>
              <c:idx val="3"/>
              <c:tx>
                <c:rich>
                  <a:bodyPr/>
                  <a:lstStyle/>
                  <a:p>
                    <a:fld id="{0560F4E5-0264-40A5-8C09-8EB3BDBE0D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80-4E34-BB2D-47B8612EE0D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Bills_LI!$DE$42:$DE$45</c:f>
              <c:strCache>
                <c:ptCount val="4"/>
                <c:pt idx="0">
                  <c:v>Non-Participant</c:v>
                </c:pt>
                <c:pt idx="1">
                  <c:v>Average Customer</c:v>
                </c:pt>
                <c:pt idx="2">
                  <c:v>Low Savings Partcipant</c:v>
                </c:pt>
                <c:pt idx="3">
                  <c:v>High Savings Partcipant</c:v>
                </c:pt>
              </c:strCache>
            </c:strRef>
          </c:cat>
          <c:val>
            <c:numRef>
              <c:f>Bills_LI!$DI$42:$DI$45</c:f>
              <c:numCache>
                <c:formatCode>"$"#,##0.00</c:formatCode>
                <c:ptCount val="4"/>
                <c:pt idx="0">
                  <c:v>0.61552326833930238</c:v>
                </c:pt>
                <c:pt idx="1">
                  <c:v>-0.92885584436805857</c:v>
                </c:pt>
                <c:pt idx="2">
                  <c:v>-0.27871291650853891</c:v>
                </c:pt>
                <c:pt idx="3">
                  <c:v>-5.6441300255953593</c:v>
                </c:pt>
              </c:numCache>
            </c:numRef>
          </c:val>
          <c:extLst>
            <c:ext xmlns:c15="http://schemas.microsoft.com/office/drawing/2012/chart" uri="{02D57815-91ED-43cb-92C2-25804820EDAC}">
              <c15:datalabelsRange>
                <c15:f>Bills_LI!$DI$47:$DI$50</c15:f>
                <c15:dlblRangeCache>
                  <c:ptCount val="4"/>
                  <c:pt idx="0">
                    <c:v>0.1%</c:v>
                  </c:pt>
                  <c:pt idx="1">
                    <c:v>-0.2%</c:v>
                  </c:pt>
                  <c:pt idx="2">
                    <c:v>0.0%</c:v>
                  </c:pt>
                  <c:pt idx="3">
                    <c:v>-1.0%</c:v>
                  </c:pt>
                </c15:dlblRangeCache>
              </c15:datalabelsRange>
            </c:ext>
            <c:ext xmlns:c16="http://schemas.microsoft.com/office/drawing/2014/chart" uri="{C3380CC4-5D6E-409C-BE32-E72D297353CC}">
              <c16:uniqueId val="{0000000E-5D40-4499-A245-1B5E8E24F16A}"/>
            </c:ext>
          </c:extLst>
        </c:ser>
        <c:dLbls>
          <c:dLblPos val="outEnd"/>
          <c:showLegendKey val="0"/>
          <c:showVal val="1"/>
          <c:showCatName val="0"/>
          <c:showSerName val="0"/>
          <c:showPercent val="0"/>
          <c:showBubbleSize val="0"/>
        </c:dLbls>
        <c:gapWidth val="50"/>
        <c:axId val="-690811040"/>
        <c:axId val="-690813760"/>
      </c:barChart>
      <c:catAx>
        <c:axId val="-69081104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3760"/>
        <c:crosses val="autoZero"/>
        <c:auto val="1"/>
        <c:lblAlgn val="ctr"/>
        <c:lblOffset val="100"/>
        <c:noMultiLvlLbl val="0"/>
      </c:catAx>
      <c:valAx>
        <c:axId val="-69081376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Bills_Small!$DJ$5</c:f>
              <c:strCache>
                <c:ptCount val="1"/>
                <c:pt idx="0">
                  <c:v>2021-2023</c:v>
                </c:pt>
              </c:strCache>
            </c:strRef>
          </c:tx>
          <c:spPr>
            <a:solidFill>
              <a:schemeClr val="accent1">
                <a:lumMod val="75000"/>
              </a:schemeClr>
            </a:solidFill>
            <a:ln>
              <a:solidFill>
                <a:schemeClr val="bg1"/>
              </a:solidFill>
            </a:ln>
            <a:effectLst/>
          </c:spPr>
          <c:invertIfNegative val="0"/>
          <c:dLbls>
            <c:dLbl>
              <c:idx val="0"/>
              <c:tx>
                <c:rich>
                  <a:bodyPr/>
                  <a:lstStyle/>
                  <a:p>
                    <a:fld id="{CA85CEBB-71B9-4368-82AA-2F05FA870E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5BB-4F3A-B4C6-74FAC578D158}"/>
                </c:ext>
              </c:extLst>
            </c:dLbl>
            <c:dLbl>
              <c:idx val="1"/>
              <c:tx>
                <c:rich>
                  <a:bodyPr/>
                  <a:lstStyle/>
                  <a:p>
                    <a:fld id="{BE70E447-6196-4362-B502-9C69844723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5BB-4F3A-B4C6-74FAC578D158}"/>
                </c:ext>
              </c:extLst>
            </c:dLbl>
            <c:dLbl>
              <c:idx val="2"/>
              <c:tx>
                <c:rich>
                  <a:bodyPr/>
                  <a:lstStyle/>
                  <a:p>
                    <a:fld id="{B2CAD7D4-A75B-442D-9AAC-1A94374A63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5BB-4F3A-B4C6-74FAC578D158}"/>
                </c:ext>
              </c:extLst>
            </c:dLbl>
            <c:dLbl>
              <c:idx val="3"/>
              <c:tx>
                <c:rich>
                  <a:bodyPr/>
                  <a:lstStyle/>
                  <a:p>
                    <a:fld id="{BC8BA249-5456-492B-9903-AC9F43471A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5BB-4F3A-B4C6-74FAC578D158}"/>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Bills_Small!$DE$13:$DE$16</c:f>
              <c:strCache>
                <c:ptCount val="4"/>
                <c:pt idx="0">
                  <c:v>Non-Participant</c:v>
                </c:pt>
                <c:pt idx="1">
                  <c:v>Average Customer</c:v>
                </c:pt>
                <c:pt idx="2">
                  <c:v>Low Savings Partcipant</c:v>
                </c:pt>
                <c:pt idx="3">
                  <c:v>High Savings Partcipant</c:v>
                </c:pt>
              </c:strCache>
            </c:strRef>
          </c:cat>
          <c:val>
            <c:numRef>
              <c:f>Bills_Small!$DJ$13:$DJ$16</c:f>
              <c:numCache>
                <c:formatCode>"$"#,##0.00</c:formatCode>
                <c:ptCount val="4"/>
                <c:pt idx="0">
                  <c:v>59.30778873353669</c:v>
                </c:pt>
                <c:pt idx="1">
                  <c:v>-19.512847698738476</c:v>
                </c:pt>
                <c:pt idx="2">
                  <c:v>-6.0321995117960094</c:v>
                </c:pt>
                <c:pt idx="3">
                  <c:v>-71.372187757129026</c:v>
                </c:pt>
              </c:numCache>
            </c:numRef>
          </c:val>
          <c:extLst>
            <c:ext xmlns:c15="http://schemas.microsoft.com/office/drawing/2012/chart" uri="{02D57815-91ED-43cb-92C2-25804820EDAC}">
              <c15:datalabelsRange>
                <c15:f>Bills_Small!$DJ$18:$DJ$21</c15:f>
                <c15:dlblRangeCache>
                  <c:ptCount val="4"/>
                  <c:pt idx="0">
                    <c:v>2.3%</c:v>
                  </c:pt>
                  <c:pt idx="1">
                    <c:v>-0.7%</c:v>
                  </c:pt>
                  <c:pt idx="2">
                    <c:v>-0.2%</c:v>
                  </c:pt>
                  <c:pt idx="3">
                    <c:v>-2.7%</c:v>
                  </c:pt>
                </c15:dlblRangeCache>
              </c15:datalabelsRange>
            </c:ext>
            <c:ext xmlns:c16="http://schemas.microsoft.com/office/drawing/2014/chart" uri="{C3380CC4-5D6E-409C-BE32-E72D297353CC}">
              <c16:uniqueId val="{00000004-6AA5-47E4-923C-8BEDD2C2F416}"/>
            </c:ext>
          </c:extLst>
        </c:ser>
        <c:dLbls>
          <c:dLblPos val="outEnd"/>
          <c:showLegendKey val="0"/>
          <c:showVal val="1"/>
          <c:showCatName val="0"/>
          <c:showSerName val="0"/>
          <c:showPercent val="0"/>
          <c:showBubbleSize val="0"/>
        </c:dLbls>
        <c:gapWidth val="50"/>
        <c:axId val="-690810496"/>
        <c:axId val="-690815936"/>
      </c:barChart>
      <c:catAx>
        <c:axId val="-69081049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5936"/>
        <c:crosses val="autoZero"/>
        <c:auto val="1"/>
        <c:lblAlgn val="ctr"/>
        <c:lblOffset val="100"/>
        <c:noMultiLvlLbl val="0"/>
      </c:catAx>
      <c:valAx>
        <c:axId val="-690815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Bills_Small!$DG$5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9F2D5E7B-8DFA-4745-B95A-D824883268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AC8-437C-8C28-C004494C6E11}"/>
                </c:ext>
              </c:extLst>
            </c:dLbl>
            <c:dLbl>
              <c:idx val="1"/>
              <c:tx>
                <c:rich>
                  <a:bodyPr/>
                  <a:lstStyle/>
                  <a:p>
                    <a:fld id="{C26D89E9-9C0D-4444-A85D-D674A3E264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AC8-437C-8C28-C004494C6E11}"/>
                </c:ext>
              </c:extLst>
            </c:dLbl>
            <c:dLbl>
              <c:idx val="2"/>
              <c:tx>
                <c:rich>
                  <a:bodyPr/>
                  <a:lstStyle/>
                  <a:p>
                    <a:fld id="{87150481-04C1-4C0E-877B-C1430AE82A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8-437C-8C28-C004494C6E11}"/>
                </c:ext>
              </c:extLst>
            </c:dLbl>
            <c:dLbl>
              <c:idx val="3"/>
              <c:tx>
                <c:rich>
                  <a:bodyPr/>
                  <a:lstStyle/>
                  <a:p>
                    <a:fld id="{A34FBF72-E8E5-45E6-BEB7-56B6AE0028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AC8-437C-8C28-C004494C6E1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Bills_Small!$DE$13:$DE$16</c:f>
              <c:strCache>
                <c:ptCount val="4"/>
                <c:pt idx="0">
                  <c:v>Non-Participant</c:v>
                </c:pt>
                <c:pt idx="1">
                  <c:v>Average Customer</c:v>
                </c:pt>
                <c:pt idx="2">
                  <c:v>Low Savings Partcipant</c:v>
                </c:pt>
                <c:pt idx="3">
                  <c:v>High Savings Partcipant</c:v>
                </c:pt>
              </c:strCache>
            </c:strRef>
          </c:cat>
          <c:val>
            <c:numRef>
              <c:f>Bills_Small!$DG$13:$DG$16</c:f>
              <c:numCache>
                <c:formatCode>"$"#,##0.00</c:formatCode>
                <c:ptCount val="4"/>
                <c:pt idx="0">
                  <c:v>20.055111661519049</c:v>
                </c:pt>
                <c:pt idx="1">
                  <c:v>-6.3766437835949148</c:v>
                </c:pt>
                <c:pt idx="2">
                  <c:v>-47.494218124360401</c:v>
                </c:pt>
                <c:pt idx="3">
                  <c:v>-115.04354791024014</c:v>
                </c:pt>
              </c:numCache>
            </c:numRef>
          </c:val>
          <c:extLst>
            <c:ext xmlns:c15="http://schemas.microsoft.com/office/drawing/2012/chart" uri="{02D57815-91ED-43cb-92C2-25804820EDAC}">
              <c15:datalabelsRange>
                <c15:f>Bills_Small!$DG$18:$DG$21</c15:f>
                <c15:dlblRangeCache>
                  <c:ptCount val="4"/>
                  <c:pt idx="0">
                    <c:v>0.8%</c:v>
                  </c:pt>
                  <c:pt idx="1">
                    <c:v>-0.2%</c:v>
                  </c:pt>
                  <c:pt idx="2">
                    <c:v>-1.8%</c:v>
                  </c:pt>
                  <c:pt idx="3">
                    <c:v>-4.4%</c:v>
                  </c:pt>
                </c15:dlblRangeCache>
              </c15:datalabelsRange>
            </c:ext>
            <c:ext xmlns:c16="http://schemas.microsoft.com/office/drawing/2014/chart" uri="{C3380CC4-5D6E-409C-BE32-E72D297353CC}">
              <c16:uniqueId val="{00000004-4B55-444B-BDA3-990C8E584A05}"/>
            </c:ext>
          </c:extLst>
        </c:ser>
        <c:ser>
          <c:idx val="1"/>
          <c:order val="1"/>
          <c:tx>
            <c:strRef>
              <c:f>Bills_Small!$DH$5</c:f>
              <c:strCache>
                <c:ptCount val="1"/>
                <c:pt idx="0">
                  <c:v>2022</c:v>
                </c:pt>
              </c:strCache>
            </c:strRef>
          </c:tx>
          <c:spPr>
            <a:solidFill>
              <a:schemeClr val="accent5"/>
            </a:solidFill>
            <a:ln>
              <a:solidFill>
                <a:schemeClr val="bg1"/>
              </a:solidFill>
            </a:ln>
            <a:effectLst/>
          </c:spPr>
          <c:invertIfNegative val="0"/>
          <c:dLbls>
            <c:dLbl>
              <c:idx val="0"/>
              <c:tx>
                <c:rich>
                  <a:bodyPr/>
                  <a:lstStyle/>
                  <a:p>
                    <a:fld id="{77051CD7-18C7-49A7-BEF1-A6E49081A0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8-437C-8C28-C004494C6E11}"/>
                </c:ext>
              </c:extLst>
            </c:dLbl>
            <c:dLbl>
              <c:idx val="1"/>
              <c:tx>
                <c:rich>
                  <a:bodyPr/>
                  <a:lstStyle/>
                  <a:p>
                    <a:fld id="{44175189-76A9-4C67-B08F-C2C0D3ED36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AC8-437C-8C28-C004494C6E11}"/>
                </c:ext>
              </c:extLst>
            </c:dLbl>
            <c:dLbl>
              <c:idx val="2"/>
              <c:tx>
                <c:rich>
                  <a:bodyPr/>
                  <a:lstStyle/>
                  <a:p>
                    <a:fld id="{2B3F8DA8-DBA5-48F9-AD8E-6E714B7702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AC8-437C-8C28-C004494C6E11}"/>
                </c:ext>
              </c:extLst>
            </c:dLbl>
            <c:dLbl>
              <c:idx val="3"/>
              <c:tx>
                <c:rich>
                  <a:bodyPr/>
                  <a:lstStyle/>
                  <a:p>
                    <a:fld id="{949BAE38-475C-4620-A0A8-23CDA2D4EC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8-437C-8C28-C004494C6E1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Bills_Small!$DE$13:$DE$16</c:f>
              <c:strCache>
                <c:ptCount val="4"/>
                <c:pt idx="0">
                  <c:v>Non-Participant</c:v>
                </c:pt>
                <c:pt idx="1">
                  <c:v>Average Customer</c:v>
                </c:pt>
                <c:pt idx="2">
                  <c:v>Low Savings Partcipant</c:v>
                </c:pt>
                <c:pt idx="3">
                  <c:v>High Savings Partcipant</c:v>
                </c:pt>
              </c:strCache>
            </c:strRef>
          </c:cat>
          <c:val>
            <c:numRef>
              <c:f>Bills_Small!$DH$13:$DH$16</c:f>
              <c:numCache>
                <c:formatCode>"$"#,##0.00</c:formatCode>
                <c:ptCount val="4"/>
                <c:pt idx="0">
                  <c:v>21.065517160018313</c:v>
                </c:pt>
                <c:pt idx="1">
                  <c:v>-6.8160183083475836</c:v>
                </c:pt>
                <c:pt idx="2">
                  <c:v>-46.534332900786055</c:v>
                </c:pt>
                <c:pt idx="3">
                  <c:v>-114.13418296159071</c:v>
                </c:pt>
              </c:numCache>
            </c:numRef>
          </c:val>
          <c:extLst>
            <c:ext xmlns:c15="http://schemas.microsoft.com/office/drawing/2012/chart" uri="{02D57815-91ED-43cb-92C2-25804820EDAC}">
              <c15:datalabelsRange>
                <c15:f>Bills_Small!$DH$18:$DH$21</c15:f>
                <c15:dlblRangeCache>
                  <c:ptCount val="4"/>
                  <c:pt idx="0">
                    <c:v>0.8%</c:v>
                  </c:pt>
                  <c:pt idx="1">
                    <c:v>-0.3%</c:v>
                  </c:pt>
                  <c:pt idx="2">
                    <c:v>-1.8%</c:v>
                  </c:pt>
                  <c:pt idx="3">
                    <c:v>-4.3%</c:v>
                  </c:pt>
                </c15:dlblRangeCache>
              </c15:datalabelsRange>
            </c:ext>
            <c:ext xmlns:c16="http://schemas.microsoft.com/office/drawing/2014/chart" uri="{C3380CC4-5D6E-409C-BE32-E72D297353CC}">
              <c16:uniqueId val="{00000009-4B55-444B-BDA3-990C8E584A05}"/>
            </c:ext>
          </c:extLst>
        </c:ser>
        <c:ser>
          <c:idx val="2"/>
          <c:order val="2"/>
          <c:tx>
            <c:strRef>
              <c:f>Bills_Small!$DI$5</c:f>
              <c:strCache>
                <c:ptCount val="1"/>
                <c:pt idx="0">
                  <c:v>2023</c:v>
                </c:pt>
              </c:strCache>
            </c:strRef>
          </c:tx>
          <c:spPr>
            <a:solidFill>
              <a:schemeClr val="accent3"/>
            </a:solidFill>
            <a:ln>
              <a:solidFill>
                <a:schemeClr val="bg1"/>
              </a:solidFill>
            </a:ln>
            <a:effectLst/>
          </c:spPr>
          <c:invertIfNegative val="0"/>
          <c:dLbls>
            <c:dLbl>
              <c:idx val="0"/>
              <c:tx>
                <c:rich>
                  <a:bodyPr/>
                  <a:lstStyle/>
                  <a:p>
                    <a:fld id="{C484C98E-CD62-4CA1-AB78-CB62056529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AC8-437C-8C28-C004494C6E11}"/>
                </c:ext>
              </c:extLst>
            </c:dLbl>
            <c:dLbl>
              <c:idx val="1"/>
              <c:tx>
                <c:rich>
                  <a:bodyPr/>
                  <a:lstStyle/>
                  <a:p>
                    <a:fld id="{71D9A020-44EB-4769-87FC-4CBAEBE8A6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AC8-437C-8C28-C004494C6E11}"/>
                </c:ext>
              </c:extLst>
            </c:dLbl>
            <c:dLbl>
              <c:idx val="2"/>
              <c:tx>
                <c:rich>
                  <a:bodyPr/>
                  <a:lstStyle/>
                  <a:p>
                    <a:fld id="{6FAC1E46-5069-483A-BA40-7FAC287E5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AC8-437C-8C28-C004494C6E11}"/>
                </c:ext>
              </c:extLst>
            </c:dLbl>
            <c:dLbl>
              <c:idx val="3"/>
              <c:tx>
                <c:rich>
                  <a:bodyPr/>
                  <a:lstStyle/>
                  <a:p>
                    <a:fld id="{D496A9AB-8509-4F62-B8F8-BC25C7C92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8-437C-8C28-C004494C6E11}"/>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Bills_Small!$DE$13:$DE$16</c:f>
              <c:strCache>
                <c:ptCount val="4"/>
                <c:pt idx="0">
                  <c:v>Non-Participant</c:v>
                </c:pt>
                <c:pt idx="1">
                  <c:v>Average Customer</c:v>
                </c:pt>
                <c:pt idx="2">
                  <c:v>Low Savings Partcipant</c:v>
                </c:pt>
                <c:pt idx="3">
                  <c:v>High Savings Partcipant</c:v>
                </c:pt>
              </c:strCache>
            </c:strRef>
          </c:cat>
          <c:val>
            <c:numRef>
              <c:f>Bills_Small!$DI$13:$DI$16</c:f>
              <c:numCache>
                <c:formatCode>"$"#,##0.00</c:formatCode>
                <c:ptCount val="4"/>
                <c:pt idx="0">
                  <c:v>22.278998897766805</c:v>
                </c:pt>
                <c:pt idx="1">
                  <c:v>-6.9104683652692529</c:v>
                </c:pt>
                <c:pt idx="2">
                  <c:v>-45.381525249924849</c:v>
                </c:pt>
                <c:pt idx="3">
                  <c:v>-113.04204939761681</c:v>
                </c:pt>
              </c:numCache>
            </c:numRef>
          </c:val>
          <c:extLst>
            <c:ext xmlns:c15="http://schemas.microsoft.com/office/drawing/2012/chart" uri="{02D57815-91ED-43cb-92C2-25804820EDAC}">
              <c15:datalabelsRange>
                <c15:f>Bills_Small!$DI$18:$DI$21</c15:f>
                <c15:dlblRangeCache>
                  <c:ptCount val="4"/>
                  <c:pt idx="0">
                    <c:v>0.8%</c:v>
                  </c:pt>
                  <c:pt idx="1">
                    <c:v>-0.3%</c:v>
                  </c:pt>
                  <c:pt idx="2">
                    <c:v>-1.7%</c:v>
                  </c:pt>
                  <c:pt idx="3">
                    <c:v>-4.3%</c:v>
                  </c:pt>
                </c15:dlblRangeCache>
              </c15:datalabelsRange>
            </c:ext>
            <c:ext xmlns:c16="http://schemas.microsoft.com/office/drawing/2014/chart" uri="{C3380CC4-5D6E-409C-BE32-E72D297353CC}">
              <c16:uniqueId val="{0000000E-4B55-444B-BDA3-990C8E584A05}"/>
            </c:ext>
          </c:extLst>
        </c:ser>
        <c:dLbls>
          <c:showLegendKey val="0"/>
          <c:showVal val="0"/>
          <c:showCatName val="0"/>
          <c:showSerName val="0"/>
          <c:showPercent val="0"/>
          <c:showBubbleSize val="0"/>
        </c:dLbls>
        <c:gapWidth val="50"/>
        <c:axId val="-690818656"/>
        <c:axId val="-690808320"/>
      </c:barChart>
      <c:catAx>
        <c:axId val="-69081865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08320"/>
        <c:crosses val="autoZero"/>
        <c:auto val="1"/>
        <c:lblAlgn val="ctr"/>
        <c:lblOffset val="100"/>
        <c:noMultiLvlLbl val="0"/>
      </c:catAx>
      <c:valAx>
        <c:axId val="-6908083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Bills_Small!$DG$5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Bills_Small!$DE$8:$DE$11</c:f>
              <c:strCache>
                <c:ptCount val="4"/>
                <c:pt idx="0">
                  <c:v>Non-Participant</c:v>
                </c:pt>
                <c:pt idx="1">
                  <c:v>Average Customer</c:v>
                </c:pt>
                <c:pt idx="2">
                  <c:v>Low Savings Partcipant</c:v>
                </c:pt>
                <c:pt idx="3">
                  <c:v>High Savings Partcipant</c:v>
                </c:pt>
              </c:strCache>
            </c:strRef>
          </c:cat>
          <c:val>
            <c:numRef>
              <c:f>Bills_Small!$DG$8:$DG$11</c:f>
              <c:numCache>
                <c:formatCode>"$"#,##0</c:formatCode>
                <c:ptCount val="4"/>
                <c:pt idx="0">
                  <c:v>2645.0778520838007</c:v>
                </c:pt>
                <c:pt idx="1">
                  <c:v>2618.6460966386876</c:v>
                </c:pt>
                <c:pt idx="2">
                  <c:v>2577.5285222979219</c:v>
                </c:pt>
                <c:pt idx="3">
                  <c:v>2509.9791925120417</c:v>
                </c:pt>
              </c:numCache>
            </c:numRef>
          </c:val>
          <c:extLst>
            <c:ext xmlns:c16="http://schemas.microsoft.com/office/drawing/2014/chart" uri="{C3380CC4-5D6E-409C-BE32-E72D297353CC}">
              <c16:uniqueId val="{00000000-D307-4A1A-BC33-32A56DBC5C83}"/>
            </c:ext>
          </c:extLst>
        </c:ser>
        <c:ser>
          <c:idx val="1"/>
          <c:order val="1"/>
          <c:tx>
            <c:strRef>
              <c:f>Bills_Small!$DH$5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Bills_Small!$DE$8:$DE$11</c:f>
              <c:strCache>
                <c:ptCount val="4"/>
                <c:pt idx="0">
                  <c:v>Non-Participant</c:v>
                </c:pt>
                <c:pt idx="1">
                  <c:v>Average Customer</c:v>
                </c:pt>
                <c:pt idx="2">
                  <c:v>Low Savings Partcipant</c:v>
                </c:pt>
                <c:pt idx="3">
                  <c:v>High Savings Partcipant</c:v>
                </c:pt>
              </c:strCache>
            </c:strRef>
          </c:cat>
          <c:val>
            <c:numRef>
              <c:f>Bills_Small!$DH$8:$DH$11</c:f>
              <c:numCache>
                <c:formatCode>"$"#,##0</c:formatCode>
                <c:ptCount val="4"/>
                <c:pt idx="0">
                  <c:v>2646.0882575823002</c:v>
                </c:pt>
                <c:pt idx="1">
                  <c:v>2618.2067221139346</c:v>
                </c:pt>
                <c:pt idx="2">
                  <c:v>2578.4884075214959</c:v>
                </c:pt>
                <c:pt idx="3">
                  <c:v>2510.8885574606911</c:v>
                </c:pt>
              </c:numCache>
            </c:numRef>
          </c:val>
          <c:extLst>
            <c:ext xmlns:c16="http://schemas.microsoft.com/office/drawing/2014/chart" uri="{C3380CC4-5D6E-409C-BE32-E72D297353CC}">
              <c16:uniqueId val="{00000001-D307-4A1A-BC33-32A56DBC5C83}"/>
            </c:ext>
          </c:extLst>
        </c:ser>
        <c:ser>
          <c:idx val="2"/>
          <c:order val="2"/>
          <c:tx>
            <c:strRef>
              <c:f>Bills_Small!$DI$5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Bills_Small!$DE$8:$DE$11</c:f>
              <c:strCache>
                <c:ptCount val="4"/>
                <c:pt idx="0">
                  <c:v>Non-Participant</c:v>
                </c:pt>
                <c:pt idx="1">
                  <c:v>Average Customer</c:v>
                </c:pt>
                <c:pt idx="2">
                  <c:v>Low Savings Partcipant</c:v>
                </c:pt>
                <c:pt idx="3">
                  <c:v>High Savings Partcipant</c:v>
                </c:pt>
              </c:strCache>
            </c:strRef>
          </c:cat>
          <c:val>
            <c:numRef>
              <c:f>Bills_Small!$DI$8:$DI$11</c:f>
              <c:numCache>
                <c:formatCode>"$"#,##0</c:formatCode>
                <c:ptCount val="4"/>
                <c:pt idx="0">
                  <c:v>2647.3017393200485</c:v>
                </c:pt>
                <c:pt idx="1">
                  <c:v>2618.1122720570124</c:v>
                </c:pt>
                <c:pt idx="2">
                  <c:v>2579.6412151723571</c:v>
                </c:pt>
                <c:pt idx="3">
                  <c:v>2511.9806910246648</c:v>
                </c:pt>
              </c:numCache>
            </c:numRef>
          </c:val>
          <c:extLst>
            <c:ext xmlns:c16="http://schemas.microsoft.com/office/drawing/2014/chart" uri="{C3380CC4-5D6E-409C-BE32-E72D297353CC}">
              <c16:uniqueId val="{00000002-D307-4A1A-BC33-32A56DBC5C83}"/>
            </c:ext>
          </c:extLst>
        </c:ser>
        <c:dLbls>
          <c:dLblPos val="outEnd"/>
          <c:showLegendKey val="0"/>
          <c:showVal val="1"/>
          <c:showCatName val="0"/>
          <c:showSerName val="0"/>
          <c:showPercent val="0"/>
          <c:showBubbleSize val="0"/>
        </c:dLbls>
        <c:gapWidth val="50"/>
        <c:axId val="-690818112"/>
        <c:axId val="-690815392"/>
      </c:barChart>
      <c:catAx>
        <c:axId val="-69081811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5392"/>
        <c:crosses val="autoZero"/>
        <c:auto val="1"/>
        <c:lblAlgn val="ctr"/>
        <c:lblOffset val="100"/>
        <c:noMultiLvlLbl val="0"/>
      </c:catAx>
      <c:valAx>
        <c:axId val="-690815392"/>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Bills_Small!$DJ$5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4526FD82-1E4F-4AA1-80B3-EA0F09940A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9A-4DEF-AD30-348004113AE5}"/>
                </c:ext>
              </c:extLst>
            </c:dLbl>
            <c:dLbl>
              <c:idx val="1"/>
              <c:tx>
                <c:rich>
                  <a:bodyPr/>
                  <a:lstStyle/>
                  <a:p>
                    <a:fld id="{377E1511-7F1A-4315-B87D-2260E25D57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9A-4DEF-AD30-348004113AE5}"/>
                </c:ext>
              </c:extLst>
            </c:dLbl>
            <c:dLbl>
              <c:idx val="2"/>
              <c:tx>
                <c:rich>
                  <a:bodyPr/>
                  <a:lstStyle/>
                  <a:p>
                    <a:fld id="{1AB607EA-EC15-4249-A8A0-6BA5601D2C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9A-4DEF-AD30-348004113AE5}"/>
                </c:ext>
              </c:extLst>
            </c:dLbl>
            <c:dLbl>
              <c:idx val="3"/>
              <c:tx>
                <c:rich>
                  <a:bodyPr/>
                  <a:lstStyle/>
                  <a:p>
                    <a:fld id="{0DB4B42D-2D8D-4FF6-BBF3-66E3158709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9A-4DEF-AD30-348004113AE5}"/>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Bills_Small!$DE$30:$DE$33</c:f>
              <c:strCache>
                <c:ptCount val="4"/>
                <c:pt idx="0">
                  <c:v>Non-Participant</c:v>
                </c:pt>
                <c:pt idx="1">
                  <c:v>Average Customer</c:v>
                </c:pt>
                <c:pt idx="2">
                  <c:v>Low Savings Partcipant</c:v>
                </c:pt>
                <c:pt idx="3">
                  <c:v>High Savings Partcipant</c:v>
                </c:pt>
              </c:strCache>
            </c:strRef>
          </c:cat>
          <c:val>
            <c:numRef>
              <c:f>Bills_Small!$DJ$30:$DJ$33</c:f>
              <c:numCache>
                <c:formatCode>"$"#,##0.00</c:formatCode>
                <c:ptCount val="4"/>
                <c:pt idx="0">
                  <c:v>70.119126992014813</c:v>
                </c:pt>
                <c:pt idx="1">
                  <c:v>-20.533754276381018</c:v>
                </c:pt>
                <c:pt idx="2">
                  <c:v>-8.9267502638369702</c:v>
                </c:pt>
                <c:pt idx="3">
                  <c:v>-87.972627519688743</c:v>
                </c:pt>
              </c:numCache>
            </c:numRef>
          </c:val>
          <c:extLst>
            <c:ext xmlns:c15="http://schemas.microsoft.com/office/drawing/2012/chart" uri="{02D57815-91ED-43cb-92C2-25804820EDAC}">
              <c15:datalabelsRange>
                <c15:f>Bills_Small!$DJ$35:$DJ$38</c15:f>
                <c15:dlblRangeCache>
                  <c:ptCount val="4"/>
                  <c:pt idx="0">
                    <c:v>2.7%</c:v>
                  </c:pt>
                  <c:pt idx="1">
                    <c:v>-0.8%</c:v>
                  </c:pt>
                  <c:pt idx="2">
                    <c:v>-0.3%</c:v>
                  </c:pt>
                  <c:pt idx="3">
                    <c:v>-3.4%</c:v>
                  </c:pt>
                </c15:dlblRangeCache>
              </c15:datalabelsRange>
            </c:ext>
            <c:ext xmlns:c16="http://schemas.microsoft.com/office/drawing/2014/chart" uri="{C3380CC4-5D6E-409C-BE32-E72D297353CC}">
              <c16:uniqueId val="{00000004-CB1A-4819-AE7B-E3B8E77C77C3}"/>
            </c:ext>
          </c:extLst>
        </c:ser>
        <c:dLbls>
          <c:dLblPos val="outEnd"/>
          <c:showLegendKey val="0"/>
          <c:showVal val="1"/>
          <c:showCatName val="0"/>
          <c:showSerName val="0"/>
          <c:showPercent val="0"/>
          <c:showBubbleSize val="0"/>
        </c:dLbls>
        <c:gapWidth val="50"/>
        <c:axId val="-690809952"/>
        <c:axId val="-690809408"/>
      </c:barChart>
      <c:catAx>
        <c:axId val="-69080995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09408"/>
        <c:crosses val="autoZero"/>
        <c:auto val="1"/>
        <c:lblAlgn val="ctr"/>
        <c:lblOffset val="100"/>
        <c:noMultiLvlLbl val="0"/>
      </c:catAx>
      <c:valAx>
        <c:axId val="-69080940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0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Bills_Small!$DG$5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ADE7204B-1FB7-43EB-815E-76FC887CE6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C4D-424C-99E7-64054BB0BAE3}"/>
                </c:ext>
              </c:extLst>
            </c:dLbl>
            <c:dLbl>
              <c:idx val="1"/>
              <c:tx>
                <c:rich>
                  <a:bodyPr/>
                  <a:lstStyle/>
                  <a:p>
                    <a:fld id="{2A191B03-F9AF-4BD2-9673-6A72F314E6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C4D-424C-99E7-64054BB0BAE3}"/>
                </c:ext>
              </c:extLst>
            </c:dLbl>
            <c:dLbl>
              <c:idx val="2"/>
              <c:tx>
                <c:rich>
                  <a:bodyPr/>
                  <a:lstStyle/>
                  <a:p>
                    <a:fld id="{7DB0951F-A2F8-4DFF-97D7-3451ECE766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4D-424C-99E7-64054BB0BAE3}"/>
                </c:ext>
              </c:extLst>
            </c:dLbl>
            <c:dLbl>
              <c:idx val="3"/>
              <c:tx>
                <c:rich>
                  <a:bodyPr/>
                  <a:lstStyle/>
                  <a:p>
                    <a:fld id="{1F9E065F-3EB6-4D4F-8CE5-F73C960CAE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4D-424C-99E7-64054BB0BAE3}"/>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Bills_Small!$DE$30:$DE$33</c:f>
              <c:strCache>
                <c:ptCount val="4"/>
                <c:pt idx="0">
                  <c:v>Non-Participant</c:v>
                </c:pt>
                <c:pt idx="1">
                  <c:v>Average Customer</c:v>
                </c:pt>
                <c:pt idx="2">
                  <c:v>Low Savings Partcipant</c:v>
                </c:pt>
                <c:pt idx="3">
                  <c:v>High Savings Partcipant</c:v>
                </c:pt>
              </c:strCache>
            </c:strRef>
          </c:cat>
          <c:val>
            <c:numRef>
              <c:f>Bills_Small!$DG$30:$DG$33</c:f>
              <c:numCache>
                <c:formatCode>"$"#,##0.00</c:formatCode>
                <c:ptCount val="4"/>
                <c:pt idx="0">
                  <c:v>23.677910724360192</c:v>
                </c:pt>
                <c:pt idx="1">
                  <c:v>-6.6108146602571605</c:v>
                </c:pt>
                <c:pt idx="2">
                  <c:v>-57.598652962465643</c:v>
                </c:pt>
                <c:pt idx="3">
                  <c:v>-138.87521664929173</c:v>
                </c:pt>
              </c:numCache>
            </c:numRef>
          </c:val>
          <c:extLst>
            <c:ext xmlns:c15="http://schemas.microsoft.com/office/drawing/2012/chart" uri="{02D57815-91ED-43cb-92C2-25804820EDAC}">
              <c15:datalabelsRange>
                <c15:f>Bills_Small!$DG$18:$DG$21</c15:f>
                <c15:dlblRangeCache>
                  <c:ptCount val="4"/>
                  <c:pt idx="0">
                    <c:v>0.8%</c:v>
                  </c:pt>
                  <c:pt idx="1">
                    <c:v>-0.2%</c:v>
                  </c:pt>
                  <c:pt idx="2">
                    <c:v>-1.8%</c:v>
                  </c:pt>
                  <c:pt idx="3">
                    <c:v>-4.4%</c:v>
                  </c:pt>
                </c15:dlblRangeCache>
              </c15:datalabelsRange>
            </c:ext>
            <c:ext xmlns:c16="http://schemas.microsoft.com/office/drawing/2014/chart" uri="{C3380CC4-5D6E-409C-BE32-E72D297353CC}">
              <c16:uniqueId val="{00000004-666A-4363-8A23-E4703AEE174C}"/>
            </c:ext>
          </c:extLst>
        </c:ser>
        <c:ser>
          <c:idx val="1"/>
          <c:order val="1"/>
          <c:tx>
            <c:strRef>
              <c:f>Bills_Small!$DH$5</c:f>
              <c:strCache>
                <c:ptCount val="1"/>
                <c:pt idx="0">
                  <c:v>2022</c:v>
                </c:pt>
              </c:strCache>
            </c:strRef>
          </c:tx>
          <c:spPr>
            <a:solidFill>
              <a:schemeClr val="accent5"/>
            </a:solidFill>
            <a:ln>
              <a:solidFill>
                <a:schemeClr val="bg1"/>
              </a:solidFill>
            </a:ln>
            <a:effectLst/>
          </c:spPr>
          <c:invertIfNegative val="0"/>
          <c:dLbls>
            <c:dLbl>
              <c:idx val="0"/>
              <c:tx>
                <c:rich>
                  <a:bodyPr/>
                  <a:lstStyle/>
                  <a:p>
                    <a:fld id="{DCDEB400-A4E9-43B9-A108-329A6D3AB1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4D-424C-99E7-64054BB0BAE3}"/>
                </c:ext>
              </c:extLst>
            </c:dLbl>
            <c:dLbl>
              <c:idx val="1"/>
              <c:tx>
                <c:rich>
                  <a:bodyPr/>
                  <a:lstStyle/>
                  <a:p>
                    <a:fld id="{C5454265-2B5C-43EF-AB83-3189D64C42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4D-424C-99E7-64054BB0BAE3}"/>
                </c:ext>
              </c:extLst>
            </c:dLbl>
            <c:dLbl>
              <c:idx val="2"/>
              <c:tx>
                <c:rich>
                  <a:bodyPr/>
                  <a:lstStyle/>
                  <a:p>
                    <a:fld id="{FFEA38F4-3B91-4C1C-B848-3A8D1EF05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4D-424C-99E7-64054BB0BAE3}"/>
                </c:ext>
              </c:extLst>
            </c:dLbl>
            <c:dLbl>
              <c:idx val="3"/>
              <c:tx>
                <c:rich>
                  <a:bodyPr/>
                  <a:lstStyle/>
                  <a:p>
                    <a:fld id="{DB140655-6A86-4FF2-BAFE-CE8B09B38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4D-424C-99E7-64054BB0BAE3}"/>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Bills_Small!$DE$30:$DE$33</c:f>
              <c:strCache>
                <c:ptCount val="4"/>
                <c:pt idx="0">
                  <c:v>Non-Participant</c:v>
                </c:pt>
                <c:pt idx="1">
                  <c:v>Average Customer</c:v>
                </c:pt>
                <c:pt idx="2">
                  <c:v>Low Savings Partcipant</c:v>
                </c:pt>
                <c:pt idx="3">
                  <c:v>High Savings Partcipant</c:v>
                </c:pt>
              </c:strCache>
            </c:strRef>
          </c:cat>
          <c:val>
            <c:numRef>
              <c:f>Bills_Small!$DH$30:$DH$33</c:f>
              <c:numCache>
                <c:formatCode>"$"#,##0.00</c:formatCode>
                <c:ptCount val="4"/>
                <c:pt idx="0">
                  <c:v>24.870165374609851</c:v>
                </c:pt>
                <c:pt idx="1">
                  <c:v>-7.0841166394722164</c:v>
                </c:pt>
                <c:pt idx="2">
                  <c:v>-56.477933591230972</c:v>
                </c:pt>
                <c:pt idx="3">
                  <c:v>-137.82603255707181</c:v>
                </c:pt>
              </c:numCache>
            </c:numRef>
          </c:val>
          <c:extLst>
            <c:ext xmlns:c15="http://schemas.microsoft.com/office/drawing/2012/chart" uri="{02D57815-91ED-43cb-92C2-25804820EDAC}">
              <c15:datalabelsRange>
                <c15:f>Bills_Small!$DH$35:$DH$38</c15:f>
                <c15:dlblRangeCache>
                  <c:ptCount val="4"/>
                  <c:pt idx="0">
                    <c:v>0.9%</c:v>
                  </c:pt>
                  <c:pt idx="1">
                    <c:v>-0.3%</c:v>
                  </c:pt>
                  <c:pt idx="2">
                    <c:v>-2.2%</c:v>
                  </c:pt>
                  <c:pt idx="3">
                    <c:v>-5.3%</c:v>
                  </c:pt>
                </c15:dlblRangeCache>
              </c15:datalabelsRange>
            </c:ext>
            <c:ext xmlns:c16="http://schemas.microsoft.com/office/drawing/2014/chart" uri="{C3380CC4-5D6E-409C-BE32-E72D297353CC}">
              <c16:uniqueId val="{00000009-666A-4363-8A23-E4703AEE174C}"/>
            </c:ext>
          </c:extLst>
        </c:ser>
        <c:ser>
          <c:idx val="2"/>
          <c:order val="2"/>
          <c:tx>
            <c:strRef>
              <c:f>Bills_Small!$DI$5</c:f>
              <c:strCache>
                <c:ptCount val="1"/>
                <c:pt idx="0">
                  <c:v>2023</c:v>
                </c:pt>
              </c:strCache>
            </c:strRef>
          </c:tx>
          <c:spPr>
            <a:solidFill>
              <a:schemeClr val="accent3"/>
            </a:solidFill>
            <a:ln>
              <a:solidFill>
                <a:schemeClr val="bg1"/>
              </a:solidFill>
            </a:ln>
            <a:effectLst/>
          </c:spPr>
          <c:invertIfNegative val="0"/>
          <c:dLbls>
            <c:dLbl>
              <c:idx val="0"/>
              <c:tx>
                <c:rich>
                  <a:bodyPr/>
                  <a:lstStyle/>
                  <a:p>
                    <a:fld id="{3139E7EE-C7B7-45CE-B241-AFCF4B6B7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4D-424C-99E7-64054BB0BAE3}"/>
                </c:ext>
              </c:extLst>
            </c:dLbl>
            <c:dLbl>
              <c:idx val="1"/>
              <c:tx>
                <c:rich>
                  <a:bodyPr/>
                  <a:lstStyle/>
                  <a:p>
                    <a:fld id="{5BBF463A-8D55-4B03-9CA0-B3397F3623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4D-424C-99E7-64054BB0BAE3}"/>
                </c:ext>
              </c:extLst>
            </c:dLbl>
            <c:dLbl>
              <c:idx val="2"/>
              <c:tx>
                <c:rich>
                  <a:bodyPr/>
                  <a:lstStyle/>
                  <a:p>
                    <a:fld id="{551B5F81-4E6F-4448-9CCA-B519209EF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4D-424C-99E7-64054BB0BAE3}"/>
                </c:ext>
              </c:extLst>
            </c:dLbl>
            <c:dLbl>
              <c:idx val="3"/>
              <c:tx>
                <c:rich>
                  <a:bodyPr/>
                  <a:lstStyle/>
                  <a:p>
                    <a:fld id="{7894EBCF-2DB5-49AA-929B-C52A4A0CDC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4D-424C-99E7-64054BB0BAE3}"/>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Bills_Small!$DE$30:$DE$33</c:f>
              <c:strCache>
                <c:ptCount val="4"/>
                <c:pt idx="0">
                  <c:v>Non-Participant</c:v>
                </c:pt>
                <c:pt idx="1">
                  <c:v>Average Customer</c:v>
                </c:pt>
                <c:pt idx="2">
                  <c:v>Low Savings Partcipant</c:v>
                </c:pt>
                <c:pt idx="3">
                  <c:v>High Savings Partcipant</c:v>
                </c:pt>
              </c:strCache>
            </c:strRef>
          </c:cat>
          <c:val>
            <c:numRef>
              <c:f>Bills_Small!$DI$30:$DI$33</c:f>
              <c:numCache>
                <c:formatCode>"$"#,##0.00</c:formatCode>
                <c:ptCount val="4"/>
                <c:pt idx="0">
                  <c:v>26.308210876710497</c:v>
                </c:pt>
                <c:pt idx="1">
                  <c:v>-7.1505085527045082</c:v>
                </c:pt>
                <c:pt idx="2">
                  <c:v>-55.12617081925621</c:v>
                </c:pt>
                <c:pt idx="3">
                  <c:v>-136.56055251522324</c:v>
                </c:pt>
              </c:numCache>
            </c:numRef>
          </c:val>
          <c:extLst>
            <c:ext xmlns:c15="http://schemas.microsoft.com/office/drawing/2012/chart" uri="{02D57815-91ED-43cb-92C2-25804820EDAC}">
              <c15:datalabelsRange>
                <c15:f>Bills_Small!$DI$35:$DI$38</c15:f>
                <c15:dlblRangeCache>
                  <c:ptCount val="4"/>
                  <c:pt idx="0">
                    <c:v>1.0%</c:v>
                  </c:pt>
                  <c:pt idx="1">
                    <c:v>-0.3%</c:v>
                  </c:pt>
                  <c:pt idx="2">
                    <c:v>-2.1%</c:v>
                  </c:pt>
                  <c:pt idx="3">
                    <c:v>-5.2%</c:v>
                  </c:pt>
                </c15:dlblRangeCache>
              </c15:datalabelsRange>
            </c:ext>
            <c:ext xmlns:c16="http://schemas.microsoft.com/office/drawing/2014/chart" uri="{C3380CC4-5D6E-409C-BE32-E72D297353CC}">
              <c16:uniqueId val="{0000000E-666A-4363-8A23-E4703AEE174C}"/>
            </c:ext>
          </c:extLst>
        </c:ser>
        <c:dLbls>
          <c:dLblPos val="outEnd"/>
          <c:showLegendKey val="0"/>
          <c:showVal val="1"/>
          <c:showCatName val="0"/>
          <c:showSerName val="0"/>
          <c:showPercent val="0"/>
          <c:showBubbleSize val="0"/>
        </c:dLbls>
        <c:gapWidth val="50"/>
        <c:axId val="-690823008"/>
        <c:axId val="-690808864"/>
      </c:barChart>
      <c:catAx>
        <c:axId val="-69082300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08864"/>
        <c:crosses val="autoZero"/>
        <c:auto val="1"/>
        <c:lblAlgn val="ctr"/>
        <c:lblOffset val="100"/>
        <c:noMultiLvlLbl val="0"/>
      </c:catAx>
      <c:valAx>
        <c:axId val="-69080886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Bills_Small!$DG$5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Bills_Small!$DE$25:$DE$28</c:f>
              <c:strCache>
                <c:ptCount val="4"/>
                <c:pt idx="0">
                  <c:v>Non-Participant</c:v>
                </c:pt>
                <c:pt idx="1">
                  <c:v>Average Customer</c:v>
                </c:pt>
                <c:pt idx="2">
                  <c:v>Low Savings Partcipant</c:v>
                </c:pt>
                <c:pt idx="3">
                  <c:v>High Savings Partcipant</c:v>
                </c:pt>
              </c:strCache>
            </c:strRef>
          </c:cat>
          <c:val>
            <c:numRef>
              <c:f>Bills_Small!$DG$25:$DG$28</c:f>
              <c:numCache>
                <c:formatCode>"$"#,##0</c:formatCode>
                <c:ptCount val="4"/>
                <c:pt idx="0">
                  <c:v>2648.700651146642</c:v>
                </c:pt>
                <c:pt idx="1">
                  <c:v>2618.4119257620246</c:v>
                </c:pt>
                <c:pt idx="2">
                  <c:v>2567.4240874598158</c:v>
                </c:pt>
                <c:pt idx="3">
                  <c:v>2486.1475237729906</c:v>
                </c:pt>
              </c:numCache>
            </c:numRef>
          </c:val>
          <c:extLst>
            <c:ext xmlns:c16="http://schemas.microsoft.com/office/drawing/2014/chart" uri="{C3380CC4-5D6E-409C-BE32-E72D297353CC}">
              <c16:uniqueId val="{00000000-9FA9-419F-BB37-1D95644719EE}"/>
            </c:ext>
          </c:extLst>
        </c:ser>
        <c:ser>
          <c:idx val="1"/>
          <c:order val="1"/>
          <c:tx>
            <c:strRef>
              <c:f>Bills_Small!$DH$5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Bills_Small!$DE$25:$DE$28</c:f>
              <c:strCache>
                <c:ptCount val="4"/>
                <c:pt idx="0">
                  <c:v>Non-Participant</c:v>
                </c:pt>
                <c:pt idx="1">
                  <c:v>Average Customer</c:v>
                </c:pt>
                <c:pt idx="2">
                  <c:v>Low Savings Partcipant</c:v>
                </c:pt>
                <c:pt idx="3">
                  <c:v>High Savings Partcipant</c:v>
                </c:pt>
              </c:strCache>
            </c:strRef>
          </c:cat>
          <c:val>
            <c:numRef>
              <c:f>Bills_Small!$DH$25:$DH$28</c:f>
              <c:numCache>
                <c:formatCode>"$"#,##0</c:formatCode>
                <c:ptCount val="4"/>
                <c:pt idx="0">
                  <c:v>2649.8929057968912</c:v>
                </c:pt>
                <c:pt idx="1">
                  <c:v>2617.9386237828094</c:v>
                </c:pt>
                <c:pt idx="2">
                  <c:v>2568.5448068310511</c:v>
                </c:pt>
                <c:pt idx="3">
                  <c:v>2487.1967078652106</c:v>
                </c:pt>
              </c:numCache>
            </c:numRef>
          </c:val>
          <c:extLst>
            <c:ext xmlns:c16="http://schemas.microsoft.com/office/drawing/2014/chart" uri="{C3380CC4-5D6E-409C-BE32-E72D297353CC}">
              <c16:uniqueId val="{00000001-9FA9-419F-BB37-1D95644719EE}"/>
            </c:ext>
          </c:extLst>
        </c:ser>
        <c:ser>
          <c:idx val="2"/>
          <c:order val="2"/>
          <c:tx>
            <c:strRef>
              <c:f>Bills_Small!$DI$5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Bills_Small!$DE$25:$DE$28</c:f>
              <c:strCache>
                <c:ptCount val="4"/>
                <c:pt idx="0">
                  <c:v>Non-Participant</c:v>
                </c:pt>
                <c:pt idx="1">
                  <c:v>Average Customer</c:v>
                </c:pt>
                <c:pt idx="2">
                  <c:v>Low Savings Partcipant</c:v>
                </c:pt>
                <c:pt idx="3">
                  <c:v>High Savings Partcipant</c:v>
                </c:pt>
              </c:strCache>
            </c:strRef>
          </c:cat>
          <c:val>
            <c:numRef>
              <c:f>Bills_Small!$DI$25:$DI$28</c:f>
              <c:numCache>
                <c:formatCode>"$"#,##0</c:formatCode>
                <c:ptCount val="4"/>
                <c:pt idx="0">
                  <c:v>2651.3309512989922</c:v>
                </c:pt>
                <c:pt idx="1">
                  <c:v>2617.8722318695773</c:v>
                </c:pt>
                <c:pt idx="2">
                  <c:v>2569.8965696030255</c:v>
                </c:pt>
                <c:pt idx="3">
                  <c:v>2488.4621879070583</c:v>
                </c:pt>
              </c:numCache>
            </c:numRef>
          </c:val>
          <c:extLst>
            <c:ext xmlns:c16="http://schemas.microsoft.com/office/drawing/2014/chart" uri="{C3380CC4-5D6E-409C-BE32-E72D297353CC}">
              <c16:uniqueId val="{00000002-9FA9-419F-BB37-1D95644719EE}"/>
            </c:ext>
          </c:extLst>
        </c:ser>
        <c:dLbls>
          <c:dLblPos val="outEnd"/>
          <c:showLegendKey val="0"/>
          <c:showVal val="1"/>
          <c:showCatName val="0"/>
          <c:showSerName val="0"/>
          <c:showPercent val="0"/>
          <c:showBubbleSize val="0"/>
        </c:dLbls>
        <c:gapWidth val="50"/>
        <c:axId val="-690814848"/>
        <c:axId val="-690821920"/>
      </c:barChart>
      <c:catAx>
        <c:axId val="-69081484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1920"/>
        <c:crosses val="autoZero"/>
        <c:auto val="1"/>
        <c:lblAlgn val="ctr"/>
        <c:lblOffset val="100"/>
        <c:noMultiLvlLbl val="0"/>
      </c:catAx>
      <c:valAx>
        <c:axId val="-690821920"/>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4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56160080745636409"/>
        </c:manualLayout>
      </c:layout>
      <c:barChart>
        <c:barDir val="col"/>
        <c:grouping val="clustered"/>
        <c:varyColors val="0"/>
        <c:ser>
          <c:idx val="0"/>
          <c:order val="0"/>
          <c:tx>
            <c:strRef>
              <c:f>Bills_Small!$DJ$5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679D4B13-2DAE-419F-AB38-EDC5DD307C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9E9-469D-A47F-A141A04F9E28}"/>
                </c:ext>
              </c:extLst>
            </c:dLbl>
            <c:dLbl>
              <c:idx val="1"/>
              <c:tx>
                <c:rich>
                  <a:bodyPr/>
                  <a:lstStyle/>
                  <a:p>
                    <a:fld id="{801B70F2-2322-456C-B90D-96CCD1B93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9E9-469D-A47F-A141A04F9E28}"/>
                </c:ext>
              </c:extLst>
            </c:dLbl>
            <c:dLbl>
              <c:idx val="2"/>
              <c:tx>
                <c:rich>
                  <a:bodyPr/>
                  <a:lstStyle/>
                  <a:p>
                    <a:fld id="{5134A713-58CD-42B0-9317-CE12D45E34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E9-469D-A47F-A141A04F9E28}"/>
                </c:ext>
              </c:extLst>
            </c:dLbl>
            <c:dLbl>
              <c:idx val="3"/>
              <c:tx>
                <c:rich>
                  <a:bodyPr/>
                  <a:lstStyle/>
                  <a:p>
                    <a:fld id="{16496F9A-5961-4988-865E-1C42524D8A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9E9-469D-A47F-A141A04F9E28}"/>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Bills_Small!$DE$42:$DE$45</c:f>
              <c:strCache>
                <c:ptCount val="4"/>
                <c:pt idx="0">
                  <c:v>Non-Participant</c:v>
                </c:pt>
                <c:pt idx="1">
                  <c:v>Average Customer</c:v>
                </c:pt>
                <c:pt idx="2">
                  <c:v>Low Savings Partcipant</c:v>
                </c:pt>
                <c:pt idx="3">
                  <c:v>High Savings Partcipant</c:v>
                </c:pt>
              </c:strCache>
            </c:strRef>
          </c:cat>
          <c:val>
            <c:numRef>
              <c:f>Bills_Small!$DJ$42:$DJ$45</c:f>
              <c:numCache>
                <c:formatCode>"$"#,##0.00</c:formatCode>
                <c:ptCount val="4"/>
                <c:pt idx="0">
                  <c:v>10.811338258477917</c:v>
                </c:pt>
                <c:pt idx="1">
                  <c:v>-1.0209065776421085</c:v>
                </c:pt>
                <c:pt idx="2">
                  <c:v>-2.8945507520406863</c:v>
                </c:pt>
                <c:pt idx="3">
                  <c:v>-16.60043976255929</c:v>
                </c:pt>
              </c:numCache>
            </c:numRef>
          </c:val>
          <c:extLst>
            <c:ext xmlns:c15="http://schemas.microsoft.com/office/drawing/2012/chart" uri="{02D57815-91ED-43cb-92C2-25804820EDAC}">
              <c15:datalabelsRange>
                <c15:f>Bills_Small!$DJ$47:$DJ$50</c15:f>
                <c15:dlblRangeCache>
                  <c:ptCount val="4"/>
                  <c:pt idx="0">
                    <c:v>0.4%</c:v>
                  </c:pt>
                  <c:pt idx="1">
                    <c:v>0.0%</c:v>
                  </c:pt>
                  <c:pt idx="2">
                    <c:v>-0.1%</c:v>
                  </c:pt>
                  <c:pt idx="3">
                    <c:v>-0.7%</c:v>
                  </c:pt>
                </c15:dlblRangeCache>
              </c15:datalabelsRange>
            </c:ext>
            <c:ext xmlns:c16="http://schemas.microsoft.com/office/drawing/2014/chart" uri="{C3380CC4-5D6E-409C-BE32-E72D297353CC}">
              <c16:uniqueId val="{00000004-98AE-4AEC-855A-810C01AC49F0}"/>
            </c:ext>
          </c:extLst>
        </c:ser>
        <c:dLbls>
          <c:dLblPos val="outEnd"/>
          <c:showLegendKey val="0"/>
          <c:showVal val="1"/>
          <c:showCatName val="0"/>
          <c:showSerName val="0"/>
          <c:showPercent val="0"/>
          <c:showBubbleSize val="0"/>
        </c:dLbls>
        <c:gapWidth val="50"/>
        <c:axId val="-690821376"/>
        <c:axId val="-690813216"/>
      </c:barChart>
      <c:catAx>
        <c:axId val="-69082137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3216"/>
        <c:crosses val="autoZero"/>
        <c:auto val="1"/>
        <c:lblAlgn val="ctr"/>
        <c:lblOffset val="100"/>
        <c:noMultiLvlLbl val="0"/>
      </c:catAx>
      <c:valAx>
        <c:axId val="-69081321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Bills_Small!$DG$5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1C4A63D2-D306-4227-B212-1EF1BCECB1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76A-4120-BBC4-47FE23DDBA94}"/>
                </c:ext>
              </c:extLst>
            </c:dLbl>
            <c:dLbl>
              <c:idx val="1"/>
              <c:tx>
                <c:rich>
                  <a:bodyPr/>
                  <a:lstStyle/>
                  <a:p>
                    <a:fld id="{C8BEE6B9-D089-4AF8-A691-43A95A5CDE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76A-4120-BBC4-47FE23DDBA94}"/>
                </c:ext>
              </c:extLst>
            </c:dLbl>
            <c:dLbl>
              <c:idx val="2"/>
              <c:tx>
                <c:rich>
                  <a:bodyPr/>
                  <a:lstStyle/>
                  <a:p>
                    <a:fld id="{DA63B2CE-A4E1-4CFB-ACDD-E7F8EDAFE9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6A-4120-BBC4-47FE23DDBA94}"/>
                </c:ext>
              </c:extLst>
            </c:dLbl>
            <c:dLbl>
              <c:idx val="3"/>
              <c:tx>
                <c:rich>
                  <a:bodyPr/>
                  <a:lstStyle/>
                  <a:p>
                    <a:fld id="{3F83D484-C248-4C5C-B90A-F0F8FD4E36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76A-4120-BBC4-47FE23DDBA9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Bills_Small!$DE$42:$DE$45</c:f>
              <c:strCache>
                <c:ptCount val="4"/>
                <c:pt idx="0">
                  <c:v>Non-Participant</c:v>
                </c:pt>
                <c:pt idx="1">
                  <c:v>Average Customer</c:v>
                </c:pt>
                <c:pt idx="2">
                  <c:v>Low Savings Partcipant</c:v>
                </c:pt>
                <c:pt idx="3">
                  <c:v>High Savings Partcipant</c:v>
                </c:pt>
              </c:strCache>
            </c:strRef>
          </c:cat>
          <c:val>
            <c:numRef>
              <c:f>Bills_Small!$DG$42:$DG$45</c:f>
              <c:numCache>
                <c:formatCode>"$"#,##0.00</c:formatCode>
                <c:ptCount val="4"/>
                <c:pt idx="0">
                  <c:v>3.6227990628412954</c:v>
                </c:pt>
                <c:pt idx="1">
                  <c:v>-0.23417087666302905</c:v>
                </c:pt>
                <c:pt idx="2">
                  <c:v>-10.104434838106044</c:v>
                </c:pt>
                <c:pt idx="3">
                  <c:v>-23.831668739051111</c:v>
                </c:pt>
              </c:numCache>
            </c:numRef>
          </c:val>
          <c:extLst>
            <c:ext xmlns:c15="http://schemas.microsoft.com/office/drawing/2012/chart" uri="{02D57815-91ED-43cb-92C2-25804820EDAC}">
              <c15:datalabelsRange>
                <c15:f>Bills_Small!$DG$47:$DG$50</c15:f>
                <c15:dlblRangeCache>
                  <c:ptCount val="4"/>
                  <c:pt idx="0">
                    <c:v>0.1%</c:v>
                  </c:pt>
                  <c:pt idx="1">
                    <c:v>0.0%</c:v>
                  </c:pt>
                  <c:pt idx="2">
                    <c:v>-0.4%</c:v>
                  </c:pt>
                  <c:pt idx="3">
                    <c:v>-0.9%</c:v>
                  </c:pt>
                </c15:dlblRangeCache>
              </c15:datalabelsRange>
            </c:ext>
            <c:ext xmlns:c16="http://schemas.microsoft.com/office/drawing/2014/chart" uri="{C3380CC4-5D6E-409C-BE32-E72D297353CC}">
              <c16:uniqueId val="{00000004-B7A0-4D37-82D7-0410F2D99F05}"/>
            </c:ext>
          </c:extLst>
        </c:ser>
        <c:ser>
          <c:idx val="1"/>
          <c:order val="1"/>
          <c:tx>
            <c:strRef>
              <c:f>Bills_Small!$DH$5</c:f>
              <c:strCache>
                <c:ptCount val="1"/>
                <c:pt idx="0">
                  <c:v>2022</c:v>
                </c:pt>
              </c:strCache>
            </c:strRef>
          </c:tx>
          <c:spPr>
            <a:solidFill>
              <a:schemeClr val="accent5"/>
            </a:solidFill>
            <a:ln>
              <a:solidFill>
                <a:schemeClr val="bg1"/>
              </a:solidFill>
            </a:ln>
            <a:effectLst/>
          </c:spPr>
          <c:invertIfNegative val="0"/>
          <c:dLbls>
            <c:dLbl>
              <c:idx val="0"/>
              <c:tx>
                <c:rich>
                  <a:bodyPr/>
                  <a:lstStyle/>
                  <a:p>
                    <a:fld id="{56315EBE-63FF-4CEE-85BA-46ADE68DFC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76A-4120-BBC4-47FE23DDBA94}"/>
                </c:ext>
              </c:extLst>
            </c:dLbl>
            <c:dLbl>
              <c:idx val="1"/>
              <c:tx>
                <c:rich>
                  <a:bodyPr/>
                  <a:lstStyle/>
                  <a:p>
                    <a:fld id="{A44286FD-F63B-4021-A7E3-2467F5791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76A-4120-BBC4-47FE23DDBA94}"/>
                </c:ext>
              </c:extLst>
            </c:dLbl>
            <c:dLbl>
              <c:idx val="2"/>
              <c:tx>
                <c:rich>
                  <a:bodyPr/>
                  <a:lstStyle/>
                  <a:p>
                    <a:fld id="{0DF3307C-3499-47DD-A28F-99065EB64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76A-4120-BBC4-47FE23DDBA94}"/>
                </c:ext>
              </c:extLst>
            </c:dLbl>
            <c:dLbl>
              <c:idx val="3"/>
              <c:tx>
                <c:rich>
                  <a:bodyPr/>
                  <a:lstStyle/>
                  <a:p>
                    <a:fld id="{8E614C43-8003-4D48-B33B-54D45FD11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76A-4120-BBC4-47FE23DDBA9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Bills_Small!$DE$42:$DE$45</c:f>
              <c:strCache>
                <c:ptCount val="4"/>
                <c:pt idx="0">
                  <c:v>Non-Participant</c:v>
                </c:pt>
                <c:pt idx="1">
                  <c:v>Average Customer</c:v>
                </c:pt>
                <c:pt idx="2">
                  <c:v>Low Savings Partcipant</c:v>
                </c:pt>
                <c:pt idx="3">
                  <c:v>High Savings Partcipant</c:v>
                </c:pt>
              </c:strCache>
            </c:strRef>
          </c:cat>
          <c:val>
            <c:numRef>
              <c:f>Bills_Small!$DH$42:$DH$45</c:f>
              <c:numCache>
                <c:formatCode>"$"#,##0.00</c:formatCode>
                <c:ptCount val="4"/>
                <c:pt idx="0">
                  <c:v>3.8046482145909977</c:v>
                </c:pt>
                <c:pt idx="1">
                  <c:v>-0.26809833112520209</c:v>
                </c:pt>
                <c:pt idx="2">
                  <c:v>-9.9436006904447822</c:v>
                </c:pt>
                <c:pt idx="3">
                  <c:v>-23.691849595480562</c:v>
                </c:pt>
              </c:numCache>
            </c:numRef>
          </c:val>
          <c:extLst>
            <c:ext xmlns:c15="http://schemas.microsoft.com/office/drawing/2012/chart" uri="{02D57815-91ED-43cb-92C2-25804820EDAC}">
              <c15:datalabelsRange>
                <c15:f>Bills_Small!$DH$35:$DH$38</c15:f>
                <c15:dlblRangeCache>
                  <c:ptCount val="4"/>
                  <c:pt idx="0">
                    <c:v>0.9%</c:v>
                  </c:pt>
                  <c:pt idx="1">
                    <c:v>-0.3%</c:v>
                  </c:pt>
                  <c:pt idx="2">
                    <c:v>-2.2%</c:v>
                  </c:pt>
                  <c:pt idx="3">
                    <c:v>-5.3%</c:v>
                  </c:pt>
                </c15:dlblRangeCache>
              </c15:datalabelsRange>
            </c:ext>
            <c:ext xmlns:c16="http://schemas.microsoft.com/office/drawing/2014/chart" uri="{C3380CC4-5D6E-409C-BE32-E72D297353CC}">
              <c16:uniqueId val="{00000009-B7A0-4D37-82D7-0410F2D99F05}"/>
            </c:ext>
          </c:extLst>
        </c:ser>
        <c:ser>
          <c:idx val="2"/>
          <c:order val="2"/>
          <c:tx>
            <c:strRef>
              <c:f>Bills_Small!$DI$5</c:f>
              <c:strCache>
                <c:ptCount val="1"/>
                <c:pt idx="0">
                  <c:v>2023</c:v>
                </c:pt>
              </c:strCache>
            </c:strRef>
          </c:tx>
          <c:spPr>
            <a:solidFill>
              <a:schemeClr val="accent3"/>
            </a:solidFill>
            <a:ln>
              <a:solidFill>
                <a:schemeClr val="bg1"/>
              </a:solidFill>
            </a:ln>
            <a:effectLst/>
          </c:spPr>
          <c:invertIfNegative val="0"/>
          <c:dLbls>
            <c:dLbl>
              <c:idx val="0"/>
              <c:tx>
                <c:rich>
                  <a:bodyPr/>
                  <a:lstStyle/>
                  <a:p>
                    <a:fld id="{4653769B-0BA0-4B17-BE9A-F5629BA95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76A-4120-BBC4-47FE23DDBA94}"/>
                </c:ext>
              </c:extLst>
            </c:dLbl>
            <c:dLbl>
              <c:idx val="1"/>
              <c:tx>
                <c:rich>
                  <a:bodyPr/>
                  <a:lstStyle/>
                  <a:p>
                    <a:fld id="{46D0B74B-F87B-4C0F-85ED-9BC311BAB3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76A-4120-BBC4-47FE23DDBA94}"/>
                </c:ext>
              </c:extLst>
            </c:dLbl>
            <c:dLbl>
              <c:idx val="2"/>
              <c:tx>
                <c:rich>
                  <a:bodyPr/>
                  <a:lstStyle/>
                  <a:p>
                    <a:fld id="{E5219AC2-3E13-4E09-9DF3-8778AAEE84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76A-4120-BBC4-47FE23DDBA94}"/>
                </c:ext>
              </c:extLst>
            </c:dLbl>
            <c:dLbl>
              <c:idx val="3"/>
              <c:tx>
                <c:rich>
                  <a:bodyPr/>
                  <a:lstStyle/>
                  <a:p>
                    <a:fld id="{58909955-50BE-41C7-A167-F04D34FDF4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76A-4120-BBC4-47FE23DDBA9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Bills_Small!$DE$42:$DE$45</c:f>
              <c:strCache>
                <c:ptCount val="4"/>
                <c:pt idx="0">
                  <c:v>Non-Participant</c:v>
                </c:pt>
                <c:pt idx="1">
                  <c:v>Average Customer</c:v>
                </c:pt>
                <c:pt idx="2">
                  <c:v>Low Savings Partcipant</c:v>
                </c:pt>
                <c:pt idx="3">
                  <c:v>High Savings Partcipant</c:v>
                </c:pt>
              </c:strCache>
            </c:strRef>
          </c:cat>
          <c:val>
            <c:numRef>
              <c:f>Bills_Small!$DI$42:$DI$45</c:f>
              <c:numCache>
                <c:formatCode>"$"#,##0.00</c:formatCode>
                <c:ptCount val="4"/>
                <c:pt idx="0">
                  <c:v>4.0292119789437493</c:v>
                </c:pt>
                <c:pt idx="1">
                  <c:v>-0.24004018743517008</c:v>
                </c:pt>
                <c:pt idx="2">
                  <c:v>-9.7446455693316238</c:v>
                </c:pt>
                <c:pt idx="3">
                  <c:v>-23.518503117606542</c:v>
                </c:pt>
              </c:numCache>
            </c:numRef>
          </c:val>
          <c:extLst>
            <c:ext xmlns:c15="http://schemas.microsoft.com/office/drawing/2012/chart" uri="{02D57815-91ED-43cb-92C2-25804820EDAC}">
              <c15:datalabelsRange>
                <c15:f>Bills_Small!$DI$47:$DI$50</c15:f>
                <c15:dlblRangeCache>
                  <c:ptCount val="4"/>
                  <c:pt idx="0">
                    <c:v>0.2%</c:v>
                  </c:pt>
                  <c:pt idx="1">
                    <c:v>0.0%</c:v>
                  </c:pt>
                  <c:pt idx="2">
                    <c:v>-0.4%</c:v>
                  </c:pt>
                  <c:pt idx="3">
                    <c:v>-0.9%</c:v>
                  </c:pt>
                </c15:dlblRangeCache>
              </c15:datalabelsRange>
            </c:ext>
            <c:ext xmlns:c16="http://schemas.microsoft.com/office/drawing/2014/chart" uri="{C3380CC4-5D6E-409C-BE32-E72D297353CC}">
              <c16:uniqueId val="{0000000E-B7A0-4D37-82D7-0410F2D99F05}"/>
            </c:ext>
          </c:extLst>
        </c:ser>
        <c:dLbls>
          <c:dLblPos val="outEnd"/>
          <c:showLegendKey val="0"/>
          <c:showVal val="1"/>
          <c:showCatName val="0"/>
          <c:showSerName val="0"/>
          <c:showPercent val="0"/>
          <c:showBubbleSize val="0"/>
        </c:dLbls>
        <c:gapWidth val="50"/>
        <c:axId val="-690820288"/>
        <c:axId val="-690819744"/>
      </c:barChart>
      <c:catAx>
        <c:axId val="-69082028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9744"/>
        <c:crosses val="autoZero"/>
        <c:auto val="1"/>
        <c:lblAlgn val="ctr"/>
        <c:lblOffset val="100"/>
        <c:noMultiLvlLbl val="0"/>
      </c:catAx>
      <c:valAx>
        <c:axId val="-6908197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2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Bills_Large!$DJ$5</c:f>
              <c:strCache>
                <c:ptCount val="1"/>
                <c:pt idx="0">
                  <c:v>2021-2023</c:v>
                </c:pt>
              </c:strCache>
            </c:strRef>
          </c:tx>
          <c:spPr>
            <a:solidFill>
              <a:schemeClr val="accent1">
                <a:lumMod val="75000"/>
              </a:schemeClr>
            </a:solidFill>
            <a:ln>
              <a:solidFill>
                <a:schemeClr val="bg1"/>
              </a:solidFill>
            </a:ln>
            <a:effectLst/>
          </c:spPr>
          <c:invertIfNegative val="0"/>
          <c:dLbls>
            <c:dLbl>
              <c:idx val="0"/>
              <c:tx>
                <c:rich>
                  <a:bodyPr/>
                  <a:lstStyle/>
                  <a:p>
                    <a:fld id="{94C3752A-6198-459E-A57F-00D773FD61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8A1-49A8-9DB7-58B85199231D}"/>
                </c:ext>
              </c:extLst>
            </c:dLbl>
            <c:dLbl>
              <c:idx val="1"/>
              <c:tx>
                <c:rich>
                  <a:bodyPr/>
                  <a:lstStyle/>
                  <a:p>
                    <a:fld id="{77B8750C-C141-4A1B-9F97-940CDDF54D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8A1-49A8-9DB7-58B85199231D}"/>
                </c:ext>
              </c:extLst>
            </c:dLbl>
            <c:dLbl>
              <c:idx val="2"/>
              <c:tx>
                <c:rich>
                  <a:bodyPr/>
                  <a:lstStyle/>
                  <a:p>
                    <a:fld id="{BDCF1D36-3F58-4110-859B-CB7F6FF988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A1-49A8-9DB7-58B85199231D}"/>
                </c:ext>
              </c:extLst>
            </c:dLbl>
            <c:dLbl>
              <c:idx val="3"/>
              <c:tx>
                <c:rich>
                  <a:bodyPr/>
                  <a:lstStyle/>
                  <a:p>
                    <a:fld id="{C9944F62-073D-4A48-B032-1A7864FF4D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A1-49A8-9DB7-58B85199231D}"/>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Bills_Large!$DE$13:$DE$16</c:f>
              <c:strCache>
                <c:ptCount val="4"/>
                <c:pt idx="0">
                  <c:v>Non-Participant</c:v>
                </c:pt>
                <c:pt idx="1">
                  <c:v>Average Customer</c:v>
                </c:pt>
                <c:pt idx="2">
                  <c:v>Low Savings Partcipant</c:v>
                </c:pt>
                <c:pt idx="3">
                  <c:v>High Savings Partcipant</c:v>
                </c:pt>
              </c:strCache>
            </c:strRef>
          </c:cat>
          <c:val>
            <c:numRef>
              <c:f>Bills_Large!$DJ$13:$DJ$16</c:f>
              <c:numCache>
                <c:formatCode>"$"#,##0.00</c:formatCode>
                <c:ptCount val="4"/>
                <c:pt idx="0">
                  <c:v>5303.2600551921323</c:v>
                </c:pt>
                <c:pt idx="1">
                  <c:v>-15986.28377960107</c:v>
                </c:pt>
                <c:pt idx="2">
                  <c:v>1311.1842394134148</c:v>
                </c:pt>
                <c:pt idx="3">
                  <c:v>-2680.8915763653195</c:v>
                </c:pt>
              </c:numCache>
            </c:numRef>
          </c:val>
          <c:extLst>
            <c:ext xmlns:c15="http://schemas.microsoft.com/office/drawing/2012/chart" uri="{02D57815-91ED-43cb-92C2-25804820EDAC}">
              <c15:datalabelsRange>
                <c15:f>Bills_Large!$DJ$18:$DJ$21</c15:f>
                <c15:dlblRangeCache>
                  <c:ptCount val="4"/>
                  <c:pt idx="0">
                    <c:v>3.5%</c:v>
                  </c:pt>
                  <c:pt idx="1">
                    <c:v>-10.7%</c:v>
                  </c:pt>
                  <c:pt idx="2">
                    <c:v>0.9%</c:v>
                  </c:pt>
                  <c:pt idx="3">
                    <c:v>-1.8%</c:v>
                  </c:pt>
                </c15:dlblRangeCache>
              </c15:datalabelsRange>
            </c:ext>
            <c:ext xmlns:c16="http://schemas.microsoft.com/office/drawing/2014/chart" uri="{C3380CC4-5D6E-409C-BE32-E72D297353CC}">
              <c16:uniqueId val="{00000004-7EB9-48A7-8819-DC62484EE27D}"/>
            </c:ext>
          </c:extLst>
        </c:ser>
        <c:dLbls>
          <c:dLblPos val="outEnd"/>
          <c:showLegendKey val="0"/>
          <c:showVal val="1"/>
          <c:showCatName val="0"/>
          <c:showSerName val="0"/>
          <c:showPercent val="0"/>
          <c:showBubbleSize val="0"/>
        </c:dLbls>
        <c:gapWidth val="50"/>
        <c:axId val="-690817024"/>
        <c:axId val="-690814304"/>
      </c:barChart>
      <c:catAx>
        <c:axId val="-69081702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4304"/>
        <c:crosses val="autoZero"/>
        <c:auto val="1"/>
        <c:lblAlgn val="ctr"/>
        <c:lblOffset val="100"/>
        <c:noMultiLvlLbl val="0"/>
      </c:catAx>
      <c:valAx>
        <c:axId val="-6908143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081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Rates_Res!$BX$9</c:f>
              <c:strCache>
                <c:ptCount val="1"/>
                <c:pt idx="0">
                  <c:v>Customer</c:v>
                </c:pt>
              </c:strCache>
            </c:strRef>
          </c:tx>
          <c:spPr>
            <a:solidFill>
              <a:schemeClr val="accent1"/>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Rates_Res!$BZ$9:$CZ$9</c:f>
              <c:numCache>
                <c:formatCode>_(* #,##0.000_);_(* \(#,##0.000\);_(* "-"??_);_(@_)</c:formatCode>
                <c:ptCount val="17"/>
                <c:pt idx="0">
                  <c:v>22.33803664496018</c:v>
                </c:pt>
                <c:pt idx="1">
                  <c:v>22.33803664496018</c:v>
                </c:pt>
                <c:pt idx="2">
                  <c:v>22.33803664496018</c:v>
                </c:pt>
                <c:pt idx="3">
                  <c:v>22.33803664496018</c:v>
                </c:pt>
                <c:pt idx="4">
                  <c:v>22.33803664496018</c:v>
                </c:pt>
                <c:pt idx="5">
                  <c:v>22.33803664496018</c:v>
                </c:pt>
                <c:pt idx="6">
                  <c:v>22.33803664496018</c:v>
                </c:pt>
                <c:pt idx="7">
                  <c:v>22.33803664496018</c:v>
                </c:pt>
                <c:pt idx="8">
                  <c:v>22.33803664496018</c:v>
                </c:pt>
                <c:pt idx="9">
                  <c:v>22.33803664496018</c:v>
                </c:pt>
                <c:pt idx="10">
                  <c:v>22.33803664496018</c:v>
                </c:pt>
                <c:pt idx="11">
                  <c:v>22.33803664496018</c:v>
                </c:pt>
                <c:pt idx="12">
                  <c:v>22.33803664496018</c:v>
                </c:pt>
                <c:pt idx="13">
                  <c:v>22.33803664496018</c:v>
                </c:pt>
                <c:pt idx="14">
                  <c:v>22.33803664496018</c:v>
                </c:pt>
                <c:pt idx="15">
                  <c:v>22.33803664496018</c:v>
                </c:pt>
                <c:pt idx="16">
                  <c:v>22.33803664496018</c:v>
                </c:pt>
              </c:numCache>
            </c:numRef>
          </c:val>
          <c:extLst>
            <c:ext xmlns:c16="http://schemas.microsoft.com/office/drawing/2014/chart" uri="{C3380CC4-5D6E-409C-BE32-E72D297353CC}">
              <c16:uniqueId val="{00000000-F9D2-4010-8462-28D42945A2C5}"/>
            </c:ext>
          </c:extLst>
        </c:ser>
        <c:ser>
          <c:idx val="1"/>
          <c:order val="1"/>
          <c:tx>
            <c:strRef>
              <c:f>Rates_Res!$BX$10</c:f>
              <c:strCache>
                <c:ptCount val="1"/>
                <c:pt idx="0">
                  <c:v>Distribution</c:v>
                </c:pt>
              </c:strCache>
            </c:strRef>
          </c:tx>
          <c:spPr>
            <a:solidFill>
              <a:schemeClr val="bg1">
                <a:lumMod val="50000"/>
              </a:schemeClr>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Rates_Res!$BZ$10:$CZ$10</c:f>
              <c:numCache>
                <c:formatCode>_(* #,##0.000_);_(* \(#,##0.000\);_(* "-"??_);_(@_)</c:formatCode>
                <c:ptCount val="17"/>
                <c:pt idx="0">
                  <c:v>55.69</c:v>
                </c:pt>
                <c:pt idx="1">
                  <c:v>55.69</c:v>
                </c:pt>
                <c:pt idx="2">
                  <c:v>55.69</c:v>
                </c:pt>
                <c:pt idx="3">
                  <c:v>55.69</c:v>
                </c:pt>
                <c:pt idx="4">
                  <c:v>55.69</c:v>
                </c:pt>
                <c:pt idx="5">
                  <c:v>55.69</c:v>
                </c:pt>
                <c:pt idx="6">
                  <c:v>55.69</c:v>
                </c:pt>
                <c:pt idx="7">
                  <c:v>55.69</c:v>
                </c:pt>
                <c:pt idx="8">
                  <c:v>55.69</c:v>
                </c:pt>
                <c:pt idx="9">
                  <c:v>55.69</c:v>
                </c:pt>
                <c:pt idx="10">
                  <c:v>55.69</c:v>
                </c:pt>
                <c:pt idx="11">
                  <c:v>55.69</c:v>
                </c:pt>
                <c:pt idx="12">
                  <c:v>55.69</c:v>
                </c:pt>
                <c:pt idx="13">
                  <c:v>55.69</c:v>
                </c:pt>
                <c:pt idx="14">
                  <c:v>55.69</c:v>
                </c:pt>
                <c:pt idx="15">
                  <c:v>55.69</c:v>
                </c:pt>
                <c:pt idx="16">
                  <c:v>55.69</c:v>
                </c:pt>
              </c:numCache>
            </c:numRef>
          </c:val>
          <c:extLst>
            <c:ext xmlns:c16="http://schemas.microsoft.com/office/drawing/2014/chart" uri="{C3380CC4-5D6E-409C-BE32-E72D297353CC}">
              <c16:uniqueId val="{00000001-F9D2-4010-8462-28D42945A2C5}"/>
            </c:ext>
          </c:extLst>
        </c:ser>
        <c:ser>
          <c:idx val="2"/>
          <c:order val="2"/>
          <c:tx>
            <c:strRef>
              <c:f>Rates_Res!$BX$11</c:f>
              <c:strCache>
                <c:ptCount val="1"/>
                <c:pt idx="0">
                  <c:v>LDAC, Non-EE</c:v>
                </c:pt>
              </c:strCache>
            </c:strRef>
          </c:tx>
          <c:spPr>
            <a:solidFill>
              <a:schemeClr val="accent3"/>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Rates_Res!$BZ$11:$CZ$11</c:f>
              <c:numCache>
                <c:formatCode>_(* #,##0.000_);_(* \(#,##0.000\);_(* "-"??_);_(@_)</c:formatCode>
                <c:ptCount val="17"/>
                <c:pt idx="0">
                  <c:v>-3.3000000000000003</c:v>
                </c:pt>
                <c:pt idx="1">
                  <c:v>-3.3000000000000003</c:v>
                </c:pt>
                <c:pt idx="2">
                  <c:v>-3.3000000000000003</c:v>
                </c:pt>
                <c:pt idx="3">
                  <c:v>-3.3000000000000003</c:v>
                </c:pt>
                <c:pt idx="4">
                  <c:v>-3.3000000000000003</c:v>
                </c:pt>
                <c:pt idx="5">
                  <c:v>-3.3000000000000003</c:v>
                </c:pt>
                <c:pt idx="6">
                  <c:v>-3.3000000000000003</c:v>
                </c:pt>
                <c:pt idx="7">
                  <c:v>-3.3000000000000003</c:v>
                </c:pt>
                <c:pt idx="8">
                  <c:v>-3.3000000000000003</c:v>
                </c:pt>
                <c:pt idx="9">
                  <c:v>-3.3000000000000003</c:v>
                </c:pt>
                <c:pt idx="10">
                  <c:v>-3.3000000000000003</c:v>
                </c:pt>
                <c:pt idx="11">
                  <c:v>-3.3000000000000003</c:v>
                </c:pt>
                <c:pt idx="12">
                  <c:v>-3.3000000000000003</c:v>
                </c:pt>
                <c:pt idx="13">
                  <c:v>-3.3000000000000003</c:v>
                </c:pt>
                <c:pt idx="14">
                  <c:v>-3.3000000000000003</c:v>
                </c:pt>
                <c:pt idx="15">
                  <c:v>-3.3000000000000003</c:v>
                </c:pt>
                <c:pt idx="16">
                  <c:v>-3.3000000000000003</c:v>
                </c:pt>
              </c:numCache>
            </c:numRef>
          </c:val>
          <c:extLst>
            <c:ext xmlns:c16="http://schemas.microsoft.com/office/drawing/2014/chart" uri="{C3380CC4-5D6E-409C-BE32-E72D297353CC}">
              <c16:uniqueId val="{00000002-F9D2-4010-8462-28D42945A2C5}"/>
            </c:ext>
          </c:extLst>
        </c:ser>
        <c:ser>
          <c:idx val="3"/>
          <c:order val="3"/>
          <c:tx>
            <c:strRef>
              <c:f>Rates_Res!$BX$12</c:f>
              <c:strCache>
                <c:ptCount val="1"/>
                <c:pt idx="0">
                  <c:v>Cost of Gas</c:v>
                </c:pt>
              </c:strCache>
            </c:strRef>
          </c:tx>
          <c:spPr>
            <a:solidFill>
              <a:schemeClr val="accent5"/>
            </a:solidFill>
            <a:ln>
              <a:solidFill>
                <a:schemeClr val="bg1"/>
              </a:solid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Rates_Res!$BZ$12:$CZ$12</c:f>
              <c:numCache>
                <c:formatCode>_(* #,##0.000_);_(* \(#,##0.000\);_(* "-"??_);_(@_)</c:formatCode>
                <c:ptCount val="17"/>
                <c:pt idx="0">
                  <c:v>62.029999999999994</c:v>
                </c:pt>
                <c:pt idx="1">
                  <c:v>62.029999999999994</c:v>
                </c:pt>
                <c:pt idx="2">
                  <c:v>62.029999999999994</c:v>
                </c:pt>
                <c:pt idx="3">
                  <c:v>62.029999999999994</c:v>
                </c:pt>
                <c:pt idx="4">
                  <c:v>62.029999999999994</c:v>
                </c:pt>
                <c:pt idx="5">
                  <c:v>62.029999999999994</c:v>
                </c:pt>
                <c:pt idx="6">
                  <c:v>62.029999999999994</c:v>
                </c:pt>
                <c:pt idx="7">
                  <c:v>62.029999999999994</c:v>
                </c:pt>
                <c:pt idx="8">
                  <c:v>62.029999999999994</c:v>
                </c:pt>
                <c:pt idx="9">
                  <c:v>62.029999999999994</c:v>
                </c:pt>
                <c:pt idx="10">
                  <c:v>62.029999999999994</c:v>
                </c:pt>
                <c:pt idx="11">
                  <c:v>62.029999999999994</c:v>
                </c:pt>
                <c:pt idx="12">
                  <c:v>62.029999999999994</c:v>
                </c:pt>
                <c:pt idx="13">
                  <c:v>62.029999999999994</c:v>
                </c:pt>
                <c:pt idx="14">
                  <c:v>62.029999999999994</c:v>
                </c:pt>
                <c:pt idx="15">
                  <c:v>62.029999999999994</c:v>
                </c:pt>
                <c:pt idx="16">
                  <c:v>62.029999999999994</c:v>
                </c:pt>
              </c:numCache>
            </c:numRef>
          </c:val>
          <c:extLst>
            <c:ext xmlns:c16="http://schemas.microsoft.com/office/drawing/2014/chart" uri="{C3380CC4-5D6E-409C-BE32-E72D297353CC}">
              <c16:uniqueId val="{00000003-F9D2-4010-8462-28D42945A2C5}"/>
            </c:ext>
          </c:extLst>
        </c:ser>
        <c:ser>
          <c:idx val="4"/>
          <c:order val="4"/>
          <c:tx>
            <c:strRef>
              <c:f>Rates_Res!$BX$13</c:f>
              <c:strCache>
                <c:ptCount val="1"/>
                <c:pt idx="0">
                  <c:v>LDAC (EE Only)</c:v>
                </c:pt>
              </c:strCache>
            </c:strRef>
          </c:tx>
          <c:spPr>
            <a:solidFill>
              <a:schemeClr val="accent5"/>
            </a:solidFill>
            <a:ln>
              <a:noFill/>
            </a:ln>
            <a:effectLst/>
          </c:spPr>
          <c:invertIfNegative val="0"/>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Rates_Res!$BZ$13:$CZ$13</c:f>
              <c:numCache>
                <c:formatCode>_(* #,##0.000_);_(* \(#,##0.000\);_(*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F9D2-4010-8462-28D42945A2C5}"/>
            </c:ext>
          </c:extLst>
        </c:ser>
        <c:dLbls>
          <c:showLegendKey val="0"/>
          <c:showVal val="0"/>
          <c:showCatName val="0"/>
          <c:showSerName val="0"/>
          <c:showPercent val="0"/>
          <c:showBubbleSize val="0"/>
        </c:dLbls>
        <c:gapWidth val="0"/>
        <c:overlap val="100"/>
        <c:axId val="-830887600"/>
        <c:axId val="-830887056"/>
      </c:barChart>
      <c:catAx>
        <c:axId val="-8308876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056"/>
        <c:crosses val="autoZero"/>
        <c:auto val="1"/>
        <c:lblAlgn val="ctr"/>
        <c:lblOffset val="100"/>
        <c:noMultiLvlLbl val="0"/>
      </c:catAx>
      <c:valAx>
        <c:axId val="-83088705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8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Bills_Large!$DG$5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865AB73F-FAA6-4D0A-B0CC-83089B4C8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979-44D2-9E32-9388344D6178}"/>
                </c:ext>
              </c:extLst>
            </c:dLbl>
            <c:dLbl>
              <c:idx val="1"/>
              <c:tx>
                <c:rich>
                  <a:bodyPr/>
                  <a:lstStyle/>
                  <a:p>
                    <a:fld id="{B4B3D0A0-DD72-40A0-B88B-0240969BE1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979-44D2-9E32-9388344D6178}"/>
                </c:ext>
              </c:extLst>
            </c:dLbl>
            <c:dLbl>
              <c:idx val="2"/>
              <c:tx>
                <c:rich>
                  <a:bodyPr/>
                  <a:lstStyle/>
                  <a:p>
                    <a:fld id="{0140F57B-5E46-48DA-9BFB-31D1A01C8C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79-44D2-9E32-9388344D6178}"/>
                </c:ext>
              </c:extLst>
            </c:dLbl>
            <c:dLbl>
              <c:idx val="3"/>
              <c:tx>
                <c:rich>
                  <a:bodyPr/>
                  <a:lstStyle/>
                  <a:p>
                    <a:fld id="{7876A65D-B385-44BA-BEC1-13F6AFE140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79-44D2-9E32-9388344D6178}"/>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Bills_Large!$DE$13:$DE$16</c:f>
              <c:strCache>
                <c:ptCount val="4"/>
                <c:pt idx="0">
                  <c:v>Non-Participant</c:v>
                </c:pt>
                <c:pt idx="1">
                  <c:v>Average Customer</c:v>
                </c:pt>
                <c:pt idx="2">
                  <c:v>Low Savings Partcipant</c:v>
                </c:pt>
                <c:pt idx="3">
                  <c:v>High Savings Partcipant</c:v>
                </c:pt>
              </c:strCache>
            </c:strRef>
          </c:cat>
          <c:val>
            <c:numRef>
              <c:f>Bills_Large!$DG$13:$DG$16</c:f>
              <c:numCache>
                <c:formatCode>"$"#,##0.00</c:formatCode>
                <c:ptCount val="4"/>
                <c:pt idx="0">
                  <c:v>1719.5324799403224</c:v>
                </c:pt>
                <c:pt idx="1">
                  <c:v>-5356.6592626622096</c:v>
                </c:pt>
                <c:pt idx="2">
                  <c:v>-2344.1789474831921</c:v>
                </c:pt>
                <c:pt idx="3">
                  <c:v>-6407.8903749067222</c:v>
                </c:pt>
              </c:numCache>
            </c:numRef>
          </c:val>
          <c:extLst>
            <c:ext xmlns:c15="http://schemas.microsoft.com/office/drawing/2012/chart" uri="{02D57815-91ED-43cb-92C2-25804820EDAC}">
              <c15:datalabelsRange>
                <c15:f>Bills_Large!$DG$18:$DG$21</c15:f>
                <c15:dlblRangeCache>
                  <c:ptCount val="4"/>
                  <c:pt idx="0">
                    <c:v>1.1%</c:v>
                  </c:pt>
                  <c:pt idx="1">
                    <c:v>-3.6%</c:v>
                  </c:pt>
                  <c:pt idx="2">
                    <c:v>-1.6%</c:v>
                  </c:pt>
                  <c:pt idx="3">
                    <c:v>-4.3%</c:v>
                  </c:pt>
                </c15:dlblRangeCache>
              </c15:datalabelsRange>
            </c:ext>
            <c:ext xmlns:c16="http://schemas.microsoft.com/office/drawing/2014/chart" uri="{C3380CC4-5D6E-409C-BE32-E72D297353CC}">
              <c16:uniqueId val="{00000004-86FC-4BFA-9051-4A328552B8AB}"/>
            </c:ext>
          </c:extLst>
        </c:ser>
        <c:ser>
          <c:idx val="1"/>
          <c:order val="1"/>
          <c:tx>
            <c:strRef>
              <c:f>Bills_Large!$DH$5</c:f>
              <c:strCache>
                <c:ptCount val="1"/>
                <c:pt idx="0">
                  <c:v>2022</c:v>
                </c:pt>
              </c:strCache>
            </c:strRef>
          </c:tx>
          <c:spPr>
            <a:solidFill>
              <a:schemeClr val="accent5"/>
            </a:solidFill>
            <a:ln>
              <a:solidFill>
                <a:schemeClr val="bg1"/>
              </a:solidFill>
            </a:ln>
            <a:effectLst/>
          </c:spPr>
          <c:invertIfNegative val="0"/>
          <c:dLbls>
            <c:dLbl>
              <c:idx val="0"/>
              <c:tx>
                <c:rich>
                  <a:bodyPr/>
                  <a:lstStyle/>
                  <a:p>
                    <a:fld id="{3D0BB11E-6361-4FA8-B84C-F022C788A3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79-44D2-9E32-9388344D6178}"/>
                </c:ext>
              </c:extLst>
            </c:dLbl>
            <c:dLbl>
              <c:idx val="1"/>
              <c:tx>
                <c:rich>
                  <a:bodyPr/>
                  <a:lstStyle/>
                  <a:p>
                    <a:fld id="{AEF6DD4C-9E9B-49AD-B9F6-3160E0358E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79-44D2-9E32-9388344D6178}"/>
                </c:ext>
              </c:extLst>
            </c:dLbl>
            <c:dLbl>
              <c:idx val="2"/>
              <c:tx>
                <c:rich>
                  <a:bodyPr/>
                  <a:lstStyle/>
                  <a:p>
                    <a:fld id="{ECA17291-DE61-453A-B9DC-65F8CB1597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79-44D2-9E32-9388344D6178}"/>
                </c:ext>
              </c:extLst>
            </c:dLbl>
            <c:dLbl>
              <c:idx val="3"/>
              <c:tx>
                <c:rich>
                  <a:bodyPr/>
                  <a:lstStyle/>
                  <a:p>
                    <a:fld id="{844D784C-463E-4408-AFEE-8E205D76A4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79-44D2-9E32-9388344D6178}"/>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Bills_Large!$DE$13:$DE$16</c:f>
              <c:strCache>
                <c:ptCount val="4"/>
                <c:pt idx="0">
                  <c:v>Non-Participant</c:v>
                </c:pt>
                <c:pt idx="1">
                  <c:v>Average Customer</c:v>
                </c:pt>
                <c:pt idx="2">
                  <c:v>Low Savings Partcipant</c:v>
                </c:pt>
                <c:pt idx="3">
                  <c:v>High Savings Partcipant</c:v>
                </c:pt>
              </c:strCache>
            </c:strRef>
          </c:cat>
          <c:val>
            <c:numRef>
              <c:f>Bills_Large!$DH$13:$DH$16</c:f>
              <c:numCache>
                <c:formatCode>"$"#,##0.00</c:formatCode>
                <c:ptCount val="4"/>
                <c:pt idx="0">
                  <c:v>1803.7518688369864</c:v>
                </c:pt>
                <c:pt idx="1">
                  <c:v>-5621.7025621377406</c:v>
                </c:pt>
                <c:pt idx="2">
                  <c:v>-2264.1705280313627</c:v>
                </c:pt>
                <c:pt idx="3">
                  <c:v>-6332.0929248997145</c:v>
                </c:pt>
              </c:numCache>
            </c:numRef>
          </c:val>
          <c:extLst>
            <c:ext xmlns:c15="http://schemas.microsoft.com/office/drawing/2012/chart" uri="{02D57815-91ED-43cb-92C2-25804820EDAC}">
              <c15:datalabelsRange>
                <c15:f>Bills_Large!$DH$18:$DH$21</c15:f>
                <c15:dlblRangeCache>
                  <c:ptCount val="4"/>
                  <c:pt idx="0">
                    <c:v>1.2%</c:v>
                  </c:pt>
                  <c:pt idx="1">
                    <c:v>-3.8%</c:v>
                  </c:pt>
                  <c:pt idx="2">
                    <c:v>-1.5%</c:v>
                  </c:pt>
                  <c:pt idx="3">
                    <c:v>-4.2%</c:v>
                  </c:pt>
                </c15:dlblRangeCache>
              </c15:datalabelsRange>
            </c:ext>
            <c:ext xmlns:c16="http://schemas.microsoft.com/office/drawing/2014/chart" uri="{C3380CC4-5D6E-409C-BE32-E72D297353CC}">
              <c16:uniqueId val="{00000009-86FC-4BFA-9051-4A328552B8AB}"/>
            </c:ext>
          </c:extLst>
        </c:ser>
        <c:ser>
          <c:idx val="2"/>
          <c:order val="2"/>
          <c:tx>
            <c:strRef>
              <c:f>Bills_Large!$DI$5</c:f>
              <c:strCache>
                <c:ptCount val="1"/>
                <c:pt idx="0">
                  <c:v>2023</c:v>
                </c:pt>
              </c:strCache>
            </c:strRef>
          </c:tx>
          <c:spPr>
            <a:solidFill>
              <a:schemeClr val="accent3"/>
            </a:solidFill>
            <a:ln>
              <a:solidFill>
                <a:schemeClr val="bg1"/>
              </a:solidFill>
            </a:ln>
            <a:effectLst/>
          </c:spPr>
          <c:invertIfNegative val="0"/>
          <c:dLbls>
            <c:dLbl>
              <c:idx val="0"/>
              <c:tx>
                <c:rich>
                  <a:bodyPr/>
                  <a:lstStyle/>
                  <a:p>
                    <a:fld id="{3285F84D-9FC2-4152-B317-BC90D0CC67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79-44D2-9E32-9388344D6178}"/>
                </c:ext>
              </c:extLst>
            </c:dLbl>
            <c:dLbl>
              <c:idx val="1"/>
              <c:tx>
                <c:rich>
                  <a:bodyPr/>
                  <a:lstStyle/>
                  <a:p>
                    <a:fld id="{F3599F76-7729-4CFA-AD6B-832BE5B815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79-44D2-9E32-9388344D6178}"/>
                </c:ext>
              </c:extLst>
            </c:dLbl>
            <c:dLbl>
              <c:idx val="2"/>
              <c:tx>
                <c:rich>
                  <a:bodyPr/>
                  <a:lstStyle/>
                  <a:p>
                    <a:fld id="{DED86201-1402-4875-A6B8-B4DC846E0E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79-44D2-9E32-9388344D6178}"/>
                </c:ext>
              </c:extLst>
            </c:dLbl>
            <c:dLbl>
              <c:idx val="3"/>
              <c:tx>
                <c:rich>
                  <a:bodyPr/>
                  <a:lstStyle/>
                  <a:p>
                    <a:fld id="{ACA4DF23-0F85-4EE4-87F7-3F103534A3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79-44D2-9E32-9388344D6178}"/>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Bills_Large!$DE$13:$DE$16</c:f>
              <c:strCache>
                <c:ptCount val="4"/>
                <c:pt idx="0">
                  <c:v>Non-Participant</c:v>
                </c:pt>
                <c:pt idx="1">
                  <c:v>Average Customer</c:v>
                </c:pt>
                <c:pt idx="2">
                  <c:v>Low Savings Partcipant</c:v>
                </c:pt>
                <c:pt idx="3">
                  <c:v>High Savings Partcipant</c:v>
                </c:pt>
              </c:strCache>
            </c:strRef>
          </c:cat>
          <c:val>
            <c:numRef>
              <c:f>Bills_Large!$DI$13:$DI$16</c:f>
              <c:numCache>
                <c:formatCode>"$"#,##0.00</c:formatCode>
                <c:ptCount val="4"/>
                <c:pt idx="0">
                  <c:v>1918.3333380943041</c:v>
                </c:pt>
                <c:pt idx="1">
                  <c:v>-5925.2787714674278</c:v>
                </c:pt>
                <c:pt idx="2">
                  <c:v>-2155.3181322369119</c:v>
                </c:pt>
                <c:pt idx="3">
                  <c:v>-6228.969602568146</c:v>
                </c:pt>
              </c:numCache>
            </c:numRef>
          </c:val>
          <c:extLst>
            <c:ext xmlns:c15="http://schemas.microsoft.com/office/drawing/2012/chart" uri="{02D57815-91ED-43cb-92C2-25804820EDAC}">
              <c15:datalabelsRange>
                <c15:f>Bills_Large!$DI$18:$DI$21</c15:f>
                <c15:dlblRangeCache>
                  <c:ptCount val="4"/>
                  <c:pt idx="0">
                    <c:v>1.3%</c:v>
                  </c:pt>
                  <c:pt idx="1">
                    <c:v>-4.0%</c:v>
                  </c:pt>
                  <c:pt idx="2">
                    <c:v>-1.4%</c:v>
                  </c:pt>
                  <c:pt idx="3">
                    <c:v>-4.2%</c:v>
                  </c:pt>
                </c15:dlblRangeCache>
              </c15:datalabelsRange>
            </c:ext>
            <c:ext xmlns:c16="http://schemas.microsoft.com/office/drawing/2014/chart" uri="{C3380CC4-5D6E-409C-BE32-E72D297353CC}">
              <c16:uniqueId val="{0000000E-86FC-4BFA-9051-4A328552B8AB}"/>
            </c:ext>
          </c:extLst>
        </c:ser>
        <c:dLbls>
          <c:showLegendKey val="0"/>
          <c:showVal val="0"/>
          <c:showCatName val="0"/>
          <c:showSerName val="0"/>
          <c:showPercent val="0"/>
          <c:showBubbleSize val="0"/>
        </c:dLbls>
        <c:gapWidth val="50"/>
        <c:axId val="-694623664"/>
        <c:axId val="-694615504"/>
      </c:barChart>
      <c:catAx>
        <c:axId val="-6946236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5504"/>
        <c:crosses val="autoZero"/>
        <c:auto val="1"/>
        <c:lblAlgn val="ctr"/>
        <c:lblOffset val="100"/>
        <c:noMultiLvlLbl val="0"/>
      </c:catAx>
      <c:valAx>
        <c:axId val="-6946155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2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Bills_Large!$DG$5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Bills_Large!$DE$8:$DE$11</c:f>
              <c:strCache>
                <c:ptCount val="4"/>
                <c:pt idx="0">
                  <c:v>Non-Participant</c:v>
                </c:pt>
                <c:pt idx="1">
                  <c:v>Average Customer</c:v>
                </c:pt>
                <c:pt idx="2">
                  <c:v>Low Savings Partcipant</c:v>
                </c:pt>
                <c:pt idx="3">
                  <c:v>High Savings Partcipant</c:v>
                </c:pt>
              </c:strCache>
            </c:strRef>
          </c:cat>
          <c:val>
            <c:numRef>
              <c:f>Bills_Large!$DG$8:$DG$11</c:f>
              <c:numCache>
                <c:formatCode>"$"#,##0</c:formatCode>
                <c:ptCount val="4"/>
                <c:pt idx="0">
                  <c:v>151459.07383129318</c:v>
                </c:pt>
                <c:pt idx="1">
                  <c:v>144382.88208869065</c:v>
                </c:pt>
                <c:pt idx="2">
                  <c:v>147395.36240386963</c:v>
                </c:pt>
                <c:pt idx="3">
                  <c:v>143331.65097644611</c:v>
                </c:pt>
              </c:numCache>
            </c:numRef>
          </c:val>
          <c:extLst>
            <c:ext xmlns:c16="http://schemas.microsoft.com/office/drawing/2014/chart" uri="{C3380CC4-5D6E-409C-BE32-E72D297353CC}">
              <c16:uniqueId val="{00000000-7801-4AAE-AE50-4F1390204047}"/>
            </c:ext>
          </c:extLst>
        </c:ser>
        <c:ser>
          <c:idx val="1"/>
          <c:order val="1"/>
          <c:tx>
            <c:strRef>
              <c:f>Bills_Large!$DH$5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Bills_Large!$DE$8:$DE$11</c:f>
              <c:strCache>
                <c:ptCount val="4"/>
                <c:pt idx="0">
                  <c:v>Non-Participant</c:v>
                </c:pt>
                <c:pt idx="1">
                  <c:v>Average Customer</c:v>
                </c:pt>
                <c:pt idx="2">
                  <c:v>Low Savings Partcipant</c:v>
                </c:pt>
                <c:pt idx="3">
                  <c:v>High Savings Partcipant</c:v>
                </c:pt>
              </c:strCache>
            </c:strRef>
          </c:cat>
          <c:val>
            <c:numRef>
              <c:f>Bills_Large!$DH$8:$DH$11</c:f>
              <c:numCache>
                <c:formatCode>"$"#,##0</c:formatCode>
                <c:ptCount val="4"/>
                <c:pt idx="0">
                  <c:v>151543.29322018984</c:v>
                </c:pt>
                <c:pt idx="1">
                  <c:v>144117.83878921511</c:v>
                </c:pt>
                <c:pt idx="2">
                  <c:v>147475.37082332151</c:v>
                </c:pt>
                <c:pt idx="3">
                  <c:v>143407.44842645313</c:v>
                </c:pt>
              </c:numCache>
            </c:numRef>
          </c:val>
          <c:extLst>
            <c:ext xmlns:c16="http://schemas.microsoft.com/office/drawing/2014/chart" uri="{C3380CC4-5D6E-409C-BE32-E72D297353CC}">
              <c16:uniqueId val="{00000001-7801-4AAE-AE50-4F1390204047}"/>
            </c:ext>
          </c:extLst>
        </c:ser>
        <c:ser>
          <c:idx val="2"/>
          <c:order val="2"/>
          <c:tx>
            <c:strRef>
              <c:f>Bills_Large!$DI$5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Bills_Large!$DE$8:$DE$11</c:f>
              <c:strCache>
                <c:ptCount val="4"/>
                <c:pt idx="0">
                  <c:v>Non-Participant</c:v>
                </c:pt>
                <c:pt idx="1">
                  <c:v>Average Customer</c:v>
                </c:pt>
                <c:pt idx="2">
                  <c:v>Low Savings Partcipant</c:v>
                </c:pt>
                <c:pt idx="3">
                  <c:v>High Savings Partcipant</c:v>
                </c:pt>
              </c:strCache>
            </c:strRef>
          </c:cat>
          <c:val>
            <c:numRef>
              <c:f>Bills_Large!$DI$8:$DI$11</c:f>
              <c:numCache>
                <c:formatCode>"$"#,##0</c:formatCode>
                <c:ptCount val="4"/>
                <c:pt idx="0">
                  <c:v>151657.87468944714</c:v>
                </c:pt>
                <c:pt idx="1">
                  <c:v>143814.26257988546</c:v>
                </c:pt>
                <c:pt idx="2">
                  <c:v>147584.22321911596</c:v>
                </c:pt>
                <c:pt idx="3">
                  <c:v>143510.57174878471</c:v>
                </c:pt>
              </c:numCache>
            </c:numRef>
          </c:val>
          <c:extLst>
            <c:ext xmlns:c16="http://schemas.microsoft.com/office/drawing/2014/chart" uri="{C3380CC4-5D6E-409C-BE32-E72D297353CC}">
              <c16:uniqueId val="{00000002-7801-4AAE-AE50-4F1390204047}"/>
            </c:ext>
          </c:extLst>
        </c:ser>
        <c:dLbls>
          <c:dLblPos val="outEnd"/>
          <c:showLegendKey val="0"/>
          <c:showVal val="1"/>
          <c:showCatName val="0"/>
          <c:showSerName val="0"/>
          <c:showPercent val="0"/>
          <c:showBubbleSize val="0"/>
        </c:dLbls>
        <c:gapWidth val="50"/>
        <c:axId val="-694616592"/>
        <c:axId val="-694616048"/>
      </c:barChart>
      <c:catAx>
        <c:axId val="-69461659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6048"/>
        <c:crosses val="autoZero"/>
        <c:auto val="1"/>
        <c:lblAlgn val="ctr"/>
        <c:lblOffset val="100"/>
        <c:noMultiLvlLbl val="0"/>
      </c:catAx>
      <c:valAx>
        <c:axId val="-694616048"/>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73584025955088939"/>
        </c:manualLayout>
      </c:layout>
      <c:barChart>
        <c:barDir val="col"/>
        <c:grouping val="clustered"/>
        <c:varyColors val="0"/>
        <c:ser>
          <c:idx val="0"/>
          <c:order val="0"/>
          <c:tx>
            <c:strRef>
              <c:f>Bills_Large!$DJ$5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8060EEE8-06C4-4A54-B425-A915F57D7B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964-4BF1-8BB1-FA0E59D23EF6}"/>
                </c:ext>
              </c:extLst>
            </c:dLbl>
            <c:dLbl>
              <c:idx val="1"/>
              <c:tx>
                <c:rich>
                  <a:bodyPr/>
                  <a:lstStyle/>
                  <a:p>
                    <a:fld id="{027554D8-4DDB-463F-B58A-2F15324BB9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964-4BF1-8BB1-FA0E59D23EF6}"/>
                </c:ext>
              </c:extLst>
            </c:dLbl>
            <c:dLbl>
              <c:idx val="2"/>
              <c:tx>
                <c:rich>
                  <a:bodyPr/>
                  <a:lstStyle/>
                  <a:p>
                    <a:fld id="{FBB22DB3-32A7-4A63-8A66-88CF529336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64-4BF1-8BB1-FA0E59D23EF6}"/>
                </c:ext>
              </c:extLst>
            </c:dLbl>
            <c:dLbl>
              <c:idx val="3"/>
              <c:tx>
                <c:rich>
                  <a:bodyPr/>
                  <a:lstStyle/>
                  <a:p>
                    <a:fld id="{4B810DE1-3B8F-486A-B464-3ABC95BA61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964-4BF1-8BB1-FA0E59D23EF6}"/>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Bills_Large!$DE$30:$DE$33</c:f>
              <c:strCache>
                <c:ptCount val="4"/>
                <c:pt idx="0">
                  <c:v>Non-Participant</c:v>
                </c:pt>
                <c:pt idx="1">
                  <c:v>Average Customer</c:v>
                </c:pt>
                <c:pt idx="2">
                  <c:v>Low Savings Partcipant</c:v>
                </c:pt>
                <c:pt idx="3">
                  <c:v>High Savings Partcipant</c:v>
                </c:pt>
              </c:strCache>
            </c:strRef>
          </c:cat>
          <c:val>
            <c:numRef>
              <c:f>Bills_Large!$DJ$30:$DJ$33</c:f>
              <c:numCache>
                <c:formatCode>"$"#,##0.00</c:formatCode>
                <c:ptCount val="4"/>
                <c:pt idx="0">
                  <c:v>6362.2333698182238</c:v>
                </c:pt>
                <c:pt idx="1">
                  <c:v>-18217.519271800385</c:v>
                </c:pt>
                <c:pt idx="2">
                  <c:v>1509.2593761345061</c:v>
                </c:pt>
                <c:pt idx="3">
                  <c:v>-3343.7146175492162</c:v>
                </c:pt>
              </c:numCache>
            </c:numRef>
          </c:val>
          <c:extLst>
            <c:ext xmlns:c15="http://schemas.microsoft.com/office/drawing/2012/chart" uri="{02D57815-91ED-43cb-92C2-25804820EDAC}">
              <c15:datalabelsRange>
                <c15:f>Bills_Large!$DJ$35:$DJ$38</c15:f>
                <c15:dlblRangeCache>
                  <c:ptCount val="4"/>
                  <c:pt idx="0">
                    <c:v>4.2%</c:v>
                  </c:pt>
                  <c:pt idx="1">
                    <c:v>-12.2%</c:v>
                  </c:pt>
                  <c:pt idx="2">
                    <c:v>1.0%</c:v>
                  </c:pt>
                  <c:pt idx="3">
                    <c:v>-2.2%</c:v>
                  </c:pt>
                </c15:dlblRangeCache>
              </c15:datalabelsRange>
            </c:ext>
            <c:ext xmlns:c16="http://schemas.microsoft.com/office/drawing/2014/chart" uri="{C3380CC4-5D6E-409C-BE32-E72D297353CC}">
              <c16:uniqueId val="{00000004-6FDF-49AB-9F05-A649BC2E0493}"/>
            </c:ext>
          </c:extLst>
        </c:ser>
        <c:dLbls>
          <c:dLblPos val="outEnd"/>
          <c:showLegendKey val="0"/>
          <c:showVal val="1"/>
          <c:showCatName val="0"/>
          <c:showSerName val="0"/>
          <c:showPercent val="0"/>
          <c:showBubbleSize val="0"/>
        </c:dLbls>
        <c:gapWidth val="50"/>
        <c:axId val="-694617680"/>
        <c:axId val="-694623120"/>
      </c:barChart>
      <c:catAx>
        <c:axId val="-69461768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23120"/>
        <c:crosses val="autoZero"/>
        <c:auto val="1"/>
        <c:lblAlgn val="ctr"/>
        <c:lblOffset val="100"/>
        <c:noMultiLvlLbl val="0"/>
      </c:catAx>
      <c:valAx>
        <c:axId val="-69462312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7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Bills_Large!$DG$5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A30484B9-7BF2-42C4-B2DB-0CADC50E7B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E74-4DD8-B328-928A286D6AD9}"/>
                </c:ext>
              </c:extLst>
            </c:dLbl>
            <c:dLbl>
              <c:idx val="1"/>
              <c:tx>
                <c:rich>
                  <a:bodyPr/>
                  <a:lstStyle/>
                  <a:p>
                    <a:fld id="{7EC8C3EC-24F1-4F30-99A7-383A3CDF17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74-4DD8-B328-928A286D6AD9}"/>
                </c:ext>
              </c:extLst>
            </c:dLbl>
            <c:dLbl>
              <c:idx val="2"/>
              <c:tx>
                <c:rich>
                  <a:bodyPr/>
                  <a:lstStyle/>
                  <a:p>
                    <a:fld id="{BFB747DB-5EE5-440F-9542-F6B6EE5EC3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E74-4DD8-B328-928A286D6AD9}"/>
                </c:ext>
              </c:extLst>
            </c:dLbl>
            <c:dLbl>
              <c:idx val="3"/>
              <c:tx>
                <c:rich>
                  <a:bodyPr/>
                  <a:lstStyle/>
                  <a:p>
                    <a:fld id="{60DF4E5B-DA55-4FC5-BA16-254B930181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E74-4DD8-B328-928A286D6AD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Bills_Large!$DE$30:$DE$33</c:f>
              <c:strCache>
                <c:ptCount val="4"/>
                <c:pt idx="0">
                  <c:v>Non-Participant</c:v>
                </c:pt>
                <c:pt idx="1">
                  <c:v>Average Customer</c:v>
                </c:pt>
                <c:pt idx="2">
                  <c:v>Low Savings Partcipant</c:v>
                </c:pt>
                <c:pt idx="3">
                  <c:v>High Savings Partcipant</c:v>
                </c:pt>
              </c:strCache>
            </c:strRef>
          </c:cat>
          <c:val>
            <c:numRef>
              <c:f>Bills_Large!$DG$30:$DG$33</c:f>
              <c:numCache>
                <c:formatCode>"$"#,##0.00</c:formatCode>
                <c:ptCount val="4"/>
                <c:pt idx="0">
                  <c:v>2044.6738515377319</c:v>
                </c:pt>
                <c:pt idx="1">
                  <c:v>-6074.7551545019114</c:v>
                </c:pt>
                <c:pt idx="2">
                  <c:v>-2851.2883436663242</c:v>
                </c:pt>
                <c:pt idx="3">
                  <c:v>-7747.2505388703958</c:v>
                </c:pt>
              </c:numCache>
            </c:numRef>
          </c:val>
          <c:extLst>
            <c:ext xmlns:c15="http://schemas.microsoft.com/office/drawing/2012/chart" uri="{02D57815-91ED-43cb-92C2-25804820EDAC}">
              <c15:datalabelsRange>
                <c15:f>Bills_Large!$DG$18:$DG$21</c15:f>
                <c15:dlblRangeCache>
                  <c:ptCount val="4"/>
                  <c:pt idx="0">
                    <c:v>1.1%</c:v>
                  </c:pt>
                  <c:pt idx="1">
                    <c:v>-3.6%</c:v>
                  </c:pt>
                  <c:pt idx="2">
                    <c:v>-1.6%</c:v>
                  </c:pt>
                  <c:pt idx="3">
                    <c:v>-4.3%</c:v>
                  </c:pt>
                </c15:dlblRangeCache>
              </c15:datalabelsRange>
            </c:ext>
            <c:ext xmlns:c16="http://schemas.microsoft.com/office/drawing/2014/chart" uri="{C3380CC4-5D6E-409C-BE32-E72D297353CC}">
              <c16:uniqueId val="{00000004-678B-49DC-BC34-AA0675804C55}"/>
            </c:ext>
          </c:extLst>
        </c:ser>
        <c:ser>
          <c:idx val="1"/>
          <c:order val="1"/>
          <c:tx>
            <c:strRef>
              <c:f>Bills_Large!$DH$5</c:f>
              <c:strCache>
                <c:ptCount val="1"/>
                <c:pt idx="0">
                  <c:v>2022</c:v>
                </c:pt>
              </c:strCache>
            </c:strRef>
          </c:tx>
          <c:spPr>
            <a:solidFill>
              <a:schemeClr val="accent5"/>
            </a:solidFill>
            <a:ln>
              <a:solidFill>
                <a:schemeClr val="bg1"/>
              </a:solidFill>
            </a:ln>
            <a:effectLst/>
          </c:spPr>
          <c:invertIfNegative val="0"/>
          <c:dLbls>
            <c:dLbl>
              <c:idx val="0"/>
              <c:tx>
                <c:rich>
                  <a:bodyPr/>
                  <a:lstStyle/>
                  <a:p>
                    <a:fld id="{168BD4EA-4528-413F-81FE-6400919E71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74-4DD8-B328-928A286D6AD9}"/>
                </c:ext>
              </c:extLst>
            </c:dLbl>
            <c:dLbl>
              <c:idx val="1"/>
              <c:tx>
                <c:rich>
                  <a:bodyPr/>
                  <a:lstStyle/>
                  <a:p>
                    <a:fld id="{0FD642A6-4AA2-4BD7-ACAF-D901386857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74-4DD8-B328-928A286D6AD9}"/>
                </c:ext>
              </c:extLst>
            </c:dLbl>
            <c:dLbl>
              <c:idx val="2"/>
              <c:tx>
                <c:rich>
                  <a:bodyPr/>
                  <a:lstStyle/>
                  <a:p>
                    <a:fld id="{EC605BC6-E316-4700-B232-2CD5697352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E74-4DD8-B328-928A286D6AD9}"/>
                </c:ext>
              </c:extLst>
            </c:dLbl>
            <c:dLbl>
              <c:idx val="3"/>
              <c:tx>
                <c:rich>
                  <a:bodyPr/>
                  <a:lstStyle/>
                  <a:p>
                    <a:fld id="{3E67BC8E-3530-40B0-9E19-308FFF2627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E74-4DD8-B328-928A286D6AD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Bills_Large!$DE$30:$DE$33</c:f>
              <c:strCache>
                <c:ptCount val="4"/>
                <c:pt idx="0">
                  <c:v>Non-Participant</c:v>
                </c:pt>
                <c:pt idx="1">
                  <c:v>Average Customer</c:v>
                </c:pt>
                <c:pt idx="2">
                  <c:v>Low Savings Partcipant</c:v>
                </c:pt>
                <c:pt idx="3">
                  <c:v>High Savings Partcipant</c:v>
                </c:pt>
              </c:strCache>
            </c:strRef>
          </c:cat>
          <c:val>
            <c:numRef>
              <c:f>Bills_Large!$DH$30:$DH$33</c:f>
              <c:numCache>
                <c:formatCode>"$"#,##0.00</c:formatCode>
                <c:ptCount val="4"/>
                <c:pt idx="0">
                  <c:v>2145.1283759432454</c:v>
                </c:pt>
                <c:pt idx="1">
                  <c:v>-6376.7131264989657</c:v>
                </c:pt>
                <c:pt idx="2">
                  <c:v>-2756.8610907251573</c:v>
                </c:pt>
                <c:pt idx="3">
                  <c:v>-7658.8505573935572</c:v>
                </c:pt>
              </c:numCache>
            </c:numRef>
          </c:val>
          <c:extLst>
            <c:ext xmlns:c15="http://schemas.microsoft.com/office/drawing/2012/chart" uri="{02D57815-91ED-43cb-92C2-25804820EDAC}">
              <c15:datalabelsRange>
                <c15:f>Bills_Large!$DH$35:$DH$38</c15:f>
                <c15:dlblRangeCache>
                  <c:ptCount val="4"/>
                  <c:pt idx="0">
                    <c:v>1.4%</c:v>
                  </c:pt>
                  <c:pt idx="1">
                    <c:v>-4.3%</c:v>
                  </c:pt>
                  <c:pt idx="2">
                    <c:v>-1.8%</c:v>
                  </c:pt>
                  <c:pt idx="3">
                    <c:v>-5.1%</c:v>
                  </c:pt>
                </c15:dlblRangeCache>
              </c15:datalabelsRange>
            </c:ext>
            <c:ext xmlns:c16="http://schemas.microsoft.com/office/drawing/2014/chart" uri="{C3380CC4-5D6E-409C-BE32-E72D297353CC}">
              <c16:uniqueId val="{00000009-678B-49DC-BC34-AA0675804C55}"/>
            </c:ext>
          </c:extLst>
        </c:ser>
        <c:ser>
          <c:idx val="2"/>
          <c:order val="2"/>
          <c:tx>
            <c:strRef>
              <c:f>Bills_Large!$DI$5</c:f>
              <c:strCache>
                <c:ptCount val="1"/>
                <c:pt idx="0">
                  <c:v>2023</c:v>
                </c:pt>
              </c:strCache>
            </c:strRef>
          </c:tx>
          <c:spPr>
            <a:solidFill>
              <a:schemeClr val="accent3"/>
            </a:solidFill>
            <a:ln>
              <a:solidFill>
                <a:schemeClr val="bg1"/>
              </a:solidFill>
            </a:ln>
            <a:effectLst/>
          </c:spPr>
          <c:invertIfNegative val="0"/>
          <c:dLbls>
            <c:dLbl>
              <c:idx val="0"/>
              <c:tx>
                <c:rich>
                  <a:bodyPr/>
                  <a:lstStyle/>
                  <a:p>
                    <a:fld id="{59503134-6DC5-455E-99AC-D795CDA1B6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74-4DD8-B328-928A286D6AD9}"/>
                </c:ext>
              </c:extLst>
            </c:dLbl>
            <c:dLbl>
              <c:idx val="1"/>
              <c:tx>
                <c:rich>
                  <a:bodyPr/>
                  <a:lstStyle/>
                  <a:p>
                    <a:fld id="{1A474BF7-58FE-4936-B966-7D40F690E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74-4DD8-B328-928A286D6AD9}"/>
                </c:ext>
              </c:extLst>
            </c:dLbl>
            <c:dLbl>
              <c:idx val="2"/>
              <c:tx>
                <c:rich>
                  <a:bodyPr/>
                  <a:lstStyle/>
                  <a:p>
                    <a:fld id="{8ADC0E64-6879-4A0F-A0CD-2E9D5700A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74-4DD8-B328-928A286D6AD9}"/>
                </c:ext>
              </c:extLst>
            </c:dLbl>
            <c:dLbl>
              <c:idx val="3"/>
              <c:tx>
                <c:rich>
                  <a:bodyPr/>
                  <a:lstStyle/>
                  <a:p>
                    <a:fld id="{CDBEE3F2-D35F-4F3F-AE20-9F93A35660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74-4DD8-B328-928A286D6AD9}"/>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Bills_Large!$DE$30:$DE$33</c:f>
              <c:strCache>
                <c:ptCount val="4"/>
                <c:pt idx="0">
                  <c:v>Non-Participant</c:v>
                </c:pt>
                <c:pt idx="1">
                  <c:v>Average Customer</c:v>
                </c:pt>
                <c:pt idx="2">
                  <c:v>Low Savings Partcipant</c:v>
                </c:pt>
                <c:pt idx="3">
                  <c:v>High Savings Partcipant</c:v>
                </c:pt>
              </c:strCache>
            </c:strRef>
          </c:cat>
          <c:val>
            <c:numRef>
              <c:f>Bills_Large!$DI$30:$DI$33</c:f>
              <c:numCache>
                <c:formatCode>"$"#,##0.00</c:formatCode>
                <c:ptCount val="4"/>
                <c:pt idx="0">
                  <c:v>2281.8705456021758</c:v>
                </c:pt>
                <c:pt idx="1">
                  <c:v>-6722.2560199554428</c:v>
                </c:pt>
                <c:pt idx="2">
                  <c:v>-2628.3234512457534</c:v>
                </c:pt>
                <c:pt idx="3">
                  <c:v>-7538.5174480936839</c:v>
                </c:pt>
              </c:numCache>
            </c:numRef>
          </c:val>
          <c:extLst>
            <c:ext xmlns:c15="http://schemas.microsoft.com/office/drawing/2012/chart" uri="{02D57815-91ED-43cb-92C2-25804820EDAC}">
              <c15:datalabelsRange>
                <c15:f>Bills_Large!$DI$35:$DI$38</c15:f>
                <c15:dlblRangeCache>
                  <c:ptCount val="4"/>
                  <c:pt idx="0">
                    <c:v>1.5%</c:v>
                  </c:pt>
                  <c:pt idx="1">
                    <c:v>-4.5%</c:v>
                  </c:pt>
                  <c:pt idx="2">
                    <c:v>-1.8%</c:v>
                  </c:pt>
                  <c:pt idx="3">
                    <c:v>-5.0%</c:v>
                  </c:pt>
                </c15:dlblRangeCache>
              </c15:datalabelsRange>
            </c:ext>
            <c:ext xmlns:c16="http://schemas.microsoft.com/office/drawing/2014/chart" uri="{C3380CC4-5D6E-409C-BE32-E72D297353CC}">
              <c16:uniqueId val="{0000000E-678B-49DC-BC34-AA0675804C55}"/>
            </c:ext>
          </c:extLst>
        </c:ser>
        <c:dLbls>
          <c:dLblPos val="outEnd"/>
          <c:showLegendKey val="0"/>
          <c:showVal val="1"/>
          <c:showCatName val="0"/>
          <c:showSerName val="0"/>
          <c:showPercent val="0"/>
          <c:showBubbleSize val="0"/>
        </c:dLbls>
        <c:gapWidth val="50"/>
        <c:axId val="-694622576"/>
        <c:axId val="-694611696"/>
      </c:barChart>
      <c:catAx>
        <c:axId val="-694622576"/>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1696"/>
        <c:crosses val="autoZero"/>
        <c:auto val="1"/>
        <c:lblAlgn val="ctr"/>
        <c:lblOffset val="100"/>
        <c:noMultiLvlLbl val="0"/>
      </c:catAx>
      <c:valAx>
        <c:axId val="-6946116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22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65180709000523"/>
          <c:y val="9.1273330417031215E-2"/>
          <c:w val="0.67178596377003252"/>
          <c:h val="0.72195137066200055"/>
        </c:manualLayout>
      </c:layout>
      <c:barChart>
        <c:barDir val="col"/>
        <c:grouping val="clustered"/>
        <c:varyColors val="0"/>
        <c:ser>
          <c:idx val="0"/>
          <c:order val="0"/>
          <c:tx>
            <c:strRef>
              <c:f>Bills_Large!$DG$5</c:f>
              <c:strCache>
                <c:ptCount val="1"/>
                <c:pt idx="0">
                  <c:v>2021</c:v>
                </c:pt>
              </c:strCache>
            </c:strRef>
          </c:tx>
          <c:spPr>
            <a:solidFill>
              <a:schemeClr val="bg1">
                <a:lumMod val="50000"/>
              </a:schemeClr>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Bills_Large!$DE$25:$DE$28</c:f>
              <c:strCache>
                <c:ptCount val="4"/>
                <c:pt idx="0">
                  <c:v>Non-Participant</c:v>
                </c:pt>
                <c:pt idx="1">
                  <c:v>Average Customer</c:v>
                </c:pt>
                <c:pt idx="2">
                  <c:v>Low Savings Partcipant</c:v>
                </c:pt>
                <c:pt idx="3">
                  <c:v>High Savings Partcipant</c:v>
                </c:pt>
              </c:strCache>
            </c:strRef>
          </c:cat>
          <c:val>
            <c:numRef>
              <c:f>Bills_Large!$DG$25:$DG$28</c:f>
              <c:numCache>
                <c:formatCode>"$"#,##0</c:formatCode>
                <c:ptCount val="4"/>
                <c:pt idx="0">
                  <c:v>151784.21520289057</c:v>
                </c:pt>
                <c:pt idx="1">
                  <c:v>143664.78619685091</c:v>
                </c:pt>
                <c:pt idx="2">
                  <c:v>146888.25300768652</c:v>
                </c:pt>
                <c:pt idx="3">
                  <c:v>141992.29081248242</c:v>
                </c:pt>
              </c:numCache>
            </c:numRef>
          </c:val>
          <c:extLst>
            <c:ext xmlns:c16="http://schemas.microsoft.com/office/drawing/2014/chart" uri="{C3380CC4-5D6E-409C-BE32-E72D297353CC}">
              <c16:uniqueId val="{00000000-655C-4330-AABD-18FC5986772F}"/>
            </c:ext>
          </c:extLst>
        </c:ser>
        <c:ser>
          <c:idx val="1"/>
          <c:order val="1"/>
          <c:tx>
            <c:strRef>
              <c:f>Bills_Large!$DH$5</c:f>
              <c:strCache>
                <c:ptCount val="1"/>
                <c:pt idx="0">
                  <c:v>2022</c:v>
                </c:pt>
              </c:strCache>
            </c:strRef>
          </c:tx>
          <c:spPr>
            <a:solidFill>
              <a:schemeClr val="accent5"/>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Bills_Large!$DE$25:$DE$28</c:f>
              <c:strCache>
                <c:ptCount val="4"/>
                <c:pt idx="0">
                  <c:v>Non-Participant</c:v>
                </c:pt>
                <c:pt idx="1">
                  <c:v>Average Customer</c:v>
                </c:pt>
                <c:pt idx="2">
                  <c:v>Low Savings Partcipant</c:v>
                </c:pt>
                <c:pt idx="3">
                  <c:v>High Savings Partcipant</c:v>
                </c:pt>
              </c:strCache>
            </c:strRef>
          </c:cat>
          <c:val>
            <c:numRef>
              <c:f>Bills_Large!$DH$25:$DH$28</c:f>
              <c:numCache>
                <c:formatCode>"$"#,##0</c:formatCode>
                <c:ptCount val="4"/>
                <c:pt idx="0">
                  <c:v>151884.66972729613</c:v>
                </c:pt>
                <c:pt idx="1">
                  <c:v>143362.8282248539</c:v>
                </c:pt>
                <c:pt idx="2">
                  <c:v>146982.68026062768</c:v>
                </c:pt>
                <c:pt idx="3">
                  <c:v>142080.69079395928</c:v>
                </c:pt>
              </c:numCache>
            </c:numRef>
          </c:val>
          <c:extLst>
            <c:ext xmlns:c16="http://schemas.microsoft.com/office/drawing/2014/chart" uri="{C3380CC4-5D6E-409C-BE32-E72D297353CC}">
              <c16:uniqueId val="{00000001-655C-4330-AABD-18FC5986772F}"/>
            </c:ext>
          </c:extLst>
        </c:ser>
        <c:ser>
          <c:idx val="2"/>
          <c:order val="2"/>
          <c:tx>
            <c:strRef>
              <c:f>Bills_Large!$DI$5</c:f>
              <c:strCache>
                <c:ptCount val="1"/>
                <c:pt idx="0">
                  <c:v>2023</c:v>
                </c:pt>
              </c:strCache>
            </c:strRef>
          </c:tx>
          <c:spPr>
            <a:solidFill>
              <a:schemeClr val="accent3"/>
            </a:solidFill>
            <a:ln>
              <a:solidFill>
                <a:schemeClr val="bg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Bills_Large!$DE$25:$DE$28</c:f>
              <c:strCache>
                <c:ptCount val="4"/>
                <c:pt idx="0">
                  <c:v>Non-Participant</c:v>
                </c:pt>
                <c:pt idx="1">
                  <c:v>Average Customer</c:v>
                </c:pt>
                <c:pt idx="2">
                  <c:v>Low Savings Partcipant</c:v>
                </c:pt>
                <c:pt idx="3">
                  <c:v>High Savings Partcipant</c:v>
                </c:pt>
              </c:strCache>
            </c:strRef>
          </c:cat>
          <c:val>
            <c:numRef>
              <c:f>Bills_Large!$DI$25:$DI$28</c:f>
              <c:numCache>
                <c:formatCode>"$"#,##0</c:formatCode>
                <c:ptCount val="4"/>
                <c:pt idx="0">
                  <c:v>152021.41189695499</c:v>
                </c:pt>
                <c:pt idx="1">
                  <c:v>143017.2853313974</c:v>
                </c:pt>
                <c:pt idx="2">
                  <c:v>147111.21790010712</c:v>
                </c:pt>
                <c:pt idx="3">
                  <c:v>142201.02390325916</c:v>
                </c:pt>
              </c:numCache>
            </c:numRef>
          </c:val>
          <c:extLst>
            <c:ext xmlns:c16="http://schemas.microsoft.com/office/drawing/2014/chart" uri="{C3380CC4-5D6E-409C-BE32-E72D297353CC}">
              <c16:uniqueId val="{00000002-655C-4330-AABD-18FC5986772F}"/>
            </c:ext>
          </c:extLst>
        </c:ser>
        <c:dLbls>
          <c:dLblPos val="outEnd"/>
          <c:showLegendKey val="0"/>
          <c:showVal val="1"/>
          <c:showCatName val="0"/>
          <c:showSerName val="0"/>
          <c:showPercent val="0"/>
          <c:showBubbleSize val="0"/>
        </c:dLbls>
        <c:gapWidth val="50"/>
        <c:axId val="-694613328"/>
        <c:axId val="-694611152"/>
      </c:barChart>
      <c:catAx>
        <c:axId val="-69461332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1152"/>
        <c:crosses val="autoZero"/>
        <c:auto val="1"/>
        <c:lblAlgn val="ctr"/>
        <c:lblOffset val="100"/>
        <c:noMultiLvlLbl val="0"/>
      </c:catAx>
      <c:valAx>
        <c:axId val="-694611152"/>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Annual Bills ($)</a:t>
                </a:r>
              </a:p>
            </c:rich>
          </c:tx>
          <c:layout>
            <c:manualLayout>
              <c:xMode val="edge"/>
              <c:yMode val="edge"/>
              <c:x val="3.6102616377845738E-2"/>
              <c:y val="0.246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49849098320073"/>
          <c:y val="7.738444152814232E-2"/>
          <c:w val="0.72728573656975049"/>
          <c:h val="0.56160080745636409"/>
        </c:manualLayout>
      </c:layout>
      <c:barChart>
        <c:barDir val="col"/>
        <c:grouping val="clustered"/>
        <c:varyColors val="0"/>
        <c:ser>
          <c:idx val="0"/>
          <c:order val="0"/>
          <c:tx>
            <c:strRef>
              <c:f>Bills_Large!$DJ$5</c:f>
              <c:strCache>
                <c:ptCount val="1"/>
                <c:pt idx="0">
                  <c:v>2021-2023</c:v>
                </c:pt>
              </c:strCache>
            </c:strRef>
          </c:tx>
          <c:spPr>
            <a:solidFill>
              <a:schemeClr val="accent1">
                <a:lumMod val="75000"/>
              </a:schemeClr>
            </a:solidFill>
            <a:ln>
              <a:solidFill>
                <a:schemeClr val="accent1"/>
              </a:solidFill>
            </a:ln>
            <a:effectLst/>
          </c:spPr>
          <c:invertIfNegative val="0"/>
          <c:dLbls>
            <c:dLbl>
              <c:idx val="0"/>
              <c:tx>
                <c:rich>
                  <a:bodyPr/>
                  <a:lstStyle/>
                  <a:p>
                    <a:fld id="{F4FDBDE0-9C5D-4B62-B28D-027730F0F9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8E1-4FA2-AFEA-AAE4A1C065EC}"/>
                </c:ext>
              </c:extLst>
            </c:dLbl>
            <c:dLbl>
              <c:idx val="1"/>
              <c:tx>
                <c:rich>
                  <a:bodyPr/>
                  <a:lstStyle/>
                  <a:p>
                    <a:fld id="{FAB8B00A-AD0B-4436-ACA5-F73E2A5570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8E1-4FA2-AFEA-AAE4A1C065EC}"/>
                </c:ext>
              </c:extLst>
            </c:dLbl>
            <c:dLbl>
              <c:idx val="2"/>
              <c:tx>
                <c:rich>
                  <a:bodyPr/>
                  <a:lstStyle/>
                  <a:p>
                    <a:fld id="{E34664DA-8BB0-4899-A333-C5A8A7A892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8E1-4FA2-AFEA-AAE4A1C065EC}"/>
                </c:ext>
              </c:extLst>
            </c:dLbl>
            <c:dLbl>
              <c:idx val="3"/>
              <c:tx>
                <c:rich>
                  <a:bodyPr/>
                  <a:lstStyle/>
                  <a:p>
                    <a:fld id="{87D0C2C1-317A-4BF3-B179-3DD96E5485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8E1-4FA2-AFEA-AAE4A1C065EC}"/>
                </c:ext>
              </c:extLst>
            </c:dLbl>
            <c:spPr>
              <a:solidFill>
                <a:schemeClr val="accent1">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Bills_Large!$DE$42:$DE$45</c:f>
              <c:strCache>
                <c:ptCount val="4"/>
                <c:pt idx="0">
                  <c:v>Non-Participant</c:v>
                </c:pt>
                <c:pt idx="1">
                  <c:v>Average Customer</c:v>
                </c:pt>
                <c:pt idx="2">
                  <c:v>Low Savings Partcipant</c:v>
                </c:pt>
                <c:pt idx="3">
                  <c:v>High Savings Partcipant</c:v>
                </c:pt>
              </c:strCache>
            </c:strRef>
          </c:cat>
          <c:val>
            <c:numRef>
              <c:f>Bills_Large!$DJ$42:$DJ$45</c:f>
              <c:numCache>
                <c:formatCode>"$"#,##0.00</c:formatCode>
                <c:ptCount val="4"/>
                <c:pt idx="0">
                  <c:v>1058.9733146260842</c:v>
                </c:pt>
                <c:pt idx="1">
                  <c:v>-2231.2354921993101</c:v>
                </c:pt>
                <c:pt idx="2">
                  <c:v>198.07513672104687</c:v>
                </c:pt>
                <c:pt idx="3">
                  <c:v>-662.82304118390311</c:v>
                </c:pt>
              </c:numCache>
            </c:numRef>
          </c:val>
          <c:extLst>
            <c:ext xmlns:c15="http://schemas.microsoft.com/office/drawing/2012/chart" uri="{02D57815-91ED-43cb-92C2-25804820EDAC}">
              <c15:datalabelsRange>
                <c15:f>Bills_Large!$DJ$47:$DJ$50</c15:f>
                <c15:dlblRangeCache>
                  <c:ptCount val="4"/>
                  <c:pt idx="0">
                    <c:v>0.7%</c:v>
                  </c:pt>
                  <c:pt idx="1">
                    <c:v>-1.7%</c:v>
                  </c:pt>
                  <c:pt idx="2">
                    <c:v>0.1%</c:v>
                  </c:pt>
                  <c:pt idx="3">
                    <c:v>-0.5%</c:v>
                  </c:pt>
                </c15:dlblRangeCache>
              </c15:datalabelsRange>
            </c:ext>
            <c:ext xmlns:c16="http://schemas.microsoft.com/office/drawing/2014/chart" uri="{C3380CC4-5D6E-409C-BE32-E72D297353CC}">
              <c16:uniqueId val="{00000004-3F10-4E6E-AB7B-02E69F464814}"/>
            </c:ext>
          </c:extLst>
        </c:ser>
        <c:dLbls>
          <c:dLblPos val="outEnd"/>
          <c:showLegendKey val="0"/>
          <c:showVal val="1"/>
          <c:showCatName val="0"/>
          <c:showSerName val="0"/>
          <c:showPercent val="0"/>
          <c:showBubbleSize val="0"/>
        </c:dLbls>
        <c:gapWidth val="50"/>
        <c:axId val="-694609520"/>
        <c:axId val="-694618224"/>
      </c:barChart>
      <c:catAx>
        <c:axId val="-69460952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8224"/>
        <c:crosses val="autoZero"/>
        <c:auto val="1"/>
        <c:lblAlgn val="ctr"/>
        <c:lblOffset val="100"/>
        <c:noMultiLvlLbl val="0"/>
      </c:catAx>
      <c:valAx>
        <c:axId val="-6946182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0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57859434237383"/>
          <c:y val="0.10053258967629046"/>
          <c:w val="0.67999060679430579"/>
          <c:h val="0.7080624817731116"/>
        </c:manualLayout>
      </c:layout>
      <c:barChart>
        <c:barDir val="col"/>
        <c:grouping val="clustered"/>
        <c:varyColors val="0"/>
        <c:ser>
          <c:idx val="0"/>
          <c:order val="0"/>
          <c:tx>
            <c:strRef>
              <c:f>Bills_Large!$DG$5</c:f>
              <c:strCache>
                <c:ptCount val="1"/>
                <c:pt idx="0">
                  <c:v>2021</c:v>
                </c:pt>
              </c:strCache>
            </c:strRef>
          </c:tx>
          <c:spPr>
            <a:solidFill>
              <a:schemeClr val="bg1">
                <a:lumMod val="50000"/>
              </a:schemeClr>
            </a:solidFill>
            <a:ln>
              <a:solidFill>
                <a:schemeClr val="bg1"/>
              </a:solidFill>
            </a:ln>
            <a:effectLst/>
          </c:spPr>
          <c:invertIfNegative val="0"/>
          <c:dLbls>
            <c:dLbl>
              <c:idx val="0"/>
              <c:tx>
                <c:rich>
                  <a:bodyPr/>
                  <a:lstStyle/>
                  <a:p>
                    <a:fld id="{D561692B-0E3F-47E8-A765-9564A030D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983-4C97-B339-657170B0DAB2}"/>
                </c:ext>
              </c:extLst>
            </c:dLbl>
            <c:dLbl>
              <c:idx val="1"/>
              <c:tx>
                <c:rich>
                  <a:bodyPr/>
                  <a:lstStyle/>
                  <a:p>
                    <a:fld id="{E78F7986-5F86-4F9D-AC53-3D0842F7B4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83-4C97-B339-657170B0DAB2}"/>
                </c:ext>
              </c:extLst>
            </c:dLbl>
            <c:dLbl>
              <c:idx val="2"/>
              <c:tx>
                <c:rich>
                  <a:bodyPr/>
                  <a:lstStyle/>
                  <a:p>
                    <a:fld id="{65BDDA1C-2979-4035-8C7A-9B4488785E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983-4C97-B339-657170B0DAB2}"/>
                </c:ext>
              </c:extLst>
            </c:dLbl>
            <c:dLbl>
              <c:idx val="3"/>
              <c:tx>
                <c:rich>
                  <a:bodyPr/>
                  <a:lstStyle/>
                  <a:p>
                    <a:fld id="{3A782B1B-648F-43B9-8222-D7370DD48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83-4C97-B339-657170B0DAB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Bills_Large!$DE$42:$DE$45</c:f>
              <c:strCache>
                <c:ptCount val="4"/>
                <c:pt idx="0">
                  <c:v>Non-Participant</c:v>
                </c:pt>
                <c:pt idx="1">
                  <c:v>Average Customer</c:v>
                </c:pt>
                <c:pt idx="2">
                  <c:v>Low Savings Partcipant</c:v>
                </c:pt>
                <c:pt idx="3">
                  <c:v>High Savings Partcipant</c:v>
                </c:pt>
              </c:strCache>
            </c:strRef>
          </c:cat>
          <c:val>
            <c:numRef>
              <c:f>Bills_Large!$DG$42:$DG$45</c:f>
              <c:numCache>
                <c:formatCode>"$"#,##0.00</c:formatCode>
                <c:ptCount val="4"/>
                <c:pt idx="0">
                  <c:v>325.14137159739039</c:v>
                </c:pt>
                <c:pt idx="1">
                  <c:v>-718.09589183973731</c:v>
                </c:pt>
                <c:pt idx="2">
                  <c:v>-507.10939618310658</c:v>
                </c:pt>
                <c:pt idx="3">
                  <c:v>-1339.3601639636909</c:v>
                </c:pt>
              </c:numCache>
            </c:numRef>
          </c:val>
          <c:extLst>
            <c:ext xmlns:c15="http://schemas.microsoft.com/office/drawing/2012/chart" uri="{02D57815-91ED-43cb-92C2-25804820EDAC}">
              <c15:datalabelsRange>
                <c15:f>Bills_Large!$DG$47:$DG$50</c15:f>
                <c15:dlblRangeCache>
                  <c:ptCount val="4"/>
                  <c:pt idx="0">
                    <c:v>0.2%</c:v>
                  </c:pt>
                  <c:pt idx="1">
                    <c:v>-0.5%</c:v>
                  </c:pt>
                  <c:pt idx="2">
                    <c:v>-0.3%</c:v>
                  </c:pt>
                  <c:pt idx="3">
                    <c:v>-0.9%</c:v>
                  </c:pt>
                </c15:dlblRangeCache>
              </c15:datalabelsRange>
            </c:ext>
            <c:ext xmlns:c16="http://schemas.microsoft.com/office/drawing/2014/chart" uri="{C3380CC4-5D6E-409C-BE32-E72D297353CC}">
              <c16:uniqueId val="{00000004-DBDA-407E-B6A8-41AE3E498D9B}"/>
            </c:ext>
          </c:extLst>
        </c:ser>
        <c:ser>
          <c:idx val="1"/>
          <c:order val="1"/>
          <c:tx>
            <c:strRef>
              <c:f>Bills_Large!$DH$5</c:f>
              <c:strCache>
                <c:ptCount val="1"/>
                <c:pt idx="0">
                  <c:v>2022</c:v>
                </c:pt>
              </c:strCache>
            </c:strRef>
          </c:tx>
          <c:spPr>
            <a:solidFill>
              <a:schemeClr val="accent5"/>
            </a:solidFill>
            <a:ln>
              <a:solidFill>
                <a:schemeClr val="bg1"/>
              </a:solidFill>
            </a:ln>
            <a:effectLst/>
          </c:spPr>
          <c:invertIfNegative val="0"/>
          <c:dLbls>
            <c:dLbl>
              <c:idx val="0"/>
              <c:tx>
                <c:rich>
                  <a:bodyPr/>
                  <a:lstStyle/>
                  <a:p>
                    <a:fld id="{9B8164DB-E975-4C90-8C33-4E67B4036F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83-4C97-B339-657170B0DAB2}"/>
                </c:ext>
              </c:extLst>
            </c:dLbl>
            <c:dLbl>
              <c:idx val="1"/>
              <c:tx>
                <c:rich>
                  <a:bodyPr/>
                  <a:lstStyle/>
                  <a:p>
                    <a:fld id="{D8EEF677-9C75-4FD6-ACD6-8290BB51BC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83-4C97-B339-657170B0DAB2}"/>
                </c:ext>
              </c:extLst>
            </c:dLbl>
            <c:dLbl>
              <c:idx val="2"/>
              <c:tx>
                <c:rich>
                  <a:bodyPr/>
                  <a:lstStyle/>
                  <a:p>
                    <a:fld id="{57FB4A36-8008-4BFA-A11B-09CFC679EC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83-4C97-B339-657170B0DAB2}"/>
                </c:ext>
              </c:extLst>
            </c:dLbl>
            <c:dLbl>
              <c:idx val="3"/>
              <c:tx>
                <c:rich>
                  <a:bodyPr/>
                  <a:lstStyle/>
                  <a:p>
                    <a:fld id="{C670F424-CF24-4D5A-B936-1407D37614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83-4C97-B339-657170B0DAB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Bills_Large!$DE$42:$DE$45</c:f>
              <c:strCache>
                <c:ptCount val="4"/>
                <c:pt idx="0">
                  <c:v>Non-Participant</c:v>
                </c:pt>
                <c:pt idx="1">
                  <c:v>Average Customer</c:v>
                </c:pt>
                <c:pt idx="2">
                  <c:v>Low Savings Partcipant</c:v>
                </c:pt>
                <c:pt idx="3">
                  <c:v>High Savings Partcipant</c:v>
                </c:pt>
              </c:strCache>
            </c:strRef>
          </c:cat>
          <c:val>
            <c:numRef>
              <c:f>Bills_Large!$DH$42:$DH$45</c:f>
              <c:numCache>
                <c:formatCode>"$"#,##0.00</c:formatCode>
                <c:ptCount val="4"/>
                <c:pt idx="0">
                  <c:v>341.37650710629532</c:v>
                </c:pt>
                <c:pt idx="1">
                  <c:v>-755.01056436120416</c:v>
                </c:pt>
                <c:pt idx="2">
                  <c:v>-492.69056269383873</c:v>
                </c:pt>
                <c:pt idx="3">
                  <c:v>-1326.7576324938564</c:v>
                </c:pt>
              </c:numCache>
            </c:numRef>
          </c:val>
          <c:extLst>
            <c:ext xmlns:c15="http://schemas.microsoft.com/office/drawing/2012/chart" uri="{02D57815-91ED-43cb-92C2-25804820EDAC}">
              <c15:datalabelsRange>
                <c15:f>Bills_Large!$DH$35:$DH$38</c15:f>
                <c15:dlblRangeCache>
                  <c:ptCount val="4"/>
                  <c:pt idx="0">
                    <c:v>1.4%</c:v>
                  </c:pt>
                  <c:pt idx="1">
                    <c:v>-4.3%</c:v>
                  </c:pt>
                  <c:pt idx="2">
                    <c:v>-1.8%</c:v>
                  </c:pt>
                  <c:pt idx="3">
                    <c:v>-5.1%</c:v>
                  </c:pt>
                </c15:dlblRangeCache>
              </c15:datalabelsRange>
            </c:ext>
            <c:ext xmlns:c16="http://schemas.microsoft.com/office/drawing/2014/chart" uri="{C3380CC4-5D6E-409C-BE32-E72D297353CC}">
              <c16:uniqueId val="{00000009-DBDA-407E-B6A8-41AE3E498D9B}"/>
            </c:ext>
          </c:extLst>
        </c:ser>
        <c:ser>
          <c:idx val="2"/>
          <c:order val="2"/>
          <c:tx>
            <c:strRef>
              <c:f>Bills_Large!$DI$5</c:f>
              <c:strCache>
                <c:ptCount val="1"/>
                <c:pt idx="0">
                  <c:v>2023</c:v>
                </c:pt>
              </c:strCache>
            </c:strRef>
          </c:tx>
          <c:spPr>
            <a:solidFill>
              <a:schemeClr val="accent3"/>
            </a:solidFill>
            <a:ln>
              <a:solidFill>
                <a:schemeClr val="bg1"/>
              </a:solidFill>
            </a:ln>
            <a:effectLst/>
          </c:spPr>
          <c:invertIfNegative val="0"/>
          <c:dLbls>
            <c:dLbl>
              <c:idx val="0"/>
              <c:tx>
                <c:rich>
                  <a:bodyPr/>
                  <a:lstStyle/>
                  <a:p>
                    <a:fld id="{44096FF5-CD3D-49AC-B740-E4644E2A0A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83-4C97-B339-657170B0DAB2}"/>
                </c:ext>
              </c:extLst>
            </c:dLbl>
            <c:dLbl>
              <c:idx val="1"/>
              <c:tx>
                <c:rich>
                  <a:bodyPr/>
                  <a:lstStyle/>
                  <a:p>
                    <a:fld id="{00AD50FB-746D-4924-9462-2588F5D2D9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983-4C97-B339-657170B0DAB2}"/>
                </c:ext>
              </c:extLst>
            </c:dLbl>
            <c:dLbl>
              <c:idx val="2"/>
              <c:tx>
                <c:rich>
                  <a:bodyPr/>
                  <a:lstStyle/>
                  <a:p>
                    <a:fld id="{C64F8CEB-DC13-4467-83D7-24C3C42539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83-4C97-B339-657170B0DAB2}"/>
                </c:ext>
              </c:extLst>
            </c:dLbl>
            <c:dLbl>
              <c:idx val="3"/>
              <c:tx>
                <c:rich>
                  <a:bodyPr/>
                  <a:lstStyle/>
                  <a:p>
                    <a:fld id="{BAAE4DC6-1AEA-45E3-A240-5AB87B6598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983-4C97-B339-657170B0DAB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Bills_Large!$DE$42:$DE$45</c:f>
              <c:strCache>
                <c:ptCount val="4"/>
                <c:pt idx="0">
                  <c:v>Non-Participant</c:v>
                </c:pt>
                <c:pt idx="1">
                  <c:v>Average Customer</c:v>
                </c:pt>
                <c:pt idx="2">
                  <c:v>Low Savings Partcipant</c:v>
                </c:pt>
                <c:pt idx="3">
                  <c:v>High Savings Partcipant</c:v>
                </c:pt>
              </c:strCache>
            </c:strRef>
          </c:cat>
          <c:val>
            <c:numRef>
              <c:f>Bills_Large!$DI$42:$DI$45</c:f>
              <c:numCache>
                <c:formatCode>"$"#,##0.00</c:formatCode>
                <c:ptCount val="4"/>
                <c:pt idx="0">
                  <c:v>363.53720750784851</c:v>
                </c:pt>
                <c:pt idx="1">
                  <c:v>-796.97724848805228</c:v>
                </c:pt>
                <c:pt idx="2">
                  <c:v>-473.00531900883652</c:v>
                </c:pt>
                <c:pt idx="3">
                  <c:v>-1309.5478455255507</c:v>
                </c:pt>
              </c:numCache>
            </c:numRef>
          </c:val>
          <c:extLst>
            <c:ext xmlns:c15="http://schemas.microsoft.com/office/drawing/2012/chart" uri="{02D57815-91ED-43cb-92C2-25804820EDAC}">
              <c15:datalabelsRange>
                <c15:f>Bills_Large!$DI$47:$DI$50</c15:f>
                <c15:dlblRangeCache>
                  <c:ptCount val="4"/>
                  <c:pt idx="0">
                    <c:v>0.2%</c:v>
                  </c:pt>
                  <c:pt idx="1">
                    <c:v>-0.6%</c:v>
                  </c:pt>
                  <c:pt idx="2">
                    <c:v>-0.3%</c:v>
                  </c:pt>
                  <c:pt idx="3">
                    <c:v>-0.9%</c:v>
                  </c:pt>
                </c15:dlblRangeCache>
              </c15:datalabelsRange>
            </c:ext>
            <c:ext xmlns:c16="http://schemas.microsoft.com/office/drawing/2014/chart" uri="{C3380CC4-5D6E-409C-BE32-E72D297353CC}">
              <c16:uniqueId val="{0000000E-DBDA-407E-B6A8-41AE3E498D9B}"/>
            </c:ext>
          </c:extLst>
        </c:ser>
        <c:dLbls>
          <c:dLblPos val="outEnd"/>
          <c:showLegendKey val="0"/>
          <c:showVal val="1"/>
          <c:showCatName val="0"/>
          <c:showSerName val="0"/>
          <c:showPercent val="0"/>
          <c:showBubbleSize val="0"/>
        </c:dLbls>
        <c:gapWidth val="50"/>
        <c:axId val="-694612784"/>
        <c:axId val="-694617136"/>
      </c:barChart>
      <c:catAx>
        <c:axId val="-69461278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7136"/>
        <c:crosses val="autoZero"/>
        <c:auto val="1"/>
        <c:lblAlgn val="ctr"/>
        <c:lblOffset val="100"/>
        <c:noMultiLvlLbl val="0"/>
      </c:catAx>
      <c:valAx>
        <c:axId val="-6946171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a:t>
                </a:r>
                <a:r>
                  <a:rPr lang="en-US" baseline="0"/>
                  <a:t> in </a:t>
                </a:r>
                <a:r>
                  <a:rPr lang="en-US"/>
                  <a:t>Annual Bills ($)</a:t>
                </a:r>
              </a:p>
            </c:rich>
          </c:tx>
          <c:layout>
            <c:manualLayout>
              <c:xMode val="edge"/>
              <c:yMode val="edge"/>
              <c:x val="3.6102633488643378E-2"/>
              <c:y val="0.121161052785068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461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8831218259242"/>
          <c:y val="0.12836403605059474"/>
          <c:w val="0.66498826197990513"/>
          <c:h val="0.70482543632243899"/>
        </c:manualLayout>
      </c:layout>
      <c:barChart>
        <c:barDir val="col"/>
        <c:grouping val="stacked"/>
        <c:varyColors val="0"/>
        <c:ser>
          <c:idx val="4"/>
          <c:order val="0"/>
          <c:tx>
            <c:strRef>
              <c:f>Rates_Res!$BX$62</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Rates_Res!$BZ$62:$CZ$62</c:f>
              <c:numCache>
                <c:formatCode>_(* #,##0.000_);_(* \(#,##0.000\);_(* "-"??_);_(@_)</c:formatCode>
                <c:ptCount val="17"/>
                <c:pt idx="0">
                  <c:v>-3.6550136844161973E-2</c:v>
                </c:pt>
                <c:pt idx="1">
                  <c:v>-7.5046917535109836E-2</c:v>
                </c:pt>
                <c:pt idx="2">
                  <c:v>-0.11585868176759884</c:v>
                </c:pt>
                <c:pt idx="3">
                  <c:v>-0.11585868176759884</c:v>
                </c:pt>
                <c:pt idx="4">
                  <c:v>-0.11585868176759884</c:v>
                </c:pt>
                <c:pt idx="5">
                  <c:v>-0.11585868176759884</c:v>
                </c:pt>
                <c:pt idx="6">
                  <c:v>-0.11585868176759884</c:v>
                </c:pt>
                <c:pt idx="7">
                  <c:v>-0.11585868176759884</c:v>
                </c:pt>
                <c:pt idx="8">
                  <c:v>-0.11585868176759884</c:v>
                </c:pt>
                <c:pt idx="9">
                  <c:v>-0.11585868176759884</c:v>
                </c:pt>
                <c:pt idx="10">
                  <c:v>-0.11585868176759884</c:v>
                </c:pt>
                <c:pt idx="11">
                  <c:v>-0.11585868176759884</c:v>
                </c:pt>
                <c:pt idx="12">
                  <c:v>-0.11585868176759884</c:v>
                </c:pt>
                <c:pt idx="13">
                  <c:v>-0.11585868176759884</c:v>
                </c:pt>
                <c:pt idx="14">
                  <c:v>-0.11585868176759884</c:v>
                </c:pt>
                <c:pt idx="15">
                  <c:v>-7.6230598173845143E-2</c:v>
                </c:pt>
                <c:pt idx="16">
                  <c:v>-3.7685698934441736E-2</c:v>
                </c:pt>
              </c:numCache>
            </c:numRef>
          </c:val>
          <c:extLst>
            <c:ext xmlns:c16="http://schemas.microsoft.com/office/drawing/2014/chart" uri="{C3380CC4-5D6E-409C-BE32-E72D297353CC}">
              <c16:uniqueId val="{00000000-F899-4625-98F3-3F597677212E}"/>
            </c:ext>
          </c:extLst>
        </c:ser>
        <c:ser>
          <c:idx val="8"/>
          <c:order val="1"/>
          <c:tx>
            <c:strRef>
              <c:f>Rates_Res!$BX$61</c:f>
              <c:strCache>
                <c:ptCount val="1"/>
                <c:pt idx="0">
                  <c:v>Lost Revenue</c:v>
                </c:pt>
              </c:strCache>
            </c:strRef>
          </c:tx>
          <c:spPr>
            <a:solidFill>
              <a:schemeClr val="accent2"/>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Rates_Res!$BZ$61:$CZ$61</c:f>
              <c:numCache>
                <c:formatCode>_(* #,##0.000_);_(* \(#,##0.000\);_(* "-"??_);_(@_)</c:formatCode>
                <c:ptCount val="17"/>
                <c:pt idx="0">
                  <c:v>5.168483938806645E-2</c:v>
                </c:pt>
                <c:pt idx="1">
                  <c:v>0.10541788118246798</c:v>
                </c:pt>
                <c:pt idx="2">
                  <c:v>0.16160596412414518</c:v>
                </c:pt>
                <c:pt idx="3">
                  <c:v>0.16160596412414518</c:v>
                </c:pt>
                <c:pt idx="4">
                  <c:v>0.16160596412414518</c:v>
                </c:pt>
                <c:pt idx="5">
                  <c:v>0.16160596412414518</c:v>
                </c:pt>
                <c:pt idx="6">
                  <c:v>0.16160596412414518</c:v>
                </c:pt>
                <c:pt idx="7">
                  <c:v>0.16160596412414518</c:v>
                </c:pt>
                <c:pt idx="8">
                  <c:v>0.16160596412414518</c:v>
                </c:pt>
                <c:pt idx="9">
                  <c:v>0.16160596412414518</c:v>
                </c:pt>
                <c:pt idx="10">
                  <c:v>0.16160596412414518</c:v>
                </c:pt>
                <c:pt idx="11">
                  <c:v>0.16160596412414518</c:v>
                </c:pt>
                <c:pt idx="12">
                  <c:v>0.16160596412414518</c:v>
                </c:pt>
                <c:pt idx="13">
                  <c:v>0.16160596412414518</c:v>
                </c:pt>
                <c:pt idx="14">
                  <c:v>0.16160596412414518</c:v>
                </c:pt>
                <c:pt idx="15">
                  <c:v>0.10716509304139477</c:v>
                </c:pt>
                <c:pt idx="16">
                  <c:v>5.3387573835872448E-2</c:v>
                </c:pt>
              </c:numCache>
            </c:numRef>
          </c:val>
          <c:extLst>
            <c:ext xmlns:c16="http://schemas.microsoft.com/office/drawing/2014/chart" uri="{C3380CC4-5D6E-409C-BE32-E72D297353CC}">
              <c16:uniqueId val="{00000001-F899-4625-98F3-3F597677212E}"/>
            </c:ext>
          </c:extLst>
        </c:ser>
        <c:ser>
          <c:idx val="7"/>
          <c:order val="2"/>
          <c:tx>
            <c:strRef>
              <c:f>Rates_Res!$BX$60</c:f>
              <c:strCache>
                <c:ptCount val="1"/>
                <c:pt idx="0">
                  <c:v>LDAC (EE Only)</c:v>
                </c:pt>
              </c:strCache>
            </c:strRef>
          </c:tx>
          <c:spPr>
            <a:solidFill>
              <a:srgbClr val="FFC000"/>
            </a:solidFill>
            <a:ln>
              <a:solidFill>
                <a:schemeClr val="bg1"/>
              </a:solidFill>
            </a:ln>
            <a:effectLst/>
          </c:spPr>
          <c:invertIfNegative val="0"/>
          <c:dLbls>
            <c:delete val="1"/>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Rates_Res!$BZ$60:$CZ$60</c:f>
              <c:numCache>
                <c:formatCode>_(* #,##0.000_);_(* \(#,##0.000\);_(* "-"??_);_(@_)</c:formatCode>
                <c:ptCount val="17"/>
                <c:pt idx="0">
                  <c:v>1.2937279398371668</c:v>
                </c:pt>
                <c:pt idx="1">
                  <c:v>1.3330827659183546</c:v>
                </c:pt>
                <c:pt idx="2">
                  <c:v>1.3757162312094149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F899-4625-98F3-3F597677212E}"/>
            </c:ext>
          </c:extLst>
        </c:ser>
        <c:dLbls>
          <c:showLegendKey val="0"/>
          <c:showVal val="1"/>
          <c:showCatName val="0"/>
          <c:showSerName val="0"/>
          <c:showPercent val="0"/>
          <c:showBubbleSize val="0"/>
        </c:dLbls>
        <c:gapWidth val="0"/>
        <c:overlap val="100"/>
        <c:axId val="-971650032"/>
        <c:axId val="-697819344"/>
      </c:barChart>
      <c:lineChart>
        <c:grouping val="standard"/>
        <c:varyColors val="0"/>
        <c:ser>
          <c:idx val="0"/>
          <c:order val="3"/>
          <c:tx>
            <c:strRef>
              <c:f>Rates_Res!$BX$63</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FF25D464-761C-4161-8C58-9FAC1CD0319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140-4BC4-8B73-01EBA7693514}"/>
                </c:ext>
              </c:extLst>
            </c:dLbl>
            <c:dLbl>
              <c:idx val="1"/>
              <c:tx>
                <c:rich>
                  <a:bodyPr/>
                  <a:lstStyle/>
                  <a:p>
                    <a:fld id="{1187E8CE-8818-41AA-B0BC-D78AEBCF781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140-4BC4-8B73-01EBA7693514}"/>
                </c:ext>
              </c:extLst>
            </c:dLbl>
            <c:dLbl>
              <c:idx val="2"/>
              <c:tx>
                <c:rich>
                  <a:bodyPr/>
                  <a:lstStyle/>
                  <a:p>
                    <a:fld id="{844C3B3F-8ED6-4458-AC9D-AF6228E5E92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140-4BC4-8B73-01EBA7693514}"/>
                </c:ext>
              </c:extLst>
            </c:dLbl>
            <c:dLbl>
              <c:idx val="3"/>
              <c:tx>
                <c:rich>
                  <a:bodyPr/>
                  <a:lstStyle/>
                  <a:p>
                    <a:fld id="{255529EF-18A7-48CC-9341-1447F076012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140-4BC4-8B73-01EBA7693514}"/>
                </c:ext>
              </c:extLst>
            </c:dLbl>
            <c:dLbl>
              <c:idx val="4"/>
              <c:tx>
                <c:rich>
                  <a:bodyPr/>
                  <a:lstStyle/>
                  <a:p>
                    <a:fld id="{93BB1A49-03C9-483A-ABE0-FD3075EB67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140-4BC4-8B73-01EBA7693514}"/>
                </c:ext>
              </c:extLst>
            </c:dLbl>
            <c:dLbl>
              <c:idx val="5"/>
              <c:tx>
                <c:rich>
                  <a:bodyPr/>
                  <a:lstStyle/>
                  <a:p>
                    <a:fld id="{2F6A9CE4-0894-4AC6-8B6B-31242A1FF56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140-4BC4-8B73-01EBA7693514}"/>
                </c:ext>
              </c:extLst>
            </c:dLbl>
            <c:dLbl>
              <c:idx val="6"/>
              <c:tx>
                <c:rich>
                  <a:bodyPr/>
                  <a:lstStyle/>
                  <a:p>
                    <a:fld id="{B15DF4C5-55E3-42F1-B51B-9AC370C008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140-4BC4-8B73-01EBA7693514}"/>
                </c:ext>
              </c:extLst>
            </c:dLbl>
            <c:dLbl>
              <c:idx val="7"/>
              <c:tx>
                <c:rich>
                  <a:bodyPr/>
                  <a:lstStyle/>
                  <a:p>
                    <a:fld id="{F91E7B7C-053F-426F-A1AB-E8888A3D6F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140-4BC4-8B73-01EBA7693514}"/>
                </c:ext>
              </c:extLst>
            </c:dLbl>
            <c:dLbl>
              <c:idx val="8"/>
              <c:tx>
                <c:rich>
                  <a:bodyPr/>
                  <a:lstStyle/>
                  <a:p>
                    <a:fld id="{7C7C1F7D-F505-45F8-B564-D149350C8CD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140-4BC4-8B73-01EBA7693514}"/>
                </c:ext>
              </c:extLst>
            </c:dLbl>
            <c:dLbl>
              <c:idx val="9"/>
              <c:tx>
                <c:rich>
                  <a:bodyPr/>
                  <a:lstStyle/>
                  <a:p>
                    <a:fld id="{14801304-5A5E-484F-B0AD-09AFD10D386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140-4BC4-8B73-01EBA7693514}"/>
                </c:ext>
              </c:extLst>
            </c:dLbl>
            <c:dLbl>
              <c:idx val="10"/>
              <c:tx>
                <c:rich>
                  <a:bodyPr/>
                  <a:lstStyle/>
                  <a:p>
                    <a:fld id="{AD6B49CE-2F74-47DA-BE79-C235B6B3A5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140-4BC4-8B73-01EBA7693514}"/>
                </c:ext>
              </c:extLst>
            </c:dLbl>
            <c:dLbl>
              <c:idx val="11"/>
              <c:tx>
                <c:rich>
                  <a:bodyPr/>
                  <a:lstStyle/>
                  <a:p>
                    <a:fld id="{9D58BD9B-C293-4441-B0BA-FFE4B6976E6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140-4BC4-8B73-01EBA7693514}"/>
                </c:ext>
              </c:extLst>
            </c:dLbl>
            <c:dLbl>
              <c:idx val="12"/>
              <c:tx>
                <c:rich>
                  <a:bodyPr/>
                  <a:lstStyle/>
                  <a:p>
                    <a:fld id="{646BB2E9-B84A-4502-BF85-5EC2A136E04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140-4BC4-8B73-01EBA7693514}"/>
                </c:ext>
              </c:extLst>
            </c:dLbl>
            <c:dLbl>
              <c:idx val="13"/>
              <c:tx>
                <c:rich>
                  <a:bodyPr/>
                  <a:lstStyle/>
                  <a:p>
                    <a:fld id="{EE73AF21-9DC9-4446-BBF4-D3B8CDE8144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140-4BC4-8B73-01EBA7693514}"/>
                </c:ext>
              </c:extLst>
            </c:dLbl>
            <c:dLbl>
              <c:idx val="14"/>
              <c:tx>
                <c:rich>
                  <a:bodyPr/>
                  <a:lstStyle/>
                  <a:p>
                    <a:fld id="{16093831-FE35-4A98-BD85-EF6F62E7CD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140-4BC4-8B73-01EBA7693514}"/>
                </c:ext>
              </c:extLst>
            </c:dLbl>
            <c:dLbl>
              <c:idx val="15"/>
              <c:tx>
                <c:rich>
                  <a:bodyPr/>
                  <a:lstStyle/>
                  <a:p>
                    <a:fld id="{DD547331-8771-480F-8DF1-C8D12A10476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140-4BC4-8B73-01EBA7693514}"/>
                </c:ext>
              </c:extLst>
            </c:dLbl>
            <c:dLbl>
              <c:idx val="16"/>
              <c:tx>
                <c:rich>
                  <a:bodyPr/>
                  <a:lstStyle/>
                  <a:p>
                    <a:fld id="{2EB4A928-614F-48C3-BC93-A1C193721EE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62F-4E9F-BFAF-3F6217F2F60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Rates_Res!$BZ$6:$CZ$6</c:f>
              <c:numCache>
                <c:formatCode>General</c:formatCode>
                <c:ptCount val="17"/>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numCache>
            </c:numRef>
          </c:cat>
          <c:val>
            <c:numRef>
              <c:f>Rates_Res!$BZ$63:$CZ$63</c:f>
              <c:numCache>
                <c:formatCode>_(* #,##0.000_);_(* \(#,##0.000\);_(* "-"??_);_(@_)</c:formatCode>
                <c:ptCount val="17"/>
                <c:pt idx="0">
                  <c:v>1.3352943227519898</c:v>
                </c:pt>
                <c:pt idx="1">
                  <c:v>1.4179837957396302</c:v>
                </c:pt>
                <c:pt idx="2">
                  <c:v>1.5060455804688289</c:v>
                </c:pt>
                <c:pt idx="3">
                  <c:v>0.13032934925942818</c:v>
                </c:pt>
                <c:pt idx="4">
                  <c:v>0.13032934925942818</c:v>
                </c:pt>
                <c:pt idx="5">
                  <c:v>0.13032934925942818</c:v>
                </c:pt>
                <c:pt idx="6">
                  <c:v>0.13032934925942818</c:v>
                </c:pt>
                <c:pt idx="7">
                  <c:v>0.13032934925942818</c:v>
                </c:pt>
                <c:pt idx="8">
                  <c:v>0.13032934925942818</c:v>
                </c:pt>
                <c:pt idx="9">
                  <c:v>0.13032934925942818</c:v>
                </c:pt>
                <c:pt idx="10">
                  <c:v>0.13032934925942818</c:v>
                </c:pt>
                <c:pt idx="11">
                  <c:v>0.13032934925942818</c:v>
                </c:pt>
                <c:pt idx="12">
                  <c:v>0.13032934925942818</c:v>
                </c:pt>
                <c:pt idx="13">
                  <c:v>0.13032934925942818</c:v>
                </c:pt>
                <c:pt idx="14">
                  <c:v>0.13032934925942818</c:v>
                </c:pt>
                <c:pt idx="15">
                  <c:v>8.6343607011762913E-2</c:v>
                </c:pt>
                <c:pt idx="16">
                  <c:v>4.2969544695070638E-2</c:v>
                </c:pt>
              </c:numCache>
            </c:numRef>
          </c:val>
          <c:smooth val="0"/>
          <c:extLst>
            <c:ext xmlns:c15="http://schemas.microsoft.com/office/drawing/2012/chart" uri="{02D57815-91ED-43cb-92C2-25804820EDAC}">
              <c15:datalabelsRange>
                <c15:f>Rates_Res!$BZ$65:$CZ$65</c15:f>
                <c15:dlblRangeCache>
                  <c:ptCount val="17"/>
                  <c:pt idx="0">
                    <c:v>1%</c:v>
                  </c:pt>
                  <c:pt idx="1">
                    <c:v>1%</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15:dlblRangeCache>
              </c15:datalabelsRange>
            </c:ext>
            <c:ext xmlns:c16="http://schemas.microsoft.com/office/drawing/2014/chart" uri="{C3380CC4-5D6E-409C-BE32-E72D297353CC}">
              <c16:uniqueId val="{0000001E-F899-4625-98F3-3F597677212E}"/>
            </c:ext>
          </c:extLst>
        </c:ser>
        <c:dLbls>
          <c:showLegendKey val="0"/>
          <c:showVal val="1"/>
          <c:showCatName val="0"/>
          <c:showSerName val="0"/>
          <c:showPercent val="0"/>
          <c:showBubbleSize val="0"/>
        </c:dLbls>
        <c:marker val="1"/>
        <c:smooth val="0"/>
        <c:axId val="-971650032"/>
        <c:axId val="-697819344"/>
      </c:lineChart>
      <c:catAx>
        <c:axId val="-97165003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7819344"/>
        <c:crosses val="autoZero"/>
        <c:auto val="1"/>
        <c:lblAlgn val="ctr"/>
        <c:lblOffset val="100"/>
        <c:noMultiLvlLbl val="0"/>
      </c:catAx>
      <c:valAx>
        <c:axId val="-69781934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7165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Rates_LI!$BX$17</c:f>
              <c:strCache>
                <c:ptCount val="1"/>
                <c:pt idx="0">
                  <c:v>Customer</c:v>
                </c:pt>
              </c:strCache>
            </c:strRef>
          </c:tx>
          <c:spPr>
            <a:solidFill>
              <a:schemeClr val="accent1"/>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Rates_LI!$BZ$17:$CZ$17</c:f>
              <c:numCache>
                <c:formatCode>_(* #,##0.000_);_(* \(#,##0.000\);_(* "-"??_);_(@_)</c:formatCode>
                <c:ptCount val="22"/>
                <c:pt idx="0">
                  <c:v>9.0952917202036048</c:v>
                </c:pt>
                <c:pt idx="1">
                  <c:v>9.0952917202036048</c:v>
                </c:pt>
                <c:pt idx="2">
                  <c:v>9.0952917202036048</c:v>
                </c:pt>
                <c:pt idx="3">
                  <c:v>9.0952917202036048</c:v>
                </c:pt>
                <c:pt idx="4">
                  <c:v>9.0952917202036048</c:v>
                </c:pt>
                <c:pt idx="5">
                  <c:v>9.0952917202036048</c:v>
                </c:pt>
                <c:pt idx="6">
                  <c:v>9.0952917202036048</c:v>
                </c:pt>
                <c:pt idx="7">
                  <c:v>9.0952917202036048</c:v>
                </c:pt>
                <c:pt idx="8">
                  <c:v>9.0952917202036048</c:v>
                </c:pt>
                <c:pt idx="9">
                  <c:v>9.0952917202036048</c:v>
                </c:pt>
                <c:pt idx="10">
                  <c:v>9.0952917202036048</c:v>
                </c:pt>
                <c:pt idx="11">
                  <c:v>9.0952917202036048</c:v>
                </c:pt>
                <c:pt idx="12">
                  <c:v>9.0952917202036048</c:v>
                </c:pt>
                <c:pt idx="13">
                  <c:v>9.0952917202036048</c:v>
                </c:pt>
                <c:pt idx="14">
                  <c:v>9.0952917202036048</c:v>
                </c:pt>
                <c:pt idx="15">
                  <c:v>9.0952917202036048</c:v>
                </c:pt>
                <c:pt idx="16">
                  <c:v>9.0952917202036048</c:v>
                </c:pt>
                <c:pt idx="17">
                  <c:v>9.0952917202036048</c:v>
                </c:pt>
                <c:pt idx="18">
                  <c:v>9.0952917202036048</c:v>
                </c:pt>
                <c:pt idx="19">
                  <c:v>9.0952917202036048</c:v>
                </c:pt>
                <c:pt idx="20">
                  <c:v>9.0952917202036048</c:v>
                </c:pt>
                <c:pt idx="21">
                  <c:v>9.0952917202036048</c:v>
                </c:pt>
              </c:numCache>
            </c:numRef>
          </c:val>
          <c:extLst>
            <c:ext xmlns:c16="http://schemas.microsoft.com/office/drawing/2014/chart" uri="{C3380CC4-5D6E-409C-BE32-E72D297353CC}">
              <c16:uniqueId val="{00000000-8A8A-4D30-BA20-690A1F2CE2CE}"/>
            </c:ext>
          </c:extLst>
        </c:ser>
        <c:ser>
          <c:idx val="1"/>
          <c:order val="1"/>
          <c:tx>
            <c:strRef>
              <c:f>Rates_LI!$BX$18</c:f>
              <c:strCache>
                <c:ptCount val="1"/>
                <c:pt idx="0">
                  <c:v>Distribution</c:v>
                </c:pt>
              </c:strCache>
            </c:strRef>
          </c:tx>
          <c:spPr>
            <a:solidFill>
              <a:schemeClr val="bg1">
                <a:lumMod val="50000"/>
              </a:schemeClr>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Rates_LI!$BZ$18:$CZ$18</c:f>
              <c:numCache>
                <c:formatCode>_(* #,##0.000_);_(* \(#,##0.000\);_(* "-"??_);_(@_)</c:formatCode>
                <c:ptCount val="22"/>
                <c:pt idx="0">
                  <c:v>22.614122010423127</c:v>
                </c:pt>
                <c:pt idx="1">
                  <c:v>22.972135162699107</c:v>
                </c:pt>
                <c:pt idx="2">
                  <c:v>23.359637355124114</c:v>
                </c:pt>
                <c:pt idx="3">
                  <c:v>23.359637355124114</c:v>
                </c:pt>
                <c:pt idx="4">
                  <c:v>23.359637355124114</c:v>
                </c:pt>
                <c:pt idx="5">
                  <c:v>23.359637355124114</c:v>
                </c:pt>
                <c:pt idx="6">
                  <c:v>23.359637355124114</c:v>
                </c:pt>
                <c:pt idx="7">
                  <c:v>23.359637355124114</c:v>
                </c:pt>
                <c:pt idx="8">
                  <c:v>23.359637355124114</c:v>
                </c:pt>
                <c:pt idx="9">
                  <c:v>23.359637355124114</c:v>
                </c:pt>
                <c:pt idx="10">
                  <c:v>23.359637355124114</c:v>
                </c:pt>
                <c:pt idx="11">
                  <c:v>23.359637355124114</c:v>
                </c:pt>
                <c:pt idx="12">
                  <c:v>23.359637355124114</c:v>
                </c:pt>
                <c:pt idx="13">
                  <c:v>23.359637355124114</c:v>
                </c:pt>
                <c:pt idx="14">
                  <c:v>23.359637355124114</c:v>
                </c:pt>
                <c:pt idx="15">
                  <c:v>23.359637355124114</c:v>
                </c:pt>
                <c:pt idx="16">
                  <c:v>23.359637355124114</c:v>
                </c:pt>
                <c:pt idx="17">
                  <c:v>23.359637355124114</c:v>
                </c:pt>
                <c:pt idx="18">
                  <c:v>23.359637355124114</c:v>
                </c:pt>
                <c:pt idx="19">
                  <c:v>23.359637355124114</c:v>
                </c:pt>
                <c:pt idx="20">
                  <c:v>22.997344839538897</c:v>
                </c:pt>
                <c:pt idx="21">
                  <c:v>22.638351865548952</c:v>
                </c:pt>
              </c:numCache>
            </c:numRef>
          </c:val>
          <c:extLst>
            <c:ext xmlns:c16="http://schemas.microsoft.com/office/drawing/2014/chart" uri="{C3380CC4-5D6E-409C-BE32-E72D297353CC}">
              <c16:uniqueId val="{00000001-8A8A-4D30-BA20-690A1F2CE2CE}"/>
            </c:ext>
          </c:extLst>
        </c:ser>
        <c:ser>
          <c:idx val="2"/>
          <c:order val="2"/>
          <c:tx>
            <c:strRef>
              <c:f>Rates_LI!$BX$19</c:f>
              <c:strCache>
                <c:ptCount val="1"/>
                <c:pt idx="0">
                  <c:v>LDAC, Non-EE</c:v>
                </c:pt>
              </c:strCache>
            </c:strRef>
          </c:tx>
          <c:spPr>
            <a:solidFill>
              <a:schemeClr val="accent3"/>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Rates_LI!$BZ$19:$CZ$19</c:f>
              <c:numCache>
                <c:formatCode>_(* #,##0.000_);_(* \(#,##0.000\);_(* "-"??_);_(@_)</c:formatCode>
                <c:ptCount val="22"/>
                <c:pt idx="0">
                  <c:v>-3.3628647484592973</c:v>
                </c:pt>
                <c:pt idx="1">
                  <c:v>-3.4302232560561121</c:v>
                </c:pt>
                <c:pt idx="2">
                  <c:v>-3.5031194835995754</c:v>
                </c:pt>
                <c:pt idx="3">
                  <c:v>-3.5031194835995754</c:v>
                </c:pt>
                <c:pt idx="4">
                  <c:v>-3.5031194835995754</c:v>
                </c:pt>
                <c:pt idx="5">
                  <c:v>-3.5031194835995754</c:v>
                </c:pt>
                <c:pt idx="6">
                  <c:v>-3.5031194835995754</c:v>
                </c:pt>
                <c:pt idx="7">
                  <c:v>-3.5031194835995754</c:v>
                </c:pt>
                <c:pt idx="8">
                  <c:v>-3.5031194835995754</c:v>
                </c:pt>
                <c:pt idx="9">
                  <c:v>-3.5031194835995754</c:v>
                </c:pt>
                <c:pt idx="10">
                  <c:v>-3.5031194835995754</c:v>
                </c:pt>
                <c:pt idx="11">
                  <c:v>-3.5031194835995754</c:v>
                </c:pt>
                <c:pt idx="12">
                  <c:v>-3.5031194835995754</c:v>
                </c:pt>
                <c:pt idx="13">
                  <c:v>-3.5031194835995754</c:v>
                </c:pt>
                <c:pt idx="14">
                  <c:v>-3.5031194835995754</c:v>
                </c:pt>
                <c:pt idx="15">
                  <c:v>-3.5031194835995754</c:v>
                </c:pt>
                <c:pt idx="16">
                  <c:v>-3.5031194835995754</c:v>
                </c:pt>
                <c:pt idx="17">
                  <c:v>-3.5031194835995754</c:v>
                </c:pt>
                <c:pt idx="18">
                  <c:v>-3.5031194835995754</c:v>
                </c:pt>
                <c:pt idx="19">
                  <c:v>-3.5031194835995754</c:v>
                </c:pt>
                <c:pt idx="20">
                  <c:v>-3.4349547391496613</c:v>
                </c:pt>
                <c:pt idx="21">
                  <c:v>-3.3674121107585782</c:v>
                </c:pt>
              </c:numCache>
            </c:numRef>
          </c:val>
          <c:extLst>
            <c:ext xmlns:c16="http://schemas.microsoft.com/office/drawing/2014/chart" uri="{C3380CC4-5D6E-409C-BE32-E72D297353CC}">
              <c16:uniqueId val="{00000002-8A8A-4D30-BA20-690A1F2CE2CE}"/>
            </c:ext>
          </c:extLst>
        </c:ser>
        <c:ser>
          <c:idx val="3"/>
          <c:order val="3"/>
          <c:tx>
            <c:strRef>
              <c:f>Rates_LI!$BX$20</c:f>
              <c:strCache>
                <c:ptCount val="1"/>
                <c:pt idx="0">
                  <c:v>Cost of Gas</c:v>
                </c:pt>
              </c:strCache>
            </c:strRef>
          </c:tx>
          <c:spPr>
            <a:solidFill>
              <a:schemeClr val="accent5"/>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Rates_LI!$BZ$20:$CZ$20</c:f>
              <c:numCache>
                <c:formatCode>_(* #,##0.000_);_(* \(#,##0.000\);_(* "-"??_);_(@_)</c:formatCode>
                <c:ptCount val="22"/>
                <c:pt idx="0">
                  <c:v>61.981656458813958</c:v>
                </c:pt>
                <c:pt idx="1">
                  <c:v>61.92988531962159</c:v>
                </c:pt>
                <c:pt idx="2">
                  <c:v>61.873992178819101</c:v>
                </c:pt>
                <c:pt idx="3">
                  <c:v>61.873992178819101</c:v>
                </c:pt>
                <c:pt idx="4">
                  <c:v>61.873992178819101</c:v>
                </c:pt>
                <c:pt idx="5">
                  <c:v>61.873992178819101</c:v>
                </c:pt>
                <c:pt idx="6">
                  <c:v>61.873992178819101</c:v>
                </c:pt>
                <c:pt idx="7">
                  <c:v>61.873992178819101</c:v>
                </c:pt>
                <c:pt idx="8">
                  <c:v>61.873992178819101</c:v>
                </c:pt>
                <c:pt idx="9">
                  <c:v>61.873992178819101</c:v>
                </c:pt>
                <c:pt idx="10">
                  <c:v>61.873992178819101</c:v>
                </c:pt>
                <c:pt idx="11">
                  <c:v>61.873992178819101</c:v>
                </c:pt>
                <c:pt idx="12">
                  <c:v>61.873992178819101</c:v>
                </c:pt>
                <c:pt idx="13">
                  <c:v>61.873992178819101</c:v>
                </c:pt>
                <c:pt idx="14">
                  <c:v>61.873992178819101</c:v>
                </c:pt>
                <c:pt idx="15">
                  <c:v>61.873992178819101</c:v>
                </c:pt>
                <c:pt idx="16">
                  <c:v>61.873992178819101</c:v>
                </c:pt>
                <c:pt idx="17">
                  <c:v>61.873992178819101</c:v>
                </c:pt>
                <c:pt idx="18">
                  <c:v>61.873992178819101</c:v>
                </c:pt>
                <c:pt idx="19">
                  <c:v>61.873992178819101</c:v>
                </c:pt>
                <c:pt idx="20">
                  <c:v>61.926407710968469</c:v>
                </c:pt>
                <c:pt idx="21">
                  <c:v>61.978317237928323</c:v>
                </c:pt>
              </c:numCache>
            </c:numRef>
          </c:val>
          <c:extLst>
            <c:ext xmlns:c16="http://schemas.microsoft.com/office/drawing/2014/chart" uri="{C3380CC4-5D6E-409C-BE32-E72D297353CC}">
              <c16:uniqueId val="{00000003-8A8A-4D30-BA20-690A1F2CE2CE}"/>
            </c:ext>
          </c:extLst>
        </c:ser>
        <c:ser>
          <c:idx val="4"/>
          <c:order val="4"/>
          <c:tx>
            <c:strRef>
              <c:f>Rates_LI!$BX$21</c:f>
              <c:strCache>
                <c:ptCount val="1"/>
                <c:pt idx="0">
                  <c:v>LDAC (EE Only)</c:v>
                </c:pt>
              </c:strCache>
            </c:strRef>
          </c:tx>
          <c:spPr>
            <a:solidFill>
              <a:srgbClr val="FFC000"/>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Rates_LI!$BZ$21:$CZ$21</c:f>
              <c:numCache>
                <c:formatCode>_(* #,##0.000_);_(* \(#,##0.000\);_(* "-"??_);_(@_)</c:formatCode>
                <c:ptCount val="22"/>
                <c:pt idx="0">
                  <c:v>6.468639699185835</c:v>
                </c:pt>
                <c:pt idx="1">
                  <c:v>6.6654138295917704</c:v>
                </c:pt>
                <c:pt idx="2">
                  <c:v>6.8785811560470815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8A8A-4D30-BA20-690A1F2CE2CE}"/>
            </c:ext>
          </c:extLst>
        </c:ser>
        <c:dLbls>
          <c:showLegendKey val="0"/>
          <c:showVal val="0"/>
          <c:showCatName val="0"/>
          <c:showSerName val="0"/>
          <c:showPercent val="0"/>
          <c:showBubbleSize val="0"/>
        </c:dLbls>
        <c:gapWidth val="0"/>
        <c:overlap val="100"/>
        <c:axId val="-830895216"/>
        <c:axId val="-830899024"/>
      </c:barChart>
      <c:catAx>
        <c:axId val="-8308952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9024"/>
        <c:crosses val="autoZero"/>
        <c:auto val="1"/>
        <c:lblAlgn val="ctr"/>
        <c:lblOffset val="100"/>
        <c:noMultiLvlLbl val="0"/>
      </c:catAx>
      <c:valAx>
        <c:axId val="-83089902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763904178945"/>
          <c:y val="0.11908582599995543"/>
          <c:w val="0.68440019516791173"/>
          <c:h val="0.71410364637307833"/>
        </c:manualLayout>
      </c:layout>
      <c:barChart>
        <c:barDir val="col"/>
        <c:grouping val="stacked"/>
        <c:varyColors val="0"/>
        <c:ser>
          <c:idx val="4"/>
          <c:order val="0"/>
          <c:tx>
            <c:strRef>
              <c:f>Rates_LI!$BX$28</c:f>
              <c:strCache>
                <c:ptCount val="1"/>
                <c:pt idx="0">
                  <c:v>Total Avoided Costs</c:v>
                </c:pt>
              </c:strCache>
            </c:strRef>
          </c:tx>
          <c:spPr>
            <a:solidFill>
              <a:schemeClr val="accent3">
                <a:lumMod val="50000"/>
              </a:schemeClr>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Rates_LI!$BZ$28:$CZ$28</c:f>
              <c:numCache>
                <c:formatCode>_(* #,##0.000_);_(* \(#,##0.000\);_(* "-"??_);_(@_)</c:formatCode>
                <c:ptCount val="22"/>
                <c:pt idx="0">
                  <c:v>-1.4632047714901377</c:v>
                </c:pt>
                <c:pt idx="1">
                  <c:v>-3.0308642841244517</c:v>
                </c:pt>
                <c:pt idx="2">
                  <c:v>-4.7263961713202889</c:v>
                </c:pt>
                <c:pt idx="3">
                  <c:v>-4.7263961713202889</c:v>
                </c:pt>
                <c:pt idx="4">
                  <c:v>-4.7263961713202889</c:v>
                </c:pt>
                <c:pt idx="5">
                  <c:v>-4.7263961713202889</c:v>
                </c:pt>
                <c:pt idx="6">
                  <c:v>-4.7263961713202889</c:v>
                </c:pt>
                <c:pt idx="7">
                  <c:v>-4.7263961713202889</c:v>
                </c:pt>
                <c:pt idx="8">
                  <c:v>-4.7263961713202889</c:v>
                </c:pt>
                <c:pt idx="9">
                  <c:v>-4.7263961713202889</c:v>
                </c:pt>
                <c:pt idx="10">
                  <c:v>-4.7263961713202889</c:v>
                </c:pt>
                <c:pt idx="11">
                  <c:v>-4.7263961713202889</c:v>
                </c:pt>
                <c:pt idx="12">
                  <c:v>-4.7263961713202889</c:v>
                </c:pt>
                <c:pt idx="13">
                  <c:v>-4.7263961713202889</c:v>
                </c:pt>
                <c:pt idx="14">
                  <c:v>-4.7263961713202889</c:v>
                </c:pt>
                <c:pt idx="15">
                  <c:v>-4.7263961713202889</c:v>
                </c:pt>
                <c:pt idx="16">
                  <c:v>-4.7263961713202889</c:v>
                </c:pt>
                <c:pt idx="17">
                  <c:v>-4.7263961713202889</c:v>
                </c:pt>
                <c:pt idx="18">
                  <c:v>-4.7263961713202889</c:v>
                </c:pt>
                <c:pt idx="19">
                  <c:v>-4.7263961713202889</c:v>
                </c:pt>
                <c:pt idx="20">
                  <c:v>-3.1398569390796225</c:v>
                </c:pt>
                <c:pt idx="21">
                  <c:v>-1.5679344343251984</c:v>
                </c:pt>
              </c:numCache>
            </c:numRef>
          </c:val>
          <c:extLst>
            <c:ext xmlns:c16="http://schemas.microsoft.com/office/drawing/2014/chart" uri="{C3380CC4-5D6E-409C-BE32-E72D297353CC}">
              <c16:uniqueId val="{00000000-21F2-42D9-8B5C-798C0924C3E6}"/>
            </c:ext>
          </c:extLst>
        </c:ser>
        <c:ser>
          <c:idx val="8"/>
          <c:order val="1"/>
          <c:tx>
            <c:strRef>
              <c:f>Rates_LI!$BX$27</c:f>
              <c:strCache>
                <c:ptCount val="1"/>
                <c:pt idx="0">
                  <c:v>Lost Revenue</c:v>
                </c:pt>
              </c:strCache>
            </c:strRef>
          </c:tx>
          <c:spPr>
            <a:solidFill>
              <a:schemeClr val="accent2"/>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Rates_LI!$BZ$27:$CZ$27</c:f>
              <c:numCache>
                <c:formatCode>_(* #,##0.000_);_(* \(#,##0.000\);_(* "-"??_);_(@_)</c:formatCode>
                <c:ptCount val="22"/>
                <c:pt idx="0">
                  <c:v>0.42274405845921514</c:v>
                </c:pt>
                <c:pt idx="1">
                  <c:v>0.87210248900453369</c:v>
                </c:pt>
                <c:pt idx="2">
                  <c:v>1.3544492269988746</c:v>
                </c:pt>
                <c:pt idx="3">
                  <c:v>1.3544492269988746</c:v>
                </c:pt>
                <c:pt idx="4">
                  <c:v>1.3544492269988746</c:v>
                </c:pt>
                <c:pt idx="5">
                  <c:v>1.3544492269988746</c:v>
                </c:pt>
                <c:pt idx="6">
                  <c:v>1.3544492269988746</c:v>
                </c:pt>
                <c:pt idx="7">
                  <c:v>1.3544492269988746</c:v>
                </c:pt>
                <c:pt idx="8">
                  <c:v>1.3544492269988746</c:v>
                </c:pt>
                <c:pt idx="9">
                  <c:v>1.3544492269988746</c:v>
                </c:pt>
                <c:pt idx="10">
                  <c:v>1.3544492269988746</c:v>
                </c:pt>
                <c:pt idx="11">
                  <c:v>1.3544492269988746</c:v>
                </c:pt>
                <c:pt idx="12">
                  <c:v>1.3544492269988746</c:v>
                </c:pt>
                <c:pt idx="13">
                  <c:v>1.3544492269988746</c:v>
                </c:pt>
                <c:pt idx="14">
                  <c:v>1.3544492269988746</c:v>
                </c:pt>
                <c:pt idx="15">
                  <c:v>1.3544492269988746</c:v>
                </c:pt>
                <c:pt idx="16">
                  <c:v>1.3544492269988746</c:v>
                </c:pt>
                <c:pt idx="17">
                  <c:v>1.3544492269988746</c:v>
                </c:pt>
                <c:pt idx="18">
                  <c:v>1.3544492269988746</c:v>
                </c:pt>
                <c:pt idx="19">
                  <c:v>1.3544492269988746</c:v>
                </c:pt>
                <c:pt idx="20">
                  <c:v>0.90353466337756705</c:v>
                </c:pt>
                <c:pt idx="21">
                  <c:v>0.45319641111828401</c:v>
                </c:pt>
              </c:numCache>
            </c:numRef>
          </c:val>
          <c:extLst>
            <c:ext xmlns:c16="http://schemas.microsoft.com/office/drawing/2014/chart" uri="{C3380CC4-5D6E-409C-BE32-E72D297353CC}">
              <c16:uniqueId val="{00000001-21F2-42D9-8B5C-798C0924C3E6}"/>
            </c:ext>
          </c:extLst>
        </c:ser>
        <c:ser>
          <c:idx val="7"/>
          <c:order val="2"/>
          <c:tx>
            <c:strRef>
              <c:f>Rates_LI!$BX$26</c:f>
              <c:strCache>
                <c:ptCount val="1"/>
                <c:pt idx="0">
                  <c:v>LDAC (EE Only)</c:v>
                </c:pt>
              </c:strCache>
            </c:strRef>
          </c:tx>
          <c:spPr>
            <a:solidFill>
              <a:srgbClr val="FFC000"/>
            </a:solidFill>
            <a:ln>
              <a:solidFill>
                <a:schemeClr val="bg1"/>
              </a:solidFill>
            </a:ln>
            <a:effectLst/>
          </c:spPr>
          <c:invertIfNegative val="0"/>
          <c:dLbls>
            <c:delete val="1"/>
          </c:dLbls>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Rates_LI!$BZ$26:$CZ$26</c:f>
              <c:numCache>
                <c:formatCode>_(* #,##0.000_);_(* \(#,##0.000\);_(* "-"??_);_(@_)</c:formatCode>
                <c:ptCount val="22"/>
                <c:pt idx="0">
                  <c:v>6.468639699185835</c:v>
                </c:pt>
                <c:pt idx="1">
                  <c:v>6.6654138295917704</c:v>
                </c:pt>
                <c:pt idx="2">
                  <c:v>6.8785811560470815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21F2-42D9-8B5C-798C0924C3E6}"/>
            </c:ext>
          </c:extLst>
        </c:ser>
        <c:dLbls>
          <c:showLegendKey val="0"/>
          <c:showVal val="1"/>
          <c:showCatName val="0"/>
          <c:showSerName val="0"/>
          <c:showPercent val="0"/>
          <c:showBubbleSize val="0"/>
        </c:dLbls>
        <c:gapWidth val="0"/>
        <c:overlap val="100"/>
        <c:axId val="-830898480"/>
        <c:axId val="-830897936"/>
      </c:barChart>
      <c:lineChart>
        <c:grouping val="standard"/>
        <c:varyColors val="0"/>
        <c:ser>
          <c:idx val="0"/>
          <c:order val="3"/>
          <c:tx>
            <c:strRef>
              <c:f>Rates_LI!$BX$29</c:f>
              <c:strCache>
                <c:ptCount val="1"/>
                <c:pt idx="0">
                  <c:v>Change in Total Rates</c:v>
                </c:pt>
              </c:strCache>
            </c:strRef>
          </c:tx>
          <c:spPr>
            <a:ln w="28575" cap="rnd">
              <a:solidFill>
                <a:schemeClr val="tx1"/>
              </a:solidFill>
              <a:prstDash val="sysDash"/>
              <a:round/>
            </a:ln>
            <a:effectLst/>
          </c:spPr>
          <c:marker>
            <c:symbol val="none"/>
          </c:marker>
          <c:dLbls>
            <c:dLbl>
              <c:idx val="0"/>
              <c:tx>
                <c:rich>
                  <a:bodyPr/>
                  <a:lstStyle/>
                  <a:p>
                    <a:fld id="{8BFD3A2F-C1B7-4537-8D4E-EED72199D8F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1F2-42D9-8B5C-798C0924C3E6}"/>
                </c:ext>
              </c:extLst>
            </c:dLbl>
            <c:dLbl>
              <c:idx val="1"/>
              <c:tx>
                <c:rich>
                  <a:bodyPr/>
                  <a:lstStyle/>
                  <a:p>
                    <a:fld id="{30F1D0A5-3048-441D-8FCE-2FFC73A9997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1F2-42D9-8B5C-798C0924C3E6}"/>
                </c:ext>
              </c:extLst>
            </c:dLbl>
            <c:dLbl>
              <c:idx val="2"/>
              <c:tx>
                <c:rich>
                  <a:bodyPr/>
                  <a:lstStyle/>
                  <a:p>
                    <a:fld id="{E1990090-0991-4510-8A43-CDEC32D8DB2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F2-42D9-8B5C-798C0924C3E6}"/>
                </c:ext>
              </c:extLst>
            </c:dLbl>
            <c:dLbl>
              <c:idx val="3"/>
              <c:tx>
                <c:rich>
                  <a:bodyPr/>
                  <a:lstStyle/>
                  <a:p>
                    <a:fld id="{1BB910DD-1854-4807-9E20-FB7C1F0F9D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F2-42D9-8B5C-798C0924C3E6}"/>
                </c:ext>
              </c:extLst>
            </c:dLbl>
            <c:dLbl>
              <c:idx val="4"/>
              <c:tx>
                <c:rich>
                  <a:bodyPr/>
                  <a:lstStyle/>
                  <a:p>
                    <a:fld id="{A81A2B8C-1CF5-4426-987C-CFF8D8F25D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F2-42D9-8B5C-798C0924C3E6}"/>
                </c:ext>
              </c:extLst>
            </c:dLbl>
            <c:dLbl>
              <c:idx val="5"/>
              <c:tx>
                <c:rich>
                  <a:bodyPr/>
                  <a:lstStyle/>
                  <a:p>
                    <a:fld id="{667A324A-EF35-42CD-893D-966A2F5AFBB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1F2-42D9-8B5C-798C0924C3E6}"/>
                </c:ext>
              </c:extLst>
            </c:dLbl>
            <c:dLbl>
              <c:idx val="6"/>
              <c:tx>
                <c:rich>
                  <a:bodyPr/>
                  <a:lstStyle/>
                  <a:p>
                    <a:fld id="{38145DD2-8267-471D-BAD3-0B9D315BF3E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1F2-42D9-8B5C-798C0924C3E6}"/>
                </c:ext>
              </c:extLst>
            </c:dLbl>
            <c:dLbl>
              <c:idx val="7"/>
              <c:tx>
                <c:rich>
                  <a:bodyPr/>
                  <a:lstStyle/>
                  <a:p>
                    <a:fld id="{F3543DAA-4F78-43C1-B77E-7A9C6152189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1F2-42D9-8B5C-798C0924C3E6}"/>
                </c:ext>
              </c:extLst>
            </c:dLbl>
            <c:dLbl>
              <c:idx val="8"/>
              <c:tx>
                <c:rich>
                  <a:bodyPr/>
                  <a:lstStyle/>
                  <a:p>
                    <a:fld id="{293AD702-CF1A-4527-8250-FE71344A917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1F2-42D9-8B5C-798C0924C3E6}"/>
                </c:ext>
              </c:extLst>
            </c:dLbl>
            <c:dLbl>
              <c:idx val="9"/>
              <c:tx>
                <c:rich>
                  <a:bodyPr/>
                  <a:lstStyle/>
                  <a:p>
                    <a:fld id="{8E38FB66-B70B-4F81-8C16-F13F582AC5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1F2-42D9-8B5C-798C0924C3E6}"/>
                </c:ext>
              </c:extLst>
            </c:dLbl>
            <c:dLbl>
              <c:idx val="10"/>
              <c:tx>
                <c:rich>
                  <a:bodyPr/>
                  <a:lstStyle/>
                  <a:p>
                    <a:fld id="{CA0A6782-C54B-4F18-944F-1686A675BE2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1F2-42D9-8B5C-798C0924C3E6}"/>
                </c:ext>
              </c:extLst>
            </c:dLbl>
            <c:dLbl>
              <c:idx val="11"/>
              <c:tx>
                <c:rich>
                  <a:bodyPr/>
                  <a:lstStyle/>
                  <a:p>
                    <a:fld id="{43CF2202-57A7-4808-8D43-9512050C58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1F2-42D9-8B5C-798C0924C3E6}"/>
                </c:ext>
              </c:extLst>
            </c:dLbl>
            <c:dLbl>
              <c:idx val="12"/>
              <c:tx>
                <c:rich>
                  <a:bodyPr/>
                  <a:lstStyle/>
                  <a:p>
                    <a:fld id="{0ABDE093-5FFC-4AD1-9BA4-078C7CC4E9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1F2-42D9-8B5C-798C0924C3E6}"/>
                </c:ext>
              </c:extLst>
            </c:dLbl>
            <c:dLbl>
              <c:idx val="13"/>
              <c:tx>
                <c:rich>
                  <a:bodyPr/>
                  <a:lstStyle/>
                  <a:p>
                    <a:fld id="{95E89047-0E55-40A7-8873-AC7D5C1CB9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1F2-42D9-8B5C-798C0924C3E6}"/>
                </c:ext>
              </c:extLst>
            </c:dLbl>
            <c:dLbl>
              <c:idx val="14"/>
              <c:tx>
                <c:rich>
                  <a:bodyPr/>
                  <a:lstStyle/>
                  <a:p>
                    <a:fld id="{855C9200-952D-4788-A542-9EDE1B9A954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1F2-42D9-8B5C-798C0924C3E6}"/>
                </c:ext>
              </c:extLst>
            </c:dLbl>
            <c:dLbl>
              <c:idx val="15"/>
              <c:tx>
                <c:rich>
                  <a:bodyPr/>
                  <a:lstStyle/>
                  <a:p>
                    <a:fld id="{4FC100DF-90A3-4CAB-BB6B-4B29FE2DDB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1F2-42D9-8B5C-798C0924C3E6}"/>
                </c:ext>
              </c:extLst>
            </c:dLbl>
            <c:dLbl>
              <c:idx val="16"/>
              <c:tx>
                <c:rich>
                  <a:bodyPr/>
                  <a:lstStyle/>
                  <a:p>
                    <a:fld id="{D16E8A07-D853-4587-9F9A-FE41500153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1F2-42D9-8B5C-798C0924C3E6}"/>
                </c:ext>
              </c:extLst>
            </c:dLbl>
            <c:dLbl>
              <c:idx val="17"/>
              <c:tx>
                <c:rich>
                  <a:bodyPr/>
                  <a:lstStyle/>
                  <a:p>
                    <a:fld id="{0474A5A8-EFFD-429C-A014-A2FFF57B991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1F2-42D9-8B5C-798C0924C3E6}"/>
                </c:ext>
              </c:extLst>
            </c:dLbl>
            <c:dLbl>
              <c:idx val="18"/>
              <c:tx>
                <c:rich>
                  <a:bodyPr/>
                  <a:lstStyle/>
                  <a:p>
                    <a:fld id="{BF8B26AF-127A-4B8E-B50C-DA1AD84F7A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1F2-42D9-8B5C-798C0924C3E6}"/>
                </c:ext>
              </c:extLst>
            </c:dLbl>
            <c:dLbl>
              <c:idx val="19"/>
              <c:tx>
                <c:rich>
                  <a:bodyPr/>
                  <a:lstStyle/>
                  <a:p>
                    <a:fld id="{93ADDD6B-5E33-4DB9-8A5D-BBC9A76EE9D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1F2-42D9-8B5C-798C0924C3E6}"/>
                </c:ext>
              </c:extLst>
            </c:dLbl>
            <c:dLbl>
              <c:idx val="20"/>
              <c:tx>
                <c:rich>
                  <a:bodyPr/>
                  <a:lstStyle/>
                  <a:p>
                    <a:fld id="{0B9FF446-6EC0-4A7D-B41E-C0655222CB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1F2-42D9-8B5C-798C0924C3E6}"/>
                </c:ext>
              </c:extLst>
            </c:dLbl>
            <c:dLbl>
              <c:idx val="21"/>
              <c:tx>
                <c:rich>
                  <a:bodyPr/>
                  <a:lstStyle/>
                  <a:p>
                    <a:fld id="{02861BA8-B02F-4A22-B0F6-9EE09A8C7A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1F2-42D9-8B5C-798C0924C3E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Rates_LI!$BZ$29:$CZ$29</c:f>
              <c:numCache>
                <c:formatCode>_(* #,##0.000_);_(* \(#,##0.000\);_(* "-"??_);_(@_)</c:formatCode>
                <c:ptCount val="22"/>
                <c:pt idx="0">
                  <c:v>6.6915534199636255</c:v>
                </c:pt>
                <c:pt idx="1">
                  <c:v>7.1272110558563639</c:v>
                </c:pt>
                <c:pt idx="2">
                  <c:v>7.599091206390729</c:v>
                </c:pt>
                <c:pt idx="3">
                  <c:v>0.7205100503436479</c:v>
                </c:pt>
                <c:pt idx="4">
                  <c:v>0.7205100503436479</c:v>
                </c:pt>
                <c:pt idx="5">
                  <c:v>0.7205100503436479</c:v>
                </c:pt>
                <c:pt idx="6">
                  <c:v>0.7205100503436479</c:v>
                </c:pt>
                <c:pt idx="7">
                  <c:v>0.7205100503436479</c:v>
                </c:pt>
                <c:pt idx="8">
                  <c:v>0.7205100503436479</c:v>
                </c:pt>
                <c:pt idx="9">
                  <c:v>0.7205100503436479</c:v>
                </c:pt>
                <c:pt idx="10">
                  <c:v>0.7205100503436479</c:v>
                </c:pt>
                <c:pt idx="11">
                  <c:v>0.7205100503436479</c:v>
                </c:pt>
                <c:pt idx="12">
                  <c:v>0.7205100503436479</c:v>
                </c:pt>
                <c:pt idx="13">
                  <c:v>0.7205100503436479</c:v>
                </c:pt>
                <c:pt idx="14">
                  <c:v>0.7205100503436479</c:v>
                </c:pt>
                <c:pt idx="15">
                  <c:v>0.7205100503436479</c:v>
                </c:pt>
                <c:pt idx="16">
                  <c:v>0.7205100503436479</c:v>
                </c:pt>
                <c:pt idx="17">
                  <c:v>0.7205100503436479</c:v>
                </c:pt>
                <c:pt idx="18">
                  <c:v>0.7205100503436479</c:v>
                </c:pt>
                <c:pt idx="19">
                  <c:v>0.7205100503436479</c:v>
                </c:pt>
                <c:pt idx="20">
                  <c:v>0.47879781135771182</c:v>
                </c:pt>
                <c:pt idx="21">
                  <c:v>0.23925699271870604</c:v>
                </c:pt>
              </c:numCache>
            </c:numRef>
          </c:val>
          <c:smooth val="0"/>
          <c:extLst>
            <c:ext xmlns:c15="http://schemas.microsoft.com/office/drawing/2012/chart" uri="{02D57815-91ED-43cb-92C2-25804820EDAC}">
              <c15:datalabelsRange>
                <c15:f>Rates_LI!$BZ$31:$CY$31</c15:f>
                <c15:dlblRangeCache>
                  <c:ptCount val="22"/>
                  <c:pt idx="0">
                    <c:v>7%</c:v>
                  </c:pt>
                  <c:pt idx="1">
                    <c:v>8%</c:v>
                  </c:pt>
                  <c:pt idx="2">
                    <c:v>8%</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15:dlblRangeCache>
              </c15:datalabelsRange>
            </c:ext>
            <c:ext xmlns:c16="http://schemas.microsoft.com/office/drawing/2014/chart" uri="{C3380CC4-5D6E-409C-BE32-E72D297353CC}">
              <c16:uniqueId val="{00000014-21F2-42D9-8B5C-798C0924C3E6}"/>
            </c:ext>
          </c:extLst>
        </c:ser>
        <c:dLbls>
          <c:showLegendKey val="0"/>
          <c:showVal val="1"/>
          <c:showCatName val="0"/>
          <c:showSerName val="0"/>
          <c:showPercent val="0"/>
          <c:showBubbleSize val="0"/>
        </c:dLbls>
        <c:marker val="1"/>
        <c:smooth val="0"/>
        <c:axId val="-830898480"/>
        <c:axId val="-830897936"/>
      </c:lineChart>
      <c:catAx>
        <c:axId val="-83089848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7936"/>
        <c:crosses val="autoZero"/>
        <c:auto val="1"/>
        <c:lblAlgn val="ctr"/>
        <c:lblOffset val="100"/>
        <c:noMultiLvlLbl val="0"/>
      </c:catAx>
      <c:valAx>
        <c:axId val="-83089793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Change in Gas Rates </a:t>
                </a:r>
                <a:r>
                  <a:rPr lang="en-US">
                    <a:latin typeface="Calibri" panose="020F0502020204030204" pitchFamily="34" charset="0"/>
                    <a:cs typeface="Calibri" panose="020F0502020204030204" pitchFamily="34" charset="0"/>
                  </a:rPr>
                  <a:t>(</a:t>
                </a:r>
                <a:r>
                  <a:rPr lang="en-US" sz="1100" b="0" i="0" u="none" strike="noStrike" baseline="0">
                    <a:effectLst/>
                  </a:rPr>
                  <a:t>¢</a:t>
                </a:r>
                <a:r>
                  <a:rPr lang="en-US">
                    <a:latin typeface="Calibri" panose="020F0502020204030204" pitchFamily="34" charset="0"/>
                    <a:cs typeface="Calibri" panose="020F0502020204030204" pitchFamily="34" charset="0"/>
                  </a:rPr>
                  <a:t>/Therm</a:t>
                </a:r>
                <a:r>
                  <a:rPr lang="en-US"/>
                  <a:t>)</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8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35132734287613"/>
          <c:y val="6.8055692623564229E-2"/>
          <c:w val="0.66283745559281004"/>
          <c:h val="0.71420767872990576"/>
        </c:manualLayout>
      </c:layout>
      <c:barChart>
        <c:barDir val="col"/>
        <c:grouping val="stacked"/>
        <c:varyColors val="0"/>
        <c:ser>
          <c:idx val="0"/>
          <c:order val="0"/>
          <c:tx>
            <c:strRef>
              <c:f>Rates_LI!$BX$37</c:f>
              <c:strCache>
                <c:ptCount val="1"/>
                <c:pt idx="0">
                  <c:v>Customer</c:v>
                </c:pt>
              </c:strCache>
            </c:strRef>
          </c:tx>
          <c:spPr>
            <a:solidFill>
              <a:schemeClr val="accent1"/>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Rates_LI!$BZ$37:$CZ$37</c:f>
              <c:numCache>
                <c:formatCode>_(* #,##0.000_);_(* \(#,##0.000\);_(* "-"??_);_(@_)</c:formatCode>
                <c:ptCount val="22"/>
                <c:pt idx="0">
                  <c:v>9.0952917202036048</c:v>
                </c:pt>
                <c:pt idx="1">
                  <c:v>9.0952917202036048</c:v>
                </c:pt>
                <c:pt idx="2">
                  <c:v>9.0952917202036048</c:v>
                </c:pt>
                <c:pt idx="3">
                  <c:v>9.0952917202036048</c:v>
                </c:pt>
                <c:pt idx="4">
                  <c:v>9.0952917202036048</c:v>
                </c:pt>
                <c:pt idx="5">
                  <c:v>9.0952917202036048</c:v>
                </c:pt>
                <c:pt idx="6">
                  <c:v>9.0952917202036048</c:v>
                </c:pt>
                <c:pt idx="7">
                  <c:v>9.0952917202036048</c:v>
                </c:pt>
                <c:pt idx="8">
                  <c:v>9.0952917202036048</c:v>
                </c:pt>
                <c:pt idx="9">
                  <c:v>9.0952917202036048</c:v>
                </c:pt>
                <c:pt idx="10">
                  <c:v>9.0952917202036048</c:v>
                </c:pt>
                <c:pt idx="11">
                  <c:v>9.0952917202036048</c:v>
                </c:pt>
                <c:pt idx="12">
                  <c:v>9.0952917202036048</c:v>
                </c:pt>
                <c:pt idx="13">
                  <c:v>9.0952917202036048</c:v>
                </c:pt>
                <c:pt idx="14">
                  <c:v>9.0952917202036048</c:v>
                </c:pt>
                <c:pt idx="15">
                  <c:v>9.0952917202036048</c:v>
                </c:pt>
                <c:pt idx="16">
                  <c:v>9.0952917202036048</c:v>
                </c:pt>
                <c:pt idx="17">
                  <c:v>9.0952917202036048</c:v>
                </c:pt>
                <c:pt idx="18">
                  <c:v>9.0952917202036048</c:v>
                </c:pt>
                <c:pt idx="19">
                  <c:v>9.0952917202036048</c:v>
                </c:pt>
                <c:pt idx="20">
                  <c:v>9.0952917202036048</c:v>
                </c:pt>
                <c:pt idx="21">
                  <c:v>9.0952917202036048</c:v>
                </c:pt>
              </c:numCache>
            </c:numRef>
          </c:val>
          <c:extLst>
            <c:ext xmlns:c16="http://schemas.microsoft.com/office/drawing/2014/chart" uri="{C3380CC4-5D6E-409C-BE32-E72D297353CC}">
              <c16:uniqueId val="{00000000-3989-4219-B4CD-111D0EA6C315}"/>
            </c:ext>
          </c:extLst>
        </c:ser>
        <c:ser>
          <c:idx val="1"/>
          <c:order val="1"/>
          <c:tx>
            <c:strRef>
              <c:f>Rates_LI!$BX$38</c:f>
              <c:strCache>
                <c:ptCount val="1"/>
                <c:pt idx="0">
                  <c:v>Distribution</c:v>
                </c:pt>
              </c:strCache>
            </c:strRef>
          </c:tx>
          <c:spPr>
            <a:solidFill>
              <a:schemeClr val="bg1">
                <a:lumMod val="50000"/>
              </a:schemeClr>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Rates_LI!$BZ$38:$CZ$38</c:f>
              <c:numCache>
                <c:formatCode>_(* #,##0.000_);_(* \(#,##0.000\);_(* "-"??_);_(@_)</c:formatCode>
                <c:ptCount val="22"/>
                <c:pt idx="0">
                  <c:v>22.662895745449973</c:v>
                </c:pt>
                <c:pt idx="1">
                  <c:v>23.075496120791598</c:v>
                </c:pt>
                <c:pt idx="2">
                  <c:v>23.524817002685634</c:v>
                </c:pt>
                <c:pt idx="3">
                  <c:v>23.524817002685634</c:v>
                </c:pt>
                <c:pt idx="4">
                  <c:v>23.524817002685634</c:v>
                </c:pt>
                <c:pt idx="5">
                  <c:v>23.524817002685634</c:v>
                </c:pt>
                <c:pt idx="6">
                  <c:v>23.524817002685634</c:v>
                </c:pt>
                <c:pt idx="7">
                  <c:v>23.524817002685634</c:v>
                </c:pt>
                <c:pt idx="8">
                  <c:v>23.524817002685634</c:v>
                </c:pt>
                <c:pt idx="9">
                  <c:v>23.524817002685634</c:v>
                </c:pt>
                <c:pt idx="10">
                  <c:v>23.524817002685634</c:v>
                </c:pt>
                <c:pt idx="11">
                  <c:v>23.524817002685634</c:v>
                </c:pt>
                <c:pt idx="12">
                  <c:v>23.524817002685634</c:v>
                </c:pt>
                <c:pt idx="13">
                  <c:v>23.524817002685634</c:v>
                </c:pt>
                <c:pt idx="14">
                  <c:v>23.524817002685634</c:v>
                </c:pt>
                <c:pt idx="15">
                  <c:v>23.524817002685634</c:v>
                </c:pt>
                <c:pt idx="16">
                  <c:v>23.524817002685634</c:v>
                </c:pt>
                <c:pt idx="17">
                  <c:v>23.524817002685634</c:v>
                </c:pt>
                <c:pt idx="18">
                  <c:v>23.524817002685634</c:v>
                </c:pt>
                <c:pt idx="19">
                  <c:v>23.524817002685634</c:v>
                </c:pt>
                <c:pt idx="20">
                  <c:v>23.104640384929318</c:v>
                </c:pt>
                <c:pt idx="21">
                  <c:v>22.690743651385841</c:v>
                </c:pt>
              </c:numCache>
            </c:numRef>
          </c:val>
          <c:extLst>
            <c:ext xmlns:c16="http://schemas.microsoft.com/office/drawing/2014/chart" uri="{C3380CC4-5D6E-409C-BE32-E72D297353CC}">
              <c16:uniqueId val="{00000001-3989-4219-B4CD-111D0EA6C315}"/>
            </c:ext>
          </c:extLst>
        </c:ser>
        <c:ser>
          <c:idx val="2"/>
          <c:order val="2"/>
          <c:tx>
            <c:strRef>
              <c:f>Rates_LI!$BX$39</c:f>
              <c:strCache>
                <c:ptCount val="1"/>
                <c:pt idx="0">
                  <c:v>LDAC, Non-EE</c:v>
                </c:pt>
              </c:strCache>
            </c:strRef>
          </c:tx>
          <c:spPr>
            <a:solidFill>
              <a:schemeClr val="accent3"/>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Rates_LI!$BZ$39:$CZ$39</c:f>
              <c:numCache>
                <c:formatCode>_(* #,##0.000_);_(* \(#,##0.000\);_(* "-"??_);_(@_)</c:formatCode>
                <c:ptCount val="22"/>
                <c:pt idx="0">
                  <c:v>-3.3720414817729765</c:v>
                </c:pt>
                <c:pt idx="1">
                  <c:v>-3.4496703254108798</c:v>
                </c:pt>
                <c:pt idx="2">
                  <c:v>-3.5341958487833254</c:v>
                </c:pt>
                <c:pt idx="3">
                  <c:v>-3.5341958487833254</c:v>
                </c:pt>
                <c:pt idx="4">
                  <c:v>-3.5341958487833254</c:v>
                </c:pt>
                <c:pt idx="5">
                  <c:v>-3.5341958487833254</c:v>
                </c:pt>
                <c:pt idx="6">
                  <c:v>-3.5341958487833254</c:v>
                </c:pt>
                <c:pt idx="7">
                  <c:v>-3.5341958487833254</c:v>
                </c:pt>
                <c:pt idx="8">
                  <c:v>-3.5341958487833254</c:v>
                </c:pt>
                <c:pt idx="9">
                  <c:v>-3.5341958487833254</c:v>
                </c:pt>
                <c:pt idx="10">
                  <c:v>-3.5341958487833254</c:v>
                </c:pt>
                <c:pt idx="11">
                  <c:v>-3.5341958487833254</c:v>
                </c:pt>
                <c:pt idx="12">
                  <c:v>-3.5341958487833254</c:v>
                </c:pt>
                <c:pt idx="13">
                  <c:v>-3.5341958487833254</c:v>
                </c:pt>
                <c:pt idx="14">
                  <c:v>-3.5341958487833254</c:v>
                </c:pt>
                <c:pt idx="15">
                  <c:v>-3.5341958487833254</c:v>
                </c:pt>
                <c:pt idx="16">
                  <c:v>-3.5341958487833254</c:v>
                </c:pt>
                <c:pt idx="17">
                  <c:v>-3.5341958487833254</c:v>
                </c:pt>
                <c:pt idx="18">
                  <c:v>-3.5341958487833254</c:v>
                </c:pt>
                <c:pt idx="19">
                  <c:v>-3.5341958487833254</c:v>
                </c:pt>
                <c:pt idx="20">
                  <c:v>-3.4551403479976908</c:v>
                </c:pt>
                <c:pt idx="21">
                  <c:v>-3.3772679011400948</c:v>
                </c:pt>
              </c:numCache>
            </c:numRef>
          </c:val>
          <c:extLst>
            <c:ext xmlns:c16="http://schemas.microsoft.com/office/drawing/2014/chart" uri="{C3380CC4-5D6E-409C-BE32-E72D297353CC}">
              <c16:uniqueId val="{00000002-3989-4219-B4CD-111D0EA6C315}"/>
            </c:ext>
          </c:extLst>
        </c:ser>
        <c:ser>
          <c:idx val="3"/>
          <c:order val="3"/>
          <c:tx>
            <c:strRef>
              <c:f>Rates_LI!$BX$40</c:f>
              <c:strCache>
                <c:ptCount val="1"/>
                <c:pt idx="0">
                  <c:v>Cost of Gas</c:v>
                </c:pt>
              </c:strCache>
            </c:strRef>
          </c:tx>
          <c:spPr>
            <a:solidFill>
              <a:schemeClr val="accent5"/>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Rates_LI!$BZ$40:$CZ$40</c:f>
              <c:numCache>
                <c:formatCode>_(* #,##0.000_);_(* \(#,##0.000\);_(* "-"??_);_(@_)</c:formatCode>
                <c:ptCount val="22"/>
                <c:pt idx="0">
                  <c:v>61.974599470664394</c:v>
                </c:pt>
                <c:pt idx="1">
                  <c:v>61.914934555896942</c:v>
                </c:pt>
                <c:pt idx="2">
                  <c:v>61.850123685572555</c:v>
                </c:pt>
                <c:pt idx="3">
                  <c:v>61.850123685572555</c:v>
                </c:pt>
                <c:pt idx="4">
                  <c:v>61.850123685572555</c:v>
                </c:pt>
                <c:pt idx="5">
                  <c:v>61.850123685572555</c:v>
                </c:pt>
                <c:pt idx="6">
                  <c:v>61.850123685572555</c:v>
                </c:pt>
                <c:pt idx="7">
                  <c:v>61.850123685572555</c:v>
                </c:pt>
                <c:pt idx="8">
                  <c:v>61.850123685572555</c:v>
                </c:pt>
                <c:pt idx="9">
                  <c:v>61.850123685572555</c:v>
                </c:pt>
                <c:pt idx="10">
                  <c:v>61.850123685572555</c:v>
                </c:pt>
                <c:pt idx="11">
                  <c:v>61.850123685572555</c:v>
                </c:pt>
                <c:pt idx="12">
                  <c:v>61.850123685572555</c:v>
                </c:pt>
                <c:pt idx="13">
                  <c:v>61.850123685572555</c:v>
                </c:pt>
                <c:pt idx="14">
                  <c:v>61.850123685572555</c:v>
                </c:pt>
                <c:pt idx="15">
                  <c:v>61.850123685572555</c:v>
                </c:pt>
                <c:pt idx="16">
                  <c:v>61.850123685572555</c:v>
                </c:pt>
                <c:pt idx="17">
                  <c:v>61.850123685572555</c:v>
                </c:pt>
                <c:pt idx="18">
                  <c:v>61.850123685572555</c:v>
                </c:pt>
                <c:pt idx="19">
                  <c:v>61.850123685572555</c:v>
                </c:pt>
                <c:pt idx="20">
                  <c:v>61.910913083367845</c:v>
                </c:pt>
                <c:pt idx="21">
                  <c:v>61.970761110941872</c:v>
                </c:pt>
              </c:numCache>
            </c:numRef>
          </c:val>
          <c:extLst>
            <c:ext xmlns:c16="http://schemas.microsoft.com/office/drawing/2014/chart" uri="{C3380CC4-5D6E-409C-BE32-E72D297353CC}">
              <c16:uniqueId val="{00000003-3989-4219-B4CD-111D0EA6C315}"/>
            </c:ext>
          </c:extLst>
        </c:ser>
        <c:ser>
          <c:idx val="4"/>
          <c:order val="4"/>
          <c:tx>
            <c:strRef>
              <c:f>Rates_LI!$BX$41</c:f>
              <c:strCache>
                <c:ptCount val="1"/>
                <c:pt idx="0">
                  <c:v>LDAC (EE Only)</c:v>
                </c:pt>
              </c:strCache>
            </c:strRef>
          </c:tx>
          <c:spPr>
            <a:solidFill>
              <a:srgbClr val="FFC000"/>
            </a:solidFill>
            <a:ln>
              <a:solidFill>
                <a:schemeClr val="bg1"/>
              </a:solidFill>
            </a:ln>
            <a:effectLst/>
          </c:spPr>
          <c:invertIfNegative val="0"/>
          <c:cat>
            <c:numRef>
              <c:f>Rates_LI!$BZ$6:$CZ$6</c:f>
              <c:numCache>
                <c:formatCode>General</c:formatCode>
                <c:ptCount val="22"/>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numCache>
            </c:numRef>
          </c:cat>
          <c:val>
            <c:numRef>
              <c:f>Rates_LI!$BZ$41:$CZ$41</c:f>
              <c:numCache>
                <c:formatCode>_(* #,##0.000_);_(* \(#,##0.000\);_(* "-"??_);_(@_)</c:formatCode>
                <c:ptCount val="22"/>
                <c:pt idx="0">
                  <c:v>7.7623676390230019</c:v>
                </c:pt>
                <c:pt idx="1">
                  <c:v>7.998496595510125</c:v>
                </c:pt>
                <c:pt idx="2">
                  <c:v>8.2542973872564964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3989-4219-B4CD-111D0EA6C315}"/>
            </c:ext>
          </c:extLst>
        </c:ser>
        <c:dLbls>
          <c:showLegendKey val="0"/>
          <c:showVal val="0"/>
          <c:showCatName val="0"/>
          <c:showSerName val="0"/>
          <c:showPercent val="0"/>
          <c:showBubbleSize val="0"/>
        </c:dLbls>
        <c:gapWidth val="0"/>
        <c:overlap val="100"/>
        <c:axId val="-830896848"/>
        <c:axId val="-830891952"/>
      </c:barChart>
      <c:catAx>
        <c:axId val="-8308968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1952"/>
        <c:crosses val="autoZero"/>
        <c:auto val="1"/>
        <c:lblAlgn val="ctr"/>
        <c:lblOffset val="100"/>
        <c:noMultiLvlLbl val="0"/>
      </c:catAx>
      <c:valAx>
        <c:axId val="-8308919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Gas Rates (</a:t>
                </a:r>
                <a:r>
                  <a:rPr lang="en-US" sz="1100" b="0" i="0" u="none" strike="noStrike" baseline="0">
                    <a:effectLst/>
                  </a:rPr>
                  <a:t>¢</a:t>
                </a:r>
                <a:r>
                  <a:rPr lang="en-US"/>
                  <a:t>/Therm)</a:t>
                </a:r>
              </a:p>
            </c:rich>
          </c:tx>
          <c:layout>
            <c:manualLayout>
              <c:xMode val="edge"/>
              <c:yMode val="edge"/>
              <c:x val="2.3504273504273504E-2"/>
              <c:y val="0.1419995841225112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30896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50.xml.rels><?xml version="1.0" encoding="UTF-8" standalone="yes"?>
<Relationships xmlns="http://schemas.openxmlformats.org/package/2006/relationships"><Relationship Id="rId8" Type="http://schemas.openxmlformats.org/officeDocument/2006/relationships/chart" Target="../charts/chart56.xml"/><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176892</xdr:colOff>
      <xdr:row>7</xdr:row>
      <xdr:rowOff>0</xdr:rowOff>
    </xdr:from>
    <xdr:to>
      <xdr:col>34</xdr:col>
      <xdr:colOff>148317</xdr:colOff>
      <xdr:row>21</xdr:row>
      <xdr:rowOff>28575</xdr:rowOff>
    </xdr:to>
    <xdr:graphicFrame macro="">
      <xdr:nvGraphicFramePr>
        <xdr:cNvPr id="2" name="Chart 1">
          <a:extLst>
            <a:ext uri="{FF2B5EF4-FFF2-40B4-BE49-F238E27FC236}">
              <a16:creationId xmlns:a16="http://schemas.microsoft.com/office/drawing/2014/main" id="{E7AE1ACB-29C6-45FA-9F83-114C5812B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176892</xdr:colOff>
      <xdr:row>6</xdr:row>
      <xdr:rowOff>235401</xdr:rowOff>
    </xdr:from>
    <xdr:to>
      <xdr:col>68</xdr:col>
      <xdr:colOff>148317</xdr:colOff>
      <xdr:row>21</xdr:row>
      <xdr:rowOff>25851</xdr:rowOff>
    </xdr:to>
    <xdr:graphicFrame macro="">
      <xdr:nvGraphicFramePr>
        <xdr:cNvPr id="3" name="Chart 2">
          <a:extLst>
            <a:ext uri="{FF2B5EF4-FFF2-40B4-BE49-F238E27FC236}">
              <a16:creationId xmlns:a16="http://schemas.microsoft.com/office/drawing/2014/main" id="{929C4157-CD7A-4C26-915D-2C15182D1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176892</xdr:colOff>
      <xdr:row>23</xdr:row>
      <xdr:rowOff>0</xdr:rowOff>
    </xdr:from>
    <xdr:to>
      <xdr:col>34</xdr:col>
      <xdr:colOff>148317</xdr:colOff>
      <xdr:row>37</xdr:row>
      <xdr:rowOff>76200</xdr:rowOff>
    </xdr:to>
    <xdr:graphicFrame macro="">
      <xdr:nvGraphicFramePr>
        <xdr:cNvPr id="4" name="Chart 3">
          <a:extLst>
            <a:ext uri="{FF2B5EF4-FFF2-40B4-BE49-F238E27FC236}">
              <a16:creationId xmlns:a16="http://schemas.microsoft.com/office/drawing/2014/main" id="{61710FA3-0919-4D5C-9EF5-A0097533A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176892</xdr:colOff>
      <xdr:row>23</xdr:row>
      <xdr:rowOff>0</xdr:rowOff>
    </xdr:from>
    <xdr:to>
      <xdr:col>68</xdr:col>
      <xdr:colOff>148317</xdr:colOff>
      <xdr:row>37</xdr:row>
      <xdr:rowOff>76200</xdr:rowOff>
    </xdr:to>
    <xdr:graphicFrame macro="">
      <xdr:nvGraphicFramePr>
        <xdr:cNvPr id="5" name="Chart 4">
          <a:extLst>
            <a:ext uri="{FF2B5EF4-FFF2-40B4-BE49-F238E27FC236}">
              <a16:creationId xmlns:a16="http://schemas.microsoft.com/office/drawing/2014/main" id="{5C9B62F4-6305-4595-9A78-82FB8DC3E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176892</xdr:colOff>
      <xdr:row>39</xdr:row>
      <xdr:rowOff>0</xdr:rowOff>
    </xdr:from>
    <xdr:to>
      <xdr:col>34</xdr:col>
      <xdr:colOff>148317</xdr:colOff>
      <xdr:row>53</xdr:row>
      <xdr:rowOff>28575</xdr:rowOff>
    </xdr:to>
    <xdr:graphicFrame macro="">
      <xdr:nvGraphicFramePr>
        <xdr:cNvPr id="6" name="Chart 5">
          <a:extLst>
            <a:ext uri="{FF2B5EF4-FFF2-40B4-BE49-F238E27FC236}">
              <a16:creationId xmlns:a16="http://schemas.microsoft.com/office/drawing/2014/main" id="{8544F095-2B53-42DB-8A73-C6FBDB7FA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176892</xdr:colOff>
      <xdr:row>38</xdr:row>
      <xdr:rowOff>238124</xdr:rowOff>
    </xdr:from>
    <xdr:to>
      <xdr:col>68</xdr:col>
      <xdr:colOff>148317</xdr:colOff>
      <xdr:row>53</xdr:row>
      <xdr:rowOff>28574</xdr:rowOff>
    </xdr:to>
    <xdr:graphicFrame macro="">
      <xdr:nvGraphicFramePr>
        <xdr:cNvPr id="7" name="Chart 6">
          <a:extLst>
            <a:ext uri="{FF2B5EF4-FFF2-40B4-BE49-F238E27FC236}">
              <a16:creationId xmlns:a16="http://schemas.microsoft.com/office/drawing/2014/main" id="{FEFF1FFA-199A-4518-BB8D-ACF364A01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0.82377</cdr:x>
      <cdr:y>0.61891</cdr:y>
    </cdr:from>
    <cdr:to>
      <cdr:x>0.97902</cdr:x>
      <cdr:y>0.75779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96146" y="1697794"/>
          <a:ext cx="922744" cy="380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0.48468</cdr:y>
    </cdr:from>
    <cdr:to>
      <cdr:x>0.99056</cdr:x>
      <cdr:y>0.62357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33500"/>
          <a:ext cx="996198" cy="382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0.4547</cdr:x>
      <cdr:y>0.01217</cdr:y>
    </cdr:from>
    <cdr:to>
      <cdr:x>0.82636</cdr:x>
      <cdr:y>0.12655</cdr:y>
    </cdr:to>
    <cdr:sp macro="" textlink="Rates_LI!$BX$33">
      <cdr:nvSpPr>
        <cdr:cNvPr id="2" name="TextBox 1">
          <a:extLst xmlns:a="http://schemas.openxmlformats.org/drawingml/2006/main">
            <a:ext uri="{FF2B5EF4-FFF2-40B4-BE49-F238E27FC236}">
              <a16:creationId xmlns:a16="http://schemas.microsoft.com/office/drawing/2014/main" id="{5225785D-4A5A-4407-9CA9-49DF80D3A264}"/>
            </a:ext>
          </a:extLst>
        </cdr:cNvPr>
        <cdr:cNvSpPr txBox="1"/>
      </cdr:nvSpPr>
      <cdr:spPr>
        <a:xfrm xmlns:a="http://schemas.openxmlformats.org/drawingml/2006/main">
          <a:off x="2677358" y="33307"/>
          <a:ext cx="2188383" cy="313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0B52145-849C-46E2-9738-6BE5B1796B7E}" type="TxLink">
            <a:rPr lang="en-US" sz="1100" b="0" i="1" u="none" strike="noStrike">
              <a:solidFill>
                <a:sysClr val="windowText" lastClr="000000"/>
              </a:solidFill>
              <a:latin typeface="Calibri"/>
              <a:cs typeface="Calibri"/>
            </a:rPr>
            <a:pPr/>
            <a:t>Levelized net change 1.6%</a:t>
          </a:fld>
          <a:endParaRPr lang="en-US" sz="1100" b="0" i="1">
            <a:solidFill>
              <a:sysClr val="windowText" lastClr="00000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a:t>
          </a:r>
          <a:r>
            <a:rPr lang="en-US" sz="1100" b="1" baseline="0">
              <a:solidFill>
                <a:schemeClr val="accent5"/>
              </a:solidFill>
            </a:rPr>
            <a:t> of Gas</a:t>
          </a:r>
          <a:endParaRPr lang="en-US" sz="1100" b="1">
            <a:solidFill>
              <a:schemeClr val="accent5"/>
            </a:solidFill>
          </a:endParaRPr>
        </a:p>
      </cdr:txBody>
    </cdr:sp>
  </cdr:relSizeAnchor>
  <cdr:relSizeAnchor xmlns:cdr="http://schemas.openxmlformats.org/drawingml/2006/chartDrawing">
    <cdr:from>
      <cdr:x>0.79033</cdr:x>
      <cdr:y>0.06944</cdr:y>
    </cdr:from>
    <cdr:to>
      <cdr:x>0.94558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53596" y="190488"/>
          <a:ext cx="914132" cy="26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12.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0.625</cdr:y>
    </cdr:from>
    <cdr:to>
      <cdr:x>0.97724</cdr:x>
      <cdr:y>0.76389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14497"/>
          <a:ext cx="917486"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0.49769</cdr:y>
    </cdr:from>
    <cdr:to>
      <cdr:x>0.99056</cdr:x>
      <cdr:y>0.63658</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65250"/>
          <a:ext cx="996203"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0.45851</cdr:x>
      <cdr:y>0.00818</cdr:y>
    </cdr:from>
    <cdr:to>
      <cdr:x>0.83207</cdr:x>
      <cdr:y>0.10621</cdr:y>
    </cdr:to>
    <cdr:sp macro="" textlink="Rates_LI!$BX$53">
      <cdr:nvSpPr>
        <cdr:cNvPr id="2" name="TextBox 1">
          <a:extLst xmlns:a="http://schemas.openxmlformats.org/drawingml/2006/main">
            <a:ext uri="{FF2B5EF4-FFF2-40B4-BE49-F238E27FC236}">
              <a16:creationId xmlns:a16="http://schemas.microsoft.com/office/drawing/2014/main" id="{2BA69B7B-8022-4531-9492-3D5A017003F3}"/>
            </a:ext>
          </a:extLst>
        </cdr:cNvPr>
        <cdr:cNvSpPr txBox="1"/>
      </cdr:nvSpPr>
      <cdr:spPr>
        <a:xfrm xmlns:a="http://schemas.openxmlformats.org/drawingml/2006/main">
          <a:off x="2699789" y="22426"/>
          <a:ext cx="2199570" cy="2689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75EAAD-63B2-48E0-B88F-53D40960DB63}" type="TxLink">
            <a:rPr lang="en-US" sz="1100" b="0" i="1" u="none" strike="noStrike">
              <a:solidFill>
                <a:sysClr val="windowText" lastClr="000000"/>
              </a:solidFill>
              <a:latin typeface="Calibri"/>
              <a:cs typeface="Calibri"/>
            </a:rPr>
            <a:pPr/>
            <a:t>Levelized net change 1.9%</a:t>
          </a:fld>
          <a:endParaRPr lang="en-US" sz="1100">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0.79604</cdr:x>
      <cdr:y>0.06944</cdr:y>
    </cdr:from>
    <cdr:to>
      <cdr:x>0.95129</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87213"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14.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0.64305</cdr:y>
    </cdr:from>
    <cdr:to>
      <cdr:x>0.97724</cdr:x>
      <cdr:y>0.78194</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67417"/>
          <a:ext cx="917486"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0.53138</cdr:y>
    </cdr:from>
    <cdr:to>
      <cdr:x>0.99056</cdr:x>
      <cdr:y>0.67027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460500"/>
          <a:ext cx="996203"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0.45661</cdr:x>
      <cdr:y>0.01631</cdr:y>
    </cdr:from>
    <cdr:to>
      <cdr:x>0.83207</cdr:x>
      <cdr:y>0.15126</cdr:y>
    </cdr:to>
    <cdr:sp macro="" textlink="Rates_LI!$BX$67">
      <cdr:nvSpPr>
        <cdr:cNvPr id="2" name="TextBox 1">
          <a:extLst xmlns:a="http://schemas.openxmlformats.org/drawingml/2006/main">
            <a:ext uri="{FF2B5EF4-FFF2-40B4-BE49-F238E27FC236}">
              <a16:creationId xmlns:a16="http://schemas.microsoft.com/office/drawing/2014/main" id="{CCD2ABDE-5A6B-4C9B-9D48-78990A6F0F5F}"/>
            </a:ext>
          </a:extLst>
        </cdr:cNvPr>
        <cdr:cNvSpPr txBox="1"/>
      </cdr:nvSpPr>
      <cdr:spPr>
        <a:xfrm xmlns:a="http://schemas.openxmlformats.org/drawingml/2006/main">
          <a:off x="2688598" y="44650"/>
          <a:ext cx="2210758" cy="3694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EB3964-2574-48BD-A867-21415A6D1E93}" type="TxLink">
            <a:rPr lang="en-US" sz="1100" b="0" i="1" u="none" strike="noStrike">
              <a:solidFill>
                <a:sysClr val="windowText" lastClr="000000"/>
              </a:solidFill>
              <a:latin typeface="Calibri"/>
              <a:cs typeface="Calibri"/>
            </a:rPr>
            <a:pPr/>
            <a:t>Levelized net change 0.3%</a:t>
          </a:fld>
          <a:endParaRPr lang="en-US" sz="1100">
            <a:solidFill>
              <a:sysClr val="windowText" lastClr="000000"/>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176892</xdr:colOff>
      <xdr:row>7</xdr:row>
      <xdr:rowOff>0</xdr:rowOff>
    </xdr:from>
    <xdr:to>
      <xdr:col>34</xdr:col>
      <xdr:colOff>148317</xdr:colOff>
      <xdr:row>21</xdr:row>
      <xdr:rowOff>28575</xdr:rowOff>
    </xdr:to>
    <xdr:graphicFrame macro="">
      <xdr:nvGraphicFramePr>
        <xdr:cNvPr id="2" name="Chart 1">
          <a:extLst>
            <a:ext uri="{FF2B5EF4-FFF2-40B4-BE49-F238E27FC236}">
              <a16:creationId xmlns:a16="http://schemas.microsoft.com/office/drawing/2014/main" id="{660C9470-83F3-4C15-A14E-90C7A17EF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176892</xdr:colOff>
      <xdr:row>6</xdr:row>
      <xdr:rowOff>235401</xdr:rowOff>
    </xdr:from>
    <xdr:to>
      <xdr:col>68</xdr:col>
      <xdr:colOff>148317</xdr:colOff>
      <xdr:row>21</xdr:row>
      <xdr:rowOff>25851</xdr:rowOff>
    </xdr:to>
    <xdr:graphicFrame macro="">
      <xdr:nvGraphicFramePr>
        <xdr:cNvPr id="3" name="Chart 2">
          <a:extLst>
            <a:ext uri="{FF2B5EF4-FFF2-40B4-BE49-F238E27FC236}">
              <a16:creationId xmlns:a16="http://schemas.microsoft.com/office/drawing/2014/main" id="{AE5BA3C0-93BD-4305-9A48-7FECBC56A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176892</xdr:colOff>
      <xdr:row>23</xdr:row>
      <xdr:rowOff>0</xdr:rowOff>
    </xdr:from>
    <xdr:to>
      <xdr:col>34</xdr:col>
      <xdr:colOff>148317</xdr:colOff>
      <xdr:row>37</xdr:row>
      <xdr:rowOff>76200</xdr:rowOff>
    </xdr:to>
    <xdr:graphicFrame macro="">
      <xdr:nvGraphicFramePr>
        <xdr:cNvPr id="4" name="Chart 3">
          <a:extLst>
            <a:ext uri="{FF2B5EF4-FFF2-40B4-BE49-F238E27FC236}">
              <a16:creationId xmlns:a16="http://schemas.microsoft.com/office/drawing/2014/main" id="{E1F3962C-2C6E-41D9-B9D3-F44E840F5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176892</xdr:colOff>
      <xdr:row>23</xdr:row>
      <xdr:rowOff>0</xdr:rowOff>
    </xdr:from>
    <xdr:to>
      <xdr:col>68</xdr:col>
      <xdr:colOff>148317</xdr:colOff>
      <xdr:row>37</xdr:row>
      <xdr:rowOff>76200</xdr:rowOff>
    </xdr:to>
    <xdr:graphicFrame macro="">
      <xdr:nvGraphicFramePr>
        <xdr:cNvPr id="5" name="Chart 4">
          <a:extLst>
            <a:ext uri="{FF2B5EF4-FFF2-40B4-BE49-F238E27FC236}">
              <a16:creationId xmlns:a16="http://schemas.microsoft.com/office/drawing/2014/main" id="{0D5B1832-01AA-4543-94A7-55937EDE0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176892</xdr:colOff>
      <xdr:row>39</xdr:row>
      <xdr:rowOff>0</xdr:rowOff>
    </xdr:from>
    <xdr:to>
      <xdr:col>34</xdr:col>
      <xdr:colOff>148317</xdr:colOff>
      <xdr:row>53</xdr:row>
      <xdr:rowOff>28575</xdr:rowOff>
    </xdr:to>
    <xdr:graphicFrame macro="">
      <xdr:nvGraphicFramePr>
        <xdr:cNvPr id="6" name="Chart 5">
          <a:extLst>
            <a:ext uri="{FF2B5EF4-FFF2-40B4-BE49-F238E27FC236}">
              <a16:creationId xmlns:a16="http://schemas.microsoft.com/office/drawing/2014/main" id="{4B1E8F2D-CA2E-45A8-B6C1-0E67AF5B7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176892</xdr:colOff>
      <xdr:row>38</xdr:row>
      <xdr:rowOff>238124</xdr:rowOff>
    </xdr:from>
    <xdr:to>
      <xdr:col>68</xdr:col>
      <xdr:colOff>148317</xdr:colOff>
      <xdr:row>53</xdr:row>
      <xdr:rowOff>28574</xdr:rowOff>
    </xdr:to>
    <xdr:graphicFrame macro="">
      <xdr:nvGraphicFramePr>
        <xdr:cNvPr id="7" name="Chart 6">
          <a:extLst>
            <a:ext uri="{FF2B5EF4-FFF2-40B4-BE49-F238E27FC236}">
              <a16:creationId xmlns:a16="http://schemas.microsoft.com/office/drawing/2014/main" id="{8BAF3211-776F-458D-8DF0-3446A41CEB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0.78843</cdr:x>
      <cdr:y>0.06944</cdr:y>
    </cdr:from>
    <cdr:to>
      <cdr:x>0.94368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42404"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17.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0.82377</cdr:x>
      <cdr:y>0.61891</cdr:y>
    </cdr:from>
    <cdr:to>
      <cdr:x>0.97902</cdr:x>
      <cdr:y>0.75779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96146" y="1697794"/>
          <a:ext cx="922744" cy="380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0.48468</cdr:y>
    </cdr:from>
    <cdr:to>
      <cdr:x>0.99056</cdr:x>
      <cdr:y>0.62357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33500"/>
          <a:ext cx="996198" cy="382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0.4547</cdr:x>
      <cdr:y>0.01217</cdr:y>
    </cdr:from>
    <cdr:to>
      <cdr:x>0.82636</cdr:x>
      <cdr:y>0.12655</cdr:y>
    </cdr:to>
    <cdr:sp macro="" textlink="Rates_Small!$BX$33">
      <cdr:nvSpPr>
        <cdr:cNvPr id="2" name="TextBox 1">
          <a:extLst xmlns:a="http://schemas.openxmlformats.org/drawingml/2006/main">
            <a:ext uri="{FF2B5EF4-FFF2-40B4-BE49-F238E27FC236}">
              <a16:creationId xmlns:a16="http://schemas.microsoft.com/office/drawing/2014/main" id="{5225785D-4A5A-4407-9CA9-49DF80D3A264}"/>
            </a:ext>
          </a:extLst>
        </cdr:cNvPr>
        <cdr:cNvSpPr txBox="1"/>
      </cdr:nvSpPr>
      <cdr:spPr>
        <a:xfrm xmlns:a="http://schemas.openxmlformats.org/drawingml/2006/main">
          <a:off x="2677358" y="33307"/>
          <a:ext cx="2188383" cy="313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0B52145-849C-46E2-9738-6BE5B1796B7E}" type="TxLink">
            <a:rPr lang="en-US" sz="1100" b="0" i="1" u="none" strike="noStrike">
              <a:solidFill>
                <a:sysClr val="windowText" lastClr="000000"/>
              </a:solidFill>
              <a:latin typeface="Calibri"/>
              <a:cs typeface="Calibri"/>
            </a:rPr>
            <a:pPr/>
            <a:t>Levelized net change 2.4%</a:t>
          </a:fld>
          <a:endParaRPr lang="en-US" sz="1100" b="0" i="1">
            <a:solidFill>
              <a:sysClr val="windowText" lastClr="000000"/>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a:t>
          </a:r>
          <a:r>
            <a:rPr lang="en-US" sz="1100" b="1" baseline="0">
              <a:solidFill>
                <a:schemeClr val="accent5"/>
              </a:solidFill>
            </a:rPr>
            <a:t> of Gas</a:t>
          </a:r>
          <a:endParaRPr lang="en-US" sz="1100" b="1">
            <a:solidFill>
              <a:schemeClr val="accent5"/>
            </a:solidFill>
          </a:endParaRPr>
        </a:p>
      </cdr:txBody>
    </cdr:sp>
  </cdr:relSizeAnchor>
  <cdr:relSizeAnchor xmlns:cdr="http://schemas.openxmlformats.org/drawingml/2006/chartDrawing">
    <cdr:from>
      <cdr:x>0.79033</cdr:x>
      <cdr:y>0.06944</cdr:y>
    </cdr:from>
    <cdr:to>
      <cdr:x>0.94558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53596" y="190488"/>
          <a:ext cx="914132" cy="26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19.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0.625</cdr:y>
    </cdr:from>
    <cdr:to>
      <cdr:x>0.97724</cdr:x>
      <cdr:y>0.76389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14497"/>
          <a:ext cx="917486"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0.49769</cdr:y>
    </cdr:from>
    <cdr:to>
      <cdr:x>0.99056</cdr:x>
      <cdr:y>0.63658</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65250"/>
          <a:ext cx="996203"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0.45851</cdr:x>
      <cdr:y>0.00818</cdr:y>
    </cdr:from>
    <cdr:to>
      <cdr:x>0.83207</cdr:x>
      <cdr:y>0.10621</cdr:y>
    </cdr:to>
    <cdr:sp macro="" textlink="Rates_Small!$BX$53">
      <cdr:nvSpPr>
        <cdr:cNvPr id="2" name="TextBox 1">
          <a:extLst xmlns:a="http://schemas.openxmlformats.org/drawingml/2006/main">
            <a:ext uri="{FF2B5EF4-FFF2-40B4-BE49-F238E27FC236}">
              <a16:creationId xmlns:a16="http://schemas.microsoft.com/office/drawing/2014/main" id="{2BA69B7B-8022-4531-9492-3D5A017003F3}"/>
            </a:ext>
          </a:extLst>
        </cdr:cNvPr>
        <cdr:cNvSpPr txBox="1"/>
      </cdr:nvSpPr>
      <cdr:spPr>
        <a:xfrm xmlns:a="http://schemas.openxmlformats.org/drawingml/2006/main">
          <a:off x="2699789" y="22426"/>
          <a:ext cx="2199570" cy="2689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75EAAD-63B2-48E0-B88F-53D40960DB63}" type="TxLink">
            <a:rPr lang="en-US" sz="1100" b="0" i="1" u="none" strike="noStrike">
              <a:solidFill>
                <a:sysClr val="windowText" lastClr="000000"/>
              </a:solidFill>
              <a:latin typeface="Calibri"/>
              <a:cs typeface="Calibri"/>
            </a:rPr>
            <a:pPr/>
            <a:t>Levelized net change 2.8%</a:t>
          </a:fld>
          <a:endParaRPr lang="en-US" sz="1100">
            <a:solidFill>
              <a:sysClr val="windowText" lastClr="000000"/>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0.78843</cdr:x>
      <cdr:y>0.06944</cdr:y>
    </cdr:from>
    <cdr:to>
      <cdr:x>0.94368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42404"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20.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0.79604</cdr:x>
      <cdr:y>0.06944</cdr:y>
    </cdr:from>
    <cdr:to>
      <cdr:x>0.95129</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87213"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21.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0.64305</cdr:y>
    </cdr:from>
    <cdr:to>
      <cdr:x>0.97724</cdr:x>
      <cdr:y>0.78194</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67417"/>
          <a:ext cx="917486"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0.53138</cdr:y>
    </cdr:from>
    <cdr:to>
      <cdr:x>0.99056</cdr:x>
      <cdr:y>0.67027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460500"/>
          <a:ext cx="996203"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0.45661</cdr:x>
      <cdr:y>0.01631</cdr:y>
    </cdr:from>
    <cdr:to>
      <cdr:x>0.83207</cdr:x>
      <cdr:y>0.15126</cdr:y>
    </cdr:to>
    <cdr:sp macro="" textlink="Rates_Small!$BX$67">
      <cdr:nvSpPr>
        <cdr:cNvPr id="2" name="TextBox 1">
          <a:extLst xmlns:a="http://schemas.openxmlformats.org/drawingml/2006/main">
            <a:ext uri="{FF2B5EF4-FFF2-40B4-BE49-F238E27FC236}">
              <a16:creationId xmlns:a16="http://schemas.microsoft.com/office/drawing/2014/main" id="{CCD2ABDE-5A6B-4C9B-9D48-78990A6F0F5F}"/>
            </a:ext>
          </a:extLst>
        </cdr:cNvPr>
        <cdr:cNvSpPr txBox="1"/>
      </cdr:nvSpPr>
      <cdr:spPr>
        <a:xfrm xmlns:a="http://schemas.openxmlformats.org/drawingml/2006/main">
          <a:off x="2688598" y="44650"/>
          <a:ext cx="2210758" cy="3694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EB3964-2574-48BD-A867-21415A6D1E93}" type="TxLink">
            <a:rPr lang="en-US" sz="1100" b="0" i="1" u="none" strike="noStrike">
              <a:solidFill>
                <a:sysClr val="windowText" lastClr="000000"/>
              </a:solidFill>
              <a:latin typeface="Calibri"/>
              <a:cs typeface="Calibri"/>
            </a:rPr>
            <a:pPr/>
            <a:t>Levelized net change 0.4%</a:t>
          </a:fld>
          <a:endParaRPr lang="en-US" sz="1100">
            <a:solidFill>
              <a:sysClr val="windowText" lastClr="000000"/>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176892</xdr:colOff>
      <xdr:row>7</xdr:row>
      <xdr:rowOff>0</xdr:rowOff>
    </xdr:from>
    <xdr:to>
      <xdr:col>34</xdr:col>
      <xdr:colOff>148317</xdr:colOff>
      <xdr:row>21</xdr:row>
      <xdr:rowOff>28575</xdr:rowOff>
    </xdr:to>
    <xdr:graphicFrame macro="">
      <xdr:nvGraphicFramePr>
        <xdr:cNvPr id="2" name="Chart 1">
          <a:extLst>
            <a:ext uri="{FF2B5EF4-FFF2-40B4-BE49-F238E27FC236}">
              <a16:creationId xmlns:a16="http://schemas.microsoft.com/office/drawing/2014/main" id="{E913806D-86CA-4263-AF2D-7F220C03C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176892</xdr:colOff>
      <xdr:row>7</xdr:row>
      <xdr:rowOff>78</xdr:rowOff>
    </xdr:from>
    <xdr:to>
      <xdr:col>68</xdr:col>
      <xdr:colOff>148317</xdr:colOff>
      <xdr:row>21</xdr:row>
      <xdr:rowOff>25851</xdr:rowOff>
    </xdr:to>
    <xdr:graphicFrame macro="">
      <xdr:nvGraphicFramePr>
        <xdr:cNvPr id="3" name="Chart 2">
          <a:extLst>
            <a:ext uri="{FF2B5EF4-FFF2-40B4-BE49-F238E27FC236}">
              <a16:creationId xmlns:a16="http://schemas.microsoft.com/office/drawing/2014/main" id="{506B68C5-64E2-4A0C-A0AD-B0A506672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176892</xdr:colOff>
      <xdr:row>23</xdr:row>
      <xdr:rowOff>0</xdr:rowOff>
    </xdr:from>
    <xdr:to>
      <xdr:col>34</xdr:col>
      <xdr:colOff>148317</xdr:colOff>
      <xdr:row>37</xdr:row>
      <xdr:rowOff>76200</xdr:rowOff>
    </xdr:to>
    <xdr:graphicFrame macro="">
      <xdr:nvGraphicFramePr>
        <xdr:cNvPr id="4" name="Chart 3">
          <a:extLst>
            <a:ext uri="{FF2B5EF4-FFF2-40B4-BE49-F238E27FC236}">
              <a16:creationId xmlns:a16="http://schemas.microsoft.com/office/drawing/2014/main" id="{1A1D31F4-39CB-4AEB-953C-C5DB4F33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176892</xdr:colOff>
      <xdr:row>23</xdr:row>
      <xdr:rowOff>0</xdr:rowOff>
    </xdr:from>
    <xdr:to>
      <xdr:col>68</xdr:col>
      <xdr:colOff>148317</xdr:colOff>
      <xdr:row>37</xdr:row>
      <xdr:rowOff>76200</xdr:rowOff>
    </xdr:to>
    <xdr:graphicFrame macro="">
      <xdr:nvGraphicFramePr>
        <xdr:cNvPr id="5" name="Chart 4">
          <a:extLst>
            <a:ext uri="{FF2B5EF4-FFF2-40B4-BE49-F238E27FC236}">
              <a16:creationId xmlns:a16="http://schemas.microsoft.com/office/drawing/2014/main" id="{CDE4BEB3-0914-41BD-A1C2-A23ED5A9A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176892</xdr:colOff>
      <xdr:row>39</xdr:row>
      <xdr:rowOff>0</xdr:rowOff>
    </xdr:from>
    <xdr:to>
      <xdr:col>34</xdr:col>
      <xdr:colOff>148317</xdr:colOff>
      <xdr:row>53</xdr:row>
      <xdr:rowOff>28575</xdr:rowOff>
    </xdr:to>
    <xdr:graphicFrame macro="">
      <xdr:nvGraphicFramePr>
        <xdr:cNvPr id="6" name="Chart 5">
          <a:extLst>
            <a:ext uri="{FF2B5EF4-FFF2-40B4-BE49-F238E27FC236}">
              <a16:creationId xmlns:a16="http://schemas.microsoft.com/office/drawing/2014/main" id="{E5215BE8-65F5-4AB9-9E59-2AE34D37D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176892</xdr:colOff>
      <xdr:row>38</xdr:row>
      <xdr:rowOff>238124</xdr:rowOff>
    </xdr:from>
    <xdr:to>
      <xdr:col>68</xdr:col>
      <xdr:colOff>148317</xdr:colOff>
      <xdr:row>53</xdr:row>
      <xdr:rowOff>28574</xdr:rowOff>
    </xdr:to>
    <xdr:graphicFrame macro="">
      <xdr:nvGraphicFramePr>
        <xdr:cNvPr id="7" name="Chart 6">
          <a:extLst>
            <a:ext uri="{FF2B5EF4-FFF2-40B4-BE49-F238E27FC236}">
              <a16:creationId xmlns:a16="http://schemas.microsoft.com/office/drawing/2014/main" id="{AB353C62-211E-4047-B2BB-675F2FCFC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0.78843</cdr:x>
      <cdr:y>0.06944</cdr:y>
    </cdr:from>
    <cdr:to>
      <cdr:x>0.94368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42404"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24.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0.82377</cdr:x>
      <cdr:y>0.61891</cdr:y>
    </cdr:from>
    <cdr:to>
      <cdr:x>0.97902</cdr:x>
      <cdr:y>0.75779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96146" y="1697794"/>
          <a:ext cx="922744" cy="380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0.48468</cdr:y>
    </cdr:from>
    <cdr:to>
      <cdr:x>0.99056</cdr:x>
      <cdr:y>0.62357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33500"/>
          <a:ext cx="996198" cy="382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0.4547</cdr:x>
      <cdr:y>0.01217</cdr:y>
    </cdr:from>
    <cdr:to>
      <cdr:x>0.82636</cdr:x>
      <cdr:y>0.12655</cdr:y>
    </cdr:to>
    <cdr:sp macro="" textlink="Rates_Large!$BX$33">
      <cdr:nvSpPr>
        <cdr:cNvPr id="2" name="TextBox 1">
          <a:extLst xmlns:a="http://schemas.openxmlformats.org/drawingml/2006/main">
            <a:ext uri="{FF2B5EF4-FFF2-40B4-BE49-F238E27FC236}">
              <a16:creationId xmlns:a16="http://schemas.microsoft.com/office/drawing/2014/main" id="{5225785D-4A5A-4407-9CA9-49DF80D3A264}"/>
            </a:ext>
          </a:extLst>
        </cdr:cNvPr>
        <cdr:cNvSpPr txBox="1"/>
      </cdr:nvSpPr>
      <cdr:spPr>
        <a:xfrm xmlns:a="http://schemas.openxmlformats.org/drawingml/2006/main">
          <a:off x="2677358" y="33307"/>
          <a:ext cx="2188383" cy="313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0B52145-849C-46E2-9738-6BE5B1796B7E}" type="TxLink">
            <a:rPr lang="en-US" sz="1100" b="0" i="1" u="none" strike="noStrike">
              <a:solidFill>
                <a:sysClr val="windowText" lastClr="000000"/>
              </a:solidFill>
              <a:latin typeface="Calibri"/>
              <a:cs typeface="Calibri"/>
            </a:rPr>
            <a:pPr/>
            <a:t>Levelized net change 3.6%</a:t>
          </a:fld>
          <a:endParaRPr lang="en-US" sz="1100" b="0" i="1">
            <a:solidFill>
              <a:sysClr val="windowText" lastClr="000000"/>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a:t>
          </a:r>
          <a:r>
            <a:rPr lang="en-US" sz="1100" b="1" baseline="0">
              <a:solidFill>
                <a:schemeClr val="accent5"/>
              </a:solidFill>
            </a:rPr>
            <a:t> of Gas</a:t>
          </a:r>
          <a:endParaRPr lang="en-US" sz="1100" b="1">
            <a:solidFill>
              <a:schemeClr val="accent5"/>
            </a:solidFill>
          </a:endParaRPr>
        </a:p>
      </cdr:txBody>
    </cdr:sp>
  </cdr:relSizeAnchor>
  <cdr:relSizeAnchor xmlns:cdr="http://schemas.openxmlformats.org/drawingml/2006/chartDrawing">
    <cdr:from>
      <cdr:x>0.79033</cdr:x>
      <cdr:y>0.06944</cdr:y>
    </cdr:from>
    <cdr:to>
      <cdr:x>0.94558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53596" y="190488"/>
          <a:ext cx="914132" cy="26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26.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0.625</cdr:y>
    </cdr:from>
    <cdr:to>
      <cdr:x>0.97724</cdr:x>
      <cdr:y>0.76389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14497"/>
          <a:ext cx="917486"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0.49769</cdr:y>
    </cdr:from>
    <cdr:to>
      <cdr:x>0.99056</cdr:x>
      <cdr:y>0.63658</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65250"/>
          <a:ext cx="996203"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0.45851</cdr:x>
      <cdr:y>0.00818</cdr:y>
    </cdr:from>
    <cdr:to>
      <cdr:x>0.83207</cdr:x>
      <cdr:y>0.10621</cdr:y>
    </cdr:to>
    <cdr:sp macro="" textlink="Rates_Large!$BX$53">
      <cdr:nvSpPr>
        <cdr:cNvPr id="2" name="TextBox 1">
          <a:extLst xmlns:a="http://schemas.openxmlformats.org/drawingml/2006/main">
            <a:ext uri="{FF2B5EF4-FFF2-40B4-BE49-F238E27FC236}">
              <a16:creationId xmlns:a16="http://schemas.microsoft.com/office/drawing/2014/main" id="{2BA69B7B-8022-4531-9492-3D5A017003F3}"/>
            </a:ext>
          </a:extLst>
        </cdr:cNvPr>
        <cdr:cNvSpPr txBox="1"/>
      </cdr:nvSpPr>
      <cdr:spPr>
        <a:xfrm xmlns:a="http://schemas.openxmlformats.org/drawingml/2006/main">
          <a:off x="2699789" y="22426"/>
          <a:ext cx="2199570" cy="2689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75EAAD-63B2-48E0-B88F-53D40960DB63}" type="TxLink">
            <a:rPr lang="en-US" sz="1100" b="0" i="1" u="none" strike="noStrike">
              <a:solidFill>
                <a:sysClr val="windowText" lastClr="000000"/>
              </a:solidFill>
              <a:latin typeface="Calibri"/>
              <a:cs typeface="Calibri"/>
            </a:rPr>
            <a:pPr/>
            <a:t>Levelized net change 4.3%</a:t>
          </a:fld>
          <a:endParaRPr lang="en-US" sz="1100">
            <a:solidFill>
              <a:sysClr val="windowText" lastClr="000000"/>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0.79604</cdr:x>
      <cdr:y>0.06944</cdr:y>
    </cdr:from>
    <cdr:to>
      <cdr:x>0.95129</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87213"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28.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0.64305</cdr:y>
    </cdr:from>
    <cdr:to>
      <cdr:x>0.97724</cdr:x>
      <cdr:y>0.78194</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67417"/>
          <a:ext cx="917486"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0.53138</cdr:y>
    </cdr:from>
    <cdr:to>
      <cdr:x>0.99056</cdr:x>
      <cdr:y>0.67027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460500"/>
          <a:ext cx="996203"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0.45661</cdr:x>
      <cdr:y>0.01631</cdr:y>
    </cdr:from>
    <cdr:to>
      <cdr:x>0.83207</cdr:x>
      <cdr:y>0.15126</cdr:y>
    </cdr:to>
    <cdr:sp macro="" textlink="Rates_Large!$BX$67">
      <cdr:nvSpPr>
        <cdr:cNvPr id="2" name="TextBox 1">
          <a:extLst xmlns:a="http://schemas.openxmlformats.org/drawingml/2006/main">
            <a:ext uri="{FF2B5EF4-FFF2-40B4-BE49-F238E27FC236}">
              <a16:creationId xmlns:a16="http://schemas.microsoft.com/office/drawing/2014/main" id="{CCD2ABDE-5A6B-4C9B-9D48-78990A6F0F5F}"/>
            </a:ext>
          </a:extLst>
        </cdr:cNvPr>
        <cdr:cNvSpPr txBox="1"/>
      </cdr:nvSpPr>
      <cdr:spPr>
        <a:xfrm xmlns:a="http://schemas.openxmlformats.org/drawingml/2006/main">
          <a:off x="2688598" y="44650"/>
          <a:ext cx="2210758" cy="3694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EB3964-2574-48BD-A867-21415A6D1E93}" type="TxLink">
            <a:rPr lang="en-US" sz="1100" b="0" i="1" u="none" strike="noStrike">
              <a:solidFill>
                <a:sysClr val="windowText" lastClr="000000"/>
              </a:solidFill>
              <a:latin typeface="Calibri"/>
              <a:cs typeface="Calibri"/>
            </a:rPr>
            <a:pPr/>
            <a:t>Levelized net change 0.7%</a:t>
          </a:fld>
          <a:endParaRPr lang="en-US" sz="1100">
            <a:solidFill>
              <a:sysClr val="windowText" lastClr="000000"/>
            </a:solidFil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0</xdr:colOff>
      <xdr:row>7</xdr:row>
      <xdr:rowOff>0</xdr:rowOff>
    </xdr:from>
    <xdr:to>
      <xdr:col>34</xdr:col>
      <xdr:colOff>160468</xdr:colOff>
      <xdr:row>21</xdr:row>
      <xdr:rowOff>31376</xdr:rowOff>
    </xdr:to>
    <xdr:graphicFrame macro="">
      <xdr:nvGraphicFramePr>
        <xdr:cNvPr id="18" name="Chart 17">
          <a:extLst>
            <a:ext uri="{FF2B5EF4-FFF2-40B4-BE49-F238E27FC236}">
              <a16:creationId xmlns:a16="http://schemas.microsoft.com/office/drawing/2014/main" id="{9F616DB3-35C0-4998-B90F-C7B52CC24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7</xdr:row>
      <xdr:rowOff>0</xdr:rowOff>
    </xdr:from>
    <xdr:to>
      <xdr:col>68</xdr:col>
      <xdr:colOff>160468</xdr:colOff>
      <xdr:row>20</xdr:row>
      <xdr:rowOff>177053</xdr:rowOff>
    </xdr:to>
    <xdr:graphicFrame macro="">
      <xdr:nvGraphicFramePr>
        <xdr:cNvPr id="19" name="Chart 18">
          <a:extLst>
            <a:ext uri="{FF2B5EF4-FFF2-40B4-BE49-F238E27FC236}">
              <a16:creationId xmlns:a16="http://schemas.microsoft.com/office/drawing/2014/main" id="{3360843B-94EC-43CC-AB16-62590F4F0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7</xdr:row>
      <xdr:rowOff>0</xdr:rowOff>
    </xdr:from>
    <xdr:to>
      <xdr:col>102</xdr:col>
      <xdr:colOff>160468</xdr:colOff>
      <xdr:row>21</xdr:row>
      <xdr:rowOff>31376</xdr:rowOff>
    </xdr:to>
    <xdr:graphicFrame macro="">
      <xdr:nvGraphicFramePr>
        <xdr:cNvPr id="20" name="Chart 19">
          <a:extLst>
            <a:ext uri="{FF2B5EF4-FFF2-40B4-BE49-F238E27FC236}">
              <a16:creationId xmlns:a16="http://schemas.microsoft.com/office/drawing/2014/main" id="{A491947B-EC88-48B0-BED0-CDC5B8097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0</xdr:rowOff>
    </xdr:from>
    <xdr:to>
      <xdr:col>34</xdr:col>
      <xdr:colOff>160468</xdr:colOff>
      <xdr:row>37</xdr:row>
      <xdr:rowOff>31376</xdr:rowOff>
    </xdr:to>
    <xdr:graphicFrame macro="">
      <xdr:nvGraphicFramePr>
        <xdr:cNvPr id="21" name="Chart 20">
          <a:extLst>
            <a:ext uri="{FF2B5EF4-FFF2-40B4-BE49-F238E27FC236}">
              <a16:creationId xmlns:a16="http://schemas.microsoft.com/office/drawing/2014/main" id="{5937ED71-E606-4EEC-8ACB-5ED85C7E9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23</xdr:row>
      <xdr:rowOff>0</xdr:rowOff>
    </xdr:from>
    <xdr:to>
      <xdr:col>68</xdr:col>
      <xdr:colOff>160468</xdr:colOff>
      <xdr:row>36</xdr:row>
      <xdr:rowOff>177053</xdr:rowOff>
    </xdr:to>
    <xdr:graphicFrame macro="">
      <xdr:nvGraphicFramePr>
        <xdr:cNvPr id="22" name="Chart 21">
          <a:extLst>
            <a:ext uri="{FF2B5EF4-FFF2-40B4-BE49-F238E27FC236}">
              <a16:creationId xmlns:a16="http://schemas.microsoft.com/office/drawing/2014/main" id="{92076C2D-7483-4E90-8108-CFB3D7DBF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70</xdr:col>
      <xdr:colOff>0</xdr:colOff>
      <xdr:row>23</xdr:row>
      <xdr:rowOff>0</xdr:rowOff>
    </xdr:from>
    <xdr:to>
      <xdr:col>102</xdr:col>
      <xdr:colOff>160468</xdr:colOff>
      <xdr:row>37</xdr:row>
      <xdr:rowOff>31376</xdr:rowOff>
    </xdr:to>
    <xdr:graphicFrame macro="">
      <xdr:nvGraphicFramePr>
        <xdr:cNvPr id="23" name="Chart 22">
          <a:extLst>
            <a:ext uri="{FF2B5EF4-FFF2-40B4-BE49-F238E27FC236}">
              <a16:creationId xmlns:a16="http://schemas.microsoft.com/office/drawing/2014/main" id="{B5AD96E1-1021-4234-BD98-841D07C152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39</xdr:row>
      <xdr:rowOff>0</xdr:rowOff>
    </xdr:from>
    <xdr:to>
      <xdr:col>34</xdr:col>
      <xdr:colOff>160468</xdr:colOff>
      <xdr:row>52</xdr:row>
      <xdr:rowOff>167447</xdr:rowOff>
    </xdr:to>
    <xdr:graphicFrame macro="">
      <xdr:nvGraphicFramePr>
        <xdr:cNvPr id="24" name="Chart 23">
          <a:extLst>
            <a:ext uri="{FF2B5EF4-FFF2-40B4-BE49-F238E27FC236}">
              <a16:creationId xmlns:a16="http://schemas.microsoft.com/office/drawing/2014/main" id="{2D053A73-090B-45BF-84D9-7B529FCE6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0</xdr:colOff>
      <xdr:row>39</xdr:row>
      <xdr:rowOff>0</xdr:rowOff>
    </xdr:from>
    <xdr:to>
      <xdr:col>68</xdr:col>
      <xdr:colOff>160468</xdr:colOff>
      <xdr:row>52</xdr:row>
      <xdr:rowOff>122624</xdr:rowOff>
    </xdr:to>
    <xdr:graphicFrame macro="">
      <xdr:nvGraphicFramePr>
        <xdr:cNvPr id="25" name="Chart 24">
          <a:extLst>
            <a:ext uri="{FF2B5EF4-FFF2-40B4-BE49-F238E27FC236}">
              <a16:creationId xmlns:a16="http://schemas.microsoft.com/office/drawing/2014/main" id="{A2EBD180-F65C-43A3-9A2F-652FBD508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0.82377</cdr:x>
      <cdr:y>0.61891</cdr:y>
    </cdr:from>
    <cdr:to>
      <cdr:x>0.97902</cdr:x>
      <cdr:y>0.75779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96146" y="1697794"/>
          <a:ext cx="922744" cy="3809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0.48468</cdr:y>
    </cdr:from>
    <cdr:to>
      <cdr:x>0.99056</cdr:x>
      <cdr:y>0.62357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33500"/>
          <a:ext cx="996198" cy="382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0.4547</cdr:x>
      <cdr:y>0.01217</cdr:y>
    </cdr:from>
    <cdr:to>
      <cdr:x>0.82636</cdr:x>
      <cdr:y>0.12655</cdr:y>
    </cdr:to>
    <cdr:sp macro="" textlink="Rates_Res!$BX$33">
      <cdr:nvSpPr>
        <cdr:cNvPr id="2" name="TextBox 1">
          <a:extLst xmlns:a="http://schemas.openxmlformats.org/drawingml/2006/main">
            <a:ext uri="{FF2B5EF4-FFF2-40B4-BE49-F238E27FC236}">
              <a16:creationId xmlns:a16="http://schemas.microsoft.com/office/drawing/2014/main" id="{5225785D-4A5A-4407-9CA9-49DF80D3A264}"/>
            </a:ext>
          </a:extLst>
        </cdr:cNvPr>
        <cdr:cNvSpPr txBox="1"/>
      </cdr:nvSpPr>
      <cdr:spPr>
        <a:xfrm xmlns:a="http://schemas.openxmlformats.org/drawingml/2006/main">
          <a:off x="2677358" y="33307"/>
          <a:ext cx="2188383" cy="313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0B52145-849C-46E2-9738-6BE5B1796B7E}" type="TxLink">
            <a:rPr lang="en-US" sz="1100" b="0" i="1" u="none" strike="noStrike">
              <a:solidFill>
                <a:sysClr val="windowText" lastClr="000000"/>
              </a:solidFill>
              <a:latin typeface="Calibri"/>
              <a:cs typeface="Calibri"/>
            </a:rPr>
            <a:pPr/>
            <a:t>Levelized net change 1.0%</a:t>
          </a:fld>
          <a:endParaRPr lang="en-US" sz="1100" b="0" i="1">
            <a:solidFill>
              <a:sysClr val="windowText" lastClr="000000"/>
            </a:solidFil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Res!$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Res!$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Res!$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Res!$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Res!$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Res!$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Res!$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Res!$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Res!$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Res!$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Res!$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Res!$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Res!$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Res!$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0.21997</cdr:x>
      <cdr:y>0.84373</cdr:y>
    </cdr:from>
    <cdr:to>
      <cdr:x>0.43279</cdr:x>
      <cdr:y>1</cdr:y>
    </cdr:to>
    <cdr:sp macro="" textlink="Bills_Res!$DE$57">
      <cdr:nvSpPr>
        <cdr:cNvPr id="2" name="TextBox 1">
          <a:extLst xmlns:a="http://schemas.openxmlformats.org/drawingml/2006/main">
            <a:ext uri="{FF2B5EF4-FFF2-40B4-BE49-F238E27FC236}">
              <a16:creationId xmlns:a16="http://schemas.microsoft.com/office/drawing/2014/main" id="{2F4A58C1-D4CB-4912-B7B2-0CF3C7124752}"/>
            </a:ext>
          </a:extLst>
        </cdr:cNvPr>
        <cdr:cNvSpPr txBox="1"/>
      </cdr:nvSpPr>
      <cdr:spPr>
        <a:xfrm xmlns:a="http://schemas.openxmlformats.org/drawingml/2006/main">
          <a:off x="1301749" y="2275417"/>
          <a:ext cx="1259417" cy="4214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959D05C-EA79-4EB7-9BDE-70C711819FE2}" type="TxLink">
            <a:rPr lang="en-US" sz="1000" b="0" i="1" u="none" strike="noStrike">
              <a:solidFill>
                <a:srgbClr val="A6A6A6"/>
              </a:solidFill>
              <a:latin typeface="Calibri"/>
              <a:cs typeface="Calibri"/>
            </a:rPr>
            <a:pPr/>
            <a:t>A non-participant will see a 0.2% increase in long-term average bills 
from the Alternative EE scenario relative to the Proposed EE scenario.</a:t>
          </a:fld>
          <a:endParaRPr lang="en-US" sz="1000" i="1"/>
        </a:p>
      </cdr:txBody>
    </cdr:sp>
  </cdr:relSizeAnchor>
</c:userShapes>
</file>

<file path=xl/drawings/drawing35.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Res!$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Res!$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Res!$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Res!$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2</xdr:col>
      <xdr:colOff>0</xdr:colOff>
      <xdr:row>7</xdr:row>
      <xdr:rowOff>0</xdr:rowOff>
    </xdr:from>
    <xdr:to>
      <xdr:col>34</xdr:col>
      <xdr:colOff>160468</xdr:colOff>
      <xdr:row>21</xdr:row>
      <xdr:rowOff>31376</xdr:rowOff>
    </xdr:to>
    <xdr:graphicFrame macro="">
      <xdr:nvGraphicFramePr>
        <xdr:cNvPr id="2" name="Chart 1">
          <a:extLst>
            <a:ext uri="{FF2B5EF4-FFF2-40B4-BE49-F238E27FC236}">
              <a16:creationId xmlns:a16="http://schemas.microsoft.com/office/drawing/2014/main" id="{9A6C0179-5907-425B-9135-6A45BA620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7</xdr:row>
      <xdr:rowOff>0</xdr:rowOff>
    </xdr:from>
    <xdr:to>
      <xdr:col>68</xdr:col>
      <xdr:colOff>160468</xdr:colOff>
      <xdr:row>20</xdr:row>
      <xdr:rowOff>177053</xdr:rowOff>
    </xdr:to>
    <xdr:graphicFrame macro="">
      <xdr:nvGraphicFramePr>
        <xdr:cNvPr id="3" name="Chart 2">
          <a:extLst>
            <a:ext uri="{FF2B5EF4-FFF2-40B4-BE49-F238E27FC236}">
              <a16:creationId xmlns:a16="http://schemas.microsoft.com/office/drawing/2014/main" id="{0C64F13A-813A-4BBD-BBA9-C442725538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7</xdr:row>
      <xdr:rowOff>0</xdr:rowOff>
    </xdr:from>
    <xdr:to>
      <xdr:col>102</xdr:col>
      <xdr:colOff>160468</xdr:colOff>
      <xdr:row>21</xdr:row>
      <xdr:rowOff>31376</xdr:rowOff>
    </xdr:to>
    <xdr:graphicFrame macro="">
      <xdr:nvGraphicFramePr>
        <xdr:cNvPr id="4" name="Chart 3">
          <a:extLst>
            <a:ext uri="{FF2B5EF4-FFF2-40B4-BE49-F238E27FC236}">
              <a16:creationId xmlns:a16="http://schemas.microsoft.com/office/drawing/2014/main" id="{D944E109-E213-4C4D-95FC-D8E08CAAC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0</xdr:rowOff>
    </xdr:from>
    <xdr:to>
      <xdr:col>34</xdr:col>
      <xdr:colOff>160468</xdr:colOff>
      <xdr:row>37</xdr:row>
      <xdr:rowOff>31376</xdr:rowOff>
    </xdr:to>
    <xdr:graphicFrame macro="">
      <xdr:nvGraphicFramePr>
        <xdr:cNvPr id="5" name="Chart 4">
          <a:extLst>
            <a:ext uri="{FF2B5EF4-FFF2-40B4-BE49-F238E27FC236}">
              <a16:creationId xmlns:a16="http://schemas.microsoft.com/office/drawing/2014/main" id="{A64CDC52-A99A-419C-8280-F0F612E80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23</xdr:row>
      <xdr:rowOff>0</xdr:rowOff>
    </xdr:from>
    <xdr:to>
      <xdr:col>68</xdr:col>
      <xdr:colOff>160468</xdr:colOff>
      <xdr:row>36</xdr:row>
      <xdr:rowOff>177053</xdr:rowOff>
    </xdr:to>
    <xdr:graphicFrame macro="">
      <xdr:nvGraphicFramePr>
        <xdr:cNvPr id="6" name="Chart 5">
          <a:extLst>
            <a:ext uri="{FF2B5EF4-FFF2-40B4-BE49-F238E27FC236}">
              <a16:creationId xmlns:a16="http://schemas.microsoft.com/office/drawing/2014/main" id="{95A77842-47ED-418A-B6C3-75656E081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70</xdr:col>
      <xdr:colOff>0</xdr:colOff>
      <xdr:row>23</xdr:row>
      <xdr:rowOff>0</xdr:rowOff>
    </xdr:from>
    <xdr:to>
      <xdr:col>102</xdr:col>
      <xdr:colOff>160468</xdr:colOff>
      <xdr:row>37</xdr:row>
      <xdr:rowOff>31376</xdr:rowOff>
    </xdr:to>
    <xdr:graphicFrame macro="">
      <xdr:nvGraphicFramePr>
        <xdr:cNvPr id="7" name="Chart 6">
          <a:extLst>
            <a:ext uri="{FF2B5EF4-FFF2-40B4-BE49-F238E27FC236}">
              <a16:creationId xmlns:a16="http://schemas.microsoft.com/office/drawing/2014/main" id="{2CA1608C-5F57-4BFF-84AA-CAA33FF63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39</xdr:row>
      <xdr:rowOff>0</xdr:rowOff>
    </xdr:from>
    <xdr:to>
      <xdr:col>34</xdr:col>
      <xdr:colOff>160468</xdr:colOff>
      <xdr:row>52</xdr:row>
      <xdr:rowOff>167447</xdr:rowOff>
    </xdr:to>
    <xdr:graphicFrame macro="">
      <xdr:nvGraphicFramePr>
        <xdr:cNvPr id="8" name="Chart 7">
          <a:extLst>
            <a:ext uri="{FF2B5EF4-FFF2-40B4-BE49-F238E27FC236}">
              <a16:creationId xmlns:a16="http://schemas.microsoft.com/office/drawing/2014/main" id="{EECFA064-6793-4DDE-B568-D0B773BA1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0</xdr:colOff>
      <xdr:row>39</xdr:row>
      <xdr:rowOff>0</xdr:rowOff>
    </xdr:from>
    <xdr:to>
      <xdr:col>68</xdr:col>
      <xdr:colOff>160468</xdr:colOff>
      <xdr:row>52</xdr:row>
      <xdr:rowOff>122624</xdr:rowOff>
    </xdr:to>
    <xdr:graphicFrame macro="">
      <xdr:nvGraphicFramePr>
        <xdr:cNvPr id="9" name="Chart 8">
          <a:extLst>
            <a:ext uri="{FF2B5EF4-FFF2-40B4-BE49-F238E27FC236}">
              <a16:creationId xmlns:a16="http://schemas.microsoft.com/office/drawing/2014/main" id="{4A76199F-4301-4C7A-B516-3DECF4A7E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I!$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I!$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I!$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I!$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LI!$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LI!$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LI!$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I!$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I!$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I!$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I!$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a:t>
          </a:r>
          <a:r>
            <a:rPr lang="en-US" sz="1100" b="1" baseline="0">
              <a:solidFill>
                <a:schemeClr val="accent5"/>
              </a:solidFill>
            </a:rPr>
            <a:t> of Gas</a:t>
          </a:r>
          <a:endParaRPr lang="en-US" sz="1100" b="1">
            <a:solidFill>
              <a:schemeClr val="accent5"/>
            </a:solidFill>
          </a:endParaRPr>
        </a:p>
      </cdr:txBody>
    </cdr:sp>
  </cdr:relSizeAnchor>
  <cdr:relSizeAnchor xmlns:cdr="http://schemas.openxmlformats.org/drawingml/2006/chartDrawing">
    <cdr:from>
      <cdr:x>0.79033</cdr:x>
      <cdr:y>0.06944</cdr:y>
    </cdr:from>
    <cdr:to>
      <cdr:x>0.94558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53596" y="190488"/>
          <a:ext cx="914132" cy="2667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40.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LI!$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LI!$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LI!$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0.21997</cdr:x>
      <cdr:y>0.84373</cdr:y>
    </cdr:from>
    <cdr:to>
      <cdr:x>0.43279</cdr:x>
      <cdr:y>1</cdr:y>
    </cdr:to>
    <cdr:sp macro="" textlink="Bills_LI!$DE$57">
      <cdr:nvSpPr>
        <cdr:cNvPr id="2" name="TextBox 1">
          <a:extLst xmlns:a="http://schemas.openxmlformats.org/drawingml/2006/main">
            <a:ext uri="{FF2B5EF4-FFF2-40B4-BE49-F238E27FC236}">
              <a16:creationId xmlns:a16="http://schemas.microsoft.com/office/drawing/2014/main" id="{2F4A58C1-D4CB-4912-B7B2-0CF3C7124752}"/>
            </a:ext>
          </a:extLst>
        </cdr:cNvPr>
        <cdr:cNvSpPr txBox="1"/>
      </cdr:nvSpPr>
      <cdr:spPr>
        <a:xfrm xmlns:a="http://schemas.openxmlformats.org/drawingml/2006/main">
          <a:off x="1301749" y="2275417"/>
          <a:ext cx="1259417" cy="4214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959D05C-EA79-4EB7-9BDE-70C711819FE2}" type="TxLink">
            <a:rPr lang="en-US" sz="1000" b="0" i="1" u="none" strike="noStrike">
              <a:solidFill>
                <a:srgbClr val="A6A6A6"/>
              </a:solidFill>
              <a:latin typeface="Calibri"/>
              <a:cs typeface="Calibri"/>
            </a:rPr>
            <a:pPr/>
            <a:t>A non-participant will see a 0.3% increase in long-term average bills 
from the Alternative EE scenario relative to the Proposed EE scenario.</a:t>
          </a:fld>
          <a:endParaRPr lang="en-US" sz="1000" i="1"/>
        </a:p>
      </cdr:txBody>
    </cdr:sp>
  </cdr:relSizeAnchor>
</c:userShapes>
</file>

<file path=xl/drawings/drawing42.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I!$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I!$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I!$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I!$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2</xdr:col>
      <xdr:colOff>0</xdr:colOff>
      <xdr:row>7</xdr:row>
      <xdr:rowOff>0</xdr:rowOff>
    </xdr:from>
    <xdr:to>
      <xdr:col>34</xdr:col>
      <xdr:colOff>160468</xdr:colOff>
      <xdr:row>21</xdr:row>
      <xdr:rowOff>31376</xdr:rowOff>
    </xdr:to>
    <xdr:graphicFrame macro="">
      <xdr:nvGraphicFramePr>
        <xdr:cNvPr id="2" name="Chart 1">
          <a:extLst>
            <a:ext uri="{FF2B5EF4-FFF2-40B4-BE49-F238E27FC236}">
              <a16:creationId xmlns:a16="http://schemas.microsoft.com/office/drawing/2014/main" id="{910DF248-998B-4D44-A25B-A1E0A1D56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7</xdr:row>
      <xdr:rowOff>0</xdr:rowOff>
    </xdr:from>
    <xdr:to>
      <xdr:col>68</xdr:col>
      <xdr:colOff>160468</xdr:colOff>
      <xdr:row>20</xdr:row>
      <xdr:rowOff>177053</xdr:rowOff>
    </xdr:to>
    <xdr:graphicFrame macro="">
      <xdr:nvGraphicFramePr>
        <xdr:cNvPr id="3" name="Chart 2">
          <a:extLst>
            <a:ext uri="{FF2B5EF4-FFF2-40B4-BE49-F238E27FC236}">
              <a16:creationId xmlns:a16="http://schemas.microsoft.com/office/drawing/2014/main" id="{23333CC2-CF7F-48E2-ABBF-20FFFDFC5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7</xdr:row>
      <xdr:rowOff>0</xdr:rowOff>
    </xdr:from>
    <xdr:to>
      <xdr:col>102</xdr:col>
      <xdr:colOff>160468</xdr:colOff>
      <xdr:row>21</xdr:row>
      <xdr:rowOff>31376</xdr:rowOff>
    </xdr:to>
    <xdr:graphicFrame macro="">
      <xdr:nvGraphicFramePr>
        <xdr:cNvPr id="4" name="Chart 3">
          <a:extLst>
            <a:ext uri="{FF2B5EF4-FFF2-40B4-BE49-F238E27FC236}">
              <a16:creationId xmlns:a16="http://schemas.microsoft.com/office/drawing/2014/main" id="{7AA45C1C-F3E6-4837-B3AF-48795FC80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0</xdr:rowOff>
    </xdr:from>
    <xdr:to>
      <xdr:col>34</xdr:col>
      <xdr:colOff>160468</xdr:colOff>
      <xdr:row>37</xdr:row>
      <xdr:rowOff>31376</xdr:rowOff>
    </xdr:to>
    <xdr:graphicFrame macro="">
      <xdr:nvGraphicFramePr>
        <xdr:cNvPr id="5" name="Chart 4">
          <a:extLst>
            <a:ext uri="{FF2B5EF4-FFF2-40B4-BE49-F238E27FC236}">
              <a16:creationId xmlns:a16="http://schemas.microsoft.com/office/drawing/2014/main" id="{34A03002-5AED-4CE5-9A09-3356172FA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23</xdr:row>
      <xdr:rowOff>0</xdr:rowOff>
    </xdr:from>
    <xdr:to>
      <xdr:col>68</xdr:col>
      <xdr:colOff>160468</xdr:colOff>
      <xdr:row>36</xdr:row>
      <xdr:rowOff>177053</xdr:rowOff>
    </xdr:to>
    <xdr:graphicFrame macro="">
      <xdr:nvGraphicFramePr>
        <xdr:cNvPr id="6" name="Chart 5">
          <a:extLst>
            <a:ext uri="{FF2B5EF4-FFF2-40B4-BE49-F238E27FC236}">
              <a16:creationId xmlns:a16="http://schemas.microsoft.com/office/drawing/2014/main" id="{245A9DB8-CF15-4170-BE73-133C5F198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70</xdr:col>
      <xdr:colOff>0</xdr:colOff>
      <xdr:row>23</xdr:row>
      <xdr:rowOff>0</xdr:rowOff>
    </xdr:from>
    <xdr:to>
      <xdr:col>102</xdr:col>
      <xdr:colOff>160468</xdr:colOff>
      <xdr:row>37</xdr:row>
      <xdr:rowOff>31376</xdr:rowOff>
    </xdr:to>
    <xdr:graphicFrame macro="">
      <xdr:nvGraphicFramePr>
        <xdr:cNvPr id="7" name="Chart 6">
          <a:extLst>
            <a:ext uri="{FF2B5EF4-FFF2-40B4-BE49-F238E27FC236}">
              <a16:creationId xmlns:a16="http://schemas.microsoft.com/office/drawing/2014/main" id="{A98AA962-DBDE-4D96-A3B9-06285E44F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39</xdr:row>
      <xdr:rowOff>0</xdr:rowOff>
    </xdr:from>
    <xdr:to>
      <xdr:col>34</xdr:col>
      <xdr:colOff>160468</xdr:colOff>
      <xdr:row>52</xdr:row>
      <xdr:rowOff>167447</xdr:rowOff>
    </xdr:to>
    <xdr:graphicFrame macro="">
      <xdr:nvGraphicFramePr>
        <xdr:cNvPr id="8" name="Chart 7">
          <a:extLst>
            <a:ext uri="{FF2B5EF4-FFF2-40B4-BE49-F238E27FC236}">
              <a16:creationId xmlns:a16="http://schemas.microsoft.com/office/drawing/2014/main" id="{6FF7D3CF-7420-4D9E-A14F-201844FF0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0</xdr:colOff>
      <xdr:row>39</xdr:row>
      <xdr:rowOff>0</xdr:rowOff>
    </xdr:from>
    <xdr:to>
      <xdr:col>68</xdr:col>
      <xdr:colOff>160468</xdr:colOff>
      <xdr:row>52</xdr:row>
      <xdr:rowOff>122624</xdr:rowOff>
    </xdr:to>
    <xdr:graphicFrame macro="">
      <xdr:nvGraphicFramePr>
        <xdr:cNvPr id="9" name="Chart 8">
          <a:extLst>
            <a:ext uri="{FF2B5EF4-FFF2-40B4-BE49-F238E27FC236}">
              <a16:creationId xmlns:a16="http://schemas.microsoft.com/office/drawing/2014/main" id="{BC94801C-9B79-4016-9D42-B7BC8CF4B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Small!$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Small!$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Small!$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Small!$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Small!$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Small!$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Small!$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Small!$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Small!$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Small!$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Small!$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Small!$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Small!$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Small!$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0.21997</cdr:x>
      <cdr:y>0.84373</cdr:y>
    </cdr:from>
    <cdr:to>
      <cdr:x>0.43279</cdr:x>
      <cdr:y>1</cdr:y>
    </cdr:to>
    <cdr:sp macro="" textlink="Bills_Small!$DE$57">
      <cdr:nvSpPr>
        <cdr:cNvPr id="2" name="TextBox 1">
          <a:extLst xmlns:a="http://schemas.openxmlformats.org/drawingml/2006/main">
            <a:ext uri="{FF2B5EF4-FFF2-40B4-BE49-F238E27FC236}">
              <a16:creationId xmlns:a16="http://schemas.microsoft.com/office/drawing/2014/main" id="{2F4A58C1-D4CB-4912-B7B2-0CF3C7124752}"/>
            </a:ext>
          </a:extLst>
        </cdr:cNvPr>
        <cdr:cNvSpPr txBox="1"/>
      </cdr:nvSpPr>
      <cdr:spPr>
        <a:xfrm xmlns:a="http://schemas.openxmlformats.org/drawingml/2006/main">
          <a:off x="1301749" y="2275417"/>
          <a:ext cx="1259417" cy="4214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959D05C-EA79-4EB7-9BDE-70C711819FE2}" type="TxLink">
            <a:rPr lang="en-US" sz="1000" b="0" i="1" u="none" strike="noStrike">
              <a:solidFill>
                <a:srgbClr val="A6A6A6"/>
              </a:solidFill>
              <a:latin typeface="Calibri"/>
              <a:cs typeface="Calibri"/>
            </a:rPr>
            <a:pPr/>
            <a:t>A non-participant will see a 0.4% increase in long-term average bills 
from the Alternative EE scenario relative to the Proposed EE scenario.</a:t>
          </a:fld>
          <a:endParaRPr lang="en-US" sz="1000" i="1"/>
        </a:p>
      </cdr:txBody>
    </cdr:sp>
  </cdr:relSizeAnchor>
</c:userShapes>
</file>

<file path=xl/drawings/drawing49.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Small!$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Small!$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Small!$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Small!$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0.625</cdr:y>
    </cdr:from>
    <cdr:to>
      <cdr:x>0.97724</cdr:x>
      <cdr:y>0.76389</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14497"/>
          <a:ext cx="917486"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0.49769</cdr:y>
    </cdr:from>
    <cdr:to>
      <cdr:x>0.99056</cdr:x>
      <cdr:y>0.63658</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365250"/>
          <a:ext cx="996203" cy="3810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0.45851</cdr:x>
      <cdr:y>0.00818</cdr:y>
    </cdr:from>
    <cdr:to>
      <cdr:x>0.83207</cdr:x>
      <cdr:y>0.10621</cdr:y>
    </cdr:to>
    <cdr:sp macro="" textlink="Rates_Res!$BX$53">
      <cdr:nvSpPr>
        <cdr:cNvPr id="2" name="TextBox 1">
          <a:extLst xmlns:a="http://schemas.openxmlformats.org/drawingml/2006/main">
            <a:ext uri="{FF2B5EF4-FFF2-40B4-BE49-F238E27FC236}">
              <a16:creationId xmlns:a16="http://schemas.microsoft.com/office/drawing/2014/main" id="{2BA69B7B-8022-4531-9492-3D5A017003F3}"/>
            </a:ext>
          </a:extLst>
        </cdr:cNvPr>
        <cdr:cNvSpPr txBox="1"/>
      </cdr:nvSpPr>
      <cdr:spPr>
        <a:xfrm xmlns:a="http://schemas.openxmlformats.org/drawingml/2006/main">
          <a:off x="2699789" y="22426"/>
          <a:ext cx="2199570" cy="2689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75EAAD-63B2-48E0-B88F-53D40960DB63}" type="TxLink">
            <a:rPr lang="en-US" sz="1100" b="0" i="1" u="none" strike="noStrike">
              <a:solidFill>
                <a:sysClr val="windowText" lastClr="000000"/>
              </a:solidFill>
              <a:latin typeface="Calibri"/>
              <a:cs typeface="Calibri"/>
            </a:rPr>
            <a:pPr/>
            <a:t>Levelized net change 1.2%</a:t>
          </a:fld>
          <a:endParaRPr lang="en-US" sz="1100">
            <a:solidFill>
              <a:sysClr val="windowText" lastClr="000000"/>
            </a:solidFill>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2</xdr:col>
      <xdr:colOff>0</xdr:colOff>
      <xdr:row>7</xdr:row>
      <xdr:rowOff>0</xdr:rowOff>
    </xdr:from>
    <xdr:to>
      <xdr:col>34</xdr:col>
      <xdr:colOff>160468</xdr:colOff>
      <xdr:row>21</xdr:row>
      <xdr:rowOff>31376</xdr:rowOff>
    </xdr:to>
    <xdr:graphicFrame macro="">
      <xdr:nvGraphicFramePr>
        <xdr:cNvPr id="2" name="Chart 1">
          <a:extLst>
            <a:ext uri="{FF2B5EF4-FFF2-40B4-BE49-F238E27FC236}">
              <a16:creationId xmlns:a16="http://schemas.microsoft.com/office/drawing/2014/main" id="{3F229151-B812-497E-A027-95EA21D48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0</xdr:colOff>
      <xdr:row>7</xdr:row>
      <xdr:rowOff>0</xdr:rowOff>
    </xdr:from>
    <xdr:to>
      <xdr:col>68</xdr:col>
      <xdr:colOff>160468</xdr:colOff>
      <xdr:row>20</xdr:row>
      <xdr:rowOff>177053</xdr:rowOff>
    </xdr:to>
    <xdr:graphicFrame macro="">
      <xdr:nvGraphicFramePr>
        <xdr:cNvPr id="3" name="Chart 2">
          <a:extLst>
            <a:ext uri="{FF2B5EF4-FFF2-40B4-BE49-F238E27FC236}">
              <a16:creationId xmlns:a16="http://schemas.microsoft.com/office/drawing/2014/main" id="{A753F996-F7DF-4C36-A9E2-D65B6D156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70</xdr:col>
      <xdr:colOff>0</xdr:colOff>
      <xdr:row>7</xdr:row>
      <xdr:rowOff>0</xdr:rowOff>
    </xdr:from>
    <xdr:to>
      <xdr:col>102</xdr:col>
      <xdr:colOff>160468</xdr:colOff>
      <xdr:row>21</xdr:row>
      <xdr:rowOff>31376</xdr:rowOff>
    </xdr:to>
    <xdr:graphicFrame macro="">
      <xdr:nvGraphicFramePr>
        <xdr:cNvPr id="4" name="Chart 3">
          <a:extLst>
            <a:ext uri="{FF2B5EF4-FFF2-40B4-BE49-F238E27FC236}">
              <a16:creationId xmlns:a16="http://schemas.microsoft.com/office/drawing/2014/main" id="{DBC5400C-F6CA-4EB5-8766-99728AA08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23</xdr:row>
      <xdr:rowOff>0</xdr:rowOff>
    </xdr:from>
    <xdr:to>
      <xdr:col>34</xdr:col>
      <xdr:colOff>160468</xdr:colOff>
      <xdr:row>37</xdr:row>
      <xdr:rowOff>31376</xdr:rowOff>
    </xdr:to>
    <xdr:graphicFrame macro="">
      <xdr:nvGraphicFramePr>
        <xdr:cNvPr id="5" name="Chart 4">
          <a:extLst>
            <a:ext uri="{FF2B5EF4-FFF2-40B4-BE49-F238E27FC236}">
              <a16:creationId xmlns:a16="http://schemas.microsoft.com/office/drawing/2014/main" id="{E51E1796-A5F8-4A78-AA98-71FA03421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23</xdr:row>
      <xdr:rowOff>0</xdr:rowOff>
    </xdr:from>
    <xdr:to>
      <xdr:col>68</xdr:col>
      <xdr:colOff>160468</xdr:colOff>
      <xdr:row>36</xdr:row>
      <xdr:rowOff>177053</xdr:rowOff>
    </xdr:to>
    <xdr:graphicFrame macro="">
      <xdr:nvGraphicFramePr>
        <xdr:cNvPr id="6" name="Chart 5">
          <a:extLst>
            <a:ext uri="{FF2B5EF4-FFF2-40B4-BE49-F238E27FC236}">
              <a16:creationId xmlns:a16="http://schemas.microsoft.com/office/drawing/2014/main" id="{E2C90652-38E9-4390-B01E-BD7C09415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70</xdr:col>
      <xdr:colOff>0</xdr:colOff>
      <xdr:row>23</xdr:row>
      <xdr:rowOff>0</xdr:rowOff>
    </xdr:from>
    <xdr:to>
      <xdr:col>102</xdr:col>
      <xdr:colOff>160468</xdr:colOff>
      <xdr:row>37</xdr:row>
      <xdr:rowOff>31376</xdr:rowOff>
    </xdr:to>
    <xdr:graphicFrame macro="">
      <xdr:nvGraphicFramePr>
        <xdr:cNvPr id="7" name="Chart 6">
          <a:extLst>
            <a:ext uri="{FF2B5EF4-FFF2-40B4-BE49-F238E27FC236}">
              <a16:creationId xmlns:a16="http://schemas.microsoft.com/office/drawing/2014/main" id="{5C370377-1547-4ACB-8A10-A3882043C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39</xdr:row>
      <xdr:rowOff>0</xdr:rowOff>
    </xdr:from>
    <xdr:to>
      <xdr:col>34</xdr:col>
      <xdr:colOff>160468</xdr:colOff>
      <xdr:row>52</xdr:row>
      <xdr:rowOff>167447</xdr:rowOff>
    </xdr:to>
    <xdr:graphicFrame macro="">
      <xdr:nvGraphicFramePr>
        <xdr:cNvPr id="8" name="Chart 7">
          <a:extLst>
            <a:ext uri="{FF2B5EF4-FFF2-40B4-BE49-F238E27FC236}">
              <a16:creationId xmlns:a16="http://schemas.microsoft.com/office/drawing/2014/main" id="{A34556C9-E394-4608-958F-3C5618B4B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0</xdr:colOff>
      <xdr:row>39</xdr:row>
      <xdr:rowOff>0</xdr:rowOff>
    </xdr:from>
    <xdr:to>
      <xdr:col>68</xdr:col>
      <xdr:colOff>160468</xdr:colOff>
      <xdr:row>52</xdr:row>
      <xdr:rowOff>122624</xdr:rowOff>
    </xdr:to>
    <xdr:graphicFrame macro="">
      <xdr:nvGraphicFramePr>
        <xdr:cNvPr id="9" name="Chart 8">
          <a:extLst>
            <a:ext uri="{FF2B5EF4-FFF2-40B4-BE49-F238E27FC236}">
              <a16:creationId xmlns:a16="http://schemas.microsoft.com/office/drawing/2014/main" id="{12A28E0A-F7A6-4C21-94D6-95D5A0035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arge!$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arge!$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arge!$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arge!$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Large!$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Large!$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Large!$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arge!$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arge!$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arge!$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arge!$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0.89622</cdr:x>
      <cdr:y>0.0716</cdr:y>
    </cdr:from>
    <cdr:to>
      <cdr:x>1</cdr:x>
      <cdr:y>0.18412</cdr:y>
    </cdr:to>
    <cdr:sp macro="" textlink="Bills_Large!$DG$5">
      <cdr:nvSpPr>
        <cdr:cNvPr id="2" name="TextBox 1">
          <a:extLst xmlns:a="http://schemas.openxmlformats.org/drawingml/2006/main">
            <a:ext uri="{FF2B5EF4-FFF2-40B4-BE49-F238E27FC236}">
              <a16:creationId xmlns:a16="http://schemas.microsoft.com/office/drawing/2014/main" id="{531C3D67-44A7-4B31-AA58-38F21D6C33F5}"/>
            </a:ext>
          </a:extLst>
        </cdr:cNvPr>
        <cdr:cNvSpPr txBox="1"/>
      </cdr:nvSpPr>
      <cdr:spPr>
        <a:xfrm xmlns:a="http://schemas.openxmlformats.org/drawingml/2006/main">
          <a:off x="5334000" y="200025"/>
          <a:ext cx="617668"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B2D8F90-216B-4033-9CD1-8018ADCF5D54}"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0.89622</cdr:x>
      <cdr:y>0.18866</cdr:y>
    </cdr:from>
    <cdr:to>
      <cdr:x>1</cdr:x>
      <cdr:y>0.30118</cdr:y>
    </cdr:to>
    <cdr:sp macro="" textlink="Bills_Large!$DH$5">
      <cdr:nvSpPr>
        <cdr:cNvPr id="3"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527050"/>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9A5396-D57B-46CF-9279-7C78EA4F2A12}"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0.89622</cdr:x>
      <cdr:y>0.308</cdr:y>
    </cdr:from>
    <cdr:to>
      <cdr:x>1</cdr:x>
      <cdr:y>0.42051</cdr:y>
    </cdr:to>
    <cdr:sp macro="" textlink="Bills_Large!$DI$5">
      <cdr:nvSpPr>
        <cdr:cNvPr id="4" name="TextBox 1">
          <a:extLst xmlns:a="http://schemas.openxmlformats.org/drawingml/2006/main">
            <a:ext uri="{FF2B5EF4-FFF2-40B4-BE49-F238E27FC236}">
              <a16:creationId xmlns:a16="http://schemas.microsoft.com/office/drawing/2014/main" id="{3FF34DED-3D48-40CD-A3CF-02E2A845F2A4}"/>
            </a:ext>
          </a:extLst>
        </cdr:cNvPr>
        <cdr:cNvSpPr txBox="1"/>
      </cdr:nvSpPr>
      <cdr:spPr>
        <a:xfrm xmlns:a="http://schemas.openxmlformats.org/drawingml/2006/main">
          <a:off x="5334000" y="860425"/>
          <a:ext cx="617668" cy="3143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273A4AD-C93E-468E-9441-83CE0BDAFA19}"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0.21997</cdr:x>
      <cdr:y>0.84373</cdr:y>
    </cdr:from>
    <cdr:to>
      <cdr:x>0.43279</cdr:x>
      <cdr:y>1</cdr:y>
    </cdr:to>
    <cdr:sp macro="" textlink="Bills_Large!$DE$57">
      <cdr:nvSpPr>
        <cdr:cNvPr id="2" name="TextBox 1">
          <a:extLst xmlns:a="http://schemas.openxmlformats.org/drawingml/2006/main">
            <a:ext uri="{FF2B5EF4-FFF2-40B4-BE49-F238E27FC236}">
              <a16:creationId xmlns:a16="http://schemas.microsoft.com/office/drawing/2014/main" id="{2F4A58C1-D4CB-4912-B7B2-0CF3C7124752}"/>
            </a:ext>
          </a:extLst>
        </cdr:cNvPr>
        <cdr:cNvSpPr txBox="1"/>
      </cdr:nvSpPr>
      <cdr:spPr>
        <a:xfrm xmlns:a="http://schemas.openxmlformats.org/drawingml/2006/main">
          <a:off x="1301749" y="2275417"/>
          <a:ext cx="1259417" cy="4214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959D05C-EA79-4EB7-9BDE-70C711819FE2}" type="TxLink">
            <a:rPr lang="en-US" sz="1000" b="0" i="1" u="none" strike="noStrike">
              <a:solidFill>
                <a:srgbClr val="A6A6A6"/>
              </a:solidFill>
              <a:latin typeface="Calibri"/>
              <a:cs typeface="Calibri"/>
            </a:rPr>
            <a:pPr/>
            <a:t>A non-participant will see a 0.7% increase in long-term average bills 
from the Alternative EE scenario relative to the Proposed EE scenario.</a:t>
          </a:fld>
          <a:endParaRPr lang="en-US" sz="1000" i="1"/>
        </a:p>
      </cdr:txBody>
    </cdr:sp>
  </cdr:relSizeAnchor>
</c:userShapes>
</file>

<file path=xl/drawings/drawing56.xml><?xml version="1.0" encoding="utf-8"?>
<c:userShapes xmlns:c="http://schemas.openxmlformats.org/drawingml/2006/chart">
  <cdr:relSizeAnchor xmlns:cdr="http://schemas.openxmlformats.org/drawingml/2006/chartDrawing">
    <cdr:from>
      <cdr:x>0.89299</cdr:x>
      <cdr:y>0.32489</cdr:y>
    </cdr:from>
    <cdr:to>
      <cdr:x>1</cdr:x>
      <cdr:y>0.44335</cdr:y>
    </cdr:to>
    <cdr:sp macro="" textlink="Bills_Large!$DI$5">
      <cdr:nvSpPr>
        <cdr:cNvPr id="3"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66764" y="891238"/>
          <a:ext cx="631115" cy="3249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25CCC19-A88A-41D7-8A18-C8524EAAEC21}" type="TxLink">
            <a:rPr lang="en-US" sz="1100" b="1" i="0" u="none" strike="noStrike">
              <a:solidFill>
                <a:schemeClr val="accent3"/>
              </a:solidFill>
              <a:latin typeface="Calibri"/>
              <a:cs typeface="Calibri"/>
            </a:rPr>
            <a:pPr/>
            <a:t>2023</a:t>
          </a:fld>
          <a:endParaRPr lang="en-US" sz="1100">
            <a:solidFill>
              <a:schemeClr val="accent3"/>
            </a:solidFill>
          </a:endParaRPr>
        </a:p>
      </cdr:txBody>
    </cdr:sp>
  </cdr:relSizeAnchor>
  <cdr:relSizeAnchor xmlns:cdr="http://schemas.openxmlformats.org/drawingml/2006/chartDrawing">
    <cdr:from>
      <cdr:x>0.89109</cdr:x>
      <cdr:y>0.21052</cdr:y>
    </cdr:from>
    <cdr:to>
      <cdr:x>1</cdr:x>
      <cdr:y>0.32897</cdr:y>
    </cdr:to>
    <cdr:sp macro="" textlink="Bills_Large!$DH$5">
      <cdr:nvSpPr>
        <cdr:cNvPr id="4"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59" y="577485"/>
          <a:ext cx="642321"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C4FC116-19FD-45F4-AF91-A6BB1698180C}" type="TxLink">
            <a:rPr lang="en-US" sz="1100" b="1" i="0" u="none" strike="noStrike">
              <a:solidFill>
                <a:schemeClr val="accent5"/>
              </a:solidFill>
              <a:latin typeface="Calibri"/>
              <a:cs typeface="Calibri"/>
            </a:rPr>
            <a:pPr/>
            <a:t>2022</a:t>
          </a:fld>
          <a:endParaRPr lang="en-US" sz="1100">
            <a:solidFill>
              <a:schemeClr val="accent5"/>
            </a:solidFill>
          </a:endParaRPr>
        </a:p>
      </cdr:txBody>
    </cdr:sp>
  </cdr:relSizeAnchor>
  <cdr:relSizeAnchor xmlns:cdr="http://schemas.openxmlformats.org/drawingml/2006/chartDrawing">
    <cdr:from>
      <cdr:x>0.89109</cdr:x>
      <cdr:y>0.08388</cdr:y>
    </cdr:from>
    <cdr:to>
      <cdr:x>1</cdr:x>
      <cdr:y>0.20234</cdr:y>
    </cdr:to>
    <cdr:sp macro="" textlink="Bills_Large!$DG$5">
      <cdr:nvSpPr>
        <cdr:cNvPr id="5" name="TextBox 1">
          <a:extLst xmlns:a="http://schemas.openxmlformats.org/drawingml/2006/main">
            <a:ext uri="{FF2B5EF4-FFF2-40B4-BE49-F238E27FC236}">
              <a16:creationId xmlns:a16="http://schemas.microsoft.com/office/drawing/2014/main" id="{C653AFDD-F2A7-49C2-AA38-2B2AFF2A391D}"/>
            </a:ext>
          </a:extLst>
        </cdr:cNvPr>
        <cdr:cNvSpPr txBox="1"/>
      </cdr:nvSpPr>
      <cdr:spPr>
        <a:xfrm xmlns:a="http://schemas.openxmlformats.org/drawingml/2006/main">
          <a:off x="5255560" y="230100"/>
          <a:ext cx="642320" cy="3249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852D26-ABFC-462C-977B-1847595CFBCC}" type="TxLink">
            <a:rPr lang="en-US" sz="1100" b="1" i="0" u="none" strike="noStrike">
              <a:solidFill>
                <a:schemeClr val="bg1">
                  <a:lumMod val="50000"/>
                </a:schemeClr>
              </a:solidFill>
              <a:latin typeface="Calibri"/>
              <a:cs typeface="Calibri"/>
            </a:rPr>
            <a:pPr/>
            <a:t>2021</a:t>
          </a:fld>
          <a:endParaRPr lang="en-US" sz="1100">
            <a:solidFill>
              <a:schemeClr val="bg1">
                <a:lumMod val="50000"/>
              </a:schemeClr>
            </a:solidFill>
          </a:endParaRPr>
        </a:p>
      </cdr:txBody>
    </cdr:sp>
  </cdr:relSizeAnchor>
  <cdr:relSizeAnchor xmlns:cdr="http://schemas.openxmlformats.org/drawingml/2006/chartDrawing">
    <cdr:from>
      <cdr:x>0.4883</cdr:x>
      <cdr:y>0.87418</cdr:y>
    </cdr:from>
    <cdr:to>
      <cdr:x>0.97849</cdr:x>
      <cdr:y>0.98366</cdr:y>
    </cdr:to>
    <cdr:sp macro="" textlink="Bills_Large!$DE$58">
      <cdr:nvSpPr>
        <cdr:cNvPr id="6" name="TextBox 5">
          <a:extLst xmlns:a="http://schemas.openxmlformats.org/drawingml/2006/main">
            <a:ext uri="{FF2B5EF4-FFF2-40B4-BE49-F238E27FC236}">
              <a16:creationId xmlns:a16="http://schemas.microsoft.com/office/drawing/2014/main" id="{ECE0DD7E-B0EE-436A-AC8B-2FE7D2AF2F25}"/>
            </a:ext>
          </a:extLst>
        </cdr:cNvPr>
        <cdr:cNvSpPr txBox="1"/>
      </cdr:nvSpPr>
      <cdr:spPr>
        <a:xfrm xmlns:a="http://schemas.openxmlformats.org/drawingml/2006/main">
          <a:off x="2879911" y="2398059"/>
          <a:ext cx="2891117" cy="3003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29F751-2F81-4B52-87AF-5AA72D56E3E0}" type="TxLink">
            <a:rPr lang="en-US" sz="1100" b="0" i="1" u="none" strike="noStrike">
              <a:solidFill>
                <a:schemeClr val="tx1">
                  <a:lumMod val="65000"/>
                  <a:lumOff val="35000"/>
                </a:schemeClr>
              </a:solidFill>
              <a:latin typeface="Calibri"/>
              <a:cs typeface="Calibri"/>
            </a:rPr>
            <a:pPr/>
            <a:t> </a:t>
          </a:fld>
          <a:endParaRPr lang="en-US" sz="1100" i="1">
            <a:solidFill>
              <a:schemeClr val="tx1">
                <a:lumMod val="65000"/>
                <a:lumOff val="3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0.79604</cdr:x>
      <cdr:y>0.06944</cdr:y>
    </cdr:from>
    <cdr:to>
      <cdr:x>0.95129</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87213"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drawings/drawing7.xml><?xml version="1.0" encoding="utf-8"?>
<c:userShapes xmlns:c="http://schemas.openxmlformats.org/drawingml/2006/chart">
  <cdr:relSizeAnchor xmlns:cdr="http://schemas.openxmlformats.org/drawingml/2006/chartDrawing">
    <cdr:from>
      <cdr:x>0.82192</cdr:x>
      <cdr:y>0.17565</cdr:y>
    </cdr:from>
    <cdr:to>
      <cdr:x>0.97577</cdr:x>
      <cdr:y>0.3144</cdr:y>
    </cdr:to>
    <cdr:sp macro="" textlink="">
      <cdr:nvSpPr>
        <cdr:cNvPr id="3" name="TextBox 1">
          <a:extLst xmlns:a="http://schemas.openxmlformats.org/drawingml/2006/main">
            <a:ext uri="{FF2B5EF4-FFF2-40B4-BE49-F238E27FC236}">
              <a16:creationId xmlns:a16="http://schemas.microsoft.com/office/drawing/2014/main" id="{75B400CC-C715-4CC3-949E-DB8A4AF41B03}"/>
            </a:ext>
          </a:extLst>
        </cdr:cNvPr>
        <cdr:cNvSpPr txBox="1"/>
      </cdr:nvSpPr>
      <cdr:spPr>
        <a:xfrm xmlns:a="http://schemas.openxmlformats.org/drawingml/2006/main">
          <a:off x="4840941" y="481853"/>
          <a:ext cx="906147" cy="3806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dr:relSizeAnchor xmlns:cdr="http://schemas.openxmlformats.org/drawingml/2006/chartDrawing">
    <cdr:from>
      <cdr:x>0.82199</cdr:x>
      <cdr:y>0.64305</cdr:y>
    </cdr:from>
    <cdr:to>
      <cdr:x>0.97724</cdr:x>
      <cdr:y>0.78194</cdr:y>
    </cdr:to>
    <cdr:sp macro="" textlink="">
      <cdr:nvSpPr>
        <cdr:cNvPr id="6" name="TextBox 5">
          <a:extLst xmlns:a="http://schemas.openxmlformats.org/drawingml/2006/main">
            <a:ext uri="{FF2B5EF4-FFF2-40B4-BE49-F238E27FC236}">
              <a16:creationId xmlns:a16="http://schemas.microsoft.com/office/drawing/2014/main" id="{0142B08C-6F01-4CD7-8D25-70AD2DBE8267}"/>
            </a:ext>
          </a:extLst>
        </cdr:cNvPr>
        <cdr:cNvSpPr txBox="1"/>
      </cdr:nvSpPr>
      <cdr:spPr>
        <a:xfrm xmlns:a="http://schemas.openxmlformats.org/drawingml/2006/main">
          <a:off x="4857750" y="1767417"/>
          <a:ext cx="917486"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2"/>
              </a:solidFill>
            </a:rPr>
            <a:t>Lost Revenue</a:t>
          </a:r>
        </a:p>
      </cdr:txBody>
    </cdr:sp>
  </cdr:relSizeAnchor>
  <cdr:relSizeAnchor xmlns:cdr="http://schemas.openxmlformats.org/drawingml/2006/chartDrawing">
    <cdr:from>
      <cdr:x>0.82192</cdr:x>
      <cdr:y>0.76389</cdr:y>
    </cdr:from>
    <cdr:to>
      <cdr:x>0.97717</cdr:x>
      <cdr:y>0.90278</cdr:y>
    </cdr:to>
    <cdr:sp macro="" textlink="">
      <cdr:nvSpPr>
        <cdr:cNvPr id="7" name="TextBox 1">
          <a:extLst xmlns:a="http://schemas.openxmlformats.org/drawingml/2006/main">
            <a:ext uri="{FF2B5EF4-FFF2-40B4-BE49-F238E27FC236}">
              <a16:creationId xmlns:a16="http://schemas.microsoft.com/office/drawing/2014/main" id="{C302A990-5E51-41DB-8658-0D384B5FE2A6}"/>
            </a:ext>
          </a:extLst>
        </cdr:cNvPr>
        <cdr:cNvSpPr txBox="1"/>
      </cdr:nvSpPr>
      <cdr:spPr>
        <a:xfrm xmlns:a="http://schemas.openxmlformats.org/drawingml/2006/main">
          <a:off x="4840941" y="2095500"/>
          <a:ext cx="914400"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lumMod val="50000"/>
                </a:schemeClr>
              </a:solidFill>
            </a:rPr>
            <a:t>Avoided Costs</a:t>
          </a:r>
        </a:p>
      </cdr:txBody>
    </cdr:sp>
  </cdr:relSizeAnchor>
  <cdr:relSizeAnchor xmlns:cdr="http://schemas.openxmlformats.org/drawingml/2006/chartDrawing">
    <cdr:from>
      <cdr:x>0.82199</cdr:x>
      <cdr:y>0.53138</cdr:y>
    </cdr:from>
    <cdr:to>
      <cdr:x>0.99056</cdr:x>
      <cdr:y>0.67027</cdr:y>
    </cdr:to>
    <cdr:sp macro="" textlink="">
      <cdr:nvSpPr>
        <cdr:cNvPr id="9" name="TextBox 8">
          <a:extLst xmlns:a="http://schemas.openxmlformats.org/drawingml/2006/main">
            <a:ext uri="{FF2B5EF4-FFF2-40B4-BE49-F238E27FC236}">
              <a16:creationId xmlns:a16="http://schemas.microsoft.com/office/drawing/2014/main" id="{6676FCDB-2D73-458A-8713-9EF2912EA5AE}"/>
            </a:ext>
          </a:extLst>
        </cdr:cNvPr>
        <cdr:cNvSpPr txBox="1"/>
      </cdr:nvSpPr>
      <cdr:spPr>
        <a:xfrm xmlns:a="http://schemas.openxmlformats.org/drawingml/2006/main">
          <a:off x="4857750" y="1460500"/>
          <a:ext cx="996203" cy="3817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ysClr val="windowText" lastClr="000000"/>
              </a:solidFill>
            </a:rPr>
            <a:t>Net change (%)</a:t>
          </a:r>
        </a:p>
      </cdr:txBody>
    </cdr:sp>
  </cdr:relSizeAnchor>
  <cdr:relSizeAnchor xmlns:cdr="http://schemas.openxmlformats.org/drawingml/2006/chartDrawing">
    <cdr:from>
      <cdr:x>0.45661</cdr:x>
      <cdr:y>0.01631</cdr:y>
    </cdr:from>
    <cdr:to>
      <cdr:x>0.83207</cdr:x>
      <cdr:y>0.15126</cdr:y>
    </cdr:to>
    <cdr:sp macro="" textlink="Rates_Res!$BX$67">
      <cdr:nvSpPr>
        <cdr:cNvPr id="2" name="TextBox 1">
          <a:extLst xmlns:a="http://schemas.openxmlformats.org/drawingml/2006/main">
            <a:ext uri="{FF2B5EF4-FFF2-40B4-BE49-F238E27FC236}">
              <a16:creationId xmlns:a16="http://schemas.microsoft.com/office/drawing/2014/main" id="{CCD2ABDE-5A6B-4C9B-9D48-78990A6F0F5F}"/>
            </a:ext>
          </a:extLst>
        </cdr:cNvPr>
        <cdr:cNvSpPr txBox="1"/>
      </cdr:nvSpPr>
      <cdr:spPr>
        <a:xfrm xmlns:a="http://schemas.openxmlformats.org/drawingml/2006/main">
          <a:off x="2688598" y="44650"/>
          <a:ext cx="2210758" cy="36943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EB3964-2574-48BD-A867-21415A6D1E93}" type="TxLink">
            <a:rPr lang="en-US" sz="1100" b="0" i="1" u="none" strike="noStrike">
              <a:solidFill>
                <a:sysClr val="windowText" lastClr="000000"/>
              </a:solidFill>
              <a:latin typeface="Calibri"/>
              <a:cs typeface="Calibri"/>
            </a:rPr>
            <a:pPr/>
            <a:t>Levelized net change 0.2%</a:t>
          </a:fld>
          <a:endParaRPr lang="en-US" sz="1100">
            <a:solidFill>
              <a:sysClr val="windowText" lastClr="000000"/>
            </a:solidFill>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176892</xdr:colOff>
      <xdr:row>7</xdr:row>
      <xdr:rowOff>0</xdr:rowOff>
    </xdr:from>
    <xdr:to>
      <xdr:col>34</xdr:col>
      <xdr:colOff>148317</xdr:colOff>
      <xdr:row>21</xdr:row>
      <xdr:rowOff>28575</xdr:rowOff>
    </xdr:to>
    <xdr:graphicFrame macro="">
      <xdr:nvGraphicFramePr>
        <xdr:cNvPr id="2" name="Chart 1">
          <a:extLst>
            <a:ext uri="{FF2B5EF4-FFF2-40B4-BE49-F238E27FC236}">
              <a16:creationId xmlns:a16="http://schemas.microsoft.com/office/drawing/2014/main" id="{A317D00D-BC1F-4ECE-855B-2E557DB1B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176892</xdr:colOff>
      <xdr:row>6</xdr:row>
      <xdr:rowOff>235401</xdr:rowOff>
    </xdr:from>
    <xdr:to>
      <xdr:col>68</xdr:col>
      <xdr:colOff>148317</xdr:colOff>
      <xdr:row>21</xdr:row>
      <xdr:rowOff>25851</xdr:rowOff>
    </xdr:to>
    <xdr:graphicFrame macro="">
      <xdr:nvGraphicFramePr>
        <xdr:cNvPr id="3" name="Chart 2">
          <a:extLst>
            <a:ext uri="{FF2B5EF4-FFF2-40B4-BE49-F238E27FC236}">
              <a16:creationId xmlns:a16="http://schemas.microsoft.com/office/drawing/2014/main" id="{E6C77CB7-0D60-4291-9C7D-9BFEA21C4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176892</xdr:colOff>
      <xdr:row>23</xdr:row>
      <xdr:rowOff>0</xdr:rowOff>
    </xdr:from>
    <xdr:to>
      <xdr:col>34</xdr:col>
      <xdr:colOff>148317</xdr:colOff>
      <xdr:row>37</xdr:row>
      <xdr:rowOff>76200</xdr:rowOff>
    </xdr:to>
    <xdr:graphicFrame macro="">
      <xdr:nvGraphicFramePr>
        <xdr:cNvPr id="4" name="Chart 3">
          <a:extLst>
            <a:ext uri="{FF2B5EF4-FFF2-40B4-BE49-F238E27FC236}">
              <a16:creationId xmlns:a16="http://schemas.microsoft.com/office/drawing/2014/main" id="{51340EC8-1268-4704-A66C-7BB385671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176892</xdr:colOff>
      <xdr:row>23</xdr:row>
      <xdr:rowOff>0</xdr:rowOff>
    </xdr:from>
    <xdr:to>
      <xdr:col>68</xdr:col>
      <xdr:colOff>148317</xdr:colOff>
      <xdr:row>37</xdr:row>
      <xdr:rowOff>76200</xdr:rowOff>
    </xdr:to>
    <xdr:graphicFrame macro="">
      <xdr:nvGraphicFramePr>
        <xdr:cNvPr id="5" name="Chart 4">
          <a:extLst>
            <a:ext uri="{FF2B5EF4-FFF2-40B4-BE49-F238E27FC236}">
              <a16:creationId xmlns:a16="http://schemas.microsoft.com/office/drawing/2014/main" id="{7C256141-251E-4255-A6DB-9A68E712C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176892</xdr:colOff>
      <xdr:row>39</xdr:row>
      <xdr:rowOff>0</xdr:rowOff>
    </xdr:from>
    <xdr:to>
      <xdr:col>34</xdr:col>
      <xdr:colOff>148317</xdr:colOff>
      <xdr:row>53</xdr:row>
      <xdr:rowOff>28575</xdr:rowOff>
    </xdr:to>
    <xdr:graphicFrame macro="">
      <xdr:nvGraphicFramePr>
        <xdr:cNvPr id="6" name="Chart 5">
          <a:extLst>
            <a:ext uri="{FF2B5EF4-FFF2-40B4-BE49-F238E27FC236}">
              <a16:creationId xmlns:a16="http://schemas.microsoft.com/office/drawing/2014/main" id="{0819BF9B-B3B1-4697-8458-2A02D3243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176892</xdr:colOff>
      <xdr:row>38</xdr:row>
      <xdr:rowOff>238124</xdr:rowOff>
    </xdr:from>
    <xdr:to>
      <xdr:col>68</xdr:col>
      <xdr:colOff>148317</xdr:colOff>
      <xdr:row>53</xdr:row>
      <xdr:rowOff>28574</xdr:rowOff>
    </xdr:to>
    <xdr:graphicFrame macro="">
      <xdr:nvGraphicFramePr>
        <xdr:cNvPr id="7" name="Chart 6">
          <a:extLst>
            <a:ext uri="{FF2B5EF4-FFF2-40B4-BE49-F238E27FC236}">
              <a16:creationId xmlns:a16="http://schemas.microsoft.com/office/drawing/2014/main" id="{573A4211-0284-4A3B-B690-D6CAD3C5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0.79148</cdr:x>
      <cdr:y>0.73611</cdr:y>
    </cdr:from>
    <cdr:to>
      <cdr:x>0.94673</cdr:x>
      <cdr:y>0.83333</cdr:y>
    </cdr:to>
    <cdr:sp macro="" textlink="">
      <cdr:nvSpPr>
        <cdr:cNvPr id="8" name="TextBox 7">
          <a:extLst xmlns:a="http://schemas.openxmlformats.org/drawingml/2006/main">
            <a:ext uri="{FF2B5EF4-FFF2-40B4-BE49-F238E27FC236}">
              <a16:creationId xmlns:a16="http://schemas.microsoft.com/office/drawing/2014/main" id="{195E773A-9B4D-45CA-A694-346F6142B613}"/>
            </a:ext>
          </a:extLst>
        </cdr:cNvPr>
        <cdr:cNvSpPr txBox="1"/>
      </cdr:nvSpPr>
      <cdr:spPr>
        <a:xfrm xmlns:a="http://schemas.openxmlformats.org/drawingml/2006/main">
          <a:off x="4661647" y="2019300"/>
          <a:ext cx="91440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b="1">
              <a:solidFill>
                <a:schemeClr val="accent1"/>
              </a:solidFill>
            </a:rPr>
            <a:t>Customer</a:t>
          </a:r>
        </a:p>
      </cdr:txBody>
    </cdr:sp>
  </cdr:relSizeAnchor>
  <cdr:relSizeAnchor xmlns:cdr="http://schemas.openxmlformats.org/drawingml/2006/chartDrawing">
    <cdr:from>
      <cdr:x>0.78843</cdr:x>
      <cdr:y>0.59722</cdr:y>
    </cdr:from>
    <cdr:to>
      <cdr:x>0.94368</cdr:x>
      <cdr:y>0.69444</cdr:y>
    </cdr:to>
    <cdr:sp macro="" textlink="">
      <cdr:nvSpPr>
        <cdr:cNvPr id="9" name="TextBox 1">
          <a:extLst xmlns:a="http://schemas.openxmlformats.org/drawingml/2006/main">
            <a:ext uri="{FF2B5EF4-FFF2-40B4-BE49-F238E27FC236}">
              <a16:creationId xmlns:a16="http://schemas.microsoft.com/office/drawing/2014/main" id="{F74A512F-6E51-4189-98DD-4E8F8F87CEFD}"/>
            </a:ext>
          </a:extLst>
        </cdr:cNvPr>
        <cdr:cNvSpPr txBox="1"/>
      </cdr:nvSpPr>
      <cdr:spPr>
        <a:xfrm xmlns:a="http://schemas.openxmlformats.org/drawingml/2006/main">
          <a:off x="4643718" y="1638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bg1">
                  <a:lumMod val="50000"/>
                </a:schemeClr>
              </a:solidFill>
            </a:rPr>
            <a:t>Distribution</a:t>
          </a:r>
        </a:p>
      </cdr:txBody>
    </cdr:sp>
  </cdr:relSizeAnchor>
  <cdr:relSizeAnchor xmlns:cdr="http://schemas.openxmlformats.org/drawingml/2006/chartDrawing">
    <cdr:from>
      <cdr:x>0.78843</cdr:x>
      <cdr:y>0.45833</cdr:y>
    </cdr:from>
    <cdr:to>
      <cdr:x>0.94368</cdr:x>
      <cdr:y>0.55556</cdr:y>
    </cdr:to>
    <cdr:sp macro="" textlink="">
      <cdr:nvSpPr>
        <cdr:cNvPr id="10" name="TextBox 1">
          <a:extLst xmlns:a="http://schemas.openxmlformats.org/drawingml/2006/main">
            <a:ext uri="{FF2B5EF4-FFF2-40B4-BE49-F238E27FC236}">
              <a16:creationId xmlns:a16="http://schemas.microsoft.com/office/drawing/2014/main" id="{4986FCEE-23E3-41D9-AA80-1E7D611E1416}"/>
            </a:ext>
          </a:extLst>
        </cdr:cNvPr>
        <cdr:cNvSpPr txBox="1"/>
      </cdr:nvSpPr>
      <cdr:spPr>
        <a:xfrm xmlns:a="http://schemas.openxmlformats.org/drawingml/2006/main">
          <a:off x="4643718" y="1257300"/>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3"/>
              </a:solidFill>
            </a:rPr>
            <a:t>LDAC</a:t>
          </a:r>
        </a:p>
      </cdr:txBody>
    </cdr:sp>
  </cdr:relSizeAnchor>
  <cdr:relSizeAnchor xmlns:cdr="http://schemas.openxmlformats.org/drawingml/2006/chartDrawing">
    <cdr:from>
      <cdr:x>0.79148</cdr:x>
      <cdr:y>0.26552</cdr:y>
    </cdr:from>
    <cdr:to>
      <cdr:x>0.94673</cdr:x>
      <cdr:y>0.36274</cdr:y>
    </cdr:to>
    <cdr:sp macro="" textlink="">
      <cdr:nvSpPr>
        <cdr:cNvPr id="11" name="TextBox 1">
          <a:extLst xmlns:a="http://schemas.openxmlformats.org/drawingml/2006/main">
            <a:ext uri="{FF2B5EF4-FFF2-40B4-BE49-F238E27FC236}">
              <a16:creationId xmlns:a16="http://schemas.microsoft.com/office/drawing/2014/main" id="{517B51E5-4DC1-49CD-9E7D-7D7DEF5B7B6F}"/>
            </a:ext>
          </a:extLst>
        </cdr:cNvPr>
        <cdr:cNvSpPr txBox="1"/>
      </cdr:nvSpPr>
      <cdr:spPr>
        <a:xfrm xmlns:a="http://schemas.openxmlformats.org/drawingml/2006/main">
          <a:off x="4661647" y="728382"/>
          <a:ext cx="9144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5"/>
              </a:solidFill>
            </a:rPr>
            <a:t>Cost of Gas</a:t>
          </a:r>
        </a:p>
      </cdr:txBody>
    </cdr:sp>
  </cdr:relSizeAnchor>
  <cdr:relSizeAnchor xmlns:cdr="http://schemas.openxmlformats.org/drawingml/2006/chartDrawing">
    <cdr:from>
      <cdr:x>0.78843</cdr:x>
      <cdr:y>0.06944</cdr:y>
    </cdr:from>
    <cdr:to>
      <cdr:x>0.94368</cdr:x>
      <cdr:y>0.16667</cdr:y>
    </cdr:to>
    <cdr:sp macro="" textlink="">
      <cdr:nvSpPr>
        <cdr:cNvPr id="12" name="TextBox 1">
          <a:extLst xmlns:a="http://schemas.openxmlformats.org/drawingml/2006/main">
            <a:ext uri="{FF2B5EF4-FFF2-40B4-BE49-F238E27FC236}">
              <a16:creationId xmlns:a16="http://schemas.microsoft.com/office/drawing/2014/main" id="{82572C09-3EDA-4BB1-929A-0C038EE6AB6F}"/>
            </a:ext>
          </a:extLst>
        </cdr:cNvPr>
        <cdr:cNvSpPr txBox="1"/>
      </cdr:nvSpPr>
      <cdr:spPr>
        <a:xfrm xmlns:a="http://schemas.openxmlformats.org/drawingml/2006/main">
          <a:off x="4642404" y="190293"/>
          <a:ext cx="914132" cy="2664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chemeClr val="accent6"/>
              </a:solidFill>
            </a:rPr>
            <a:t>LDAC (EE Only)</a:t>
          </a:r>
        </a:p>
      </cdr:txBody>
    </cdr:sp>
  </cdr:relSizeAnchor>
</c:userShap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29"/>
  <sheetViews>
    <sheetView showGridLines="0" zoomScaleNormal="100" workbookViewId="0"/>
  </sheetViews>
  <sheetFormatPr defaultRowHeight="15" x14ac:dyDescent="0.25"/>
  <cols>
    <col min="1" max="2" width="2.7109375" customWidth="1"/>
    <col min="3" max="3" width="5.85546875" style="423" bestFit="1" customWidth="1"/>
    <col min="4" max="8" width="2.7109375" customWidth="1"/>
  </cols>
  <sheetData>
    <row r="2" spans="2:6" ht="26.25" x14ac:dyDescent="0.25">
      <c r="B2" s="2" t="s">
        <v>361</v>
      </c>
    </row>
    <row r="3" spans="2:6" x14ac:dyDescent="0.25">
      <c r="B3" t="s">
        <v>362</v>
      </c>
    </row>
    <row r="4" spans="2:6" x14ac:dyDescent="0.25">
      <c r="B4" t="s">
        <v>363</v>
      </c>
    </row>
    <row r="6" spans="2:6" ht="15.75" x14ac:dyDescent="0.25">
      <c r="C6" s="676" t="s">
        <v>364</v>
      </c>
    </row>
    <row r="7" spans="2:6" ht="15.75" x14ac:dyDescent="0.25">
      <c r="C7" s="677" t="s">
        <v>365</v>
      </c>
      <c r="D7" s="678" t="s">
        <v>366</v>
      </c>
    </row>
    <row r="8" spans="2:6" x14ac:dyDescent="0.25">
      <c r="C8" s="679"/>
      <c r="E8" t="s">
        <v>367</v>
      </c>
    </row>
    <row r="9" spans="2:6" x14ac:dyDescent="0.25">
      <c r="C9" s="679"/>
      <c r="E9" t="s">
        <v>368</v>
      </c>
    </row>
    <row r="10" spans="2:6" x14ac:dyDescent="0.25">
      <c r="C10" s="679"/>
    </row>
    <row r="11" spans="2:6" ht="15.75" x14ac:dyDescent="0.25">
      <c r="C11" s="677" t="s">
        <v>369</v>
      </c>
      <c r="D11" s="678" t="s">
        <v>370</v>
      </c>
    </row>
    <row r="12" spans="2:6" x14ac:dyDescent="0.25">
      <c r="C12" s="679"/>
      <c r="E12" t="s">
        <v>371</v>
      </c>
    </row>
    <row r="13" spans="2:6" x14ac:dyDescent="0.25">
      <c r="C13" s="679"/>
      <c r="E13" t="s">
        <v>372</v>
      </c>
    </row>
    <row r="14" spans="2:6" x14ac:dyDescent="0.25">
      <c r="C14" s="679"/>
      <c r="F14" t="s">
        <v>373</v>
      </c>
    </row>
    <row r="15" spans="2:6" x14ac:dyDescent="0.25">
      <c r="C15" s="679"/>
      <c r="F15" t="s">
        <v>374</v>
      </c>
    </row>
    <row r="16" spans="2:6" x14ac:dyDescent="0.25">
      <c r="C16" s="679"/>
      <c r="E16" t="s">
        <v>375</v>
      </c>
    </row>
    <row r="17" spans="3:6" x14ac:dyDescent="0.25">
      <c r="C17" s="679"/>
      <c r="E17" t="s">
        <v>376</v>
      </c>
    </row>
    <row r="18" spans="3:6" x14ac:dyDescent="0.25">
      <c r="C18" s="679"/>
    </row>
    <row r="19" spans="3:6" ht="15.75" x14ac:dyDescent="0.25">
      <c r="C19" s="677" t="s">
        <v>377</v>
      </c>
      <c r="D19" s="678" t="s">
        <v>378</v>
      </c>
    </row>
    <row r="20" spans="3:6" x14ac:dyDescent="0.25">
      <c r="C20" s="679"/>
      <c r="E20" t="s">
        <v>379</v>
      </c>
    </row>
    <row r="21" spans="3:6" x14ac:dyDescent="0.25">
      <c r="C21" s="679"/>
      <c r="F21" t="s">
        <v>380</v>
      </c>
    </row>
    <row r="22" spans="3:6" x14ac:dyDescent="0.25">
      <c r="C22" s="679"/>
      <c r="E22" t="s">
        <v>381</v>
      </c>
    </row>
    <row r="23" spans="3:6" x14ac:dyDescent="0.25">
      <c r="C23" s="679"/>
      <c r="E23" t="s">
        <v>382</v>
      </c>
    </row>
    <row r="24" spans="3:6" x14ac:dyDescent="0.25">
      <c r="C24" s="679"/>
    </row>
    <row r="25" spans="3:6" ht="15.75" x14ac:dyDescent="0.25">
      <c r="C25" s="677" t="s">
        <v>383</v>
      </c>
      <c r="D25" s="678" t="s">
        <v>384</v>
      </c>
    </row>
    <row r="26" spans="3:6" x14ac:dyDescent="0.25">
      <c r="C26" s="679"/>
      <c r="E26" t="s">
        <v>385</v>
      </c>
    </row>
    <row r="27" spans="3:6" x14ac:dyDescent="0.25">
      <c r="C27" s="679"/>
    </row>
    <row r="28" spans="3:6" ht="15.75" x14ac:dyDescent="0.25">
      <c r="C28" s="677" t="s">
        <v>386</v>
      </c>
      <c r="D28" s="678" t="s">
        <v>387</v>
      </c>
    </row>
    <row r="29" spans="3:6" x14ac:dyDescent="0.25">
      <c r="E29" t="s">
        <v>388</v>
      </c>
    </row>
  </sheetData>
  <pageMargins left="0.7" right="0.7" top="0.75" bottom="0.75" header="0.3" footer="0.3"/>
  <pageSetup scale="7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A398-BC8F-445D-AD55-4C49732E54CC}">
  <sheetPr>
    <tabColor theme="0" tint="-0.34998626667073579"/>
  </sheetPr>
  <dimension ref="A1:BT348"/>
  <sheetViews>
    <sheetView showGridLines="0" zoomScale="85" zoomScaleNormal="85" workbookViewId="0">
      <pane xSplit="6" ySplit="8" topLeftCell="BI322" activePane="bottomRight" state="frozen"/>
      <selection pane="topRight" activeCell="H1" sqref="H1"/>
      <selection pane="bottomLeft" activeCell="A8" sqref="A8"/>
      <selection pane="bottomRight" activeCell="BP343" sqref="BP343"/>
    </sheetView>
  </sheetViews>
  <sheetFormatPr defaultRowHeight="15" x14ac:dyDescent="0.25"/>
  <cols>
    <col min="1" max="1" width="2.7109375" style="52" customWidth="1"/>
    <col min="2" max="2" width="2.7109375" customWidth="1"/>
    <col min="3" max="3" width="10.5703125" customWidth="1"/>
    <col min="4" max="4" width="14.85546875" style="18" customWidth="1"/>
    <col min="5" max="5" width="38" bestFit="1" customWidth="1"/>
    <col min="6" max="6" width="11.7109375" customWidth="1"/>
    <col min="7" max="7" width="15" bestFit="1" customWidth="1"/>
    <col min="8" max="33" width="15" customWidth="1"/>
    <col min="34" max="34" width="1.7109375" customWidth="1"/>
    <col min="35" max="35" width="15" customWidth="1"/>
    <col min="36" max="36" width="18.140625" customWidth="1"/>
    <col min="37" max="38" width="2.7109375" customWidth="1"/>
    <col min="39" max="40" width="15.7109375" customWidth="1"/>
    <col min="41" max="65" width="15.140625" customWidth="1"/>
    <col min="66" max="66" width="1.7109375" customWidth="1"/>
    <col min="67" max="67" width="15" bestFit="1" customWidth="1"/>
    <col min="68" max="68" width="18.140625" bestFit="1" customWidth="1"/>
    <col min="69" max="70" width="2.7109375" customWidth="1"/>
    <col min="71" max="71" width="133.28515625" bestFit="1" customWidth="1"/>
    <col min="72" max="72" width="2.7109375" customWidth="1"/>
  </cols>
  <sheetData>
    <row r="1" spans="1:72" x14ac:dyDescent="0.25">
      <c r="E1" s="1"/>
      <c r="F1" s="1"/>
      <c r="I1" s="1"/>
      <c r="AO1" s="1"/>
    </row>
    <row r="2" spans="1:72" ht="26.25" x14ac:dyDescent="0.25">
      <c r="B2" s="2" t="s">
        <v>36</v>
      </c>
      <c r="F2" s="234"/>
      <c r="G2" s="410"/>
      <c r="H2" s="421"/>
      <c r="I2" s="421"/>
      <c r="J2" s="410"/>
      <c r="K2" s="410"/>
      <c r="L2" s="410"/>
      <c r="AO2" s="1"/>
    </row>
    <row r="3" spans="1:72" ht="21" x14ac:dyDescent="0.25">
      <c r="B3" s="245" t="str">
        <f>Lookups!$E$6</f>
        <v>Liberty</v>
      </c>
      <c r="F3" s="234"/>
      <c r="G3" s="409"/>
      <c r="H3" s="421"/>
      <c r="I3" s="421"/>
      <c r="J3" s="22"/>
      <c r="K3" s="22"/>
      <c r="AO3" s="1"/>
    </row>
    <row r="4" spans="1:72" ht="15.75" x14ac:dyDescent="0.25">
      <c r="B4" s="87"/>
      <c r="C4" s="640">
        <v>2023</v>
      </c>
      <c r="D4" s="359" t="s">
        <v>73</v>
      </c>
      <c r="G4" s="672"/>
      <c r="H4" s="421"/>
      <c r="I4" s="421"/>
      <c r="J4" s="88"/>
      <c r="K4" s="88"/>
      <c r="L4" s="88"/>
      <c r="AM4" s="50"/>
      <c r="AP4" s="1"/>
      <c r="BS4" s="87"/>
    </row>
    <row r="5" spans="1:72" x14ac:dyDescent="0.25">
      <c r="D5"/>
      <c r="H5" s="421"/>
      <c r="I5" s="421"/>
      <c r="J5" s="212"/>
      <c r="K5" s="212"/>
      <c r="L5" s="212"/>
      <c r="M5" s="212"/>
      <c r="N5" s="212"/>
      <c r="O5" s="212"/>
      <c r="P5" s="212"/>
      <c r="Q5" s="212"/>
      <c r="R5" s="212"/>
      <c r="S5" s="212"/>
      <c r="T5" s="212"/>
      <c r="AO5" s="1"/>
    </row>
    <row r="6" spans="1:72" s="203" customFormat="1" ht="26.25" x14ac:dyDescent="0.4">
      <c r="A6" s="384"/>
      <c r="B6" s="199" t="s">
        <v>172</v>
      </c>
      <c r="C6" s="200"/>
      <c r="D6" s="200"/>
      <c r="E6" s="198"/>
      <c r="F6" s="198"/>
      <c r="G6" s="201" t="str">
        <f>Lookups!$D$23</f>
        <v>Proposed EE</v>
      </c>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2"/>
      <c r="AG6" s="202"/>
      <c r="AH6" s="202"/>
      <c r="AI6" s="202"/>
      <c r="AJ6" s="202"/>
      <c r="AM6" s="204" t="str">
        <f>Lookups!$D$24</f>
        <v>Alternative EE</v>
      </c>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S6" s="199" t="s">
        <v>88</v>
      </c>
    </row>
    <row r="7" spans="1:72" s="28" customFormat="1" x14ac:dyDescent="0.25">
      <c r="A7" s="385"/>
      <c r="B7" s="80"/>
      <c r="C7" s="78"/>
      <c r="D7" s="79"/>
      <c r="E7" s="78"/>
      <c r="F7" s="80"/>
      <c r="G7" s="67">
        <f>Year1</f>
        <v>2021</v>
      </c>
      <c r="H7" s="67">
        <f>G7+1</f>
        <v>2022</v>
      </c>
      <c r="I7" s="67">
        <f t="shared" ref="I7:X8" si="0">H7+1</f>
        <v>2023</v>
      </c>
      <c r="J7" s="67">
        <f t="shared" si="0"/>
        <v>2024</v>
      </c>
      <c r="K7" s="67">
        <f t="shared" si="0"/>
        <v>2025</v>
      </c>
      <c r="L7" s="67">
        <f t="shared" si="0"/>
        <v>2026</v>
      </c>
      <c r="M7" s="67">
        <f t="shared" si="0"/>
        <v>2027</v>
      </c>
      <c r="N7" s="67">
        <f t="shared" si="0"/>
        <v>2028</v>
      </c>
      <c r="O7" s="67">
        <f t="shared" si="0"/>
        <v>2029</v>
      </c>
      <c r="P7" s="67">
        <f t="shared" si="0"/>
        <v>2030</v>
      </c>
      <c r="Q7" s="67">
        <f t="shared" si="0"/>
        <v>2031</v>
      </c>
      <c r="R7" s="67">
        <f t="shared" si="0"/>
        <v>2032</v>
      </c>
      <c r="S7" s="67">
        <f t="shared" si="0"/>
        <v>2033</v>
      </c>
      <c r="T7" s="67">
        <f t="shared" si="0"/>
        <v>2034</v>
      </c>
      <c r="U7" s="67">
        <f t="shared" si="0"/>
        <v>2035</v>
      </c>
      <c r="V7" s="67">
        <f t="shared" si="0"/>
        <v>2036</v>
      </c>
      <c r="W7" s="67">
        <f>V7+1</f>
        <v>2037</v>
      </c>
      <c r="X7" s="67">
        <f t="shared" si="0"/>
        <v>2038</v>
      </c>
      <c r="Y7" s="67">
        <f t="shared" ref="Y7:AE8" si="1">X7+1</f>
        <v>2039</v>
      </c>
      <c r="Z7" s="67">
        <f t="shared" si="1"/>
        <v>2040</v>
      </c>
      <c r="AA7" s="67">
        <f t="shared" si="1"/>
        <v>2041</v>
      </c>
      <c r="AB7" s="67">
        <f t="shared" si="1"/>
        <v>2042</v>
      </c>
      <c r="AC7" s="67">
        <f t="shared" si="1"/>
        <v>2043</v>
      </c>
      <c r="AD7" s="67">
        <f t="shared" si="1"/>
        <v>2044</v>
      </c>
      <c r="AE7" s="67">
        <f t="shared" si="1"/>
        <v>2045</v>
      </c>
      <c r="AF7" s="67">
        <f>AE7+1</f>
        <v>2046</v>
      </c>
      <c r="AG7" s="67">
        <f>AF7+1</f>
        <v>2047</v>
      </c>
      <c r="AH7" s="67"/>
      <c r="AI7" s="67" t="s">
        <v>416</v>
      </c>
      <c r="AJ7" s="67" t="s">
        <v>415</v>
      </c>
      <c r="AM7" s="69">
        <f>Year1</f>
        <v>2021</v>
      </c>
      <c r="AN7" s="69">
        <f>AM7+1</f>
        <v>2022</v>
      </c>
      <c r="AO7" s="69">
        <f t="shared" ref="AO7:BB8" si="2">AN7+1</f>
        <v>2023</v>
      </c>
      <c r="AP7" s="69">
        <f t="shared" si="2"/>
        <v>2024</v>
      </c>
      <c r="AQ7" s="69">
        <f t="shared" si="2"/>
        <v>2025</v>
      </c>
      <c r="AR7" s="69">
        <f t="shared" si="2"/>
        <v>2026</v>
      </c>
      <c r="AS7" s="69">
        <f t="shared" si="2"/>
        <v>2027</v>
      </c>
      <c r="AT7" s="69">
        <f t="shared" si="2"/>
        <v>2028</v>
      </c>
      <c r="AU7" s="69">
        <f t="shared" si="2"/>
        <v>2029</v>
      </c>
      <c r="AV7" s="69">
        <f t="shared" si="2"/>
        <v>2030</v>
      </c>
      <c r="AW7" s="69">
        <f t="shared" si="2"/>
        <v>2031</v>
      </c>
      <c r="AX7" s="69">
        <f t="shared" si="2"/>
        <v>2032</v>
      </c>
      <c r="AY7" s="69">
        <f t="shared" si="2"/>
        <v>2033</v>
      </c>
      <c r="AZ7" s="69">
        <f t="shared" si="2"/>
        <v>2034</v>
      </c>
      <c r="BA7" s="69">
        <f t="shared" si="2"/>
        <v>2035</v>
      </c>
      <c r="BB7" s="69">
        <f t="shared" si="2"/>
        <v>2036</v>
      </c>
      <c r="BC7" s="69">
        <f>BB7+1</f>
        <v>2037</v>
      </c>
      <c r="BD7" s="69">
        <f t="shared" ref="BD7:BK8" si="3">BC7+1</f>
        <v>2038</v>
      </c>
      <c r="BE7" s="69">
        <f t="shared" si="3"/>
        <v>2039</v>
      </c>
      <c r="BF7" s="69">
        <f t="shared" si="3"/>
        <v>2040</v>
      </c>
      <c r="BG7" s="69">
        <f t="shared" si="3"/>
        <v>2041</v>
      </c>
      <c r="BH7" s="69">
        <f t="shared" si="3"/>
        <v>2042</v>
      </c>
      <c r="BI7" s="69">
        <f t="shared" si="3"/>
        <v>2043</v>
      </c>
      <c r="BJ7" s="69">
        <f t="shared" si="3"/>
        <v>2044</v>
      </c>
      <c r="BK7" s="69">
        <f t="shared" si="3"/>
        <v>2045</v>
      </c>
      <c r="BL7" s="69">
        <f>BK7+1</f>
        <v>2046</v>
      </c>
      <c r="BM7" s="69">
        <f>BL7+1</f>
        <v>2047</v>
      </c>
      <c r="BN7" s="69"/>
      <c r="BO7" s="69" t="s">
        <v>416</v>
      </c>
      <c r="BP7" s="69" t="s">
        <v>417</v>
      </c>
      <c r="BS7" s="80"/>
    </row>
    <row r="8" spans="1:72" s="51" customFormat="1" x14ac:dyDescent="0.25">
      <c r="A8" s="386"/>
      <c r="B8" s="83"/>
      <c r="C8" s="81"/>
      <c r="D8" s="82"/>
      <c r="E8" s="81"/>
      <c r="F8" s="83"/>
      <c r="G8" s="68">
        <f>IF(OR($C$4=Year2,$C$4=Year3),0,1)</f>
        <v>0</v>
      </c>
      <c r="H8" s="68">
        <f>IF($C$4=Year3,0,G8+1)</f>
        <v>0</v>
      </c>
      <c r="I8" s="68">
        <f t="shared" si="0"/>
        <v>1</v>
      </c>
      <c r="J8" s="68">
        <f t="shared" si="0"/>
        <v>2</v>
      </c>
      <c r="K8" s="68">
        <f t="shared" si="0"/>
        <v>3</v>
      </c>
      <c r="L8" s="68">
        <f t="shared" si="0"/>
        <v>4</v>
      </c>
      <c r="M8" s="68">
        <f t="shared" si="0"/>
        <v>5</v>
      </c>
      <c r="N8" s="68">
        <f t="shared" si="0"/>
        <v>6</v>
      </c>
      <c r="O8" s="68">
        <f t="shared" si="0"/>
        <v>7</v>
      </c>
      <c r="P8" s="68">
        <f t="shared" si="0"/>
        <v>8</v>
      </c>
      <c r="Q8" s="68">
        <f t="shared" si="0"/>
        <v>9</v>
      </c>
      <c r="R8" s="68">
        <f t="shared" si="0"/>
        <v>10</v>
      </c>
      <c r="S8" s="68">
        <f t="shared" si="0"/>
        <v>11</v>
      </c>
      <c r="T8" s="68">
        <f t="shared" si="0"/>
        <v>12</v>
      </c>
      <c r="U8" s="68">
        <f t="shared" si="0"/>
        <v>13</v>
      </c>
      <c r="V8" s="68">
        <f t="shared" si="0"/>
        <v>14</v>
      </c>
      <c r="W8" s="68">
        <f>V8+1</f>
        <v>15</v>
      </c>
      <c r="X8" s="68">
        <f t="shared" si="0"/>
        <v>16</v>
      </c>
      <c r="Y8" s="68">
        <f t="shared" si="1"/>
        <v>17</v>
      </c>
      <c r="Z8" s="68">
        <f t="shared" si="1"/>
        <v>18</v>
      </c>
      <c r="AA8" s="68">
        <f t="shared" si="1"/>
        <v>19</v>
      </c>
      <c r="AB8" s="68">
        <f t="shared" si="1"/>
        <v>20</v>
      </c>
      <c r="AC8" s="68">
        <f t="shared" si="1"/>
        <v>21</v>
      </c>
      <c r="AD8" s="68">
        <f t="shared" si="1"/>
        <v>22</v>
      </c>
      <c r="AE8" s="68">
        <f t="shared" si="1"/>
        <v>23</v>
      </c>
      <c r="AF8" s="68">
        <f>AE8+1</f>
        <v>24</v>
      </c>
      <c r="AG8" s="68">
        <f>AF8+1</f>
        <v>25</v>
      </c>
      <c r="AH8" s="68"/>
      <c r="AI8" s="68"/>
      <c r="AJ8" s="68"/>
      <c r="AM8" s="70">
        <f>IF(OR($C$4=Year2,$C$4=Year3),0,1)</f>
        <v>0</v>
      </c>
      <c r="AN8" s="70">
        <f>IF($C$4=Year3,0,AM8+1)</f>
        <v>0</v>
      </c>
      <c r="AO8" s="70">
        <f t="shared" si="2"/>
        <v>1</v>
      </c>
      <c r="AP8" s="70">
        <f t="shared" si="2"/>
        <v>2</v>
      </c>
      <c r="AQ8" s="70">
        <f t="shared" si="2"/>
        <v>3</v>
      </c>
      <c r="AR8" s="70">
        <f t="shared" si="2"/>
        <v>4</v>
      </c>
      <c r="AS8" s="70">
        <f t="shared" si="2"/>
        <v>5</v>
      </c>
      <c r="AT8" s="70">
        <f t="shared" si="2"/>
        <v>6</v>
      </c>
      <c r="AU8" s="70">
        <f t="shared" si="2"/>
        <v>7</v>
      </c>
      <c r="AV8" s="70">
        <f t="shared" si="2"/>
        <v>8</v>
      </c>
      <c r="AW8" s="70">
        <f t="shared" si="2"/>
        <v>9</v>
      </c>
      <c r="AX8" s="70">
        <f t="shared" si="2"/>
        <v>10</v>
      </c>
      <c r="AY8" s="70">
        <f t="shared" si="2"/>
        <v>11</v>
      </c>
      <c r="AZ8" s="70">
        <f t="shared" si="2"/>
        <v>12</v>
      </c>
      <c r="BA8" s="70">
        <f t="shared" si="2"/>
        <v>13</v>
      </c>
      <c r="BB8" s="70">
        <f t="shared" si="2"/>
        <v>14</v>
      </c>
      <c r="BC8" s="70">
        <f>BB8+1</f>
        <v>15</v>
      </c>
      <c r="BD8" s="70">
        <f t="shared" si="3"/>
        <v>16</v>
      </c>
      <c r="BE8" s="70">
        <f t="shared" si="3"/>
        <v>17</v>
      </c>
      <c r="BF8" s="70">
        <f t="shared" si="3"/>
        <v>18</v>
      </c>
      <c r="BG8" s="70">
        <f t="shared" si="3"/>
        <v>19</v>
      </c>
      <c r="BH8" s="70">
        <f t="shared" si="3"/>
        <v>20</v>
      </c>
      <c r="BI8" s="70">
        <f t="shared" si="3"/>
        <v>21</v>
      </c>
      <c r="BJ8" s="70">
        <f t="shared" si="3"/>
        <v>22</v>
      </c>
      <c r="BK8" s="70">
        <f t="shared" si="3"/>
        <v>23</v>
      </c>
      <c r="BL8" s="70">
        <f>BK8+1</f>
        <v>24</v>
      </c>
      <c r="BM8" s="70">
        <f>BL8+1</f>
        <v>25</v>
      </c>
      <c r="BN8" s="70"/>
      <c r="BO8" s="70"/>
      <c r="BP8" s="70"/>
      <c r="BS8" s="83"/>
    </row>
    <row r="9" spans="1:72" s="51" customFormat="1" ht="23.25" x14ac:dyDescent="0.25">
      <c r="A9" s="52"/>
      <c r="B9" s="195" t="str">
        <f>Lookups!$D$26</f>
        <v>Residential</v>
      </c>
      <c r="C9" s="196"/>
      <c r="D9" s="196"/>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51" t="s">
        <v>17</v>
      </c>
    </row>
    <row r="10" spans="1:72" s="5" customFormat="1" ht="15.75" x14ac:dyDescent="0.25">
      <c r="A10" s="52"/>
      <c r="B10" s="241" t="str">
        <f>B9</f>
        <v>Residential</v>
      </c>
      <c r="C10" s="63" t="s">
        <v>3</v>
      </c>
      <c r="D10" s="61"/>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M10" s="63"/>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S10" s="62"/>
      <c r="BT10" s="51" t="s">
        <v>17</v>
      </c>
    </row>
    <row r="11" spans="1:72" s="5" customFormat="1" x14ac:dyDescent="0.25">
      <c r="A11" s="52"/>
      <c r="B11" s="242" t="str">
        <f t="shared" ref="B11:C26" si="4">B10</f>
        <v>Residential</v>
      </c>
      <c r="C11" s="242" t="str">
        <f>C10</f>
        <v>Customers</v>
      </c>
      <c r="D11" s="244" t="s">
        <v>3</v>
      </c>
      <c r="E11" s="77" t="s">
        <v>3</v>
      </c>
      <c r="F11" s="76" t="s">
        <v>48</v>
      </c>
      <c r="G11" s="64">
        <f>IF(G$8=0,0,INDEX('Multi-Year Inputs'!$E$12:$AE$15,MATCH($B11,'Multi-Year Inputs'!$D$12:$D$15,0),MATCH(G$7,'Multi-Year Inputs'!$E$4:$AE$4,0)))</f>
        <v>0</v>
      </c>
      <c r="H11" s="64">
        <f>IF(H$8=0,0,INDEX('Multi-Year Inputs'!$E$12:$AE$15,MATCH($B11,'Multi-Year Inputs'!$D$12:$D$15,0),MATCH(H$7,'Multi-Year Inputs'!$E$4:$AE$4,0)))</f>
        <v>0</v>
      </c>
      <c r="I11" s="64">
        <f>IF(I$8=0,0,INDEX('Multi-Year Inputs'!$E$12:$AE$15,MATCH($B11,'Multi-Year Inputs'!$D$12:$D$15,0),MATCH(I$7,'Multi-Year Inputs'!$E$4:$AE$4,0)))</f>
        <v>71674.712393819893</v>
      </c>
      <c r="J11" s="64">
        <f>IF(J$8=0,0,INDEX('Multi-Year Inputs'!$E$12:$AE$15,MATCH($B11,'Multi-Year Inputs'!$D$12:$D$15,0),MATCH(J$7,'Multi-Year Inputs'!$E$4:$AE$4,0)))</f>
        <v>71674.712393819893</v>
      </c>
      <c r="K11" s="64">
        <f>IF(K$8=0,0,INDEX('Multi-Year Inputs'!$E$12:$AE$15,MATCH($B11,'Multi-Year Inputs'!$D$12:$D$15,0),MATCH(K$7,'Multi-Year Inputs'!$E$4:$AE$4,0)))</f>
        <v>71674.712393819893</v>
      </c>
      <c r="L11" s="64">
        <f>IF(L$8=0,0,INDEX('Multi-Year Inputs'!$E$12:$AE$15,MATCH($B11,'Multi-Year Inputs'!$D$12:$D$15,0),MATCH(L$7,'Multi-Year Inputs'!$E$4:$AE$4,0)))</f>
        <v>71674.712393819893</v>
      </c>
      <c r="M11" s="64">
        <f>IF(M$8=0,0,INDEX('Multi-Year Inputs'!$E$12:$AE$15,MATCH($B11,'Multi-Year Inputs'!$D$12:$D$15,0),MATCH(M$7,'Multi-Year Inputs'!$E$4:$AE$4,0)))</f>
        <v>71674.712393819893</v>
      </c>
      <c r="N11" s="64">
        <f>IF(N$8=0,0,INDEX('Multi-Year Inputs'!$E$12:$AE$15,MATCH($B11,'Multi-Year Inputs'!$D$12:$D$15,0),MATCH(N$7,'Multi-Year Inputs'!$E$4:$AE$4,0)))</f>
        <v>71674.712393819893</v>
      </c>
      <c r="O11" s="64">
        <f>IF(O$8=0,0,INDEX('Multi-Year Inputs'!$E$12:$AE$15,MATCH($B11,'Multi-Year Inputs'!$D$12:$D$15,0),MATCH(O$7,'Multi-Year Inputs'!$E$4:$AE$4,0)))</f>
        <v>71674.712393819893</v>
      </c>
      <c r="P11" s="64">
        <f>IF(P$8=0,0,INDEX('Multi-Year Inputs'!$E$12:$AE$15,MATCH($B11,'Multi-Year Inputs'!$D$12:$D$15,0),MATCH(P$7,'Multi-Year Inputs'!$E$4:$AE$4,0)))</f>
        <v>71674.712393819893</v>
      </c>
      <c r="Q11" s="64">
        <f>IF(Q$8=0,0,INDEX('Multi-Year Inputs'!$E$12:$AE$15,MATCH($B11,'Multi-Year Inputs'!$D$12:$D$15,0),MATCH(Q$7,'Multi-Year Inputs'!$E$4:$AE$4,0)))</f>
        <v>71674.712393819893</v>
      </c>
      <c r="R11" s="64">
        <f>IF(R$8=0,0,INDEX('Multi-Year Inputs'!$E$12:$AE$15,MATCH($B11,'Multi-Year Inputs'!$D$12:$D$15,0),MATCH(R$7,'Multi-Year Inputs'!$E$4:$AE$4,0)))</f>
        <v>71674.712393819893</v>
      </c>
      <c r="S11" s="64">
        <f>IF(S$8=0,0,INDEX('Multi-Year Inputs'!$E$12:$AE$15,MATCH($B11,'Multi-Year Inputs'!$D$12:$D$15,0),MATCH(S$7,'Multi-Year Inputs'!$E$4:$AE$4,0)))</f>
        <v>71674.712393819893</v>
      </c>
      <c r="T11" s="64">
        <f>IF(T$8=0,0,INDEX('Multi-Year Inputs'!$E$12:$AE$15,MATCH($B11,'Multi-Year Inputs'!$D$12:$D$15,0),MATCH(T$7,'Multi-Year Inputs'!$E$4:$AE$4,0)))</f>
        <v>71674.712393819893</v>
      </c>
      <c r="U11" s="64">
        <f>IF(U$8=0,0,INDEX('Multi-Year Inputs'!$E$12:$AE$15,MATCH($B11,'Multi-Year Inputs'!$D$12:$D$15,0),MATCH(U$7,'Multi-Year Inputs'!$E$4:$AE$4,0)))</f>
        <v>71674.712393819893</v>
      </c>
      <c r="V11" s="64">
        <f>IF(V$8=0,0,INDEX('Multi-Year Inputs'!$E$12:$AE$15,MATCH($B11,'Multi-Year Inputs'!$D$12:$D$15,0),MATCH(V$7,'Multi-Year Inputs'!$E$4:$AE$4,0)))</f>
        <v>71674.712393819893</v>
      </c>
      <c r="W11" s="64">
        <f>IF(W$8=0,0,INDEX('Multi-Year Inputs'!$E$12:$AE$15,MATCH($B11,'Multi-Year Inputs'!$D$12:$D$15,0),MATCH(W$7,'Multi-Year Inputs'!$E$4:$AE$4,0)))</f>
        <v>71674.712393819893</v>
      </c>
      <c r="X11" s="64">
        <f>IF(X$8=0,0,INDEX('Multi-Year Inputs'!$E$12:$AE$15,MATCH($B11,'Multi-Year Inputs'!$D$12:$D$15,0),MATCH(X$7,'Multi-Year Inputs'!$E$4:$AE$4,0)))</f>
        <v>71674.712393819893</v>
      </c>
      <c r="Y11" s="64">
        <f>IF(Y$8=0,0,INDEX('Multi-Year Inputs'!$E$12:$AE$15,MATCH($B11,'Multi-Year Inputs'!$D$12:$D$15,0),MATCH(Y$7,'Multi-Year Inputs'!$E$4:$AE$4,0)))</f>
        <v>71674.712393819893</v>
      </c>
      <c r="Z11" s="64">
        <f>IF(Z$8=0,0,INDEX('Multi-Year Inputs'!$E$12:$AE$15,MATCH($B11,'Multi-Year Inputs'!$D$12:$D$15,0),MATCH(Z$7,'Multi-Year Inputs'!$E$4:$AE$4,0)))</f>
        <v>71674.712393819893</v>
      </c>
      <c r="AA11" s="64">
        <f>IF(AA$8=0,0,INDEX('Multi-Year Inputs'!$E$12:$AE$15,MATCH($B11,'Multi-Year Inputs'!$D$12:$D$15,0),MATCH(AA$7,'Multi-Year Inputs'!$E$4:$AE$4,0)))</f>
        <v>71674.712393819893</v>
      </c>
      <c r="AB11" s="64">
        <f>IF(AB$8=0,0,INDEX('Multi-Year Inputs'!$E$12:$AE$15,MATCH($B11,'Multi-Year Inputs'!$D$12:$D$15,0),MATCH(AB$7,'Multi-Year Inputs'!$E$4:$AE$4,0)))</f>
        <v>71674.712393819893</v>
      </c>
      <c r="AC11" s="64">
        <f>IF(AC$8=0,0,INDEX('Multi-Year Inputs'!$E$12:$AE$15,MATCH($B11,'Multi-Year Inputs'!$D$12:$D$15,0),MATCH(AC$7,'Multi-Year Inputs'!$E$4:$AE$4,0)))</f>
        <v>71674.712393819893</v>
      </c>
      <c r="AD11" s="64">
        <f>IF(AD$8=0,0,INDEX('Multi-Year Inputs'!$E$12:$AE$15,MATCH($B11,'Multi-Year Inputs'!$D$12:$D$15,0),MATCH(AD$7,'Multi-Year Inputs'!$E$4:$AE$4,0)))</f>
        <v>71674.712393819893</v>
      </c>
      <c r="AE11" s="64">
        <f>IF(AE$8=0,0,INDEX('Multi-Year Inputs'!$E$12:$AE$15,MATCH($B11,'Multi-Year Inputs'!$D$12:$D$15,0),MATCH(AE$7,'Multi-Year Inputs'!$E$4:$AE$4,0)))</f>
        <v>71674.712393819893</v>
      </c>
      <c r="AF11" s="64">
        <f>IF(AF$8=0,0,INDEX('Multi-Year Inputs'!$E$12:$AE$15,MATCH($B11,'Multi-Year Inputs'!$D$12:$D$15,0),MATCH(AF$7,'Multi-Year Inputs'!$E$4:$AE$4,0)))</f>
        <v>71674.712393819893</v>
      </c>
      <c r="AG11" s="64">
        <f>IF(AG$8=0,0,INDEX('Multi-Year Inputs'!$E$12:$AE$15,MATCH($B11,'Multi-Year Inputs'!$D$12:$D$15,0),MATCH(AG$7,'Multi-Year Inputs'!$E$4:$AE$4,0)))</f>
        <v>71674.712393819893</v>
      </c>
      <c r="AH11" s="64"/>
      <c r="AI11" s="64"/>
      <c r="AJ11" s="64"/>
      <c r="AM11" s="71">
        <f>IF(AM$8=0,0,INDEX('Multi-Year Inputs'!$E$12:$AE$15,MATCH($B11,'Multi-Year Inputs'!$D$12:$D$15,0),MATCH(AM$7,'Multi-Year Inputs'!$E$4:$AE$4,0)))</f>
        <v>0</v>
      </c>
      <c r="AN11" s="71">
        <f>IF(AN$8=0,0,INDEX('Multi-Year Inputs'!$E$12:$AE$15,MATCH($B11,'Multi-Year Inputs'!$D$12:$D$15,0),MATCH(AN$7,'Multi-Year Inputs'!$E$4:$AE$4,0)))</f>
        <v>0</v>
      </c>
      <c r="AO11" s="71">
        <f>IF(AO$8=0,0,INDEX('Multi-Year Inputs'!$E$12:$AE$15,MATCH($B11,'Multi-Year Inputs'!$D$12:$D$15,0),MATCH(AO$7,'Multi-Year Inputs'!$E$4:$AE$4,0)))</f>
        <v>71674.712393819893</v>
      </c>
      <c r="AP11" s="71">
        <f>IF(AP$8=0,0,INDEX('Multi-Year Inputs'!$E$12:$AE$15,MATCH($B11,'Multi-Year Inputs'!$D$12:$D$15,0),MATCH(AP$7,'Multi-Year Inputs'!$E$4:$AE$4,0)))</f>
        <v>71674.712393819893</v>
      </c>
      <c r="AQ11" s="71">
        <f>IF(AQ$8=0,0,INDEX('Multi-Year Inputs'!$E$12:$AE$15,MATCH($B11,'Multi-Year Inputs'!$D$12:$D$15,0),MATCH(AQ$7,'Multi-Year Inputs'!$E$4:$AE$4,0)))</f>
        <v>71674.712393819893</v>
      </c>
      <c r="AR11" s="71">
        <f>IF(AR$8=0,0,INDEX('Multi-Year Inputs'!$E$12:$AE$15,MATCH($B11,'Multi-Year Inputs'!$D$12:$D$15,0),MATCH(AR$7,'Multi-Year Inputs'!$E$4:$AE$4,0)))</f>
        <v>71674.712393819893</v>
      </c>
      <c r="AS11" s="71">
        <f>IF(AS$8=0,0,INDEX('Multi-Year Inputs'!$E$12:$AE$15,MATCH($B11,'Multi-Year Inputs'!$D$12:$D$15,0),MATCH(AS$7,'Multi-Year Inputs'!$E$4:$AE$4,0)))</f>
        <v>71674.712393819893</v>
      </c>
      <c r="AT11" s="71">
        <f>IF(AT$8=0,0,INDEX('Multi-Year Inputs'!$E$12:$AE$15,MATCH($B11,'Multi-Year Inputs'!$D$12:$D$15,0),MATCH(AT$7,'Multi-Year Inputs'!$E$4:$AE$4,0)))</f>
        <v>71674.712393819893</v>
      </c>
      <c r="AU11" s="71">
        <f>IF(AU$8=0,0,INDEX('Multi-Year Inputs'!$E$12:$AE$15,MATCH($B11,'Multi-Year Inputs'!$D$12:$D$15,0),MATCH(AU$7,'Multi-Year Inputs'!$E$4:$AE$4,0)))</f>
        <v>71674.712393819893</v>
      </c>
      <c r="AV11" s="71">
        <f>IF(AV$8=0,0,INDEX('Multi-Year Inputs'!$E$12:$AE$15,MATCH($B11,'Multi-Year Inputs'!$D$12:$D$15,0),MATCH(AV$7,'Multi-Year Inputs'!$E$4:$AE$4,0)))</f>
        <v>71674.712393819893</v>
      </c>
      <c r="AW11" s="71">
        <f>IF(AW$8=0,0,INDEX('Multi-Year Inputs'!$E$12:$AE$15,MATCH($B11,'Multi-Year Inputs'!$D$12:$D$15,0),MATCH(AW$7,'Multi-Year Inputs'!$E$4:$AE$4,0)))</f>
        <v>71674.712393819893</v>
      </c>
      <c r="AX11" s="71">
        <f>IF(AX$8=0,0,INDEX('Multi-Year Inputs'!$E$12:$AE$15,MATCH($B11,'Multi-Year Inputs'!$D$12:$D$15,0),MATCH(AX$7,'Multi-Year Inputs'!$E$4:$AE$4,0)))</f>
        <v>71674.712393819893</v>
      </c>
      <c r="AY11" s="71">
        <f>IF(AY$8=0,0,INDEX('Multi-Year Inputs'!$E$12:$AE$15,MATCH($B11,'Multi-Year Inputs'!$D$12:$D$15,0),MATCH(AY$7,'Multi-Year Inputs'!$E$4:$AE$4,0)))</f>
        <v>71674.712393819893</v>
      </c>
      <c r="AZ11" s="71">
        <f>IF(AZ$8=0,0,INDEX('Multi-Year Inputs'!$E$12:$AE$15,MATCH($B11,'Multi-Year Inputs'!$D$12:$D$15,0),MATCH(AZ$7,'Multi-Year Inputs'!$E$4:$AE$4,0)))</f>
        <v>71674.712393819893</v>
      </c>
      <c r="BA11" s="71">
        <f>IF(BA$8=0,0,INDEX('Multi-Year Inputs'!$E$12:$AE$15,MATCH($B11,'Multi-Year Inputs'!$D$12:$D$15,0),MATCH(BA$7,'Multi-Year Inputs'!$E$4:$AE$4,0)))</f>
        <v>71674.712393819893</v>
      </c>
      <c r="BB11" s="71">
        <f>IF(BB$8=0,0,INDEX('Multi-Year Inputs'!$E$12:$AE$15,MATCH($B11,'Multi-Year Inputs'!$D$12:$D$15,0),MATCH(BB$7,'Multi-Year Inputs'!$E$4:$AE$4,0)))</f>
        <v>71674.712393819893</v>
      </c>
      <c r="BC11" s="71">
        <f>IF(BC$8=0,0,INDEX('Multi-Year Inputs'!$E$12:$AE$15,MATCH($B11,'Multi-Year Inputs'!$D$12:$D$15,0),MATCH(BC$7,'Multi-Year Inputs'!$E$4:$AE$4,0)))</f>
        <v>71674.712393819893</v>
      </c>
      <c r="BD11" s="71">
        <f>IF(BD$8=0,0,INDEX('Multi-Year Inputs'!$E$12:$AE$15,MATCH($B11,'Multi-Year Inputs'!$D$12:$D$15,0),MATCH(BD$7,'Multi-Year Inputs'!$E$4:$AE$4,0)))</f>
        <v>71674.712393819893</v>
      </c>
      <c r="BE11" s="71">
        <f>IF(BE$8=0,0,INDEX('Multi-Year Inputs'!$E$12:$AE$15,MATCH($B11,'Multi-Year Inputs'!$D$12:$D$15,0),MATCH(BE$7,'Multi-Year Inputs'!$E$4:$AE$4,0)))</f>
        <v>71674.712393819893</v>
      </c>
      <c r="BF11" s="71">
        <f>IF(BF$8=0,0,INDEX('Multi-Year Inputs'!$E$12:$AE$15,MATCH($B11,'Multi-Year Inputs'!$D$12:$D$15,0),MATCH(BF$7,'Multi-Year Inputs'!$E$4:$AE$4,0)))</f>
        <v>71674.712393819893</v>
      </c>
      <c r="BG11" s="71">
        <f>IF(BG$8=0,0,INDEX('Multi-Year Inputs'!$E$12:$AE$15,MATCH($B11,'Multi-Year Inputs'!$D$12:$D$15,0),MATCH(BG$7,'Multi-Year Inputs'!$E$4:$AE$4,0)))</f>
        <v>71674.712393819893</v>
      </c>
      <c r="BH11" s="71">
        <f>IF(BH$8=0,0,INDEX('Multi-Year Inputs'!$E$12:$AE$15,MATCH($B11,'Multi-Year Inputs'!$D$12:$D$15,0),MATCH(BH$7,'Multi-Year Inputs'!$E$4:$AE$4,0)))</f>
        <v>71674.712393819893</v>
      </c>
      <c r="BI11" s="71">
        <f>IF(BI$8=0,0,INDEX('Multi-Year Inputs'!$E$12:$AE$15,MATCH($B11,'Multi-Year Inputs'!$D$12:$D$15,0),MATCH(BI$7,'Multi-Year Inputs'!$E$4:$AE$4,0)))</f>
        <v>71674.712393819893</v>
      </c>
      <c r="BJ11" s="71">
        <f>IF(BJ$8=0,0,INDEX('Multi-Year Inputs'!$E$12:$AE$15,MATCH($B11,'Multi-Year Inputs'!$D$12:$D$15,0),MATCH(BJ$7,'Multi-Year Inputs'!$E$4:$AE$4,0)))</f>
        <v>71674.712393819893</v>
      </c>
      <c r="BK11" s="71">
        <f>IF(BK$8=0,0,INDEX('Multi-Year Inputs'!$E$12:$AE$15,MATCH($B11,'Multi-Year Inputs'!$D$12:$D$15,0),MATCH(BK$7,'Multi-Year Inputs'!$E$4:$AE$4,0)))</f>
        <v>71674.712393819893</v>
      </c>
      <c r="BL11" s="71">
        <f>IF(BL$8=0,0,INDEX('Multi-Year Inputs'!$E$12:$AE$15,MATCH($B11,'Multi-Year Inputs'!$D$12:$D$15,0),MATCH(BL$7,'Multi-Year Inputs'!$E$4:$AE$4,0)))</f>
        <v>71674.712393819893</v>
      </c>
      <c r="BM11" s="71">
        <f>IF(BM$8=0,0,INDEX('Multi-Year Inputs'!$E$12:$AE$15,MATCH($B11,'Multi-Year Inputs'!$D$12:$D$15,0),MATCH(BM$7,'Multi-Year Inputs'!$E$4:$AE$4,0)))</f>
        <v>71674.712393819893</v>
      </c>
      <c r="BN11" s="72"/>
      <c r="BO11" s="72"/>
      <c r="BP11" s="72"/>
      <c r="BS11" s="76" t="s">
        <v>89</v>
      </c>
      <c r="BT11" s="51" t="s">
        <v>17</v>
      </c>
    </row>
    <row r="12" spans="1:72" s="5" customFormat="1" x14ac:dyDescent="0.25">
      <c r="A12" s="52"/>
      <c r="B12" s="242" t="str">
        <f t="shared" si="4"/>
        <v>Residential</v>
      </c>
      <c r="C12" s="242" t="str">
        <f>C11</f>
        <v>Customers</v>
      </c>
      <c r="D12" s="244" t="s">
        <v>40</v>
      </c>
      <c r="E12" s="77" t="s">
        <v>40</v>
      </c>
      <c r="F12" s="76" t="s">
        <v>2</v>
      </c>
      <c r="G12" s="65">
        <f ca="1">IF($C$4=Lookups!$D$40,IF(SUM(INDIRECT("'Yr1'!"&amp;ADDRESS(ROW(G12),COLUMN(G12))),INDIRECT("'Yr2'!"&amp;ADDRESS(ROW(G12),COLUMN(G12))),INDIRECT("'Yr3'!"&amp;ADDRESS(ROW(G12),COLUMN(G12))))&gt;0,"3 Yr. total",0),
IF(G$7&lt;$C$4,0,IF(G$8&lt;=SUMIFS('EE Inputs'!$V$9:$V$32,'EE Inputs'!$C$9:$C$32,$G$6,'EE Inputs'!$D$9:$D$32,$C$4,'EE Inputs'!$E$9:$E$32,$B12),SUMIFS('EE Inputs'!$V$9:$V$32,'EE Inputs'!$C$9:$C$32,$G$6,'EE Inputs'!$D$9:$D$32,$C$4,'EE Inputs'!$E$9:$E$32,$B12),0)))</f>
        <v>0</v>
      </c>
      <c r="H12" s="65">
        <f ca="1">IF($C$4=Lookups!$D$40,IF(SUM(INDIRECT("'Yr1'!"&amp;ADDRESS(ROW(H12),COLUMN(H12))),INDIRECT("'Yr2'!"&amp;ADDRESS(ROW(H12),COLUMN(H12))),INDIRECT("'Yr3'!"&amp;ADDRESS(ROW(H12),COLUMN(H12))))&gt;0,"3 Yr. total",0),
IF(H$7&lt;$C$4,0,IF(H$8&lt;=SUMIFS('EE Inputs'!$V$9:$V$32,'EE Inputs'!$C$9:$C$32,$G$6,'EE Inputs'!$D$9:$D$32,$C$4,'EE Inputs'!$E$9:$E$32,$B12),SUMIFS('EE Inputs'!$V$9:$V$32,'EE Inputs'!$C$9:$C$32,$G$6,'EE Inputs'!$D$9:$D$32,$C$4,'EE Inputs'!$E$9:$E$32,$B12),0)))</f>
        <v>0</v>
      </c>
      <c r="I12" s="65">
        <f ca="1">IF($C$4=Lookups!$D$40,IF(SUM(INDIRECT("'Yr1'!"&amp;ADDRESS(ROW(I12),COLUMN(I12))),INDIRECT("'Yr2'!"&amp;ADDRESS(ROW(I12),COLUMN(I12))),INDIRECT("'Yr3'!"&amp;ADDRESS(ROW(I12),COLUMN(I12))))&gt;0,"3 Yr. total",0),
IF(I$7&lt;$C$4,0,IF(I$8&lt;=SUMIFS('EE Inputs'!$V$9:$V$32,'EE Inputs'!$C$9:$C$32,$G$6,'EE Inputs'!$D$9:$D$32,$C$4,'EE Inputs'!$E$9:$E$32,$B12),SUMIFS('EE Inputs'!$V$9:$V$32,'EE Inputs'!$C$9:$C$32,$G$6,'EE Inputs'!$D$9:$D$32,$C$4,'EE Inputs'!$E$9:$E$32,$B12),0)))</f>
        <v>15</v>
      </c>
      <c r="J12" s="65">
        <f ca="1">IF($C$4=Lookups!$D$40,IF(SUM(INDIRECT("'Yr1'!"&amp;ADDRESS(ROW(J12),COLUMN(J12))),INDIRECT("'Yr2'!"&amp;ADDRESS(ROW(J12),COLUMN(J12))),INDIRECT("'Yr3'!"&amp;ADDRESS(ROW(J12),COLUMN(J12))))&gt;0,"3 Yr. total",0),
IF(J$7&lt;$C$4,0,IF(J$8&lt;=SUMIFS('EE Inputs'!$V$9:$V$32,'EE Inputs'!$C$9:$C$32,$G$6,'EE Inputs'!$D$9:$D$32,$C$4,'EE Inputs'!$E$9:$E$32,$B12),SUMIFS('EE Inputs'!$V$9:$V$32,'EE Inputs'!$C$9:$C$32,$G$6,'EE Inputs'!$D$9:$D$32,$C$4,'EE Inputs'!$E$9:$E$32,$B12),0)))</f>
        <v>15</v>
      </c>
      <c r="K12" s="65">
        <f ca="1">IF($C$4=Lookups!$D$40,IF(SUM(INDIRECT("'Yr1'!"&amp;ADDRESS(ROW(K12),COLUMN(K12))),INDIRECT("'Yr2'!"&amp;ADDRESS(ROW(K12),COLUMN(K12))),INDIRECT("'Yr3'!"&amp;ADDRESS(ROW(K12),COLUMN(K12))))&gt;0,"3 Yr. total",0),
IF(K$7&lt;$C$4,0,IF(K$8&lt;=SUMIFS('EE Inputs'!$V$9:$V$32,'EE Inputs'!$C$9:$C$32,$G$6,'EE Inputs'!$D$9:$D$32,$C$4,'EE Inputs'!$E$9:$E$32,$B12),SUMIFS('EE Inputs'!$V$9:$V$32,'EE Inputs'!$C$9:$C$32,$G$6,'EE Inputs'!$D$9:$D$32,$C$4,'EE Inputs'!$E$9:$E$32,$B12),0)))</f>
        <v>15</v>
      </c>
      <c r="L12" s="65">
        <f ca="1">IF($C$4=Lookups!$D$40,IF(SUM(INDIRECT("'Yr1'!"&amp;ADDRESS(ROW(L12),COLUMN(L12))),INDIRECT("'Yr2'!"&amp;ADDRESS(ROW(L12),COLUMN(L12))),INDIRECT("'Yr3'!"&amp;ADDRESS(ROW(L12),COLUMN(L12))))&gt;0,"3 Yr. total",0),
IF(L$7&lt;$C$4,0,IF(L$8&lt;=SUMIFS('EE Inputs'!$V$9:$V$32,'EE Inputs'!$C$9:$C$32,$G$6,'EE Inputs'!$D$9:$D$32,$C$4,'EE Inputs'!$E$9:$E$32,$B12),SUMIFS('EE Inputs'!$V$9:$V$32,'EE Inputs'!$C$9:$C$32,$G$6,'EE Inputs'!$D$9:$D$32,$C$4,'EE Inputs'!$E$9:$E$32,$B12),0)))</f>
        <v>15</v>
      </c>
      <c r="M12" s="65">
        <f ca="1">IF($C$4=Lookups!$D$40,IF(SUM(INDIRECT("'Yr1'!"&amp;ADDRESS(ROW(M12),COLUMN(M12))),INDIRECT("'Yr2'!"&amp;ADDRESS(ROW(M12),COLUMN(M12))),INDIRECT("'Yr3'!"&amp;ADDRESS(ROW(M12),COLUMN(M12))))&gt;0,"3 Yr. total",0),
IF(M$7&lt;$C$4,0,IF(M$8&lt;=SUMIFS('EE Inputs'!$V$9:$V$32,'EE Inputs'!$C$9:$C$32,$G$6,'EE Inputs'!$D$9:$D$32,$C$4,'EE Inputs'!$E$9:$E$32,$B12),SUMIFS('EE Inputs'!$V$9:$V$32,'EE Inputs'!$C$9:$C$32,$G$6,'EE Inputs'!$D$9:$D$32,$C$4,'EE Inputs'!$E$9:$E$32,$B12),0)))</f>
        <v>15</v>
      </c>
      <c r="N12" s="65">
        <f ca="1">IF($C$4=Lookups!$D$40,IF(SUM(INDIRECT("'Yr1'!"&amp;ADDRESS(ROW(N12),COLUMN(N12))),INDIRECT("'Yr2'!"&amp;ADDRESS(ROW(N12),COLUMN(N12))),INDIRECT("'Yr3'!"&amp;ADDRESS(ROW(N12),COLUMN(N12))))&gt;0,"3 Yr. total",0),
IF(N$7&lt;$C$4,0,IF(N$8&lt;=SUMIFS('EE Inputs'!$V$9:$V$32,'EE Inputs'!$C$9:$C$32,$G$6,'EE Inputs'!$D$9:$D$32,$C$4,'EE Inputs'!$E$9:$E$32,$B12),SUMIFS('EE Inputs'!$V$9:$V$32,'EE Inputs'!$C$9:$C$32,$G$6,'EE Inputs'!$D$9:$D$32,$C$4,'EE Inputs'!$E$9:$E$32,$B12),0)))</f>
        <v>15</v>
      </c>
      <c r="O12" s="65">
        <f ca="1">IF($C$4=Lookups!$D$40,IF(SUM(INDIRECT("'Yr1'!"&amp;ADDRESS(ROW(O12),COLUMN(O12))),INDIRECT("'Yr2'!"&amp;ADDRESS(ROW(O12),COLUMN(O12))),INDIRECT("'Yr3'!"&amp;ADDRESS(ROW(O12),COLUMN(O12))))&gt;0,"3 Yr. total",0),
IF(O$7&lt;$C$4,0,IF(O$8&lt;=SUMIFS('EE Inputs'!$V$9:$V$32,'EE Inputs'!$C$9:$C$32,$G$6,'EE Inputs'!$D$9:$D$32,$C$4,'EE Inputs'!$E$9:$E$32,$B12),SUMIFS('EE Inputs'!$V$9:$V$32,'EE Inputs'!$C$9:$C$32,$G$6,'EE Inputs'!$D$9:$D$32,$C$4,'EE Inputs'!$E$9:$E$32,$B12),0)))</f>
        <v>15</v>
      </c>
      <c r="P12" s="65">
        <f ca="1">IF($C$4=Lookups!$D$40,IF(SUM(INDIRECT("'Yr1'!"&amp;ADDRESS(ROW(P12),COLUMN(P12))),INDIRECT("'Yr2'!"&amp;ADDRESS(ROW(P12),COLUMN(P12))),INDIRECT("'Yr3'!"&amp;ADDRESS(ROW(P12),COLUMN(P12))))&gt;0,"3 Yr. total",0),
IF(P$7&lt;$C$4,0,IF(P$8&lt;=SUMIFS('EE Inputs'!$V$9:$V$32,'EE Inputs'!$C$9:$C$32,$G$6,'EE Inputs'!$D$9:$D$32,$C$4,'EE Inputs'!$E$9:$E$32,$B12),SUMIFS('EE Inputs'!$V$9:$V$32,'EE Inputs'!$C$9:$C$32,$G$6,'EE Inputs'!$D$9:$D$32,$C$4,'EE Inputs'!$E$9:$E$32,$B12),0)))</f>
        <v>15</v>
      </c>
      <c r="Q12" s="65">
        <f ca="1">IF($C$4=Lookups!$D$40,IF(SUM(INDIRECT("'Yr1'!"&amp;ADDRESS(ROW(Q12),COLUMN(Q12))),INDIRECT("'Yr2'!"&amp;ADDRESS(ROW(Q12),COLUMN(Q12))),INDIRECT("'Yr3'!"&amp;ADDRESS(ROW(Q12),COLUMN(Q12))))&gt;0,"3 Yr. total",0),
IF(Q$7&lt;$C$4,0,IF(Q$8&lt;=SUMIFS('EE Inputs'!$V$9:$V$32,'EE Inputs'!$C$9:$C$32,$G$6,'EE Inputs'!$D$9:$D$32,$C$4,'EE Inputs'!$E$9:$E$32,$B12),SUMIFS('EE Inputs'!$V$9:$V$32,'EE Inputs'!$C$9:$C$32,$G$6,'EE Inputs'!$D$9:$D$32,$C$4,'EE Inputs'!$E$9:$E$32,$B12),0)))</f>
        <v>15</v>
      </c>
      <c r="R12" s="65">
        <f ca="1">IF($C$4=Lookups!$D$40,IF(SUM(INDIRECT("'Yr1'!"&amp;ADDRESS(ROW(R12),COLUMN(R12))),INDIRECT("'Yr2'!"&amp;ADDRESS(ROW(R12),COLUMN(R12))),INDIRECT("'Yr3'!"&amp;ADDRESS(ROW(R12),COLUMN(R12))))&gt;0,"3 Yr. total",0),
IF(R$7&lt;$C$4,0,IF(R$8&lt;=SUMIFS('EE Inputs'!$V$9:$V$32,'EE Inputs'!$C$9:$C$32,$G$6,'EE Inputs'!$D$9:$D$32,$C$4,'EE Inputs'!$E$9:$E$32,$B12),SUMIFS('EE Inputs'!$V$9:$V$32,'EE Inputs'!$C$9:$C$32,$G$6,'EE Inputs'!$D$9:$D$32,$C$4,'EE Inputs'!$E$9:$E$32,$B12),0)))</f>
        <v>15</v>
      </c>
      <c r="S12" s="65">
        <f ca="1">IF($C$4=Lookups!$D$40,IF(SUM(INDIRECT("'Yr1'!"&amp;ADDRESS(ROW(S12),COLUMN(S12))),INDIRECT("'Yr2'!"&amp;ADDRESS(ROW(S12),COLUMN(S12))),INDIRECT("'Yr3'!"&amp;ADDRESS(ROW(S12),COLUMN(S12))))&gt;0,"3 Yr. total",0),
IF(S$7&lt;$C$4,0,IF(S$8&lt;=SUMIFS('EE Inputs'!$V$9:$V$32,'EE Inputs'!$C$9:$C$32,$G$6,'EE Inputs'!$D$9:$D$32,$C$4,'EE Inputs'!$E$9:$E$32,$B12),SUMIFS('EE Inputs'!$V$9:$V$32,'EE Inputs'!$C$9:$C$32,$G$6,'EE Inputs'!$D$9:$D$32,$C$4,'EE Inputs'!$E$9:$E$32,$B12),0)))</f>
        <v>15</v>
      </c>
      <c r="T12" s="65">
        <f ca="1">IF($C$4=Lookups!$D$40,IF(SUM(INDIRECT("'Yr1'!"&amp;ADDRESS(ROW(T12),COLUMN(T12))),INDIRECT("'Yr2'!"&amp;ADDRESS(ROW(T12),COLUMN(T12))),INDIRECT("'Yr3'!"&amp;ADDRESS(ROW(T12),COLUMN(T12))))&gt;0,"3 Yr. total",0),
IF(T$7&lt;$C$4,0,IF(T$8&lt;=SUMIFS('EE Inputs'!$V$9:$V$32,'EE Inputs'!$C$9:$C$32,$G$6,'EE Inputs'!$D$9:$D$32,$C$4,'EE Inputs'!$E$9:$E$32,$B12),SUMIFS('EE Inputs'!$V$9:$V$32,'EE Inputs'!$C$9:$C$32,$G$6,'EE Inputs'!$D$9:$D$32,$C$4,'EE Inputs'!$E$9:$E$32,$B12),0)))</f>
        <v>15</v>
      </c>
      <c r="U12" s="65">
        <f ca="1">IF($C$4=Lookups!$D$40,IF(SUM(INDIRECT("'Yr1'!"&amp;ADDRESS(ROW(U12),COLUMN(U12))),INDIRECT("'Yr2'!"&amp;ADDRESS(ROW(U12),COLUMN(U12))),INDIRECT("'Yr3'!"&amp;ADDRESS(ROW(U12),COLUMN(U12))))&gt;0,"3 Yr. total",0),
IF(U$7&lt;$C$4,0,IF(U$8&lt;=SUMIFS('EE Inputs'!$V$9:$V$32,'EE Inputs'!$C$9:$C$32,$G$6,'EE Inputs'!$D$9:$D$32,$C$4,'EE Inputs'!$E$9:$E$32,$B12),SUMIFS('EE Inputs'!$V$9:$V$32,'EE Inputs'!$C$9:$C$32,$G$6,'EE Inputs'!$D$9:$D$32,$C$4,'EE Inputs'!$E$9:$E$32,$B12),0)))</f>
        <v>15</v>
      </c>
      <c r="V12" s="65">
        <f ca="1">IF($C$4=Lookups!$D$40,IF(SUM(INDIRECT("'Yr1'!"&amp;ADDRESS(ROW(V12),COLUMN(V12))),INDIRECT("'Yr2'!"&amp;ADDRESS(ROW(V12),COLUMN(V12))),INDIRECT("'Yr3'!"&amp;ADDRESS(ROW(V12),COLUMN(V12))))&gt;0,"3 Yr. total",0),
IF(V$7&lt;$C$4,0,IF(V$8&lt;=SUMIFS('EE Inputs'!$V$9:$V$32,'EE Inputs'!$C$9:$C$32,$G$6,'EE Inputs'!$D$9:$D$32,$C$4,'EE Inputs'!$E$9:$E$32,$B12),SUMIFS('EE Inputs'!$V$9:$V$32,'EE Inputs'!$C$9:$C$32,$G$6,'EE Inputs'!$D$9:$D$32,$C$4,'EE Inputs'!$E$9:$E$32,$B12),0)))</f>
        <v>15</v>
      </c>
      <c r="W12" s="65">
        <f ca="1">IF($C$4=Lookups!$D$40,IF(SUM(INDIRECT("'Yr1'!"&amp;ADDRESS(ROW(W12),COLUMN(W12))),INDIRECT("'Yr2'!"&amp;ADDRESS(ROW(W12),COLUMN(W12))),INDIRECT("'Yr3'!"&amp;ADDRESS(ROW(W12),COLUMN(W12))))&gt;0,"3 Yr. total",0),
IF(W$7&lt;$C$4,0,IF(W$8&lt;=SUMIFS('EE Inputs'!$V$9:$V$32,'EE Inputs'!$C$9:$C$32,$G$6,'EE Inputs'!$D$9:$D$32,$C$4,'EE Inputs'!$E$9:$E$32,$B12),SUMIFS('EE Inputs'!$V$9:$V$32,'EE Inputs'!$C$9:$C$32,$G$6,'EE Inputs'!$D$9:$D$32,$C$4,'EE Inputs'!$E$9:$E$32,$B12),0)))</f>
        <v>15</v>
      </c>
      <c r="X12" s="65">
        <f ca="1">IF($C$4=Lookups!$D$40,IF(SUM(INDIRECT("'Yr1'!"&amp;ADDRESS(ROW(X12),COLUMN(X12))),INDIRECT("'Yr2'!"&amp;ADDRESS(ROW(X12),COLUMN(X12))),INDIRECT("'Yr3'!"&amp;ADDRESS(ROW(X12),COLUMN(X12))))&gt;0,"3 Yr. total",0),
IF(X$7&lt;$C$4,0,IF(X$8&lt;=SUMIFS('EE Inputs'!$V$9:$V$32,'EE Inputs'!$C$9:$C$32,$G$6,'EE Inputs'!$D$9:$D$32,$C$4,'EE Inputs'!$E$9:$E$32,$B12),SUMIFS('EE Inputs'!$V$9:$V$32,'EE Inputs'!$C$9:$C$32,$G$6,'EE Inputs'!$D$9:$D$32,$C$4,'EE Inputs'!$E$9:$E$32,$B12),0)))</f>
        <v>0</v>
      </c>
      <c r="Y12" s="65">
        <f ca="1">IF($C$4=Lookups!$D$40,IF(SUM(INDIRECT("'Yr1'!"&amp;ADDRESS(ROW(Y12),COLUMN(Y12))),INDIRECT("'Yr2'!"&amp;ADDRESS(ROW(Y12),COLUMN(Y12))),INDIRECT("'Yr3'!"&amp;ADDRESS(ROW(Y12),COLUMN(Y12))))&gt;0,"3 Yr. total",0),
IF(Y$7&lt;$C$4,0,IF(Y$8&lt;=SUMIFS('EE Inputs'!$V$9:$V$32,'EE Inputs'!$C$9:$C$32,$G$6,'EE Inputs'!$D$9:$D$32,$C$4,'EE Inputs'!$E$9:$E$32,$B12),SUMIFS('EE Inputs'!$V$9:$V$32,'EE Inputs'!$C$9:$C$32,$G$6,'EE Inputs'!$D$9:$D$32,$C$4,'EE Inputs'!$E$9:$E$32,$B12),0)))</f>
        <v>0</v>
      </c>
      <c r="Z12" s="65">
        <f ca="1">IF($C$4=Lookups!$D$40,IF(SUM(INDIRECT("'Yr1'!"&amp;ADDRESS(ROW(Z12),COLUMN(Z12))),INDIRECT("'Yr2'!"&amp;ADDRESS(ROW(Z12),COLUMN(Z12))),INDIRECT("'Yr3'!"&amp;ADDRESS(ROW(Z12),COLUMN(Z12))))&gt;0,"3 Yr. total",0),
IF(Z$7&lt;$C$4,0,IF(Z$8&lt;=SUMIFS('EE Inputs'!$V$9:$V$32,'EE Inputs'!$C$9:$C$32,$G$6,'EE Inputs'!$D$9:$D$32,$C$4,'EE Inputs'!$E$9:$E$32,$B12),SUMIFS('EE Inputs'!$V$9:$V$32,'EE Inputs'!$C$9:$C$32,$G$6,'EE Inputs'!$D$9:$D$32,$C$4,'EE Inputs'!$E$9:$E$32,$B12),0)))</f>
        <v>0</v>
      </c>
      <c r="AA12" s="65">
        <f ca="1">IF($C$4=Lookups!$D$40,IF(SUM(INDIRECT("'Yr1'!"&amp;ADDRESS(ROW(AA12),COLUMN(AA12))),INDIRECT("'Yr2'!"&amp;ADDRESS(ROW(AA12),COLUMN(AA12))),INDIRECT("'Yr3'!"&amp;ADDRESS(ROW(AA12),COLUMN(AA12))))&gt;0,"3 Yr. total",0),
IF(AA$7&lt;$C$4,0,IF(AA$8&lt;=SUMIFS('EE Inputs'!$V$9:$V$32,'EE Inputs'!$C$9:$C$32,$G$6,'EE Inputs'!$D$9:$D$32,$C$4,'EE Inputs'!$E$9:$E$32,$B12),SUMIFS('EE Inputs'!$V$9:$V$32,'EE Inputs'!$C$9:$C$32,$G$6,'EE Inputs'!$D$9:$D$32,$C$4,'EE Inputs'!$E$9:$E$32,$B12),0)))</f>
        <v>0</v>
      </c>
      <c r="AB12" s="65">
        <f ca="1">IF($C$4=Lookups!$D$40,IF(SUM(INDIRECT("'Yr1'!"&amp;ADDRESS(ROW(AB12),COLUMN(AB12))),INDIRECT("'Yr2'!"&amp;ADDRESS(ROW(AB12),COLUMN(AB12))),INDIRECT("'Yr3'!"&amp;ADDRESS(ROW(AB12),COLUMN(AB12))))&gt;0,"3 Yr. total",0),
IF(AB$7&lt;$C$4,0,IF(AB$8&lt;=SUMIFS('EE Inputs'!$V$9:$V$32,'EE Inputs'!$C$9:$C$32,$G$6,'EE Inputs'!$D$9:$D$32,$C$4,'EE Inputs'!$E$9:$E$32,$B12),SUMIFS('EE Inputs'!$V$9:$V$32,'EE Inputs'!$C$9:$C$32,$G$6,'EE Inputs'!$D$9:$D$32,$C$4,'EE Inputs'!$E$9:$E$32,$B12),0)))</f>
        <v>0</v>
      </c>
      <c r="AC12" s="65">
        <f ca="1">IF($C$4=Lookups!$D$40,IF(SUM(INDIRECT("'Yr1'!"&amp;ADDRESS(ROW(AC12),COLUMN(AC12))),INDIRECT("'Yr2'!"&amp;ADDRESS(ROW(AC12),COLUMN(AC12))),INDIRECT("'Yr3'!"&amp;ADDRESS(ROW(AC12),COLUMN(AC12))))&gt;0,"3 Yr. total",0),
IF(AC$7&lt;$C$4,0,IF(AC$8&lt;=SUMIFS('EE Inputs'!$V$9:$V$32,'EE Inputs'!$C$9:$C$32,$G$6,'EE Inputs'!$D$9:$D$32,$C$4,'EE Inputs'!$E$9:$E$32,$B12),SUMIFS('EE Inputs'!$V$9:$V$32,'EE Inputs'!$C$9:$C$32,$G$6,'EE Inputs'!$D$9:$D$32,$C$4,'EE Inputs'!$E$9:$E$32,$B12),0)))</f>
        <v>0</v>
      </c>
      <c r="AD12" s="65">
        <f ca="1">IF($C$4=Lookups!$D$40,IF(SUM(INDIRECT("'Yr1'!"&amp;ADDRESS(ROW(AD12),COLUMN(AD12))),INDIRECT("'Yr2'!"&amp;ADDRESS(ROW(AD12),COLUMN(AD12))),INDIRECT("'Yr3'!"&amp;ADDRESS(ROW(AD12),COLUMN(AD12))))&gt;0,"3 Yr. total",0),
IF(AD$7&lt;$C$4,0,IF(AD$8&lt;=SUMIFS('EE Inputs'!$V$9:$V$32,'EE Inputs'!$C$9:$C$32,$G$6,'EE Inputs'!$D$9:$D$32,$C$4,'EE Inputs'!$E$9:$E$32,$B12),SUMIFS('EE Inputs'!$V$9:$V$32,'EE Inputs'!$C$9:$C$32,$G$6,'EE Inputs'!$D$9:$D$32,$C$4,'EE Inputs'!$E$9:$E$32,$B12),0)))</f>
        <v>0</v>
      </c>
      <c r="AE12" s="65">
        <f ca="1">IF($C$4=Lookups!$D$40,IF(SUM(INDIRECT("'Yr1'!"&amp;ADDRESS(ROW(AE12),COLUMN(AE12))),INDIRECT("'Yr2'!"&amp;ADDRESS(ROW(AE12),COLUMN(AE12))),INDIRECT("'Yr3'!"&amp;ADDRESS(ROW(AE12),COLUMN(AE12))))&gt;0,"3 Yr. total",0),
IF(AE$7&lt;$C$4,0,IF(AE$8&lt;=SUMIFS('EE Inputs'!$V$9:$V$32,'EE Inputs'!$C$9:$C$32,$G$6,'EE Inputs'!$D$9:$D$32,$C$4,'EE Inputs'!$E$9:$E$32,$B12),SUMIFS('EE Inputs'!$V$9:$V$32,'EE Inputs'!$C$9:$C$32,$G$6,'EE Inputs'!$D$9:$D$32,$C$4,'EE Inputs'!$E$9:$E$32,$B12),0)))</f>
        <v>0</v>
      </c>
      <c r="AF12" s="65">
        <f ca="1">IF($C$4=Lookups!$D$40,IF(SUM(INDIRECT("'Yr1'!"&amp;ADDRESS(ROW(AF12),COLUMN(AF12))),INDIRECT("'Yr2'!"&amp;ADDRESS(ROW(AF12),COLUMN(AF12))),INDIRECT("'Yr3'!"&amp;ADDRESS(ROW(AF12),COLUMN(AF12))))&gt;0,"3 Yr. total",0),
IF(AF$7&lt;$C$4,0,IF(AF$8&lt;=SUMIFS('EE Inputs'!$V$9:$V$32,'EE Inputs'!$C$9:$C$32,$G$6,'EE Inputs'!$D$9:$D$32,$C$4,'EE Inputs'!$E$9:$E$32,$B12),SUMIFS('EE Inputs'!$V$9:$V$32,'EE Inputs'!$C$9:$C$32,$G$6,'EE Inputs'!$D$9:$D$32,$C$4,'EE Inputs'!$E$9:$E$32,$B12),0)))</f>
        <v>0</v>
      </c>
      <c r="AG12" s="65">
        <f ca="1">IF($C$4=Lookups!$D$40,IF(SUM(INDIRECT("'Yr1'!"&amp;ADDRESS(ROW(AG12),COLUMN(AG12))),INDIRECT("'Yr2'!"&amp;ADDRESS(ROW(AG12),COLUMN(AG12))),INDIRECT("'Yr3'!"&amp;ADDRESS(ROW(AG12),COLUMN(AG12))))&gt;0,"3 Yr. total",0),
IF(AG$7&lt;$C$4,0,IF(AG$8&lt;=SUMIFS('EE Inputs'!$V$9:$V$32,'EE Inputs'!$C$9:$C$32,$G$6,'EE Inputs'!$D$9:$D$32,$C$4,'EE Inputs'!$E$9:$E$32,$B12),SUMIFS('EE Inputs'!$V$9:$V$32,'EE Inputs'!$C$9:$C$32,$G$6,'EE Inputs'!$D$9:$D$32,$C$4,'EE Inputs'!$E$9:$E$32,$B12),0)))</f>
        <v>0</v>
      </c>
      <c r="AH12" s="65"/>
      <c r="AI12" s="65"/>
      <c r="AJ12" s="65"/>
      <c r="AM12" s="72">
        <f ca="1">IF($C$4=Lookups!$D$40,IF(SUM(INDIRECT("'Yr1'!"&amp;ADDRESS(ROW(AM12),COLUMN(AM12))),INDIRECT("'Yr2'!"&amp;ADDRESS(ROW(AM12),COLUMN(AM12))),INDIRECT("'Yr3'!"&amp;ADDRESS(ROW(AM12),COLUMN(AM12))))&gt;0,"3 Yr. total",0),
IF(AM$7&lt;$C$4,0,IF(AM$8&lt;=SUMIFS('EE Inputs'!$V$9:$V$32,'EE Inputs'!$C$9:$C$32,$AM$6,'EE Inputs'!$D$9:$D$32,$C$4,'EE Inputs'!$E$9:$E$32,$B12),SUMIFS('EE Inputs'!$V$9:$V$32,'EE Inputs'!$C$9:$C$32,$AM$6,'EE Inputs'!$D$9:$D$32,$C$4,'EE Inputs'!$E$9:$E$32,$B12),0)))</f>
        <v>0</v>
      </c>
      <c r="AN12" s="72">
        <f ca="1">IF($C$4=Lookups!$D$40,IF(SUM(INDIRECT("'Yr1'!"&amp;ADDRESS(ROW(AN12),COLUMN(AN12))),INDIRECT("'Yr2'!"&amp;ADDRESS(ROW(AN12),COLUMN(AN12))),INDIRECT("'Yr3'!"&amp;ADDRESS(ROW(AN12),COLUMN(AN12))))&gt;0,"3 Yr. total",0),
IF(AN$7&lt;$C$4,0,IF(AN$8&lt;=SUMIFS('EE Inputs'!$V$9:$V$32,'EE Inputs'!$C$9:$C$32,$AM$6,'EE Inputs'!$D$9:$D$32,$C$4,'EE Inputs'!$E$9:$E$32,$B12),SUMIFS('EE Inputs'!$V$9:$V$32,'EE Inputs'!$C$9:$C$32,$AM$6,'EE Inputs'!$D$9:$D$32,$C$4,'EE Inputs'!$E$9:$E$32,$B12),0)))</f>
        <v>0</v>
      </c>
      <c r="AO12" s="72">
        <f ca="1">IF($C$4=Lookups!$D$40,IF(SUM(INDIRECT("'Yr1'!"&amp;ADDRESS(ROW(AO12),COLUMN(AO12))),INDIRECT("'Yr2'!"&amp;ADDRESS(ROW(AO12),COLUMN(AO12))),INDIRECT("'Yr3'!"&amp;ADDRESS(ROW(AO12),COLUMN(AO12))))&gt;0,"3 Yr. total",0),
IF(AO$7&lt;$C$4,0,IF(AO$8&lt;=SUMIFS('EE Inputs'!$V$9:$V$32,'EE Inputs'!$C$9:$C$32,$AM$6,'EE Inputs'!$D$9:$D$32,$C$4,'EE Inputs'!$E$9:$E$32,$B12),SUMIFS('EE Inputs'!$V$9:$V$32,'EE Inputs'!$C$9:$C$32,$AM$6,'EE Inputs'!$D$9:$D$32,$C$4,'EE Inputs'!$E$9:$E$32,$B12),0)))</f>
        <v>15</v>
      </c>
      <c r="AP12" s="72">
        <f ca="1">IF($C$4=Lookups!$D$40,IF(SUM(INDIRECT("'Yr1'!"&amp;ADDRESS(ROW(AP12),COLUMN(AP12))),INDIRECT("'Yr2'!"&amp;ADDRESS(ROW(AP12),COLUMN(AP12))),INDIRECT("'Yr3'!"&amp;ADDRESS(ROW(AP12),COLUMN(AP12))))&gt;0,"3 Yr. total",0),
IF(AP$7&lt;$C$4,0,IF(AP$8&lt;=SUMIFS('EE Inputs'!$V$9:$V$32,'EE Inputs'!$C$9:$C$32,$AM$6,'EE Inputs'!$D$9:$D$32,$C$4,'EE Inputs'!$E$9:$E$32,$B12),SUMIFS('EE Inputs'!$V$9:$V$32,'EE Inputs'!$C$9:$C$32,$AM$6,'EE Inputs'!$D$9:$D$32,$C$4,'EE Inputs'!$E$9:$E$32,$B12),0)))</f>
        <v>15</v>
      </c>
      <c r="AQ12" s="72">
        <f ca="1">IF($C$4=Lookups!$D$40,IF(SUM(INDIRECT("'Yr1'!"&amp;ADDRESS(ROW(AQ12),COLUMN(AQ12))),INDIRECT("'Yr2'!"&amp;ADDRESS(ROW(AQ12),COLUMN(AQ12))),INDIRECT("'Yr3'!"&amp;ADDRESS(ROW(AQ12),COLUMN(AQ12))))&gt;0,"3 Yr. total",0),
IF(AQ$7&lt;$C$4,0,IF(AQ$8&lt;=SUMIFS('EE Inputs'!$V$9:$V$32,'EE Inputs'!$C$9:$C$32,$AM$6,'EE Inputs'!$D$9:$D$32,$C$4,'EE Inputs'!$E$9:$E$32,$B12),SUMIFS('EE Inputs'!$V$9:$V$32,'EE Inputs'!$C$9:$C$32,$AM$6,'EE Inputs'!$D$9:$D$32,$C$4,'EE Inputs'!$E$9:$E$32,$B12),0)))</f>
        <v>15</v>
      </c>
      <c r="AR12" s="72">
        <f ca="1">IF($C$4=Lookups!$D$40,IF(SUM(INDIRECT("'Yr1'!"&amp;ADDRESS(ROW(AR12),COLUMN(AR12))),INDIRECT("'Yr2'!"&amp;ADDRESS(ROW(AR12),COLUMN(AR12))),INDIRECT("'Yr3'!"&amp;ADDRESS(ROW(AR12),COLUMN(AR12))))&gt;0,"3 Yr. total",0),
IF(AR$7&lt;$C$4,0,IF(AR$8&lt;=SUMIFS('EE Inputs'!$V$9:$V$32,'EE Inputs'!$C$9:$C$32,$AM$6,'EE Inputs'!$D$9:$D$32,$C$4,'EE Inputs'!$E$9:$E$32,$B12),SUMIFS('EE Inputs'!$V$9:$V$32,'EE Inputs'!$C$9:$C$32,$AM$6,'EE Inputs'!$D$9:$D$32,$C$4,'EE Inputs'!$E$9:$E$32,$B12),0)))</f>
        <v>15</v>
      </c>
      <c r="AS12" s="72">
        <f ca="1">IF($C$4=Lookups!$D$40,IF(SUM(INDIRECT("'Yr1'!"&amp;ADDRESS(ROW(AS12),COLUMN(AS12))),INDIRECT("'Yr2'!"&amp;ADDRESS(ROW(AS12),COLUMN(AS12))),INDIRECT("'Yr3'!"&amp;ADDRESS(ROW(AS12),COLUMN(AS12))))&gt;0,"3 Yr. total",0),
IF(AS$7&lt;$C$4,0,IF(AS$8&lt;=SUMIFS('EE Inputs'!$V$9:$V$32,'EE Inputs'!$C$9:$C$32,$AM$6,'EE Inputs'!$D$9:$D$32,$C$4,'EE Inputs'!$E$9:$E$32,$B12),SUMIFS('EE Inputs'!$V$9:$V$32,'EE Inputs'!$C$9:$C$32,$AM$6,'EE Inputs'!$D$9:$D$32,$C$4,'EE Inputs'!$E$9:$E$32,$B12),0)))</f>
        <v>15</v>
      </c>
      <c r="AT12" s="72">
        <f ca="1">IF($C$4=Lookups!$D$40,IF(SUM(INDIRECT("'Yr1'!"&amp;ADDRESS(ROW(AT12),COLUMN(AT12))),INDIRECT("'Yr2'!"&amp;ADDRESS(ROW(AT12),COLUMN(AT12))),INDIRECT("'Yr3'!"&amp;ADDRESS(ROW(AT12),COLUMN(AT12))))&gt;0,"3 Yr. total",0),
IF(AT$7&lt;$C$4,0,IF(AT$8&lt;=SUMIFS('EE Inputs'!$V$9:$V$32,'EE Inputs'!$C$9:$C$32,$AM$6,'EE Inputs'!$D$9:$D$32,$C$4,'EE Inputs'!$E$9:$E$32,$B12),SUMIFS('EE Inputs'!$V$9:$V$32,'EE Inputs'!$C$9:$C$32,$AM$6,'EE Inputs'!$D$9:$D$32,$C$4,'EE Inputs'!$E$9:$E$32,$B12),0)))</f>
        <v>15</v>
      </c>
      <c r="AU12" s="72">
        <f ca="1">IF($C$4=Lookups!$D$40,IF(SUM(INDIRECT("'Yr1'!"&amp;ADDRESS(ROW(AU12),COLUMN(AU12))),INDIRECT("'Yr2'!"&amp;ADDRESS(ROW(AU12),COLUMN(AU12))),INDIRECT("'Yr3'!"&amp;ADDRESS(ROW(AU12),COLUMN(AU12))))&gt;0,"3 Yr. total",0),
IF(AU$7&lt;$C$4,0,IF(AU$8&lt;=SUMIFS('EE Inputs'!$V$9:$V$32,'EE Inputs'!$C$9:$C$32,$AM$6,'EE Inputs'!$D$9:$D$32,$C$4,'EE Inputs'!$E$9:$E$32,$B12),SUMIFS('EE Inputs'!$V$9:$V$32,'EE Inputs'!$C$9:$C$32,$AM$6,'EE Inputs'!$D$9:$D$32,$C$4,'EE Inputs'!$E$9:$E$32,$B12),0)))</f>
        <v>15</v>
      </c>
      <c r="AV12" s="72">
        <f ca="1">IF($C$4=Lookups!$D$40,IF(SUM(INDIRECT("'Yr1'!"&amp;ADDRESS(ROW(AV12),COLUMN(AV12))),INDIRECT("'Yr2'!"&amp;ADDRESS(ROW(AV12),COLUMN(AV12))),INDIRECT("'Yr3'!"&amp;ADDRESS(ROW(AV12),COLUMN(AV12))))&gt;0,"3 Yr. total",0),
IF(AV$7&lt;$C$4,0,IF(AV$8&lt;=SUMIFS('EE Inputs'!$V$9:$V$32,'EE Inputs'!$C$9:$C$32,$AM$6,'EE Inputs'!$D$9:$D$32,$C$4,'EE Inputs'!$E$9:$E$32,$B12),SUMIFS('EE Inputs'!$V$9:$V$32,'EE Inputs'!$C$9:$C$32,$AM$6,'EE Inputs'!$D$9:$D$32,$C$4,'EE Inputs'!$E$9:$E$32,$B12),0)))</f>
        <v>15</v>
      </c>
      <c r="AW12" s="72">
        <f ca="1">IF($C$4=Lookups!$D$40,IF(SUM(INDIRECT("'Yr1'!"&amp;ADDRESS(ROW(AW12),COLUMN(AW12))),INDIRECT("'Yr2'!"&amp;ADDRESS(ROW(AW12),COLUMN(AW12))),INDIRECT("'Yr3'!"&amp;ADDRESS(ROW(AW12),COLUMN(AW12))))&gt;0,"3 Yr. total",0),
IF(AW$7&lt;$C$4,0,IF(AW$8&lt;=SUMIFS('EE Inputs'!$V$9:$V$32,'EE Inputs'!$C$9:$C$32,$AM$6,'EE Inputs'!$D$9:$D$32,$C$4,'EE Inputs'!$E$9:$E$32,$B12),SUMIFS('EE Inputs'!$V$9:$V$32,'EE Inputs'!$C$9:$C$32,$AM$6,'EE Inputs'!$D$9:$D$32,$C$4,'EE Inputs'!$E$9:$E$32,$B12),0)))</f>
        <v>15</v>
      </c>
      <c r="AX12" s="72">
        <f ca="1">IF($C$4=Lookups!$D$40,IF(SUM(INDIRECT("'Yr1'!"&amp;ADDRESS(ROW(AX12),COLUMN(AX12))),INDIRECT("'Yr2'!"&amp;ADDRESS(ROW(AX12),COLUMN(AX12))),INDIRECT("'Yr3'!"&amp;ADDRESS(ROW(AX12),COLUMN(AX12))))&gt;0,"3 Yr. total",0),
IF(AX$7&lt;$C$4,0,IF(AX$8&lt;=SUMIFS('EE Inputs'!$V$9:$V$32,'EE Inputs'!$C$9:$C$32,$AM$6,'EE Inputs'!$D$9:$D$32,$C$4,'EE Inputs'!$E$9:$E$32,$B12),SUMIFS('EE Inputs'!$V$9:$V$32,'EE Inputs'!$C$9:$C$32,$AM$6,'EE Inputs'!$D$9:$D$32,$C$4,'EE Inputs'!$E$9:$E$32,$B12),0)))</f>
        <v>15</v>
      </c>
      <c r="AY12" s="72">
        <f ca="1">IF($C$4=Lookups!$D$40,IF(SUM(INDIRECT("'Yr1'!"&amp;ADDRESS(ROW(AY12),COLUMN(AY12))),INDIRECT("'Yr2'!"&amp;ADDRESS(ROW(AY12),COLUMN(AY12))),INDIRECT("'Yr3'!"&amp;ADDRESS(ROW(AY12),COLUMN(AY12))))&gt;0,"3 Yr. total",0),
IF(AY$7&lt;$C$4,0,IF(AY$8&lt;=SUMIFS('EE Inputs'!$V$9:$V$32,'EE Inputs'!$C$9:$C$32,$AM$6,'EE Inputs'!$D$9:$D$32,$C$4,'EE Inputs'!$E$9:$E$32,$B12),SUMIFS('EE Inputs'!$V$9:$V$32,'EE Inputs'!$C$9:$C$32,$AM$6,'EE Inputs'!$D$9:$D$32,$C$4,'EE Inputs'!$E$9:$E$32,$B12),0)))</f>
        <v>15</v>
      </c>
      <c r="AZ12" s="72">
        <f ca="1">IF($C$4=Lookups!$D$40,IF(SUM(INDIRECT("'Yr1'!"&amp;ADDRESS(ROW(AZ12),COLUMN(AZ12))),INDIRECT("'Yr2'!"&amp;ADDRESS(ROW(AZ12),COLUMN(AZ12))),INDIRECT("'Yr3'!"&amp;ADDRESS(ROW(AZ12),COLUMN(AZ12))))&gt;0,"3 Yr. total",0),
IF(AZ$7&lt;$C$4,0,IF(AZ$8&lt;=SUMIFS('EE Inputs'!$V$9:$V$32,'EE Inputs'!$C$9:$C$32,$AM$6,'EE Inputs'!$D$9:$D$32,$C$4,'EE Inputs'!$E$9:$E$32,$B12),SUMIFS('EE Inputs'!$V$9:$V$32,'EE Inputs'!$C$9:$C$32,$AM$6,'EE Inputs'!$D$9:$D$32,$C$4,'EE Inputs'!$E$9:$E$32,$B12),0)))</f>
        <v>15</v>
      </c>
      <c r="BA12" s="72">
        <f ca="1">IF($C$4=Lookups!$D$40,IF(SUM(INDIRECT("'Yr1'!"&amp;ADDRESS(ROW(BA12),COLUMN(BA12))),INDIRECT("'Yr2'!"&amp;ADDRESS(ROW(BA12),COLUMN(BA12))),INDIRECT("'Yr3'!"&amp;ADDRESS(ROW(BA12),COLUMN(BA12))))&gt;0,"3 Yr. total",0),
IF(BA$7&lt;$C$4,0,IF(BA$8&lt;=SUMIFS('EE Inputs'!$V$9:$V$32,'EE Inputs'!$C$9:$C$32,$AM$6,'EE Inputs'!$D$9:$D$32,$C$4,'EE Inputs'!$E$9:$E$32,$B12),SUMIFS('EE Inputs'!$V$9:$V$32,'EE Inputs'!$C$9:$C$32,$AM$6,'EE Inputs'!$D$9:$D$32,$C$4,'EE Inputs'!$E$9:$E$32,$B12),0)))</f>
        <v>15</v>
      </c>
      <c r="BB12" s="72">
        <f ca="1">IF($C$4=Lookups!$D$40,IF(SUM(INDIRECT("'Yr1'!"&amp;ADDRESS(ROW(BB12),COLUMN(BB12))),INDIRECT("'Yr2'!"&amp;ADDRESS(ROW(BB12),COLUMN(BB12))),INDIRECT("'Yr3'!"&amp;ADDRESS(ROW(BB12),COLUMN(BB12))))&gt;0,"3 Yr. total",0),
IF(BB$7&lt;$C$4,0,IF(BB$8&lt;=SUMIFS('EE Inputs'!$V$9:$V$32,'EE Inputs'!$C$9:$C$32,$AM$6,'EE Inputs'!$D$9:$D$32,$C$4,'EE Inputs'!$E$9:$E$32,$B12),SUMIFS('EE Inputs'!$V$9:$V$32,'EE Inputs'!$C$9:$C$32,$AM$6,'EE Inputs'!$D$9:$D$32,$C$4,'EE Inputs'!$E$9:$E$32,$B12),0)))</f>
        <v>15</v>
      </c>
      <c r="BC12" s="72">
        <f ca="1">IF($C$4=Lookups!$D$40,IF(SUM(INDIRECT("'Yr1'!"&amp;ADDRESS(ROW(BC12),COLUMN(BC12))),INDIRECT("'Yr2'!"&amp;ADDRESS(ROW(BC12),COLUMN(BC12))),INDIRECT("'Yr3'!"&amp;ADDRESS(ROW(BC12),COLUMN(BC12))))&gt;0,"3 Yr. total",0),
IF(BC$7&lt;$C$4,0,IF(BC$8&lt;=SUMIFS('EE Inputs'!$V$9:$V$32,'EE Inputs'!$C$9:$C$32,$AM$6,'EE Inputs'!$D$9:$D$32,$C$4,'EE Inputs'!$E$9:$E$32,$B12),SUMIFS('EE Inputs'!$V$9:$V$32,'EE Inputs'!$C$9:$C$32,$AM$6,'EE Inputs'!$D$9:$D$32,$C$4,'EE Inputs'!$E$9:$E$32,$B12),0)))</f>
        <v>15</v>
      </c>
      <c r="BD12" s="72">
        <f ca="1">IF($C$4=Lookups!$D$40,IF(SUM(INDIRECT("'Yr1'!"&amp;ADDRESS(ROW(BD12),COLUMN(BD12))),INDIRECT("'Yr2'!"&amp;ADDRESS(ROW(BD12),COLUMN(BD12))),INDIRECT("'Yr3'!"&amp;ADDRESS(ROW(BD12),COLUMN(BD12))))&gt;0,"3 Yr. total",0),
IF(BD$7&lt;$C$4,0,IF(BD$8&lt;=SUMIFS('EE Inputs'!$V$9:$V$32,'EE Inputs'!$C$9:$C$32,$AM$6,'EE Inputs'!$D$9:$D$32,$C$4,'EE Inputs'!$E$9:$E$32,$B12),SUMIFS('EE Inputs'!$V$9:$V$32,'EE Inputs'!$C$9:$C$32,$AM$6,'EE Inputs'!$D$9:$D$32,$C$4,'EE Inputs'!$E$9:$E$32,$B12),0)))</f>
        <v>0</v>
      </c>
      <c r="BE12" s="72">
        <f ca="1">IF($C$4=Lookups!$D$40,IF(SUM(INDIRECT("'Yr1'!"&amp;ADDRESS(ROW(BE12),COLUMN(BE12))),INDIRECT("'Yr2'!"&amp;ADDRESS(ROW(BE12),COLUMN(BE12))),INDIRECT("'Yr3'!"&amp;ADDRESS(ROW(BE12),COLUMN(BE12))))&gt;0,"3 Yr. total",0),
IF(BE$7&lt;$C$4,0,IF(BE$8&lt;=SUMIFS('EE Inputs'!$V$9:$V$32,'EE Inputs'!$C$9:$C$32,$AM$6,'EE Inputs'!$D$9:$D$32,$C$4,'EE Inputs'!$E$9:$E$32,$B12),SUMIFS('EE Inputs'!$V$9:$V$32,'EE Inputs'!$C$9:$C$32,$AM$6,'EE Inputs'!$D$9:$D$32,$C$4,'EE Inputs'!$E$9:$E$32,$B12),0)))</f>
        <v>0</v>
      </c>
      <c r="BF12" s="72">
        <f ca="1">IF($C$4=Lookups!$D$40,IF(SUM(INDIRECT("'Yr1'!"&amp;ADDRESS(ROW(BF12),COLUMN(BF12))),INDIRECT("'Yr2'!"&amp;ADDRESS(ROW(BF12),COLUMN(BF12))),INDIRECT("'Yr3'!"&amp;ADDRESS(ROW(BF12),COLUMN(BF12))))&gt;0,"3 Yr. total",0),
IF(BF$7&lt;$C$4,0,IF(BF$8&lt;=SUMIFS('EE Inputs'!$V$9:$V$32,'EE Inputs'!$C$9:$C$32,$AM$6,'EE Inputs'!$D$9:$D$32,$C$4,'EE Inputs'!$E$9:$E$32,$B12),SUMIFS('EE Inputs'!$V$9:$V$32,'EE Inputs'!$C$9:$C$32,$AM$6,'EE Inputs'!$D$9:$D$32,$C$4,'EE Inputs'!$E$9:$E$32,$B12),0)))</f>
        <v>0</v>
      </c>
      <c r="BG12" s="72">
        <f ca="1">IF($C$4=Lookups!$D$40,IF(SUM(INDIRECT("'Yr1'!"&amp;ADDRESS(ROW(BG12),COLUMN(BG12))),INDIRECT("'Yr2'!"&amp;ADDRESS(ROW(BG12),COLUMN(BG12))),INDIRECT("'Yr3'!"&amp;ADDRESS(ROW(BG12),COLUMN(BG12))))&gt;0,"3 Yr. total",0),
IF(BG$7&lt;$C$4,0,IF(BG$8&lt;=SUMIFS('EE Inputs'!$V$9:$V$32,'EE Inputs'!$C$9:$C$32,$AM$6,'EE Inputs'!$D$9:$D$32,$C$4,'EE Inputs'!$E$9:$E$32,$B12),SUMIFS('EE Inputs'!$V$9:$V$32,'EE Inputs'!$C$9:$C$32,$AM$6,'EE Inputs'!$D$9:$D$32,$C$4,'EE Inputs'!$E$9:$E$32,$B12),0)))</f>
        <v>0</v>
      </c>
      <c r="BH12" s="72">
        <f ca="1">IF($C$4=Lookups!$D$40,IF(SUM(INDIRECT("'Yr1'!"&amp;ADDRESS(ROW(BH12),COLUMN(BH12))),INDIRECT("'Yr2'!"&amp;ADDRESS(ROW(BH12),COLUMN(BH12))),INDIRECT("'Yr3'!"&amp;ADDRESS(ROW(BH12),COLUMN(BH12))))&gt;0,"3 Yr. total",0),
IF(BH$7&lt;$C$4,0,IF(BH$8&lt;=SUMIFS('EE Inputs'!$V$9:$V$32,'EE Inputs'!$C$9:$C$32,$AM$6,'EE Inputs'!$D$9:$D$32,$C$4,'EE Inputs'!$E$9:$E$32,$B12),SUMIFS('EE Inputs'!$V$9:$V$32,'EE Inputs'!$C$9:$C$32,$AM$6,'EE Inputs'!$D$9:$D$32,$C$4,'EE Inputs'!$E$9:$E$32,$B12),0)))</f>
        <v>0</v>
      </c>
      <c r="BI12" s="72">
        <f ca="1">IF($C$4=Lookups!$D$40,IF(SUM(INDIRECT("'Yr1'!"&amp;ADDRESS(ROW(BI12),COLUMN(BI12))),INDIRECT("'Yr2'!"&amp;ADDRESS(ROW(BI12),COLUMN(BI12))),INDIRECT("'Yr3'!"&amp;ADDRESS(ROW(BI12),COLUMN(BI12))))&gt;0,"3 Yr. total",0),
IF(BI$7&lt;$C$4,0,IF(BI$8&lt;=SUMIFS('EE Inputs'!$V$9:$V$32,'EE Inputs'!$C$9:$C$32,$AM$6,'EE Inputs'!$D$9:$D$32,$C$4,'EE Inputs'!$E$9:$E$32,$B12),SUMIFS('EE Inputs'!$V$9:$V$32,'EE Inputs'!$C$9:$C$32,$AM$6,'EE Inputs'!$D$9:$D$32,$C$4,'EE Inputs'!$E$9:$E$32,$B12),0)))</f>
        <v>0</v>
      </c>
      <c r="BJ12" s="72">
        <f ca="1">IF($C$4=Lookups!$D$40,IF(SUM(INDIRECT("'Yr1'!"&amp;ADDRESS(ROW(BJ12),COLUMN(BJ12))),INDIRECT("'Yr2'!"&amp;ADDRESS(ROW(BJ12),COLUMN(BJ12))),INDIRECT("'Yr3'!"&amp;ADDRESS(ROW(BJ12),COLUMN(BJ12))))&gt;0,"3 Yr. total",0),
IF(BJ$7&lt;$C$4,0,IF(BJ$8&lt;=SUMIFS('EE Inputs'!$V$9:$V$32,'EE Inputs'!$C$9:$C$32,$AM$6,'EE Inputs'!$D$9:$D$32,$C$4,'EE Inputs'!$E$9:$E$32,$B12),SUMIFS('EE Inputs'!$V$9:$V$32,'EE Inputs'!$C$9:$C$32,$AM$6,'EE Inputs'!$D$9:$D$32,$C$4,'EE Inputs'!$E$9:$E$32,$B12),0)))</f>
        <v>0</v>
      </c>
      <c r="BK12" s="72">
        <f ca="1">IF($C$4=Lookups!$D$40,IF(SUM(INDIRECT("'Yr1'!"&amp;ADDRESS(ROW(BK12),COLUMN(BK12))),INDIRECT("'Yr2'!"&amp;ADDRESS(ROW(BK12),COLUMN(BK12))),INDIRECT("'Yr3'!"&amp;ADDRESS(ROW(BK12),COLUMN(BK12))))&gt;0,"3 Yr. total",0),
IF(BK$7&lt;$C$4,0,IF(BK$8&lt;=SUMIFS('EE Inputs'!$V$9:$V$32,'EE Inputs'!$C$9:$C$32,$AM$6,'EE Inputs'!$D$9:$D$32,$C$4,'EE Inputs'!$E$9:$E$32,$B12),SUMIFS('EE Inputs'!$V$9:$V$32,'EE Inputs'!$C$9:$C$32,$AM$6,'EE Inputs'!$D$9:$D$32,$C$4,'EE Inputs'!$E$9:$E$32,$B12),0)))</f>
        <v>0</v>
      </c>
      <c r="BL12" s="72">
        <f ca="1">IF($C$4=Lookups!$D$40,IF(SUM(INDIRECT("'Yr1'!"&amp;ADDRESS(ROW(BL12),COLUMN(BL12))),INDIRECT("'Yr2'!"&amp;ADDRESS(ROW(BL12),COLUMN(BL12))),INDIRECT("'Yr3'!"&amp;ADDRESS(ROW(BL12),COLUMN(BL12))))&gt;0,"3 Yr. total",0),
IF(BL$7&lt;$C$4,0,IF(BL$8&lt;=SUMIFS('EE Inputs'!$V$9:$V$32,'EE Inputs'!$C$9:$C$32,$AM$6,'EE Inputs'!$D$9:$D$32,$C$4,'EE Inputs'!$E$9:$E$32,$B12),SUMIFS('EE Inputs'!$V$9:$V$32,'EE Inputs'!$C$9:$C$32,$AM$6,'EE Inputs'!$D$9:$D$32,$C$4,'EE Inputs'!$E$9:$E$32,$B12),0)))</f>
        <v>0</v>
      </c>
      <c r="BM12" s="72">
        <f ca="1">IF($C$4=Lookups!$D$40,IF(SUM(INDIRECT("'Yr1'!"&amp;ADDRESS(ROW(BM12),COLUMN(BM12))),INDIRECT("'Yr2'!"&amp;ADDRESS(ROW(BM12),COLUMN(BM12))),INDIRECT("'Yr3'!"&amp;ADDRESS(ROW(BM12),COLUMN(BM12))))&gt;0,"3 Yr. total",0),
IF(BM$7&lt;$C$4,0,IF(BM$8&lt;=SUMIFS('EE Inputs'!$V$9:$V$32,'EE Inputs'!$C$9:$C$32,$AM$6,'EE Inputs'!$D$9:$D$32,$C$4,'EE Inputs'!$E$9:$E$32,$B12),SUMIFS('EE Inputs'!$V$9:$V$32,'EE Inputs'!$C$9:$C$32,$AM$6,'EE Inputs'!$D$9:$D$32,$C$4,'EE Inputs'!$E$9:$E$32,$B12),0)))</f>
        <v>0</v>
      </c>
      <c r="BN12" s="72"/>
      <c r="BO12" s="72"/>
      <c r="BP12" s="72"/>
      <c r="BS12" s="76" t="s">
        <v>90</v>
      </c>
      <c r="BT12" s="51" t="s">
        <v>17</v>
      </c>
    </row>
    <row r="13" spans="1:72" s="5" customFormat="1" x14ac:dyDescent="0.25">
      <c r="A13" s="52"/>
      <c r="B13" s="242" t="str">
        <f t="shared" si="4"/>
        <v>Residential</v>
      </c>
      <c r="C13" s="242" t="str">
        <f>C12</f>
        <v>Customers</v>
      </c>
      <c r="D13" s="77" t="s">
        <v>17</v>
      </c>
      <c r="E13" s="76"/>
      <c r="F13" s="76"/>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S13" s="76"/>
      <c r="BT13" s="51" t="s">
        <v>17</v>
      </c>
    </row>
    <row r="14" spans="1:72" s="5" customFormat="1" ht="15.75" x14ac:dyDescent="0.25">
      <c r="A14" s="52"/>
      <c r="B14" s="241" t="str">
        <f t="shared" si="4"/>
        <v>Residential</v>
      </c>
      <c r="C14" s="63" t="s">
        <v>4</v>
      </c>
      <c r="D14" s="61"/>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2"/>
      <c r="BO14" s="62"/>
      <c r="BP14" s="62"/>
      <c r="BS14" s="62"/>
      <c r="BT14" s="51" t="s">
        <v>17</v>
      </c>
    </row>
    <row r="15" spans="1:72" x14ac:dyDescent="0.25">
      <c r="B15" s="243" t="str">
        <f t="shared" si="4"/>
        <v>Residential</v>
      </c>
      <c r="C15" s="243" t="str">
        <f>C14</f>
        <v>Sales</v>
      </c>
      <c r="D15" s="244" t="str">
        <f>"Sales before DSM ("&amp;Lookups!$D$22&amp;" Scenario)"</f>
        <v>Sales before DSM (No EE Scenario)</v>
      </c>
      <c r="E15" s="85" t="str">
        <f>"Sales before DSM ("&amp;Lookups!$D$22&amp;" Scenario)"</f>
        <v>Sales before DSM (No EE Scenario)</v>
      </c>
      <c r="F15" s="84" t="s">
        <v>195</v>
      </c>
      <c r="G15" s="64">
        <f>IF(G$8=0,0,INDEX('Multi-Year Inputs'!$E$41:$AE$44,MATCH($B15,'Multi-Year Inputs'!$D$41:$D$44,0),MATCH(G$7,'Multi-Year Inputs'!$E$4:$AE$4,0)))</f>
        <v>0</v>
      </c>
      <c r="H15" s="64">
        <f>IF(H$8=0,0,INDEX('Multi-Year Inputs'!$E$41:$AE$44,MATCH($B15,'Multi-Year Inputs'!$D$41:$D$44,0),MATCH(H$7,'Multi-Year Inputs'!$E$4:$AE$4,0)))</f>
        <v>0</v>
      </c>
      <c r="I15" s="64">
        <f>IF(I$8=0,0,INDEX('Multi-Year Inputs'!$E$41:$AE$44,MATCH($B15,'Multi-Year Inputs'!$D$41:$D$44,0),MATCH(I$7,'Multi-Year Inputs'!$E$4:$AE$4,0)))</f>
        <v>58525589.103563093</v>
      </c>
      <c r="J15" s="64">
        <f>IF(J$8=0,0,INDEX('Multi-Year Inputs'!$E$41:$AE$44,MATCH($B15,'Multi-Year Inputs'!$D$41:$D$44,0),MATCH(J$7,'Multi-Year Inputs'!$E$4:$AE$4,0)))</f>
        <v>58525589.103563093</v>
      </c>
      <c r="K15" s="64">
        <f>IF(K$8=0,0,INDEX('Multi-Year Inputs'!$E$41:$AE$44,MATCH($B15,'Multi-Year Inputs'!$D$41:$D$44,0),MATCH(K$7,'Multi-Year Inputs'!$E$4:$AE$4,0)))</f>
        <v>58525589.103563093</v>
      </c>
      <c r="L15" s="64">
        <f>IF(L$8=0,0,INDEX('Multi-Year Inputs'!$E$41:$AE$44,MATCH($B15,'Multi-Year Inputs'!$D$41:$D$44,0),MATCH(L$7,'Multi-Year Inputs'!$E$4:$AE$4,0)))</f>
        <v>58525589.103563093</v>
      </c>
      <c r="M15" s="64">
        <f>IF(M$8=0,0,INDEX('Multi-Year Inputs'!$E$41:$AE$44,MATCH($B15,'Multi-Year Inputs'!$D$41:$D$44,0),MATCH(M$7,'Multi-Year Inputs'!$E$4:$AE$4,0)))</f>
        <v>58525589.103563093</v>
      </c>
      <c r="N15" s="64">
        <f>IF(N$8=0,0,INDEX('Multi-Year Inputs'!$E$41:$AE$44,MATCH($B15,'Multi-Year Inputs'!$D$41:$D$44,0),MATCH(N$7,'Multi-Year Inputs'!$E$4:$AE$4,0)))</f>
        <v>58525589.103563093</v>
      </c>
      <c r="O15" s="64">
        <f>IF(O$8=0,0,INDEX('Multi-Year Inputs'!$E$41:$AE$44,MATCH($B15,'Multi-Year Inputs'!$D$41:$D$44,0),MATCH(O$7,'Multi-Year Inputs'!$E$4:$AE$4,0)))</f>
        <v>58525589.103563093</v>
      </c>
      <c r="P15" s="64">
        <f>IF(P$8=0,0,INDEX('Multi-Year Inputs'!$E$41:$AE$44,MATCH($B15,'Multi-Year Inputs'!$D$41:$D$44,0),MATCH(P$7,'Multi-Year Inputs'!$E$4:$AE$4,0)))</f>
        <v>58525589.103563093</v>
      </c>
      <c r="Q15" s="64">
        <f>IF(Q$8=0,0,INDEX('Multi-Year Inputs'!$E$41:$AE$44,MATCH($B15,'Multi-Year Inputs'!$D$41:$D$44,0),MATCH(Q$7,'Multi-Year Inputs'!$E$4:$AE$4,0)))</f>
        <v>58525589.103563093</v>
      </c>
      <c r="R15" s="64">
        <f>IF(R$8=0,0,INDEX('Multi-Year Inputs'!$E$41:$AE$44,MATCH($B15,'Multi-Year Inputs'!$D$41:$D$44,0),MATCH(R$7,'Multi-Year Inputs'!$E$4:$AE$4,0)))</f>
        <v>58525589.103563093</v>
      </c>
      <c r="S15" s="64">
        <f>IF(S$8=0,0,INDEX('Multi-Year Inputs'!$E$41:$AE$44,MATCH($B15,'Multi-Year Inputs'!$D$41:$D$44,0),MATCH(S$7,'Multi-Year Inputs'!$E$4:$AE$4,0)))</f>
        <v>58525589.103563093</v>
      </c>
      <c r="T15" s="64">
        <f>IF(T$8=0,0,INDEX('Multi-Year Inputs'!$E$41:$AE$44,MATCH($B15,'Multi-Year Inputs'!$D$41:$D$44,0),MATCH(T$7,'Multi-Year Inputs'!$E$4:$AE$4,0)))</f>
        <v>58525589.103563093</v>
      </c>
      <c r="U15" s="64">
        <f>IF(U$8=0,0,INDEX('Multi-Year Inputs'!$E$41:$AE$44,MATCH($B15,'Multi-Year Inputs'!$D$41:$D$44,0),MATCH(U$7,'Multi-Year Inputs'!$E$4:$AE$4,0)))</f>
        <v>58525589.103563093</v>
      </c>
      <c r="V15" s="64">
        <f>IF(V$8=0,0,INDEX('Multi-Year Inputs'!$E$41:$AE$44,MATCH($B15,'Multi-Year Inputs'!$D$41:$D$44,0),MATCH(V$7,'Multi-Year Inputs'!$E$4:$AE$4,0)))</f>
        <v>58525589.103563093</v>
      </c>
      <c r="W15" s="64">
        <f>IF(W$8=0,0,INDEX('Multi-Year Inputs'!$E$41:$AE$44,MATCH($B15,'Multi-Year Inputs'!$D$41:$D$44,0),MATCH(W$7,'Multi-Year Inputs'!$E$4:$AE$4,0)))</f>
        <v>58525589.103563093</v>
      </c>
      <c r="X15" s="64">
        <f>IF(X$8=0,0,INDEX('Multi-Year Inputs'!$E$41:$AE$44,MATCH($B15,'Multi-Year Inputs'!$D$41:$D$44,0),MATCH(X$7,'Multi-Year Inputs'!$E$4:$AE$4,0)))</f>
        <v>58525589.103563093</v>
      </c>
      <c r="Y15" s="64">
        <f>IF(Y$8=0,0,INDEX('Multi-Year Inputs'!$E$41:$AE$44,MATCH($B15,'Multi-Year Inputs'!$D$41:$D$44,0),MATCH(Y$7,'Multi-Year Inputs'!$E$4:$AE$4,0)))</f>
        <v>58525589.103563093</v>
      </c>
      <c r="Z15" s="64">
        <f>IF(Z$8=0,0,INDEX('Multi-Year Inputs'!$E$41:$AE$44,MATCH($B15,'Multi-Year Inputs'!$D$41:$D$44,0),MATCH(Z$7,'Multi-Year Inputs'!$E$4:$AE$4,0)))</f>
        <v>58525589.103563093</v>
      </c>
      <c r="AA15" s="64">
        <f>IF(AA$8=0,0,INDEX('Multi-Year Inputs'!$E$41:$AE$44,MATCH($B15,'Multi-Year Inputs'!$D$41:$D$44,0),MATCH(AA$7,'Multi-Year Inputs'!$E$4:$AE$4,0)))</f>
        <v>58525589.103563093</v>
      </c>
      <c r="AB15" s="64">
        <f>IF(AB$8=0,0,INDEX('Multi-Year Inputs'!$E$41:$AE$44,MATCH($B15,'Multi-Year Inputs'!$D$41:$D$44,0),MATCH(AB$7,'Multi-Year Inputs'!$E$4:$AE$4,0)))</f>
        <v>58525589.103563093</v>
      </c>
      <c r="AC15" s="64">
        <f>IF(AC$8=0,0,INDEX('Multi-Year Inputs'!$E$41:$AE$44,MATCH($B15,'Multi-Year Inputs'!$D$41:$D$44,0),MATCH(AC$7,'Multi-Year Inputs'!$E$4:$AE$4,0)))</f>
        <v>58525589.103563093</v>
      </c>
      <c r="AD15" s="64">
        <f>IF(AD$8=0,0,INDEX('Multi-Year Inputs'!$E$41:$AE$44,MATCH($B15,'Multi-Year Inputs'!$D$41:$D$44,0),MATCH(AD$7,'Multi-Year Inputs'!$E$4:$AE$4,0)))</f>
        <v>58525589.103563093</v>
      </c>
      <c r="AE15" s="64">
        <f>IF(AE$8=0,0,INDEX('Multi-Year Inputs'!$E$41:$AE$44,MATCH($B15,'Multi-Year Inputs'!$D$41:$D$44,0),MATCH(AE$7,'Multi-Year Inputs'!$E$4:$AE$4,0)))</f>
        <v>58525589.103563093</v>
      </c>
      <c r="AF15" s="64">
        <f>IF(AF$8=0,0,INDEX('Multi-Year Inputs'!$E$41:$AE$44,MATCH($B15,'Multi-Year Inputs'!$D$41:$D$44,0),MATCH(AF$7,'Multi-Year Inputs'!$E$4:$AE$4,0)))</f>
        <v>58525589.103563093</v>
      </c>
      <c r="AG15" s="64">
        <f>IF(AG$8=0,0,INDEX('Multi-Year Inputs'!$E$41:$AE$44,MATCH($B15,'Multi-Year Inputs'!$D$41:$D$44,0),MATCH(AG$7,'Multi-Year Inputs'!$E$4:$AE$4,0)))</f>
        <v>58525589.103563093</v>
      </c>
      <c r="AH15" s="64"/>
      <c r="AI15" s="64">
        <f>SUM(G15:AG15)</f>
        <v>1463139727.589077</v>
      </c>
      <c r="AJ15" s="64"/>
      <c r="AM15" s="71">
        <f>IF(AM$8=0,0,INDEX('Multi-Year Inputs'!$E$41:$AE$44,MATCH($B15,'Multi-Year Inputs'!$D$41:$D$44,0),MATCH(AM$7,'Multi-Year Inputs'!$E$4:$AE$4,0)))</f>
        <v>0</v>
      </c>
      <c r="AN15" s="71">
        <f>IF(AN$8=0,0,INDEX('Multi-Year Inputs'!$E$41:$AE$44,MATCH($B15,'Multi-Year Inputs'!$D$41:$D$44,0),MATCH(AN$7,'Multi-Year Inputs'!$E$4:$AE$4,0)))</f>
        <v>0</v>
      </c>
      <c r="AO15" s="71">
        <f>IF(AO$8=0,0,INDEX('Multi-Year Inputs'!$E$41:$AE$44,MATCH($B15,'Multi-Year Inputs'!$D$41:$D$44,0),MATCH(AO$7,'Multi-Year Inputs'!$E$4:$AE$4,0)))</f>
        <v>58525589.103563093</v>
      </c>
      <c r="AP15" s="71">
        <f>IF(AP$8=0,0,INDEX('Multi-Year Inputs'!$E$41:$AE$44,MATCH($B15,'Multi-Year Inputs'!$D$41:$D$44,0),MATCH(AP$7,'Multi-Year Inputs'!$E$4:$AE$4,0)))</f>
        <v>58525589.103563093</v>
      </c>
      <c r="AQ15" s="71">
        <f>IF(AQ$8=0,0,INDEX('Multi-Year Inputs'!$E$41:$AE$44,MATCH($B15,'Multi-Year Inputs'!$D$41:$D$44,0),MATCH(AQ$7,'Multi-Year Inputs'!$E$4:$AE$4,0)))</f>
        <v>58525589.103563093</v>
      </c>
      <c r="AR15" s="71">
        <f>IF(AR$8=0,0,INDEX('Multi-Year Inputs'!$E$41:$AE$44,MATCH($B15,'Multi-Year Inputs'!$D$41:$D$44,0),MATCH(AR$7,'Multi-Year Inputs'!$E$4:$AE$4,0)))</f>
        <v>58525589.103563093</v>
      </c>
      <c r="AS15" s="71">
        <f>IF(AS$8=0,0,INDEX('Multi-Year Inputs'!$E$41:$AE$44,MATCH($B15,'Multi-Year Inputs'!$D$41:$D$44,0),MATCH(AS$7,'Multi-Year Inputs'!$E$4:$AE$4,0)))</f>
        <v>58525589.103563093</v>
      </c>
      <c r="AT15" s="71">
        <f>IF(AT$8=0,0,INDEX('Multi-Year Inputs'!$E$41:$AE$44,MATCH($B15,'Multi-Year Inputs'!$D$41:$D$44,0),MATCH(AT$7,'Multi-Year Inputs'!$E$4:$AE$4,0)))</f>
        <v>58525589.103563093</v>
      </c>
      <c r="AU15" s="71">
        <f>IF(AU$8=0,0,INDEX('Multi-Year Inputs'!$E$41:$AE$44,MATCH($B15,'Multi-Year Inputs'!$D$41:$D$44,0),MATCH(AU$7,'Multi-Year Inputs'!$E$4:$AE$4,0)))</f>
        <v>58525589.103563093</v>
      </c>
      <c r="AV15" s="71">
        <f>IF(AV$8=0,0,INDEX('Multi-Year Inputs'!$E$41:$AE$44,MATCH($B15,'Multi-Year Inputs'!$D$41:$D$44,0),MATCH(AV$7,'Multi-Year Inputs'!$E$4:$AE$4,0)))</f>
        <v>58525589.103563093</v>
      </c>
      <c r="AW15" s="71">
        <f>IF(AW$8=0,0,INDEX('Multi-Year Inputs'!$E$41:$AE$44,MATCH($B15,'Multi-Year Inputs'!$D$41:$D$44,0),MATCH(AW$7,'Multi-Year Inputs'!$E$4:$AE$4,0)))</f>
        <v>58525589.103563093</v>
      </c>
      <c r="AX15" s="71">
        <f>IF(AX$8=0,0,INDEX('Multi-Year Inputs'!$E$41:$AE$44,MATCH($B15,'Multi-Year Inputs'!$D$41:$D$44,0),MATCH(AX$7,'Multi-Year Inputs'!$E$4:$AE$4,0)))</f>
        <v>58525589.103563093</v>
      </c>
      <c r="AY15" s="71">
        <f>IF(AY$8=0,0,INDEX('Multi-Year Inputs'!$E$41:$AE$44,MATCH($B15,'Multi-Year Inputs'!$D$41:$D$44,0),MATCH(AY$7,'Multi-Year Inputs'!$E$4:$AE$4,0)))</f>
        <v>58525589.103563093</v>
      </c>
      <c r="AZ15" s="71">
        <f>IF(AZ$8=0,0,INDEX('Multi-Year Inputs'!$E$41:$AE$44,MATCH($B15,'Multi-Year Inputs'!$D$41:$D$44,0),MATCH(AZ$7,'Multi-Year Inputs'!$E$4:$AE$4,0)))</f>
        <v>58525589.103563093</v>
      </c>
      <c r="BA15" s="71">
        <f>IF(BA$8=0,0,INDEX('Multi-Year Inputs'!$E$41:$AE$44,MATCH($B15,'Multi-Year Inputs'!$D$41:$D$44,0),MATCH(BA$7,'Multi-Year Inputs'!$E$4:$AE$4,0)))</f>
        <v>58525589.103563093</v>
      </c>
      <c r="BB15" s="71">
        <f>IF(BB$8=0,0,INDEX('Multi-Year Inputs'!$E$41:$AE$44,MATCH($B15,'Multi-Year Inputs'!$D$41:$D$44,0),MATCH(BB$7,'Multi-Year Inputs'!$E$4:$AE$4,0)))</f>
        <v>58525589.103563093</v>
      </c>
      <c r="BC15" s="71">
        <f>IF(BC$8=0,0,INDEX('Multi-Year Inputs'!$E$41:$AE$44,MATCH($B15,'Multi-Year Inputs'!$D$41:$D$44,0),MATCH(BC$7,'Multi-Year Inputs'!$E$4:$AE$4,0)))</f>
        <v>58525589.103563093</v>
      </c>
      <c r="BD15" s="71">
        <f>IF(BD$8=0,0,INDEX('Multi-Year Inputs'!$E$41:$AE$44,MATCH($B15,'Multi-Year Inputs'!$D$41:$D$44,0),MATCH(BD$7,'Multi-Year Inputs'!$E$4:$AE$4,0)))</f>
        <v>58525589.103563093</v>
      </c>
      <c r="BE15" s="71">
        <f>IF(BE$8=0,0,INDEX('Multi-Year Inputs'!$E$41:$AE$44,MATCH($B15,'Multi-Year Inputs'!$D$41:$D$44,0),MATCH(BE$7,'Multi-Year Inputs'!$E$4:$AE$4,0)))</f>
        <v>58525589.103563093</v>
      </c>
      <c r="BF15" s="71">
        <f>IF(BF$8=0,0,INDEX('Multi-Year Inputs'!$E$41:$AE$44,MATCH($B15,'Multi-Year Inputs'!$D$41:$D$44,0),MATCH(BF$7,'Multi-Year Inputs'!$E$4:$AE$4,0)))</f>
        <v>58525589.103563093</v>
      </c>
      <c r="BG15" s="71">
        <f>IF(BG$8=0,0,INDEX('Multi-Year Inputs'!$E$41:$AE$44,MATCH($B15,'Multi-Year Inputs'!$D$41:$D$44,0),MATCH(BG$7,'Multi-Year Inputs'!$E$4:$AE$4,0)))</f>
        <v>58525589.103563093</v>
      </c>
      <c r="BH15" s="71">
        <f>IF(BH$8=0,0,INDEX('Multi-Year Inputs'!$E$41:$AE$44,MATCH($B15,'Multi-Year Inputs'!$D$41:$D$44,0),MATCH(BH$7,'Multi-Year Inputs'!$E$4:$AE$4,0)))</f>
        <v>58525589.103563093</v>
      </c>
      <c r="BI15" s="71">
        <f>IF(BI$8=0,0,INDEX('Multi-Year Inputs'!$E$41:$AE$44,MATCH($B15,'Multi-Year Inputs'!$D$41:$D$44,0),MATCH(BI$7,'Multi-Year Inputs'!$E$4:$AE$4,0)))</f>
        <v>58525589.103563093</v>
      </c>
      <c r="BJ15" s="71">
        <f>IF(BJ$8=0,0,INDEX('Multi-Year Inputs'!$E$41:$AE$44,MATCH($B15,'Multi-Year Inputs'!$D$41:$D$44,0),MATCH(BJ$7,'Multi-Year Inputs'!$E$4:$AE$4,0)))</f>
        <v>58525589.103563093</v>
      </c>
      <c r="BK15" s="71">
        <f>IF(BK$8=0,0,INDEX('Multi-Year Inputs'!$E$41:$AE$44,MATCH($B15,'Multi-Year Inputs'!$D$41:$D$44,0),MATCH(BK$7,'Multi-Year Inputs'!$E$4:$AE$4,0)))</f>
        <v>58525589.103563093</v>
      </c>
      <c r="BL15" s="71">
        <f>IF(BL$8=0,0,INDEX('Multi-Year Inputs'!$E$41:$AE$44,MATCH($B15,'Multi-Year Inputs'!$D$41:$D$44,0),MATCH(BL$7,'Multi-Year Inputs'!$E$4:$AE$4,0)))</f>
        <v>58525589.103563093</v>
      </c>
      <c r="BM15" s="71">
        <f>IF(BM$8=0,0,INDEX('Multi-Year Inputs'!$E$41:$AE$44,MATCH($B15,'Multi-Year Inputs'!$D$41:$D$44,0),MATCH(BM$7,'Multi-Year Inputs'!$E$4:$AE$4,0)))</f>
        <v>58525589.103563093</v>
      </c>
      <c r="BN15" s="72"/>
      <c r="BO15" s="72">
        <f>SUM(AM15:BM15)</f>
        <v>1463139727.589077</v>
      </c>
      <c r="BP15" s="72"/>
      <c r="BS15" s="76" t="s">
        <v>91</v>
      </c>
      <c r="BT15" s="51" t="s">
        <v>17</v>
      </c>
    </row>
    <row r="16" spans="1:72" x14ac:dyDescent="0.25">
      <c r="A16" s="246"/>
      <c r="B16" s="243" t="str">
        <f t="shared" si="4"/>
        <v>Residential</v>
      </c>
      <c r="C16" s="243" t="str">
        <f>C15</f>
        <v>Sales</v>
      </c>
      <c r="D16" s="244" t="s">
        <v>108</v>
      </c>
      <c r="E16" s="85" t="s">
        <v>108</v>
      </c>
      <c r="F16" s="84" t="s">
        <v>195</v>
      </c>
      <c r="G16" s="64">
        <f ca="1">IF($C$4=Lookups!$D$40,SUM(INDIRECT("'Yr1'!"&amp;ADDRESS(ROW(G16),COLUMN(G16))),INDIRECT("'Yr2'!"&amp;ADDRESS(ROW(G16),COLUMN(G16))),INDIRECT("'Yr3'!"&amp;ADDRESS(ROW(G16),COLUMN(G16)))),
IF(G12&gt;0,SUMIFS('EE Inputs'!$I$9:$I$32,'EE Inputs'!$C$9:$C$32,$G$6,'EE Inputs'!$D$9:$D$32,$C$4,'EE Inputs'!$E$9:$E$32,$B16)/SUMIFS('EE Inputs'!$V$9:$V$32,'EE Inputs'!$C$9:$C$32,$G$6,'EE Inputs'!$D$9:$D$32,$C$4,'EE Inputs'!$E$9:$E$32,$B16)*10,0))</f>
        <v>0</v>
      </c>
      <c r="H16" s="64">
        <f ca="1">IF($C$4=Lookups!$D$40,SUM(INDIRECT("'Yr1'!"&amp;ADDRESS(ROW(H16),COLUMN(H16))),INDIRECT("'Yr2'!"&amp;ADDRESS(ROW(H16),COLUMN(H16))),INDIRECT("'Yr3'!"&amp;ADDRESS(ROW(H16),COLUMN(H16)))),
IF(H12&gt;0,SUMIFS('EE Inputs'!$I$9:$I$32,'EE Inputs'!$C$9:$C$32,$G$6,'EE Inputs'!$D$9:$D$32,$C$4,'EE Inputs'!$E$9:$E$32,$B16)/SUMIFS('EE Inputs'!$V$9:$V$32,'EE Inputs'!$C$9:$C$32,$G$6,'EE Inputs'!$D$9:$D$32,$C$4,'EE Inputs'!$E$9:$E$32,$B16)*10,0))</f>
        <v>0</v>
      </c>
      <c r="I16" s="64">
        <f ca="1">IF($C$4=Lookups!$D$40,SUM(INDIRECT("'Yr1'!"&amp;ADDRESS(ROW(I16),COLUMN(I16))),INDIRECT("'Yr2'!"&amp;ADDRESS(ROW(I16),COLUMN(I16))),INDIRECT("'Yr3'!"&amp;ADDRESS(ROW(I16),COLUMN(I16)))),
IF(I12&gt;0,SUMIFS('EE Inputs'!$I$9:$I$32,'EE Inputs'!$C$9:$C$32,$G$6,'EE Inputs'!$D$9:$D$32,$C$4,'EE Inputs'!$E$9:$E$32,$B16)/SUMIFS('EE Inputs'!$V$9:$V$32,'EE Inputs'!$C$9:$C$32,$G$6,'EE Inputs'!$D$9:$D$32,$C$4,'EE Inputs'!$E$9:$E$32,$B16)*10,0))</f>
        <v>387650.44565541792</v>
      </c>
      <c r="J16" s="64">
        <f ca="1">IF($C$4=Lookups!$D$40,SUM(INDIRECT("'Yr1'!"&amp;ADDRESS(ROW(J16),COLUMN(J16))),INDIRECT("'Yr2'!"&amp;ADDRESS(ROW(J16),COLUMN(J16))),INDIRECT("'Yr3'!"&amp;ADDRESS(ROW(J16),COLUMN(J16)))),
IF(J12&gt;0,SUMIFS('EE Inputs'!$I$9:$I$32,'EE Inputs'!$C$9:$C$32,$G$6,'EE Inputs'!$D$9:$D$32,$C$4,'EE Inputs'!$E$9:$E$32,$B16)/SUMIFS('EE Inputs'!$V$9:$V$32,'EE Inputs'!$C$9:$C$32,$G$6,'EE Inputs'!$D$9:$D$32,$C$4,'EE Inputs'!$E$9:$E$32,$B16)*10,0))</f>
        <v>387650.44565541792</v>
      </c>
      <c r="K16" s="64">
        <f ca="1">IF($C$4=Lookups!$D$40,SUM(INDIRECT("'Yr1'!"&amp;ADDRESS(ROW(K16),COLUMN(K16))),INDIRECT("'Yr2'!"&amp;ADDRESS(ROW(K16),COLUMN(K16))),INDIRECT("'Yr3'!"&amp;ADDRESS(ROW(K16),COLUMN(K16)))),
IF(K12&gt;0,SUMIFS('EE Inputs'!$I$9:$I$32,'EE Inputs'!$C$9:$C$32,$G$6,'EE Inputs'!$D$9:$D$32,$C$4,'EE Inputs'!$E$9:$E$32,$B16)/SUMIFS('EE Inputs'!$V$9:$V$32,'EE Inputs'!$C$9:$C$32,$G$6,'EE Inputs'!$D$9:$D$32,$C$4,'EE Inputs'!$E$9:$E$32,$B16)*10,0))</f>
        <v>387650.44565541792</v>
      </c>
      <c r="L16" s="64">
        <f ca="1">IF($C$4=Lookups!$D$40,SUM(INDIRECT("'Yr1'!"&amp;ADDRESS(ROW(L16),COLUMN(L16))),INDIRECT("'Yr2'!"&amp;ADDRESS(ROW(L16),COLUMN(L16))),INDIRECT("'Yr3'!"&amp;ADDRESS(ROW(L16),COLUMN(L16)))),
IF(L12&gt;0,SUMIFS('EE Inputs'!$I$9:$I$32,'EE Inputs'!$C$9:$C$32,$G$6,'EE Inputs'!$D$9:$D$32,$C$4,'EE Inputs'!$E$9:$E$32,$B16)/SUMIFS('EE Inputs'!$V$9:$V$32,'EE Inputs'!$C$9:$C$32,$G$6,'EE Inputs'!$D$9:$D$32,$C$4,'EE Inputs'!$E$9:$E$32,$B16)*10,0))</f>
        <v>387650.44565541792</v>
      </c>
      <c r="M16" s="64">
        <f ca="1">IF($C$4=Lookups!$D$40,SUM(INDIRECT("'Yr1'!"&amp;ADDRESS(ROW(M16),COLUMN(M16))),INDIRECT("'Yr2'!"&amp;ADDRESS(ROW(M16),COLUMN(M16))),INDIRECT("'Yr3'!"&amp;ADDRESS(ROW(M16),COLUMN(M16)))),
IF(M12&gt;0,SUMIFS('EE Inputs'!$I$9:$I$32,'EE Inputs'!$C$9:$C$32,$G$6,'EE Inputs'!$D$9:$D$32,$C$4,'EE Inputs'!$E$9:$E$32,$B16)/SUMIFS('EE Inputs'!$V$9:$V$32,'EE Inputs'!$C$9:$C$32,$G$6,'EE Inputs'!$D$9:$D$32,$C$4,'EE Inputs'!$E$9:$E$32,$B16)*10,0))</f>
        <v>387650.44565541792</v>
      </c>
      <c r="N16" s="64">
        <f ca="1">IF($C$4=Lookups!$D$40,SUM(INDIRECT("'Yr1'!"&amp;ADDRESS(ROW(N16),COLUMN(N16))),INDIRECT("'Yr2'!"&amp;ADDRESS(ROW(N16),COLUMN(N16))),INDIRECT("'Yr3'!"&amp;ADDRESS(ROW(N16),COLUMN(N16)))),
IF(N12&gt;0,SUMIFS('EE Inputs'!$I$9:$I$32,'EE Inputs'!$C$9:$C$32,$G$6,'EE Inputs'!$D$9:$D$32,$C$4,'EE Inputs'!$E$9:$E$32,$B16)/SUMIFS('EE Inputs'!$V$9:$V$32,'EE Inputs'!$C$9:$C$32,$G$6,'EE Inputs'!$D$9:$D$32,$C$4,'EE Inputs'!$E$9:$E$32,$B16)*10,0))</f>
        <v>387650.44565541792</v>
      </c>
      <c r="O16" s="64">
        <f ca="1">IF($C$4=Lookups!$D$40,SUM(INDIRECT("'Yr1'!"&amp;ADDRESS(ROW(O16),COLUMN(O16))),INDIRECT("'Yr2'!"&amp;ADDRESS(ROW(O16),COLUMN(O16))),INDIRECT("'Yr3'!"&amp;ADDRESS(ROW(O16),COLUMN(O16)))),
IF(O12&gt;0,SUMIFS('EE Inputs'!$I$9:$I$32,'EE Inputs'!$C$9:$C$32,$G$6,'EE Inputs'!$D$9:$D$32,$C$4,'EE Inputs'!$E$9:$E$32,$B16)/SUMIFS('EE Inputs'!$V$9:$V$32,'EE Inputs'!$C$9:$C$32,$G$6,'EE Inputs'!$D$9:$D$32,$C$4,'EE Inputs'!$E$9:$E$32,$B16)*10,0))</f>
        <v>387650.44565541792</v>
      </c>
      <c r="P16" s="64">
        <f ca="1">IF($C$4=Lookups!$D$40,SUM(INDIRECT("'Yr1'!"&amp;ADDRESS(ROW(P16),COLUMN(P16))),INDIRECT("'Yr2'!"&amp;ADDRESS(ROW(P16),COLUMN(P16))),INDIRECT("'Yr3'!"&amp;ADDRESS(ROW(P16),COLUMN(P16)))),
IF(P12&gt;0,SUMIFS('EE Inputs'!$I$9:$I$32,'EE Inputs'!$C$9:$C$32,$G$6,'EE Inputs'!$D$9:$D$32,$C$4,'EE Inputs'!$E$9:$E$32,$B16)/SUMIFS('EE Inputs'!$V$9:$V$32,'EE Inputs'!$C$9:$C$32,$G$6,'EE Inputs'!$D$9:$D$32,$C$4,'EE Inputs'!$E$9:$E$32,$B16)*10,0))</f>
        <v>387650.44565541792</v>
      </c>
      <c r="Q16" s="64">
        <f ca="1">IF($C$4=Lookups!$D$40,SUM(INDIRECT("'Yr1'!"&amp;ADDRESS(ROW(Q16),COLUMN(Q16))),INDIRECT("'Yr2'!"&amp;ADDRESS(ROW(Q16),COLUMN(Q16))),INDIRECT("'Yr3'!"&amp;ADDRESS(ROW(Q16),COLUMN(Q16)))),
IF(Q12&gt;0,SUMIFS('EE Inputs'!$I$9:$I$32,'EE Inputs'!$C$9:$C$32,$G$6,'EE Inputs'!$D$9:$D$32,$C$4,'EE Inputs'!$E$9:$E$32,$B16)/SUMIFS('EE Inputs'!$V$9:$V$32,'EE Inputs'!$C$9:$C$32,$G$6,'EE Inputs'!$D$9:$D$32,$C$4,'EE Inputs'!$E$9:$E$32,$B16)*10,0))</f>
        <v>387650.44565541792</v>
      </c>
      <c r="R16" s="64">
        <f ca="1">IF($C$4=Lookups!$D$40,SUM(INDIRECT("'Yr1'!"&amp;ADDRESS(ROW(R16),COLUMN(R16))),INDIRECT("'Yr2'!"&amp;ADDRESS(ROW(R16),COLUMN(R16))),INDIRECT("'Yr3'!"&amp;ADDRESS(ROW(R16),COLUMN(R16)))),
IF(R12&gt;0,SUMIFS('EE Inputs'!$I$9:$I$32,'EE Inputs'!$C$9:$C$32,$G$6,'EE Inputs'!$D$9:$D$32,$C$4,'EE Inputs'!$E$9:$E$32,$B16)/SUMIFS('EE Inputs'!$V$9:$V$32,'EE Inputs'!$C$9:$C$32,$G$6,'EE Inputs'!$D$9:$D$32,$C$4,'EE Inputs'!$E$9:$E$32,$B16)*10,0))</f>
        <v>387650.44565541792</v>
      </c>
      <c r="S16" s="64">
        <f ca="1">IF($C$4=Lookups!$D$40,SUM(INDIRECT("'Yr1'!"&amp;ADDRESS(ROW(S16),COLUMN(S16))),INDIRECT("'Yr2'!"&amp;ADDRESS(ROW(S16),COLUMN(S16))),INDIRECT("'Yr3'!"&amp;ADDRESS(ROW(S16),COLUMN(S16)))),
IF(S12&gt;0,SUMIFS('EE Inputs'!$I$9:$I$32,'EE Inputs'!$C$9:$C$32,$G$6,'EE Inputs'!$D$9:$D$32,$C$4,'EE Inputs'!$E$9:$E$32,$B16)/SUMIFS('EE Inputs'!$V$9:$V$32,'EE Inputs'!$C$9:$C$32,$G$6,'EE Inputs'!$D$9:$D$32,$C$4,'EE Inputs'!$E$9:$E$32,$B16)*10,0))</f>
        <v>387650.44565541792</v>
      </c>
      <c r="T16" s="64">
        <f ca="1">IF($C$4=Lookups!$D$40,SUM(INDIRECT("'Yr1'!"&amp;ADDRESS(ROW(T16),COLUMN(T16))),INDIRECT("'Yr2'!"&amp;ADDRESS(ROW(T16),COLUMN(T16))),INDIRECT("'Yr3'!"&amp;ADDRESS(ROW(T16),COLUMN(T16)))),
IF(T12&gt;0,SUMIFS('EE Inputs'!$I$9:$I$32,'EE Inputs'!$C$9:$C$32,$G$6,'EE Inputs'!$D$9:$D$32,$C$4,'EE Inputs'!$E$9:$E$32,$B16)/SUMIFS('EE Inputs'!$V$9:$V$32,'EE Inputs'!$C$9:$C$32,$G$6,'EE Inputs'!$D$9:$D$32,$C$4,'EE Inputs'!$E$9:$E$32,$B16)*10,0))</f>
        <v>387650.44565541792</v>
      </c>
      <c r="U16" s="64">
        <f ca="1">IF($C$4=Lookups!$D$40,SUM(INDIRECT("'Yr1'!"&amp;ADDRESS(ROW(U16),COLUMN(U16))),INDIRECT("'Yr2'!"&amp;ADDRESS(ROW(U16),COLUMN(U16))),INDIRECT("'Yr3'!"&amp;ADDRESS(ROW(U16),COLUMN(U16)))),
IF(U12&gt;0,SUMIFS('EE Inputs'!$I$9:$I$32,'EE Inputs'!$C$9:$C$32,$G$6,'EE Inputs'!$D$9:$D$32,$C$4,'EE Inputs'!$E$9:$E$32,$B16)/SUMIFS('EE Inputs'!$V$9:$V$32,'EE Inputs'!$C$9:$C$32,$G$6,'EE Inputs'!$D$9:$D$32,$C$4,'EE Inputs'!$E$9:$E$32,$B16)*10,0))</f>
        <v>387650.44565541792</v>
      </c>
      <c r="V16" s="64">
        <f ca="1">IF($C$4=Lookups!$D$40,SUM(INDIRECT("'Yr1'!"&amp;ADDRESS(ROW(V16),COLUMN(V16))),INDIRECT("'Yr2'!"&amp;ADDRESS(ROW(V16),COLUMN(V16))),INDIRECT("'Yr3'!"&amp;ADDRESS(ROW(V16),COLUMN(V16)))),
IF(V12&gt;0,SUMIFS('EE Inputs'!$I$9:$I$32,'EE Inputs'!$C$9:$C$32,$G$6,'EE Inputs'!$D$9:$D$32,$C$4,'EE Inputs'!$E$9:$E$32,$B16)/SUMIFS('EE Inputs'!$V$9:$V$32,'EE Inputs'!$C$9:$C$32,$G$6,'EE Inputs'!$D$9:$D$32,$C$4,'EE Inputs'!$E$9:$E$32,$B16)*10,0))</f>
        <v>387650.44565541792</v>
      </c>
      <c r="W16" s="64">
        <f ca="1">IF($C$4=Lookups!$D$40,SUM(INDIRECT("'Yr1'!"&amp;ADDRESS(ROW(W16),COLUMN(W16))),INDIRECT("'Yr2'!"&amp;ADDRESS(ROW(W16),COLUMN(W16))),INDIRECT("'Yr3'!"&amp;ADDRESS(ROW(W16),COLUMN(W16)))),
IF(W12&gt;0,SUMIFS('EE Inputs'!$I$9:$I$32,'EE Inputs'!$C$9:$C$32,$G$6,'EE Inputs'!$D$9:$D$32,$C$4,'EE Inputs'!$E$9:$E$32,$B16)/SUMIFS('EE Inputs'!$V$9:$V$32,'EE Inputs'!$C$9:$C$32,$G$6,'EE Inputs'!$D$9:$D$32,$C$4,'EE Inputs'!$E$9:$E$32,$B16)*10,0))</f>
        <v>387650.44565541792</v>
      </c>
      <c r="X16" s="64">
        <f ca="1">IF($C$4=Lookups!$D$40,SUM(INDIRECT("'Yr1'!"&amp;ADDRESS(ROW(X16),COLUMN(X16))),INDIRECT("'Yr2'!"&amp;ADDRESS(ROW(X16),COLUMN(X16))),INDIRECT("'Yr3'!"&amp;ADDRESS(ROW(X16),COLUMN(X16)))),
IF(X12&gt;0,SUMIFS('EE Inputs'!$I$9:$I$32,'EE Inputs'!$C$9:$C$32,$G$6,'EE Inputs'!$D$9:$D$32,$C$4,'EE Inputs'!$E$9:$E$32,$B16)/SUMIFS('EE Inputs'!$V$9:$V$32,'EE Inputs'!$C$9:$C$32,$G$6,'EE Inputs'!$D$9:$D$32,$C$4,'EE Inputs'!$E$9:$E$32,$B16)*10,0))</f>
        <v>0</v>
      </c>
      <c r="Y16" s="64">
        <f ca="1">IF($C$4=Lookups!$D$40,SUM(INDIRECT("'Yr1'!"&amp;ADDRESS(ROW(Y16),COLUMN(Y16))),INDIRECT("'Yr2'!"&amp;ADDRESS(ROW(Y16),COLUMN(Y16))),INDIRECT("'Yr3'!"&amp;ADDRESS(ROW(Y16),COLUMN(Y16)))),
IF(Y12&gt;0,SUMIFS('EE Inputs'!$I$9:$I$32,'EE Inputs'!$C$9:$C$32,$G$6,'EE Inputs'!$D$9:$D$32,$C$4,'EE Inputs'!$E$9:$E$32,$B16)/SUMIFS('EE Inputs'!$V$9:$V$32,'EE Inputs'!$C$9:$C$32,$G$6,'EE Inputs'!$D$9:$D$32,$C$4,'EE Inputs'!$E$9:$E$32,$B16)*10,0))</f>
        <v>0</v>
      </c>
      <c r="Z16" s="64">
        <f ca="1">IF($C$4=Lookups!$D$40,SUM(INDIRECT("'Yr1'!"&amp;ADDRESS(ROW(Z16),COLUMN(Z16))),INDIRECT("'Yr2'!"&amp;ADDRESS(ROW(Z16),COLUMN(Z16))),INDIRECT("'Yr3'!"&amp;ADDRESS(ROW(Z16),COLUMN(Z16)))),
IF(Z12&gt;0,SUMIFS('EE Inputs'!$I$9:$I$32,'EE Inputs'!$C$9:$C$32,$G$6,'EE Inputs'!$D$9:$D$32,$C$4,'EE Inputs'!$E$9:$E$32,$B16)/SUMIFS('EE Inputs'!$V$9:$V$32,'EE Inputs'!$C$9:$C$32,$G$6,'EE Inputs'!$D$9:$D$32,$C$4,'EE Inputs'!$E$9:$E$32,$B16)*10,0))</f>
        <v>0</v>
      </c>
      <c r="AA16" s="64">
        <f ca="1">IF($C$4=Lookups!$D$40,SUM(INDIRECT("'Yr1'!"&amp;ADDRESS(ROW(AA16),COLUMN(AA16))),INDIRECT("'Yr2'!"&amp;ADDRESS(ROW(AA16),COLUMN(AA16))),INDIRECT("'Yr3'!"&amp;ADDRESS(ROW(AA16),COLUMN(AA16)))),
IF(AA12&gt;0,SUMIFS('EE Inputs'!$I$9:$I$32,'EE Inputs'!$C$9:$C$32,$G$6,'EE Inputs'!$D$9:$D$32,$C$4,'EE Inputs'!$E$9:$E$32,$B16)/SUMIFS('EE Inputs'!$V$9:$V$32,'EE Inputs'!$C$9:$C$32,$G$6,'EE Inputs'!$D$9:$D$32,$C$4,'EE Inputs'!$E$9:$E$32,$B16)*10,0))</f>
        <v>0</v>
      </c>
      <c r="AB16" s="64">
        <f ca="1">IF($C$4=Lookups!$D$40,SUM(INDIRECT("'Yr1'!"&amp;ADDRESS(ROW(AB16),COLUMN(AB16))),INDIRECT("'Yr2'!"&amp;ADDRESS(ROW(AB16),COLUMN(AB16))),INDIRECT("'Yr3'!"&amp;ADDRESS(ROW(AB16),COLUMN(AB16)))),
IF(AB12&gt;0,SUMIFS('EE Inputs'!$I$9:$I$32,'EE Inputs'!$C$9:$C$32,$G$6,'EE Inputs'!$D$9:$D$32,$C$4,'EE Inputs'!$E$9:$E$32,$B16)/SUMIFS('EE Inputs'!$V$9:$V$32,'EE Inputs'!$C$9:$C$32,$G$6,'EE Inputs'!$D$9:$D$32,$C$4,'EE Inputs'!$E$9:$E$32,$B16)*10,0))</f>
        <v>0</v>
      </c>
      <c r="AC16" s="64">
        <f ca="1">IF($C$4=Lookups!$D$40,SUM(INDIRECT("'Yr1'!"&amp;ADDRESS(ROW(AC16),COLUMN(AC16))),INDIRECT("'Yr2'!"&amp;ADDRESS(ROW(AC16),COLUMN(AC16))),INDIRECT("'Yr3'!"&amp;ADDRESS(ROW(AC16),COLUMN(AC16)))),
IF(AC12&gt;0,SUMIFS('EE Inputs'!$I$9:$I$32,'EE Inputs'!$C$9:$C$32,$G$6,'EE Inputs'!$D$9:$D$32,$C$4,'EE Inputs'!$E$9:$E$32,$B16)/SUMIFS('EE Inputs'!$V$9:$V$32,'EE Inputs'!$C$9:$C$32,$G$6,'EE Inputs'!$D$9:$D$32,$C$4,'EE Inputs'!$E$9:$E$32,$B16)*10,0))</f>
        <v>0</v>
      </c>
      <c r="AD16" s="64">
        <f ca="1">IF($C$4=Lookups!$D$40,SUM(INDIRECT("'Yr1'!"&amp;ADDRESS(ROW(AD16),COLUMN(AD16))),INDIRECT("'Yr2'!"&amp;ADDRESS(ROW(AD16),COLUMN(AD16))),INDIRECT("'Yr3'!"&amp;ADDRESS(ROW(AD16),COLUMN(AD16)))),
IF(AD12&gt;0,SUMIFS('EE Inputs'!$I$9:$I$32,'EE Inputs'!$C$9:$C$32,$G$6,'EE Inputs'!$D$9:$D$32,$C$4,'EE Inputs'!$E$9:$E$32,$B16)/SUMIFS('EE Inputs'!$V$9:$V$32,'EE Inputs'!$C$9:$C$32,$G$6,'EE Inputs'!$D$9:$D$32,$C$4,'EE Inputs'!$E$9:$E$32,$B16)*10,0))</f>
        <v>0</v>
      </c>
      <c r="AE16" s="64">
        <f ca="1">IF($C$4=Lookups!$D$40,SUM(INDIRECT("'Yr1'!"&amp;ADDRESS(ROW(AE16),COLUMN(AE16))),INDIRECT("'Yr2'!"&amp;ADDRESS(ROW(AE16),COLUMN(AE16))),INDIRECT("'Yr3'!"&amp;ADDRESS(ROW(AE16),COLUMN(AE16)))),
IF(AE12&gt;0,SUMIFS('EE Inputs'!$I$9:$I$32,'EE Inputs'!$C$9:$C$32,$G$6,'EE Inputs'!$D$9:$D$32,$C$4,'EE Inputs'!$E$9:$E$32,$B16)/SUMIFS('EE Inputs'!$V$9:$V$32,'EE Inputs'!$C$9:$C$32,$G$6,'EE Inputs'!$D$9:$D$32,$C$4,'EE Inputs'!$E$9:$E$32,$B16)*10,0))</f>
        <v>0</v>
      </c>
      <c r="AF16" s="64">
        <f ca="1">IF($C$4=Lookups!$D$40,SUM(INDIRECT("'Yr1'!"&amp;ADDRESS(ROW(AF16),COLUMN(AF16))),INDIRECT("'Yr2'!"&amp;ADDRESS(ROW(AF16),COLUMN(AF16))),INDIRECT("'Yr3'!"&amp;ADDRESS(ROW(AF16),COLUMN(AF16)))),
IF(AF12&gt;0,SUMIFS('EE Inputs'!$I$9:$I$32,'EE Inputs'!$C$9:$C$32,$G$6,'EE Inputs'!$D$9:$D$32,$C$4,'EE Inputs'!$E$9:$E$32,$B16)/SUMIFS('EE Inputs'!$V$9:$V$32,'EE Inputs'!$C$9:$C$32,$G$6,'EE Inputs'!$D$9:$D$32,$C$4,'EE Inputs'!$E$9:$E$32,$B16)*10,0))</f>
        <v>0</v>
      </c>
      <c r="AG16" s="64">
        <f ca="1">IF($C$4=Lookups!$D$40,SUM(INDIRECT("'Yr1'!"&amp;ADDRESS(ROW(AG16),COLUMN(AG16))),INDIRECT("'Yr2'!"&amp;ADDRESS(ROW(AG16),COLUMN(AG16))),INDIRECT("'Yr3'!"&amp;ADDRESS(ROW(AG16),COLUMN(AG16)))),
IF(AG12&gt;0,SUMIFS('EE Inputs'!$I$9:$I$32,'EE Inputs'!$C$9:$C$32,$G$6,'EE Inputs'!$D$9:$D$32,$C$4,'EE Inputs'!$E$9:$E$32,$B16)/SUMIFS('EE Inputs'!$V$9:$V$32,'EE Inputs'!$C$9:$C$32,$G$6,'EE Inputs'!$D$9:$D$32,$C$4,'EE Inputs'!$E$9:$E$32,$B16)*10,0))</f>
        <v>0</v>
      </c>
      <c r="AH16" s="64"/>
      <c r="AI16" s="64">
        <f ca="1">SUM(G16:AG16)</f>
        <v>5814756.6848312682</v>
      </c>
      <c r="AJ16" s="64"/>
      <c r="AM16" s="71">
        <f ca="1">IF($C$4=Lookups!$D$40,SUM(INDIRECT("'Yr1'!"&amp;ADDRESS(ROW(AM16),COLUMN(AM16))),INDIRECT("'Yr2'!"&amp;ADDRESS(ROW(AM16),COLUMN(AM16))),INDIRECT("'Yr3'!"&amp;ADDRESS(ROW(AM16),COLUMN(AM16)))),
IF(AM12&gt;0,SUMIFS('EE Inputs'!$I$9:$I$32,'EE Inputs'!$C$9:$C$32,$AM$6,'EE Inputs'!$D$9:$D$32,$C$4,'EE Inputs'!$E$9:$E$32,$B16)/SUMIFS('EE Inputs'!$V$9:$V$32,'EE Inputs'!$C$9:$C$32,$AM$6,'EE Inputs'!$D$9:$D$32,$C$4,'EE Inputs'!$E$9:$E$32,$B16)*10,0))</f>
        <v>0</v>
      </c>
      <c r="AN16" s="71">
        <f ca="1">IF($C$4=Lookups!$D$40,SUM(INDIRECT("'Yr1'!"&amp;ADDRESS(ROW(AN16),COLUMN(AN16))),INDIRECT("'Yr2'!"&amp;ADDRESS(ROW(AN16),COLUMN(AN16))),INDIRECT("'Yr3'!"&amp;ADDRESS(ROW(AN16),COLUMN(AN16)))),
IF(AN12&gt;0,SUMIFS('EE Inputs'!$I$9:$I$32,'EE Inputs'!$C$9:$C$32,$AM$6,'EE Inputs'!$D$9:$D$32,$C$4,'EE Inputs'!$E$9:$E$32,$B16)/SUMIFS('EE Inputs'!$V$9:$V$32,'EE Inputs'!$C$9:$C$32,$AM$6,'EE Inputs'!$D$9:$D$32,$C$4,'EE Inputs'!$E$9:$E$32,$B16)*10,0))</f>
        <v>0</v>
      </c>
      <c r="AO16" s="71">
        <f ca="1">IF($C$4=Lookups!$D$40,SUM(INDIRECT("'Yr1'!"&amp;ADDRESS(ROW(AO16),COLUMN(AO16))),INDIRECT("'Yr2'!"&amp;ADDRESS(ROW(AO16),COLUMN(AO16))),INDIRECT("'Yr3'!"&amp;ADDRESS(ROW(AO16),COLUMN(AO16)))),
IF(AO12&gt;0,SUMIFS('EE Inputs'!$I$9:$I$32,'EE Inputs'!$C$9:$C$32,$AM$6,'EE Inputs'!$D$9:$D$32,$C$4,'EE Inputs'!$E$9:$E$32,$B16)/SUMIFS('EE Inputs'!$V$9:$V$32,'EE Inputs'!$C$9:$C$32,$AM$6,'EE Inputs'!$D$9:$D$32,$C$4,'EE Inputs'!$E$9:$E$32,$B16)*10,0))</f>
        <v>443029.08074904908</v>
      </c>
      <c r="AP16" s="71">
        <f ca="1">IF($C$4=Lookups!$D$40,SUM(INDIRECT("'Yr1'!"&amp;ADDRESS(ROW(AP16),COLUMN(AP16))),INDIRECT("'Yr2'!"&amp;ADDRESS(ROW(AP16),COLUMN(AP16))),INDIRECT("'Yr3'!"&amp;ADDRESS(ROW(AP16),COLUMN(AP16)))),
IF(AP12&gt;0,SUMIFS('EE Inputs'!$I$9:$I$32,'EE Inputs'!$C$9:$C$32,$AM$6,'EE Inputs'!$D$9:$D$32,$C$4,'EE Inputs'!$E$9:$E$32,$B16)/SUMIFS('EE Inputs'!$V$9:$V$32,'EE Inputs'!$C$9:$C$32,$AM$6,'EE Inputs'!$D$9:$D$32,$C$4,'EE Inputs'!$E$9:$E$32,$B16)*10,0))</f>
        <v>443029.08074904908</v>
      </c>
      <c r="AQ16" s="71">
        <f ca="1">IF($C$4=Lookups!$D$40,SUM(INDIRECT("'Yr1'!"&amp;ADDRESS(ROW(AQ16),COLUMN(AQ16))),INDIRECT("'Yr2'!"&amp;ADDRESS(ROW(AQ16),COLUMN(AQ16))),INDIRECT("'Yr3'!"&amp;ADDRESS(ROW(AQ16),COLUMN(AQ16)))),
IF(AQ12&gt;0,SUMIFS('EE Inputs'!$I$9:$I$32,'EE Inputs'!$C$9:$C$32,$AM$6,'EE Inputs'!$D$9:$D$32,$C$4,'EE Inputs'!$E$9:$E$32,$B16)/SUMIFS('EE Inputs'!$V$9:$V$32,'EE Inputs'!$C$9:$C$32,$AM$6,'EE Inputs'!$D$9:$D$32,$C$4,'EE Inputs'!$E$9:$E$32,$B16)*10,0))</f>
        <v>443029.08074904908</v>
      </c>
      <c r="AR16" s="71">
        <f ca="1">IF($C$4=Lookups!$D$40,SUM(INDIRECT("'Yr1'!"&amp;ADDRESS(ROW(AR16),COLUMN(AR16))),INDIRECT("'Yr2'!"&amp;ADDRESS(ROW(AR16),COLUMN(AR16))),INDIRECT("'Yr3'!"&amp;ADDRESS(ROW(AR16),COLUMN(AR16)))),
IF(AR12&gt;0,SUMIFS('EE Inputs'!$I$9:$I$32,'EE Inputs'!$C$9:$C$32,$AM$6,'EE Inputs'!$D$9:$D$32,$C$4,'EE Inputs'!$E$9:$E$32,$B16)/SUMIFS('EE Inputs'!$V$9:$V$32,'EE Inputs'!$C$9:$C$32,$AM$6,'EE Inputs'!$D$9:$D$32,$C$4,'EE Inputs'!$E$9:$E$32,$B16)*10,0))</f>
        <v>443029.08074904908</v>
      </c>
      <c r="AS16" s="71">
        <f ca="1">IF($C$4=Lookups!$D$40,SUM(INDIRECT("'Yr1'!"&amp;ADDRESS(ROW(AS16),COLUMN(AS16))),INDIRECT("'Yr2'!"&amp;ADDRESS(ROW(AS16),COLUMN(AS16))),INDIRECT("'Yr3'!"&amp;ADDRESS(ROW(AS16),COLUMN(AS16)))),
IF(AS12&gt;0,SUMIFS('EE Inputs'!$I$9:$I$32,'EE Inputs'!$C$9:$C$32,$AM$6,'EE Inputs'!$D$9:$D$32,$C$4,'EE Inputs'!$E$9:$E$32,$B16)/SUMIFS('EE Inputs'!$V$9:$V$32,'EE Inputs'!$C$9:$C$32,$AM$6,'EE Inputs'!$D$9:$D$32,$C$4,'EE Inputs'!$E$9:$E$32,$B16)*10,0))</f>
        <v>443029.08074904908</v>
      </c>
      <c r="AT16" s="71">
        <f ca="1">IF($C$4=Lookups!$D$40,SUM(INDIRECT("'Yr1'!"&amp;ADDRESS(ROW(AT16),COLUMN(AT16))),INDIRECT("'Yr2'!"&amp;ADDRESS(ROW(AT16),COLUMN(AT16))),INDIRECT("'Yr3'!"&amp;ADDRESS(ROW(AT16),COLUMN(AT16)))),
IF(AT12&gt;0,SUMIFS('EE Inputs'!$I$9:$I$32,'EE Inputs'!$C$9:$C$32,$AM$6,'EE Inputs'!$D$9:$D$32,$C$4,'EE Inputs'!$E$9:$E$32,$B16)/SUMIFS('EE Inputs'!$V$9:$V$32,'EE Inputs'!$C$9:$C$32,$AM$6,'EE Inputs'!$D$9:$D$32,$C$4,'EE Inputs'!$E$9:$E$32,$B16)*10,0))</f>
        <v>443029.08074904908</v>
      </c>
      <c r="AU16" s="71">
        <f ca="1">IF($C$4=Lookups!$D$40,SUM(INDIRECT("'Yr1'!"&amp;ADDRESS(ROW(AU16),COLUMN(AU16))),INDIRECT("'Yr2'!"&amp;ADDRESS(ROW(AU16),COLUMN(AU16))),INDIRECT("'Yr3'!"&amp;ADDRESS(ROW(AU16),COLUMN(AU16)))),
IF(AU12&gt;0,SUMIFS('EE Inputs'!$I$9:$I$32,'EE Inputs'!$C$9:$C$32,$AM$6,'EE Inputs'!$D$9:$D$32,$C$4,'EE Inputs'!$E$9:$E$32,$B16)/SUMIFS('EE Inputs'!$V$9:$V$32,'EE Inputs'!$C$9:$C$32,$AM$6,'EE Inputs'!$D$9:$D$32,$C$4,'EE Inputs'!$E$9:$E$32,$B16)*10,0))</f>
        <v>443029.08074904908</v>
      </c>
      <c r="AV16" s="71">
        <f ca="1">IF($C$4=Lookups!$D$40,SUM(INDIRECT("'Yr1'!"&amp;ADDRESS(ROW(AV16),COLUMN(AV16))),INDIRECT("'Yr2'!"&amp;ADDRESS(ROW(AV16),COLUMN(AV16))),INDIRECT("'Yr3'!"&amp;ADDRESS(ROW(AV16),COLUMN(AV16)))),
IF(AV12&gt;0,SUMIFS('EE Inputs'!$I$9:$I$32,'EE Inputs'!$C$9:$C$32,$AM$6,'EE Inputs'!$D$9:$D$32,$C$4,'EE Inputs'!$E$9:$E$32,$B16)/SUMIFS('EE Inputs'!$V$9:$V$32,'EE Inputs'!$C$9:$C$32,$AM$6,'EE Inputs'!$D$9:$D$32,$C$4,'EE Inputs'!$E$9:$E$32,$B16)*10,0))</f>
        <v>443029.08074904908</v>
      </c>
      <c r="AW16" s="71">
        <f ca="1">IF($C$4=Lookups!$D$40,SUM(INDIRECT("'Yr1'!"&amp;ADDRESS(ROW(AW16),COLUMN(AW16))),INDIRECT("'Yr2'!"&amp;ADDRESS(ROW(AW16),COLUMN(AW16))),INDIRECT("'Yr3'!"&amp;ADDRESS(ROW(AW16),COLUMN(AW16)))),
IF(AW12&gt;0,SUMIFS('EE Inputs'!$I$9:$I$32,'EE Inputs'!$C$9:$C$32,$AM$6,'EE Inputs'!$D$9:$D$32,$C$4,'EE Inputs'!$E$9:$E$32,$B16)/SUMIFS('EE Inputs'!$V$9:$V$32,'EE Inputs'!$C$9:$C$32,$AM$6,'EE Inputs'!$D$9:$D$32,$C$4,'EE Inputs'!$E$9:$E$32,$B16)*10,0))</f>
        <v>443029.08074904908</v>
      </c>
      <c r="AX16" s="71">
        <f ca="1">IF($C$4=Lookups!$D$40,SUM(INDIRECT("'Yr1'!"&amp;ADDRESS(ROW(AX16),COLUMN(AX16))),INDIRECT("'Yr2'!"&amp;ADDRESS(ROW(AX16),COLUMN(AX16))),INDIRECT("'Yr3'!"&amp;ADDRESS(ROW(AX16),COLUMN(AX16)))),
IF(AX12&gt;0,SUMIFS('EE Inputs'!$I$9:$I$32,'EE Inputs'!$C$9:$C$32,$AM$6,'EE Inputs'!$D$9:$D$32,$C$4,'EE Inputs'!$E$9:$E$32,$B16)/SUMIFS('EE Inputs'!$V$9:$V$32,'EE Inputs'!$C$9:$C$32,$AM$6,'EE Inputs'!$D$9:$D$32,$C$4,'EE Inputs'!$E$9:$E$32,$B16)*10,0))</f>
        <v>443029.08074904908</v>
      </c>
      <c r="AY16" s="71">
        <f ca="1">IF($C$4=Lookups!$D$40,SUM(INDIRECT("'Yr1'!"&amp;ADDRESS(ROW(AY16),COLUMN(AY16))),INDIRECT("'Yr2'!"&amp;ADDRESS(ROW(AY16),COLUMN(AY16))),INDIRECT("'Yr3'!"&amp;ADDRESS(ROW(AY16),COLUMN(AY16)))),
IF(AY12&gt;0,SUMIFS('EE Inputs'!$I$9:$I$32,'EE Inputs'!$C$9:$C$32,$AM$6,'EE Inputs'!$D$9:$D$32,$C$4,'EE Inputs'!$E$9:$E$32,$B16)/SUMIFS('EE Inputs'!$V$9:$V$32,'EE Inputs'!$C$9:$C$32,$AM$6,'EE Inputs'!$D$9:$D$32,$C$4,'EE Inputs'!$E$9:$E$32,$B16)*10,0))</f>
        <v>443029.08074904908</v>
      </c>
      <c r="AZ16" s="71">
        <f ca="1">IF($C$4=Lookups!$D$40,SUM(INDIRECT("'Yr1'!"&amp;ADDRESS(ROW(AZ16),COLUMN(AZ16))),INDIRECT("'Yr2'!"&amp;ADDRESS(ROW(AZ16),COLUMN(AZ16))),INDIRECT("'Yr3'!"&amp;ADDRESS(ROW(AZ16),COLUMN(AZ16)))),
IF(AZ12&gt;0,SUMIFS('EE Inputs'!$I$9:$I$32,'EE Inputs'!$C$9:$C$32,$AM$6,'EE Inputs'!$D$9:$D$32,$C$4,'EE Inputs'!$E$9:$E$32,$B16)/SUMIFS('EE Inputs'!$V$9:$V$32,'EE Inputs'!$C$9:$C$32,$AM$6,'EE Inputs'!$D$9:$D$32,$C$4,'EE Inputs'!$E$9:$E$32,$B16)*10,0))</f>
        <v>443029.08074904908</v>
      </c>
      <c r="BA16" s="71">
        <f ca="1">IF($C$4=Lookups!$D$40,SUM(INDIRECT("'Yr1'!"&amp;ADDRESS(ROW(BA16),COLUMN(BA16))),INDIRECT("'Yr2'!"&amp;ADDRESS(ROW(BA16),COLUMN(BA16))),INDIRECT("'Yr3'!"&amp;ADDRESS(ROW(BA16),COLUMN(BA16)))),
IF(BA12&gt;0,SUMIFS('EE Inputs'!$I$9:$I$32,'EE Inputs'!$C$9:$C$32,$AM$6,'EE Inputs'!$D$9:$D$32,$C$4,'EE Inputs'!$E$9:$E$32,$B16)/SUMIFS('EE Inputs'!$V$9:$V$32,'EE Inputs'!$C$9:$C$32,$AM$6,'EE Inputs'!$D$9:$D$32,$C$4,'EE Inputs'!$E$9:$E$32,$B16)*10,0))</f>
        <v>443029.08074904908</v>
      </c>
      <c r="BB16" s="71">
        <f ca="1">IF($C$4=Lookups!$D$40,SUM(INDIRECT("'Yr1'!"&amp;ADDRESS(ROW(BB16),COLUMN(BB16))),INDIRECT("'Yr2'!"&amp;ADDRESS(ROW(BB16),COLUMN(BB16))),INDIRECT("'Yr3'!"&amp;ADDRESS(ROW(BB16),COLUMN(BB16)))),
IF(BB12&gt;0,SUMIFS('EE Inputs'!$I$9:$I$32,'EE Inputs'!$C$9:$C$32,$AM$6,'EE Inputs'!$D$9:$D$32,$C$4,'EE Inputs'!$E$9:$E$32,$B16)/SUMIFS('EE Inputs'!$V$9:$V$32,'EE Inputs'!$C$9:$C$32,$AM$6,'EE Inputs'!$D$9:$D$32,$C$4,'EE Inputs'!$E$9:$E$32,$B16)*10,0))</f>
        <v>443029.08074904908</v>
      </c>
      <c r="BC16" s="71">
        <f ca="1">IF($C$4=Lookups!$D$40,SUM(INDIRECT("'Yr1'!"&amp;ADDRESS(ROW(BC16),COLUMN(BC16))),INDIRECT("'Yr2'!"&amp;ADDRESS(ROW(BC16),COLUMN(BC16))),INDIRECT("'Yr3'!"&amp;ADDRESS(ROW(BC16),COLUMN(BC16)))),
IF(BC12&gt;0,SUMIFS('EE Inputs'!$I$9:$I$32,'EE Inputs'!$C$9:$C$32,$AM$6,'EE Inputs'!$D$9:$D$32,$C$4,'EE Inputs'!$E$9:$E$32,$B16)/SUMIFS('EE Inputs'!$V$9:$V$32,'EE Inputs'!$C$9:$C$32,$AM$6,'EE Inputs'!$D$9:$D$32,$C$4,'EE Inputs'!$E$9:$E$32,$B16)*10,0))</f>
        <v>443029.08074904908</v>
      </c>
      <c r="BD16" s="71">
        <f ca="1">IF($C$4=Lookups!$D$40,SUM(INDIRECT("'Yr1'!"&amp;ADDRESS(ROW(BD16),COLUMN(BD16))),INDIRECT("'Yr2'!"&amp;ADDRESS(ROW(BD16),COLUMN(BD16))),INDIRECT("'Yr3'!"&amp;ADDRESS(ROW(BD16),COLUMN(BD16)))),
IF(BD12&gt;0,SUMIFS('EE Inputs'!$I$9:$I$32,'EE Inputs'!$C$9:$C$32,$AM$6,'EE Inputs'!$D$9:$D$32,$C$4,'EE Inputs'!$E$9:$E$32,$B16)/SUMIFS('EE Inputs'!$V$9:$V$32,'EE Inputs'!$C$9:$C$32,$AM$6,'EE Inputs'!$D$9:$D$32,$C$4,'EE Inputs'!$E$9:$E$32,$B16)*10,0))</f>
        <v>0</v>
      </c>
      <c r="BE16" s="71">
        <f ca="1">IF($C$4=Lookups!$D$40,SUM(INDIRECT("'Yr1'!"&amp;ADDRESS(ROW(BE16),COLUMN(BE16))),INDIRECT("'Yr2'!"&amp;ADDRESS(ROW(BE16),COLUMN(BE16))),INDIRECT("'Yr3'!"&amp;ADDRESS(ROW(BE16),COLUMN(BE16)))),
IF(BE12&gt;0,SUMIFS('EE Inputs'!$I$9:$I$32,'EE Inputs'!$C$9:$C$32,$AM$6,'EE Inputs'!$D$9:$D$32,$C$4,'EE Inputs'!$E$9:$E$32,$B16)/SUMIFS('EE Inputs'!$V$9:$V$32,'EE Inputs'!$C$9:$C$32,$AM$6,'EE Inputs'!$D$9:$D$32,$C$4,'EE Inputs'!$E$9:$E$32,$B16)*10,0))</f>
        <v>0</v>
      </c>
      <c r="BF16" s="71">
        <f ca="1">IF($C$4=Lookups!$D$40,SUM(INDIRECT("'Yr1'!"&amp;ADDRESS(ROW(BF16),COLUMN(BF16))),INDIRECT("'Yr2'!"&amp;ADDRESS(ROW(BF16),COLUMN(BF16))),INDIRECT("'Yr3'!"&amp;ADDRESS(ROW(BF16),COLUMN(BF16)))),
IF(BF12&gt;0,SUMIFS('EE Inputs'!$I$9:$I$32,'EE Inputs'!$C$9:$C$32,$AM$6,'EE Inputs'!$D$9:$D$32,$C$4,'EE Inputs'!$E$9:$E$32,$B16)/SUMIFS('EE Inputs'!$V$9:$V$32,'EE Inputs'!$C$9:$C$32,$AM$6,'EE Inputs'!$D$9:$D$32,$C$4,'EE Inputs'!$E$9:$E$32,$B16)*10,0))</f>
        <v>0</v>
      </c>
      <c r="BG16" s="71">
        <f ca="1">IF($C$4=Lookups!$D$40,SUM(INDIRECT("'Yr1'!"&amp;ADDRESS(ROW(BG16),COLUMN(BG16))),INDIRECT("'Yr2'!"&amp;ADDRESS(ROW(BG16),COLUMN(BG16))),INDIRECT("'Yr3'!"&amp;ADDRESS(ROW(BG16),COLUMN(BG16)))),
IF(BG12&gt;0,SUMIFS('EE Inputs'!$I$9:$I$32,'EE Inputs'!$C$9:$C$32,$AM$6,'EE Inputs'!$D$9:$D$32,$C$4,'EE Inputs'!$E$9:$E$32,$B16)/SUMIFS('EE Inputs'!$V$9:$V$32,'EE Inputs'!$C$9:$C$32,$AM$6,'EE Inputs'!$D$9:$D$32,$C$4,'EE Inputs'!$E$9:$E$32,$B16)*10,0))</f>
        <v>0</v>
      </c>
      <c r="BH16" s="71">
        <f ca="1">IF($C$4=Lookups!$D$40,SUM(INDIRECT("'Yr1'!"&amp;ADDRESS(ROW(BH16),COLUMN(BH16))),INDIRECT("'Yr2'!"&amp;ADDRESS(ROW(BH16),COLUMN(BH16))),INDIRECT("'Yr3'!"&amp;ADDRESS(ROW(BH16),COLUMN(BH16)))),
IF(BH12&gt;0,SUMIFS('EE Inputs'!$I$9:$I$32,'EE Inputs'!$C$9:$C$32,$AM$6,'EE Inputs'!$D$9:$D$32,$C$4,'EE Inputs'!$E$9:$E$32,$B16)/SUMIFS('EE Inputs'!$V$9:$V$32,'EE Inputs'!$C$9:$C$32,$AM$6,'EE Inputs'!$D$9:$D$32,$C$4,'EE Inputs'!$E$9:$E$32,$B16)*10,0))</f>
        <v>0</v>
      </c>
      <c r="BI16" s="71">
        <f ca="1">IF($C$4=Lookups!$D$40,SUM(INDIRECT("'Yr1'!"&amp;ADDRESS(ROW(BI16),COLUMN(BI16))),INDIRECT("'Yr2'!"&amp;ADDRESS(ROW(BI16),COLUMN(BI16))),INDIRECT("'Yr3'!"&amp;ADDRESS(ROW(BI16),COLUMN(BI16)))),
IF(BI12&gt;0,SUMIFS('EE Inputs'!$I$9:$I$32,'EE Inputs'!$C$9:$C$32,$AM$6,'EE Inputs'!$D$9:$D$32,$C$4,'EE Inputs'!$E$9:$E$32,$B16)/SUMIFS('EE Inputs'!$V$9:$V$32,'EE Inputs'!$C$9:$C$32,$AM$6,'EE Inputs'!$D$9:$D$32,$C$4,'EE Inputs'!$E$9:$E$32,$B16)*10,0))</f>
        <v>0</v>
      </c>
      <c r="BJ16" s="71">
        <f ca="1">IF($C$4=Lookups!$D$40,SUM(INDIRECT("'Yr1'!"&amp;ADDRESS(ROW(BJ16),COLUMN(BJ16))),INDIRECT("'Yr2'!"&amp;ADDRESS(ROW(BJ16),COLUMN(BJ16))),INDIRECT("'Yr3'!"&amp;ADDRESS(ROW(BJ16),COLUMN(BJ16)))),
IF(BJ12&gt;0,SUMIFS('EE Inputs'!$I$9:$I$32,'EE Inputs'!$C$9:$C$32,$AM$6,'EE Inputs'!$D$9:$D$32,$C$4,'EE Inputs'!$E$9:$E$32,$B16)/SUMIFS('EE Inputs'!$V$9:$V$32,'EE Inputs'!$C$9:$C$32,$AM$6,'EE Inputs'!$D$9:$D$32,$C$4,'EE Inputs'!$E$9:$E$32,$B16)*10,0))</f>
        <v>0</v>
      </c>
      <c r="BK16" s="71">
        <f ca="1">IF($C$4=Lookups!$D$40,SUM(INDIRECT("'Yr1'!"&amp;ADDRESS(ROW(BK16),COLUMN(BK16))),INDIRECT("'Yr2'!"&amp;ADDRESS(ROW(BK16),COLUMN(BK16))),INDIRECT("'Yr3'!"&amp;ADDRESS(ROW(BK16),COLUMN(BK16)))),
IF(BK12&gt;0,SUMIFS('EE Inputs'!$I$9:$I$32,'EE Inputs'!$C$9:$C$32,$AM$6,'EE Inputs'!$D$9:$D$32,$C$4,'EE Inputs'!$E$9:$E$32,$B16)/SUMIFS('EE Inputs'!$V$9:$V$32,'EE Inputs'!$C$9:$C$32,$AM$6,'EE Inputs'!$D$9:$D$32,$C$4,'EE Inputs'!$E$9:$E$32,$B16)*10,0))</f>
        <v>0</v>
      </c>
      <c r="BL16" s="71">
        <f ca="1">IF($C$4=Lookups!$D$40,SUM(INDIRECT("'Yr1'!"&amp;ADDRESS(ROW(BL16),COLUMN(BL16))),INDIRECT("'Yr2'!"&amp;ADDRESS(ROW(BL16),COLUMN(BL16))),INDIRECT("'Yr3'!"&amp;ADDRESS(ROW(BL16),COLUMN(BL16)))),
IF(BL12&gt;0,SUMIFS('EE Inputs'!$I$9:$I$32,'EE Inputs'!$C$9:$C$32,$AM$6,'EE Inputs'!$D$9:$D$32,$C$4,'EE Inputs'!$E$9:$E$32,$B16)/SUMIFS('EE Inputs'!$V$9:$V$32,'EE Inputs'!$C$9:$C$32,$AM$6,'EE Inputs'!$D$9:$D$32,$C$4,'EE Inputs'!$E$9:$E$32,$B16)*10,0))</f>
        <v>0</v>
      </c>
      <c r="BM16" s="71">
        <f ca="1">IF($C$4=Lookups!$D$40,SUM(INDIRECT("'Yr1'!"&amp;ADDRESS(ROW(BM16),COLUMN(BM16))),INDIRECT("'Yr2'!"&amp;ADDRESS(ROW(BM16),COLUMN(BM16))),INDIRECT("'Yr3'!"&amp;ADDRESS(ROW(BM16),COLUMN(BM16)))),
IF(BM12&gt;0,SUMIFS('EE Inputs'!$I$9:$I$32,'EE Inputs'!$C$9:$C$32,$AM$6,'EE Inputs'!$D$9:$D$32,$C$4,'EE Inputs'!$E$9:$E$32,$B16)/SUMIFS('EE Inputs'!$V$9:$V$32,'EE Inputs'!$C$9:$C$32,$AM$6,'EE Inputs'!$D$9:$D$32,$C$4,'EE Inputs'!$E$9:$E$32,$B16)*10,0))</f>
        <v>0</v>
      </c>
      <c r="BN16" s="71"/>
      <c r="BO16" s="71">
        <f ca="1">SUM(AM16:BM16)</f>
        <v>6645436.2112357337</v>
      </c>
      <c r="BP16" s="71"/>
      <c r="BS16" s="84" t="s">
        <v>92</v>
      </c>
      <c r="BT16" s="51" t="s">
        <v>17</v>
      </c>
    </row>
    <row r="17" spans="1:72" x14ac:dyDescent="0.25">
      <c r="B17" s="243" t="str">
        <f t="shared" si="4"/>
        <v>Residential</v>
      </c>
      <c r="C17" s="243" t="str">
        <f>C16</f>
        <v>Sales</v>
      </c>
      <c r="D17" s="244" t="s">
        <v>109</v>
      </c>
      <c r="E17" s="85" t="s">
        <v>109</v>
      </c>
      <c r="F17" s="84" t="s">
        <v>195</v>
      </c>
      <c r="G17" s="65">
        <f ca="1">G15-G16</f>
        <v>0</v>
      </c>
      <c r="H17" s="65">
        <f t="shared" ref="H17:AG17" ca="1" si="5">H15-H16</f>
        <v>0</v>
      </c>
      <c r="I17" s="65">
        <f t="shared" ca="1" si="5"/>
        <v>58137938.657907672</v>
      </c>
      <c r="J17" s="65">
        <f t="shared" ca="1" si="5"/>
        <v>58137938.657907672</v>
      </c>
      <c r="K17" s="65">
        <f t="shared" ca="1" si="5"/>
        <v>58137938.657907672</v>
      </c>
      <c r="L17" s="65">
        <f t="shared" ca="1" si="5"/>
        <v>58137938.657907672</v>
      </c>
      <c r="M17" s="65">
        <f t="shared" ca="1" si="5"/>
        <v>58137938.657907672</v>
      </c>
      <c r="N17" s="65">
        <f t="shared" ca="1" si="5"/>
        <v>58137938.657907672</v>
      </c>
      <c r="O17" s="65">
        <f t="shared" ca="1" si="5"/>
        <v>58137938.657907672</v>
      </c>
      <c r="P17" s="65">
        <f t="shared" ca="1" si="5"/>
        <v>58137938.657907672</v>
      </c>
      <c r="Q17" s="65">
        <f t="shared" ca="1" si="5"/>
        <v>58137938.657907672</v>
      </c>
      <c r="R17" s="65">
        <f t="shared" ca="1" si="5"/>
        <v>58137938.657907672</v>
      </c>
      <c r="S17" s="65">
        <f t="shared" ca="1" si="5"/>
        <v>58137938.657907672</v>
      </c>
      <c r="T17" s="65">
        <f t="shared" ca="1" si="5"/>
        <v>58137938.657907672</v>
      </c>
      <c r="U17" s="65">
        <f t="shared" ca="1" si="5"/>
        <v>58137938.657907672</v>
      </c>
      <c r="V17" s="65">
        <f t="shared" ca="1" si="5"/>
        <v>58137938.657907672</v>
      </c>
      <c r="W17" s="65">
        <f t="shared" ca="1" si="5"/>
        <v>58137938.657907672</v>
      </c>
      <c r="X17" s="65">
        <f t="shared" ca="1" si="5"/>
        <v>58525589.103563093</v>
      </c>
      <c r="Y17" s="65">
        <f t="shared" ca="1" si="5"/>
        <v>58525589.103563093</v>
      </c>
      <c r="Z17" s="65">
        <f t="shared" ca="1" si="5"/>
        <v>58525589.103563093</v>
      </c>
      <c r="AA17" s="65">
        <f t="shared" ca="1" si="5"/>
        <v>58525589.103563093</v>
      </c>
      <c r="AB17" s="65">
        <f t="shared" ca="1" si="5"/>
        <v>58525589.103563093</v>
      </c>
      <c r="AC17" s="65">
        <f t="shared" ca="1" si="5"/>
        <v>58525589.103563093</v>
      </c>
      <c r="AD17" s="65">
        <f t="shared" ca="1" si="5"/>
        <v>58525589.103563093</v>
      </c>
      <c r="AE17" s="65">
        <f t="shared" ca="1" si="5"/>
        <v>58525589.103563093</v>
      </c>
      <c r="AF17" s="65">
        <f t="shared" ca="1" si="5"/>
        <v>58525589.103563093</v>
      </c>
      <c r="AG17" s="65">
        <f t="shared" ca="1" si="5"/>
        <v>58525589.103563093</v>
      </c>
      <c r="AH17" s="65"/>
      <c r="AI17" s="65">
        <f ca="1">SUM(G17:AG17)</f>
        <v>1457324970.9042461</v>
      </c>
      <c r="AJ17" s="65"/>
      <c r="AM17" s="72">
        <f ca="1">AM15-AM16</f>
        <v>0</v>
      </c>
      <c r="AN17" s="72">
        <f t="shared" ref="AN17:BM17" ca="1" si="6">AN15-AN16</f>
        <v>0</v>
      </c>
      <c r="AO17" s="72">
        <f t="shared" ca="1" si="6"/>
        <v>58082560.022814043</v>
      </c>
      <c r="AP17" s="72">
        <f t="shared" ca="1" si="6"/>
        <v>58082560.022814043</v>
      </c>
      <c r="AQ17" s="72">
        <f t="shared" ca="1" si="6"/>
        <v>58082560.022814043</v>
      </c>
      <c r="AR17" s="72">
        <f t="shared" ca="1" si="6"/>
        <v>58082560.022814043</v>
      </c>
      <c r="AS17" s="72">
        <f t="shared" ca="1" si="6"/>
        <v>58082560.022814043</v>
      </c>
      <c r="AT17" s="72">
        <f t="shared" ca="1" si="6"/>
        <v>58082560.022814043</v>
      </c>
      <c r="AU17" s="72">
        <f t="shared" ca="1" si="6"/>
        <v>58082560.022814043</v>
      </c>
      <c r="AV17" s="72">
        <f t="shared" ca="1" si="6"/>
        <v>58082560.022814043</v>
      </c>
      <c r="AW17" s="72">
        <f t="shared" ca="1" si="6"/>
        <v>58082560.022814043</v>
      </c>
      <c r="AX17" s="72">
        <f t="shared" ca="1" si="6"/>
        <v>58082560.022814043</v>
      </c>
      <c r="AY17" s="72">
        <f t="shared" ca="1" si="6"/>
        <v>58082560.022814043</v>
      </c>
      <c r="AZ17" s="72">
        <f t="shared" ca="1" si="6"/>
        <v>58082560.022814043</v>
      </c>
      <c r="BA17" s="72">
        <f t="shared" ca="1" si="6"/>
        <v>58082560.022814043</v>
      </c>
      <c r="BB17" s="72">
        <f t="shared" ca="1" si="6"/>
        <v>58082560.022814043</v>
      </c>
      <c r="BC17" s="72">
        <f t="shared" ca="1" si="6"/>
        <v>58082560.022814043</v>
      </c>
      <c r="BD17" s="72">
        <f t="shared" ca="1" si="6"/>
        <v>58525589.103563093</v>
      </c>
      <c r="BE17" s="72">
        <f t="shared" ca="1" si="6"/>
        <v>58525589.103563093</v>
      </c>
      <c r="BF17" s="72">
        <f t="shared" ca="1" si="6"/>
        <v>58525589.103563093</v>
      </c>
      <c r="BG17" s="72">
        <f t="shared" ca="1" si="6"/>
        <v>58525589.103563093</v>
      </c>
      <c r="BH17" s="72">
        <f t="shared" ca="1" si="6"/>
        <v>58525589.103563093</v>
      </c>
      <c r="BI17" s="72">
        <f t="shared" ca="1" si="6"/>
        <v>58525589.103563093</v>
      </c>
      <c r="BJ17" s="72">
        <f t="shared" ca="1" si="6"/>
        <v>58525589.103563093</v>
      </c>
      <c r="BK17" s="72">
        <f t="shared" ca="1" si="6"/>
        <v>58525589.103563093</v>
      </c>
      <c r="BL17" s="72">
        <f t="shared" ca="1" si="6"/>
        <v>58525589.103563093</v>
      </c>
      <c r="BM17" s="72">
        <f t="shared" ca="1" si="6"/>
        <v>58525589.103563093</v>
      </c>
      <c r="BN17" s="72"/>
      <c r="BO17" s="72">
        <f ca="1">SUM(AM17:BM17)</f>
        <v>1456494291.3778415</v>
      </c>
      <c r="BP17" s="72"/>
      <c r="BS17" s="84" t="s">
        <v>93</v>
      </c>
      <c r="BT17" s="51" t="s">
        <v>17</v>
      </c>
    </row>
    <row r="18" spans="1:72" s="5" customFormat="1" x14ac:dyDescent="0.25">
      <c r="A18" s="52"/>
      <c r="B18" s="242" t="str">
        <f t="shared" si="4"/>
        <v>Residential</v>
      </c>
      <c r="C18" s="243" t="str">
        <f>C17</f>
        <v>Sales</v>
      </c>
      <c r="D18" s="77" t="s">
        <v>17</v>
      </c>
      <c r="E18" s="76"/>
      <c r="F18" s="76"/>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8"/>
      <c r="AI18" s="235"/>
      <c r="AJ18" s="48"/>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S18" s="76"/>
      <c r="BT18" s="51" t="s">
        <v>17</v>
      </c>
    </row>
    <row r="19" spans="1:72" s="5" customFormat="1" ht="15.75" x14ac:dyDescent="0.25">
      <c r="A19" s="52"/>
      <c r="B19" s="241" t="str">
        <f t="shared" si="4"/>
        <v>Residential</v>
      </c>
      <c r="C19" s="63" t="s">
        <v>124</v>
      </c>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2"/>
      <c r="BO19" s="62"/>
      <c r="BP19" s="62"/>
      <c r="BS19" s="62"/>
      <c r="BT19" s="51" t="s">
        <v>17</v>
      </c>
    </row>
    <row r="20" spans="1:72" x14ac:dyDescent="0.25">
      <c r="B20" s="243" t="str">
        <f t="shared" si="4"/>
        <v>Residential</v>
      </c>
      <c r="C20" s="243" t="str">
        <f t="shared" si="4"/>
        <v>Revenue Requirements</v>
      </c>
      <c r="D20" s="114" t="str">
        <f>"Revenue Requirement before DSM ("&amp;Lookups!$D$22&amp;" Scenario)"</f>
        <v>Revenue Requirement before DSM (No EE Scenario)</v>
      </c>
      <c r="E20" s="84"/>
      <c r="F20" s="84"/>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S20" s="84"/>
      <c r="BT20" s="51" t="s">
        <v>17</v>
      </c>
    </row>
    <row r="21" spans="1:72" x14ac:dyDescent="0.25">
      <c r="B21" s="243" t="str">
        <f t="shared" si="4"/>
        <v>Residential</v>
      </c>
      <c r="C21" s="243" t="str">
        <f t="shared" si="4"/>
        <v>Revenue Requirements</v>
      </c>
      <c r="D21" s="244" t="str">
        <f>D20</f>
        <v>Revenue Requirement before DSM (No EE Scenario)</v>
      </c>
      <c r="E21" s="84" t="s">
        <v>26</v>
      </c>
      <c r="F21" s="84" t="s">
        <v>32</v>
      </c>
      <c r="G21" s="65">
        <f>G38*G15</f>
        <v>0</v>
      </c>
      <c r="H21" s="65">
        <f t="shared" ref="H21:AG21" si="7">H38*H15</f>
        <v>0</v>
      </c>
      <c r="I21" s="65">
        <f t="shared" si="7"/>
        <v>32592900.571774282</v>
      </c>
      <c r="J21" s="65">
        <f t="shared" si="7"/>
        <v>32592900.571774282</v>
      </c>
      <c r="K21" s="65">
        <f t="shared" si="7"/>
        <v>32592900.571774282</v>
      </c>
      <c r="L21" s="65">
        <f t="shared" si="7"/>
        <v>32592900.571774282</v>
      </c>
      <c r="M21" s="65">
        <f t="shared" si="7"/>
        <v>32592900.571774282</v>
      </c>
      <c r="N21" s="65">
        <f t="shared" si="7"/>
        <v>32592900.571774282</v>
      </c>
      <c r="O21" s="65">
        <f t="shared" si="7"/>
        <v>32592900.571774282</v>
      </c>
      <c r="P21" s="65">
        <f t="shared" si="7"/>
        <v>32592900.571774282</v>
      </c>
      <c r="Q21" s="65">
        <f t="shared" si="7"/>
        <v>32592900.571774282</v>
      </c>
      <c r="R21" s="65">
        <f t="shared" si="7"/>
        <v>32592900.571774282</v>
      </c>
      <c r="S21" s="65">
        <f t="shared" si="7"/>
        <v>32592900.571774282</v>
      </c>
      <c r="T21" s="65">
        <f t="shared" si="7"/>
        <v>32592900.571774282</v>
      </c>
      <c r="U21" s="65">
        <f t="shared" si="7"/>
        <v>32592900.571774282</v>
      </c>
      <c r="V21" s="65">
        <f t="shared" si="7"/>
        <v>32592900.571774282</v>
      </c>
      <c r="W21" s="65">
        <f t="shared" si="7"/>
        <v>32592900.571774282</v>
      </c>
      <c r="X21" s="65">
        <f t="shared" si="7"/>
        <v>32592900.571774282</v>
      </c>
      <c r="Y21" s="65">
        <f t="shared" si="7"/>
        <v>32592900.571774282</v>
      </c>
      <c r="Z21" s="65">
        <f t="shared" si="7"/>
        <v>32592900.571774282</v>
      </c>
      <c r="AA21" s="65">
        <f t="shared" si="7"/>
        <v>32592900.571774282</v>
      </c>
      <c r="AB21" s="65">
        <f t="shared" si="7"/>
        <v>32592900.571774282</v>
      </c>
      <c r="AC21" s="65">
        <f t="shared" si="7"/>
        <v>32592900.571774282</v>
      </c>
      <c r="AD21" s="65">
        <f t="shared" si="7"/>
        <v>32592900.571774282</v>
      </c>
      <c r="AE21" s="65">
        <f t="shared" si="7"/>
        <v>32592900.571774282</v>
      </c>
      <c r="AF21" s="65">
        <f t="shared" si="7"/>
        <v>32592900.571774282</v>
      </c>
      <c r="AG21" s="65">
        <f t="shared" si="7"/>
        <v>32592900.571774282</v>
      </c>
      <c r="AH21" s="65"/>
      <c r="AI21" s="65">
        <f>NPV(Lookups!$E$17,G21:AG21)</f>
        <v>663427963.6293782</v>
      </c>
      <c r="AJ21" s="65"/>
      <c r="AM21" s="72">
        <f>AM38*AM15</f>
        <v>0</v>
      </c>
      <c r="AN21" s="72">
        <f t="shared" ref="AN21:BM21" si="8">AN38*AN15</f>
        <v>0</v>
      </c>
      <c r="AO21" s="72">
        <f t="shared" si="8"/>
        <v>32592900.571774282</v>
      </c>
      <c r="AP21" s="72">
        <f t="shared" si="8"/>
        <v>32592900.571774282</v>
      </c>
      <c r="AQ21" s="72">
        <f t="shared" si="8"/>
        <v>32592900.571774282</v>
      </c>
      <c r="AR21" s="72">
        <f t="shared" si="8"/>
        <v>32592900.571774282</v>
      </c>
      <c r="AS21" s="72">
        <f t="shared" si="8"/>
        <v>32592900.571774282</v>
      </c>
      <c r="AT21" s="72">
        <f t="shared" si="8"/>
        <v>32592900.571774282</v>
      </c>
      <c r="AU21" s="72">
        <f t="shared" si="8"/>
        <v>32592900.571774282</v>
      </c>
      <c r="AV21" s="72">
        <f t="shared" si="8"/>
        <v>32592900.571774282</v>
      </c>
      <c r="AW21" s="72">
        <f t="shared" si="8"/>
        <v>32592900.571774282</v>
      </c>
      <c r="AX21" s="72">
        <f t="shared" si="8"/>
        <v>32592900.571774282</v>
      </c>
      <c r="AY21" s="72">
        <f t="shared" si="8"/>
        <v>32592900.571774282</v>
      </c>
      <c r="AZ21" s="72">
        <f t="shared" si="8"/>
        <v>32592900.571774282</v>
      </c>
      <c r="BA21" s="72">
        <f t="shared" si="8"/>
        <v>32592900.571774282</v>
      </c>
      <c r="BB21" s="72">
        <f t="shared" si="8"/>
        <v>32592900.571774282</v>
      </c>
      <c r="BC21" s="72">
        <f t="shared" si="8"/>
        <v>32592900.571774282</v>
      </c>
      <c r="BD21" s="72">
        <f t="shared" si="8"/>
        <v>32592900.571774282</v>
      </c>
      <c r="BE21" s="72">
        <f t="shared" si="8"/>
        <v>32592900.571774282</v>
      </c>
      <c r="BF21" s="72">
        <f t="shared" si="8"/>
        <v>32592900.571774282</v>
      </c>
      <c r="BG21" s="72">
        <f t="shared" si="8"/>
        <v>32592900.571774282</v>
      </c>
      <c r="BH21" s="72">
        <f t="shared" si="8"/>
        <v>32592900.571774282</v>
      </c>
      <c r="BI21" s="72">
        <f t="shared" si="8"/>
        <v>32592900.571774282</v>
      </c>
      <c r="BJ21" s="72">
        <f t="shared" si="8"/>
        <v>32592900.571774282</v>
      </c>
      <c r="BK21" s="72">
        <f t="shared" si="8"/>
        <v>32592900.571774282</v>
      </c>
      <c r="BL21" s="72">
        <f t="shared" si="8"/>
        <v>32592900.571774282</v>
      </c>
      <c r="BM21" s="72">
        <f t="shared" si="8"/>
        <v>32592900.571774282</v>
      </c>
      <c r="BN21" s="72"/>
      <c r="BO21" s="72">
        <f>NPV(Lookups!$E$17,AM21:BM21)</f>
        <v>663427963.6293782</v>
      </c>
      <c r="BP21" s="72"/>
      <c r="BS21" s="84" t="str">
        <f>"No EE Scenario "&amp;E21&amp;" rate multiplied by No EE Scenario sales."</f>
        <v>No EE Scenario Distribution rate multiplied by No EE Scenario sales.</v>
      </c>
      <c r="BT21" s="51" t="s">
        <v>17</v>
      </c>
    </row>
    <row r="22" spans="1:72" x14ac:dyDescent="0.25">
      <c r="B22" s="243" t="str">
        <f t="shared" si="4"/>
        <v>Residential</v>
      </c>
      <c r="C22" s="243" t="str">
        <f t="shared" si="4"/>
        <v>Revenue Requirements</v>
      </c>
      <c r="D22" s="244" t="str">
        <f>D21</f>
        <v>Revenue Requirement before DSM (No EE Scenario)</v>
      </c>
      <c r="E22" s="84" t="s">
        <v>407</v>
      </c>
      <c r="F22" s="84" t="s">
        <v>32</v>
      </c>
      <c r="G22" s="65">
        <f>G39*G15</f>
        <v>0</v>
      </c>
      <c r="H22" s="65">
        <f t="shared" ref="H22:AG22" si="9">H39*H15</f>
        <v>0</v>
      </c>
      <c r="I22" s="65">
        <f t="shared" si="9"/>
        <v>-1931344.4404175822</v>
      </c>
      <c r="J22" s="65">
        <f t="shared" si="9"/>
        <v>-1931344.4404175822</v>
      </c>
      <c r="K22" s="65">
        <f t="shared" si="9"/>
        <v>-1931344.4404175822</v>
      </c>
      <c r="L22" s="65">
        <f t="shared" si="9"/>
        <v>-1931344.4404175822</v>
      </c>
      <c r="M22" s="65">
        <f t="shared" si="9"/>
        <v>-1931344.4404175822</v>
      </c>
      <c r="N22" s="65">
        <f t="shared" si="9"/>
        <v>-1931344.4404175822</v>
      </c>
      <c r="O22" s="65">
        <f t="shared" si="9"/>
        <v>-1931344.4404175822</v>
      </c>
      <c r="P22" s="65">
        <f t="shared" si="9"/>
        <v>-1931344.4404175822</v>
      </c>
      <c r="Q22" s="65">
        <f t="shared" si="9"/>
        <v>-1931344.4404175822</v>
      </c>
      <c r="R22" s="65">
        <f t="shared" si="9"/>
        <v>-1931344.4404175822</v>
      </c>
      <c r="S22" s="65">
        <f t="shared" si="9"/>
        <v>-1931344.4404175822</v>
      </c>
      <c r="T22" s="65">
        <f t="shared" si="9"/>
        <v>-1931344.4404175822</v>
      </c>
      <c r="U22" s="65">
        <f t="shared" si="9"/>
        <v>-1931344.4404175822</v>
      </c>
      <c r="V22" s="65">
        <f t="shared" si="9"/>
        <v>-1931344.4404175822</v>
      </c>
      <c r="W22" s="65">
        <f t="shared" si="9"/>
        <v>-1931344.4404175822</v>
      </c>
      <c r="X22" s="65">
        <f t="shared" si="9"/>
        <v>-1931344.4404175822</v>
      </c>
      <c r="Y22" s="65">
        <f t="shared" si="9"/>
        <v>-1931344.4404175822</v>
      </c>
      <c r="Z22" s="65">
        <f t="shared" si="9"/>
        <v>-1931344.4404175822</v>
      </c>
      <c r="AA22" s="65">
        <f t="shared" si="9"/>
        <v>-1931344.4404175822</v>
      </c>
      <c r="AB22" s="65">
        <f t="shared" si="9"/>
        <v>-1931344.4404175822</v>
      </c>
      <c r="AC22" s="65">
        <f t="shared" si="9"/>
        <v>-1931344.4404175822</v>
      </c>
      <c r="AD22" s="65">
        <f t="shared" si="9"/>
        <v>-1931344.4404175822</v>
      </c>
      <c r="AE22" s="65">
        <f t="shared" si="9"/>
        <v>-1931344.4404175822</v>
      </c>
      <c r="AF22" s="65">
        <f t="shared" si="9"/>
        <v>-1931344.4404175822</v>
      </c>
      <c r="AG22" s="65">
        <f t="shared" si="9"/>
        <v>-1931344.4404175822</v>
      </c>
      <c r="AH22" s="65"/>
      <c r="AI22" s="65">
        <f>NPV(Lookups!$E$17,G22:AG22)</f>
        <v>-39312484.826305419</v>
      </c>
      <c r="AJ22" s="65"/>
      <c r="AM22" s="72">
        <f>AM39*AM15</f>
        <v>0</v>
      </c>
      <c r="AN22" s="72">
        <f t="shared" ref="AN22:BM22" si="10">AN39*AN15</f>
        <v>0</v>
      </c>
      <c r="AO22" s="72">
        <f t="shared" si="10"/>
        <v>-1931344.4404175822</v>
      </c>
      <c r="AP22" s="72">
        <f t="shared" si="10"/>
        <v>-1931344.4404175822</v>
      </c>
      <c r="AQ22" s="72">
        <f t="shared" si="10"/>
        <v>-1931344.4404175822</v>
      </c>
      <c r="AR22" s="72">
        <f t="shared" si="10"/>
        <v>-1931344.4404175822</v>
      </c>
      <c r="AS22" s="72">
        <f t="shared" si="10"/>
        <v>-1931344.4404175822</v>
      </c>
      <c r="AT22" s="72">
        <f t="shared" si="10"/>
        <v>-1931344.4404175822</v>
      </c>
      <c r="AU22" s="72">
        <f t="shared" si="10"/>
        <v>-1931344.4404175822</v>
      </c>
      <c r="AV22" s="72">
        <f t="shared" si="10"/>
        <v>-1931344.4404175822</v>
      </c>
      <c r="AW22" s="72">
        <f t="shared" si="10"/>
        <v>-1931344.4404175822</v>
      </c>
      <c r="AX22" s="72">
        <f t="shared" si="10"/>
        <v>-1931344.4404175822</v>
      </c>
      <c r="AY22" s="72">
        <f t="shared" si="10"/>
        <v>-1931344.4404175822</v>
      </c>
      <c r="AZ22" s="72">
        <f t="shared" si="10"/>
        <v>-1931344.4404175822</v>
      </c>
      <c r="BA22" s="72">
        <f t="shared" si="10"/>
        <v>-1931344.4404175822</v>
      </c>
      <c r="BB22" s="72">
        <f t="shared" si="10"/>
        <v>-1931344.4404175822</v>
      </c>
      <c r="BC22" s="72">
        <f t="shared" si="10"/>
        <v>-1931344.4404175822</v>
      </c>
      <c r="BD22" s="72">
        <f t="shared" si="10"/>
        <v>-1931344.4404175822</v>
      </c>
      <c r="BE22" s="72">
        <f t="shared" si="10"/>
        <v>-1931344.4404175822</v>
      </c>
      <c r="BF22" s="72">
        <f t="shared" si="10"/>
        <v>-1931344.4404175822</v>
      </c>
      <c r="BG22" s="72">
        <f t="shared" si="10"/>
        <v>-1931344.4404175822</v>
      </c>
      <c r="BH22" s="72">
        <f t="shared" si="10"/>
        <v>-1931344.4404175822</v>
      </c>
      <c r="BI22" s="72">
        <f t="shared" si="10"/>
        <v>-1931344.4404175822</v>
      </c>
      <c r="BJ22" s="72">
        <f t="shared" si="10"/>
        <v>-1931344.4404175822</v>
      </c>
      <c r="BK22" s="72">
        <f t="shared" si="10"/>
        <v>-1931344.4404175822</v>
      </c>
      <c r="BL22" s="72">
        <f t="shared" si="10"/>
        <v>-1931344.4404175822</v>
      </c>
      <c r="BM22" s="72">
        <f t="shared" si="10"/>
        <v>-1931344.4404175822</v>
      </c>
      <c r="BN22" s="72"/>
      <c r="BO22" s="72">
        <f>NPV(Lookups!$E$17,AM22:BM22)</f>
        <v>-39312484.826305419</v>
      </c>
      <c r="BP22" s="72"/>
      <c r="BS22" s="84" t="str">
        <f>"No EE Scenario "&amp;E22&amp;" rate multiplied by No EE Scenario sales."</f>
        <v>No EE Scenario LDAC, Non-EE rate multiplied by No EE Scenario sales.</v>
      </c>
      <c r="BT22" s="51" t="s">
        <v>17</v>
      </c>
    </row>
    <row r="23" spans="1:72" x14ac:dyDescent="0.25">
      <c r="A23" s="1"/>
      <c r="B23" s="243" t="str">
        <f>B21</f>
        <v>Residential</v>
      </c>
      <c r="C23" s="243" t="str">
        <f>C21</f>
        <v>Revenue Requirements</v>
      </c>
      <c r="D23" s="244" t="str">
        <f>D21</f>
        <v>Revenue Requirement before DSM (No EE Scenario)</v>
      </c>
      <c r="E23" s="84" t="s">
        <v>197</v>
      </c>
      <c r="F23" s="84" t="s">
        <v>32</v>
      </c>
      <c r="G23" s="65">
        <f>G40*G15</f>
        <v>0</v>
      </c>
      <c r="H23" s="65">
        <f t="shared" ref="H23:AG23" si="11">H40*H15</f>
        <v>0</v>
      </c>
      <c r="I23" s="65">
        <f t="shared" si="11"/>
        <v>36303422.920940183</v>
      </c>
      <c r="J23" s="65">
        <f t="shared" si="11"/>
        <v>36303422.920940183</v>
      </c>
      <c r="K23" s="65">
        <f t="shared" si="11"/>
        <v>36303422.920940183</v>
      </c>
      <c r="L23" s="65">
        <f t="shared" si="11"/>
        <v>36303422.920940183</v>
      </c>
      <c r="M23" s="65">
        <f t="shared" si="11"/>
        <v>36303422.920940183</v>
      </c>
      <c r="N23" s="65">
        <f t="shared" si="11"/>
        <v>36303422.920940183</v>
      </c>
      <c r="O23" s="65">
        <f t="shared" si="11"/>
        <v>36303422.920940183</v>
      </c>
      <c r="P23" s="65">
        <f t="shared" si="11"/>
        <v>36303422.920940183</v>
      </c>
      <c r="Q23" s="65">
        <f t="shared" si="11"/>
        <v>36303422.920940183</v>
      </c>
      <c r="R23" s="65">
        <f t="shared" si="11"/>
        <v>36303422.920940183</v>
      </c>
      <c r="S23" s="65">
        <f t="shared" si="11"/>
        <v>36303422.920940183</v>
      </c>
      <c r="T23" s="65">
        <f t="shared" si="11"/>
        <v>36303422.920940183</v>
      </c>
      <c r="U23" s="65">
        <f t="shared" si="11"/>
        <v>36303422.920940183</v>
      </c>
      <c r="V23" s="65">
        <f t="shared" si="11"/>
        <v>36303422.920940183</v>
      </c>
      <c r="W23" s="65">
        <f t="shared" si="11"/>
        <v>36303422.920940183</v>
      </c>
      <c r="X23" s="65">
        <f t="shared" si="11"/>
        <v>36303422.920940183</v>
      </c>
      <c r="Y23" s="65">
        <f t="shared" si="11"/>
        <v>36303422.920940183</v>
      </c>
      <c r="Z23" s="65">
        <f t="shared" si="11"/>
        <v>36303422.920940183</v>
      </c>
      <c r="AA23" s="65">
        <f t="shared" si="11"/>
        <v>36303422.920940183</v>
      </c>
      <c r="AB23" s="65">
        <f t="shared" si="11"/>
        <v>36303422.920940183</v>
      </c>
      <c r="AC23" s="65">
        <f t="shared" si="11"/>
        <v>36303422.920940183</v>
      </c>
      <c r="AD23" s="65">
        <f t="shared" si="11"/>
        <v>36303422.920940183</v>
      </c>
      <c r="AE23" s="65">
        <f t="shared" si="11"/>
        <v>36303422.920940183</v>
      </c>
      <c r="AF23" s="65">
        <f t="shared" si="11"/>
        <v>36303422.920940183</v>
      </c>
      <c r="AG23" s="65">
        <f t="shared" si="11"/>
        <v>36303422.920940183</v>
      </c>
      <c r="AH23" s="65"/>
      <c r="AI23" s="65">
        <f>NPV(Lookups!$E$17,G23:AG23)</f>
        <v>738955585.99264371</v>
      </c>
      <c r="AJ23" s="65"/>
      <c r="AM23" s="72">
        <f>AM40*AM15</f>
        <v>0</v>
      </c>
      <c r="AN23" s="72">
        <f t="shared" ref="AN23:BM23" si="12">AN40*AN15</f>
        <v>0</v>
      </c>
      <c r="AO23" s="72">
        <f t="shared" si="12"/>
        <v>36303422.920940183</v>
      </c>
      <c r="AP23" s="72">
        <f t="shared" si="12"/>
        <v>36303422.920940183</v>
      </c>
      <c r="AQ23" s="72">
        <f t="shared" si="12"/>
        <v>36303422.920940183</v>
      </c>
      <c r="AR23" s="72">
        <f t="shared" si="12"/>
        <v>36303422.920940183</v>
      </c>
      <c r="AS23" s="72">
        <f t="shared" si="12"/>
        <v>36303422.920940183</v>
      </c>
      <c r="AT23" s="72">
        <f t="shared" si="12"/>
        <v>36303422.920940183</v>
      </c>
      <c r="AU23" s="72">
        <f t="shared" si="12"/>
        <v>36303422.920940183</v>
      </c>
      <c r="AV23" s="72">
        <f t="shared" si="12"/>
        <v>36303422.920940183</v>
      </c>
      <c r="AW23" s="72">
        <f t="shared" si="12"/>
        <v>36303422.920940183</v>
      </c>
      <c r="AX23" s="72">
        <f t="shared" si="12"/>
        <v>36303422.920940183</v>
      </c>
      <c r="AY23" s="72">
        <f t="shared" si="12"/>
        <v>36303422.920940183</v>
      </c>
      <c r="AZ23" s="72">
        <f t="shared" si="12"/>
        <v>36303422.920940183</v>
      </c>
      <c r="BA23" s="72">
        <f t="shared" si="12"/>
        <v>36303422.920940183</v>
      </c>
      <c r="BB23" s="72">
        <f t="shared" si="12"/>
        <v>36303422.920940183</v>
      </c>
      <c r="BC23" s="72">
        <f t="shared" si="12"/>
        <v>36303422.920940183</v>
      </c>
      <c r="BD23" s="72">
        <f t="shared" si="12"/>
        <v>36303422.920940183</v>
      </c>
      <c r="BE23" s="72">
        <f t="shared" si="12"/>
        <v>36303422.920940183</v>
      </c>
      <c r="BF23" s="72">
        <f t="shared" si="12"/>
        <v>36303422.920940183</v>
      </c>
      <c r="BG23" s="72">
        <f t="shared" si="12"/>
        <v>36303422.920940183</v>
      </c>
      <c r="BH23" s="72">
        <f t="shared" si="12"/>
        <v>36303422.920940183</v>
      </c>
      <c r="BI23" s="72">
        <f t="shared" si="12"/>
        <v>36303422.920940183</v>
      </c>
      <c r="BJ23" s="72">
        <f t="shared" si="12"/>
        <v>36303422.920940183</v>
      </c>
      <c r="BK23" s="72">
        <f t="shared" si="12"/>
        <v>36303422.920940183</v>
      </c>
      <c r="BL23" s="72">
        <f t="shared" si="12"/>
        <v>36303422.920940183</v>
      </c>
      <c r="BM23" s="72">
        <f t="shared" si="12"/>
        <v>36303422.920940183</v>
      </c>
      <c r="BN23" s="72"/>
      <c r="BO23" s="72">
        <f>NPV(Lookups!$E$17,AM23:BM23)</f>
        <v>738955585.99264371</v>
      </c>
      <c r="BP23" s="72"/>
      <c r="BS23" s="84" t="str">
        <f>"No EE Scenario "&amp;E23&amp;" rate multiplied by No EE Scenario sales."</f>
        <v>No EE Scenario Cost of Gas rate multiplied by No EE Scenario sales.</v>
      </c>
      <c r="BT23" s="51" t="s">
        <v>17</v>
      </c>
    </row>
    <row r="24" spans="1:72" x14ac:dyDescent="0.25">
      <c r="B24" s="243" t="str">
        <f t="shared" si="4"/>
        <v>Residential</v>
      </c>
      <c r="C24" s="243" t="str">
        <f t="shared" si="4"/>
        <v>Revenue Requirements</v>
      </c>
      <c r="D24" s="114" t="s">
        <v>24</v>
      </c>
      <c r="E24" s="84"/>
      <c r="F24" s="84"/>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65"/>
      <c r="AJ24" s="65"/>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S24" s="84"/>
      <c r="BT24" s="51" t="s">
        <v>17</v>
      </c>
    </row>
    <row r="25" spans="1:72" x14ac:dyDescent="0.25">
      <c r="A25" s="246"/>
      <c r="B25" s="243" t="str">
        <f t="shared" si="4"/>
        <v>Residential</v>
      </c>
      <c r="C25" s="243" t="str">
        <f t="shared" si="4"/>
        <v>Revenue Requirements</v>
      </c>
      <c r="D25" s="244" t="str">
        <f>D24</f>
        <v>Avoided Costs</v>
      </c>
      <c r="E25" s="84" t="s">
        <v>45</v>
      </c>
      <c r="F25" s="84" t="s">
        <v>32</v>
      </c>
      <c r="G25" s="65">
        <f ca="1">IF($C$4=Lookups!$D$40,SUM(INDIRECT("'Yr1'!"&amp;ADDRESS(ROW(G25),COLUMN(G25))),INDIRECT("'Yr2'!"&amp;ADDRESS(ROW(G25),COLUMN(G25))),INDIRECT("'Yr3'!"&amp;ADDRESS(ROW(G25),COLUMN(G25)))),
IF(G12=0,0,-PMT(INDEX(Lookups!$E$17:$G$17,MATCH($C$4,Lookups!$E$14:$G$14,0)),G12,SUMIFS('EE Inputs'!$J$9:$J$32,'EE Inputs'!$C$9:$C$32,$G$6,'EE Inputs'!$D$9:$D$32,$C$4,'EE Inputs'!$E$9:$E$32,$B25),0,1)))-G26</f>
        <v>0</v>
      </c>
      <c r="H25" s="65">
        <f ca="1">IF($C$4=Lookups!$D$40,SUM(INDIRECT("'Yr1'!"&amp;ADDRESS(ROW(H25),COLUMN(H25))),INDIRECT("'Yr2'!"&amp;ADDRESS(ROW(H25),COLUMN(H25))),INDIRECT("'Yr3'!"&amp;ADDRESS(ROW(H25),COLUMN(H25)))),
IF(H12=0,0,-PMT(INDEX(Lookups!$E$17:$G$17,MATCH($C$4,Lookups!$E$14:$G$14,0)),H12,SUMIFS('EE Inputs'!$J$9:$J$32,'EE Inputs'!$C$9:$C$32,$G$6,'EE Inputs'!$D$9:$D$32,$C$4,'EE Inputs'!$E$9:$E$32,$B25),0,1)))-H26</f>
        <v>0</v>
      </c>
      <c r="I25" s="65">
        <f ca="1">IF($C$4=Lookups!$D$40,SUM(INDIRECT("'Yr1'!"&amp;ADDRESS(ROW(I25),COLUMN(I25))),INDIRECT("'Yr2'!"&amp;ADDRESS(ROW(I25),COLUMN(I25))),INDIRECT("'Yr3'!"&amp;ADDRESS(ROW(I25),COLUMN(I25)))),
IF(I12=0,0,-PMT(INDEX(Lookups!$E$17:$G$17,MATCH($C$4,Lookups!$E$14:$G$14,0)),I12,SUMIFS('EE Inputs'!$J$9:$J$32,'EE Inputs'!$C$9:$C$32,$G$6,'EE Inputs'!$D$9:$D$32,$C$4,'EE Inputs'!$E$9:$E$32,$B25),0,1)))-I26</f>
        <v>285987.95145417581</v>
      </c>
      <c r="J25" s="65">
        <f ca="1">IF($C$4=Lookups!$D$40,SUM(INDIRECT("'Yr1'!"&amp;ADDRESS(ROW(J25),COLUMN(J25))),INDIRECT("'Yr2'!"&amp;ADDRESS(ROW(J25),COLUMN(J25))),INDIRECT("'Yr3'!"&amp;ADDRESS(ROW(J25),COLUMN(J25)))),
IF(J12=0,0,-PMT(INDEX(Lookups!$E$17:$G$17,MATCH($C$4,Lookups!$E$14:$G$14,0)),J12,SUMIFS('EE Inputs'!$J$9:$J$32,'EE Inputs'!$C$9:$C$32,$G$6,'EE Inputs'!$D$9:$D$32,$C$4,'EE Inputs'!$E$9:$E$32,$B25),0,1)))-J26</f>
        <v>285987.95145417581</v>
      </c>
      <c r="K25" s="65">
        <f ca="1">IF($C$4=Lookups!$D$40,SUM(INDIRECT("'Yr1'!"&amp;ADDRESS(ROW(K25),COLUMN(K25))),INDIRECT("'Yr2'!"&amp;ADDRESS(ROW(K25),COLUMN(K25))),INDIRECT("'Yr3'!"&amp;ADDRESS(ROW(K25),COLUMN(K25)))),
IF(K12=0,0,-PMT(INDEX(Lookups!$E$17:$G$17,MATCH($C$4,Lookups!$E$14:$G$14,0)),K12,SUMIFS('EE Inputs'!$J$9:$J$32,'EE Inputs'!$C$9:$C$32,$G$6,'EE Inputs'!$D$9:$D$32,$C$4,'EE Inputs'!$E$9:$E$32,$B25),0,1)))-K26</f>
        <v>285987.95145417581</v>
      </c>
      <c r="L25" s="65">
        <f ca="1">IF($C$4=Lookups!$D$40,SUM(INDIRECT("'Yr1'!"&amp;ADDRESS(ROW(L25),COLUMN(L25))),INDIRECT("'Yr2'!"&amp;ADDRESS(ROW(L25),COLUMN(L25))),INDIRECT("'Yr3'!"&amp;ADDRESS(ROW(L25),COLUMN(L25)))),
IF(L12=0,0,-PMT(INDEX(Lookups!$E$17:$G$17,MATCH($C$4,Lookups!$E$14:$G$14,0)),L12,SUMIFS('EE Inputs'!$J$9:$J$32,'EE Inputs'!$C$9:$C$32,$G$6,'EE Inputs'!$D$9:$D$32,$C$4,'EE Inputs'!$E$9:$E$32,$B25),0,1)))-L26</f>
        <v>285987.95145417581</v>
      </c>
      <c r="M25" s="65">
        <f ca="1">IF($C$4=Lookups!$D$40,SUM(INDIRECT("'Yr1'!"&amp;ADDRESS(ROW(M25),COLUMN(M25))),INDIRECT("'Yr2'!"&amp;ADDRESS(ROW(M25),COLUMN(M25))),INDIRECT("'Yr3'!"&amp;ADDRESS(ROW(M25),COLUMN(M25)))),
IF(M12=0,0,-PMT(INDEX(Lookups!$E$17:$G$17,MATCH($C$4,Lookups!$E$14:$G$14,0)),M12,SUMIFS('EE Inputs'!$J$9:$J$32,'EE Inputs'!$C$9:$C$32,$G$6,'EE Inputs'!$D$9:$D$32,$C$4,'EE Inputs'!$E$9:$E$32,$B25),0,1)))-M26</f>
        <v>285987.95145417581</v>
      </c>
      <c r="N25" s="65">
        <f ca="1">IF($C$4=Lookups!$D$40,SUM(INDIRECT("'Yr1'!"&amp;ADDRESS(ROW(N25),COLUMN(N25))),INDIRECT("'Yr2'!"&amp;ADDRESS(ROW(N25),COLUMN(N25))),INDIRECT("'Yr3'!"&amp;ADDRESS(ROW(N25),COLUMN(N25)))),
IF(N12=0,0,-PMT(INDEX(Lookups!$E$17:$G$17,MATCH($C$4,Lookups!$E$14:$G$14,0)),N12,SUMIFS('EE Inputs'!$J$9:$J$32,'EE Inputs'!$C$9:$C$32,$G$6,'EE Inputs'!$D$9:$D$32,$C$4,'EE Inputs'!$E$9:$E$32,$B25),0,1)))-N26</f>
        <v>285987.95145417581</v>
      </c>
      <c r="O25" s="65">
        <f ca="1">IF($C$4=Lookups!$D$40,SUM(INDIRECT("'Yr1'!"&amp;ADDRESS(ROW(O25),COLUMN(O25))),INDIRECT("'Yr2'!"&amp;ADDRESS(ROW(O25),COLUMN(O25))),INDIRECT("'Yr3'!"&amp;ADDRESS(ROW(O25),COLUMN(O25)))),
IF(O12=0,0,-PMT(INDEX(Lookups!$E$17:$G$17,MATCH($C$4,Lookups!$E$14:$G$14,0)),O12,SUMIFS('EE Inputs'!$J$9:$J$32,'EE Inputs'!$C$9:$C$32,$G$6,'EE Inputs'!$D$9:$D$32,$C$4,'EE Inputs'!$E$9:$E$32,$B25),0,1)))-O26</f>
        <v>285987.95145417581</v>
      </c>
      <c r="P25" s="65">
        <f ca="1">IF($C$4=Lookups!$D$40,SUM(INDIRECT("'Yr1'!"&amp;ADDRESS(ROW(P25),COLUMN(P25))),INDIRECT("'Yr2'!"&amp;ADDRESS(ROW(P25),COLUMN(P25))),INDIRECT("'Yr3'!"&amp;ADDRESS(ROW(P25),COLUMN(P25)))),
IF(P12=0,0,-PMT(INDEX(Lookups!$E$17:$G$17,MATCH($C$4,Lookups!$E$14:$G$14,0)),P12,SUMIFS('EE Inputs'!$J$9:$J$32,'EE Inputs'!$C$9:$C$32,$G$6,'EE Inputs'!$D$9:$D$32,$C$4,'EE Inputs'!$E$9:$E$32,$B25),0,1)))-P26</f>
        <v>285987.95145417581</v>
      </c>
      <c r="Q25" s="65">
        <f ca="1">IF($C$4=Lookups!$D$40,SUM(INDIRECT("'Yr1'!"&amp;ADDRESS(ROW(Q25),COLUMN(Q25))),INDIRECT("'Yr2'!"&amp;ADDRESS(ROW(Q25),COLUMN(Q25))),INDIRECT("'Yr3'!"&amp;ADDRESS(ROW(Q25),COLUMN(Q25)))),
IF(Q12=0,0,-PMT(INDEX(Lookups!$E$17:$G$17,MATCH($C$4,Lookups!$E$14:$G$14,0)),Q12,SUMIFS('EE Inputs'!$J$9:$J$32,'EE Inputs'!$C$9:$C$32,$G$6,'EE Inputs'!$D$9:$D$32,$C$4,'EE Inputs'!$E$9:$E$32,$B25),0,1)))-Q26</f>
        <v>285987.95145417581</v>
      </c>
      <c r="R25" s="65">
        <f ca="1">IF($C$4=Lookups!$D$40,SUM(INDIRECT("'Yr1'!"&amp;ADDRESS(ROW(R25),COLUMN(R25))),INDIRECT("'Yr2'!"&amp;ADDRESS(ROW(R25),COLUMN(R25))),INDIRECT("'Yr3'!"&amp;ADDRESS(ROW(R25),COLUMN(R25)))),
IF(R12=0,0,-PMT(INDEX(Lookups!$E$17:$G$17,MATCH($C$4,Lookups!$E$14:$G$14,0)),R12,SUMIFS('EE Inputs'!$J$9:$J$32,'EE Inputs'!$C$9:$C$32,$G$6,'EE Inputs'!$D$9:$D$32,$C$4,'EE Inputs'!$E$9:$E$32,$B25),0,1)))-R26</f>
        <v>285987.95145417581</v>
      </c>
      <c r="S25" s="65">
        <f ca="1">IF($C$4=Lookups!$D$40,SUM(INDIRECT("'Yr1'!"&amp;ADDRESS(ROW(S25),COLUMN(S25))),INDIRECT("'Yr2'!"&amp;ADDRESS(ROW(S25),COLUMN(S25))),INDIRECT("'Yr3'!"&amp;ADDRESS(ROW(S25),COLUMN(S25)))),
IF(S12=0,0,-PMT(INDEX(Lookups!$E$17:$G$17,MATCH($C$4,Lookups!$E$14:$G$14,0)),S12,SUMIFS('EE Inputs'!$J$9:$J$32,'EE Inputs'!$C$9:$C$32,$G$6,'EE Inputs'!$D$9:$D$32,$C$4,'EE Inputs'!$E$9:$E$32,$B25),0,1)))-S26</f>
        <v>285987.95145417581</v>
      </c>
      <c r="T25" s="65">
        <f ca="1">IF($C$4=Lookups!$D$40,SUM(INDIRECT("'Yr1'!"&amp;ADDRESS(ROW(T25),COLUMN(T25))),INDIRECT("'Yr2'!"&amp;ADDRESS(ROW(T25),COLUMN(T25))),INDIRECT("'Yr3'!"&amp;ADDRESS(ROW(T25),COLUMN(T25)))),
IF(T12=0,0,-PMT(INDEX(Lookups!$E$17:$G$17,MATCH($C$4,Lookups!$E$14:$G$14,0)),T12,SUMIFS('EE Inputs'!$J$9:$J$32,'EE Inputs'!$C$9:$C$32,$G$6,'EE Inputs'!$D$9:$D$32,$C$4,'EE Inputs'!$E$9:$E$32,$B25),0,1)))-T26</f>
        <v>285987.95145417581</v>
      </c>
      <c r="U25" s="65">
        <f ca="1">IF($C$4=Lookups!$D$40,SUM(INDIRECT("'Yr1'!"&amp;ADDRESS(ROW(U25),COLUMN(U25))),INDIRECT("'Yr2'!"&amp;ADDRESS(ROW(U25),COLUMN(U25))),INDIRECT("'Yr3'!"&amp;ADDRESS(ROW(U25),COLUMN(U25)))),
IF(U12=0,0,-PMT(INDEX(Lookups!$E$17:$G$17,MATCH($C$4,Lookups!$E$14:$G$14,0)),U12,SUMIFS('EE Inputs'!$J$9:$J$32,'EE Inputs'!$C$9:$C$32,$G$6,'EE Inputs'!$D$9:$D$32,$C$4,'EE Inputs'!$E$9:$E$32,$B25),0,1)))-U26</f>
        <v>285987.95145417581</v>
      </c>
      <c r="V25" s="65">
        <f ca="1">IF($C$4=Lookups!$D$40,SUM(INDIRECT("'Yr1'!"&amp;ADDRESS(ROW(V25),COLUMN(V25))),INDIRECT("'Yr2'!"&amp;ADDRESS(ROW(V25),COLUMN(V25))),INDIRECT("'Yr3'!"&amp;ADDRESS(ROW(V25),COLUMN(V25)))),
IF(V12=0,0,-PMT(INDEX(Lookups!$E$17:$G$17,MATCH($C$4,Lookups!$E$14:$G$14,0)),V12,SUMIFS('EE Inputs'!$J$9:$J$32,'EE Inputs'!$C$9:$C$32,$G$6,'EE Inputs'!$D$9:$D$32,$C$4,'EE Inputs'!$E$9:$E$32,$B25),0,1)))-V26</f>
        <v>285987.95145417581</v>
      </c>
      <c r="W25" s="65">
        <f ca="1">IF($C$4=Lookups!$D$40,SUM(INDIRECT("'Yr1'!"&amp;ADDRESS(ROW(W25),COLUMN(W25))),INDIRECT("'Yr2'!"&amp;ADDRESS(ROW(W25),COLUMN(W25))),INDIRECT("'Yr3'!"&amp;ADDRESS(ROW(W25),COLUMN(W25)))),
IF(W12=0,0,-PMT(INDEX(Lookups!$E$17:$G$17,MATCH($C$4,Lookups!$E$14:$G$14,0)),W12,SUMIFS('EE Inputs'!$J$9:$J$32,'EE Inputs'!$C$9:$C$32,$G$6,'EE Inputs'!$D$9:$D$32,$C$4,'EE Inputs'!$E$9:$E$32,$B25),0,1)))-W26</f>
        <v>285987.95145417581</v>
      </c>
      <c r="X25" s="65">
        <f ca="1">IF($C$4=Lookups!$D$40,SUM(INDIRECT("'Yr1'!"&amp;ADDRESS(ROW(X25),COLUMN(X25))),INDIRECT("'Yr2'!"&amp;ADDRESS(ROW(X25),COLUMN(X25))),INDIRECT("'Yr3'!"&amp;ADDRESS(ROW(X25),COLUMN(X25)))),
IF(X12=0,0,-PMT(INDEX(Lookups!$E$17:$G$17,MATCH($C$4,Lookups!$E$14:$G$14,0)),X12,SUMIFS('EE Inputs'!$J$9:$J$32,'EE Inputs'!$C$9:$C$32,$G$6,'EE Inputs'!$D$9:$D$32,$C$4,'EE Inputs'!$E$9:$E$32,$B25),0,1)))-X26</f>
        <v>0</v>
      </c>
      <c r="Y25" s="65">
        <f ca="1">IF($C$4=Lookups!$D$40,SUM(INDIRECT("'Yr1'!"&amp;ADDRESS(ROW(Y25),COLUMN(Y25))),INDIRECT("'Yr2'!"&amp;ADDRESS(ROW(Y25),COLUMN(Y25))),INDIRECT("'Yr3'!"&amp;ADDRESS(ROW(Y25),COLUMN(Y25)))),
IF(Y12=0,0,-PMT(INDEX(Lookups!$E$17:$G$17,MATCH($C$4,Lookups!$E$14:$G$14,0)),Y12,SUMIFS('EE Inputs'!$J$9:$J$32,'EE Inputs'!$C$9:$C$32,$G$6,'EE Inputs'!$D$9:$D$32,$C$4,'EE Inputs'!$E$9:$E$32,$B25),0,1)))-Y26</f>
        <v>0</v>
      </c>
      <c r="Z25" s="65">
        <f ca="1">IF($C$4=Lookups!$D$40,SUM(INDIRECT("'Yr1'!"&amp;ADDRESS(ROW(Z25),COLUMN(Z25))),INDIRECT("'Yr2'!"&amp;ADDRESS(ROW(Z25),COLUMN(Z25))),INDIRECT("'Yr3'!"&amp;ADDRESS(ROW(Z25),COLUMN(Z25)))),
IF(Z12=0,0,-PMT(INDEX(Lookups!$E$17:$G$17,MATCH($C$4,Lookups!$E$14:$G$14,0)),Z12,SUMIFS('EE Inputs'!$J$9:$J$32,'EE Inputs'!$C$9:$C$32,$G$6,'EE Inputs'!$D$9:$D$32,$C$4,'EE Inputs'!$E$9:$E$32,$B25),0,1)))-Z26</f>
        <v>0</v>
      </c>
      <c r="AA25" s="65">
        <f ca="1">IF($C$4=Lookups!$D$40,SUM(INDIRECT("'Yr1'!"&amp;ADDRESS(ROW(AA25),COLUMN(AA25))),INDIRECT("'Yr2'!"&amp;ADDRESS(ROW(AA25),COLUMN(AA25))),INDIRECT("'Yr3'!"&amp;ADDRESS(ROW(AA25),COLUMN(AA25)))),
IF(AA12=0,0,-PMT(INDEX(Lookups!$E$17:$G$17,MATCH($C$4,Lookups!$E$14:$G$14,0)),AA12,SUMIFS('EE Inputs'!$J$9:$J$32,'EE Inputs'!$C$9:$C$32,$G$6,'EE Inputs'!$D$9:$D$32,$C$4,'EE Inputs'!$E$9:$E$32,$B25),0,1)))-AA26</f>
        <v>0</v>
      </c>
      <c r="AB25" s="65">
        <f ca="1">IF($C$4=Lookups!$D$40,SUM(INDIRECT("'Yr1'!"&amp;ADDRESS(ROW(AB25),COLUMN(AB25))),INDIRECT("'Yr2'!"&amp;ADDRESS(ROW(AB25),COLUMN(AB25))),INDIRECT("'Yr3'!"&amp;ADDRESS(ROW(AB25),COLUMN(AB25)))),
IF(AB12=0,0,-PMT(INDEX(Lookups!$E$17:$G$17,MATCH($C$4,Lookups!$E$14:$G$14,0)),AB12,SUMIFS('EE Inputs'!$J$9:$J$32,'EE Inputs'!$C$9:$C$32,$G$6,'EE Inputs'!$D$9:$D$32,$C$4,'EE Inputs'!$E$9:$E$32,$B25),0,1)))-AB26</f>
        <v>0</v>
      </c>
      <c r="AC25" s="65">
        <f ca="1">IF($C$4=Lookups!$D$40,SUM(INDIRECT("'Yr1'!"&amp;ADDRESS(ROW(AC25),COLUMN(AC25))),INDIRECT("'Yr2'!"&amp;ADDRESS(ROW(AC25),COLUMN(AC25))),INDIRECT("'Yr3'!"&amp;ADDRESS(ROW(AC25),COLUMN(AC25)))),
IF(AC12=0,0,-PMT(INDEX(Lookups!$E$17:$G$17,MATCH($C$4,Lookups!$E$14:$G$14,0)),AC12,SUMIFS('EE Inputs'!$J$9:$J$32,'EE Inputs'!$C$9:$C$32,$G$6,'EE Inputs'!$D$9:$D$32,$C$4,'EE Inputs'!$E$9:$E$32,$B25),0,1)))-AC26</f>
        <v>0</v>
      </c>
      <c r="AD25" s="65">
        <f ca="1">IF($C$4=Lookups!$D$40,SUM(INDIRECT("'Yr1'!"&amp;ADDRESS(ROW(AD25),COLUMN(AD25))),INDIRECT("'Yr2'!"&amp;ADDRESS(ROW(AD25),COLUMN(AD25))),INDIRECT("'Yr3'!"&amp;ADDRESS(ROW(AD25),COLUMN(AD25)))),
IF(AD12=0,0,-PMT(INDEX(Lookups!$E$17:$G$17,MATCH($C$4,Lookups!$E$14:$G$14,0)),AD12,SUMIFS('EE Inputs'!$J$9:$J$32,'EE Inputs'!$C$9:$C$32,$G$6,'EE Inputs'!$D$9:$D$32,$C$4,'EE Inputs'!$E$9:$E$32,$B25),0,1)))-AD26</f>
        <v>0</v>
      </c>
      <c r="AE25" s="65">
        <f ca="1">IF($C$4=Lookups!$D$40,SUM(INDIRECT("'Yr1'!"&amp;ADDRESS(ROW(AE25),COLUMN(AE25))),INDIRECT("'Yr2'!"&amp;ADDRESS(ROW(AE25),COLUMN(AE25))),INDIRECT("'Yr3'!"&amp;ADDRESS(ROW(AE25),COLUMN(AE25)))),
IF(AE12=0,0,-PMT(INDEX(Lookups!$E$17:$G$17,MATCH($C$4,Lookups!$E$14:$G$14,0)),AE12,SUMIFS('EE Inputs'!$J$9:$J$32,'EE Inputs'!$C$9:$C$32,$G$6,'EE Inputs'!$D$9:$D$32,$C$4,'EE Inputs'!$E$9:$E$32,$B25),0,1)))-AE26</f>
        <v>0</v>
      </c>
      <c r="AF25" s="65">
        <f ca="1">IF($C$4=Lookups!$D$40,SUM(INDIRECT("'Yr1'!"&amp;ADDRESS(ROW(AF25),COLUMN(AF25))),INDIRECT("'Yr2'!"&amp;ADDRESS(ROW(AF25),COLUMN(AF25))),INDIRECT("'Yr3'!"&amp;ADDRESS(ROW(AF25),COLUMN(AF25)))),
IF(AF12=0,0,-PMT(INDEX(Lookups!$E$17:$G$17,MATCH($C$4,Lookups!$E$14:$G$14,0)),AF12,SUMIFS('EE Inputs'!$J$9:$J$32,'EE Inputs'!$C$9:$C$32,$G$6,'EE Inputs'!$D$9:$D$32,$C$4,'EE Inputs'!$E$9:$E$32,$B25),0,1)))-AF26</f>
        <v>0</v>
      </c>
      <c r="AG25" s="65">
        <f ca="1">IF($C$4=Lookups!$D$40,SUM(INDIRECT("'Yr1'!"&amp;ADDRESS(ROW(AG25),COLUMN(AG25))),INDIRECT("'Yr2'!"&amp;ADDRESS(ROW(AG25),COLUMN(AG25))),INDIRECT("'Yr3'!"&amp;ADDRESS(ROW(AG25),COLUMN(AG25)))),
IF(AG12=0,0,-PMT(INDEX(Lookups!$E$17:$G$17,MATCH($C$4,Lookups!$E$14:$G$14,0)),AG12,SUMIFS('EE Inputs'!$J$9:$J$32,'EE Inputs'!$C$9:$C$32,$G$6,'EE Inputs'!$D$9:$D$32,$C$4,'EE Inputs'!$E$9:$E$32,$B25),0,1)))-AG26</f>
        <v>0</v>
      </c>
      <c r="AH25" s="65"/>
      <c r="AI25" s="65">
        <f ca="1">NPV(Lookups!$E$17,G25:AG25)</f>
        <v>3734582.3800531989</v>
      </c>
      <c r="AJ25" s="65"/>
      <c r="AM25" s="72">
        <f ca="1">IF($C$4=Lookups!$D$40,SUM(INDIRECT("'Yr1'!"&amp;ADDRESS(ROW(AM25),COLUMN(AM25))),INDIRECT("'Yr2'!"&amp;ADDRESS(ROW(AM25),COLUMN(AM25))),INDIRECT("'Yr3'!"&amp;ADDRESS(ROW(AM25),COLUMN(AM25)))),
IF(AM12=0,0,-PMT(INDEX(Lookups!$E$17:$G$17,MATCH($C$4,Lookups!$E$14:$G$14,0)),AM12,SUMIFS('EE Inputs'!$J$9:$J$32,'EE Inputs'!$C$9:$C$32,$AM$6,'EE Inputs'!$D$9:$D$32,$C$4,'EE Inputs'!$E$9:$E$32,$B25),0,1)))-AM26</f>
        <v>0</v>
      </c>
      <c r="AN25" s="72">
        <f ca="1">IF($C$4=Lookups!$D$40,SUM(INDIRECT("'Yr1'!"&amp;ADDRESS(ROW(AN25),COLUMN(AN25))),INDIRECT("'Yr2'!"&amp;ADDRESS(ROW(AN25),COLUMN(AN25))),INDIRECT("'Yr3'!"&amp;ADDRESS(ROW(AN25),COLUMN(AN25)))),
IF(AN12=0,0,-PMT(INDEX(Lookups!$E$17:$G$17,MATCH($C$4,Lookups!$E$14:$G$14,0)),AN12,SUMIFS('EE Inputs'!$J$9:$J$32,'EE Inputs'!$C$9:$C$32,$AM$6,'EE Inputs'!$D$9:$D$32,$C$4,'EE Inputs'!$E$9:$E$32,$B25),0,1)))-AN26</f>
        <v>0</v>
      </c>
      <c r="AO25" s="72">
        <f ca="1">IF($C$4=Lookups!$D$40,SUM(INDIRECT("'Yr1'!"&amp;ADDRESS(ROW(AO25),COLUMN(AO25))),INDIRECT("'Yr2'!"&amp;ADDRESS(ROW(AO25),COLUMN(AO25))),INDIRECT("'Yr3'!"&amp;ADDRESS(ROW(AO25),COLUMN(AO25)))),
IF(AO12=0,0,-PMT(INDEX(Lookups!$E$17:$G$17,MATCH($C$4,Lookups!$E$14:$G$14,0)),AO12,SUMIFS('EE Inputs'!$J$9:$J$32,'EE Inputs'!$C$9:$C$32,$AM$6,'EE Inputs'!$D$9:$D$32,$C$4,'EE Inputs'!$E$9:$E$32,$B25),0,1)))-AO26</f>
        <v>326843.37309048668</v>
      </c>
      <c r="AP25" s="72">
        <f ca="1">IF($C$4=Lookups!$D$40,SUM(INDIRECT("'Yr1'!"&amp;ADDRESS(ROW(AP25),COLUMN(AP25))),INDIRECT("'Yr2'!"&amp;ADDRESS(ROW(AP25),COLUMN(AP25))),INDIRECT("'Yr3'!"&amp;ADDRESS(ROW(AP25),COLUMN(AP25)))),
IF(AP12=0,0,-PMT(INDEX(Lookups!$E$17:$G$17,MATCH($C$4,Lookups!$E$14:$G$14,0)),AP12,SUMIFS('EE Inputs'!$J$9:$J$32,'EE Inputs'!$C$9:$C$32,$AM$6,'EE Inputs'!$D$9:$D$32,$C$4,'EE Inputs'!$E$9:$E$32,$B25),0,1)))-AP26</f>
        <v>326843.37309048668</v>
      </c>
      <c r="AQ25" s="72">
        <f ca="1">IF($C$4=Lookups!$D$40,SUM(INDIRECT("'Yr1'!"&amp;ADDRESS(ROW(AQ25),COLUMN(AQ25))),INDIRECT("'Yr2'!"&amp;ADDRESS(ROW(AQ25),COLUMN(AQ25))),INDIRECT("'Yr3'!"&amp;ADDRESS(ROW(AQ25),COLUMN(AQ25)))),
IF(AQ12=0,0,-PMT(INDEX(Lookups!$E$17:$G$17,MATCH($C$4,Lookups!$E$14:$G$14,0)),AQ12,SUMIFS('EE Inputs'!$J$9:$J$32,'EE Inputs'!$C$9:$C$32,$AM$6,'EE Inputs'!$D$9:$D$32,$C$4,'EE Inputs'!$E$9:$E$32,$B25),0,1)))-AQ26</f>
        <v>326843.37309048668</v>
      </c>
      <c r="AR25" s="72">
        <f ca="1">IF($C$4=Lookups!$D$40,SUM(INDIRECT("'Yr1'!"&amp;ADDRESS(ROW(AR25),COLUMN(AR25))),INDIRECT("'Yr2'!"&amp;ADDRESS(ROW(AR25),COLUMN(AR25))),INDIRECT("'Yr3'!"&amp;ADDRESS(ROW(AR25),COLUMN(AR25)))),
IF(AR12=0,0,-PMT(INDEX(Lookups!$E$17:$G$17,MATCH($C$4,Lookups!$E$14:$G$14,0)),AR12,SUMIFS('EE Inputs'!$J$9:$J$32,'EE Inputs'!$C$9:$C$32,$AM$6,'EE Inputs'!$D$9:$D$32,$C$4,'EE Inputs'!$E$9:$E$32,$B25),0,1)))-AR26</f>
        <v>326843.37309048668</v>
      </c>
      <c r="AS25" s="72">
        <f ca="1">IF($C$4=Lookups!$D$40,SUM(INDIRECT("'Yr1'!"&amp;ADDRESS(ROW(AS25),COLUMN(AS25))),INDIRECT("'Yr2'!"&amp;ADDRESS(ROW(AS25),COLUMN(AS25))),INDIRECT("'Yr3'!"&amp;ADDRESS(ROW(AS25),COLUMN(AS25)))),
IF(AS12=0,0,-PMT(INDEX(Lookups!$E$17:$G$17,MATCH($C$4,Lookups!$E$14:$G$14,0)),AS12,SUMIFS('EE Inputs'!$J$9:$J$32,'EE Inputs'!$C$9:$C$32,$AM$6,'EE Inputs'!$D$9:$D$32,$C$4,'EE Inputs'!$E$9:$E$32,$B25),0,1)))-AS26</f>
        <v>326843.37309048668</v>
      </c>
      <c r="AT25" s="72">
        <f ca="1">IF($C$4=Lookups!$D$40,SUM(INDIRECT("'Yr1'!"&amp;ADDRESS(ROW(AT25),COLUMN(AT25))),INDIRECT("'Yr2'!"&amp;ADDRESS(ROW(AT25),COLUMN(AT25))),INDIRECT("'Yr3'!"&amp;ADDRESS(ROW(AT25),COLUMN(AT25)))),
IF(AT12=0,0,-PMT(INDEX(Lookups!$E$17:$G$17,MATCH($C$4,Lookups!$E$14:$G$14,0)),AT12,SUMIFS('EE Inputs'!$J$9:$J$32,'EE Inputs'!$C$9:$C$32,$AM$6,'EE Inputs'!$D$9:$D$32,$C$4,'EE Inputs'!$E$9:$E$32,$B25),0,1)))-AT26</f>
        <v>326843.37309048668</v>
      </c>
      <c r="AU25" s="72">
        <f ca="1">IF($C$4=Lookups!$D$40,SUM(INDIRECT("'Yr1'!"&amp;ADDRESS(ROW(AU25),COLUMN(AU25))),INDIRECT("'Yr2'!"&amp;ADDRESS(ROW(AU25),COLUMN(AU25))),INDIRECT("'Yr3'!"&amp;ADDRESS(ROW(AU25),COLUMN(AU25)))),
IF(AU12=0,0,-PMT(INDEX(Lookups!$E$17:$G$17,MATCH($C$4,Lookups!$E$14:$G$14,0)),AU12,SUMIFS('EE Inputs'!$J$9:$J$32,'EE Inputs'!$C$9:$C$32,$AM$6,'EE Inputs'!$D$9:$D$32,$C$4,'EE Inputs'!$E$9:$E$32,$B25),0,1)))-AU26</f>
        <v>326843.37309048668</v>
      </c>
      <c r="AV25" s="72">
        <f ca="1">IF($C$4=Lookups!$D$40,SUM(INDIRECT("'Yr1'!"&amp;ADDRESS(ROW(AV25),COLUMN(AV25))),INDIRECT("'Yr2'!"&amp;ADDRESS(ROW(AV25),COLUMN(AV25))),INDIRECT("'Yr3'!"&amp;ADDRESS(ROW(AV25),COLUMN(AV25)))),
IF(AV12=0,0,-PMT(INDEX(Lookups!$E$17:$G$17,MATCH($C$4,Lookups!$E$14:$G$14,0)),AV12,SUMIFS('EE Inputs'!$J$9:$J$32,'EE Inputs'!$C$9:$C$32,$AM$6,'EE Inputs'!$D$9:$D$32,$C$4,'EE Inputs'!$E$9:$E$32,$B25),0,1)))-AV26</f>
        <v>326843.37309048668</v>
      </c>
      <c r="AW25" s="72">
        <f ca="1">IF($C$4=Lookups!$D$40,SUM(INDIRECT("'Yr1'!"&amp;ADDRESS(ROW(AW25),COLUMN(AW25))),INDIRECT("'Yr2'!"&amp;ADDRESS(ROW(AW25),COLUMN(AW25))),INDIRECT("'Yr3'!"&amp;ADDRESS(ROW(AW25),COLUMN(AW25)))),
IF(AW12=0,0,-PMT(INDEX(Lookups!$E$17:$G$17,MATCH($C$4,Lookups!$E$14:$G$14,0)),AW12,SUMIFS('EE Inputs'!$J$9:$J$32,'EE Inputs'!$C$9:$C$32,$AM$6,'EE Inputs'!$D$9:$D$32,$C$4,'EE Inputs'!$E$9:$E$32,$B25),0,1)))-AW26</f>
        <v>326843.37309048668</v>
      </c>
      <c r="AX25" s="72">
        <f ca="1">IF($C$4=Lookups!$D$40,SUM(INDIRECT("'Yr1'!"&amp;ADDRESS(ROW(AX25),COLUMN(AX25))),INDIRECT("'Yr2'!"&amp;ADDRESS(ROW(AX25),COLUMN(AX25))),INDIRECT("'Yr3'!"&amp;ADDRESS(ROW(AX25),COLUMN(AX25)))),
IF(AX12=0,0,-PMT(INDEX(Lookups!$E$17:$G$17,MATCH($C$4,Lookups!$E$14:$G$14,0)),AX12,SUMIFS('EE Inputs'!$J$9:$J$32,'EE Inputs'!$C$9:$C$32,$AM$6,'EE Inputs'!$D$9:$D$32,$C$4,'EE Inputs'!$E$9:$E$32,$B25),0,1)))-AX26</f>
        <v>326843.37309048668</v>
      </c>
      <c r="AY25" s="72">
        <f ca="1">IF($C$4=Lookups!$D$40,SUM(INDIRECT("'Yr1'!"&amp;ADDRESS(ROW(AY25),COLUMN(AY25))),INDIRECT("'Yr2'!"&amp;ADDRESS(ROW(AY25),COLUMN(AY25))),INDIRECT("'Yr3'!"&amp;ADDRESS(ROW(AY25),COLUMN(AY25)))),
IF(AY12=0,0,-PMT(INDEX(Lookups!$E$17:$G$17,MATCH($C$4,Lookups!$E$14:$G$14,0)),AY12,SUMIFS('EE Inputs'!$J$9:$J$32,'EE Inputs'!$C$9:$C$32,$AM$6,'EE Inputs'!$D$9:$D$32,$C$4,'EE Inputs'!$E$9:$E$32,$B25),0,1)))-AY26</f>
        <v>326843.37309048668</v>
      </c>
      <c r="AZ25" s="72">
        <f ca="1">IF($C$4=Lookups!$D$40,SUM(INDIRECT("'Yr1'!"&amp;ADDRESS(ROW(AZ25),COLUMN(AZ25))),INDIRECT("'Yr2'!"&amp;ADDRESS(ROW(AZ25),COLUMN(AZ25))),INDIRECT("'Yr3'!"&amp;ADDRESS(ROW(AZ25),COLUMN(AZ25)))),
IF(AZ12=0,0,-PMT(INDEX(Lookups!$E$17:$G$17,MATCH($C$4,Lookups!$E$14:$G$14,0)),AZ12,SUMIFS('EE Inputs'!$J$9:$J$32,'EE Inputs'!$C$9:$C$32,$AM$6,'EE Inputs'!$D$9:$D$32,$C$4,'EE Inputs'!$E$9:$E$32,$B25),0,1)))-AZ26</f>
        <v>326843.37309048668</v>
      </c>
      <c r="BA25" s="72">
        <f ca="1">IF($C$4=Lookups!$D$40,SUM(INDIRECT("'Yr1'!"&amp;ADDRESS(ROW(BA25),COLUMN(BA25))),INDIRECT("'Yr2'!"&amp;ADDRESS(ROW(BA25),COLUMN(BA25))),INDIRECT("'Yr3'!"&amp;ADDRESS(ROW(BA25),COLUMN(BA25)))),
IF(BA12=0,0,-PMT(INDEX(Lookups!$E$17:$G$17,MATCH($C$4,Lookups!$E$14:$G$14,0)),BA12,SUMIFS('EE Inputs'!$J$9:$J$32,'EE Inputs'!$C$9:$C$32,$AM$6,'EE Inputs'!$D$9:$D$32,$C$4,'EE Inputs'!$E$9:$E$32,$B25),0,1)))-BA26</f>
        <v>326843.37309048668</v>
      </c>
      <c r="BB25" s="72">
        <f ca="1">IF($C$4=Lookups!$D$40,SUM(INDIRECT("'Yr1'!"&amp;ADDRESS(ROW(BB25),COLUMN(BB25))),INDIRECT("'Yr2'!"&amp;ADDRESS(ROW(BB25),COLUMN(BB25))),INDIRECT("'Yr3'!"&amp;ADDRESS(ROW(BB25),COLUMN(BB25)))),
IF(BB12=0,0,-PMT(INDEX(Lookups!$E$17:$G$17,MATCH($C$4,Lookups!$E$14:$G$14,0)),BB12,SUMIFS('EE Inputs'!$J$9:$J$32,'EE Inputs'!$C$9:$C$32,$AM$6,'EE Inputs'!$D$9:$D$32,$C$4,'EE Inputs'!$E$9:$E$32,$B25),0,1)))-BB26</f>
        <v>326843.37309048668</v>
      </c>
      <c r="BC25" s="72">
        <f ca="1">IF($C$4=Lookups!$D$40,SUM(INDIRECT("'Yr1'!"&amp;ADDRESS(ROW(BC25),COLUMN(BC25))),INDIRECT("'Yr2'!"&amp;ADDRESS(ROW(BC25),COLUMN(BC25))),INDIRECT("'Yr3'!"&amp;ADDRESS(ROW(BC25),COLUMN(BC25)))),
IF(BC12=0,0,-PMT(INDEX(Lookups!$E$17:$G$17,MATCH($C$4,Lookups!$E$14:$G$14,0)),BC12,SUMIFS('EE Inputs'!$J$9:$J$32,'EE Inputs'!$C$9:$C$32,$AM$6,'EE Inputs'!$D$9:$D$32,$C$4,'EE Inputs'!$E$9:$E$32,$B25),0,1)))-BC26</f>
        <v>326843.37309048668</v>
      </c>
      <c r="BD25" s="72">
        <f ca="1">IF($C$4=Lookups!$D$40,SUM(INDIRECT("'Yr1'!"&amp;ADDRESS(ROW(BD25),COLUMN(BD25))),INDIRECT("'Yr2'!"&amp;ADDRESS(ROW(BD25),COLUMN(BD25))),INDIRECT("'Yr3'!"&amp;ADDRESS(ROW(BD25),COLUMN(BD25)))),
IF(BD12=0,0,-PMT(INDEX(Lookups!$E$17:$G$17,MATCH($C$4,Lookups!$E$14:$G$14,0)),BD12,SUMIFS('EE Inputs'!$J$9:$J$32,'EE Inputs'!$C$9:$C$32,$AM$6,'EE Inputs'!$D$9:$D$32,$C$4,'EE Inputs'!$E$9:$E$32,$B25),0,1)))-BD26</f>
        <v>0</v>
      </c>
      <c r="BE25" s="72">
        <f ca="1">IF($C$4=Lookups!$D$40,SUM(INDIRECT("'Yr1'!"&amp;ADDRESS(ROW(BE25),COLUMN(BE25))),INDIRECT("'Yr2'!"&amp;ADDRESS(ROW(BE25),COLUMN(BE25))),INDIRECT("'Yr3'!"&amp;ADDRESS(ROW(BE25),COLUMN(BE25)))),
IF(BE12=0,0,-PMT(INDEX(Lookups!$E$17:$G$17,MATCH($C$4,Lookups!$E$14:$G$14,0)),BE12,SUMIFS('EE Inputs'!$J$9:$J$32,'EE Inputs'!$C$9:$C$32,$AM$6,'EE Inputs'!$D$9:$D$32,$C$4,'EE Inputs'!$E$9:$E$32,$B25),0,1)))-BE26</f>
        <v>0</v>
      </c>
      <c r="BF25" s="72">
        <f ca="1">IF($C$4=Lookups!$D$40,SUM(INDIRECT("'Yr1'!"&amp;ADDRESS(ROW(BF25),COLUMN(BF25))),INDIRECT("'Yr2'!"&amp;ADDRESS(ROW(BF25),COLUMN(BF25))),INDIRECT("'Yr3'!"&amp;ADDRESS(ROW(BF25),COLUMN(BF25)))),
IF(BF12=0,0,-PMT(INDEX(Lookups!$E$17:$G$17,MATCH($C$4,Lookups!$E$14:$G$14,0)),BF12,SUMIFS('EE Inputs'!$J$9:$J$32,'EE Inputs'!$C$9:$C$32,$AM$6,'EE Inputs'!$D$9:$D$32,$C$4,'EE Inputs'!$E$9:$E$32,$B25),0,1)))-BF26</f>
        <v>0</v>
      </c>
      <c r="BG25" s="72">
        <f ca="1">IF($C$4=Lookups!$D$40,SUM(INDIRECT("'Yr1'!"&amp;ADDRESS(ROW(BG25),COLUMN(BG25))),INDIRECT("'Yr2'!"&amp;ADDRESS(ROW(BG25),COLUMN(BG25))),INDIRECT("'Yr3'!"&amp;ADDRESS(ROW(BG25),COLUMN(BG25)))),
IF(BG12=0,0,-PMT(INDEX(Lookups!$E$17:$G$17,MATCH($C$4,Lookups!$E$14:$G$14,0)),BG12,SUMIFS('EE Inputs'!$J$9:$J$32,'EE Inputs'!$C$9:$C$32,$AM$6,'EE Inputs'!$D$9:$D$32,$C$4,'EE Inputs'!$E$9:$E$32,$B25),0,1)))-BG26</f>
        <v>0</v>
      </c>
      <c r="BH25" s="72">
        <f ca="1">IF($C$4=Lookups!$D$40,SUM(INDIRECT("'Yr1'!"&amp;ADDRESS(ROW(BH25),COLUMN(BH25))),INDIRECT("'Yr2'!"&amp;ADDRESS(ROW(BH25),COLUMN(BH25))),INDIRECT("'Yr3'!"&amp;ADDRESS(ROW(BH25),COLUMN(BH25)))),
IF(BH12=0,0,-PMT(INDEX(Lookups!$E$17:$G$17,MATCH($C$4,Lookups!$E$14:$G$14,0)),BH12,SUMIFS('EE Inputs'!$J$9:$J$32,'EE Inputs'!$C$9:$C$32,$AM$6,'EE Inputs'!$D$9:$D$32,$C$4,'EE Inputs'!$E$9:$E$32,$B25),0,1)))-BH26</f>
        <v>0</v>
      </c>
      <c r="BI25" s="72">
        <f ca="1">IF($C$4=Lookups!$D$40,SUM(INDIRECT("'Yr1'!"&amp;ADDRESS(ROW(BI25),COLUMN(BI25))),INDIRECT("'Yr2'!"&amp;ADDRESS(ROW(BI25),COLUMN(BI25))),INDIRECT("'Yr3'!"&amp;ADDRESS(ROW(BI25),COLUMN(BI25)))),
IF(BI12=0,0,-PMT(INDEX(Lookups!$E$17:$G$17,MATCH($C$4,Lookups!$E$14:$G$14,0)),BI12,SUMIFS('EE Inputs'!$J$9:$J$32,'EE Inputs'!$C$9:$C$32,$AM$6,'EE Inputs'!$D$9:$D$32,$C$4,'EE Inputs'!$E$9:$E$32,$B25),0,1)))-BI26</f>
        <v>0</v>
      </c>
      <c r="BJ25" s="72">
        <f ca="1">IF($C$4=Lookups!$D$40,SUM(INDIRECT("'Yr1'!"&amp;ADDRESS(ROW(BJ25),COLUMN(BJ25))),INDIRECT("'Yr2'!"&amp;ADDRESS(ROW(BJ25),COLUMN(BJ25))),INDIRECT("'Yr3'!"&amp;ADDRESS(ROW(BJ25),COLUMN(BJ25)))),
IF(BJ12=0,0,-PMT(INDEX(Lookups!$E$17:$G$17,MATCH($C$4,Lookups!$E$14:$G$14,0)),BJ12,SUMIFS('EE Inputs'!$J$9:$J$32,'EE Inputs'!$C$9:$C$32,$AM$6,'EE Inputs'!$D$9:$D$32,$C$4,'EE Inputs'!$E$9:$E$32,$B25),0,1)))-BJ26</f>
        <v>0</v>
      </c>
      <c r="BK25" s="72">
        <f ca="1">IF($C$4=Lookups!$D$40,SUM(INDIRECT("'Yr1'!"&amp;ADDRESS(ROW(BK25),COLUMN(BK25))),INDIRECT("'Yr2'!"&amp;ADDRESS(ROW(BK25),COLUMN(BK25))),INDIRECT("'Yr3'!"&amp;ADDRESS(ROW(BK25),COLUMN(BK25)))),
IF(BK12=0,0,-PMT(INDEX(Lookups!$E$17:$G$17,MATCH($C$4,Lookups!$E$14:$G$14,0)),BK12,SUMIFS('EE Inputs'!$J$9:$J$32,'EE Inputs'!$C$9:$C$32,$AM$6,'EE Inputs'!$D$9:$D$32,$C$4,'EE Inputs'!$E$9:$E$32,$B25),0,1)))-BK26</f>
        <v>0</v>
      </c>
      <c r="BL25" s="72">
        <f ca="1">IF($C$4=Lookups!$D$40,SUM(INDIRECT("'Yr1'!"&amp;ADDRESS(ROW(BL25),COLUMN(BL25))),INDIRECT("'Yr2'!"&amp;ADDRESS(ROW(BL25),COLUMN(BL25))),INDIRECT("'Yr3'!"&amp;ADDRESS(ROW(BL25),COLUMN(BL25)))),
IF(BL12=0,0,-PMT(INDEX(Lookups!$E$17:$G$17,MATCH($C$4,Lookups!$E$14:$G$14,0)),BL12,SUMIFS('EE Inputs'!$J$9:$J$32,'EE Inputs'!$C$9:$C$32,$AM$6,'EE Inputs'!$D$9:$D$32,$C$4,'EE Inputs'!$E$9:$E$32,$B25),0,1)))-BL26</f>
        <v>0</v>
      </c>
      <c r="BM25" s="72">
        <f ca="1">IF($C$4=Lookups!$D$40,SUM(INDIRECT("'Yr1'!"&amp;ADDRESS(ROW(BM25),COLUMN(BM25))),INDIRECT("'Yr2'!"&amp;ADDRESS(ROW(BM25),COLUMN(BM25))),INDIRECT("'Yr3'!"&amp;ADDRESS(ROW(BM25),COLUMN(BM25)))),
IF(BM12=0,0,-PMT(INDEX(Lookups!$E$17:$G$17,MATCH($C$4,Lookups!$E$14:$G$14,0)),BM12,SUMIFS('EE Inputs'!$J$9:$J$32,'EE Inputs'!$C$9:$C$32,$AM$6,'EE Inputs'!$D$9:$D$32,$C$4,'EE Inputs'!$E$9:$E$32,$B25),0,1)))-BM26</f>
        <v>0</v>
      </c>
      <c r="BN25" s="72"/>
      <c r="BO25" s="72">
        <f ca="1">NPV(Lookups!$E$17,AM25:BM25)</f>
        <v>4268094.1486322284</v>
      </c>
      <c r="BP25" s="72"/>
      <c r="BS25" s="84" t="str">
        <f>"Avoided "&amp;E25&amp;" costs, less the retail margin."</f>
        <v>Avoided Gas costs, less the retail margin.</v>
      </c>
      <c r="BT25" s="51" t="s">
        <v>17</v>
      </c>
    </row>
    <row r="26" spans="1:72" x14ac:dyDescent="0.25">
      <c r="A26" s="246"/>
      <c r="B26" s="243" t="str">
        <f t="shared" si="4"/>
        <v>Residential</v>
      </c>
      <c r="C26" s="243" t="str">
        <f t="shared" si="4"/>
        <v>Revenue Requirements</v>
      </c>
      <c r="D26" s="244" t="str">
        <f>D25</f>
        <v>Avoided Costs</v>
      </c>
      <c r="E26" s="84" t="s">
        <v>412</v>
      </c>
      <c r="F26" s="84" t="s">
        <v>32</v>
      </c>
      <c r="G26" s="65">
        <f ca="1">IF($C$4=Lookups!$D$40,SUM(INDIRECT("'Yr1'!"&amp;ADDRESS(ROW(G26),COLUMN(G26))),INDIRECT("'Yr2'!"&amp;ADDRESS(ROW(G26),COLUMN(G26))),INDIRECT("'Yr3'!"&amp;ADDRESS(ROW(G26),COLUMN(G26)))),
IF(G12=0,0,-PMT(INDEX(Lookups!$E$17:$G$17,MATCH($C$4,Lookups!$E$14:$G$14,0)),G12,SUMIFS('EE Inputs'!$W$9:$W$32,'EE Inputs'!$C$9:$C$32,$G$6,'EE Inputs'!$D$9:$D$32,$C$4,'EE Inputs'!$E$9:$E$32,$B26),0,1)))</f>
        <v>0</v>
      </c>
      <c r="H26" s="65">
        <f ca="1">IF($C$4=Lookups!$D$40,SUM(INDIRECT("'Yr1'!"&amp;ADDRESS(ROW(H26),COLUMN(H26))),INDIRECT("'Yr2'!"&amp;ADDRESS(ROW(H26),COLUMN(H26))),INDIRECT("'Yr3'!"&amp;ADDRESS(ROW(H26),COLUMN(H26)))),
IF(H12=0,0,-PMT(INDEX(Lookups!$E$17:$G$17,MATCH($C$4,Lookups!$E$14:$G$14,0)),H12,SUMIFS('EE Inputs'!$W$9:$W$32,'EE Inputs'!$C$9:$C$32,$G$6,'EE Inputs'!$D$9:$D$32,$C$4,'EE Inputs'!$E$9:$E$32,$B26),0,1)))</f>
        <v>0</v>
      </c>
      <c r="I26" s="65">
        <f ca="1">IF($C$4=Lookups!$D$40,SUM(INDIRECT("'Yr1'!"&amp;ADDRESS(ROW(I26),COLUMN(I26))),INDIRECT("'Yr2'!"&amp;ADDRESS(ROW(I26),COLUMN(I26))),INDIRECT("'Yr3'!"&amp;ADDRESS(ROW(I26),COLUMN(I26)))),
IF(I12=0,0,-PMT(INDEX(Lookups!$E$17:$G$17,MATCH($C$4,Lookups!$E$14:$G$14,0)),I12,SUMIFS('EE Inputs'!$W$9:$W$32,'EE Inputs'!$C$9:$C$32,$G$6,'EE Inputs'!$D$9:$D$32,$C$4,'EE Inputs'!$E$9:$E$32,$B26),0,1)))</f>
        <v>18254.550092819733</v>
      </c>
      <c r="J26" s="65">
        <f ca="1">IF($C$4=Lookups!$D$40,SUM(INDIRECT("'Yr1'!"&amp;ADDRESS(ROW(J26),COLUMN(J26))),INDIRECT("'Yr2'!"&amp;ADDRESS(ROW(J26),COLUMN(J26))),INDIRECT("'Yr3'!"&amp;ADDRESS(ROW(J26),COLUMN(J26)))),
IF(J12=0,0,-PMT(INDEX(Lookups!$E$17:$G$17,MATCH($C$4,Lookups!$E$14:$G$14,0)),J12,SUMIFS('EE Inputs'!$W$9:$W$32,'EE Inputs'!$C$9:$C$32,$G$6,'EE Inputs'!$D$9:$D$32,$C$4,'EE Inputs'!$E$9:$E$32,$B26),0,1)))</f>
        <v>18254.550092819733</v>
      </c>
      <c r="K26" s="65">
        <f ca="1">IF($C$4=Lookups!$D$40,SUM(INDIRECT("'Yr1'!"&amp;ADDRESS(ROW(K26),COLUMN(K26))),INDIRECT("'Yr2'!"&amp;ADDRESS(ROW(K26),COLUMN(K26))),INDIRECT("'Yr3'!"&amp;ADDRESS(ROW(K26),COLUMN(K26)))),
IF(K12=0,0,-PMT(INDEX(Lookups!$E$17:$G$17,MATCH($C$4,Lookups!$E$14:$G$14,0)),K12,SUMIFS('EE Inputs'!$W$9:$W$32,'EE Inputs'!$C$9:$C$32,$G$6,'EE Inputs'!$D$9:$D$32,$C$4,'EE Inputs'!$E$9:$E$32,$B26),0,1)))</f>
        <v>18254.550092819733</v>
      </c>
      <c r="L26" s="65">
        <f ca="1">IF($C$4=Lookups!$D$40,SUM(INDIRECT("'Yr1'!"&amp;ADDRESS(ROW(L26),COLUMN(L26))),INDIRECT("'Yr2'!"&amp;ADDRESS(ROW(L26),COLUMN(L26))),INDIRECT("'Yr3'!"&amp;ADDRESS(ROW(L26),COLUMN(L26)))),
IF(L12=0,0,-PMT(INDEX(Lookups!$E$17:$G$17,MATCH($C$4,Lookups!$E$14:$G$14,0)),L12,SUMIFS('EE Inputs'!$W$9:$W$32,'EE Inputs'!$C$9:$C$32,$G$6,'EE Inputs'!$D$9:$D$32,$C$4,'EE Inputs'!$E$9:$E$32,$B26),0,1)))</f>
        <v>18254.550092819733</v>
      </c>
      <c r="M26" s="65">
        <f ca="1">IF($C$4=Lookups!$D$40,SUM(INDIRECT("'Yr1'!"&amp;ADDRESS(ROW(M26),COLUMN(M26))),INDIRECT("'Yr2'!"&amp;ADDRESS(ROW(M26),COLUMN(M26))),INDIRECT("'Yr3'!"&amp;ADDRESS(ROW(M26),COLUMN(M26)))),
IF(M12=0,0,-PMT(INDEX(Lookups!$E$17:$G$17,MATCH($C$4,Lookups!$E$14:$G$14,0)),M12,SUMIFS('EE Inputs'!$W$9:$W$32,'EE Inputs'!$C$9:$C$32,$G$6,'EE Inputs'!$D$9:$D$32,$C$4,'EE Inputs'!$E$9:$E$32,$B26),0,1)))</f>
        <v>18254.550092819733</v>
      </c>
      <c r="N26" s="65">
        <f ca="1">IF($C$4=Lookups!$D$40,SUM(INDIRECT("'Yr1'!"&amp;ADDRESS(ROW(N26),COLUMN(N26))),INDIRECT("'Yr2'!"&amp;ADDRESS(ROW(N26),COLUMN(N26))),INDIRECT("'Yr3'!"&amp;ADDRESS(ROW(N26),COLUMN(N26)))),
IF(N12=0,0,-PMT(INDEX(Lookups!$E$17:$G$17,MATCH($C$4,Lookups!$E$14:$G$14,0)),N12,SUMIFS('EE Inputs'!$W$9:$W$32,'EE Inputs'!$C$9:$C$32,$G$6,'EE Inputs'!$D$9:$D$32,$C$4,'EE Inputs'!$E$9:$E$32,$B26),0,1)))</f>
        <v>18254.550092819733</v>
      </c>
      <c r="O26" s="65">
        <f ca="1">IF($C$4=Lookups!$D$40,SUM(INDIRECT("'Yr1'!"&amp;ADDRESS(ROW(O26),COLUMN(O26))),INDIRECT("'Yr2'!"&amp;ADDRESS(ROW(O26),COLUMN(O26))),INDIRECT("'Yr3'!"&amp;ADDRESS(ROW(O26),COLUMN(O26)))),
IF(O12=0,0,-PMT(INDEX(Lookups!$E$17:$G$17,MATCH($C$4,Lookups!$E$14:$G$14,0)),O12,SUMIFS('EE Inputs'!$W$9:$W$32,'EE Inputs'!$C$9:$C$32,$G$6,'EE Inputs'!$D$9:$D$32,$C$4,'EE Inputs'!$E$9:$E$32,$B26),0,1)))</f>
        <v>18254.550092819733</v>
      </c>
      <c r="P26" s="65">
        <f ca="1">IF($C$4=Lookups!$D$40,SUM(INDIRECT("'Yr1'!"&amp;ADDRESS(ROW(P26),COLUMN(P26))),INDIRECT("'Yr2'!"&amp;ADDRESS(ROW(P26),COLUMN(P26))),INDIRECT("'Yr3'!"&amp;ADDRESS(ROW(P26),COLUMN(P26)))),
IF(P12=0,0,-PMT(INDEX(Lookups!$E$17:$G$17,MATCH($C$4,Lookups!$E$14:$G$14,0)),P12,SUMIFS('EE Inputs'!$W$9:$W$32,'EE Inputs'!$C$9:$C$32,$G$6,'EE Inputs'!$D$9:$D$32,$C$4,'EE Inputs'!$E$9:$E$32,$B26),0,1)))</f>
        <v>18254.550092819733</v>
      </c>
      <c r="Q26" s="65">
        <f ca="1">IF($C$4=Lookups!$D$40,SUM(INDIRECT("'Yr1'!"&amp;ADDRESS(ROW(Q26),COLUMN(Q26))),INDIRECT("'Yr2'!"&amp;ADDRESS(ROW(Q26),COLUMN(Q26))),INDIRECT("'Yr3'!"&amp;ADDRESS(ROW(Q26),COLUMN(Q26)))),
IF(Q12=0,0,-PMT(INDEX(Lookups!$E$17:$G$17,MATCH($C$4,Lookups!$E$14:$G$14,0)),Q12,SUMIFS('EE Inputs'!$W$9:$W$32,'EE Inputs'!$C$9:$C$32,$G$6,'EE Inputs'!$D$9:$D$32,$C$4,'EE Inputs'!$E$9:$E$32,$B26),0,1)))</f>
        <v>18254.550092819733</v>
      </c>
      <c r="R26" s="65">
        <f ca="1">IF($C$4=Lookups!$D$40,SUM(INDIRECT("'Yr1'!"&amp;ADDRESS(ROW(R26),COLUMN(R26))),INDIRECT("'Yr2'!"&amp;ADDRESS(ROW(R26),COLUMN(R26))),INDIRECT("'Yr3'!"&amp;ADDRESS(ROW(R26),COLUMN(R26)))),
IF(R12=0,0,-PMT(INDEX(Lookups!$E$17:$G$17,MATCH($C$4,Lookups!$E$14:$G$14,0)),R12,SUMIFS('EE Inputs'!$W$9:$W$32,'EE Inputs'!$C$9:$C$32,$G$6,'EE Inputs'!$D$9:$D$32,$C$4,'EE Inputs'!$E$9:$E$32,$B26),0,1)))</f>
        <v>18254.550092819733</v>
      </c>
      <c r="S26" s="65">
        <f ca="1">IF($C$4=Lookups!$D$40,SUM(INDIRECT("'Yr1'!"&amp;ADDRESS(ROW(S26),COLUMN(S26))),INDIRECT("'Yr2'!"&amp;ADDRESS(ROW(S26),COLUMN(S26))),INDIRECT("'Yr3'!"&amp;ADDRESS(ROW(S26),COLUMN(S26)))),
IF(S12=0,0,-PMT(INDEX(Lookups!$E$17:$G$17,MATCH($C$4,Lookups!$E$14:$G$14,0)),S12,SUMIFS('EE Inputs'!$W$9:$W$32,'EE Inputs'!$C$9:$C$32,$G$6,'EE Inputs'!$D$9:$D$32,$C$4,'EE Inputs'!$E$9:$E$32,$B26),0,1)))</f>
        <v>18254.550092819733</v>
      </c>
      <c r="T26" s="65">
        <f ca="1">IF($C$4=Lookups!$D$40,SUM(INDIRECT("'Yr1'!"&amp;ADDRESS(ROW(T26),COLUMN(T26))),INDIRECT("'Yr2'!"&amp;ADDRESS(ROW(T26),COLUMN(T26))),INDIRECT("'Yr3'!"&amp;ADDRESS(ROW(T26),COLUMN(T26)))),
IF(T12=0,0,-PMT(INDEX(Lookups!$E$17:$G$17,MATCH($C$4,Lookups!$E$14:$G$14,0)),T12,SUMIFS('EE Inputs'!$W$9:$W$32,'EE Inputs'!$C$9:$C$32,$G$6,'EE Inputs'!$D$9:$D$32,$C$4,'EE Inputs'!$E$9:$E$32,$B26),0,1)))</f>
        <v>18254.550092819733</v>
      </c>
      <c r="U26" s="65">
        <f ca="1">IF($C$4=Lookups!$D$40,SUM(INDIRECT("'Yr1'!"&amp;ADDRESS(ROW(U26),COLUMN(U26))),INDIRECT("'Yr2'!"&amp;ADDRESS(ROW(U26),COLUMN(U26))),INDIRECT("'Yr3'!"&amp;ADDRESS(ROW(U26),COLUMN(U26)))),
IF(U12=0,0,-PMT(INDEX(Lookups!$E$17:$G$17,MATCH($C$4,Lookups!$E$14:$G$14,0)),U12,SUMIFS('EE Inputs'!$W$9:$W$32,'EE Inputs'!$C$9:$C$32,$G$6,'EE Inputs'!$D$9:$D$32,$C$4,'EE Inputs'!$E$9:$E$32,$B26),0,1)))</f>
        <v>18254.550092819733</v>
      </c>
      <c r="V26" s="65">
        <f ca="1">IF($C$4=Lookups!$D$40,SUM(INDIRECT("'Yr1'!"&amp;ADDRESS(ROW(V26),COLUMN(V26))),INDIRECT("'Yr2'!"&amp;ADDRESS(ROW(V26),COLUMN(V26))),INDIRECT("'Yr3'!"&amp;ADDRESS(ROW(V26),COLUMN(V26)))),
IF(V12=0,0,-PMT(INDEX(Lookups!$E$17:$G$17,MATCH($C$4,Lookups!$E$14:$G$14,0)),V12,SUMIFS('EE Inputs'!$W$9:$W$32,'EE Inputs'!$C$9:$C$32,$G$6,'EE Inputs'!$D$9:$D$32,$C$4,'EE Inputs'!$E$9:$E$32,$B26),0,1)))</f>
        <v>18254.550092819733</v>
      </c>
      <c r="W26" s="65">
        <f ca="1">IF($C$4=Lookups!$D$40,SUM(INDIRECT("'Yr1'!"&amp;ADDRESS(ROW(W26),COLUMN(W26))),INDIRECT("'Yr2'!"&amp;ADDRESS(ROW(W26),COLUMN(W26))),INDIRECT("'Yr3'!"&amp;ADDRESS(ROW(W26),COLUMN(W26)))),
IF(W12=0,0,-PMT(INDEX(Lookups!$E$17:$G$17,MATCH($C$4,Lookups!$E$14:$G$14,0)),W12,SUMIFS('EE Inputs'!$W$9:$W$32,'EE Inputs'!$C$9:$C$32,$G$6,'EE Inputs'!$D$9:$D$32,$C$4,'EE Inputs'!$E$9:$E$32,$B26),0,1)))</f>
        <v>18254.550092819733</v>
      </c>
      <c r="X26" s="65">
        <f ca="1">IF($C$4=Lookups!$D$40,SUM(INDIRECT("'Yr1'!"&amp;ADDRESS(ROW(X26),COLUMN(X26))),INDIRECT("'Yr2'!"&amp;ADDRESS(ROW(X26),COLUMN(X26))),INDIRECT("'Yr3'!"&amp;ADDRESS(ROW(X26),COLUMN(X26)))),
IF(X12=0,0,-PMT(INDEX(Lookups!$E$17:$G$17,MATCH($C$4,Lookups!$E$14:$G$14,0)),X12,SUMIFS('EE Inputs'!$W$9:$W$32,'EE Inputs'!$C$9:$C$32,$G$6,'EE Inputs'!$D$9:$D$32,$C$4,'EE Inputs'!$E$9:$E$32,$B26),0,1)))</f>
        <v>0</v>
      </c>
      <c r="Y26" s="65">
        <f ca="1">IF($C$4=Lookups!$D$40,SUM(INDIRECT("'Yr1'!"&amp;ADDRESS(ROW(Y26),COLUMN(Y26))),INDIRECT("'Yr2'!"&amp;ADDRESS(ROW(Y26),COLUMN(Y26))),INDIRECT("'Yr3'!"&amp;ADDRESS(ROW(Y26),COLUMN(Y26)))),
IF(Y12=0,0,-PMT(INDEX(Lookups!$E$17:$G$17,MATCH($C$4,Lookups!$E$14:$G$14,0)),Y12,SUMIFS('EE Inputs'!$W$9:$W$32,'EE Inputs'!$C$9:$C$32,$G$6,'EE Inputs'!$D$9:$D$32,$C$4,'EE Inputs'!$E$9:$E$32,$B26),0,1)))</f>
        <v>0</v>
      </c>
      <c r="Z26" s="65">
        <f ca="1">IF($C$4=Lookups!$D$40,SUM(INDIRECT("'Yr1'!"&amp;ADDRESS(ROW(Z26),COLUMN(Z26))),INDIRECT("'Yr2'!"&amp;ADDRESS(ROW(Z26),COLUMN(Z26))),INDIRECT("'Yr3'!"&amp;ADDRESS(ROW(Z26),COLUMN(Z26)))),
IF(Z12=0,0,-PMT(INDEX(Lookups!$E$17:$G$17,MATCH($C$4,Lookups!$E$14:$G$14,0)),Z12,SUMIFS('EE Inputs'!$W$9:$W$32,'EE Inputs'!$C$9:$C$32,$G$6,'EE Inputs'!$D$9:$D$32,$C$4,'EE Inputs'!$E$9:$E$32,$B26),0,1)))</f>
        <v>0</v>
      </c>
      <c r="AA26" s="65">
        <f ca="1">IF($C$4=Lookups!$D$40,SUM(INDIRECT("'Yr1'!"&amp;ADDRESS(ROW(AA26),COLUMN(AA26))),INDIRECT("'Yr2'!"&amp;ADDRESS(ROW(AA26),COLUMN(AA26))),INDIRECT("'Yr3'!"&amp;ADDRESS(ROW(AA26),COLUMN(AA26)))),
IF(AA12=0,0,-PMT(INDEX(Lookups!$E$17:$G$17,MATCH($C$4,Lookups!$E$14:$G$14,0)),AA12,SUMIFS('EE Inputs'!$W$9:$W$32,'EE Inputs'!$C$9:$C$32,$G$6,'EE Inputs'!$D$9:$D$32,$C$4,'EE Inputs'!$E$9:$E$32,$B26),0,1)))</f>
        <v>0</v>
      </c>
      <c r="AB26" s="65">
        <f ca="1">IF($C$4=Lookups!$D$40,SUM(INDIRECT("'Yr1'!"&amp;ADDRESS(ROW(AB26),COLUMN(AB26))),INDIRECT("'Yr2'!"&amp;ADDRESS(ROW(AB26),COLUMN(AB26))),INDIRECT("'Yr3'!"&amp;ADDRESS(ROW(AB26),COLUMN(AB26)))),
IF(AB12=0,0,-PMT(INDEX(Lookups!$E$17:$G$17,MATCH($C$4,Lookups!$E$14:$G$14,0)),AB12,SUMIFS('EE Inputs'!$W$9:$W$32,'EE Inputs'!$C$9:$C$32,$G$6,'EE Inputs'!$D$9:$D$32,$C$4,'EE Inputs'!$E$9:$E$32,$B26),0,1)))</f>
        <v>0</v>
      </c>
      <c r="AC26" s="65">
        <f ca="1">IF($C$4=Lookups!$D$40,SUM(INDIRECT("'Yr1'!"&amp;ADDRESS(ROW(AC26),COLUMN(AC26))),INDIRECT("'Yr2'!"&amp;ADDRESS(ROW(AC26),COLUMN(AC26))),INDIRECT("'Yr3'!"&amp;ADDRESS(ROW(AC26),COLUMN(AC26)))),
IF(AC12=0,0,-PMT(INDEX(Lookups!$E$17:$G$17,MATCH($C$4,Lookups!$E$14:$G$14,0)),AC12,SUMIFS('EE Inputs'!$W$9:$W$32,'EE Inputs'!$C$9:$C$32,$G$6,'EE Inputs'!$D$9:$D$32,$C$4,'EE Inputs'!$E$9:$E$32,$B26),0,1)))</f>
        <v>0</v>
      </c>
      <c r="AD26" s="65">
        <f ca="1">IF($C$4=Lookups!$D$40,SUM(INDIRECT("'Yr1'!"&amp;ADDRESS(ROW(AD26),COLUMN(AD26))),INDIRECT("'Yr2'!"&amp;ADDRESS(ROW(AD26),COLUMN(AD26))),INDIRECT("'Yr3'!"&amp;ADDRESS(ROW(AD26),COLUMN(AD26)))),
IF(AD12=0,0,-PMT(INDEX(Lookups!$E$17:$G$17,MATCH($C$4,Lookups!$E$14:$G$14,0)),AD12,SUMIFS('EE Inputs'!$W$9:$W$32,'EE Inputs'!$C$9:$C$32,$G$6,'EE Inputs'!$D$9:$D$32,$C$4,'EE Inputs'!$E$9:$E$32,$B26),0,1)))</f>
        <v>0</v>
      </c>
      <c r="AE26" s="65">
        <f ca="1">IF($C$4=Lookups!$D$40,SUM(INDIRECT("'Yr1'!"&amp;ADDRESS(ROW(AE26),COLUMN(AE26))),INDIRECT("'Yr2'!"&amp;ADDRESS(ROW(AE26),COLUMN(AE26))),INDIRECT("'Yr3'!"&amp;ADDRESS(ROW(AE26),COLUMN(AE26)))),
IF(AE12=0,0,-PMT(INDEX(Lookups!$E$17:$G$17,MATCH($C$4,Lookups!$E$14:$G$14,0)),AE12,SUMIFS('EE Inputs'!$W$9:$W$32,'EE Inputs'!$C$9:$C$32,$G$6,'EE Inputs'!$D$9:$D$32,$C$4,'EE Inputs'!$E$9:$E$32,$B26),0,1)))</f>
        <v>0</v>
      </c>
      <c r="AF26" s="65">
        <f ca="1">IF($C$4=Lookups!$D$40,SUM(INDIRECT("'Yr1'!"&amp;ADDRESS(ROW(AF26),COLUMN(AF26))),INDIRECT("'Yr2'!"&amp;ADDRESS(ROW(AF26),COLUMN(AF26))),INDIRECT("'Yr3'!"&amp;ADDRESS(ROW(AF26),COLUMN(AF26)))),
IF(AF12=0,0,-PMT(INDEX(Lookups!$E$17:$G$17,MATCH($C$4,Lookups!$E$14:$G$14,0)),AF12,SUMIFS('EE Inputs'!$W$9:$W$32,'EE Inputs'!$C$9:$C$32,$G$6,'EE Inputs'!$D$9:$D$32,$C$4,'EE Inputs'!$E$9:$E$32,$B26),0,1)))</f>
        <v>0</v>
      </c>
      <c r="AG26" s="65">
        <f ca="1">IF($C$4=Lookups!$D$40,SUM(INDIRECT("'Yr1'!"&amp;ADDRESS(ROW(AG26),COLUMN(AG26))),INDIRECT("'Yr2'!"&amp;ADDRESS(ROW(AG26),COLUMN(AG26))),INDIRECT("'Yr3'!"&amp;ADDRESS(ROW(AG26),COLUMN(AG26)))),
IF(AG12=0,0,-PMT(INDEX(Lookups!$E$17:$G$17,MATCH($C$4,Lookups!$E$14:$G$14,0)),AG12,SUMIFS('EE Inputs'!$W$9:$W$32,'EE Inputs'!$C$9:$C$32,$G$6,'EE Inputs'!$D$9:$D$32,$C$4,'EE Inputs'!$E$9:$E$32,$B26),0,1)))</f>
        <v>0</v>
      </c>
      <c r="AH26" s="65"/>
      <c r="AI26" s="65">
        <f ca="1">NPV(Lookups!$E$17,G26:AG26)</f>
        <v>238377.59872679994</v>
      </c>
      <c r="AJ26" s="65"/>
      <c r="AM26" s="72">
        <f ca="1">IF($C$4=Lookups!$D$40,SUM(INDIRECT("'Yr1'!"&amp;ADDRESS(ROW(AM26),COLUMN(AM26))),INDIRECT("'Yr2'!"&amp;ADDRESS(ROW(AM26),COLUMN(AM26))),INDIRECT("'Yr3'!"&amp;ADDRESS(ROW(AM26),COLUMN(AM26)))),
IF(AM12=0,0,-PMT(INDEX(Lookups!$E$17:$G$17,MATCH($C$4,Lookups!$E$14:$G$14,0)),AM12,SUMIFS('EE Inputs'!$W$9:$W$32,'EE Inputs'!$C$9:$C$32,$AM$6,'EE Inputs'!$D$9:$D$32,$C$4,'EE Inputs'!$E$9:$E$32,$B26),0,1)))</f>
        <v>0</v>
      </c>
      <c r="AN26" s="72">
        <f ca="1">IF($C$4=Lookups!$D$40,SUM(INDIRECT("'Yr1'!"&amp;ADDRESS(ROW(AN26),COLUMN(AN26))),INDIRECT("'Yr2'!"&amp;ADDRESS(ROW(AN26),COLUMN(AN26))),INDIRECT("'Yr3'!"&amp;ADDRESS(ROW(AN26),COLUMN(AN26)))),
IF(AN12=0,0,-PMT(INDEX(Lookups!$E$17:$G$17,MATCH($C$4,Lookups!$E$14:$G$14,0)),AN12,SUMIFS('EE Inputs'!$W$9:$W$32,'EE Inputs'!$C$9:$C$32,$AM$6,'EE Inputs'!$D$9:$D$32,$C$4,'EE Inputs'!$E$9:$E$32,$B26),0,1)))</f>
        <v>0</v>
      </c>
      <c r="AO26" s="72">
        <f ca="1">IF($C$4=Lookups!$D$40,SUM(INDIRECT("'Yr1'!"&amp;ADDRESS(ROW(AO26),COLUMN(AO26))),INDIRECT("'Yr2'!"&amp;ADDRESS(ROW(AO26),COLUMN(AO26))),INDIRECT("'Yr3'!"&amp;ADDRESS(ROW(AO26),COLUMN(AO26)))),
IF(AO12=0,0,-PMT(INDEX(Lookups!$E$17:$G$17,MATCH($C$4,Lookups!$E$14:$G$14,0)),AO12,SUMIFS('EE Inputs'!$W$9:$W$32,'EE Inputs'!$C$9:$C$32,$AM$6,'EE Inputs'!$D$9:$D$32,$C$4,'EE Inputs'!$E$9:$E$32,$B26),0,1)))</f>
        <v>20862.342963222552</v>
      </c>
      <c r="AP26" s="72">
        <f ca="1">IF($C$4=Lookups!$D$40,SUM(INDIRECT("'Yr1'!"&amp;ADDRESS(ROW(AP26),COLUMN(AP26))),INDIRECT("'Yr2'!"&amp;ADDRESS(ROW(AP26),COLUMN(AP26))),INDIRECT("'Yr3'!"&amp;ADDRESS(ROW(AP26),COLUMN(AP26)))),
IF(AP12=0,0,-PMT(INDEX(Lookups!$E$17:$G$17,MATCH($C$4,Lookups!$E$14:$G$14,0)),AP12,SUMIFS('EE Inputs'!$W$9:$W$32,'EE Inputs'!$C$9:$C$32,$AM$6,'EE Inputs'!$D$9:$D$32,$C$4,'EE Inputs'!$E$9:$E$32,$B26),0,1)))</f>
        <v>20862.342963222552</v>
      </c>
      <c r="AQ26" s="72">
        <f ca="1">IF($C$4=Lookups!$D$40,SUM(INDIRECT("'Yr1'!"&amp;ADDRESS(ROW(AQ26),COLUMN(AQ26))),INDIRECT("'Yr2'!"&amp;ADDRESS(ROW(AQ26),COLUMN(AQ26))),INDIRECT("'Yr3'!"&amp;ADDRESS(ROW(AQ26),COLUMN(AQ26)))),
IF(AQ12=0,0,-PMT(INDEX(Lookups!$E$17:$G$17,MATCH($C$4,Lookups!$E$14:$G$14,0)),AQ12,SUMIFS('EE Inputs'!$W$9:$W$32,'EE Inputs'!$C$9:$C$32,$AM$6,'EE Inputs'!$D$9:$D$32,$C$4,'EE Inputs'!$E$9:$E$32,$B26),0,1)))</f>
        <v>20862.342963222552</v>
      </c>
      <c r="AR26" s="72">
        <f ca="1">IF($C$4=Lookups!$D$40,SUM(INDIRECT("'Yr1'!"&amp;ADDRESS(ROW(AR26),COLUMN(AR26))),INDIRECT("'Yr2'!"&amp;ADDRESS(ROW(AR26),COLUMN(AR26))),INDIRECT("'Yr3'!"&amp;ADDRESS(ROW(AR26),COLUMN(AR26)))),
IF(AR12=0,0,-PMT(INDEX(Lookups!$E$17:$G$17,MATCH($C$4,Lookups!$E$14:$G$14,0)),AR12,SUMIFS('EE Inputs'!$W$9:$W$32,'EE Inputs'!$C$9:$C$32,$AM$6,'EE Inputs'!$D$9:$D$32,$C$4,'EE Inputs'!$E$9:$E$32,$B26),0,1)))</f>
        <v>20862.342963222552</v>
      </c>
      <c r="AS26" s="72">
        <f ca="1">IF($C$4=Lookups!$D$40,SUM(INDIRECT("'Yr1'!"&amp;ADDRESS(ROW(AS26),COLUMN(AS26))),INDIRECT("'Yr2'!"&amp;ADDRESS(ROW(AS26),COLUMN(AS26))),INDIRECT("'Yr3'!"&amp;ADDRESS(ROW(AS26),COLUMN(AS26)))),
IF(AS12=0,0,-PMT(INDEX(Lookups!$E$17:$G$17,MATCH($C$4,Lookups!$E$14:$G$14,0)),AS12,SUMIFS('EE Inputs'!$W$9:$W$32,'EE Inputs'!$C$9:$C$32,$AM$6,'EE Inputs'!$D$9:$D$32,$C$4,'EE Inputs'!$E$9:$E$32,$B26),0,1)))</f>
        <v>20862.342963222552</v>
      </c>
      <c r="AT26" s="72">
        <f ca="1">IF($C$4=Lookups!$D$40,SUM(INDIRECT("'Yr1'!"&amp;ADDRESS(ROW(AT26),COLUMN(AT26))),INDIRECT("'Yr2'!"&amp;ADDRESS(ROW(AT26),COLUMN(AT26))),INDIRECT("'Yr3'!"&amp;ADDRESS(ROW(AT26),COLUMN(AT26)))),
IF(AT12=0,0,-PMT(INDEX(Lookups!$E$17:$G$17,MATCH($C$4,Lookups!$E$14:$G$14,0)),AT12,SUMIFS('EE Inputs'!$W$9:$W$32,'EE Inputs'!$C$9:$C$32,$AM$6,'EE Inputs'!$D$9:$D$32,$C$4,'EE Inputs'!$E$9:$E$32,$B26),0,1)))</f>
        <v>20862.342963222552</v>
      </c>
      <c r="AU26" s="72">
        <f ca="1">IF($C$4=Lookups!$D$40,SUM(INDIRECT("'Yr1'!"&amp;ADDRESS(ROW(AU26),COLUMN(AU26))),INDIRECT("'Yr2'!"&amp;ADDRESS(ROW(AU26),COLUMN(AU26))),INDIRECT("'Yr3'!"&amp;ADDRESS(ROW(AU26),COLUMN(AU26)))),
IF(AU12=0,0,-PMT(INDEX(Lookups!$E$17:$G$17,MATCH($C$4,Lookups!$E$14:$G$14,0)),AU12,SUMIFS('EE Inputs'!$W$9:$W$32,'EE Inputs'!$C$9:$C$32,$AM$6,'EE Inputs'!$D$9:$D$32,$C$4,'EE Inputs'!$E$9:$E$32,$B26),0,1)))</f>
        <v>20862.342963222552</v>
      </c>
      <c r="AV26" s="72">
        <f ca="1">IF($C$4=Lookups!$D$40,SUM(INDIRECT("'Yr1'!"&amp;ADDRESS(ROW(AV26),COLUMN(AV26))),INDIRECT("'Yr2'!"&amp;ADDRESS(ROW(AV26),COLUMN(AV26))),INDIRECT("'Yr3'!"&amp;ADDRESS(ROW(AV26),COLUMN(AV26)))),
IF(AV12=0,0,-PMT(INDEX(Lookups!$E$17:$G$17,MATCH($C$4,Lookups!$E$14:$G$14,0)),AV12,SUMIFS('EE Inputs'!$W$9:$W$32,'EE Inputs'!$C$9:$C$32,$AM$6,'EE Inputs'!$D$9:$D$32,$C$4,'EE Inputs'!$E$9:$E$32,$B26),0,1)))</f>
        <v>20862.342963222552</v>
      </c>
      <c r="AW26" s="72">
        <f ca="1">IF($C$4=Lookups!$D$40,SUM(INDIRECT("'Yr1'!"&amp;ADDRESS(ROW(AW26),COLUMN(AW26))),INDIRECT("'Yr2'!"&amp;ADDRESS(ROW(AW26),COLUMN(AW26))),INDIRECT("'Yr3'!"&amp;ADDRESS(ROW(AW26),COLUMN(AW26)))),
IF(AW12=0,0,-PMT(INDEX(Lookups!$E$17:$G$17,MATCH($C$4,Lookups!$E$14:$G$14,0)),AW12,SUMIFS('EE Inputs'!$W$9:$W$32,'EE Inputs'!$C$9:$C$32,$AM$6,'EE Inputs'!$D$9:$D$32,$C$4,'EE Inputs'!$E$9:$E$32,$B26),0,1)))</f>
        <v>20862.342963222552</v>
      </c>
      <c r="AX26" s="72">
        <f ca="1">IF($C$4=Lookups!$D$40,SUM(INDIRECT("'Yr1'!"&amp;ADDRESS(ROW(AX26),COLUMN(AX26))),INDIRECT("'Yr2'!"&amp;ADDRESS(ROW(AX26),COLUMN(AX26))),INDIRECT("'Yr3'!"&amp;ADDRESS(ROW(AX26),COLUMN(AX26)))),
IF(AX12=0,0,-PMT(INDEX(Lookups!$E$17:$G$17,MATCH($C$4,Lookups!$E$14:$G$14,0)),AX12,SUMIFS('EE Inputs'!$W$9:$W$32,'EE Inputs'!$C$9:$C$32,$AM$6,'EE Inputs'!$D$9:$D$32,$C$4,'EE Inputs'!$E$9:$E$32,$B26),0,1)))</f>
        <v>20862.342963222552</v>
      </c>
      <c r="AY26" s="72">
        <f ca="1">IF($C$4=Lookups!$D$40,SUM(INDIRECT("'Yr1'!"&amp;ADDRESS(ROW(AY26),COLUMN(AY26))),INDIRECT("'Yr2'!"&amp;ADDRESS(ROW(AY26),COLUMN(AY26))),INDIRECT("'Yr3'!"&amp;ADDRESS(ROW(AY26),COLUMN(AY26)))),
IF(AY12=0,0,-PMT(INDEX(Lookups!$E$17:$G$17,MATCH($C$4,Lookups!$E$14:$G$14,0)),AY12,SUMIFS('EE Inputs'!$W$9:$W$32,'EE Inputs'!$C$9:$C$32,$AM$6,'EE Inputs'!$D$9:$D$32,$C$4,'EE Inputs'!$E$9:$E$32,$B26),0,1)))</f>
        <v>20862.342963222552</v>
      </c>
      <c r="AZ26" s="72">
        <f ca="1">IF($C$4=Lookups!$D$40,SUM(INDIRECT("'Yr1'!"&amp;ADDRESS(ROW(AZ26),COLUMN(AZ26))),INDIRECT("'Yr2'!"&amp;ADDRESS(ROW(AZ26),COLUMN(AZ26))),INDIRECT("'Yr3'!"&amp;ADDRESS(ROW(AZ26),COLUMN(AZ26)))),
IF(AZ12=0,0,-PMT(INDEX(Lookups!$E$17:$G$17,MATCH($C$4,Lookups!$E$14:$G$14,0)),AZ12,SUMIFS('EE Inputs'!$W$9:$W$32,'EE Inputs'!$C$9:$C$32,$AM$6,'EE Inputs'!$D$9:$D$32,$C$4,'EE Inputs'!$E$9:$E$32,$B26),0,1)))</f>
        <v>20862.342963222552</v>
      </c>
      <c r="BA26" s="72">
        <f ca="1">IF($C$4=Lookups!$D$40,SUM(INDIRECT("'Yr1'!"&amp;ADDRESS(ROW(BA26),COLUMN(BA26))),INDIRECT("'Yr2'!"&amp;ADDRESS(ROW(BA26),COLUMN(BA26))),INDIRECT("'Yr3'!"&amp;ADDRESS(ROW(BA26),COLUMN(BA26)))),
IF(BA12=0,0,-PMT(INDEX(Lookups!$E$17:$G$17,MATCH($C$4,Lookups!$E$14:$G$14,0)),BA12,SUMIFS('EE Inputs'!$W$9:$W$32,'EE Inputs'!$C$9:$C$32,$AM$6,'EE Inputs'!$D$9:$D$32,$C$4,'EE Inputs'!$E$9:$E$32,$B26),0,1)))</f>
        <v>20862.342963222552</v>
      </c>
      <c r="BB26" s="72">
        <f ca="1">IF($C$4=Lookups!$D$40,SUM(INDIRECT("'Yr1'!"&amp;ADDRESS(ROW(BB26),COLUMN(BB26))),INDIRECT("'Yr2'!"&amp;ADDRESS(ROW(BB26),COLUMN(BB26))),INDIRECT("'Yr3'!"&amp;ADDRESS(ROW(BB26),COLUMN(BB26)))),
IF(BB12=0,0,-PMT(INDEX(Lookups!$E$17:$G$17,MATCH($C$4,Lookups!$E$14:$G$14,0)),BB12,SUMIFS('EE Inputs'!$W$9:$W$32,'EE Inputs'!$C$9:$C$32,$AM$6,'EE Inputs'!$D$9:$D$32,$C$4,'EE Inputs'!$E$9:$E$32,$B26),0,1)))</f>
        <v>20862.342963222552</v>
      </c>
      <c r="BC26" s="72">
        <f ca="1">IF($C$4=Lookups!$D$40,SUM(INDIRECT("'Yr1'!"&amp;ADDRESS(ROW(BC26),COLUMN(BC26))),INDIRECT("'Yr2'!"&amp;ADDRESS(ROW(BC26),COLUMN(BC26))),INDIRECT("'Yr3'!"&amp;ADDRESS(ROW(BC26),COLUMN(BC26)))),
IF(BC12=0,0,-PMT(INDEX(Lookups!$E$17:$G$17,MATCH($C$4,Lookups!$E$14:$G$14,0)),BC12,SUMIFS('EE Inputs'!$W$9:$W$32,'EE Inputs'!$C$9:$C$32,$AM$6,'EE Inputs'!$D$9:$D$32,$C$4,'EE Inputs'!$E$9:$E$32,$B26),0,1)))</f>
        <v>20862.342963222552</v>
      </c>
      <c r="BD26" s="72">
        <f ca="1">IF($C$4=Lookups!$D$40,SUM(INDIRECT("'Yr1'!"&amp;ADDRESS(ROW(BD26),COLUMN(BD26))),INDIRECT("'Yr2'!"&amp;ADDRESS(ROW(BD26),COLUMN(BD26))),INDIRECT("'Yr3'!"&amp;ADDRESS(ROW(BD26),COLUMN(BD26)))),
IF(BD12=0,0,-PMT(INDEX(Lookups!$E$17:$G$17,MATCH($C$4,Lookups!$E$14:$G$14,0)),BD12,SUMIFS('EE Inputs'!$W$9:$W$32,'EE Inputs'!$C$9:$C$32,$AM$6,'EE Inputs'!$D$9:$D$32,$C$4,'EE Inputs'!$E$9:$E$32,$B26),0,1)))</f>
        <v>0</v>
      </c>
      <c r="BE26" s="72">
        <f ca="1">IF($C$4=Lookups!$D$40,SUM(INDIRECT("'Yr1'!"&amp;ADDRESS(ROW(BE26),COLUMN(BE26))),INDIRECT("'Yr2'!"&amp;ADDRESS(ROW(BE26),COLUMN(BE26))),INDIRECT("'Yr3'!"&amp;ADDRESS(ROW(BE26),COLUMN(BE26)))),
IF(BE12=0,0,-PMT(INDEX(Lookups!$E$17:$G$17,MATCH($C$4,Lookups!$E$14:$G$14,0)),BE12,SUMIFS('EE Inputs'!$W$9:$W$32,'EE Inputs'!$C$9:$C$32,$AM$6,'EE Inputs'!$D$9:$D$32,$C$4,'EE Inputs'!$E$9:$E$32,$B26),0,1)))</f>
        <v>0</v>
      </c>
      <c r="BF26" s="72">
        <f ca="1">IF($C$4=Lookups!$D$40,SUM(INDIRECT("'Yr1'!"&amp;ADDRESS(ROW(BF26),COLUMN(BF26))),INDIRECT("'Yr2'!"&amp;ADDRESS(ROW(BF26),COLUMN(BF26))),INDIRECT("'Yr3'!"&amp;ADDRESS(ROW(BF26),COLUMN(BF26)))),
IF(BF12=0,0,-PMT(INDEX(Lookups!$E$17:$G$17,MATCH($C$4,Lookups!$E$14:$G$14,0)),BF12,SUMIFS('EE Inputs'!$W$9:$W$32,'EE Inputs'!$C$9:$C$32,$AM$6,'EE Inputs'!$D$9:$D$32,$C$4,'EE Inputs'!$E$9:$E$32,$B26),0,1)))</f>
        <v>0</v>
      </c>
      <c r="BG26" s="72">
        <f ca="1">IF($C$4=Lookups!$D$40,SUM(INDIRECT("'Yr1'!"&amp;ADDRESS(ROW(BG26),COLUMN(BG26))),INDIRECT("'Yr2'!"&amp;ADDRESS(ROW(BG26),COLUMN(BG26))),INDIRECT("'Yr3'!"&amp;ADDRESS(ROW(BG26),COLUMN(BG26)))),
IF(BG12=0,0,-PMT(INDEX(Lookups!$E$17:$G$17,MATCH($C$4,Lookups!$E$14:$G$14,0)),BG12,SUMIFS('EE Inputs'!$W$9:$W$32,'EE Inputs'!$C$9:$C$32,$AM$6,'EE Inputs'!$D$9:$D$32,$C$4,'EE Inputs'!$E$9:$E$32,$B26),0,1)))</f>
        <v>0</v>
      </c>
      <c r="BH26" s="72">
        <f ca="1">IF($C$4=Lookups!$D$40,SUM(INDIRECT("'Yr1'!"&amp;ADDRESS(ROW(BH26),COLUMN(BH26))),INDIRECT("'Yr2'!"&amp;ADDRESS(ROW(BH26),COLUMN(BH26))),INDIRECT("'Yr3'!"&amp;ADDRESS(ROW(BH26),COLUMN(BH26)))),
IF(BH12=0,0,-PMT(INDEX(Lookups!$E$17:$G$17,MATCH($C$4,Lookups!$E$14:$G$14,0)),BH12,SUMIFS('EE Inputs'!$W$9:$W$32,'EE Inputs'!$C$9:$C$32,$AM$6,'EE Inputs'!$D$9:$D$32,$C$4,'EE Inputs'!$E$9:$E$32,$B26),0,1)))</f>
        <v>0</v>
      </c>
      <c r="BI26" s="72">
        <f ca="1">IF($C$4=Lookups!$D$40,SUM(INDIRECT("'Yr1'!"&amp;ADDRESS(ROW(BI26),COLUMN(BI26))),INDIRECT("'Yr2'!"&amp;ADDRESS(ROW(BI26),COLUMN(BI26))),INDIRECT("'Yr3'!"&amp;ADDRESS(ROW(BI26),COLUMN(BI26)))),
IF(BI12=0,0,-PMT(INDEX(Lookups!$E$17:$G$17,MATCH($C$4,Lookups!$E$14:$G$14,0)),BI12,SUMIFS('EE Inputs'!$W$9:$W$32,'EE Inputs'!$C$9:$C$32,$AM$6,'EE Inputs'!$D$9:$D$32,$C$4,'EE Inputs'!$E$9:$E$32,$B26),0,1)))</f>
        <v>0</v>
      </c>
      <c r="BJ26" s="72">
        <f ca="1">IF($C$4=Lookups!$D$40,SUM(INDIRECT("'Yr1'!"&amp;ADDRESS(ROW(BJ26),COLUMN(BJ26))),INDIRECT("'Yr2'!"&amp;ADDRESS(ROW(BJ26),COLUMN(BJ26))),INDIRECT("'Yr3'!"&amp;ADDRESS(ROW(BJ26),COLUMN(BJ26)))),
IF(BJ12=0,0,-PMT(INDEX(Lookups!$E$17:$G$17,MATCH($C$4,Lookups!$E$14:$G$14,0)),BJ12,SUMIFS('EE Inputs'!$W$9:$W$32,'EE Inputs'!$C$9:$C$32,$AM$6,'EE Inputs'!$D$9:$D$32,$C$4,'EE Inputs'!$E$9:$E$32,$B26),0,1)))</f>
        <v>0</v>
      </c>
      <c r="BK26" s="72">
        <f ca="1">IF($C$4=Lookups!$D$40,SUM(INDIRECT("'Yr1'!"&amp;ADDRESS(ROW(BK26),COLUMN(BK26))),INDIRECT("'Yr2'!"&amp;ADDRESS(ROW(BK26),COLUMN(BK26))),INDIRECT("'Yr3'!"&amp;ADDRESS(ROW(BK26),COLUMN(BK26)))),
IF(BK12=0,0,-PMT(INDEX(Lookups!$E$17:$G$17,MATCH($C$4,Lookups!$E$14:$G$14,0)),BK12,SUMIFS('EE Inputs'!$W$9:$W$32,'EE Inputs'!$C$9:$C$32,$AM$6,'EE Inputs'!$D$9:$D$32,$C$4,'EE Inputs'!$E$9:$E$32,$B26),0,1)))</f>
        <v>0</v>
      </c>
      <c r="BL26" s="72">
        <f ca="1">IF($C$4=Lookups!$D$40,SUM(INDIRECT("'Yr1'!"&amp;ADDRESS(ROW(BL26),COLUMN(BL26))),INDIRECT("'Yr2'!"&amp;ADDRESS(ROW(BL26),COLUMN(BL26))),INDIRECT("'Yr3'!"&amp;ADDRESS(ROW(BL26),COLUMN(BL26)))),
IF(BL12=0,0,-PMT(INDEX(Lookups!$E$17:$G$17,MATCH($C$4,Lookups!$E$14:$G$14,0)),BL12,SUMIFS('EE Inputs'!$W$9:$W$32,'EE Inputs'!$C$9:$C$32,$AM$6,'EE Inputs'!$D$9:$D$32,$C$4,'EE Inputs'!$E$9:$E$32,$B26),0,1)))</f>
        <v>0</v>
      </c>
      <c r="BM26" s="72">
        <f ca="1">IF($C$4=Lookups!$D$40,SUM(INDIRECT("'Yr1'!"&amp;ADDRESS(ROW(BM26),COLUMN(BM26))),INDIRECT("'Yr2'!"&amp;ADDRESS(ROW(BM26),COLUMN(BM26))),INDIRECT("'Yr3'!"&amp;ADDRESS(ROW(BM26),COLUMN(BM26)))),
IF(BM12=0,0,-PMT(INDEX(Lookups!$E$17:$G$17,MATCH($C$4,Lookups!$E$14:$G$14,0)),BM12,SUMIFS('EE Inputs'!$W$9:$W$32,'EE Inputs'!$C$9:$C$32,$AM$6,'EE Inputs'!$D$9:$D$32,$C$4,'EE Inputs'!$E$9:$E$32,$B26),0,1)))</f>
        <v>0</v>
      </c>
      <c r="BN26" s="72"/>
      <c r="BO26" s="72">
        <f ca="1">NPV(Lookups!$E$17,AM26:BM26)</f>
        <v>272431.54140205716</v>
      </c>
      <c r="BP26" s="72"/>
      <c r="BS26" s="84" t="s">
        <v>413</v>
      </c>
      <c r="BT26" s="51"/>
    </row>
    <row r="27" spans="1:72" x14ac:dyDescent="0.25">
      <c r="A27" s="246"/>
      <c r="B27" s="243" t="str">
        <f>B25</f>
        <v>Residential</v>
      </c>
      <c r="C27" s="243" t="str">
        <f>C25</f>
        <v>Revenue Requirements</v>
      </c>
      <c r="D27" s="244" t="str">
        <f>D25</f>
        <v>Avoided Costs</v>
      </c>
      <c r="E27" s="86" t="s">
        <v>175</v>
      </c>
      <c r="F27" s="84" t="s">
        <v>32</v>
      </c>
      <c r="G27" s="65">
        <f ca="1">IF($C$4=Lookups!$D$40,SUM(INDIRECT("'Yr1'!"&amp;ADDRESS(ROW(G27),COLUMN(G27))),INDIRECT("'Yr2'!"&amp;ADDRESS(ROW(G27),COLUMN(G27))),INDIRECT("'Yr3'!"&amp;ADDRESS(ROW(G27),COLUMN(G27)))),
IF(G12=0,0,-PMT(INDEX(Lookups!$E$17:$G$17,MATCH($C$4,Lookups!$E$14:$G$14,0)),G12,SUMIFS('EE Inputs'!$K$9:$K$32,'EE Inputs'!$C$9:$C$32,$G$6,'EE Inputs'!$D$9:$D$32,$C$4,'EE Inputs'!$E$9:$E$32,$B27),0,1)))</f>
        <v>0</v>
      </c>
      <c r="H27" s="65">
        <f ca="1">IF($C$4=Lookups!$D$40,SUM(INDIRECT("'Yr1'!"&amp;ADDRESS(ROW(H27),COLUMN(H27))),INDIRECT("'Yr2'!"&amp;ADDRESS(ROW(H27),COLUMN(H27))),INDIRECT("'Yr3'!"&amp;ADDRESS(ROW(H27),COLUMN(H27)))),
IF(H12=0,0,-PMT(INDEX(Lookups!$E$17:$G$17,MATCH($C$4,Lookups!$E$14:$G$14,0)),H12,SUMIFS('EE Inputs'!$K$9:$K$32,'EE Inputs'!$C$9:$C$32,$G$6,'EE Inputs'!$D$9:$D$32,$C$4,'EE Inputs'!$E$9:$E$32,$B27),0,1)))</f>
        <v>0</v>
      </c>
      <c r="I27" s="65">
        <f ca="1">IF($C$4=Lookups!$D$40,SUM(INDIRECT("'Yr1'!"&amp;ADDRESS(ROW(I27),COLUMN(I27))),INDIRECT("'Yr2'!"&amp;ADDRESS(ROW(I27),COLUMN(I27))),INDIRECT("'Yr3'!"&amp;ADDRESS(ROW(I27),COLUMN(I27)))),
IF(I12=0,0,-PMT(INDEX(Lookups!$E$17:$G$17,MATCH($C$4,Lookups!$E$14:$G$14,0)),I12,SUMIFS('EE Inputs'!$K$9:$K$32,'EE Inputs'!$C$9:$C$32,$G$6,'EE Inputs'!$D$9:$D$32,$C$4,'EE Inputs'!$E$9:$E$32,$B27),0,1)))</f>
        <v>11288.012244353491</v>
      </c>
      <c r="J27" s="65">
        <f ca="1">IF($C$4=Lookups!$D$40,SUM(INDIRECT("'Yr1'!"&amp;ADDRESS(ROW(J27),COLUMN(J27))),INDIRECT("'Yr2'!"&amp;ADDRESS(ROW(J27),COLUMN(J27))),INDIRECT("'Yr3'!"&amp;ADDRESS(ROW(J27),COLUMN(J27)))),
IF(J12=0,0,-PMT(INDEX(Lookups!$E$17:$G$17,MATCH($C$4,Lookups!$E$14:$G$14,0)),J12,SUMIFS('EE Inputs'!$K$9:$K$32,'EE Inputs'!$C$9:$C$32,$G$6,'EE Inputs'!$D$9:$D$32,$C$4,'EE Inputs'!$E$9:$E$32,$B27),0,1)))</f>
        <v>11288.012244353491</v>
      </c>
      <c r="K27" s="65">
        <f ca="1">IF($C$4=Lookups!$D$40,SUM(INDIRECT("'Yr1'!"&amp;ADDRESS(ROW(K27),COLUMN(K27))),INDIRECT("'Yr2'!"&amp;ADDRESS(ROW(K27),COLUMN(K27))),INDIRECT("'Yr3'!"&amp;ADDRESS(ROW(K27),COLUMN(K27)))),
IF(K12=0,0,-PMT(INDEX(Lookups!$E$17:$G$17,MATCH($C$4,Lookups!$E$14:$G$14,0)),K12,SUMIFS('EE Inputs'!$K$9:$K$32,'EE Inputs'!$C$9:$C$32,$G$6,'EE Inputs'!$D$9:$D$32,$C$4,'EE Inputs'!$E$9:$E$32,$B27),0,1)))</f>
        <v>11288.012244353491</v>
      </c>
      <c r="L27" s="65">
        <f ca="1">IF($C$4=Lookups!$D$40,SUM(INDIRECT("'Yr1'!"&amp;ADDRESS(ROW(L27),COLUMN(L27))),INDIRECT("'Yr2'!"&amp;ADDRESS(ROW(L27),COLUMN(L27))),INDIRECT("'Yr3'!"&amp;ADDRESS(ROW(L27),COLUMN(L27)))),
IF(L12=0,0,-PMT(INDEX(Lookups!$E$17:$G$17,MATCH($C$4,Lookups!$E$14:$G$14,0)),L12,SUMIFS('EE Inputs'!$K$9:$K$32,'EE Inputs'!$C$9:$C$32,$G$6,'EE Inputs'!$D$9:$D$32,$C$4,'EE Inputs'!$E$9:$E$32,$B27),0,1)))</f>
        <v>11288.012244353491</v>
      </c>
      <c r="M27" s="65">
        <f ca="1">IF($C$4=Lookups!$D$40,SUM(INDIRECT("'Yr1'!"&amp;ADDRESS(ROW(M27),COLUMN(M27))),INDIRECT("'Yr2'!"&amp;ADDRESS(ROW(M27),COLUMN(M27))),INDIRECT("'Yr3'!"&amp;ADDRESS(ROW(M27),COLUMN(M27)))),
IF(M12=0,0,-PMT(INDEX(Lookups!$E$17:$G$17,MATCH($C$4,Lookups!$E$14:$G$14,0)),M12,SUMIFS('EE Inputs'!$K$9:$K$32,'EE Inputs'!$C$9:$C$32,$G$6,'EE Inputs'!$D$9:$D$32,$C$4,'EE Inputs'!$E$9:$E$32,$B27),0,1)))</f>
        <v>11288.012244353491</v>
      </c>
      <c r="N27" s="65">
        <f ca="1">IF($C$4=Lookups!$D$40,SUM(INDIRECT("'Yr1'!"&amp;ADDRESS(ROW(N27),COLUMN(N27))),INDIRECT("'Yr2'!"&amp;ADDRESS(ROW(N27),COLUMN(N27))),INDIRECT("'Yr3'!"&amp;ADDRESS(ROW(N27),COLUMN(N27)))),
IF(N12=0,0,-PMT(INDEX(Lookups!$E$17:$G$17,MATCH($C$4,Lookups!$E$14:$G$14,0)),N12,SUMIFS('EE Inputs'!$K$9:$K$32,'EE Inputs'!$C$9:$C$32,$G$6,'EE Inputs'!$D$9:$D$32,$C$4,'EE Inputs'!$E$9:$E$32,$B27),0,1)))</f>
        <v>11288.012244353491</v>
      </c>
      <c r="O27" s="65">
        <f ca="1">IF($C$4=Lookups!$D$40,SUM(INDIRECT("'Yr1'!"&amp;ADDRESS(ROW(O27),COLUMN(O27))),INDIRECT("'Yr2'!"&amp;ADDRESS(ROW(O27),COLUMN(O27))),INDIRECT("'Yr3'!"&amp;ADDRESS(ROW(O27),COLUMN(O27)))),
IF(O12=0,0,-PMT(INDEX(Lookups!$E$17:$G$17,MATCH($C$4,Lookups!$E$14:$G$14,0)),O12,SUMIFS('EE Inputs'!$K$9:$K$32,'EE Inputs'!$C$9:$C$32,$G$6,'EE Inputs'!$D$9:$D$32,$C$4,'EE Inputs'!$E$9:$E$32,$B27),0,1)))</f>
        <v>11288.012244353491</v>
      </c>
      <c r="P27" s="65">
        <f ca="1">IF($C$4=Lookups!$D$40,SUM(INDIRECT("'Yr1'!"&amp;ADDRESS(ROW(P27),COLUMN(P27))),INDIRECT("'Yr2'!"&amp;ADDRESS(ROW(P27),COLUMN(P27))),INDIRECT("'Yr3'!"&amp;ADDRESS(ROW(P27),COLUMN(P27)))),
IF(P12=0,0,-PMT(INDEX(Lookups!$E$17:$G$17,MATCH($C$4,Lookups!$E$14:$G$14,0)),P12,SUMIFS('EE Inputs'!$K$9:$K$32,'EE Inputs'!$C$9:$C$32,$G$6,'EE Inputs'!$D$9:$D$32,$C$4,'EE Inputs'!$E$9:$E$32,$B27),0,1)))</f>
        <v>11288.012244353491</v>
      </c>
      <c r="Q27" s="65">
        <f ca="1">IF($C$4=Lookups!$D$40,SUM(INDIRECT("'Yr1'!"&amp;ADDRESS(ROW(Q27),COLUMN(Q27))),INDIRECT("'Yr2'!"&amp;ADDRESS(ROW(Q27),COLUMN(Q27))),INDIRECT("'Yr3'!"&amp;ADDRESS(ROW(Q27),COLUMN(Q27)))),
IF(Q12=0,0,-PMT(INDEX(Lookups!$E$17:$G$17,MATCH($C$4,Lookups!$E$14:$G$14,0)),Q12,SUMIFS('EE Inputs'!$K$9:$K$32,'EE Inputs'!$C$9:$C$32,$G$6,'EE Inputs'!$D$9:$D$32,$C$4,'EE Inputs'!$E$9:$E$32,$B27),0,1)))</f>
        <v>11288.012244353491</v>
      </c>
      <c r="R27" s="65">
        <f ca="1">IF($C$4=Lookups!$D$40,SUM(INDIRECT("'Yr1'!"&amp;ADDRESS(ROW(R27),COLUMN(R27))),INDIRECT("'Yr2'!"&amp;ADDRESS(ROW(R27),COLUMN(R27))),INDIRECT("'Yr3'!"&amp;ADDRESS(ROW(R27),COLUMN(R27)))),
IF(R12=0,0,-PMT(INDEX(Lookups!$E$17:$G$17,MATCH($C$4,Lookups!$E$14:$G$14,0)),R12,SUMIFS('EE Inputs'!$K$9:$K$32,'EE Inputs'!$C$9:$C$32,$G$6,'EE Inputs'!$D$9:$D$32,$C$4,'EE Inputs'!$E$9:$E$32,$B27),0,1)))</f>
        <v>11288.012244353491</v>
      </c>
      <c r="S27" s="65">
        <f ca="1">IF($C$4=Lookups!$D$40,SUM(INDIRECT("'Yr1'!"&amp;ADDRESS(ROW(S27),COLUMN(S27))),INDIRECT("'Yr2'!"&amp;ADDRESS(ROW(S27),COLUMN(S27))),INDIRECT("'Yr3'!"&amp;ADDRESS(ROW(S27),COLUMN(S27)))),
IF(S12=0,0,-PMT(INDEX(Lookups!$E$17:$G$17,MATCH($C$4,Lookups!$E$14:$G$14,0)),S12,SUMIFS('EE Inputs'!$K$9:$K$32,'EE Inputs'!$C$9:$C$32,$G$6,'EE Inputs'!$D$9:$D$32,$C$4,'EE Inputs'!$E$9:$E$32,$B27),0,1)))</f>
        <v>11288.012244353491</v>
      </c>
      <c r="T27" s="65">
        <f ca="1">IF($C$4=Lookups!$D$40,SUM(INDIRECT("'Yr1'!"&amp;ADDRESS(ROW(T27),COLUMN(T27))),INDIRECT("'Yr2'!"&amp;ADDRESS(ROW(T27),COLUMN(T27))),INDIRECT("'Yr3'!"&amp;ADDRESS(ROW(T27),COLUMN(T27)))),
IF(T12=0,0,-PMT(INDEX(Lookups!$E$17:$G$17,MATCH($C$4,Lookups!$E$14:$G$14,0)),T12,SUMIFS('EE Inputs'!$K$9:$K$32,'EE Inputs'!$C$9:$C$32,$G$6,'EE Inputs'!$D$9:$D$32,$C$4,'EE Inputs'!$E$9:$E$32,$B27),0,1)))</f>
        <v>11288.012244353491</v>
      </c>
      <c r="U27" s="65">
        <f ca="1">IF($C$4=Lookups!$D$40,SUM(INDIRECT("'Yr1'!"&amp;ADDRESS(ROW(U27),COLUMN(U27))),INDIRECT("'Yr2'!"&amp;ADDRESS(ROW(U27),COLUMN(U27))),INDIRECT("'Yr3'!"&amp;ADDRESS(ROW(U27),COLUMN(U27)))),
IF(U12=0,0,-PMT(INDEX(Lookups!$E$17:$G$17,MATCH($C$4,Lookups!$E$14:$G$14,0)),U12,SUMIFS('EE Inputs'!$K$9:$K$32,'EE Inputs'!$C$9:$C$32,$G$6,'EE Inputs'!$D$9:$D$32,$C$4,'EE Inputs'!$E$9:$E$32,$B27),0,1)))</f>
        <v>11288.012244353491</v>
      </c>
      <c r="V27" s="65">
        <f ca="1">IF($C$4=Lookups!$D$40,SUM(INDIRECT("'Yr1'!"&amp;ADDRESS(ROW(V27),COLUMN(V27))),INDIRECT("'Yr2'!"&amp;ADDRESS(ROW(V27),COLUMN(V27))),INDIRECT("'Yr3'!"&amp;ADDRESS(ROW(V27),COLUMN(V27)))),
IF(V12=0,0,-PMT(INDEX(Lookups!$E$17:$G$17,MATCH($C$4,Lookups!$E$14:$G$14,0)),V12,SUMIFS('EE Inputs'!$K$9:$K$32,'EE Inputs'!$C$9:$C$32,$G$6,'EE Inputs'!$D$9:$D$32,$C$4,'EE Inputs'!$E$9:$E$32,$B27),0,1)))</f>
        <v>11288.012244353491</v>
      </c>
      <c r="W27" s="65">
        <f ca="1">IF($C$4=Lookups!$D$40,SUM(INDIRECT("'Yr1'!"&amp;ADDRESS(ROW(W27),COLUMN(W27))),INDIRECT("'Yr2'!"&amp;ADDRESS(ROW(W27),COLUMN(W27))),INDIRECT("'Yr3'!"&amp;ADDRESS(ROW(W27),COLUMN(W27)))),
IF(W12=0,0,-PMT(INDEX(Lookups!$E$17:$G$17,MATCH($C$4,Lookups!$E$14:$G$14,0)),W12,SUMIFS('EE Inputs'!$K$9:$K$32,'EE Inputs'!$C$9:$C$32,$G$6,'EE Inputs'!$D$9:$D$32,$C$4,'EE Inputs'!$E$9:$E$32,$B27),0,1)))</f>
        <v>11288.012244353491</v>
      </c>
      <c r="X27" s="65">
        <f ca="1">IF($C$4=Lookups!$D$40,SUM(INDIRECT("'Yr1'!"&amp;ADDRESS(ROW(X27),COLUMN(X27))),INDIRECT("'Yr2'!"&amp;ADDRESS(ROW(X27),COLUMN(X27))),INDIRECT("'Yr3'!"&amp;ADDRESS(ROW(X27),COLUMN(X27)))),
IF(X12=0,0,-PMT(INDEX(Lookups!$E$17:$G$17,MATCH($C$4,Lookups!$E$14:$G$14,0)),X12,SUMIFS('EE Inputs'!$K$9:$K$32,'EE Inputs'!$C$9:$C$32,$G$6,'EE Inputs'!$D$9:$D$32,$C$4,'EE Inputs'!$E$9:$E$32,$B27),0,1)))</f>
        <v>0</v>
      </c>
      <c r="Y27" s="65">
        <f ca="1">IF($C$4=Lookups!$D$40,SUM(INDIRECT("'Yr1'!"&amp;ADDRESS(ROW(Y27),COLUMN(Y27))),INDIRECT("'Yr2'!"&amp;ADDRESS(ROW(Y27),COLUMN(Y27))),INDIRECT("'Yr3'!"&amp;ADDRESS(ROW(Y27),COLUMN(Y27)))),
IF(Y12=0,0,-PMT(INDEX(Lookups!$E$17:$G$17,MATCH($C$4,Lookups!$E$14:$G$14,0)),Y12,SUMIFS('EE Inputs'!$K$9:$K$32,'EE Inputs'!$C$9:$C$32,$G$6,'EE Inputs'!$D$9:$D$32,$C$4,'EE Inputs'!$E$9:$E$32,$B27),0,1)))</f>
        <v>0</v>
      </c>
      <c r="Z27" s="65">
        <f ca="1">IF($C$4=Lookups!$D$40,SUM(INDIRECT("'Yr1'!"&amp;ADDRESS(ROW(Z27),COLUMN(Z27))),INDIRECT("'Yr2'!"&amp;ADDRESS(ROW(Z27),COLUMN(Z27))),INDIRECT("'Yr3'!"&amp;ADDRESS(ROW(Z27),COLUMN(Z27)))),
IF(Z12=0,0,-PMT(INDEX(Lookups!$E$17:$G$17,MATCH($C$4,Lookups!$E$14:$G$14,0)),Z12,SUMIFS('EE Inputs'!$K$9:$K$32,'EE Inputs'!$C$9:$C$32,$G$6,'EE Inputs'!$D$9:$D$32,$C$4,'EE Inputs'!$E$9:$E$32,$B27),0,1)))</f>
        <v>0</v>
      </c>
      <c r="AA27" s="65">
        <f ca="1">IF($C$4=Lookups!$D$40,SUM(INDIRECT("'Yr1'!"&amp;ADDRESS(ROW(AA27),COLUMN(AA27))),INDIRECT("'Yr2'!"&amp;ADDRESS(ROW(AA27),COLUMN(AA27))),INDIRECT("'Yr3'!"&amp;ADDRESS(ROW(AA27),COLUMN(AA27)))),
IF(AA12=0,0,-PMT(INDEX(Lookups!$E$17:$G$17,MATCH($C$4,Lookups!$E$14:$G$14,0)),AA12,SUMIFS('EE Inputs'!$K$9:$K$32,'EE Inputs'!$C$9:$C$32,$G$6,'EE Inputs'!$D$9:$D$32,$C$4,'EE Inputs'!$E$9:$E$32,$B27),0,1)))</f>
        <v>0</v>
      </c>
      <c r="AB27" s="65">
        <f ca="1">IF($C$4=Lookups!$D$40,SUM(INDIRECT("'Yr1'!"&amp;ADDRESS(ROW(AB27),COLUMN(AB27))),INDIRECT("'Yr2'!"&amp;ADDRESS(ROW(AB27),COLUMN(AB27))),INDIRECT("'Yr3'!"&amp;ADDRESS(ROW(AB27),COLUMN(AB27)))),
IF(AB12=0,0,-PMT(INDEX(Lookups!$E$17:$G$17,MATCH($C$4,Lookups!$E$14:$G$14,0)),AB12,SUMIFS('EE Inputs'!$K$9:$K$32,'EE Inputs'!$C$9:$C$32,$G$6,'EE Inputs'!$D$9:$D$32,$C$4,'EE Inputs'!$E$9:$E$32,$B27),0,1)))</f>
        <v>0</v>
      </c>
      <c r="AC27" s="65">
        <f ca="1">IF($C$4=Lookups!$D$40,SUM(INDIRECT("'Yr1'!"&amp;ADDRESS(ROW(AC27),COLUMN(AC27))),INDIRECT("'Yr2'!"&amp;ADDRESS(ROW(AC27),COLUMN(AC27))),INDIRECT("'Yr3'!"&amp;ADDRESS(ROW(AC27),COLUMN(AC27)))),
IF(AC12=0,0,-PMT(INDEX(Lookups!$E$17:$G$17,MATCH($C$4,Lookups!$E$14:$G$14,0)),AC12,SUMIFS('EE Inputs'!$K$9:$K$32,'EE Inputs'!$C$9:$C$32,$G$6,'EE Inputs'!$D$9:$D$32,$C$4,'EE Inputs'!$E$9:$E$32,$B27),0,1)))</f>
        <v>0</v>
      </c>
      <c r="AD27" s="65">
        <f ca="1">IF($C$4=Lookups!$D$40,SUM(INDIRECT("'Yr1'!"&amp;ADDRESS(ROW(AD27),COLUMN(AD27))),INDIRECT("'Yr2'!"&amp;ADDRESS(ROW(AD27),COLUMN(AD27))),INDIRECT("'Yr3'!"&amp;ADDRESS(ROW(AD27),COLUMN(AD27)))),
IF(AD12=0,0,-PMT(INDEX(Lookups!$E$17:$G$17,MATCH($C$4,Lookups!$E$14:$G$14,0)),AD12,SUMIFS('EE Inputs'!$K$9:$K$32,'EE Inputs'!$C$9:$C$32,$G$6,'EE Inputs'!$D$9:$D$32,$C$4,'EE Inputs'!$E$9:$E$32,$B27),0,1)))</f>
        <v>0</v>
      </c>
      <c r="AE27" s="65">
        <f ca="1">IF($C$4=Lookups!$D$40,SUM(INDIRECT("'Yr1'!"&amp;ADDRESS(ROW(AE27),COLUMN(AE27))),INDIRECT("'Yr2'!"&amp;ADDRESS(ROW(AE27),COLUMN(AE27))),INDIRECT("'Yr3'!"&amp;ADDRESS(ROW(AE27),COLUMN(AE27)))),
IF(AE12=0,0,-PMT(INDEX(Lookups!$E$17:$G$17,MATCH($C$4,Lookups!$E$14:$G$14,0)),AE12,SUMIFS('EE Inputs'!$K$9:$K$32,'EE Inputs'!$C$9:$C$32,$G$6,'EE Inputs'!$D$9:$D$32,$C$4,'EE Inputs'!$E$9:$E$32,$B27),0,1)))</f>
        <v>0</v>
      </c>
      <c r="AF27" s="65">
        <f ca="1">IF($C$4=Lookups!$D$40,SUM(INDIRECT("'Yr1'!"&amp;ADDRESS(ROW(AF27),COLUMN(AF27))),INDIRECT("'Yr2'!"&amp;ADDRESS(ROW(AF27),COLUMN(AF27))),INDIRECT("'Yr3'!"&amp;ADDRESS(ROW(AF27),COLUMN(AF27)))),
IF(AF12=0,0,-PMT(INDEX(Lookups!$E$17:$G$17,MATCH($C$4,Lookups!$E$14:$G$14,0)),AF12,SUMIFS('EE Inputs'!$K$9:$K$32,'EE Inputs'!$C$9:$C$32,$G$6,'EE Inputs'!$D$9:$D$32,$C$4,'EE Inputs'!$E$9:$E$32,$B27),0,1)))</f>
        <v>0</v>
      </c>
      <c r="AG27" s="65">
        <f ca="1">IF($C$4=Lookups!$D$40,SUM(INDIRECT("'Yr1'!"&amp;ADDRESS(ROW(AG27),COLUMN(AG27))),INDIRECT("'Yr2'!"&amp;ADDRESS(ROW(AG27),COLUMN(AG27))),INDIRECT("'Yr3'!"&amp;ADDRESS(ROW(AG27),COLUMN(AG27)))),
IF(AG12=0,0,-PMT(INDEX(Lookups!$E$17:$G$17,MATCH($C$4,Lookups!$E$14:$G$14,0)),AG12,SUMIFS('EE Inputs'!$K$9:$K$32,'EE Inputs'!$C$9:$C$32,$G$6,'EE Inputs'!$D$9:$D$32,$C$4,'EE Inputs'!$E$9:$E$32,$B27),0,1)))</f>
        <v>0</v>
      </c>
      <c r="AH27" s="65"/>
      <c r="AI27" s="65">
        <f ca="1">NPV(Lookups!$E$17,G27:AG27)</f>
        <v>147404.8519150361</v>
      </c>
      <c r="AJ27" s="65"/>
      <c r="AM27" s="72">
        <f ca="1">IF($C$4=Lookups!$D$40,SUM(INDIRECT("'Yr1'!"&amp;ADDRESS(ROW(AM27),COLUMN(AM27))),INDIRECT("'Yr2'!"&amp;ADDRESS(ROW(AM27),COLUMN(AM27))),INDIRECT("'Yr3'!"&amp;ADDRESS(ROW(AM27),COLUMN(AM27)))),
IF(AM12=0,0,-PMT(INDEX(Lookups!$E$17:$G$17,MATCH($C$4,Lookups!$E$14:$G$14,0)),AM12,SUMIFS('EE Inputs'!$K$9:$K$32,'EE Inputs'!$C$9:$C$32,$AM$6,'EE Inputs'!$D$9:$D$32,$C$4,'EE Inputs'!$E$9:$E$32,$B27),0,1)))</f>
        <v>0</v>
      </c>
      <c r="AN27" s="72">
        <f ca="1">IF($C$4=Lookups!$D$40,SUM(INDIRECT("'Yr1'!"&amp;ADDRESS(ROW(AN27),COLUMN(AN27))),INDIRECT("'Yr2'!"&amp;ADDRESS(ROW(AN27),COLUMN(AN27))),INDIRECT("'Yr3'!"&amp;ADDRESS(ROW(AN27),COLUMN(AN27)))),
IF(AN12=0,0,-PMT(INDEX(Lookups!$E$17:$G$17,MATCH($C$4,Lookups!$E$14:$G$14,0)),AN12,SUMIFS('EE Inputs'!$K$9:$K$32,'EE Inputs'!$C$9:$C$32,$AM$6,'EE Inputs'!$D$9:$D$32,$C$4,'EE Inputs'!$E$9:$E$32,$B27),0,1)))</f>
        <v>0</v>
      </c>
      <c r="AO27" s="72">
        <f ca="1">IF($C$4=Lookups!$D$40,SUM(INDIRECT("'Yr1'!"&amp;ADDRESS(ROW(AO27),COLUMN(AO27))),INDIRECT("'Yr2'!"&amp;ADDRESS(ROW(AO27),COLUMN(AO27))),INDIRECT("'Yr3'!"&amp;ADDRESS(ROW(AO27),COLUMN(AO27)))),
IF(AO12=0,0,-PMT(INDEX(Lookups!$E$17:$G$17,MATCH($C$4,Lookups!$E$14:$G$14,0)),AO12,SUMIFS('EE Inputs'!$K$9:$K$32,'EE Inputs'!$C$9:$C$32,$AM$6,'EE Inputs'!$D$9:$D$32,$C$4,'EE Inputs'!$E$9:$E$32,$B27),0,1)))</f>
        <v>12900.585422118274</v>
      </c>
      <c r="AP27" s="72">
        <f ca="1">IF($C$4=Lookups!$D$40,SUM(INDIRECT("'Yr1'!"&amp;ADDRESS(ROW(AP27),COLUMN(AP27))),INDIRECT("'Yr2'!"&amp;ADDRESS(ROW(AP27),COLUMN(AP27))),INDIRECT("'Yr3'!"&amp;ADDRESS(ROW(AP27),COLUMN(AP27)))),
IF(AP12=0,0,-PMT(INDEX(Lookups!$E$17:$G$17,MATCH($C$4,Lookups!$E$14:$G$14,0)),AP12,SUMIFS('EE Inputs'!$K$9:$K$32,'EE Inputs'!$C$9:$C$32,$AM$6,'EE Inputs'!$D$9:$D$32,$C$4,'EE Inputs'!$E$9:$E$32,$B27),0,1)))</f>
        <v>12900.585422118274</v>
      </c>
      <c r="AQ27" s="72">
        <f ca="1">IF($C$4=Lookups!$D$40,SUM(INDIRECT("'Yr1'!"&amp;ADDRESS(ROW(AQ27),COLUMN(AQ27))),INDIRECT("'Yr2'!"&amp;ADDRESS(ROW(AQ27),COLUMN(AQ27))),INDIRECT("'Yr3'!"&amp;ADDRESS(ROW(AQ27),COLUMN(AQ27)))),
IF(AQ12=0,0,-PMT(INDEX(Lookups!$E$17:$G$17,MATCH($C$4,Lookups!$E$14:$G$14,0)),AQ12,SUMIFS('EE Inputs'!$K$9:$K$32,'EE Inputs'!$C$9:$C$32,$AM$6,'EE Inputs'!$D$9:$D$32,$C$4,'EE Inputs'!$E$9:$E$32,$B27),0,1)))</f>
        <v>12900.585422118274</v>
      </c>
      <c r="AR27" s="72">
        <f ca="1">IF($C$4=Lookups!$D$40,SUM(INDIRECT("'Yr1'!"&amp;ADDRESS(ROW(AR27),COLUMN(AR27))),INDIRECT("'Yr2'!"&amp;ADDRESS(ROW(AR27),COLUMN(AR27))),INDIRECT("'Yr3'!"&amp;ADDRESS(ROW(AR27),COLUMN(AR27)))),
IF(AR12=0,0,-PMT(INDEX(Lookups!$E$17:$G$17,MATCH($C$4,Lookups!$E$14:$G$14,0)),AR12,SUMIFS('EE Inputs'!$K$9:$K$32,'EE Inputs'!$C$9:$C$32,$AM$6,'EE Inputs'!$D$9:$D$32,$C$4,'EE Inputs'!$E$9:$E$32,$B27),0,1)))</f>
        <v>12900.585422118274</v>
      </c>
      <c r="AS27" s="72">
        <f ca="1">IF($C$4=Lookups!$D$40,SUM(INDIRECT("'Yr1'!"&amp;ADDRESS(ROW(AS27),COLUMN(AS27))),INDIRECT("'Yr2'!"&amp;ADDRESS(ROW(AS27),COLUMN(AS27))),INDIRECT("'Yr3'!"&amp;ADDRESS(ROW(AS27),COLUMN(AS27)))),
IF(AS12=0,0,-PMT(INDEX(Lookups!$E$17:$G$17,MATCH($C$4,Lookups!$E$14:$G$14,0)),AS12,SUMIFS('EE Inputs'!$K$9:$K$32,'EE Inputs'!$C$9:$C$32,$AM$6,'EE Inputs'!$D$9:$D$32,$C$4,'EE Inputs'!$E$9:$E$32,$B27),0,1)))</f>
        <v>12900.585422118274</v>
      </c>
      <c r="AT27" s="72">
        <f ca="1">IF($C$4=Lookups!$D$40,SUM(INDIRECT("'Yr1'!"&amp;ADDRESS(ROW(AT27),COLUMN(AT27))),INDIRECT("'Yr2'!"&amp;ADDRESS(ROW(AT27),COLUMN(AT27))),INDIRECT("'Yr3'!"&amp;ADDRESS(ROW(AT27),COLUMN(AT27)))),
IF(AT12=0,0,-PMT(INDEX(Lookups!$E$17:$G$17,MATCH($C$4,Lookups!$E$14:$G$14,0)),AT12,SUMIFS('EE Inputs'!$K$9:$K$32,'EE Inputs'!$C$9:$C$32,$AM$6,'EE Inputs'!$D$9:$D$32,$C$4,'EE Inputs'!$E$9:$E$32,$B27),0,1)))</f>
        <v>12900.585422118274</v>
      </c>
      <c r="AU27" s="72">
        <f ca="1">IF($C$4=Lookups!$D$40,SUM(INDIRECT("'Yr1'!"&amp;ADDRESS(ROW(AU27),COLUMN(AU27))),INDIRECT("'Yr2'!"&amp;ADDRESS(ROW(AU27),COLUMN(AU27))),INDIRECT("'Yr3'!"&amp;ADDRESS(ROW(AU27),COLUMN(AU27)))),
IF(AU12=0,0,-PMT(INDEX(Lookups!$E$17:$G$17,MATCH($C$4,Lookups!$E$14:$G$14,0)),AU12,SUMIFS('EE Inputs'!$K$9:$K$32,'EE Inputs'!$C$9:$C$32,$AM$6,'EE Inputs'!$D$9:$D$32,$C$4,'EE Inputs'!$E$9:$E$32,$B27),0,1)))</f>
        <v>12900.585422118274</v>
      </c>
      <c r="AV27" s="72">
        <f ca="1">IF($C$4=Lookups!$D$40,SUM(INDIRECT("'Yr1'!"&amp;ADDRESS(ROW(AV27),COLUMN(AV27))),INDIRECT("'Yr2'!"&amp;ADDRESS(ROW(AV27),COLUMN(AV27))),INDIRECT("'Yr3'!"&amp;ADDRESS(ROW(AV27),COLUMN(AV27)))),
IF(AV12=0,0,-PMT(INDEX(Lookups!$E$17:$G$17,MATCH($C$4,Lookups!$E$14:$G$14,0)),AV12,SUMIFS('EE Inputs'!$K$9:$K$32,'EE Inputs'!$C$9:$C$32,$AM$6,'EE Inputs'!$D$9:$D$32,$C$4,'EE Inputs'!$E$9:$E$32,$B27),0,1)))</f>
        <v>12900.585422118274</v>
      </c>
      <c r="AW27" s="72">
        <f ca="1">IF($C$4=Lookups!$D$40,SUM(INDIRECT("'Yr1'!"&amp;ADDRESS(ROW(AW27),COLUMN(AW27))),INDIRECT("'Yr2'!"&amp;ADDRESS(ROW(AW27),COLUMN(AW27))),INDIRECT("'Yr3'!"&amp;ADDRESS(ROW(AW27),COLUMN(AW27)))),
IF(AW12=0,0,-PMT(INDEX(Lookups!$E$17:$G$17,MATCH($C$4,Lookups!$E$14:$G$14,0)),AW12,SUMIFS('EE Inputs'!$K$9:$K$32,'EE Inputs'!$C$9:$C$32,$AM$6,'EE Inputs'!$D$9:$D$32,$C$4,'EE Inputs'!$E$9:$E$32,$B27),0,1)))</f>
        <v>12900.585422118274</v>
      </c>
      <c r="AX27" s="72">
        <f ca="1">IF($C$4=Lookups!$D$40,SUM(INDIRECT("'Yr1'!"&amp;ADDRESS(ROW(AX27),COLUMN(AX27))),INDIRECT("'Yr2'!"&amp;ADDRESS(ROW(AX27),COLUMN(AX27))),INDIRECT("'Yr3'!"&amp;ADDRESS(ROW(AX27),COLUMN(AX27)))),
IF(AX12=0,0,-PMT(INDEX(Lookups!$E$17:$G$17,MATCH($C$4,Lookups!$E$14:$G$14,0)),AX12,SUMIFS('EE Inputs'!$K$9:$K$32,'EE Inputs'!$C$9:$C$32,$AM$6,'EE Inputs'!$D$9:$D$32,$C$4,'EE Inputs'!$E$9:$E$32,$B27),0,1)))</f>
        <v>12900.585422118274</v>
      </c>
      <c r="AY27" s="72">
        <f ca="1">IF($C$4=Lookups!$D$40,SUM(INDIRECT("'Yr1'!"&amp;ADDRESS(ROW(AY27),COLUMN(AY27))),INDIRECT("'Yr2'!"&amp;ADDRESS(ROW(AY27),COLUMN(AY27))),INDIRECT("'Yr3'!"&amp;ADDRESS(ROW(AY27),COLUMN(AY27)))),
IF(AY12=0,0,-PMT(INDEX(Lookups!$E$17:$G$17,MATCH($C$4,Lookups!$E$14:$G$14,0)),AY12,SUMIFS('EE Inputs'!$K$9:$K$32,'EE Inputs'!$C$9:$C$32,$AM$6,'EE Inputs'!$D$9:$D$32,$C$4,'EE Inputs'!$E$9:$E$32,$B27),0,1)))</f>
        <v>12900.585422118274</v>
      </c>
      <c r="AZ27" s="72">
        <f ca="1">IF($C$4=Lookups!$D$40,SUM(INDIRECT("'Yr1'!"&amp;ADDRESS(ROW(AZ27),COLUMN(AZ27))),INDIRECT("'Yr2'!"&amp;ADDRESS(ROW(AZ27),COLUMN(AZ27))),INDIRECT("'Yr3'!"&amp;ADDRESS(ROW(AZ27),COLUMN(AZ27)))),
IF(AZ12=0,0,-PMT(INDEX(Lookups!$E$17:$G$17,MATCH($C$4,Lookups!$E$14:$G$14,0)),AZ12,SUMIFS('EE Inputs'!$K$9:$K$32,'EE Inputs'!$C$9:$C$32,$AM$6,'EE Inputs'!$D$9:$D$32,$C$4,'EE Inputs'!$E$9:$E$32,$B27),0,1)))</f>
        <v>12900.585422118274</v>
      </c>
      <c r="BA27" s="72">
        <f ca="1">IF($C$4=Lookups!$D$40,SUM(INDIRECT("'Yr1'!"&amp;ADDRESS(ROW(BA27),COLUMN(BA27))),INDIRECT("'Yr2'!"&amp;ADDRESS(ROW(BA27),COLUMN(BA27))),INDIRECT("'Yr3'!"&amp;ADDRESS(ROW(BA27),COLUMN(BA27)))),
IF(BA12=0,0,-PMT(INDEX(Lookups!$E$17:$G$17,MATCH($C$4,Lookups!$E$14:$G$14,0)),BA12,SUMIFS('EE Inputs'!$K$9:$K$32,'EE Inputs'!$C$9:$C$32,$AM$6,'EE Inputs'!$D$9:$D$32,$C$4,'EE Inputs'!$E$9:$E$32,$B27),0,1)))</f>
        <v>12900.585422118274</v>
      </c>
      <c r="BB27" s="72">
        <f ca="1">IF($C$4=Lookups!$D$40,SUM(INDIRECT("'Yr1'!"&amp;ADDRESS(ROW(BB27),COLUMN(BB27))),INDIRECT("'Yr2'!"&amp;ADDRESS(ROW(BB27),COLUMN(BB27))),INDIRECT("'Yr3'!"&amp;ADDRESS(ROW(BB27),COLUMN(BB27)))),
IF(BB12=0,0,-PMT(INDEX(Lookups!$E$17:$G$17,MATCH($C$4,Lookups!$E$14:$G$14,0)),BB12,SUMIFS('EE Inputs'!$K$9:$K$32,'EE Inputs'!$C$9:$C$32,$AM$6,'EE Inputs'!$D$9:$D$32,$C$4,'EE Inputs'!$E$9:$E$32,$B27),0,1)))</f>
        <v>12900.585422118274</v>
      </c>
      <c r="BC27" s="72">
        <f ca="1">IF($C$4=Lookups!$D$40,SUM(INDIRECT("'Yr1'!"&amp;ADDRESS(ROW(BC27),COLUMN(BC27))),INDIRECT("'Yr2'!"&amp;ADDRESS(ROW(BC27),COLUMN(BC27))),INDIRECT("'Yr3'!"&amp;ADDRESS(ROW(BC27),COLUMN(BC27)))),
IF(BC12=0,0,-PMT(INDEX(Lookups!$E$17:$G$17,MATCH($C$4,Lookups!$E$14:$G$14,0)),BC12,SUMIFS('EE Inputs'!$K$9:$K$32,'EE Inputs'!$C$9:$C$32,$AM$6,'EE Inputs'!$D$9:$D$32,$C$4,'EE Inputs'!$E$9:$E$32,$B27),0,1)))</f>
        <v>12900.585422118274</v>
      </c>
      <c r="BD27" s="72">
        <f ca="1">IF($C$4=Lookups!$D$40,SUM(INDIRECT("'Yr1'!"&amp;ADDRESS(ROW(BD27),COLUMN(BD27))),INDIRECT("'Yr2'!"&amp;ADDRESS(ROW(BD27),COLUMN(BD27))),INDIRECT("'Yr3'!"&amp;ADDRESS(ROW(BD27),COLUMN(BD27)))),
IF(BD12=0,0,-PMT(INDEX(Lookups!$E$17:$G$17,MATCH($C$4,Lookups!$E$14:$G$14,0)),BD12,SUMIFS('EE Inputs'!$K$9:$K$32,'EE Inputs'!$C$9:$C$32,$AM$6,'EE Inputs'!$D$9:$D$32,$C$4,'EE Inputs'!$E$9:$E$32,$B27),0,1)))</f>
        <v>0</v>
      </c>
      <c r="BE27" s="72">
        <f ca="1">IF($C$4=Lookups!$D$40,SUM(INDIRECT("'Yr1'!"&amp;ADDRESS(ROW(BE27),COLUMN(BE27))),INDIRECT("'Yr2'!"&amp;ADDRESS(ROW(BE27),COLUMN(BE27))),INDIRECT("'Yr3'!"&amp;ADDRESS(ROW(BE27),COLUMN(BE27)))),
IF(BE12=0,0,-PMT(INDEX(Lookups!$E$17:$G$17,MATCH($C$4,Lookups!$E$14:$G$14,0)),BE12,SUMIFS('EE Inputs'!$K$9:$K$32,'EE Inputs'!$C$9:$C$32,$AM$6,'EE Inputs'!$D$9:$D$32,$C$4,'EE Inputs'!$E$9:$E$32,$B27),0,1)))</f>
        <v>0</v>
      </c>
      <c r="BF27" s="72">
        <f ca="1">IF($C$4=Lookups!$D$40,SUM(INDIRECT("'Yr1'!"&amp;ADDRESS(ROW(BF27),COLUMN(BF27))),INDIRECT("'Yr2'!"&amp;ADDRESS(ROW(BF27),COLUMN(BF27))),INDIRECT("'Yr3'!"&amp;ADDRESS(ROW(BF27),COLUMN(BF27)))),
IF(BF12=0,0,-PMT(INDEX(Lookups!$E$17:$G$17,MATCH($C$4,Lookups!$E$14:$G$14,0)),BF12,SUMIFS('EE Inputs'!$K$9:$K$32,'EE Inputs'!$C$9:$C$32,$AM$6,'EE Inputs'!$D$9:$D$32,$C$4,'EE Inputs'!$E$9:$E$32,$B27),0,1)))</f>
        <v>0</v>
      </c>
      <c r="BG27" s="72">
        <f ca="1">IF($C$4=Lookups!$D$40,SUM(INDIRECT("'Yr1'!"&amp;ADDRESS(ROW(BG27),COLUMN(BG27))),INDIRECT("'Yr2'!"&amp;ADDRESS(ROW(BG27),COLUMN(BG27))),INDIRECT("'Yr3'!"&amp;ADDRESS(ROW(BG27),COLUMN(BG27)))),
IF(BG12=0,0,-PMT(INDEX(Lookups!$E$17:$G$17,MATCH($C$4,Lookups!$E$14:$G$14,0)),BG12,SUMIFS('EE Inputs'!$K$9:$K$32,'EE Inputs'!$C$9:$C$32,$AM$6,'EE Inputs'!$D$9:$D$32,$C$4,'EE Inputs'!$E$9:$E$32,$B27),0,1)))</f>
        <v>0</v>
      </c>
      <c r="BH27" s="72">
        <f ca="1">IF($C$4=Lookups!$D$40,SUM(INDIRECT("'Yr1'!"&amp;ADDRESS(ROW(BH27),COLUMN(BH27))),INDIRECT("'Yr2'!"&amp;ADDRESS(ROW(BH27),COLUMN(BH27))),INDIRECT("'Yr3'!"&amp;ADDRESS(ROW(BH27),COLUMN(BH27)))),
IF(BH12=0,0,-PMT(INDEX(Lookups!$E$17:$G$17,MATCH($C$4,Lookups!$E$14:$G$14,0)),BH12,SUMIFS('EE Inputs'!$K$9:$K$32,'EE Inputs'!$C$9:$C$32,$AM$6,'EE Inputs'!$D$9:$D$32,$C$4,'EE Inputs'!$E$9:$E$32,$B27),0,1)))</f>
        <v>0</v>
      </c>
      <c r="BI27" s="72">
        <f ca="1">IF($C$4=Lookups!$D$40,SUM(INDIRECT("'Yr1'!"&amp;ADDRESS(ROW(BI27),COLUMN(BI27))),INDIRECT("'Yr2'!"&amp;ADDRESS(ROW(BI27),COLUMN(BI27))),INDIRECT("'Yr3'!"&amp;ADDRESS(ROW(BI27),COLUMN(BI27)))),
IF(BI12=0,0,-PMT(INDEX(Lookups!$E$17:$G$17,MATCH($C$4,Lookups!$E$14:$G$14,0)),BI12,SUMIFS('EE Inputs'!$K$9:$K$32,'EE Inputs'!$C$9:$C$32,$AM$6,'EE Inputs'!$D$9:$D$32,$C$4,'EE Inputs'!$E$9:$E$32,$B27),0,1)))</f>
        <v>0</v>
      </c>
      <c r="BJ27" s="72">
        <f ca="1">IF($C$4=Lookups!$D$40,SUM(INDIRECT("'Yr1'!"&amp;ADDRESS(ROW(BJ27),COLUMN(BJ27))),INDIRECT("'Yr2'!"&amp;ADDRESS(ROW(BJ27),COLUMN(BJ27))),INDIRECT("'Yr3'!"&amp;ADDRESS(ROW(BJ27),COLUMN(BJ27)))),
IF(BJ12=0,0,-PMT(INDEX(Lookups!$E$17:$G$17,MATCH($C$4,Lookups!$E$14:$G$14,0)),BJ12,SUMIFS('EE Inputs'!$K$9:$K$32,'EE Inputs'!$C$9:$C$32,$AM$6,'EE Inputs'!$D$9:$D$32,$C$4,'EE Inputs'!$E$9:$E$32,$B27),0,1)))</f>
        <v>0</v>
      </c>
      <c r="BK27" s="72">
        <f ca="1">IF($C$4=Lookups!$D$40,SUM(INDIRECT("'Yr1'!"&amp;ADDRESS(ROW(BK27),COLUMN(BK27))),INDIRECT("'Yr2'!"&amp;ADDRESS(ROW(BK27),COLUMN(BK27))),INDIRECT("'Yr3'!"&amp;ADDRESS(ROW(BK27),COLUMN(BK27)))),
IF(BK12=0,0,-PMT(INDEX(Lookups!$E$17:$G$17,MATCH($C$4,Lookups!$E$14:$G$14,0)),BK12,SUMIFS('EE Inputs'!$K$9:$K$32,'EE Inputs'!$C$9:$C$32,$AM$6,'EE Inputs'!$D$9:$D$32,$C$4,'EE Inputs'!$E$9:$E$32,$B27),0,1)))</f>
        <v>0</v>
      </c>
      <c r="BL27" s="72">
        <f ca="1">IF($C$4=Lookups!$D$40,SUM(INDIRECT("'Yr1'!"&amp;ADDRESS(ROW(BL27),COLUMN(BL27))),INDIRECT("'Yr2'!"&amp;ADDRESS(ROW(BL27),COLUMN(BL27))),INDIRECT("'Yr3'!"&amp;ADDRESS(ROW(BL27),COLUMN(BL27)))),
IF(BL12=0,0,-PMT(INDEX(Lookups!$E$17:$G$17,MATCH($C$4,Lookups!$E$14:$G$14,0)),BL12,SUMIFS('EE Inputs'!$K$9:$K$32,'EE Inputs'!$C$9:$C$32,$AM$6,'EE Inputs'!$D$9:$D$32,$C$4,'EE Inputs'!$E$9:$E$32,$B27),0,1)))</f>
        <v>0</v>
      </c>
      <c r="BM27" s="72">
        <f ca="1">IF($C$4=Lookups!$D$40,SUM(INDIRECT("'Yr1'!"&amp;ADDRESS(ROW(BM27),COLUMN(BM27))),INDIRECT("'Yr2'!"&amp;ADDRESS(ROW(BM27),COLUMN(BM27))),INDIRECT("'Yr3'!"&amp;ADDRESS(ROW(BM27),COLUMN(BM27)))),
IF(BM12=0,0,-PMT(INDEX(Lookups!$E$17:$G$17,MATCH($C$4,Lookups!$E$14:$G$14,0)),BM12,SUMIFS('EE Inputs'!$K$9:$K$32,'EE Inputs'!$C$9:$C$32,$AM$6,'EE Inputs'!$D$9:$D$32,$C$4,'EE Inputs'!$E$9:$E$32,$B27),0,1)))</f>
        <v>0</v>
      </c>
      <c r="BN27" s="72"/>
      <c r="BO27" s="72">
        <f ca="1">NPV(Lookups!$E$17,AM27:BM27)</f>
        <v>168462.68790289841</v>
      </c>
      <c r="BP27" s="72"/>
      <c r="BS27" s="84" t="str">
        <f>"Avoided "&amp;E27&amp;" costs."</f>
        <v>Avoided Gas DRIPE costs.</v>
      </c>
      <c r="BT27" s="51" t="s">
        <v>17</v>
      </c>
    </row>
    <row r="28" spans="1:72" x14ac:dyDescent="0.25">
      <c r="B28" s="243" t="str">
        <f t="shared" ref="B28:C39" si="13">B27</f>
        <v>Residential</v>
      </c>
      <c r="C28" s="243" t="str">
        <f t="shared" si="13"/>
        <v>Revenue Requirements</v>
      </c>
      <c r="D28" s="114" t="s">
        <v>165</v>
      </c>
      <c r="E28" s="84"/>
      <c r="F28" s="84"/>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65"/>
      <c r="AJ28" s="65"/>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S28" s="84"/>
      <c r="BT28" s="51" t="s">
        <v>17</v>
      </c>
    </row>
    <row r="29" spans="1:72" x14ac:dyDescent="0.25">
      <c r="A29" s="476"/>
      <c r="B29" s="243" t="str">
        <f t="shared" si="13"/>
        <v>Residential</v>
      </c>
      <c r="C29" s="243" t="str">
        <f t="shared" si="13"/>
        <v>Revenue Requirements</v>
      </c>
      <c r="D29" s="244" t="str">
        <f>D28</f>
        <v>Increased Costs and Cost Shifting</v>
      </c>
      <c r="E29" s="84" t="s">
        <v>406</v>
      </c>
      <c r="F29" s="84" t="s">
        <v>32</v>
      </c>
      <c r="G29" s="64">
        <f ca="1">IF($C$4=Lookups!$D$40,SUM(INDIRECT("'Yr1'!"&amp;ADDRESS(ROW(G29),COLUMN(G29))),INDIRECT("'Yr2'!"&amp;ADDRESS(ROW(G29),COLUMN(G29))),INDIRECT("'Yr3'!"&amp;ADDRESS(ROW(G29),COLUMN(G29)))),
IF($C$4=G$7,G49*G17,0))</f>
        <v>0</v>
      </c>
      <c r="H29" s="64">
        <f ca="1">IF($C$4=Lookups!$D$40,SUM(INDIRECT("'Yr1'!"&amp;ADDRESS(ROW(H29),COLUMN(H29))),INDIRECT("'Yr2'!"&amp;ADDRESS(ROW(H29),COLUMN(H29))),INDIRECT("'Yr3'!"&amp;ADDRESS(ROW(H29),COLUMN(H29)))),
IF($C$4=H$7,H49*H17,0))</f>
        <v>0</v>
      </c>
      <c r="I29" s="64">
        <f ca="1">IF($C$4=Lookups!$D$40,SUM(INDIRECT("'Yr1'!"&amp;ADDRESS(ROW(I29),COLUMN(I29))),INDIRECT("'Yr2'!"&amp;ADDRESS(ROW(I29),COLUMN(I29))),INDIRECT("'Yr3'!"&amp;ADDRESS(ROW(I29),COLUMN(I29)))),
IF($C$4=I$7,I49*I17,0))</f>
        <v>3999065.2930370485</v>
      </c>
      <c r="J29" s="64">
        <f ca="1">IF($C$4=Lookups!$D$40,SUM(INDIRECT("'Yr1'!"&amp;ADDRESS(ROW(J29),COLUMN(J29))),INDIRECT("'Yr2'!"&amp;ADDRESS(ROW(J29),COLUMN(J29))),INDIRECT("'Yr3'!"&amp;ADDRESS(ROW(J29),COLUMN(J29)))),
IF($C$4=J$7,J49*J17,0))</f>
        <v>0</v>
      </c>
      <c r="K29" s="64">
        <f ca="1">IF($C$4=Lookups!$D$40,SUM(INDIRECT("'Yr1'!"&amp;ADDRESS(ROW(K29),COLUMN(K29))),INDIRECT("'Yr2'!"&amp;ADDRESS(ROW(K29),COLUMN(K29))),INDIRECT("'Yr3'!"&amp;ADDRESS(ROW(K29),COLUMN(K29)))),
IF($C$4=K$7,K49*K17,0))</f>
        <v>0</v>
      </c>
      <c r="L29" s="64">
        <f ca="1">IF($C$4=Lookups!$D$40,SUM(INDIRECT("'Yr1'!"&amp;ADDRESS(ROW(L29),COLUMN(L29))),INDIRECT("'Yr2'!"&amp;ADDRESS(ROW(L29),COLUMN(L29))),INDIRECT("'Yr3'!"&amp;ADDRESS(ROW(L29),COLUMN(L29)))),
IF($C$4=L$7,L49*L17,0))</f>
        <v>0</v>
      </c>
      <c r="M29" s="64">
        <f ca="1">IF($C$4=Lookups!$D$40,SUM(INDIRECT("'Yr1'!"&amp;ADDRESS(ROW(M29),COLUMN(M29))),INDIRECT("'Yr2'!"&amp;ADDRESS(ROW(M29),COLUMN(M29))),INDIRECT("'Yr3'!"&amp;ADDRESS(ROW(M29),COLUMN(M29)))),
IF($C$4=M$7,M49*M17,0))</f>
        <v>0</v>
      </c>
      <c r="N29" s="64">
        <f ca="1">IF($C$4=Lookups!$D$40,SUM(INDIRECT("'Yr1'!"&amp;ADDRESS(ROW(N29),COLUMN(N29))),INDIRECT("'Yr2'!"&amp;ADDRESS(ROW(N29),COLUMN(N29))),INDIRECT("'Yr3'!"&amp;ADDRESS(ROW(N29),COLUMN(N29)))),
IF($C$4=N$7,N49*N17,0))</f>
        <v>0</v>
      </c>
      <c r="O29" s="64">
        <f ca="1">IF($C$4=Lookups!$D$40,SUM(INDIRECT("'Yr1'!"&amp;ADDRESS(ROW(O29),COLUMN(O29))),INDIRECT("'Yr2'!"&amp;ADDRESS(ROW(O29),COLUMN(O29))),INDIRECT("'Yr3'!"&amp;ADDRESS(ROW(O29),COLUMN(O29)))),
IF($C$4=O$7,O49*O17,0))</f>
        <v>0</v>
      </c>
      <c r="P29" s="64">
        <f ca="1">IF($C$4=Lookups!$D$40,SUM(INDIRECT("'Yr1'!"&amp;ADDRESS(ROW(P29),COLUMN(P29))),INDIRECT("'Yr2'!"&amp;ADDRESS(ROW(P29),COLUMN(P29))),INDIRECT("'Yr3'!"&amp;ADDRESS(ROW(P29),COLUMN(P29)))),
IF($C$4=P$7,P49*P17,0))</f>
        <v>0</v>
      </c>
      <c r="Q29" s="64">
        <f ca="1">IF($C$4=Lookups!$D$40,SUM(INDIRECT("'Yr1'!"&amp;ADDRESS(ROW(Q29),COLUMN(Q29))),INDIRECT("'Yr2'!"&amp;ADDRESS(ROW(Q29),COLUMN(Q29))),INDIRECT("'Yr3'!"&amp;ADDRESS(ROW(Q29),COLUMN(Q29)))),
IF($C$4=Q$7,Q49*Q17,0))</f>
        <v>0</v>
      </c>
      <c r="R29" s="64">
        <f ca="1">IF($C$4=Lookups!$D$40,SUM(INDIRECT("'Yr1'!"&amp;ADDRESS(ROW(R29),COLUMN(R29))),INDIRECT("'Yr2'!"&amp;ADDRESS(ROW(R29),COLUMN(R29))),INDIRECT("'Yr3'!"&amp;ADDRESS(ROW(R29),COLUMN(R29)))),
IF($C$4=R$7,R49*R17,0))</f>
        <v>0</v>
      </c>
      <c r="S29" s="64">
        <f ca="1">IF($C$4=Lookups!$D$40,SUM(INDIRECT("'Yr1'!"&amp;ADDRESS(ROW(S29),COLUMN(S29))),INDIRECT("'Yr2'!"&amp;ADDRESS(ROW(S29),COLUMN(S29))),INDIRECT("'Yr3'!"&amp;ADDRESS(ROW(S29),COLUMN(S29)))),
IF($C$4=S$7,S49*S17,0))</f>
        <v>0</v>
      </c>
      <c r="T29" s="64">
        <f ca="1">IF($C$4=Lookups!$D$40,SUM(INDIRECT("'Yr1'!"&amp;ADDRESS(ROW(T29),COLUMN(T29))),INDIRECT("'Yr2'!"&amp;ADDRESS(ROW(T29),COLUMN(T29))),INDIRECT("'Yr3'!"&amp;ADDRESS(ROW(T29),COLUMN(T29)))),
IF($C$4=T$7,T49*T17,0))</f>
        <v>0</v>
      </c>
      <c r="U29" s="64">
        <f ca="1">IF($C$4=Lookups!$D$40,SUM(INDIRECT("'Yr1'!"&amp;ADDRESS(ROW(U29),COLUMN(U29))),INDIRECT("'Yr2'!"&amp;ADDRESS(ROW(U29),COLUMN(U29))),INDIRECT("'Yr3'!"&amp;ADDRESS(ROW(U29),COLUMN(U29)))),
IF($C$4=U$7,U49*U17,0))</f>
        <v>0</v>
      </c>
      <c r="V29" s="64">
        <f ca="1">IF($C$4=Lookups!$D$40,SUM(INDIRECT("'Yr1'!"&amp;ADDRESS(ROW(V29),COLUMN(V29))),INDIRECT("'Yr2'!"&amp;ADDRESS(ROW(V29),COLUMN(V29))),INDIRECT("'Yr3'!"&amp;ADDRESS(ROW(V29),COLUMN(V29)))),
IF($C$4=V$7,V49*V17,0))</f>
        <v>0</v>
      </c>
      <c r="W29" s="64">
        <f ca="1">IF($C$4=Lookups!$D$40,SUM(INDIRECT("'Yr1'!"&amp;ADDRESS(ROW(W29),COLUMN(W29))),INDIRECT("'Yr2'!"&amp;ADDRESS(ROW(W29),COLUMN(W29))),INDIRECT("'Yr3'!"&amp;ADDRESS(ROW(W29),COLUMN(W29)))),
IF($C$4=W$7,W49*W17,0))</f>
        <v>0</v>
      </c>
      <c r="X29" s="64">
        <f ca="1">IF($C$4=Lookups!$D$40,SUM(INDIRECT("'Yr1'!"&amp;ADDRESS(ROW(X29),COLUMN(X29))),INDIRECT("'Yr2'!"&amp;ADDRESS(ROW(X29),COLUMN(X29))),INDIRECT("'Yr3'!"&amp;ADDRESS(ROW(X29),COLUMN(X29)))),
IF($C$4=X$7,X49*X17,0))</f>
        <v>0</v>
      </c>
      <c r="Y29" s="64">
        <f ca="1">IF($C$4=Lookups!$D$40,SUM(INDIRECT("'Yr1'!"&amp;ADDRESS(ROW(Y29),COLUMN(Y29))),INDIRECT("'Yr2'!"&amp;ADDRESS(ROW(Y29),COLUMN(Y29))),INDIRECT("'Yr3'!"&amp;ADDRESS(ROW(Y29),COLUMN(Y29)))),
IF($C$4=Y$7,Y49*Y17,0))</f>
        <v>0</v>
      </c>
      <c r="Z29" s="64">
        <f ca="1">IF($C$4=Lookups!$D$40,SUM(INDIRECT("'Yr1'!"&amp;ADDRESS(ROW(Z29),COLUMN(Z29))),INDIRECT("'Yr2'!"&amp;ADDRESS(ROW(Z29),COLUMN(Z29))),INDIRECT("'Yr3'!"&amp;ADDRESS(ROW(Z29),COLUMN(Z29)))),
IF($C$4=Z$7,Z49*Z17,0))</f>
        <v>0</v>
      </c>
      <c r="AA29" s="64">
        <f ca="1">IF($C$4=Lookups!$D$40,SUM(INDIRECT("'Yr1'!"&amp;ADDRESS(ROW(AA29),COLUMN(AA29))),INDIRECT("'Yr2'!"&amp;ADDRESS(ROW(AA29),COLUMN(AA29))),INDIRECT("'Yr3'!"&amp;ADDRESS(ROW(AA29),COLUMN(AA29)))),
IF($C$4=AA$7,AA49*AA17,0))</f>
        <v>0</v>
      </c>
      <c r="AB29" s="64">
        <f ca="1">IF($C$4=Lookups!$D$40,SUM(INDIRECT("'Yr1'!"&amp;ADDRESS(ROW(AB29),COLUMN(AB29))),INDIRECT("'Yr2'!"&amp;ADDRESS(ROW(AB29),COLUMN(AB29))),INDIRECT("'Yr3'!"&amp;ADDRESS(ROW(AB29),COLUMN(AB29)))),
IF($C$4=AB$7,AB49*AB17,0))</f>
        <v>0</v>
      </c>
      <c r="AC29" s="64">
        <f ca="1">IF($C$4=Lookups!$D$40,SUM(INDIRECT("'Yr1'!"&amp;ADDRESS(ROW(AC29),COLUMN(AC29))),INDIRECT("'Yr2'!"&amp;ADDRESS(ROW(AC29),COLUMN(AC29))),INDIRECT("'Yr3'!"&amp;ADDRESS(ROW(AC29),COLUMN(AC29)))),
IF($C$4=AC$7,AC49*AC17,0))</f>
        <v>0</v>
      </c>
      <c r="AD29" s="64">
        <f ca="1">IF($C$4=Lookups!$D$40,SUM(INDIRECT("'Yr1'!"&amp;ADDRESS(ROW(AD29),COLUMN(AD29))),INDIRECT("'Yr2'!"&amp;ADDRESS(ROW(AD29),COLUMN(AD29))),INDIRECT("'Yr3'!"&amp;ADDRESS(ROW(AD29),COLUMN(AD29)))),
IF($C$4=AD$7,AD49*AD17,0))</f>
        <v>0</v>
      </c>
      <c r="AE29" s="64">
        <f ca="1">IF($C$4=Lookups!$D$40,SUM(INDIRECT("'Yr1'!"&amp;ADDRESS(ROW(AE29),COLUMN(AE29))),INDIRECT("'Yr2'!"&amp;ADDRESS(ROW(AE29),COLUMN(AE29))),INDIRECT("'Yr3'!"&amp;ADDRESS(ROW(AE29),COLUMN(AE29)))),
IF($C$4=AE$7,AE49*AE17,0))</f>
        <v>0</v>
      </c>
      <c r="AF29" s="64">
        <f ca="1">IF($C$4=Lookups!$D$40,SUM(INDIRECT("'Yr1'!"&amp;ADDRESS(ROW(AF29),COLUMN(AF29))),INDIRECT("'Yr2'!"&amp;ADDRESS(ROW(AF29),COLUMN(AF29))),INDIRECT("'Yr3'!"&amp;ADDRESS(ROW(AF29),COLUMN(AF29)))),
IF($C$4=AF$7,AF49*AF17,0))</f>
        <v>0</v>
      </c>
      <c r="AG29" s="64">
        <f ca="1">IF($C$4=Lookups!$D$40,SUM(INDIRECT("'Yr1'!"&amp;ADDRESS(ROW(AG29),COLUMN(AG29))),INDIRECT("'Yr2'!"&amp;ADDRESS(ROW(AG29),COLUMN(AG29))),INDIRECT("'Yr3'!"&amp;ADDRESS(ROW(AG29),COLUMN(AG29)))),
IF($C$4=AG$7,AG49*AG17,0))</f>
        <v>0</v>
      </c>
      <c r="AH29" s="49"/>
      <c r="AI29" s="65">
        <f ca="1">NPV(Lookups!$E$17,G29:AG29)</f>
        <v>3834066.368199151</v>
      </c>
      <c r="AJ29" s="65"/>
      <c r="AM29" s="71">
        <f ca="1">IF($C$4=Lookups!$D$40,SUM(INDIRECT("'Yr1'!"&amp;ADDRESS(ROW(AM29),COLUMN(AM29))),INDIRECT("'Yr2'!"&amp;ADDRESS(ROW(AM29),COLUMN(AM29))),INDIRECT("'Yr3'!"&amp;ADDRESS(ROW(AM29),COLUMN(AM29)))),
IF($C$4=AM$7,AM49*AM17,0))</f>
        <v>0</v>
      </c>
      <c r="AN29" s="71">
        <f ca="1">IF($C$4=Lookups!$D$40,SUM(INDIRECT("'Yr1'!"&amp;ADDRESS(ROW(AN29),COLUMN(AN29))),INDIRECT("'Yr2'!"&amp;ADDRESS(ROW(AN29),COLUMN(AN29))),INDIRECT("'Yr3'!"&amp;ADDRESS(ROW(AN29),COLUMN(AN29)))),
IF($C$4=AN$7,AN49*AN17,0))</f>
        <v>0</v>
      </c>
      <c r="AO29" s="71">
        <f ca="1">IF($C$4=Lookups!$D$40,SUM(INDIRECT("'Yr1'!"&amp;ADDRESS(ROW(AO29),COLUMN(AO29))),INDIRECT("'Yr2'!"&amp;ADDRESS(ROW(AO29),COLUMN(AO29))),INDIRECT("'Yr3'!"&amp;ADDRESS(ROW(AO29),COLUMN(AO29)))),
IF($C$4=AO$7,AO49*AO17,0))</f>
        <v>4794307.2344148261</v>
      </c>
      <c r="AP29" s="71">
        <f ca="1">IF($C$4=Lookups!$D$40,SUM(INDIRECT("'Yr1'!"&amp;ADDRESS(ROW(AP29),COLUMN(AP29))),INDIRECT("'Yr2'!"&amp;ADDRESS(ROW(AP29),COLUMN(AP29))),INDIRECT("'Yr3'!"&amp;ADDRESS(ROW(AP29),COLUMN(AP29)))),
IF($C$4=AP$7,AP49*AP17,0))</f>
        <v>0</v>
      </c>
      <c r="AQ29" s="71">
        <f ca="1">IF($C$4=Lookups!$D$40,SUM(INDIRECT("'Yr1'!"&amp;ADDRESS(ROW(AQ29),COLUMN(AQ29))),INDIRECT("'Yr2'!"&amp;ADDRESS(ROW(AQ29),COLUMN(AQ29))),INDIRECT("'Yr3'!"&amp;ADDRESS(ROW(AQ29),COLUMN(AQ29)))),
IF($C$4=AQ$7,AQ49*AQ17,0))</f>
        <v>0</v>
      </c>
      <c r="AR29" s="71">
        <f ca="1">IF($C$4=Lookups!$D$40,SUM(INDIRECT("'Yr1'!"&amp;ADDRESS(ROW(AR29),COLUMN(AR29))),INDIRECT("'Yr2'!"&amp;ADDRESS(ROW(AR29),COLUMN(AR29))),INDIRECT("'Yr3'!"&amp;ADDRESS(ROW(AR29),COLUMN(AR29)))),
IF($C$4=AR$7,AR49*AR17,0))</f>
        <v>0</v>
      </c>
      <c r="AS29" s="71">
        <f ca="1">IF($C$4=Lookups!$D$40,SUM(INDIRECT("'Yr1'!"&amp;ADDRESS(ROW(AS29),COLUMN(AS29))),INDIRECT("'Yr2'!"&amp;ADDRESS(ROW(AS29),COLUMN(AS29))),INDIRECT("'Yr3'!"&amp;ADDRESS(ROW(AS29),COLUMN(AS29)))),
IF($C$4=AS$7,AS49*AS17,0))</f>
        <v>0</v>
      </c>
      <c r="AT29" s="71">
        <f ca="1">IF($C$4=Lookups!$D$40,SUM(INDIRECT("'Yr1'!"&amp;ADDRESS(ROW(AT29),COLUMN(AT29))),INDIRECT("'Yr2'!"&amp;ADDRESS(ROW(AT29),COLUMN(AT29))),INDIRECT("'Yr3'!"&amp;ADDRESS(ROW(AT29),COLUMN(AT29)))),
IF($C$4=AT$7,AT49*AT17,0))</f>
        <v>0</v>
      </c>
      <c r="AU29" s="71">
        <f ca="1">IF($C$4=Lookups!$D$40,SUM(INDIRECT("'Yr1'!"&amp;ADDRESS(ROW(AU29),COLUMN(AU29))),INDIRECT("'Yr2'!"&amp;ADDRESS(ROW(AU29),COLUMN(AU29))),INDIRECT("'Yr3'!"&amp;ADDRESS(ROW(AU29),COLUMN(AU29)))),
IF($C$4=AU$7,AU49*AU17,0))</f>
        <v>0</v>
      </c>
      <c r="AV29" s="71">
        <f ca="1">IF($C$4=Lookups!$D$40,SUM(INDIRECT("'Yr1'!"&amp;ADDRESS(ROW(AV29),COLUMN(AV29))),INDIRECT("'Yr2'!"&amp;ADDRESS(ROW(AV29),COLUMN(AV29))),INDIRECT("'Yr3'!"&amp;ADDRESS(ROW(AV29),COLUMN(AV29)))),
IF($C$4=AV$7,AV49*AV17,0))</f>
        <v>0</v>
      </c>
      <c r="AW29" s="71">
        <f ca="1">IF($C$4=Lookups!$D$40,SUM(INDIRECT("'Yr1'!"&amp;ADDRESS(ROW(AW29),COLUMN(AW29))),INDIRECT("'Yr2'!"&amp;ADDRESS(ROW(AW29),COLUMN(AW29))),INDIRECT("'Yr3'!"&amp;ADDRESS(ROW(AW29),COLUMN(AW29)))),
IF($C$4=AW$7,AW49*AW17,0))</f>
        <v>0</v>
      </c>
      <c r="AX29" s="71">
        <f ca="1">IF($C$4=Lookups!$D$40,SUM(INDIRECT("'Yr1'!"&amp;ADDRESS(ROW(AX29),COLUMN(AX29))),INDIRECT("'Yr2'!"&amp;ADDRESS(ROW(AX29),COLUMN(AX29))),INDIRECT("'Yr3'!"&amp;ADDRESS(ROW(AX29),COLUMN(AX29)))),
IF($C$4=AX$7,AX49*AX17,0))</f>
        <v>0</v>
      </c>
      <c r="AY29" s="71">
        <f ca="1">IF($C$4=Lookups!$D$40,SUM(INDIRECT("'Yr1'!"&amp;ADDRESS(ROW(AY29),COLUMN(AY29))),INDIRECT("'Yr2'!"&amp;ADDRESS(ROW(AY29),COLUMN(AY29))),INDIRECT("'Yr3'!"&amp;ADDRESS(ROW(AY29),COLUMN(AY29)))),
IF($C$4=AY$7,AY49*AY17,0))</f>
        <v>0</v>
      </c>
      <c r="AZ29" s="71">
        <f ca="1">IF($C$4=Lookups!$D$40,SUM(INDIRECT("'Yr1'!"&amp;ADDRESS(ROW(AZ29),COLUMN(AZ29))),INDIRECT("'Yr2'!"&amp;ADDRESS(ROW(AZ29),COLUMN(AZ29))),INDIRECT("'Yr3'!"&amp;ADDRESS(ROW(AZ29),COLUMN(AZ29)))),
IF($C$4=AZ$7,AZ49*AZ17,0))</f>
        <v>0</v>
      </c>
      <c r="BA29" s="71">
        <f ca="1">IF($C$4=Lookups!$D$40,SUM(INDIRECT("'Yr1'!"&amp;ADDRESS(ROW(BA29),COLUMN(BA29))),INDIRECT("'Yr2'!"&amp;ADDRESS(ROW(BA29),COLUMN(BA29))),INDIRECT("'Yr3'!"&amp;ADDRESS(ROW(BA29),COLUMN(BA29)))),
IF($C$4=BA$7,BA49*BA17,0))</f>
        <v>0</v>
      </c>
      <c r="BB29" s="71">
        <f ca="1">IF($C$4=Lookups!$D$40,SUM(INDIRECT("'Yr1'!"&amp;ADDRESS(ROW(BB29),COLUMN(BB29))),INDIRECT("'Yr2'!"&amp;ADDRESS(ROW(BB29),COLUMN(BB29))),INDIRECT("'Yr3'!"&amp;ADDRESS(ROW(BB29),COLUMN(BB29)))),
IF($C$4=BB$7,BB49*BB17,0))</f>
        <v>0</v>
      </c>
      <c r="BC29" s="71">
        <f ca="1">IF($C$4=Lookups!$D$40,SUM(INDIRECT("'Yr1'!"&amp;ADDRESS(ROW(BC29),COLUMN(BC29))),INDIRECT("'Yr2'!"&amp;ADDRESS(ROW(BC29),COLUMN(BC29))),INDIRECT("'Yr3'!"&amp;ADDRESS(ROW(BC29),COLUMN(BC29)))),
IF($C$4=BC$7,BC49*BC17,0))</f>
        <v>0</v>
      </c>
      <c r="BD29" s="71">
        <f ca="1">IF($C$4=Lookups!$D$40,SUM(INDIRECT("'Yr1'!"&amp;ADDRESS(ROW(BD29),COLUMN(BD29))),INDIRECT("'Yr2'!"&amp;ADDRESS(ROW(BD29),COLUMN(BD29))),INDIRECT("'Yr3'!"&amp;ADDRESS(ROW(BD29),COLUMN(BD29)))),
IF($C$4=BD$7,BD49*BD17,0))</f>
        <v>0</v>
      </c>
      <c r="BE29" s="71">
        <f ca="1">IF($C$4=Lookups!$D$40,SUM(INDIRECT("'Yr1'!"&amp;ADDRESS(ROW(BE29),COLUMN(BE29))),INDIRECT("'Yr2'!"&amp;ADDRESS(ROW(BE29),COLUMN(BE29))),INDIRECT("'Yr3'!"&amp;ADDRESS(ROW(BE29),COLUMN(BE29)))),
IF($C$4=BE$7,BE49*BE17,0))</f>
        <v>0</v>
      </c>
      <c r="BF29" s="71">
        <f ca="1">IF($C$4=Lookups!$D$40,SUM(INDIRECT("'Yr1'!"&amp;ADDRESS(ROW(BF29),COLUMN(BF29))),INDIRECT("'Yr2'!"&amp;ADDRESS(ROW(BF29),COLUMN(BF29))),INDIRECT("'Yr3'!"&amp;ADDRESS(ROW(BF29),COLUMN(BF29)))),
IF($C$4=BF$7,BF49*BF17,0))</f>
        <v>0</v>
      </c>
      <c r="BG29" s="71">
        <f ca="1">IF($C$4=Lookups!$D$40,SUM(INDIRECT("'Yr1'!"&amp;ADDRESS(ROW(BG29),COLUMN(BG29))),INDIRECT("'Yr2'!"&amp;ADDRESS(ROW(BG29),COLUMN(BG29))),INDIRECT("'Yr3'!"&amp;ADDRESS(ROW(BG29),COLUMN(BG29)))),
IF($C$4=BG$7,BG49*BG17,0))</f>
        <v>0</v>
      </c>
      <c r="BH29" s="71">
        <f ca="1">IF($C$4=Lookups!$D$40,SUM(INDIRECT("'Yr1'!"&amp;ADDRESS(ROW(BH29),COLUMN(BH29))),INDIRECT("'Yr2'!"&amp;ADDRESS(ROW(BH29),COLUMN(BH29))),INDIRECT("'Yr3'!"&amp;ADDRESS(ROW(BH29),COLUMN(BH29)))),
IF($C$4=BH$7,BH49*BH17,0))</f>
        <v>0</v>
      </c>
      <c r="BI29" s="71">
        <f ca="1">IF($C$4=Lookups!$D$40,SUM(INDIRECT("'Yr1'!"&amp;ADDRESS(ROW(BI29),COLUMN(BI29))),INDIRECT("'Yr2'!"&amp;ADDRESS(ROW(BI29),COLUMN(BI29))),INDIRECT("'Yr3'!"&amp;ADDRESS(ROW(BI29),COLUMN(BI29)))),
IF($C$4=BI$7,BI49*BI17,0))</f>
        <v>0</v>
      </c>
      <c r="BJ29" s="71">
        <f ca="1">IF($C$4=Lookups!$D$40,SUM(INDIRECT("'Yr1'!"&amp;ADDRESS(ROW(BJ29),COLUMN(BJ29))),INDIRECT("'Yr2'!"&amp;ADDRESS(ROW(BJ29),COLUMN(BJ29))),INDIRECT("'Yr3'!"&amp;ADDRESS(ROW(BJ29),COLUMN(BJ29)))),
IF($C$4=BJ$7,BJ49*BJ17,0))</f>
        <v>0</v>
      </c>
      <c r="BK29" s="71">
        <f ca="1">IF($C$4=Lookups!$D$40,SUM(INDIRECT("'Yr1'!"&amp;ADDRESS(ROW(BK29),COLUMN(BK29))),INDIRECT("'Yr2'!"&amp;ADDRESS(ROW(BK29),COLUMN(BK29))),INDIRECT("'Yr3'!"&amp;ADDRESS(ROW(BK29),COLUMN(BK29)))),
IF($C$4=BK$7,BK49*BK17,0))</f>
        <v>0</v>
      </c>
      <c r="BL29" s="71">
        <f ca="1">IF($C$4=Lookups!$D$40,SUM(INDIRECT("'Yr1'!"&amp;ADDRESS(ROW(BL29),COLUMN(BL29))),INDIRECT("'Yr2'!"&amp;ADDRESS(ROW(BL29),COLUMN(BL29))),INDIRECT("'Yr3'!"&amp;ADDRESS(ROW(BL29),COLUMN(BL29)))),
IF($C$4=BL$7,BL49*BL17,0))</f>
        <v>0</v>
      </c>
      <c r="BM29" s="71">
        <f ca="1">IF($C$4=Lookups!$D$40,SUM(INDIRECT("'Yr1'!"&amp;ADDRESS(ROW(BM29),COLUMN(BM29))),INDIRECT("'Yr2'!"&amp;ADDRESS(ROW(BM29),COLUMN(BM29))),INDIRECT("'Yr3'!"&amp;ADDRESS(ROW(BM29),COLUMN(BM29)))),
IF($C$4=BM$7,BM49*BM17,0))</f>
        <v>0</v>
      </c>
      <c r="BN29" s="71"/>
      <c r="BO29" s="71">
        <f ca="1">NPV(Lookups!$E$17,AM29:BM29)</f>
        <v>4596497.1260381658</v>
      </c>
      <c r="BP29" s="72"/>
      <c r="BS29" s="84" t="str">
        <f>E29&amp;" rate multiplied by After DSM sales."</f>
        <v>LDAC, EE Only rate multiplied by After DSM sales.</v>
      </c>
      <c r="BT29" s="51" t="s">
        <v>17</v>
      </c>
    </row>
    <row r="30" spans="1:72" x14ac:dyDescent="0.25">
      <c r="A30" s="476"/>
      <c r="B30" s="243" t="str">
        <f t="shared" si="13"/>
        <v>Residential</v>
      </c>
      <c r="C30" s="243" t="str">
        <f t="shared" si="13"/>
        <v>Revenue Requirements</v>
      </c>
      <c r="D30" s="244" t="str">
        <f>D29</f>
        <v>Increased Costs and Cost Shifting</v>
      </c>
      <c r="E30" s="86" t="s">
        <v>198</v>
      </c>
      <c r="F30" s="84" t="s">
        <v>32</v>
      </c>
      <c r="G30" s="64">
        <f ca="1">IF($C$4=Lookups!$D$40,SUM(INDIRECT("'Yr1'!"&amp;ADDRESS(ROW(G30),COLUMN(G30))),INDIRECT("'Yr2'!"&amp;ADDRESS(ROW(G30),COLUMN(G30))),INDIRECT("'Yr3'!"&amp;ADDRESS(ROW(G30),COLUMN(G30)))),
G50*G17)</f>
        <v>0</v>
      </c>
      <c r="H30" s="64">
        <f ca="1">IF($C$4=Lookups!$D$40,SUM(INDIRECT("'Yr1'!"&amp;ADDRESS(ROW(H30),COLUMN(H30))),INDIRECT("'Yr2'!"&amp;ADDRESS(ROW(H30),COLUMN(H30))),INDIRECT("'Yr3'!"&amp;ADDRESS(ROW(H30),COLUMN(H30)))),
H50*H17)</f>
        <v>0</v>
      </c>
      <c r="I30" s="64">
        <f ca="1">IF($C$4=Lookups!$D$40,SUM(INDIRECT("'Yr1'!"&amp;ADDRESS(ROW(I30),COLUMN(I30))),INDIRECT("'Yr2'!"&amp;ADDRESS(ROW(I30),COLUMN(I30))),INDIRECT("'Yr3'!"&amp;ADDRESS(ROW(I30),COLUMN(I30)))),
I50*I17)</f>
        <v>215761.62223719267</v>
      </c>
      <c r="J30" s="64">
        <f ca="1">IF($C$4=Lookups!$D$40,SUM(INDIRECT("'Yr1'!"&amp;ADDRESS(ROW(J30),COLUMN(J30))),INDIRECT("'Yr2'!"&amp;ADDRESS(ROW(J30),COLUMN(J30))),INDIRECT("'Yr3'!"&amp;ADDRESS(ROW(J30),COLUMN(J30)))),
J50*J17)</f>
        <v>215761.62223719267</v>
      </c>
      <c r="K30" s="64">
        <f ca="1">IF($C$4=Lookups!$D$40,SUM(INDIRECT("'Yr1'!"&amp;ADDRESS(ROW(K30),COLUMN(K30))),INDIRECT("'Yr2'!"&amp;ADDRESS(ROW(K30),COLUMN(K30))),INDIRECT("'Yr3'!"&amp;ADDRESS(ROW(K30),COLUMN(K30)))),
K50*K17)</f>
        <v>215761.62223719267</v>
      </c>
      <c r="L30" s="64">
        <f ca="1">IF($C$4=Lookups!$D$40,SUM(INDIRECT("'Yr1'!"&amp;ADDRESS(ROW(L30),COLUMN(L30))),INDIRECT("'Yr2'!"&amp;ADDRESS(ROW(L30),COLUMN(L30))),INDIRECT("'Yr3'!"&amp;ADDRESS(ROW(L30),COLUMN(L30)))),
L50*L17)</f>
        <v>215761.62223719267</v>
      </c>
      <c r="M30" s="64">
        <f ca="1">IF($C$4=Lookups!$D$40,SUM(INDIRECT("'Yr1'!"&amp;ADDRESS(ROW(M30),COLUMN(M30))),INDIRECT("'Yr2'!"&amp;ADDRESS(ROW(M30),COLUMN(M30))),INDIRECT("'Yr3'!"&amp;ADDRESS(ROW(M30),COLUMN(M30)))),
M50*M17)</f>
        <v>215761.62223719267</v>
      </c>
      <c r="N30" s="64">
        <f ca="1">IF($C$4=Lookups!$D$40,SUM(INDIRECT("'Yr1'!"&amp;ADDRESS(ROW(N30),COLUMN(N30))),INDIRECT("'Yr2'!"&amp;ADDRESS(ROW(N30),COLUMN(N30))),INDIRECT("'Yr3'!"&amp;ADDRESS(ROW(N30),COLUMN(N30)))),
N50*N17)</f>
        <v>215761.62223719267</v>
      </c>
      <c r="O30" s="64">
        <f ca="1">IF($C$4=Lookups!$D$40,SUM(INDIRECT("'Yr1'!"&amp;ADDRESS(ROW(O30),COLUMN(O30))),INDIRECT("'Yr2'!"&amp;ADDRESS(ROW(O30),COLUMN(O30))),INDIRECT("'Yr3'!"&amp;ADDRESS(ROW(O30),COLUMN(O30)))),
O50*O17)</f>
        <v>215761.62223719267</v>
      </c>
      <c r="P30" s="64">
        <f ca="1">IF($C$4=Lookups!$D$40,SUM(INDIRECT("'Yr1'!"&amp;ADDRESS(ROW(P30),COLUMN(P30))),INDIRECT("'Yr2'!"&amp;ADDRESS(ROW(P30),COLUMN(P30))),INDIRECT("'Yr3'!"&amp;ADDRESS(ROW(P30),COLUMN(P30)))),
P50*P17)</f>
        <v>215761.62223719267</v>
      </c>
      <c r="Q30" s="64">
        <f ca="1">IF($C$4=Lookups!$D$40,SUM(INDIRECT("'Yr1'!"&amp;ADDRESS(ROW(Q30),COLUMN(Q30))),INDIRECT("'Yr2'!"&amp;ADDRESS(ROW(Q30),COLUMN(Q30))),INDIRECT("'Yr3'!"&amp;ADDRESS(ROW(Q30),COLUMN(Q30)))),
Q50*Q17)</f>
        <v>215761.62223719267</v>
      </c>
      <c r="R30" s="64">
        <f ca="1">IF($C$4=Lookups!$D$40,SUM(INDIRECT("'Yr1'!"&amp;ADDRESS(ROW(R30),COLUMN(R30))),INDIRECT("'Yr2'!"&amp;ADDRESS(ROW(R30),COLUMN(R30))),INDIRECT("'Yr3'!"&amp;ADDRESS(ROW(R30),COLUMN(R30)))),
R50*R17)</f>
        <v>215761.62223719267</v>
      </c>
      <c r="S30" s="64">
        <f ca="1">IF($C$4=Lookups!$D$40,SUM(INDIRECT("'Yr1'!"&amp;ADDRESS(ROW(S30),COLUMN(S30))),INDIRECT("'Yr2'!"&amp;ADDRESS(ROW(S30),COLUMN(S30))),INDIRECT("'Yr3'!"&amp;ADDRESS(ROW(S30),COLUMN(S30)))),
S50*S17)</f>
        <v>215761.62223719267</v>
      </c>
      <c r="T30" s="64">
        <f ca="1">IF($C$4=Lookups!$D$40,SUM(INDIRECT("'Yr1'!"&amp;ADDRESS(ROW(T30),COLUMN(T30))),INDIRECT("'Yr2'!"&amp;ADDRESS(ROW(T30),COLUMN(T30))),INDIRECT("'Yr3'!"&amp;ADDRESS(ROW(T30),COLUMN(T30)))),
T50*T17)</f>
        <v>215761.62223719267</v>
      </c>
      <c r="U30" s="64">
        <f ca="1">IF($C$4=Lookups!$D$40,SUM(INDIRECT("'Yr1'!"&amp;ADDRESS(ROW(U30),COLUMN(U30))),INDIRECT("'Yr2'!"&amp;ADDRESS(ROW(U30),COLUMN(U30))),INDIRECT("'Yr3'!"&amp;ADDRESS(ROW(U30),COLUMN(U30)))),
U50*U17)</f>
        <v>215761.62223719267</v>
      </c>
      <c r="V30" s="64">
        <f ca="1">IF($C$4=Lookups!$D$40,SUM(INDIRECT("'Yr1'!"&amp;ADDRESS(ROW(V30),COLUMN(V30))),INDIRECT("'Yr2'!"&amp;ADDRESS(ROW(V30),COLUMN(V30))),INDIRECT("'Yr3'!"&amp;ADDRESS(ROW(V30),COLUMN(V30)))),
V50*V17)</f>
        <v>215761.62223719267</v>
      </c>
      <c r="W30" s="64">
        <f ca="1">IF($C$4=Lookups!$D$40,SUM(INDIRECT("'Yr1'!"&amp;ADDRESS(ROW(W30),COLUMN(W30))),INDIRECT("'Yr2'!"&amp;ADDRESS(ROW(W30),COLUMN(W30))),INDIRECT("'Yr3'!"&amp;ADDRESS(ROW(W30),COLUMN(W30)))),
W50*W17)</f>
        <v>215761.62223719267</v>
      </c>
      <c r="X30" s="64">
        <f ca="1">IF($C$4=Lookups!$D$40,SUM(INDIRECT("'Yr1'!"&amp;ADDRESS(ROW(X30),COLUMN(X30))),INDIRECT("'Yr2'!"&amp;ADDRESS(ROW(X30),COLUMN(X30))),INDIRECT("'Yr3'!"&amp;ADDRESS(ROW(X30),COLUMN(X30)))),
X50*X17)</f>
        <v>0</v>
      </c>
      <c r="Y30" s="64">
        <f ca="1">IF($C$4=Lookups!$D$40,SUM(INDIRECT("'Yr1'!"&amp;ADDRESS(ROW(Y30),COLUMN(Y30))),INDIRECT("'Yr2'!"&amp;ADDRESS(ROW(Y30),COLUMN(Y30))),INDIRECT("'Yr3'!"&amp;ADDRESS(ROW(Y30),COLUMN(Y30)))),
Y50*Y17)</f>
        <v>0</v>
      </c>
      <c r="Z30" s="64">
        <f ca="1">IF($C$4=Lookups!$D$40,SUM(INDIRECT("'Yr1'!"&amp;ADDRESS(ROW(Z30),COLUMN(Z30))),INDIRECT("'Yr2'!"&amp;ADDRESS(ROW(Z30),COLUMN(Z30))),INDIRECT("'Yr3'!"&amp;ADDRESS(ROW(Z30),COLUMN(Z30)))),
Z50*Z17)</f>
        <v>0</v>
      </c>
      <c r="AA30" s="64">
        <f ca="1">IF($C$4=Lookups!$D$40,SUM(INDIRECT("'Yr1'!"&amp;ADDRESS(ROW(AA30),COLUMN(AA30))),INDIRECT("'Yr2'!"&amp;ADDRESS(ROW(AA30),COLUMN(AA30))),INDIRECT("'Yr3'!"&amp;ADDRESS(ROW(AA30),COLUMN(AA30)))),
AA50*AA17)</f>
        <v>0</v>
      </c>
      <c r="AB30" s="64">
        <f ca="1">IF($C$4=Lookups!$D$40,SUM(INDIRECT("'Yr1'!"&amp;ADDRESS(ROW(AB30),COLUMN(AB30))),INDIRECT("'Yr2'!"&amp;ADDRESS(ROW(AB30),COLUMN(AB30))),INDIRECT("'Yr3'!"&amp;ADDRESS(ROW(AB30),COLUMN(AB30)))),
AB50*AB17)</f>
        <v>0</v>
      </c>
      <c r="AC30" s="64">
        <f ca="1">IF($C$4=Lookups!$D$40,SUM(INDIRECT("'Yr1'!"&amp;ADDRESS(ROW(AC30),COLUMN(AC30))),INDIRECT("'Yr2'!"&amp;ADDRESS(ROW(AC30),COLUMN(AC30))),INDIRECT("'Yr3'!"&amp;ADDRESS(ROW(AC30),COLUMN(AC30)))),
AC50*AC17)</f>
        <v>0</v>
      </c>
      <c r="AD30" s="64">
        <f ca="1">IF($C$4=Lookups!$D$40,SUM(INDIRECT("'Yr1'!"&amp;ADDRESS(ROW(AD30),COLUMN(AD30))),INDIRECT("'Yr2'!"&amp;ADDRESS(ROW(AD30),COLUMN(AD30))),INDIRECT("'Yr3'!"&amp;ADDRESS(ROW(AD30),COLUMN(AD30)))),
AD50*AD17)</f>
        <v>0</v>
      </c>
      <c r="AE30" s="64">
        <f ca="1">IF($C$4=Lookups!$D$40,SUM(INDIRECT("'Yr1'!"&amp;ADDRESS(ROW(AE30),COLUMN(AE30))),INDIRECT("'Yr2'!"&amp;ADDRESS(ROW(AE30),COLUMN(AE30))),INDIRECT("'Yr3'!"&amp;ADDRESS(ROW(AE30),COLUMN(AE30)))),
AE50*AE17)</f>
        <v>0</v>
      </c>
      <c r="AF30" s="64">
        <f ca="1">IF($C$4=Lookups!$D$40,SUM(INDIRECT("'Yr1'!"&amp;ADDRESS(ROW(AF30),COLUMN(AF30))),INDIRECT("'Yr2'!"&amp;ADDRESS(ROW(AF30),COLUMN(AF30))),INDIRECT("'Yr3'!"&amp;ADDRESS(ROW(AF30),COLUMN(AF30)))),
AF50*AF17)</f>
        <v>0</v>
      </c>
      <c r="AG30" s="64">
        <f ca="1">IF($C$4=Lookups!$D$40,SUM(INDIRECT("'Yr1'!"&amp;ADDRESS(ROW(AG30),COLUMN(AG30))),INDIRECT("'Yr2'!"&amp;ADDRESS(ROW(AG30),COLUMN(AG30))),INDIRECT("'Yr3'!"&amp;ADDRESS(ROW(AG30),COLUMN(AG30)))),
AG50*AG17)</f>
        <v>0</v>
      </c>
      <c r="AH30" s="49"/>
      <c r="AI30" s="65">
        <f ca="1">NPV(Lookups!$E$17,G30:AG30)</f>
        <v>2817529.7197015849</v>
      </c>
      <c r="AJ30" s="65"/>
      <c r="AM30" s="71">
        <f ca="1">IF($C$4=Lookups!$D$40,SUM(INDIRECT("'Yr1'!"&amp;ADDRESS(ROW(AM30),COLUMN(AM30))),INDIRECT("'Yr2'!"&amp;ADDRESS(ROW(AM30),COLUMN(AM30))),INDIRECT("'Yr3'!"&amp;ADDRESS(ROW(AM30),COLUMN(AM30)))),
AM50*AM17)</f>
        <v>0</v>
      </c>
      <c r="AN30" s="71">
        <f ca="1">IF($C$4=Lookups!$D$40,SUM(INDIRECT("'Yr1'!"&amp;ADDRESS(ROW(AN30),COLUMN(AN30))),INDIRECT("'Yr2'!"&amp;ADDRESS(ROW(AN30),COLUMN(AN30))),INDIRECT("'Yr3'!"&amp;ADDRESS(ROW(AN30),COLUMN(AN30)))),
AN50*AN17)</f>
        <v>0</v>
      </c>
      <c r="AO30" s="71">
        <f ca="1">IF($C$4=Lookups!$D$40,SUM(INDIRECT("'Yr1'!"&amp;ADDRESS(ROW(AO30),COLUMN(AO30))),INDIRECT("'Yr2'!"&amp;ADDRESS(ROW(AO30),COLUMN(AO30))),INDIRECT("'Yr3'!"&amp;ADDRESS(ROW(AO30),COLUMN(AO30)))),
AO50*AO17)</f>
        <v>246564.97056523775</v>
      </c>
      <c r="AP30" s="71">
        <f ca="1">IF($C$4=Lookups!$D$40,SUM(INDIRECT("'Yr1'!"&amp;ADDRESS(ROW(AP30),COLUMN(AP30))),INDIRECT("'Yr2'!"&amp;ADDRESS(ROW(AP30),COLUMN(AP30))),INDIRECT("'Yr3'!"&amp;ADDRESS(ROW(AP30),COLUMN(AP30)))),
AP50*AP17)</f>
        <v>246564.97056523775</v>
      </c>
      <c r="AQ30" s="71">
        <f ca="1">IF($C$4=Lookups!$D$40,SUM(INDIRECT("'Yr1'!"&amp;ADDRESS(ROW(AQ30),COLUMN(AQ30))),INDIRECT("'Yr2'!"&amp;ADDRESS(ROW(AQ30),COLUMN(AQ30))),INDIRECT("'Yr3'!"&amp;ADDRESS(ROW(AQ30),COLUMN(AQ30)))),
AQ50*AQ17)</f>
        <v>246564.97056523775</v>
      </c>
      <c r="AR30" s="71">
        <f ca="1">IF($C$4=Lookups!$D$40,SUM(INDIRECT("'Yr1'!"&amp;ADDRESS(ROW(AR30),COLUMN(AR30))),INDIRECT("'Yr2'!"&amp;ADDRESS(ROW(AR30),COLUMN(AR30))),INDIRECT("'Yr3'!"&amp;ADDRESS(ROW(AR30),COLUMN(AR30)))),
AR50*AR17)</f>
        <v>246564.97056523775</v>
      </c>
      <c r="AS30" s="71">
        <f ca="1">IF($C$4=Lookups!$D$40,SUM(INDIRECT("'Yr1'!"&amp;ADDRESS(ROW(AS30),COLUMN(AS30))),INDIRECT("'Yr2'!"&amp;ADDRESS(ROW(AS30),COLUMN(AS30))),INDIRECT("'Yr3'!"&amp;ADDRESS(ROW(AS30),COLUMN(AS30)))),
AS50*AS17)</f>
        <v>246564.97056523775</v>
      </c>
      <c r="AT30" s="71">
        <f ca="1">IF($C$4=Lookups!$D$40,SUM(INDIRECT("'Yr1'!"&amp;ADDRESS(ROW(AT30),COLUMN(AT30))),INDIRECT("'Yr2'!"&amp;ADDRESS(ROW(AT30),COLUMN(AT30))),INDIRECT("'Yr3'!"&amp;ADDRESS(ROW(AT30),COLUMN(AT30)))),
AT50*AT17)</f>
        <v>246564.97056523775</v>
      </c>
      <c r="AU30" s="71">
        <f ca="1">IF($C$4=Lookups!$D$40,SUM(INDIRECT("'Yr1'!"&amp;ADDRESS(ROW(AU30),COLUMN(AU30))),INDIRECT("'Yr2'!"&amp;ADDRESS(ROW(AU30),COLUMN(AU30))),INDIRECT("'Yr3'!"&amp;ADDRESS(ROW(AU30),COLUMN(AU30)))),
AU50*AU17)</f>
        <v>246564.97056523775</v>
      </c>
      <c r="AV30" s="71">
        <f ca="1">IF($C$4=Lookups!$D$40,SUM(INDIRECT("'Yr1'!"&amp;ADDRESS(ROW(AV30),COLUMN(AV30))),INDIRECT("'Yr2'!"&amp;ADDRESS(ROW(AV30),COLUMN(AV30))),INDIRECT("'Yr3'!"&amp;ADDRESS(ROW(AV30),COLUMN(AV30)))),
AV50*AV17)</f>
        <v>246564.97056523775</v>
      </c>
      <c r="AW30" s="71">
        <f ca="1">IF($C$4=Lookups!$D$40,SUM(INDIRECT("'Yr1'!"&amp;ADDRESS(ROW(AW30),COLUMN(AW30))),INDIRECT("'Yr2'!"&amp;ADDRESS(ROW(AW30),COLUMN(AW30))),INDIRECT("'Yr3'!"&amp;ADDRESS(ROW(AW30),COLUMN(AW30)))),
AW50*AW17)</f>
        <v>246564.97056523775</v>
      </c>
      <c r="AX30" s="71">
        <f ca="1">IF($C$4=Lookups!$D$40,SUM(INDIRECT("'Yr1'!"&amp;ADDRESS(ROW(AX30),COLUMN(AX30))),INDIRECT("'Yr2'!"&amp;ADDRESS(ROW(AX30),COLUMN(AX30))),INDIRECT("'Yr3'!"&amp;ADDRESS(ROW(AX30),COLUMN(AX30)))),
AX50*AX17)</f>
        <v>246564.97056523775</v>
      </c>
      <c r="AY30" s="71">
        <f ca="1">IF($C$4=Lookups!$D$40,SUM(INDIRECT("'Yr1'!"&amp;ADDRESS(ROW(AY30),COLUMN(AY30))),INDIRECT("'Yr2'!"&amp;ADDRESS(ROW(AY30),COLUMN(AY30))),INDIRECT("'Yr3'!"&amp;ADDRESS(ROW(AY30),COLUMN(AY30)))),
AY50*AY17)</f>
        <v>246564.97056523775</v>
      </c>
      <c r="AZ30" s="71">
        <f ca="1">IF($C$4=Lookups!$D$40,SUM(INDIRECT("'Yr1'!"&amp;ADDRESS(ROW(AZ30),COLUMN(AZ30))),INDIRECT("'Yr2'!"&amp;ADDRESS(ROW(AZ30),COLUMN(AZ30))),INDIRECT("'Yr3'!"&amp;ADDRESS(ROW(AZ30),COLUMN(AZ30)))),
AZ50*AZ17)</f>
        <v>246564.97056523775</v>
      </c>
      <c r="BA30" s="71">
        <f ca="1">IF($C$4=Lookups!$D$40,SUM(INDIRECT("'Yr1'!"&amp;ADDRESS(ROW(BA30),COLUMN(BA30))),INDIRECT("'Yr2'!"&amp;ADDRESS(ROW(BA30),COLUMN(BA30))),INDIRECT("'Yr3'!"&amp;ADDRESS(ROW(BA30),COLUMN(BA30)))),
BA50*BA17)</f>
        <v>246564.97056523775</v>
      </c>
      <c r="BB30" s="71">
        <f ca="1">IF($C$4=Lookups!$D$40,SUM(INDIRECT("'Yr1'!"&amp;ADDRESS(ROW(BB30),COLUMN(BB30))),INDIRECT("'Yr2'!"&amp;ADDRESS(ROW(BB30),COLUMN(BB30))),INDIRECT("'Yr3'!"&amp;ADDRESS(ROW(BB30),COLUMN(BB30)))),
BB50*BB17)</f>
        <v>246564.97056523775</v>
      </c>
      <c r="BC30" s="71">
        <f ca="1">IF($C$4=Lookups!$D$40,SUM(INDIRECT("'Yr1'!"&amp;ADDRESS(ROW(BC30),COLUMN(BC30))),INDIRECT("'Yr2'!"&amp;ADDRESS(ROW(BC30),COLUMN(BC30))),INDIRECT("'Yr3'!"&amp;ADDRESS(ROW(BC30),COLUMN(BC30)))),
BC50*BC17)</f>
        <v>246564.97056523775</v>
      </c>
      <c r="BD30" s="71">
        <f ca="1">IF($C$4=Lookups!$D$40,SUM(INDIRECT("'Yr1'!"&amp;ADDRESS(ROW(BD30),COLUMN(BD30))),INDIRECT("'Yr2'!"&amp;ADDRESS(ROW(BD30),COLUMN(BD30))),INDIRECT("'Yr3'!"&amp;ADDRESS(ROW(BD30),COLUMN(BD30)))),
BD50*BD17)</f>
        <v>0</v>
      </c>
      <c r="BE30" s="71">
        <f ca="1">IF($C$4=Lookups!$D$40,SUM(INDIRECT("'Yr1'!"&amp;ADDRESS(ROW(BE30),COLUMN(BE30))),INDIRECT("'Yr2'!"&amp;ADDRESS(ROW(BE30),COLUMN(BE30))),INDIRECT("'Yr3'!"&amp;ADDRESS(ROW(BE30),COLUMN(BE30)))),
BE50*BE17)</f>
        <v>0</v>
      </c>
      <c r="BF30" s="71">
        <f ca="1">IF($C$4=Lookups!$D$40,SUM(INDIRECT("'Yr1'!"&amp;ADDRESS(ROW(BF30),COLUMN(BF30))),INDIRECT("'Yr2'!"&amp;ADDRESS(ROW(BF30),COLUMN(BF30))),INDIRECT("'Yr3'!"&amp;ADDRESS(ROW(BF30),COLUMN(BF30)))),
BF50*BF17)</f>
        <v>0</v>
      </c>
      <c r="BG30" s="71">
        <f ca="1">IF($C$4=Lookups!$D$40,SUM(INDIRECT("'Yr1'!"&amp;ADDRESS(ROW(BG30),COLUMN(BG30))),INDIRECT("'Yr2'!"&amp;ADDRESS(ROW(BG30),COLUMN(BG30))),INDIRECT("'Yr3'!"&amp;ADDRESS(ROW(BG30),COLUMN(BG30)))),
BG50*BG17)</f>
        <v>0</v>
      </c>
      <c r="BH30" s="71">
        <f ca="1">IF($C$4=Lookups!$D$40,SUM(INDIRECT("'Yr1'!"&amp;ADDRESS(ROW(BH30),COLUMN(BH30))),INDIRECT("'Yr2'!"&amp;ADDRESS(ROW(BH30),COLUMN(BH30))),INDIRECT("'Yr3'!"&amp;ADDRESS(ROW(BH30),COLUMN(BH30)))),
BH50*BH17)</f>
        <v>0</v>
      </c>
      <c r="BI30" s="71">
        <f ca="1">IF($C$4=Lookups!$D$40,SUM(INDIRECT("'Yr1'!"&amp;ADDRESS(ROW(BI30),COLUMN(BI30))),INDIRECT("'Yr2'!"&amp;ADDRESS(ROW(BI30),COLUMN(BI30))),INDIRECT("'Yr3'!"&amp;ADDRESS(ROW(BI30),COLUMN(BI30)))),
BI50*BI17)</f>
        <v>0</v>
      </c>
      <c r="BJ30" s="71">
        <f ca="1">IF($C$4=Lookups!$D$40,SUM(INDIRECT("'Yr1'!"&amp;ADDRESS(ROW(BJ30),COLUMN(BJ30))),INDIRECT("'Yr2'!"&amp;ADDRESS(ROW(BJ30),COLUMN(BJ30))),INDIRECT("'Yr3'!"&amp;ADDRESS(ROW(BJ30),COLUMN(BJ30)))),
BJ50*BJ17)</f>
        <v>0</v>
      </c>
      <c r="BK30" s="71">
        <f ca="1">IF($C$4=Lookups!$D$40,SUM(INDIRECT("'Yr1'!"&amp;ADDRESS(ROW(BK30),COLUMN(BK30))),INDIRECT("'Yr2'!"&amp;ADDRESS(ROW(BK30),COLUMN(BK30))),INDIRECT("'Yr3'!"&amp;ADDRESS(ROW(BK30),COLUMN(BK30)))),
BK50*BK17)</f>
        <v>0</v>
      </c>
      <c r="BL30" s="71">
        <f ca="1">IF($C$4=Lookups!$D$40,SUM(INDIRECT("'Yr1'!"&amp;ADDRESS(ROW(BL30),COLUMN(BL30))),INDIRECT("'Yr2'!"&amp;ADDRESS(ROW(BL30),COLUMN(BL30))),INDIRECT("'Yr3'!"&amp;ADDRESS(ROW(BL30),COLUMN(BL30)))),
BL50*BL17)</f>
        <v>0</v>
      </c>
      <c r="BM30" s="71">
        <f ca="1">IF($C$4=Lookups!$D$40,SUM(INDIRECT("'Yr1'!"&amp;ADDRESS(ROW(BM30),COLUMN(BM30))),INDIRECT("'Yr2'!"&amp;ADDRESS(ROW(BM30),COLUMN(BM30))),INDIRECT("'Yr3'!"&amp;ADDRESS(ROW(BM30),COLUMN(BM30)))),
BM50*BM17)</f>
        <v>0</v>
      </c>
      <c r="BN30" s="71"/>
      <c r="BO30" s="71">
        <f ca="1">NPV(Lookups!$E$17,AM30:BM30)</f>
        <v>3219776.1826299042</v>
      </c>
      <c r="BP30" s="72"/>
      <c r="BS30" s="84" t="str">
        <f>E30&amp;" rate multiplied by After DSM sales."</f>
        <v>Distribution Lost Revenue rate multiplied by After DSM sales.</v>
      </c>
      <c r="BT30" s="51" t="s">
        <v>17</v>
      </c>
    </row>
    <row r="31" spans="1:72" x14ac:dyDescent="0.25">
      <c r="B31" s="243" t="str">
        <f>B29</f>
        <v>Residential</v>
      </c>
      <c r="C31" s="243" t="str">
        <f>C29</f>
        <v>Revenue Requirements</v>
      </c>
      <c r="D31" s="114" t="s">
        <v>125</v>
      </c>
      <c r="E31" s="84"/>
      <c r="F31" s="84"/>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65"/>
      <c r="AJ31" s="65"/>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S31" s="84"/>
      <c r="BT31" s="51" t="s">
        <v>17</v>
      </c>
    </row>
    <row r="32" spans="1:72" x14ac:dyDescent="0.25">
      <c r="A32" s="1"/>
      <c r="B32" s="243" t="str">
        <f t="shared" si="13"/>
        <v>Residential</v>
      </c>
      <c r="C32" s="243" t="str">
        <f t="shared" si="13"/>
        <v>Revenue Requirements</v>
      </c>
      <c r="D32" s="244" t="str">
        <f>D31</f>
        <v>Revenue Requirement after DSM Scenario</v>
      </c>
      <c r="E32" s="84" t="s">
        <v>26</v>
      </c>
      <c r="F32" s="84" t="s">
        <v>32</v>
      </c>
      <c r="G32" s="64">
        <f ca="1">G21-G26</f>
        <v>0</v>
      </c>
      <c r="H32" s="64">
        <f t="shared" ref="H32:AG32" ca="1" si="14">H21-H26</f>
        <v>0</v>
      </c>
      <c r="I32" s="64">
        <f t="shared" ca="1" si="14"/>
        <v>32574646.021681461</v>
      </c>
      <c r="J32" s="64">
        <f t="shared" ca="1" si="14"/>
        <v>32574646.021681461</v>
      </c>
      <c r="K32" s="64">
        <f t="shared" ca="1" si="14"/>
        <v>32574646.021681461</v>
      </c>
      <c r="L32" s="64">
        <f t="shared" ca="1" si="14"/>
        <v>32574646.021681461</v>
      </c>
      <c r="M32" s="64">
        <f t="shared" ca="1" si="14"/>
        <v>32574646.021681461</v>
      </c>
      <c r="N32" s="64">
        <f t="shared" ca="1" si="14"/>
        <v>32574646.021681461</v>
      </c>
      <c r="O32" s="64">
        <f t="shared" ca="1" si="14"/>
        <v>32574646.021681461</v>
      </c>
      <c r="P32" s="64">
        <f t="shared" ca="1" si="14"/>
        <v>32574646.021681461</v>
      </c>
      <c r="Q32" s="64">
        <f t="shared" ca="1" si="14"/>
        <v>32574646.021681461</v>
      </c>
      <c r="R32" s="64">
        <f t="shared" ca="1" si="14"/>
        <v>32574646.021681461</v>
      </c>
      <c r="S32" s="64">
        <f t="shared" ca="1" si="14"/>
        <v>32574646.021681461</v>
      </c>
      <c r="T32" s="64">
        <f t="shared" ca="1" si="14"/>
        <v>32574646.021681461</v>
      </c>
      <c r="U32" s="64">
        <f t="shared" ca="1" si="14"/>
        <v>32574646.021681461</v>
      </c>
      <c r="V32" s="64">
        <f t="shared" ca="1" si="14"/>
        <v>32574646.021681461</v>
      </c>
      <c r="W32" s="64">
        <f t="shared" ca="1" si="14"/>
        <v>32574646.021681461</v>
      </c>
      <c r="X32" s="64">
        <f t="shared" ca="1" si="14"/>
        <v>32592900.571774282</v>
      </c>
      <c r="Y32" s="64">
        <f t="shared" ca="1" si="14"/>
        <v>32592900.571774282</v>
      </c>
      <c r="Z32" s="64">
        <f t="shared" ca="1" si="14"/>
        <v>32592900.571774282</v>
      </c>
      <c r="AA32" s="64">
        <f t="shared" ca="1" si="14"/>
        <v>32592900.571774282</v>
      </c>
      <c r="AB32" s="64">
        <f t="shared" ca="1" si="14"/>
        <v>32592900.571774282</v>
      </c>
      <c r="AC32" s="64">
        <f t="shared" ca="1" si="14"/>
        <v>32592900.571774282</v>
      </c>
      <c r="AD32" s="64">
        <f t="shared" ca="1" si="14"/>
        <v>32592900.571774282</v>
      </c>
      <c r="AE32" s="64">
        <f t="shared" ca="1" si="14"/>
        <v>32592900.571774282</v>
      </c>
      <c r="AF32" s="64">
        <f t="shared" ca="1" si="14"/>
        <v>32592900.571774282</v>
      </c>
      <c r="AG32" s="64">
        <f t="shared" ca="1" si="14"/>
        <v>32592900.571774282</v>
      </c>
      <c r="AH32" s="64"/>
      <c r="AI32" s="65">
        <f ca="1">NPV(Lookups!$E$17,G32:AG32)</f>
        <v>663189586.03065157</v>
      </c>
      <c r="AJ32" s="65"/>
      <c r="AM32" s="71">
        <f ca="1">AM21-AM26</f>
        <v>0</v>
      </c>
      <c r="AN32" s="71">
        <f t="shared" ref="AN32:BM32" ca="1" si="15">AN21-AN26</f>
        <v>0</v>
      </c>
      <c r="AO32" s="71">
        <f t="shared" ca="1" si="15"/>
        <v>32572038.228811059</v>
      </c>
      <c r="AP32" s="71">
        <f t="shared" ca="1" si="15"/>
        <v>32572038.228811059</v>
      </c>
      <c r="AQ32" s="71">
        <f t="shared" ca="1" si="15"/>
        <v>32572038.228811059</v>
      </c>
      <c r="AR32" s="71">
        <f t="shared" ca="1" si="15"/>
        <v>32572038.228811059</v>
      </c>
      <c r="AS32" s="71">
        <f t="shared" ca="1" si="15"/>
        <v>32572038.228811059</v>
      </c>
      <c r="AT32" s="71">
        <f t="shared" ca="1" si="15"/>
        <v>32572038.228811059</v>
      </c>
      <c r="AU32" s="71">
        <f t="shared" ca="1" si="15"/>
        <v>32572038.228811059</v>
      </c>
      <c r="AV32" s="71">
        <f t="shared" ca="1" si="15"/>
        <v>32572038.228811059</v>
      </c>
      <c r="AW32" s="71">
        <f t="shared" ca="1" si="15"/>
        <v>32572038.228811059</v>
      </c>
      <c r="AX32" s="71">
        <f t="shared" ca="1" si="15"/>
        <v>32572038.228811059</v>
      </c>
      <c r="AY32" s="71">
        <f t="shared" ca="1" si="15"/>
        <v>32572038.228811059</v>
      </c>
      <c r="AZ32" s="71">
        <f t="shared" ca="1" si="15"/>
        <v>32572038.228811059</v>
      </c>
      <c r="BA32" s="71">
        <f t="shared" ca="1" si="15"/>
        <v>32572038.228811059</v>
      </c>
      <c r="BB32" s="71">
        <f t="shared" ca="1" si="15"/>
        <v>32572038.228811059</v>
      </c>
      <c r="BC32" s="71">
        <f t="shared" ca="1" si="15"/>
        <v>32572038.228811059</v>
      </c>
      <c r="BD32" s="71">
        <f t="shared" ca="1" si="15"/>
        <v>32592900.571774282</v>
      </c>
      <c r="BE32" s="71">
        <f t="shared" ca="1" si="15"/>
        <v>32592900.571774282</v>
      </c>
      <c r="BF32" s="71">
        <f t="shared" ca="1" si="15"/>
        <v>32592900.571774282</v>
      </c>
      <c r="BG32" s="71">
        <f t="shared" ca="1" si="15"/>
        <v>32592900.571774282</v>
      </c>
      <c r="BH32" s="71">
        <f t="shared" ca="1" si="15"/>
        <v>32592900.571774282</v>
      </c>
      <c r="BI32" s="71">
        <f t="shared" ca="1" si="15"/>
        <v>32592900.571774282</v>
      </c>
      <c r="BJ32" s="71">
        <f t="shared" ca="1" si="15"/>
        <v>32592900.571774282</v>
      </c>
      <c r="BK32" s="71">
        <f t="shared" ca="1" si="15"/>
        <v>32592900.571774282</v>
      </c>
      <c r="BL32" s="71">
        <f t="shared" ca="1" si="15"/>
        <v>32592900.571774282</v>
      </c>
      <c r="BM32" s="71">
        <f t="shared" ca="1" si="15"/>
        <v>32592900.571774282</v>
      </c>
      <c r="BN32" s="71"/>
      <c r="BO32" s="71">
        <f ca="1">NPV(Lookups!$E$17,AM32:BM32)</f>
        <v>663155532.08797622</v>
      </c>
      <c r="BP32" s="71"/>
      <c r="BS32" s="84" t="s">
        <v>229</v>
      </c>
      <c r="BT32" s="51" t="s">
        <v>17</v>
      </c>
    </row>
    <row r="33" spans="1:72" x14ac:dyDescent="0.25">
      <c r="A33" s="1"/>
      <c r="B33" s="243" t="str">
        <f t="shared" si="13"/>
        <v>Residential</v>
      </c>
      <c r="C33" s="243" t="str">
        <f t="shared" si="13"/>
        <v>Revenue Requirements</v>
      </c>
      <c r="D33" s="244" t="str">
        <f>D32</f>
        <v>Revenue Requirement after DSM Scenario</v>
      </c>
      <c r="E33" s="84" t="s">
        <v>407</v>
      </c>
      <c r="F33" s="84" t="s">
        <v>32</v>
      </c>
      <c r="G33" s="64">
        <f>G22</f>
        <v>0</v>
      </c>
      <c r="H33" s="64">
        <f t="shared" ref="H33:AG33" si="16">H22</f>
        <v>0</v>
      </c>
      <c r="I33" s="64">
        <f t="shared" si="16"/>
        <v>-1931344.4404175822</v>
      </c>
      <c r="J33" s="64">
        <f t="shared" si="16"/>
        <v>-1931344.4404175822</v>
      </c>
      <c r="K33" s="64">
        <f t="shared" si="16"/>
        <v>-1931344.4404175822</v>
      </c>
      <c r="L33" s="64">
        <f t="shared" si="16"/>
        <v>-1931344.4404175822</v>
      </c>
      <c r="M33" s="64">
        <f t="shared" si="16"/>
        <v>-1931344.4404175822</v>
      </c>
      <c r="N33" s="64">
        <f t="shared" si="16"/>
        <v>-1931344.4404175822</v>
      </c>
      <c r="O33" s="64">
        <f t="shared" si="16"/>
        <v>-1931344.4404175822</v>
      </c>
      <c r="P33" s="64">
        <f t="shared" si="16"/>
        <v>-1931344.4404175822</v>
      </c>
      <c r="Q33" s="64">
        <f t="shared" si="16"/>
        <v>-1931344.4404175822</v>
      </c>
      <c r="R33" s="64">
        <f t="shared" si="16"/>
        <v>-1931344.4404175822</v>
      </c>
      <c r="S33" s="64">
        <f t="shared" si="16"/>
        <v>-1931344.4404175822</v>
      </c>
      <c r="T33" s="64">
        <f t="shared" si="16"/>
        <v>-1931344.4404175822</v>
      </c>
      <c r="U33" s="64">
        <f t="shared" si="16"/>
        <v>-1931344.4404175822</v>
      </c>
      <c r="V33" s="64">
        <f t="shared" si="16"/>
        <v>-1931344.4404175822</v>
      </c>
      <c r="W33" s="64">
        <f t="shared" si="16"/>
        <v>-1931344.4404175822</v>
      </c>
      <c r="X33" s="64">
        <f t="shared" si="16"/>
        <v>-1931344.4404175822</v>
      </c>
      <c r="Y33" s="64">
        <f t="shared" si="16"/>
        <v>-1931344.4404175822</v>
      </c>
      <c r="Z33" s="64">
        <f t="shared" si="16"/>
        <v>-1931344.4404175822</v>
      </c>
      <c r="AA33" s="64">
        <f t="shared" si="16"/>
        <v>-1931344.4404175822</v>
      </c>
      <c r="AB33" s="64">
        <f t="shared" si="16"/>
        <v>-1931344.4404175822</v>
      </c>
      <c r="AC33" s="64">
        <f t="shared" si="16"/>
        <v>-1931344.4404175822</v>
      </c>
      <c r="AD33" s="64">
        <f t="shared" si="16"/>
        <v>-1931344.4404175822</v>
      </c>
      <c r="AE33" s="64">
        <f t="shared" si="16"/>
        <v>-1931344.4404175822</v>
      </c>
      <c r="AF33" s="64">
        <f t="shared" si="16"/>
        <v>-1931344.4404175822</v>
      </c>
      <c r="AG33" s="64">
        <f t="shared" si="16"/>
        <v>-1931344.4404175822</v>
      </c>
      <c r="AH33" s="64"/>
      <c r="AI33" s="65">
        <f>NPV(Lookups!$E$17,G33:AG33)</f>
        <v>-39312484.826305419</v>
      </c>
      <c r="AJ33" s="65"/>
      <c r="AM33" s="71">
        <f>AM22</f>
        <v>0</v>
      </c>
      <c r="AN33" s="71">
        <f t="shared" ref="AN33:BM33" si="17">AN22</f>
        <v>0</v>
      </c>
      <c r="AO33" s="71">
        <f t="shared" si="17"/>
        <v>-1931344.4404175822</v>
      </c>
      <c r="AP33" s="71">
        <f t="shared" si="17"/>
        <v>-1931344.4404175822</v>
      </c>
      <c r="AQ33" s="71">
        <f t="shared" si="17"/>
        <v>-1931344.4404175822</v>
      </c>
      <c r="AR33" s="71">
        <f t="shared" si="17"/>
        <v>-1931344.4404175822</v>
      </c>
      <c r="AS33" s="71">
        <f t="shared" si="17"/>
        <v>-1931344.4404175822</v>
      </c>
      <c r="AT33" s="71">
        <f t="shared" si="17"/>
        <v>-1931344.4404175822</v>
      </c>
      <c r="AU33" s="71">
        <f t="shared" si="17"/>
        <v>-1931344.4404175822</v>
      </c>
      <c r="AV33" s="71">
        <f t="shared" si="17"/>
        <v>-1931344.4404175822</v>
      </c>
      <c r="AW33" s="71">
        <f t="shared" si="17"/>
        <v>-1931344.4404175822</v>
      </c>
      <c r="AX33" s="71">
        <f t="shared" si="17"/>
        <v>-1931344.4404175822</v>
      </c>
      <c r="AY33" s="71">
        <f t="shared" si="17"/>
        <v>-1931344.4404175822</v>
      </c>
      <c r="AZ33" s="71">
        <f t="shared" si="17"/>
        <v>-1931344.4404175822</v>
      </c>
      <c r="BA33" s="71">
        <f t="shared" si="17"/>
        <v>-1931344.4404175822</v>
      </c>
      <c r="BB33" s="71">
        <f t="shared" si="17"/>
        <v>-1931344.4404175822</v>
      </c>
      <c r="BC33" s="71">
        <f t="shared" si="17"/>
        <v>-1931344.4404175822</v>
      </c>
      <c r="BD33" s="71">
        <f t="shared" si="17"/>
        <v>-1931344.4404175822</v>
      </c>
      <c r="BE33" s="71">
        <f t="shared" si="17"/>
        <v>-1931344.4404175822</v>
      </c>
      <c r="BF33" s="71">
        <f t="shared" si="17"/>
        <v>-1931344.4404175822</v>
      </c>
      <c r="BG33" s="71">
        <f t="shared" si="17"/>
        <v>-1931344.4404175822</v>
      </c>
      <c r="BH33" s="71">
        <f t="shared" si="17"/>
        <v>-1931344.4404175822</v>
      </c>
      <c r="BI33" s="71">
        <f t="shared" si="17"/>
        <v>-1931344.4404175822</v>
      </c>
      <c r="BJ33" s="71">
        <f t="shared" si="17"/>
        <v>-1931344.4404175822</v>
      </c>
      <c r="BK33" s="71">
        <f t="shared" si="17"/>
        <v>-1931344.4404175822</v>
      </c>
      <c r="BL33" s="71">
        <f t="shared" si="17"/>
        <v>-1931344.4404175822</v>
      </c>
      <c r="BM33" s="71">
        <f t="shared" si="17"/>
        <v>-1931344.4404175822</v>
      </c>
      <c r="BN33" s="71"/>
      <c r="BO33" s="71">
        <f>NPV(Lookups!$E$17,AM33:BM33)</f>
        <v>-39312484.826305419</v>
      </c>
      <c r="BP33" s="71"/>
      <c r="BS33" s="84" t="s">
        <v>230</v>
      </c>
      <c r="BT33" s="51" t="s">
        <v>17</v>
      </c>
    </row>
    <row r="34" spans="1:72" x14ac:dyDescent="0.25">
      <c r="A34" s="1"/>
      <c r="B34" s="243" t="str">
        <f>B32</f>
        <v>Residential</v>
      </c>
      <c r="C34" s="243" t="str">
        <f>C32</f>
        <v>Revenue Requirements</v>
      </c>
      <c r="D34" s="244" t="str">
        <f>D32</f>
        <v>Revenue Requirement after DSM Scenario</v>
      </c>
      <c r="E34" s="84" t="s">
        <v>197</v>
      </c>
      <c r="F34" s="84" t="s">
        <v>32</v>
      </c>
      <c r="G34" s="64">
        <f ca="1">G23-G25-G27</f>
        <v>0</v>
      </c>
      <c r="H34" s="64">
        <f t="shared" ref="H34:AG34" ca="1" si="18">H23-H25-H27</f>
        <v>0</v>
      </c>
      <c r="I34" s="64">
        <f t="shared" ca="1" si="18"/>
        <v>36006146.957241654</v>
      </c>
      <c r="J34" s="64">
        <f t="shared" ca="1" si="18"/>
        <v>36006146.957241654</v>
      </c>
      <c r="K34" s="64">
        <f t="shared" ca="1" si="18"/>
        <v>36006146.957241654</v>
      </c>
      <c r="L34" s="64">
        <f t="shared" ca="1" si="18"/>
        <v>36006146.957241654</v>
      </c>
      <c r="M34" s="64">
        <f t="shared" ca="1" si="18"/>
        <v>36006146.957241654</v>
      </c>
      <c r="N34" s="64">
        <f t="shared" ca="1" si="18"/>
        <v>36006146.957241654</v>
      </c>
      <c r="O34" s="64">
        <f t="shared" ca="1" si="18"/>
        <v>36006146.957241654</v>
      </c>
      <c r="P34" s="64">
        <f t="shared" ca="1" si="18"/>
        <v>36006146.957241654</v>
      </c>
      <c r="Q34" s="64">
        <f t="shared" ca="1" si="18"/>
        <v>36006146.957241654</v>
      </c>
      <c r="R34" s="64">
        <f t="shared" ca="1" si="18"/>
        <v>36006146.957241654</v>
      </c>
      <c r="S34" s="64">
        <f t="shared" ca="1" si="18"/>
        <v>36006146.957241654</v>
      </c>
      <c r="T34" s="64">
        <f t="shared" ca="1" si="18"/>
        <v>36006146.957241654</v>
      </c>
      <c r="U34" s="64">
        <f t="shared" ca="1" si="18"/>
        <v>36006146.957241654</v>
      </c>
      <c r="V34" s="64">
        <f t="shared" ca="1" si="18"/>
        <v>36006146.957241654</v>
      </c>
      <c r="W34" s="64">
        <f t="shared" ca="1" si="18"/>
        <v>36006146.957241654</v>
      </c>
      <c r="X34" s="64">
        <f t="shared" ca="1" si="18"/>
        <v>36303422.920940183</v>
      </c>
      <c r="Y34" s="64">
        <f t="shared" ca="1" si="18"/>
        <v>36303422.920940183</v>
      </c>
      <c r="Z34" s="64">
        <f t="shared" ca="1" si="18"/>
        <v>36303422.920940183</v>
      </c>
      <c r="AA34" s="64">
        <f t="shared" ca="1" si="18"/>
        <v>36303422.920940183</v>
      </c>
      <c r="AB34" s="64">
        <f t="shared" ca="1" si="18"/>
        <v>36303422.920940183</v>
      </c>
      <c r="AC34" s="64">
        <f t="shared" ca="1" si="18"/>
        <v>36303422.920940183</v>
      </c>
      <c r="AD34" s="64">
        <f t="shared" ca="1" si="18"/>
        <v>36303422.920940183</v>
      </c>
      <c r="AE34" s="64">
        <f t="shared" ca="1" si="18"/>
        <v>36303422.920940183</v>
      </c>
      <c r="AF34" s="64">
        <f t="shared" ca="1" si="18"/>
        <v>36303422.920940183</v>
      </c>
      <c r="AG34" s="64">
        <f t="shared" ca="1" si="18"/>
        <v>36303422.920940183</v>
      </c>
      <c r="AH34" s="64"/>
      <c r="AI34" s="65">
        <f ca="1">NPV(Lookups!$E$17,G34:AG34)</f>
        <v>735073598.76067543</v>
      </c>
      <c r="AJ34" s="65"/>
      <c r="AM34" s="71">
        <f ca="1">AM23-AM25-AM27</f>
        <v>0</v>
      </c>
      <c r="AN34" s="71">
        <f t="shared" ref="AN34:BM34" ca="1" si="19">AN23-AN25-AN27</f>
        <v>0</v>
      </c>
      <c r="AO34" s="71">
        <f t="shared" ca="1" si="19"/>
        <v>35963678.962427579</v>
      </c>
      <c r="AP34" s="71">
        <f t="shared" ca="1" si="19"/>
        <v>35963678.962427579</v>
      </c>
      <c r="AQ34" s="71">
        <f t="shared" ca="1" si="19"/>
        <v>35963678.962427579</v>
      </c>
      <c r="AR34" s="71">
        <f t="shared" ca="1" si="19"/>
        <v>35963678.962427579</v>
      </c>
      <c r="AS34" s="71">
        <f t="shared" ca="1" si="19"/>
        <v>35963678.962427579</v>
      </c>
      <c r="AT34" s="71">
        <f t="shared" ca="1" si="19"/>
        <v>35963678.962427579</v>
      </c>
      <c r="AU34" s="71">
        <f t="shared" ca="1" si="19"/>
        <v>35963678.962427579</v>
      </c>
      <c r="AV34" s="71">
        <f t="shared" ca="1" si="19"/>
        <v>35963678.962427579</v>
      </c>
      <c r="AW34" s="71">
        <f t="shared" ca="1" si="19"/>
        <v>35963678.962427579</v>
      </c>
      <c r="AX34" s="71">
        <f t="shared" ca="1" si="19"/>
        <v>35963678.962427579</v>
      </c>
      <c r="AY34" s="71">
        <f t="shared" ca="1" si="19"/>
        <v>35963678.962427579</v>
      </c>
      <c r="AZ34" s="71">
        <f t="shared" ca="1" si="19"/>
        <v>35963678.962427579</v>
      </c>
      <c r="BA34" s="71">
        <f t="shared" ca="1" si="19"/>
        <v>35963678.962427579</v>
      </c>
      <c r="BB34" s="71">
        <f t="shared" ca="1" si="19"/>
        <v>35963678.962427579</v>
      </c>
      <c r="BC34" s="71">
        <f t="shared" ca="1" si="19"/>
        <v>35963678.962427579</v>
      </c>
      <c r="BD34" s="71">
        <f t="shared" ca="1" si="19"/>
        <v>36303422.920940183</v>
      </c>
      <c r="BE34" s="71">
        <f t="shared" ca="1" si="19"/>
        <v>36303422.920940183</v>
      </c>
      <c r="BF34" s="71">
        <f t="shared" ca="1" si="19"/>
        <v>36303422.920940183</v>
      </c>
      <c r="BG34" s="71">
        <f t="shared" ca="1" si="19"/>
        <v>36303422.920940183</v>
      </c>
      <c r="BH34" s="71">
        <f t="shared" ca="1" si="19"/>
        <v>36303422.920940183</v>
      </c>
      <c r="BI34" s="71">
        <f t="shared" ca="1" si="19"/>
        <v>36303422.920940183</v>
      </c>
      <c r="BJ34" s="71">
        <f t="shared" ca="1" si="19"/>
        <v>36303422.920940183</v>
      </c>
      <c r="BK34" s="71">
        <f t="shared" ca="1" si="19"/>
        <v>36303422.920940183</v>
      </c>
      <c r="BL34" s="71">
        <f t="shared" ca="1" si="19"/>
        <v>36303422.920940183</v>
      </c>
      <c r="BM34" s="71">
        <f t="shared" ca="1" si="19"/>
        <v>36303422.920940183</v>
      </c>
      <c r="BN34" s="71"/>
      <c r="BO34" s="71">
        <f ca="1">NPV(Lookups!$E$17,AM34:BM34)</f>
        <v>734519029.15610862</v>
      </c>
      <c r="BP34" s="71"/>
      <c r="BS34" s="84" t="s">
        <v>231</v>
      </c>
      <c r="BT34" s="51" t="s">
        <v>17</v>
      </c>
    </row>
    <row r="35" spans="1:72" x14ac:dyDescent="0.25">
      <c r="B35" s="243" t="str">
        <f t="shared" si="13"/>
        <v>Residential</v>
      </c>
      <c r="C35" s="243" t="str">
        <f t="shared" si="13"/>
        <v>Revenue Requirements</v>
      </c>
      <c r="D35" s="244"/>
      <c r="E35" s="84" t="s">
        <v>17</v>
      </c>
      <c r="F35" s="84"/>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S35" s="84"/>
      <c r="BT35" s="51" t="s">
        <v>17</v>
      </c>
    </row>
    <row r="36" spans="1:72" s="5" customFormat="1" ht="15.75" x14ac:dyDescent="0.25">
      <c r="A36" s="52"/>
      <c r="B36" s="241" t="str">
        <f t="shared" si="13"/>
        <v>Residential</v>
      </c>
      <c r="C36" s="63" t="s">
        <v>30</v>
      </c>
      <c r="D36" s="61"/>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2"/>
      <c r="BO36" s="62"/>
      <c r="BP36" s="62"/>
      <c r="BS36" s="62"/>
      <c r="BT36" s="51" t="s">
        <v>17</v>
      </c>
    </row>
    <row r="37" spans="1:72" x14ac:dyDescent="0.25">
      <c r="B37" s="243" t="str">
        <f t="shared" si="13"/>
        <v>Residential</v>
      </c>
      <c r="C37" s="243" t="str">
        <f t="shared" si="13"/>
        <v>Rates</v>
      </c>
      <c r="D37" s="114" t="str">
        <f>"Rates before DSM ("&amp;Lookups!$D$22&amp;" Scenario)"</f>
        <v>Rates before DSM (No EE Scenario)</v>
      </c>
      <c r="E37" s="84"/>
      <c r="F37" s="84"/>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S37" s="84"/>
      <c r="BT37" s="51" t="s">
        <v>17</v>
      </c>
    </row>
    <row r="38" spans="1:72" x14ac:dyDescent="0.25">
      <c r="B38" s="243" t="str">
        <f t="shared" si="13"/>
        <v>Residential</v>
      </c>
      <c r="C38" s="243" t="str">
        <f t="shared" si="13"/>
        <v>Rates</v>
      </c>
      <c r="D38" s="244" t="str">
        <f>D37</f>
        <v>Rates before DSM (No EE Scenario)</v>
      </c>
      <c r="E38" s="84" t="s">
        <v>26</v>
      </c>
      <c r="F38" s="84" t="s">
        <v>182</v>
      </c>
      <c r="G38" s="506">
        <f>IF(G$8=0,0,INDEX('R&amp;B Inputs'!$I$78:$V$78,MATCH($B38,'R&amp;B Inputs'!$I$4:$V$4,0))*(1+INDEX('R&amp;B Inputs'!$I$48:$V$48,MATCH($B38,'R&amp;B Inputs'!$I$4:$V$4,0)))^(G$7-Year1))</f>
        <v>0</v>
      </c>
      <c r="H38" s="506">
        <f>IF(H$8=0,0,INDEX('R&amp;B Inputs'!$I$78:$V$78,MATCH($B38,'R&amp;B Inputs'!$I$4:$V$4,0))*(1+INDEX('R&amp;B Inputs'!$I$48:$V$48,MATCH($B38,'R&amp;B Inputs'!$I$4:$V$4,0)))^(H$7-Year1))</f>
        <v>0</v>
      </c>
      <c r="I38" s="506">
        <f>IF(I$8=0,0,INDEX('R&amp;B Inputs'!$I$78:$V$78,MATCH($B38,'R&amp;B Inputs'!$I$4:$V$4,0))*(1+INDEX('R&amp;B Inputs'!$I$48:$V$48,MATCH($B38,'R&amp;B Inputs'!$I$4:$V$4,0)))^(I$7-Year1))</f>
        <v>0.55689999999999995</v>
      </c>
      <c r="J38" s="506">
        <f>IF(J$8=0,0,INDEX('R&amp;B Inputs'!$I$78:$V$78,MATCH($B38,'R&amp;B Inputs'!$I$4:$V$4,0))*(1+INDEX('R&amp;B Inputs'!$I$48:$V$48,MATCH($B38,'R&amp;B Inputs'!$I$4:$V$4,0)))^(J$7-Year1))</f>
        <v>0.55689999999999995</v>
      </c>
      <c r="K38" s="506">
        <f>IF(K$8=0,0,INDEX('R&amp;B Inputs'!$I$78:$V$78,MATCH($B38,'R&amp;B Inputs'!$I$4:$V$4,0))*(1+INDEX('R&amp;B Inputs'!$I$48:$V$48,MATCH($B38,'R&amp;B Inputs'!$I$4:$V$4,0)))^(K$7-Year1))</f>
        <v>0.55689999999999995</v>
      </c>
      <c r="L38" s="506">
        <f>IF(L$8=0,0,INDEX('R&amp;B Inputs'!$I$78:$V$78,MATCH($B38,'R&amp;B Inputs'!$I$4:$V$4,0))*(1+INDEX('R&amp;B Inputs'!$I$48:$V$48,MATCH($B38,'R&amp;B Inputs'!$I$4:$V$4,0)))^(L$7-Year1))</f>
        <v>0.55689999999999995</v>
      </c>
      <c r="M38" s="506">
        <f>IF(M$8=0,0,INDEX('R&amp;B Inputs'!$I$78:$V$78,MATCH($B38,'R&amp;B Inputs'!$I$4:$V$4,0))*(1+INDEX('R&amp;B Inputs'!$I$48:$V$48,MATCH($B38,'R&amp;B Inputs'!$I$4:$V$4,0)))^(M$7-Year1))</f>
        <v>0.55689999999999995</v>
      </c>
      <c r="N38" s="506">
        <f>IF(N$8=0,0,INDEX('R&amp;B Inputs'!$I$78:$V$78,MATCH($B38,'R&amp;B Inputs'!$I$4:$V$4,0))*(1+INDEX('R&amp;B Inputs'!$I$48:$V$48,MATCH($B38,'R&amp;B Inputs'!$I$4:$V$4,0)))^(N$7-Year1))</f>
        <v>0.55689999999999995</v>
      </c>
      <c r="O38" s="506">
        <f>IF(O$8=0,0,INDEX('R&amp;B Inputs'!$I$78:$V$78,MATCH($B38,'R&amp;B Inputs'!$I$4:$V$4,0))*(1+INDEX('R&amp;B Inputs'!$I$48:$V$48,MATCH($B38,'R&amp;B Inputs'!$I$4:$V$4,0)))^(O$7-Year1))</f>
        <v>0.55689999999999995</v>
      </c>
      <c r="P38" s="506">
        <f>IF(P$8=0,0,INDEX('R&amp;B Inputs'!$I$78:$V$78,MATCH($B38,'R&amp;B Inputs'!$I$4:$V$4,0))*(1+INDEX('R&amp;B Inputs'!$I$48:$V$48,MATCH($B38,'R&amp;B Inputs'!$I$4:$V$4,0)))^(P$7-Year1))</f>
        <v>0.55689999999999995</v>
      </c>
      <c r="Q38" s="506">
        <f>IF(Q$8=0,0,INDEX('R&amp;B Inputs'!$I$78:$V$78,MATCH($B38,'R&amp;B Inputs'!$I$4:$V$4,0))*(1+INDEX('R&amp;B Inputs'!$I$48:$V$48,MATCH($B38,'R&amp;B Inputs'!$I$4:$V$4,0)))^(Q$7-Year1))</f>
        <v>0.55689999999999995</v>
      </c>
      <c r="R38" s="506">
        <f>IF(R$8=0,0,INDEX('R&amp;B Inputs'!$I$78:$V$78,MATCH($B38,'R&amp;B Inputs'!$I$4:$V$4,0))*(1+INDEX('R&amp;B Inputs'!$I$48:$V$48,MATCH($B38,'R&amp;B Inputs'!$I$4:$V$4,0)))^(R$7-Year1))</f>
        <v>0.55689999999999995</v>
      </c>
      <c r="S38" s="506">
        <f>IF(S$8=0,0,INDEX('R&amp;B Inputs'!$I$78:$V$78,MATCH($B38,'R&amp;B Inputs'!$I$4:$V$4,0))*(1+INDEX('R&amp;B Inputs'!$I$48:$V$48,MATCH($B38,'R&amp;B Inputs'!$I$4:$V$4,0)))^(S$7-Year1))</f>
        <v>0.55689999999999995</v>
      </c>
      <c r="T38" s="506">
        <f>IF(T$8=0,0,INDEX('R&amp;B Inputs'!$I$78:$V$78,MATCH($B38,'R&amp;B Inputs'!$I$4:$V$4,0))*(1+INDEX('R&amp;B Inputs'!$I$48:$V$48,MATCH($B38,'R&amp;B Inputs'!$I$4:$V$4,0)))^(T$7-Year1))</f>
        <v>0.55689999999999995</v>
      </c>
      <c r="U38" s="506">
        <f>IF(U$8=0,0,INDEX('R&amp;B Inputs'!$I$78:$V$78,MATCH($B38,'R&amp;B Inputs'!$I$4:$V$4,0))*(1+INDEX('R&amp;B Inputs'!$I$48:$V$48,MATCH($B38,'R&amp;B Inputs'!$I$4:$V$4,0)))^(U$7-Year1))</f>
        <v>0.55689999999999995</v>
      </c>
      <c r="V38" s="506">
        <f>IF(V$8=0,0,INDEX('R&amp;B Inputs'!$I$78:$V$78,MATCH($B38,'R&amp;B Inputs'!$I$4:$V$4,0))*(1+INDEX('R&amp;B Inputs'!$I$48:$V$48,MATCH($B38,'R&amp;B Inputs'!$I$4:$V$4,0)))^(V$7-Year1))</f>
        <v>0.55689999999999995</v>
      </c>
      <c r="W38" s="506">
        <f>IF(W$8=0,0,INDEX('R&amp;B Inputs'!$I$78:$V$78,MATCH($B38,'R&amp;B Inputs'!$I$4:$V$4,0))*(1+INDEX('R&amp;B Inputs'!$I$48:$V$48,MATCH($B38,'R&amp;B Inputs'!$I$4:$V$4,0)))^(W$7-Year1))</f>
        <v>0.55689999999999995</v>
      </c>
      <c r="X38" s="506">
        <f>IF(X$8=0,0,INDEX('R&amp;B Inputs'!$I$78:$V$78,MATCH($B38,'R&amp;B Inputs'!$I$4:$V$4,0))*(1+INDEX('R&amp;B Inputs'!$I$48:$V$48,MATCH($B38,'R&amp;B Inputs'!$I$4:$V$4,0)))^(X$7-Year1))</f>
        <v>0.55689999999999995</v>
      </c>
      <c r="Y38" s="506">
        <f>IF(Y$8=0,0,INDEX('R&amp;B Inputs'!$I$78:$V$78,MATCH($B38,'R&amp;B Inputs'!$I$4:$V$4,0))*(1+INDEX('R&amp;B Inputs'!$I$48:$V$48,MATCH($B38,'R&amp;B Inputs'!$I$4:$V$4,0)))^(Y$7-Year1))</f>
        <v>0.55689999999999995</v>
      </c>
      <c r="Z38" s="506">
        <f>IF(Z$8=0,0,INDEX('R&amp;B Inputs'!$I$78:$V$78,MATCH($B38,'R&amp;B Inputs'!$I$4:$V$4,0))*(1+INDEX('R&amp;B Inputs'!$I$48:$V$48,MATCH($B38,'R&amp;B Inputs'!$I$4:$V$4,0)))^(Z$7-Year1))</f>
        <v>0.55689999999999995</v>
      </c>
      <c r="AA38" s="506">
        <f>IF(AA$8=0,0,INDEX('R&amp;B Inputs'!$I$78:$V$78,MATCH($B38,'R&amp;B Inputs'!$I$4:$V$4,0))*(1+INDEX('R&amp;B Inputs'!$I$48:$V$48,MATCH($B38,'R&amp;B Inputs'!$I$4:$V$4,0)))^(AA$7-Year1))</f>
        <v>0.55689999999999995</v>
      </c>
      <c r="AB38" s="506">
        <f>IF(AB$8=0,0,INDEX('R&amp;B Inputs'!$I$78:$V$78,MATCH($B38,'R&amp;B Inputs'!$I$4:$V$4,0))*(1+INDEX('R&amp;B Inputs'!$I$48:$V$48,MATCH($B38,'R&amp;B Inputs'!$I$4:$V$4,0)))^(AB$7-Year1))</f>
        <v>0.55689999999999995</v>
      </c>
      <c r="AC38" s="506">
        <f>IF(AC$8=0,0,INDEX('R&amp;B Inputs'!$I$78:$V$78,MATCH($B38,'R&amp;B Inputs'!$I$4:$V$4,0))*(1+INDEX('R&amp;B Inputs'!$I$48:$V$48,MATCH($B38,'R&amp;B Inputs'!$I$4:$V$4,0)))^(AC$7-Year1))</f>
        <v>0.55689999999999995</v>
      </c>
      <c r="AD38" s="506">
        <f>IF(AD$8=0,0,INDEX('R&amp;B Inputs'!$I$78:$V$78,MATCH($B38,'R&amp;B Inputs'!$I$4:$V$4,0))*(1+INDEX('R&amp;B Inputs'!$I$48:$V$48,MATCH($B38,'R&amp;B Inputs'!$I$4:$V$4,0)))^(AD$7-Year1))</f>
        <v>0.55689999999999995</v>
      </c>
      <c r="AE38" s="506">
        <f>IF(AE$8=0,0,INDEX('R&amp;B Inputs'!$I$78:$V$78,MATCH($B38,'R&amp;B Inputs'!$I$4:$V$4,0))*(1+INDEX('R&amp;B Inputs'!$I$48:$V$48,MATCH($B38,'R&amp;B Inputs'!$I$4:$V$4,0)))^(AE$7-Year1))</f>
        <v>0.55689999999999995</v>
      </c>
      <c r="AF38" s="506">
        <f>IF(AF$8=0,0,INDEX('R&amp;B Inputs'!$I$78:$V$78,MATCH($B38,'R&amp;B Inputs'!$I$4:$V$4,0))*(1+INDEX('R&amp;B Inputs'!$I$48:$V$48,MATCH($B38,'R&amp;B Inputs'!$I$4:$V$4,0)))^(AF$7-Year1))</f>
        <v>0.55689999999999995</v>
      </c>
      <c r="AG38" s="506">
        <f>IF(AG$8=0,0,INDEX('R&amp;B Inputs'!$I$78:$V$78,MATCH($B38,'R&amp;B Inputs'!$I$4:$V$4,0))*(1+INDEX('R&amp;B Inputs'!$I$48:$V$48,MATCH($B38,'R&amp;B Inputs'!$I$4:$V$4,0)))^(AG$7-Year1))</f>
        <v>0.55689999999999995</v>
      </c>
      <c r="AH38" s="506"/>
      <c r="AI38" s="506"/>
      <c r="AJ38" s="506">
        <f>IF($C$4=Year1,-PMT(Lookups!$E$17,25,NPV(Lookups!$E$17,G38:AE38),0,1),IF($C$4=Year2,-PMT(Lookups!$F$17,25,NPV(Lookups!$F$17,H38:AF38),0,1),IF($C$4=Year3,-PMT(Lookups!$G$17,25,NPV(Lookups!$G$17,I38:AG38),0,1),-PMT(Lookups!$G$17,27,NPV(Lookups!$G$17,G38:AG38),0,1))))</f>
        <v>0.5491330653753026</v>
      </c>
      <c r="AK38" s="507"/>
      <c r="AL38" s="507"/>
      <c r="AM38" s="508">
        <f>IF(AM$8=0,0,INDEX('R&amp;B Inputs'!$I$78:$V$78,MATCH($B38,'R&amp;B Inputs'!$I$4:$V$4,0))*(1+INDEX('R&amp;B Inputs'!$I$48:$V$48,MATCH($B38,'R&amp;B Inputs'!$I$4:$V$4,0)))^(AM$7-Year1))</f>
        <v>0</v>
      </c>
      <c r="AN38" s="508">
        <f>IF(AN$8=0,0,INDEX('R&amp;B Inputs'!$I$78:$V$78,MATCH($B38,'R&amp;B Inputs'!$I$4:$V$4,0))*(1+INDEX('R&amp;B Inputs'!$I$48:$V$48,MATCH($B38,'R&amp;B Inputs'!$I$4:$V$4,0)))^(AN$7-Year1))</f>
        <v>0</v>
      </c>
      <c r="AO38" s="508">
        <f>IF(AO$8=0,0,INDEX('R&amp;B Inputs'!$I$78:$V$78,MATCH($B38,'R&amp;B Inputs'!$I$4:$V$4,0))*(1+INDEX('R&amp;B Inputs'!$I$48:$V$48,MATCH($B38,'R&amp;B Inputs'!$I$4:$V$4,0)))^(AO$7-Year1))</f>
        <v>0.55689999999999995</v>
      </c>
      <c r="AP38" s="508">
        <f>IF(AP$8=0,0,INDEX('R&amp;B Inputs'!$I$78:$V$78,MATCH($B38,'R&amp;B Inputs'!$I$4:$V$4,0))*(1+INDEX('R&amp;B Inputs'!$I$48:$V$48,MATCH($B38,'R&amp;B Inputs'!$I$4:$V$4,0)))^(AP$7-Year1))</f>
        <v>0.55689999999999995</v>
      </c>
      <c r="AQ38" s="508">
        <f>IF(AQ$8=0,0,INDEX('R&amp;B Inputs'!$I$78:$V$78,MATCH($B38,'R&amp;B Inputs'!$I$4:$V$4,0))*(1+INDEX('R&amp;B Inputs'!$I$48:$V$48,MATCH($B38,'R&amp;B Inputs'!$I$4:$V$4,0)))^(AQ$7-Year1))</f>
        <v>0.55689999999999995</v>
      </c>
      <c r="AR38" s="508">
        <f>IF(AR$8=0,0,INDEX('R&amp;B Inputs'!$I$78:$V$78,MATCH($B38,'R&amp;B Inputs'!$I$4:$V$4,0))*(1+INDEX('R&amp;B Inputs'!$I$48:$V$48,MATCH($B38,'R&amp;B Inputs'!$I$4:$V$4,0)))^(AR$7-Year1))</f>
        <v>0.55689999999999995</v>
      </c>
      <c r="AS38" s="508">
        <f>IF(AS$8=0,0,INDEX('R&amp;B Inputs'!$I$78:$V$78,MATCH($B38,'R&amp;B Inputs'!$I$4:$V$4,0))*(1+INDEX('R&amp;B Inputs'!$I$48:$V$48,MATCH($B38,'R&amp;B Inputs'!$I$4:$V$4,0)))^(AS$7-Year1))</f>
        <v>0.55689999999999995</v>
      </c>
      <c r="AT38" s="508">
        <f>IF(AT$8=0,0,INDEX('R&amp;B Inputs'!$I$78:$V$78,MATCH($B38,'R&amp;B Inputs'!$I$4:$V$4,0))*(1+INDEX('R&amp;B Inputs'!$I$48:$V$48,MATCH($B38,'R&amp;B Inputs'!$I$4:$V$4,0)))^(AT$7-Year1))</f>
        <v>0.55689999999999995</v>
      </c>
      <c r="AU38" s="508">
        <f>IF(AU$8=0,0,INDEX('R&amp;B Inputs'!$I$78:$V$78,MATCH($B38,'R&amp;B Inputs'!$I$4:$V$4,0))*(1+INDEX('R&amp;B Inputs'!$I$48:$V$48,MATCH($B38,'R&amp;B Inputs'!$I$4:$V$4,0)))^(AU$7-Year1))</f>
        <v>0.55689999999999995</v>
      </c>
      <c r="AV38" s="508">
        <f>IF(AV$8=0,0,INDEX('R&amp;B Inputs'!$I$78:$V$78,MATCH($B38,'R&amp;B Inputs'!$I$4:$V$4,0))*(1+INDEX('R&amp;B Inputs'!$I$48:$V$48,MATCH($B38,'R&amp;B Inputs'!$I$4:$V$4,0)))^(AV$7-Year1))</f>
        <v>0.55689999999999995</v>
      </c>
      <c r="AW38" s="508">
        <f>IF(AW$8=0,0,INDEX('R&amp;B Inputs'!$I$78:$V$78,MATCH($B38,'R&amp;B Inputs'!$I$4:$V$4,0))*(1+INDEX('R&amp;B Inputs'!$I$48:$V$48,MATCH($B38,'R&amp;B Inputs'!$I$4:$V$4,0)))^(AW$7-Year1))</f>
        <v>0.55689999999999995</v>
      </c>
      <c r="AX38" s="508">
        <f>IF(AX$8=0,0,INDEX('R&amp;B Inputs'!$I$78:$V$78,MATCH($B38,'R&amp;B Inputs'!$I$4:$V$4,0))*(1+INDEX('R&amp;B Inputs'!$I$48:$V$48,MATCH($B38,'R&amp;B Inputs'!$I$4:$V$4,0)))^(AX$7-Year1))</f>
        <v>0.55689999999999995</v>
      </c>
      <c r="AY38" s="508">
        <f>IF(AY$8=0,0,INDEX('R&amp;B Inputs'!$I$78:$V$78,MATCH($B38,'R&amp;B Inputs'!$I$4:$V$4,0))*(1+INDEX('R&amp;B Inputs'!$I$48:$V$48,MATCH($B38,'R&amp;B Inputs'!$I$4:$V$4,0)))^(AY$7-Year1))</f>
        <v>0.55689999999999995</v>
      </c>
      <c r="AZ38" s="508">
        <f>IF(AZ$8=0,0,INDEX('R&amp;B Inputs'!$I$78:$V$78,MATCH($B38,'R&amp;B Inputs'!$I$4:$V$4,0))*(1+INDEX('R&amp;B Inputs'!$I$48:$V$48,MATCH($B38,'R&amp;B Inputs'!$I$4:$V$4,0)))^(AZ$7-Year1))</f>
        <v>0.55689999999999995</v>
      </c>
      <c r="BA38" s="508">
        <f>IF(BA$8=0,0,INDEX('R&amp;B Inputs'!$I$78:$V$78,MATCH($B38,'R&amp;B Inputs'!$I$4:$V$4,0))*(1+INDEX('R&amp;B Inputs'!$I$48:$V$48,MATCH($B38,'R&amp;B Inputs'!$I$4:$V$4,0)))^(BA$7-Year1))</f>
        <v>0.55689999999999995</v>
      </c>
      <c r="BB38" s="508">
        <f>IF(BB$8=0,0,INDEX('R&amp;B Inputs'!$I$78:$V$78,MATCH($B38,'R&amp;B Inputs'!$I$4:$V$4,0))*(1+INDEX('R&amp;B Inputs'!$I$48:$V$48,MATCH($B38,'R&amp;B Inputs'!$I$4:$V$4,0)))^(BB$7-Year1))</f>
        <v>0.55689999999999995</v>
      </c>
      <c r="BC38" s="508">
        <f>IF(BC$8=0,0,INDEX('R&amp;B Inputs'!$I$78:$V$78,MATCH($B38,'R&amp;B Inputs'!$I$4:$V$4,0))*(1+INDEX('R&amp;B Inputs'!$I$48:$V$48,MATCH($B38,'R&amp;B Inputs'!$I$4:$V$4,0)))^(BC$7-Year1))</f>
        <v>0.55689999999999995</v>
      </c>
      <c r="BD38" s="508">
        <f>IF(BD$8=0,0,INDEX('R&amp;B Inputs'!$I$78:$V$78,MATCH($B38,'R&amp;B Inputs'!$I$4:$V$4,0))*(1+INDEX('R&amp;B Inputs'!$I$48:$V$48,MATCH($B38,'R&amp;B Inputs'!$I$4:$V$4,0)))^(BD$7-Year1))</f>
        <v>0.55689999999999995</v>
      </c>
      <c r="BE38" s="508">
        <f>IF(BE$8=0,0,INDEX('R&amp;B Inputs'!$I$78:$V$78,MATCH($B38,'R&amp;B Inputs'!$I$4:$V$4,0))*(1+INDEX('R&amp;B Inputs'!$I$48:$V$48,MATCH($B38,'R&amp;B Inputs'!$I$4:$V$4,0)))^(BE$7-Year1))</f>
        <v>0.55689999999999995</v>
      </c>
      <c r="BF38" s="508">
        <f>IF(BF$8=0,0,INDEX('R&amp;B Inputs'!$I$78:$V$78,MATCH($B38,'R&amp;B Inputs'!$I$4:$V$4,0))*(1+INDEX('R&amp;B Inputs'!$I$48:$V$48,MATCH($B38,'R&amp;B Inputs'!$I$4:$V$4,0)))^(BF$7-Year1))</f>
        <v>0.55689999999999995</v>
      </c>
      <c r="BG38" s="508">
        <f>IF(BG$8=0,0,INDEX('R&amp;B Inputs'!$I$78:$V$78,MATCH($B38,'R&amp;B Inputs'!$I$4:$V$4,0))*(1+INDEX('R&amp;B Inputs'!$I$48:$V$48,MATCH($B38,'R&amp;B Inputs'!$I$4:$V$4,0)))^(BG$7-Year1))</f>
        <v>0.55689999999999995</v>
      </c>
      <c r="BH38" s="508">
        <f>IF(BH$8=0,0,INDEX('R&amp;B Inputs'!$I$78:$V$78,MATCH($B38,'R&amp;B Inputs'!$I$4:$V$4,0))*(1+INDEX('R&amp;B Inputs'!$I$48:$V$48,MATCH($B38,'R&amp;B Inputs'!$I$4:$V$4,0)))^(BH$7-Year1))</f>
        <v>0.55689999999999995</v>
      </c>
      <c r="BI38" s="508">
        <f>IF(BI$8=0,0,INDEX('R&amp;B Inputs'!$I$78:$V$78,MATCH($B38,'R&amp;B Inputs'!$I$4:$V$4,0))*(1+INDEX('R&amp;B Inputs'!$I$48:$V$48,MATCH($B38,'R&amp;B Inputs'!$I$4:$V$4,0)))^(BI$7-Year1))</f>
        <v>0.55689999999999995</v>
      </c>
      <c r="BJ38" s="508">
        <f>IF(BJ$8=0,0,INDEX('R&amp;B Inputs'!$I$78:$V$78,MATCH($B38,'R&amp;B Inputs'!$I$4:$V$4,0))*(1+INDEX('R&amp;B Inputs'!$I$48:$V$48,MATCH($B38,'R&amp;B Inputs'!$I$4:$V$4,0)))^(BJ$7-Year1))</f>
        <v>0.55689999999999995</v>
      </c>
      <c r="BK38" s="508">
        <f>IF(BK$8=0,0,INDEX('R&amp;B Inputs'!$I$78:$V$78,MATCH($B38,'R&amp;B Inputs'!$I$4:$V$4,0))*(1+INDEX('R&amp;B Inputs'!$I$48:$V$48,MATCH($B38,'R&amp;B Inputs'!$I$4:$V$4,0)))^(BK$7-Year1))</f>
        <v>0.55689999999999995</v>
      </c>
      <c r="BL38" s="508">
        <f>IF(BL$8=0,0,INDEX('R&amp;B Inputs'!$I$78:$V$78,MATCH($B38,'R&amp;B Inputs'!$I$4:$V$4,0))*(1+INDEX('R&amp;B Inputs'!$I$48:$V$48,MATCH($B38,'R&amp;B Inputs'!$I$4:$V$4,0)))^(BL$7-Year1))</f>
        <v>0.55689999999999995</v>
      </c>
      <c r="BM38" s="508">
        <f>IF(BM$8=0,0,INDEX('R&amp;B Inputs'!$I$78:$V$78,MATCH($B38,'R&amp;B Inputs'!$I$4:$V$4,0))*(1+INDEX('R&amp;B Inputs'!$I$48:$V$48,MATCH($B38,'R&amp;B Inputs'!$I$4:$V$4,0)))^(BM$7-Year1))</f>
        <v>0.55689999999999995</v>
      </c>
      <c r="BN38" s="508"/>
      <c r="BO38" s="508"/>
      <c r="BP38" s="508">
        <f>IF($C$4=Year1,-PMT(Lookups!$E$17,25,NPV(Lookups!$E$17,AM38:BK38),0,1),IF($C$4=Year2,-PMT(Lookups!$F$17,25,NPV(Lookups!$F$17,AN38:BL38),0,1),IF($C$4=Year3,-PMT(Lookups!$G$17,25,NPV(Lookups!$G$17,AO38:BM38),0,1),-PMT(Lookups!$G$17,27,NPV(Lookups!$G$17,AM38:BM38),0,1))))</f>
        <v>0.5491330653753026</v>
      </c>
      <c r="BS38" s="76" t="str">
        <f t="shared" ref="BS38:BS40" si="20">E38&amp;" charge from the R&amp;B Inputs tab, escalated annually by the growth rate included on the R&amp;B Inputs tab."</f>
        <v>Distribution charge from the R&amp;B Inputs tab, escalated annually by the growth rate included on the R&amp;B Inputs tab.</v>
      </c>
      <c r="BT38" s="51" t="s">
        <v>17</v>
      </c>
    </row>
    <row r="39" spans="1:72" x14ac:dyDescent="0.25">
      <c r="B39" s="243" t="str">
        <f t="shared" si="13"/>
        <v>Residential</v>
      </c>
      <c r="C39" s="243" t="str">
        <f t="shared" si="13"/>
        <v>Rates</v>
      </c>
      <c r="D39" s="244" t="str">
        <f>D38</f>
        <v>Rates before DSM (No EE Scenario)</v>
      </c>
      <c r="E39" s="84" t="s">
        <v>407</v>
      </c>
      <c r="F39" s="84" t="s">
        <v>182</v>
      </c>
      <c r="G39" s="506">
        <f>IF(G$8=0,0,INDEX('R&amp;B Inputs'!$I$82:$V$82,MATCH($B39,'R&amp;B Inputs'!$I$4:$V$4,0))*(1+INDEX('R&amp;B Inputs'!$I$62:$V$62,MATCH($B39,'R&amp;B Inputs'!$I$4:$V$4,0)))^(G$7-Year1))</f>
        <v>0</v>
      </c>
      <c r="H39" s="506">
        <f>IF(H$8=0,0,INDEX('R&amp;B Inputs'!$I$82:$V$82,MATCH($B39,'R&amp;B Inputs'!$I$4:$V$4,0))*(1+INDEX('R&amp;B Inputs'!$I$62:$V$62,MATCH($B39,'R&amp;B Inputs'!$I$4:$V$4,0)))^(H$7-Year1))</f>
        <v>0</v>
      </c>
      <c r="I39" s="506">
        <f>IF(I$8=0,0,INDEX('R&amp;B Inputs'!$I$82:$V$82,MATCH($B39,'R&amp;B Inputs'!$I$4:$V$4,0))*(1+INDEX('R&amp;B Inputs'!$I$62:$V$62,MATCH($B39,'R&amp;B Inputs'!$I$4:$V$4,0)))^(I$7-Year1))</f>
        <v>-3.3000000000000002E-2</v>
      </c>
      <c r="J39" s="506">
        <f>IF(J$8=0,0,INDEX('R&amp;B Inputs'!$I$82:$V$82,MATCH($B39,'R&amp;B Inputs'!$I$4:$V$4,0))*(1+INDEX('R&amp;B Inputs'!$I$62:$V$62,MATCH($B39,'R&amp;B Inputs'!$I$4:$V$4,0)))^(J$7-Year1))</f>
        <v>-3.3000000000000002E-2</v>
      </c>
      <c r="K39" s="506">
        <f>IF(K$8=0,0,INDEX('R&amp;B Inputs'!$I$82:$V$82,MATCH($B39,'R&amp;B Inputs'!$I$4:$V$4,0))*(1+INDEX('R&amp;B Inputs'!$I$62:$V$62,MATCH($B39,'R&amp;B Inputs'!$I$4:$V$4,0)))^(K$7-Year1))</f>
        <v>-3.3000000000000002E-2</v>
      </c>
      <c r="L39" s="506">
        <f>IF(L$8=0,0,INDEX('R&amp;B Inputs'!$I$82:$V$82,MATCH($B39,'R&amp;B Inputs'!$I$4:$V$4,0))*(1+INDEX('R&amp;B Inputs'!$I$62:$V$62,MATCH($B39,'R&amp;B Inputs'!$I$4:$V$4,0)))^(L$7-Year1))</f>
        <v>-3.3000000000000002E-2</v>
      </c>
      <c r="M39" s="506">
        <f>IF(M$8=0,0,INDEX('R&amp;B Inputs'!$I$82:$V$82,MATCH($B39,'R&amp;B Inputs'!$I$4:$V$4,0))*(1+INDEX('R&amp;B Inputs'!$I$62:$V$62,MATCH($B39,'R&amp;B Inputs'!$I$4:$V$4,0)))^(M$7-Year1))</f>
        <v>-3.3000000000000002E-2</v>
      </c>
      <c r="N39" s="506">
        <f>IF(N$8=0,0,INDEX('R&amp;B Inputs'!$I$82:$V$82,MATCH($B39,'R&amp;B Inputs'!$I$4:$V$4,0))*(1+INDEX('R&amp;B Inputs'!$I$62:$V$62,MATCH($B39,'R&amp;B Inputs'!$I$4:$V$4,0)))^(N$7-Year1))</f>
        <v>-3.3000000000000002E-2</v>
      </c>
      <c r="O39" s="506">
        <f>IF(O$8=0,0,INDEX('R&amp;B Inputs'!$I$82:$V$82,MATCH($B39,'R&amp;B Inputs'!$I$4:$V$4,0))*(1+INDEX('R&amp;B Inputs'!$I$62:$V$62,MATCH($B39,'R&amp;B Inputs'!$I$4:$V$4,0)))^(O$7-Year1))</f>
        <v>-3.3000000000000002E-2</v>
      </c>
      <c r="P39" s="506">
        <f>IF(P$8=0,0,INDEX('R&amp;B Inputs'!$I$82:$V$82,MATCH($B39,'R&amp;B Inputs'!$I$4:$V$4,0))*(1+INDEX('R&amp;B Inputs'!$I$62:$V$62,MATCH($B39,'R&amp;B Inputs'!$I$4:$V$4,0)))^(P$7-Year1))</f>
        <v>-3.3000000000000002E-2</v>
      </c>
      <c r="Q39" s="506">
        <f>IF(Q$8=0,0,INDEX('R&amp;B Inputs'!$I$82:$V$82,MATCH($B39,'R&amp;B Inputs'!$I$4:$V$4,0))*(1+INDEX('R&amp;B Inputs'!$I$62:$V$62,MATCH($B39,'R&amp;B Inputs'!$I$4:$V$4,0)))^(Q$7-Year1))</f>
        <v>-3.3000000000000002E-2</v>
      </c>
      <c r="R39" s="506">
        <f>IF(R$8=0,0,INDEX('R&amp;B Inputs'!$I$82:$V$82,MATCH($B39,'R&amp;B Inputs'!$I$4:$V$4,0))*(1+INDEX('R&amp;B Inputs'!$I$62:$V$62,MATCH($B39,'R&amp;B Inputs'!$I$4:$V$4,0)))^(R$7-Year1))</f>
        <v>-3.3000000000000002E-2</v>
      </c>
      <c r="S39" s="506">
        <f>IF(S$8=0,0,INDEX('R&amp;B Inputs'!$I$82:$V$82,MATCH($B39,'R&amp;B Inputs'!$I$4:$V$4,0))*(1+INDEX('R&amp;B Inputs'!$I$62:$V$62,MATCH($B39,'R&amp;B Inputs'!$I$4:$V$4,0)))^(S$7-Year1))</f>
        <v>-3.3000000000000002E-2</v>
      </c>
      <c r="T39" s="506">
        <f>IF(T$8=0,0,INDEX('R&amp;B Inputs'!$I$82:$V$82,MATCH($B39,'R&amp;B Inputs'!$I$4:$V$4,0))*(1+INDEX('R&amp;B Inputs'!$I$62:$V$62,MATCH($B39,'R&amp;B Inputs'!$I$4:$V$4,0)))^(T$7-Year1))</f>
        <v>-3.3000000000000002E-2</v>
      </c>
      <c r="U39" s="506">
        <f>IF(U$8=0,0,INDEX('R&amp;B Inputs'!$I$82:$V$82,MATCH($B39,'R&amp;B Inputs'!$I$4:$V$4,0))*(1+INDEX('R&amp;B Inputs'!$I$62:$V$62,MATCH($B39,'R&amp;B Inputs'!$I$4:$V$4,0)))^(U$7-Year1))</f>
        <v>-3.3000000000000002E-2</v>
      </c>
      <c r="V39" s="506">
        <f>IF(V$8=0,0,INDEX('R&amp;B Inputs'!$I$82:$V$82,MATCH($B39,'R&amp;B Inputs'!$I$4:$V$4,0))*(1+INDEX('R&amp;B Inputs'!$I$62:$V$62,MATCH($B39,'R&amp;B Inputs'!$I$4:$V$4,0)))^(V$7-Year1))</f>
        <v>-3.3000000000000002E-2</v>
      </c>
      <c r="W39" s="506">
        <f>IF(W$8=0,0,INDEX('R&amp;B Inputs'!$I$82:$V$82,MATCH($B39,'R&amp;B Inputs'!$I$4:$V$4,0))*(1+INDEX('R&amp;B Inputs'!$I$62:$V$62,MATCH($B39,'R&amp;B Inputs'!$I$4:$V$4,0)))^(W$7-Year1))</f>
        <v>-3.3000000000000002E-2</v>
      </c>
      <c r="X39" s="506">
        <f>IF(X$8=0,0,INDEX('R&amp;B Inputs'!$I$82:$V$82,MATCH($B39,'R&amp;B Inputs'!$I$4:$V$4,0))*(1+INDEX('R&amp;B Inputs'!$I$62:$V$62,MATCH($B39,'R&amp;B Inputs'!$I$4:$V$4,0)))^(X$7-Year1))</f>
        <v>-3.3000000000000002E-2</v>
      </c>
      <c r="Y39" s="506">
        <f>IF(Y$8=0,0,INDEX('R&amp;B Inputs'!$I$82:$V$82,MATCH($B39,'R&amp;B Inputs'!$I$4:$V$4,0))*(1+INDEX('R&amp;B Inputs'!$I$62:$V$62,MATCH($B39,'R&amp;B Inputs'!$I$4:$V$4,0)))^(Y$7-Year1))</f>
        <v>-3.3000000000000002E-2</v>
      </c>
      <c r="Z39" s="506">
        <f>IF(Z$8=0,0,INDEX('R&amp;B Inputs'!$I$82:$V$82,MATCH($B39,'R&amp;B Inputs'!$I$4:$V$4,0))*(1+INDEX('R&amp;B Inputs'!$I$62:$V$62,MATCH($B39,'R&amp;B Inputs'!$I$4:$V$4,0)))^(Z$7-Year1))</f>
        <v>-3.3000000000000002E-2</v>
      </c>
      <c r="AA39" s="506">
        <f>IF(AA$8=0,0,INDEX('R&amp;B Inputs'!$I$82:$V$82,MATCH($B39,'R&amp;B Inputs'!$I$4:$V$4,0))*(1+INDEX('R&amp;B Inputs'!$I$62:$V$62,MATCH($B39,'R&amp;B Inputs'!$I$4:$V$4,0)))^(AA$7-Year1))</f>
        <v>-3.3000000000000002E-2</v>
      </c>
      <c r="AB39" s="506">
        <f>IF(AB$8=0,0,INDEX('R&amp;B Inputs'!$I$82:$V$82,MATCH($B39,'R&amp;B Inputs'!$I$4:$V$4,0))*(1+INDEX('R&amp;B Inputs'!$I$62:$V$62,MATCH($B39,'R&amp;B Inputs'!$I$4:$V$4,0)))^(AB$7-Year1))</f>
        <v>-3.3000000000000002E-2</v>
      </c>
      <c r="AC39" s="506">
        <f>IF(AC$8=0,0,INDEX('R&amp;B Inputs'!$I$82:$V$82,MATCH($B39,'R&amp;B Inputs'!$I$4:$V$4,0))*(1+INDEX('R&amp;B Inputs'!$I$62:$V$62,MATCH($B39,'R&amp;B Inputs'!$I$4:$V$4,0)))^(AC$7-Year1))</f>
        <v>-3.3000000000000002E-2</v>
      </c>
      <c r="AD39" s="506">
        <f>IF(AD$8=0,0,INDEX('R&amp;B Inputs'!$I$82:$V$82,MATCH($B39,'R&amp;B Inputs'!$I$4:$V$4,0))*(1+INDEX('R&amp;B Inputs'!$I$62:$V$62,MATCH($B39,'R&amp;B Inputs'!$I$4:$V$4,0)))^(AD$7-Year1))</f>
        <v>-3.3000000000000002E-2</v>
      </c>
      <c r="AE39" s="506">
        <f>IF(AE$8=0,0,INDEX('R&amp;B Inputs'!$I$82:$V$82,MATCH($B39,'R&amp;B Inputs'!$I$4:$V$4,0))*(1+INDEX('R&amp;B Inputs'!$I$62:$V$62,MATCH($B39,'R&amp;B Inputs'!$I$4:$V$4,0)))^(AE$7-Year1))</f>
        <v>-3.3000000000000002E-2</v>
      </c>
      <c r="AF39" s="506">
        <f>IF(AF$8=0,0,INDEX('R&amp;B Inputs'!$I$82:$V$82,MATCH($B39,'R&amp;B Inputs'!$I$4:$V$4,0))*(1+INDEX('R&amp;B Inputs'!$I$62:$V$62,MATCH($B39,'R&amp;B Inputs'!$I$4:$V$4,0)))^(AF$7-Year1))</f>
        <v>-3.3000000000000002E-2</v>
      </c>
      <c r="AG39" s="506">
        <f>IF(AG$8=0,0,INDEX('R&amp;B Inputs'!$I$82:$V$82,MATCH($B39,'R&amp;B Inputs'!$I$4:$V$4,0))*(1+INDEX('R&amp;B Inputs'!$I$62:$V$62,MATCH($B39,'R&amp;B Inputs'!$I$4:$V$4,0)))^(AG$7-Year1))</f>
        <v>-3.3000000000000002E-2</v>
      </c>
      <c r="AH39" s="506"/>
      <c r="AI39" s="506"/>
      <c r="AJ39" s="506">
        <f>IF($C$4=Year1,-PMT(Lookups!$E$17,25,NPV(Lookups!$E$17,G39:AE39),0,1),IF($C$4=Year2,-PMT(Lookups!$F$17,25,NPV(Lookups!$F$17,H39:AF39),0,1),IF($C$4=Year3,-PMT(Lookups!$G$17,25,NPV(Lookups!$G$17,I39:AG39),0,1),-PMT(Lookups!$G$17,27,NPV(Lookups!$G$17,G39:AG39),0,1))))</f>
        <v>-3.2539757869249397E-2</v>
      </c>
      <c r="AK39" s="507"/>
      <c r="AL39" s="507"/>
      <c r="AM39" s="508">
        <f>IF(AM$8=0,0,INDEX('R&amp;B Inputs'!$I$82:$V$82,MATCH($B39,'R&amp;B Inputs'!$I$4:$V$4,0))*(1+INDEX('R&amp;B Inputs'!$I$62:$V$62,MATCH($B39,'R&amp;B Inputs'!$I$4:$V$4,0)))^(AM$7-Year1))</f>
        <v>0</v>
      </c>
      <c r="AN39" s="508">
        <f>IF(AN$8=0,0,INDEX('R&amp;B Inputs'!$I$82:$V$82,MATCH($B39,'R&amp;B Inputs'!$I$4:$V$4,0))*(1+INDEX('R&amp;B Inputs'!$I$62:$V$62,MATCH($B39,'R&amp;B Inputs'!$I$4:$V$4,0)))^(AN$7-Year1))</f>
        <v>0</v>
      </c>
      <c r="AO39" s="508">
        <f>IF(AO$8=0,0,INDEX('R&amp;B Inputs'!$I$82:$V$82,MATCH($B39,'R&amp;B Inputs'!$I$4:$V$4,0))*(1+INDEX('R&amp;B Inputs'!$I$62:$V$62,MATCH($B39,'R&amp;B Inputs'!$I$4:$V$4,0)))^(AO$7-Year1))</f>
        <v>-3.3000000000000002E-2</v>
      </c>
      <c r="AP39" s="508">
        <f>IF(AP$8=0,0,INDEX('R&amp;B Inputs'!$I$82:$V$82,MATCH($B39,'R&amp;B Inputs'!$I$4:$V$4,0))*(1+INDEX('R&amp;B Inputs'!$I$62:$V$62,MATCH($B39,'R&amp;B Inputs'!$I$4:$V$4,0)))^(AP$7-Year1))</f>
        <v>-3.3000000000000002E-2</v>
      </c>
      <c r="AQ39" s="508">
        <f>IF(AQ$8=0,0,INDEX('R&amp;B Inputs'!$I$82:$V$82,MATCH($B39,'R&amp;B Inputs'!$I$4:$V$4,0))*(1+INDEX('R&amp;B Inputs'!$I$62:$V$62,MATCH($B39,'R&amp;B Inputs'!$I$4:$V$4,0)))^(AQ$7-Year1))</f>
        <v>-3.3000000000000002E-2</v>
      </c>
      <c r="AR39" s="508">
        <f>IF(AR$8=0,0,INDEX('R&amp;B Inputs'!$I$82:$V$82,MATCH($B39,'R&amp;B Inputs'!$I$4:$V$4,0))*(1+INDEX('R&amp;B Inputs'!$I$62:$V$62,MATCH($B39,'R&amp;B Inputs'!$I$4:$V$4,0)))^(AR$7-Year1))</f>
        <v>-3.3000000000000002E-2</v>
      </c>
      <c r="AS39" s="508">
        <f>IF(AS$8=0,0,INDEX('R&amp;B Inputs'!$I$82:$V$82,MATCH($B39,'R&amp;B Inputs'!$I$4:$V$4,0))*(1+INDEX('R&amp;B Inputs'!$I$62:$V$62,MATCH($B39,'R&amp;B Inputs'!$I$4:$V$4,0)))^(AS$7-Year1))</f>
        <v>-3.3000000000000002E-2</v>
      </c>
      <c r="AT39" s="508">
        <f>IF(AT$8=0,0,INDEX('R&amp;B Inputs'!$I$82:$V$82,MATCH($B39,'R&amp;B Inputs'!$I$4:$V$4,0))*(1+INDEX('R&amp;B Inputs'!$I$62:$V$62,MATCH($B39,'R&amp;B Inputs'!$I$4:$V$4,0)))^(AT$7-Year1))</f>
        <v>-3.3000000000000002E-2</v>
      </c>
      <c r="AU39" s="508">
        <f>IF(AU$8=0,0,INDEX('R&amp;B Inputs'!$I$82:$V$82,MATCH($B39,'R&amp;B Inputs'!$I$4:$V$4,0))*(1+INDEX('R&amp;B Inputs'!$I$62:$V$62,MATCH($B39,'R&amp;B Inputs'!$I$4:$V$4,0)))^(AU$7-Year1))</f>
        <v>-3.3000000000000002E-2</v>
      </c>
      <c r="AV39" s="508">
        <f>IF(AV$8=0,0,INDEX('R&amp;B Inputs'!$I$82:$V$82,MATCH($B39,'R&amp;B Inputs'!$I$4:$V$4,0))*(1+INDEX('R&amp;B Inputs'!$I$62:$V$62,MATCH($B39,'R&amp;B Inputs'!$I$4:$V$4,0)))^(AV$7-Year1))</f>
        <v>-3.3000000000000002E-2</v>
      </c>
      <c r="AW39" s="508">
        <f>IF(AW$8=0,0,INDEX('R&amp;B Inputs'!$I$82:$V$82,MATCH($B39,'R&amp;B Inputs'!$I$4:$V$4,0))*(1+INDEX('R&amp;B Inputs'!$I$62:$V$62,MATCH($B39,'R&amp;B Inputs'!$I$4:$V$4,0)))^(AW$7-Year1))</f>
        <v>-3.3000000000000002E-2</v>
      </c>
      <c r="AX39" s="508">
        <f>IF(AX$8=0,0,INDEX('R&amp;B Inputs'!$I$82:$V$82,MATCH($B39,'R&amp;B Inputs'!$I$4:$V$4,0))*(1+INDEX('R&amp;B Inputs'!$I$62:$V$62,MATCH($B39,'R&amp;B Inputs'!$I$4:$V$4,0)))^(AX$7-Year1))</f>
        <v>-3.3000000000000002E-2</v>
      </c>
      <c r="AY39" s="508">
        <f>IF(AY$8=0,0,INDEX('R&amp;B Inputs'!$I$82:$V$82,MATCH($B39,'R&amp;B Inputs'!$I$4:$V$4,0))*(1+INDEX('R&amp;B Inputs'!$I$62:$V$62,MATCH($B39,'R&amp;B Inputs'!$I$4:$V$4,0)))^(AY$7-Year1))</f>
        <v>-3.3000000000000002E-2</v>
      </c>
      <c r="AZ39" s="508">
        <f>IF(AZ$8=0,0,INDEX('R&amp;B Inputs'!$I$82:$V$82,MATCH($B39,'R&amp;B Inputs'!$I$4:$V$4,0))*(1+INDEX('R&amp;B Inputs'!$I$62:$V$62,MATCH($B39,'R&amp;B Inputs'!$I$4:$V$4,0)))^(AZ$7-Year1))</f>
        <v>-3.3000000000000002E-2</v>
      </c>
      <c r="BA39" s="508">
        <f>IF(BA$8=0,0,INDEX('R&amp;B Inputs'!$I$82:$V$82,MATCH($B39,'R&amp;B Inputs'!$I$4:$V$4,0))*(1+INDEX('R&amp;B Inputs'!$I$62:$V$62,MATCH($B39,'R&amp;B Inputs'!$I$4:$V$4,0)))^(BA$7-Year1))</f>
        <v>-3.3000000000000002E-2</v>
      </c>
      <c r="BB39" s="508">
        <f>IF(BB$8=0,0,INDEX('R&amp;B Inputs'!$I$82:$V$82,MATCH($B39,'R&amp;B Inputs'!$I$4:$V$4,0))*(1+INDEX('R&amp;B Inputs'!$I$62:$V$62,MATCH($B39,'R&amp;B Inputs'!$I$4:$V$4,0)))^(BB$7-Year1))</f>
        <v>-3.3000000000000002E-2</v>
      </c>
      <c r="BC39" s="508">
        <f>IF(BC$8=0,0,INDEX('R&amp;B Inputs'!$I$82:$V$82,MATCH($B39,'R&amp;B Inputs'!$I$4:$V$4,0))*(1+INDEX('R&amp;B Inputs'!$I$62:$V$62,MATCH($B39,'R&amp;B Inputs'!$I$4:$V$4,0)))^(BC$7-Year1))</f>
        <v>-3.3000000000000002E-2</v>
      </c>
      <c r="BD39" s="508">
        <f>IF(BD$8=0,0,INDEX('R&amp;B Inputs'!$I$82:$V$82,MATCH($B39,'R&amp;B Inputs'!$I$4:$V$4,0))*(1+INDEX('R&amp;B Inputs'!$I$62:$V$62,MATCH($B39,'R&amp;B Inputs'!$I$4:$V$4,0)))^(BD$7-Year1))</f>
        <v>-3.3000000000000002E-2</v>
      </c>
      <c r="BE39" s="508">
        <f>IF(BE$8=0,0,INDEX('R&amp;B Inputs'!$I$82:$V$82,MATCH($B39,'R&amp;B Inputs'!$I$4:$V$4,0))*(1+INDEX('R&amp;B Inputs'!$I$62:$V$62,MATCH($B39,'R&amp;B Inputs'!$I$4:$V$4,0)))^(BE$7-Year1))</f>
        <v>-3.3000000000000002E-2</v>
      </c>
      <c r="BF39" s="508">
        <f>IF(BF$8=0,0,INDEX('R&amp;B Inputs'!$I$82:$V$82,MATCH($B39,'R&amp;B Inputs'!$I$4:$V$4,0))*(1+INDEX('R&amp;B Inputs'!$I$62:$V$62,MATCH($B39,'R&amp;B Inputs'!$I$4:$V$4,0)))^(BF$7-Year1))</f>
        <v>-3.3000000000000002E-2</v>
      </c>
      <c r="BG39" s="508">
        <f>IF(BG$8=0,0,INDEX('R&amp;B Inputs'!$I$82:$V$82,MATCH($B39,'R&amp;B Inputs'!$I$4:$V$4,0))*(1+INDEX('R&amp;B Inputs'!$I$62:$V$62,MATCH($B39,'R&amp;B Inputs'!$I$4:$V$4,0)))^(BG$7-Year1))</f>
        <v>-3.3000000000000002E-2</v>
      </c>
      <c r="BH39" s="508">
        <f>IF(BH$8=0,0,INDEX('R&amp;B Inputs'!$I$82:$V$82,MATCH($B39,'R&amp;B Inputs'!$I$4:$V$4,0))*(1+INDEX('R&amp;B Inputs'!$I$62:$V$62,MATCH($B39,'R&amp;B Inputs'!$I$4:$V$4,0)))^(BH$7-Year1))</f>
        <v>-3.3000000000000002E-2</v>
      </c>
      <c r="BI39" s="508">
        <f>IF(BI$8=0,0,INDEX('R&amp;B Inputs'!$I$82:$V$82,MATCH($B39,'R&amp;B Inputs'!$I$4:$V$4,0))*(1+INDEX('R&amp;B Inputs'!$I$62:$V$62,MATCH($B39,'R&amp;B Inputs'!$I$4:$V$4,0)))^(BI$7-Year1))</f>
        <v>-3.3000000000000002E-2</v>
      </c>
      <c r="BJ39" s="508">
        <f>IF(BJ$8=0,0,INDEX('R&amp;B Inputs'!$I$82:$V$82,MATCH($B39,'R&amp;B Inputs'!$I$4:$V$4,0))*(1+INDEX('R&amp;B Inputs'!$I$62:$V$62,MATCH($B39,'R&amp;B Inputs'!$I$4:$V$4,0)))^(BJ$7-Year1))</f>
        <v>-3.3000000000000002E-2</v>
      </c>
      <c r="BK39" s="508">
        <f>IF(BK$8=0,0,INDEX('R&amp;B Inputs'!$I$82:$V$82,MATCH($B39,'R&amp;B Inputs'!$I$4:$V$4,0))*(1+INDEX('R&amp;B Inputs'!$I$62:$V$62,MATCH($B39,'R&amp;B Inputs'!$I$4:$V$4,0)))^(BK$7-Year1))</f>
        <v>-3.3000000000000002E-2</v>
      </c>
      <c r="BL39" s="508">
        <f>IF(BL$8=0,0,INDEX('R&amp;B Inputs'!$I$82:$V$82,MATCH($B39,'R&amp;B Inputs'!$I$4:$V$4,0))*(1+INDEX('R&amp;B Inputs'!$I$62:$V$62,MATCH($B39,'R&amp;B Inputs'!$I$4:$V$4,0)))^(BL$7-Year1))</f>
        <v>-3.3000000000000002E-2</v>
      </c>
      <c r="BM39" s="508">
        <f>IF(BM$8=0,0,INDEX('R&amp;B Inputs'!$I$82:$V$82,MATCH($B39,'R&amp;B Inputs'!$I$4:$V$4,0))*(1+INDEX('R&amp;B Inputs'!$I$62:$V$62,MATCH($B39,'R&amp;B Inputs'!$I$4:$V$4,0)))^(BM$7-Year1))</f>
        <v>-3.3000000000000002E-2</v>
      </c>
      <c r="BN39" s="508"/>
      <c r="BO39" s="508"/>
      <c r="BP39" s="508">
        <f>IF($C$4=Year1,-PMT(Lookups!$E$17,25,NPV(Lookups!$E$17,AM39:BK39),0,1),IF($C$4=Year2,-PMT(Lookups!$F$17,25,NPV(Lookups!$F$17,AN39:BL39),0,1),IF($C$4=Year3,-PMT(Lookups!$G$17,25,NPV(Lookups!$G$17,AO39:BM39),0,1),-PMT(Lookups!$G$17,27,NPV(Lookups!$G$17,AM39:BM39),0,1))))</f>
        <v>-3.2539757869249397E-2</v>
      </c>
      <c r="BS39" s="76" t="str">
        <f t="shared" si="20"/>
        <v>LDAC, Non-EE charge from the R&amp;B Inputs tab, escalated annually by the growth rate included on the R&amp;B Inputs tab.</v>
      </c>
      <c r="BT39" s="51" t="s">
        <v>17</v>
      </c>
    </row>
    <row r="40" spans="1:72" x14ac:dyDescent="0.25">
      <c r="B40" s="243" t="str">
        <f>B38</f>
        <v>Residential</v>
      </c>
      <c r="C40" s="243" t="str">
        <f>C38</f>
        <v>Rates</v>
      </c>
      <c r="D40" s="244" t="str">
        <f>D38</f>
        <v>Rates before DSM (No EE Scenario)</v>
      </c>
      <c r="E40" s="84" t="s">
        <v>197</v>
      </c>
      <c r="F40" s="84" t="s">
        <v>182</v>
      </c>
      <c r="G40" s="506">
        <f>IF(G$8=0,0,INDEX('R&amp;B Inputs'!$I$86:$V$86,MATCH($B40,'R&amp;B Inputs'!$I$4:$V$4,0))*(1+INDEX('R&amp;B Inputs'!$I$66:$V$66,MATCH($B40,'R&amp;B Inputs'!$I$4:$V$4,0)))^(G$7-Year1))</f>
        <v>0</v>
      </c>
      <c r="H40" s="506">
        <f>IF(H$8=0,0,INDEX('R&amp;B Inputs'!$I$86:$V$86,MATCH($B40,'R&amp;B Inputs'!$I$4:$V$4,0))*(1+INDEX('R&amp;B Inputs'!$I$66:$V$66,MATCH($B40,'R&amp;B Inputs'!$I$4:$V$4,0)))^(H$7-Year1))</f>
        <v>0</v>
      </c>
      <c r="I40" s="506">
        <f>IF(I$8=0,0,INDEX('R&amp;B Inputs'!$I$86:$V$86,MATCH($B40,'R&amp;B Inputs'!$I$4:$V$4,0))*(1+INDEX('R&amp;B Inputs'!$I$66:$V$66,MATCH($B40,'R&amp;B Inputs'!$I$4:$V$4,0)))^(I$7-Year1))</f>
        <v>0.62029999999999996</v>
      </c>
      <c r="J40" s="506">
        <f>IF(J$8=0,0,INDEX('R&amp;B Inputs'!$I$86:$V$86,MATCH($B40,'R&amp;B Inputs'!$I$4:$V$4,0))*(1+INDEX('R&amp;B Inputs'!$I$66:$V$66,MATCH($B40,'R&amp;B Inputs'!$I$4:$V$4,0)))^(J$7-Year1))</f>
        <v>0.62029999999999996</v>
      </c>
      <c r="K40" s="506">
        <f>IF(K$8=0,0,INDEX('R&amp;B Inputs'!$I$86:$V$86,MATCH($B40,'R&amp;B Inputs'!$I$4:$V$4,0))*(1+INDEX('R&amp;B Inputs'!$I$66:$V$66,MATCH($B40,'R&amp;B Inputs'!$I$4:$V$4,0)))^(K$7-Year1))</f>
        <v>0.62029999999999996</v>
      </c>
      <c r="L40" s="506">
        <f>IF(L$8=0,0,INDEX('R&amp;B Inputs'!$I$86:$V$86,MATCH($B40,'R&amp;B Inputs'!$I$4:$V$4,0))*(1+INDEX('R&amp;B Inputs'!$I$66:$V$66,MATCH($B40,'R&amp;B Inputs'!$I$4:$V$4,0)))^(L$7-Year1))</f>
        <v>0.62029999999999996</v>
      </c>
      <c r="M40" s="506">
        <f>IF(M$8=0,0,INDEX('R&amp;B Inputs'!$I$86:$V$86,MATCH($B40,'R&amp;B Inputs'!$I$4:$V$4,0))*(1+INDEX('R&amp;B Inputs'!$I$66:$V$66,MATCH($B40,'R&amp;B Inputs'!$I$4:$V$4,0)))^(M$7-Year1))</f>
        <v>0.62029999999999996</v>
      </c>
      <c r="N40" s="506">
        <f>IF(N$8=0,0,INDEX('R&amp;B Inputs'!$I$86:$V$86,MATCH($B40,'R&amp;B Inputs'!$I$4:$V$4,0))*(1+INDEX('R&amp;B Inputs'!$I$66:$V$66,MATCH($B40,'R&amp;B Inputs'!$I$4:$V$4,0)))^(N$7-Year1))</f>
        <v>0.62029999999999996</v>
      </c>
      <c r="O40" s="506">
        <f>IF(O$8=0,0,INDEX('R&amp;B Inputs'!$I$86:$V$86,MATCH($B40,'R&amp;B Inputs'!$I$4:$V$4,0))*(1+INDEX('R&amp;B Inputs'!$I$66:$V$66,MATCH($B40,'R&amp;B Inputs'!$I$4:$V$4,0)))^(O$7-Year1))</f>
        <v>0.62029999999999996</v>
      </c>
      <c r="P40" s="506">
        <f>IF(P$8=0,0,INDEX('R&amp;B Inputs'!$I$86:$V$86,MATCH($B40,'R&amp;B Inputs'!$I$4:$V$4,0))*(1+INDEX('R&amp;B Inputs'!$I$66:$V$66,MATCH($B40,'R&amp;B Inputs'!$I$4:$V$4,0)))^(P$7-Year1))</f>
        <v>0.62029999999999996</v>
      </c>
      <c r="Q40" s="506">
        <f>IF(Q$8=0,0,INDEX('R&amp;B Inputs'!$I$86:$V$86,MATCH($B40,'R&amp;B Inputs'!$I$4:$V$4,0))*(1+INDEX('R&amp;B Inputs'!$I$66:$V$66,MATCH($B40,'R&amp;B Inputs'!$I$4:$V$4,0)))^(Q$7-Year1))</f>
        <v>0.62029999999999996</v>
      </c>
      <c r="R40" s="506">
        <f>IF(R$8=0,0,INDEX('R&amp;B Inputs'!$I$86:$V$86,MATCH($B40,'R&amp;B Inputs'!$I$4:$V$4,0))*(1+INDEX('R&amp;B Inputs'!$I$66:$V$66,MATCH($B40,'R&amp;B Inputs'!$I$4:$V$4,0)))^(R$7-Year1))</f>
        <v>0.62029999999999996</v>
      </c>
      <c r="S40" s="506">
        <f>IF(S$8=0,0,INDEX('R&amp;B Inputs'!$I$86:$V$86,MATCH($B40,'R&amp;B Inputs'!$I$4:$V$4,0))*(1+INDEX('R&amp;B Inputs'!$I$66:$V$66,MATCH($B40,'R&amp;B Inputs'!$I$4:$V$4,0)))^(S$7-Year1))</f>
        <v>0.62029999999999996</v>
      </c>
      <c r="T40" s="506">
        <f>IF(T$8=0,0,INDEX('R&amp;B Inputs'!$I$86:$V$86,MATCH($B40,'R&amp;B Inputs'!$I$4:$V$4,0))*(1+INDEX('R&amp;B Inputs'!$I$66:$V$66,MATCH($B40,'R&amp;B Inputs'!$I$4:$V$4,0)))^(T$7-Year1))</f>
        <v>0.62029999999999996</v>
      </c>
      <c r="U40" s="506">
        <f>IF(U$8=0,0,INDEX('R&amp;B Inputs'!$I$86:$V$86,MATCH($B40,'R&amp;B Inputs'!$I$4:$V$4,0))*(1+INDEX('R&amp;B Inputs'!$I$66:$V$66,MATCH($B40,'R&amp;B Inputs'!$I$4:$V$4,0)))^(U$7-Year1))</f>
        <v>0.62029999999999996</v>
      </c>
      <c r="V40" s="506">
        <f>IF(V$8=0,0,INDEX('R&amp;B Inputs'!$I$86:$V$86,MATCH($B40,'R&amp;B Inputs'!$I$4:$V$4,0))*(1+INDEX('R&amp;B Inputs'!$I$66:$V$66,MATCH($B40,'R&amp;B Inputs'!$I$4:$V$4,0)))^(V$7-Year1))</f>
        <v>0.62029999999999996</v>
      </c>
      <c r="W40" s="506">
        <f>IF(W$8=0,0,INDEX('R&amp;B Inputs'!$I$86:$V$86,MATCH($B40,'R&amp;B Inputs'!$I$4:$V$4,0))*(1+INDEX('R&amp;B Inputs'!$I$66:$V$66,MATCH($B40,'R&amp;B Inputs'!$I$4:$V$4,0)))^(W$7-Year1))</f>
        <v>0.62029999999999996</v>
      </c>
      <c r="X40" s="506">
        <f>IF(X$8=0,0,INDEX('R&amp;B Inputs'!$I$86:$V$86,MATCH($B40,'R&amp;B Inputs'!$I$4:$V$4,0))*(1+INDEX('R&amp;B Inputs'!$I$66:$V$66,MATCH($B40,'R&amp;B Inputs'!$I$4:$V$4,0)))^(X$7-Year1))</f>
        <v>0.62029999999999996</v>
      </c>
      <c r="Y40" s="506">
        <f>IF(Y$8=0,0,INDEX('R&amp;B Inputs'!$I$86:$V$86,MATCH($B40,'R&amp;B Inputs'!$I$4:$V$4,0))*(1+INDEX('R&amp;B Inputs'!$I$66:$V$66,MATCH($B40,'R&amp;B Inputs'!$I$4:$V$4,0)))^(Y$7-Year1))</f>
        <v>0.62029999999999996</v>
      </c>
      <c r="Z40" s="506">
        <f>IF(Z$8=0,0,INDEX('R&amp;B Inputs'!$I$86:$V$86,MATCH($B40,'R&amp;B Inputs'!$I$4:$V$4,0))*(1+INDEX('R&amp;B Inputs'!$I$66:$V$66,MATCH($B40,'R&amp;B Inputs'!$I$4:$V$4,0)))^(Z$7-Year1))</f>
        <v>0.62029999999999996</v>
      </c>
      <c r="AA40" s="506">
        <f>IF(AA$8=0,0,INDEX('R&amp;B Inputs'!$I$86:$V$86,MATCH($B40,'R&amp;B Inputs'!$I$4:$V$4,0))*(1+INDEX('R&amp;B Inputs'!$I$66:$V$66,MATCH($B40,'R&amp;B Inputs'!$I$4:$V$4,0)))^(AA$7-Year1))</f>
        <v>0.62029999999999996</v>
      </c>
      <c r="AB40" s="506">
        <f>IF(AB$8=0,0,INDEX('R&amp;B Inputs'!$I$86:$V$86,MATCH($B40,'R&amp;B Inputs'!$I$4:$V$4,0))*(1+INDEX('R&amp;B Inputs'!$I$66:$V$66,MATCH($B40,'R&amp;B Inputs'!$I$4:$V$4,0)))^(AB$7-Year1))</f>
        <v>0.62029999999999996</v>
      </c>
      <c r="AC40" s="506">
        <f>IF(AC$8=0,0,INDEX('R&amp;B Inputs'!$I$86:$V$86,MATCH($B40,'R&amp;B Inputs'!$I$4:$V$4,0))*(1+INDEX('R&amp;B Inputs'!$I$66:$V$66,MATCH($B40,'R&amp;B Inputs'!$I$4:$V$4,0)))^(AC$7-Year1))</f>
        <v>0.62029999999999996</v>
      </c>
      <c r="AD40" s="506">
        <f>IF(AD$8=0,0,INDEX('R&amp;B Inputs'!$I$86:$V$86,MATCH($B40,'R&amp;B Inputs'!$I$4:$V$4,0))*(1+INDEX('R&amp;B Inputs'!$I$66:$V$66,MATCH($B40,'R&amp;B Inputs'!$I$4:$V$4,0)))^(AD$7-Year1))</f>
        <v>0.62029999999999996</v>
      </c>
      <c r="AE40" s="506">
        <f>IF(AE$8=0,0,INDEX('R&amp;B Inputs'!$I$86:$V$86,MATCH($B40,'R&amp;B Inputs'!$I$4:$V$4,0))*(1+INDEX('R&amp;B Inputs'!$I$66:$V$66,MATCH($B40,'R&amp;B Inputs'!$I$4:$V$4,0)))^(AE$7-Year1))</f>
        <v>0.62029999999999996</v>
      </c>
      <c r="AF40" s="506">
        <f>IF(AF$8=0,0,INDEX('R&amp;B Inputs'!$I$86:$V$86,MATCH($B40,'R&amp;B Inputs'!$I$4:$V$4,0))*(1+INDEX('R&amp;B Inputs'!$I$66:$V$66,MATCH($B40,'R&amp;B Inputs'!$I$4:$V$4,0)))^(AF$7-Year1))</f>
        <v>0.62029999999999996</v>
      </c>
      <c r="AG40" s="506">
        <f>IF(AG$8=0,0,INDEX('R&amp;B Inputs'!$I$86:$V$86,MATCH($B40,'R&amp;B Inputs'!$I$4:$V$4,0))*(1+INDEX('R&amp;B Inputs'!$I$66:$V$66,MATCH($B40,'R&amp;B Inputs'!$I$4:$V$4,0)))^(AG$7-Year1))</f>
        <v>0.62029999999999996</v>
      </c>
      <c r="AH40" s="506"/>
      <c r="AI40" s="506"/>
      <c r="AJ40" s="506">
        <f>IF($C$4=Year1,-PMT(Lookups!$E$17,25,NPV(Lookups!$E$17,G40:AE40),0,1),IF($C$4=Year2,-PMT(Lookups!$F$17,25,NPV(Lookups!$F$17,H40:AF40),0,1),IF($C$4=Year3,-PMT(Lookups!$G$17,25,NPV(Lookups!$G$17,I40:AG40),0,1),-PMT(Lookups!$G$17,27,NPV(Lookups!$G$17,G40:AG40),0,1))))</f>
        <v>0.61164884261501185</v>
      </c>
      <c r="AK40" s="507"/>
      <c r="AL40" s="507"/>
      <c r="AM40" s="508">
        <f>IF(AM$8=0,0,INDEX('R&amp;B Inputs'!$I$86:$V$86,MATCH($B40,'R&amp;B Inputs'!$I$4:$V$4,0))*(1+INDEX('R&amp;B Inputs'!$I$66:$V$66,MATCH($B40,'R&amp;B Inputs'!$I$4:$V$4,0)))^(AM$7-Year1))</f>
        <v>0</v>
      </c>
      <c r="AN40" s="508">
        <f>IF(AN$8=0,0,INDEX('R&amp;B Inputs'!$I$86:$V$86,MATCH($B40,'R&amp;B Inputs'!$I$4:$V$4,0))*(1+INDEX('R&amp;B Inputs'!$I$66:$V$66,MATCH($B40,'R&amp;B Inputs'!$I$4:$V$4,0)))^(AN$7-Year1))</f>
        <v>0</v>
      </c>
      <c r="AO40" s="508">
        <f>IF(AO$8=0,0,INDEX('R&amp;B Inputs'!$I$86:$V$86,MATCH($B40,'R&amp;B Inputs'!$I$4:$V$4,0))*(1+INDEX('R&amp;B Inputs'!$I$66:$V$66,MATCH($B40,'R&amp;B Inputs'!$I$4:$V$4,0)))^(AO$7-Year1))</f>
        <v>0.62029999999999996</v>
      </c>
      <c r="AP40" s="508">
        <f>IF(AP$8=0,0,INDEX('R&amp;B Inputs'!$I$86:$V$86,MATCH($B40,'R&amp;B Inputs'!$I$4:$V$4,0))*(1+INDEX('R&amp;B Inputs'!$I$66:$V$66,MATCH($B40,'R&amp;B Inputs'!$I$4:$V$4,0)))^(AP$7-Year1))</f>
        <v>0.62029999999999996</v>
      </c>
      <c r="AQ40" s="508">
        <f>IF(AQ$8=0,0,INDEX('R&amp;B Inputs'!$I$86:$V$86,MATCH($B40,'R&amp;B Inputs'!$I$4:$V$4,0))*(1+INDEX('R&amp;B Inputs'!$I$66:$V$66,MATCH($B40,'R&amp;B Inputs'!$I$4:$V$4,0)))^(AQ$7-Year1))</f>
        <v>0.62029999999999996</v>
      </c>
      <c r="AR40" s="508">
        <f>IF(AR$8=0,0,INDEX('R&amp;B Inputs'!$I$86:$V$86,MATCH($B40,'R&amp;B Inputs'!$I$4:$V$4,0))*(1+INDEX('R&amp;B Inputs'!$I$66:$V$66,MATCH($B40,'R&amp;B Inputs'!$I$4:$V$4,0)))^(AR$7-Year1))</f>
        <v>0.62029999999999996</v>
      </c>
      <c r="AS40" s="508">
        <f>IF(AS$8=0,0,INDEX('R&amp;B Inputs'!$I$86:$V$86,MATCH($B40,'R&amp;B Inputs'!$I$4:$V$4,0))*(1+INDEX('R&amp;B Inputs'!$I$66:$V$66,MATCH($B40,'R&amp;B Inputs'!$I$4:$V$4,0)))^(AS$7-Year1))</f>
        <v>0.62029999999999996</v>
      </c>
      <c r="AT40" s="508">
        <f>IF(AT$8=0,0,INDEX('R&amp;B Inputs'!$I$86:$V$86,MATCH($B40,'R&amp;B Inputs'!$I$4:$V$4,0))*(1+INDEX('R&amp;B Inputs'!$I$66:$V$66,MATCH($B40,'R&amp;B Inputs'!$I$4:$V$4,0)))^(AT$7-Year1))</f>
        <v>0.62029999999999996</v>
      </c>
      <c r="AU40" s="508">
        <f>IF(AU$8=0,0,INDEX('R&amp;B Inputs'!$I$86:$V$86,MATCH($B40,'R&amp;B Inputs'!$I$4:$V$4,0))*(1+INDEX('R&amp;B Inputs'!$I$66:$V$66,MATCH($B40,'R&amp;B Inputs'!$I$4:$V$4,0)))^(AU$7-Year1))</f>
        <v>0.62029999999999996</v>
      </c>
      <c r="AV40" s="508">
        <f>IF(AV$8=0,0,INDEX('R&amp;B Inputs'!$I$86:$V$86,MATCH($B40,'R&amp;B Inputs'!$I$4:$V$4,0))*(1+INDEX('R&amp;B Inputs'!$I$66:$V$66,MATCH($B40,'R&amp;B Inputs'!$I$4:$V$4,0)))^(AV$7-Year1))</f>
        <v>0.62029999999999996</v>
      </c>
      <c r="AW40" s="508">
        <f>IF(AW$8=0,0,INDEX('R&amp;B Inputs'!$I$86:$V$86,MATCH($B40,'R&amp;B Inputs'!$I$4:$V$4,0))*(1+INDEX('R&amp;B Inputs'!$I$66:$V$66,MATCH($B40,'R&amp;B Inputs'!$I$4:$V$4,0)))^(AW$7-Year1))</f>
        <v>0.62029999999999996</v>
      </c>
      <c r="AX40" s="508">
        <f>IF(AX$8=0,0,INDEX('R&amp;B Inputs'!$I$86:$V$86,MATCH($B40,'R&amp;B Inputs'!$I$4:$V$4,0))*(1+INDEX('R&amp;B Inputs'!$I$66:$V$66,MATCH($B40,'R&amp;B Inputs'!$I$4:$V$4,0)))^(AX$7-Year1))</f>
        <v>0.62029999999999996</v>
      </c>
      <c r="AY40" s="508">
        <f>IF(AY$8=0,0,INDEX('R&amp;B Inputs'!$I$86:$V$86,MATCH($B40,'R&amp;B Inputs'!$I$4:$V$4,0))*(1+INDEX('R&amp;B Inputs'!$I$66:$V$66,MATCH($B40,'R&amp;B Inputs'!$I$4:$V$4,0)))^(AY$7-Year1))</f>
        <v>0.62029999999999996</v>
      </c>
      <c r="AZ40" s="508">
        <f>IF(AZ$8=0,0,INDEX('R&amp;B Inputs'!$I$86:$V$86,MATCH($B40,'R&amp;B Inputs'!$I$4:$V$4,0))*(1+INDEX('R&amp;B Inputs'!$I$66:$V$66,MATCH($B40,'R&amp;B Inputs'!$I$4:$V$4,0)))^(AZ$7-Year1))</f>
        <v>0.62029999999999996</v>
      </c>
      <c r="BA40" s="508">
        <f>IF(BA$8=0,0,INDEX('R&amp;B Inputs'!$I$86:$V$86,MATCH($B40,'R&amp;B Inputs'!$I$4:$V$4,0))*(1+INDEX('R&amp;B Inputs'!$I$66:$V$66,MATCH($B40,'R&amp;B Inputs'!$I$4:$V$4,0)))^(BA$7-Year1))</f>
        <v>0.62029999999999996</v>
      </c>
      <c r="BB40" s="508">
        <f>IF(BB$8=0,0,INDEX('R&amp;B Inputs'!$I$86:$V$86,MATCH($B40,'R&amp;B Inputs'!$I$4:$V$4,0))*(1+INDEX('R&amp;B Inputs'!$I$66:$V$66,MATCH($B40,'R&amp;B Inputs'!$I$4:$V$4,0)))^(BB$7-Year1))</f>
        <v>0.62029999999999996</v>
      </c>
      <c r="BC40" s="508">
        <f>IF(BC$8=0,0,INDEX('R&amp;B Inputs'!$I$86:$V$86,MATCH($B40,'R&amp;B Inputs'!$I$4:$V$4,0))*(1+INDEX('R&amp;B Inputs'!$I$66:$V$66,MATCH($B40,'R&amp;B Inputs'!$I$4:$V$4,0)))^(BC$7-Year1))</f>
        <v>0.62029999999999996</v>
      </c>
      <c r="BD40" s="508">
        <f>IF(BD$8=0,0,INDEX('R&amp;B Inputs'!$I$86:$V$86,MATCH($B40,'R&amp;B Inputs'!$I$4:$V$4,0))*(1+INDEX('R&amp;B Inputs'!$I$66:$V$66,MATCH($B40,'R&amp;B Inputs'!$I$4:$V$4,0)))^(BD$7-Year1))</f>
        <v>0.62029999999999996</v>
      </c>
      <c r="BE40" s="508">
        <f>IF(BE$8=0,0,INDEX('R&amp;B Inputs'!$I$86:$V$86,MATCH($B40,'R&amp;B Inputs'!$I$4:$V$4,0))*(1+INDEX('R&amp;B Inputs'!$I$66:$V$66,MATCH($B40,'R&amp;B Inputs'!$I$4:$V$4,0)))^(BE$7-Year1))</f>
        <v>0.62029999999999996</v>
      </c>
      <c r="BF40" s="508">
        <f>IF(BF$8=0,0,INDEX('R&amp;B Inputs'!$I$86:$V$86,MATCH($B40,'R&amp;B Inputs'!$I$4:$V$4,0))*(1+INDEX('R&amp;B Inputs'!$I$66:$V$66,MATCH($B40,'R&amp;B Inputs'!$I$4:$V$4,0)))^(BF$7-Year1))</f>
        <v>0.62029999999999996</v>
      </c>
      <c r="BG40" s="508">
        <f>IF(BG$8=0,0,INDEX('R&amp;B Inputs'!$I$86:$V$86,MATCH($B40,'R&amp;B Inputs'!$I$4:$V$4,0))*(1+INDEX('R&amp;B Inputs'!$I$66:$V$66,MATCH($B40,'R&amp;B Inputs'!$I$4:$V$4,0)))^(BG$7-Year1))</f>
        <v>0.62029999999999996</v>
      </c>
      <c r="BH40" s="508">
        <f>IF(BH$8=0,0,INDEX('R&amp;B Inputs'!$I$86:$V$86,MATCH($B40,'R&amp;B Inputs'!$I$4:$V$4,0))*(1+INDEX('R&amp;B Inputs'!$I$66:$V$66,MATCH($B40,'R&amp;B Inputs'!$I$4:$V$4,0)))^(BH$7-Year1))</f>
        <v>0.62029999999999996</v>
      </c>
      <c r="BI40" s="508">
        <f>IF(BI$8=0,0,INDEX('R&amp;B Inputs'!$I$86:$V$86,MATCH($B40,'R&amp;B Inputs'!$I$4:$V$4,0))*(1+INDEX('R&amp;B Inputs'!$I$66:$V$66,MATCH($B40,'R&amp;B Inputs'!$I$4:$V$4,0)))^(BI$7-Year1))</f>
        <v>0.62029999999999996</v>
      </c>
      <c r="BJ40" s="508">
        <f>IF(BJ$8=0,0,INDEX('R&amp;B Inputs'!$I$86:$V$86,MATCH($B40,'R&amp;B Inputs'!$I$4:$V$4,0))*(1+INDEX('R&amp;B Inputs'!$I$66:$V$66,MATCH($B40,'R&amp;B Inputs'!$I$4:$V$4,0)))^(BJ$7-Year1))</f>
        <v>0.62029999999999996</v>
      </c>
      <c r="BK40" s="508">
        <f>IF(BK$8=0,0,INDEX('R&amp;B Inputs'!$I$86:$V$86,MATCH($B40,'R&amp;B Inputs'!$I$4:$V$4,0))*(1+INDEX('R&amp;B Inputs'!$I$66:$V$66,MATCH($B40,'R&amp;B Inputs'!$I$4:$V$4,0)))^(BK$7-Year1))</f>
        <v>0.62029999999999996</v>
      </c>
      <c r="BL40" s="508">
        <f>IF(BL$8=0,0,INDEX('R&amp;B Inputs'!$I$86:$V$86,MATCH($B40,'R&amp;B Inputs'!$I$4:$V$4,0))*(1+INDEX('R&amp;B Inputs'!$I$66:$V$66,MATCH($B40,'R&amp;B Inputs'!$I$4:$V$4,0)))^(BL$7-Year1))</f>
        <v>0.62029999999999996</v>
      </c>
      <c r="BM40" s="508">
        <f>IF(BM$8=0,0,INDEX('R&amp;B Inputs'!$I$86:$V$86,MATCH($B40,'R&amp;B Inputs'!$I$4:$V$4,0))*(1+INDEX('R&amp;B Inputs'!$I$66:$V$66,MATCH($B40,'R&amp;B Inputs'!$I$4:$V$4,0)))^(BM$7-Year1))</f>
        <v>0.62029999999999996</v>
      </c>
      <c r="BN40" s="508"/>
      <c r="BO40" s="508"/>
      <c r="BP40" s="508">
        <f>IF($C$4=Year1,-PMT(Lookups!$E$17,25,NPV(Lookups!$E$17,AM40:BK40),0,1),IF($C$4=Year2,-PMT(Lookups!$F$17,25,NPV(Lookups!$F$17,AN40:BL40),0,1),IF($C$4=Year3,-PMT(Lookups!$G$17,25,NPV(Lookups!$G$17,AO40:BM40),0,1),-PMT(Lookups!$G$17,27,NPV(Lookups!$G$17,AM40:BM40),0,1))))</f>
        <v>0.61164884261501185</v>
      </c>
      <c r="BS40" s="76" t="str">
        <f t="shared" si="20"/>
        <v>Cost of Gas charge from the R&amp;B Inputs tab, escalated annually by the growth rate included on the R&amp;B Inputs tab.</v>
      </c>
      <c r="BT40" s="51" t="s">
        <v>17</v>
      </c>
    </row>
    <row r="41" spans="1:72" x14ac:dyDescent="0.25">
      <c r="B41" s="243" t="str">
        <f>B42</f>
        <v>Residential</v>
      </c>
      <c r="C41" s="243" t="str">
        <f>C42</f>
        <v>Rates</v>
      </c>
      <c r="D41" s="244" t="str">
        <f>D42</f>
        <v>Rates before DSM (No EE Scenario)</v>
      </c>
      <c r="E41" s="86" t="s">
        <v>75</v>
      </c>
      <c r="F41" s="84" t="s">
        <v>182</v>
      </c>
      <c r="G41" s="506">
        <f>IF(G$8=0,0,INDEX('R&amp;B Inputs'!$H$73:$U$73,MATCH($B40,'R&amp;B Inputs'!$H$4:$U$4,0))*(1+INDEX('R&amp;B Inputs'!$H$46:$U$46,MATCH($B40,'R&amp;B Inputs'!$H$4:$U$4,0)))^(G$7-Year1))</f>
        <v>0</v>
      </c>
      <c r="H41" s="506">
        <f>IF(H$8=0,0,INDEX('R&amp;B Inputs'!$H$73:$U$73,MATCH($B40,'R&amp;B Inputs'!$H$4:$U$4,0))*(1+INDEX('R&amp;B Inputs'!$H$46:$U$46,MATCH($B40,'R&amp;B Inputs'!$H$4:$U$4,0)))^(H$7-Year1))</f>
        <v>0</v>
      </c>
      <c r="I41" s="506">
        <f>IF(I$8=0,0,INDEX('R&amp;B Inputs'!$H$73:$U$73,MATCH($B40,'R&amp;B Inputs'!$H$4:$U$4,0))*(1+INDEX('R&amp;B Inputs'!$H$46:$U$46,MATCH($B40,'R&amp;B Inputs'!$H$4:$U$4,0)))^(I$7-Year1))</f>
        <v>0.2233803664496018</v>
      </c>
      <c r="J41" s="506">
        <f>IF(J$8=0,0,INDEX('R&amp;B Inputs'!$H$73:$U$73,MATCH($B40,'R&amp;B Inputs'!$H$4:$U$4,0))*(1+INDEX('R&amp;B Inputs'!$H$46:$U$46,MATCH($B40,'R&amp;B Inputs'!$H$4:$U$4,0)))^(J$7-Year1))</f>
        <v>0.2233803664496018</v>
      </c>
      <c r="K41" s="506">
        <f>IF(K$8=0,0,INDEX('R&amp;B Inputs'!$H$73:$U$73,MATCH($B40,'R&amp;B Inputs'!$H$4:$U$4,0))*(1+INDEX('R&amp;B Inputs'!$H$46:$U$46,MATCH($B40,'R&amp;B Inputs'!$H$4:$U$4,0)))^(K$7-Year1))</f>
        <v>0.2233803664496018</v>
      </c>
      <c r="L41" s="506">
        <f>IF(L$8=0,0,INDEX('R&amp;B Inputs'!$H$73:$U$73,MATCH($B40,'R&amp;B Inputs'!$H$4:$U$4,0))*(1+INDEX('R&amp;B Inputs'!$H$46:$U$46,MATCH($B40,'R&amp;B Inputs'!$H$4:$U$4,0)))^(L$7-Year1))</f>
        <v>0.2233803664496018</v>
      </c>
      <c r="M41" s="506">
        <f>IF(M$8=0,0,INDEX('R&amp;B Inputs'!$H$73:$U$73,MATCH($B40,'R&amp;B Inputs'!$H$4:$U$4,0))*(1+INDEX('R&amp;B Inputs'!$H$46:$U$46,MATCH($B40,'R&amp;B Inputs'!$H$4:$U$4,0)))^(M$7-Year1))</f>
        <v>0.2233803664496018</v>
      </c>
      <c r="N41" s="506">
        <f>IF(N$8=0,0,INDEX('R&amp;B Inputs'!$H$73:$U$73,MATCH($B40,'R&amp;B Inputs'!$H$4:$U$4,0))*(1+INDEX('R&amp;B Inputs'!$H$46:$U$46,MATCH($B40,'R&amp;B Inputs'!$H$4:$U$4,0)))^(N$7-Year1))</f>
        <v>0.2233803664496018</v>
      </c>
      <c r="O41" s="506">
        <f>IF(O$8=0,0,INDEX('R&amp;B Inputs'!$H$73:$U$73,MATCH($B40,'R&amp;B Inputs'!$H$4:$U$4,0))*(1+INDEX('R&amp;B Inputs'!$H$46:$U$46,MATCH($B40,'R&amp;B Inputs'!$H$4:$U$4,0)))^(O$7-Year1))</f>
        <v>0.2233803664496018</v>
      </c>
      <c r="P41" s="506">
        <f>IF(P$8=0,0,INDEX('R&amp;B Inputs'!$H$73:$U$73,MATCH($B40,'R&amp;B Inputs'!$H$4:$U$4,0))*(1+INDEX('R&amp;B Inputs'!$H$46:$U$46,MATCH($B40,'R&amp;B Inputs'!$H$4:$U$4,0)))^(P$7-Year1))</f>
        <v>0.2233803664496018</v>
      </c>
      <c r="Q41" s="506">
        <f>IF(Q$8=0,0,INDEX('R&amp;B Inputs'!$H$73:$U$73,MATCH($B40,'R&amp;B Inputs'!$H$4:$U$4,0))*(1+INDEX('R&amp;B Inputs'!$H$46:$U$46,MATCH($B40,'R&amp;B Inputs'!$H$4:$U$4,0)))^(Q$7-Year1))</f>
        <v>0.2233803664496018</v>
      </c>
      <c r="R41" s="506">
        <f>IF(R$8=0,0,INDEX('R&amp;B Inputs'!$H$73:$U$73,MATCH($B40,'R&amp;B Inputs'!$H$4:$U$4,0))*(1+INDEX('R&amp;B Inputs'!$H$46:$U$46,MATCH($B40,'R&amp;B Inputs'!$H$4:$U$4,0)))^(R$7-Year1))</f>
        <v>0.2233803664496018</v>
      </c>
      <c r="S41" s="506">
        <f>IF(S$8=0,0,INDEX('R&amp;B Inputs'!$H$73:$U$73,MATCH($B40,'R&amp;B Inputs'!$H$4:$U$4,0))*(1+INDEX('R&amp;B Inputs'!$H$46:$U$46,MATCH($B40,'R&amp;B Inputs'!$H$4:$U$4,0)))^(S$7-Year1))</f>
        <v>0.2233803664496018</v>
      </c>
      <c r="T41" s="506">
        <f>IF(T$8=0,0,INDEX('R&amp;B Inputs'!$H$73:$U$73,MATCH($B40,'R&amp;B Inputs'!$H$4:$U$4,0))*(1+INDEX('R&amp;B Inputs'!$H$46:$U$46,MATCH($B40,'R&amp;B Inputs'!$H$4:$U$4,0)))^(T$7-Year1))</f>
        <v>0.2233803664496018</v>
      </c>
      <c r="U41" s="506">
        <f>IF(U$8=0,0,INDEX('R&amp;B Inputs'!$H$73:$U$73,MATCH($B40,'R&amp;B Inputs'!$H$4:$U$4,0))*(1+INDEX('R&amp;B Inputs'!$H$46:$U$46,MATCH($B40,'R&amp;B Inputs'!$H$4:$U$4,0)))^(U$7-Year1))</f>
        <v>0.2233803664496018</v>
      </c>
      <c r="V41" s="506">
        <f>IF(V$8=0,0,INDEX('R&amp;B Inputs'!$H$73:$U$73,MATCH($B40,'R&amp;B Inputs'!$H$4:$U$4,0))*(1+INDEX('R&amp;B Inputs'!$H$46:$U$46,MATCH($B40,'R&amp;B Inputs'!$H$4:$U$4,0)))^(V$7-Year1))</f>
        <v>0.2233803664496018</v>
      </c>
      <c r="W41" s="506">
        <f>IF(W$8=0,0,INDEX('R&amp;B Inputs'!$H$73:$U$73,MATCH($B40,'R&amp;B Inputs'!$H$4:$U$4,0))*(1+INDEX('R&amp;B Inputs'!$H$46:$U$46,MATCH($B40,'R&amp;B Inputs'!$H$4:$U$4,0)))^(W$7-Year1))</f>
        <v>0.2233803664496018</v>
      </c>
      <c r="X41" s="506">
        <f>IF(X$8=0,0,INDEX('R&amp;B Inputs'!$H$73:$U$73,MATCH($B40,'R&amp;B Inputs'!$H$4:$U$4,0))*(1+INDEX('R&amp;B Inputs'!$H$46:$U$46,MATCH($B40,'R&amp;B Inputs'!$H$4:$U$4,0)))^(X$7-Year1))</f>
        <v>0.2233803664496018</v>
      </c>
      <c r="Y41" s="506">
        <f>IF(Y$8=0,0,INDEX('R&amp;B Inputs'!$H$73:$U$73,MATCH($B40,'R&amp;B Inputs'!$H$4:$U$4,0))*(1+INDEX('R&amp;B Inputs'!$H$46:$U$46,MATCH($B40,'R&amp;B Inputs'!$H$4:$U$4,0)))^(Y$7-Year1))</f>
        <v>0.2233803664496018</v>
      </c>
      <c r="Z41" s="506">
        <f>IF(Z$8=0,0,INDEX('R&amp;B Inputs'!$H$73:$U$73,MATCH($B40,'R&amp;B Inputs'!$H$4:$U$4,0))*(1+INDEX('R&amp;B Inputs'!$H$46:$U$46,MATCH($B40,'R&amp;B Inputs'!$H$4:$U$4,0)))^(Z$7-Year1))</f>
        <v>0.2233803664496018</v>
      </c>
      <c r="AA41" s="506">
        <f>IF(AA$8=0,0,INDEX('R&amp;B Inputs'!$H$73:$U$73,MATCH($B40,'R&amp;B Inputs'!$H$4:$U$4,0))*(1+INDEX('R&amp;B Inputs'!$H$46:$U$46,MATCH($B40,'R&amp;B Inputs'!$H$4:$U$4,0)))^(AA$7-Year1))</f>
        <v>0.2233803664496018</v>
      </c>
      <c r="AB41" s="506">
        <f>IF(AB$8=0,0,INDEX('R&amp;B Inputs'!$H$73:$U$73,MATCH($B40,'R&amp;B Inputs'!$H$4:$U$4,0))*(1+INDEX('R&amp;B Inputs'!$H$46:$U$46,MATCH($B40,'R&amp;B Inputs'!$H$4:$U$4,0)))^(AB$7-Year1))</f>
        <v>0.2233803664496018</v>
      </c>
      <c r="AC41" s="506">
        <f>IF(AC$8=0,0,INDEX('R&amp;B Inputs'!$H$73:$U$73,MATCH($B40,'R&amp;B Inputs'!$H$4:$U$4,0))*(1+INDEX('R&amp;B Inputs'!$H$46:$U$46,MATCH($B40,'R&amp;B Inputs'!$H$4:$U$4,0)))^(AC$7-Year1))</f>
        <v>0.2233803664496018</v>
      </c>
      <c r="AD41" s="506">
        <f>IF(AD$8=0,0,INDEX('R&amp;B Inputs'!$H$73:$U$73,MATCH($B40,'R&amp;B Inputs'!$H$4:$U$4,0))*(1+INDEX('R&amp;B Inputs'!$H$46:$U$46,MATCH($B40,'R&amp;B Inputs'!$H$4:$U$4,0)))^(AD$7-Year1))</f>
        <v>0.2233803664496018</v>
      </c>
      <c r="AE41" s="506">
        <f>IF(AE$8=0,0,INDEX('R&amp;B Inputs'!$H$73:$U$73,MATCH($B40,'R&amp;B Inputs'!$H$4:$U$4,0))*(1+INDEX('R&amp;B Inputs'!$H$46:$U$46,MATCH($B40,'R&amp;B Inputs'!$H$4:$U$4,0)))^(AE$7-Year1))</f>
        <v>0.2233803664496018</v>
      </c>
      <c r="AF41" s="506">
        <f>IF(AF$8=0,0,INDEX('R&amp;B Inputs'!$H$73:$U$73,MATCH($B40,'R&amp;B Inputs'!$H$4:$U$4,0))*(1+INDEX('R&amp;B Inputs'!$H$46:$U$46,MATCH($B40,'R&amp;B Inputs'!$H$4:$U$4,0)))^(AF$7-Year1))</f>
        <v>0.2233803664496018</v>
      </c>
      <c r="AG41" s="506">
        <f>IF(AG$8=0,0,INDEX('R&amp;B Inputs'!$H$73:$U$73,MATCH($B40,'R&amp;B Inputs'!$H$4:$U$4,0))*(1+INDEX('R&amp;B Inputs'!$H$46:$U$46,MATCH($B40,'R&amp;B Inputs'!$H$4:$U$4,0)))^(AG$7-Year1))</f>
        <v>0.2233803664496018</v>
      </c>
      <c r="AH41" s="506"/>
      <c r="AI41" s="506"/>
      <c r="AJ41" s="506">
        <f>IF($C$4=Year1,-PMT(Lookups!$E$17,25,NPV(Lookups!$E$17,G41:AE41),0,1),IF($C$4=Year2,-PMT(Lookups!$F$17,25,NPV(Lookups!$F$17,H41:AF41),0,1),IF($C$4=Year3,-PMT(Lookups!$G$17,25,NPV(Lookups!$G$17,I41:AG41),0,1),-PMT(Lookups!$G$17,27,NPV(Lookups!$G$17,G41:AG41),0,1))))</f>
        <v>0.22026494051558318</v>
      </c>
      <c r="AK41" s="507"/>
      <c r="AL41" s="507"/>
      <c r="AM41" s="508">
        <f>IF(AM$8=0,0,INDEX('R&amp;B Inputs'!$H$73:$U$73,MATCH($B40,'R&amp;B Inputs'!$H$4:$U$4,0))*(1+INDEX('R&amp;B Inputs'!$H$46:$U$46,MATCH($B40,'R&amp;B Inputs'!$H$4:$U$4,0)))^(AM$7-Year1))</f>
        <v>0</v>
      </c>
      <c r="AN41" s="508">
        <f>IF(AN$8=0,0,INDEX('R&amp;B Inputs'!$H$73:$U$73,MATCH($B40,'R&amp;B Inputs'!$H$4:$U$4,0))*(1+INDEX('R&amp;B Inputs'!$H$46:$U$46,MATCH($B40,'R&amp;B Inputs'!$H$4:$U$4,0)))^(AN$7-Year1))</f>
        <v>0</v>
      </c>
      <c r="AO41" s="508">
        <f>IF(AO$8=0,0,INDEX('R&amp;B Inputs'!$H$73:$U$73,MATCH($B40,'R&amp;B Inputs'!$H$4:$U$4,0))*(1+INDEX('R&amp;B Inputs'!$H$46:$U$46,MATCH($B40,'R&amp;B Inputs'!$H$4:$U$4,0)))^(AO$7-Year1))</f>
        <v>0.2233803664496018</v>
      </c>
      <c r="AP41" s="508">
        <f>IF(AP$8=0,0,INDEX('R&amp;B Inputs'!$H$73:$U$73,MATCH($B40,'R&amp;B Inputs'!$H$4:$U$4,0))*(1+INDEX('R&amp;B Inputs'!$H$46:$U$46,MATCH($B40,'R&amp;B Inputs'!$H$4:$U$4,0)))^(AP$7-Year1))</f>
        <v>0.2233803664496018</v>
      </c>
      <c r="AQ41" s="508">
        <f>IF(AQ$8=0,0,INDEX('R&amp;B Inputs'!$H$73:$U$73,MATCH($B40,'R&amp;B Inputs'!$H$4:$U$4,0))*(1+INDEX('R&amp;B Inputs'!$H$46:$U$46,MATCH($B40,'R&amp;B Inputs'!$H$4:$U$4,0)))^(AQ$7-Year1))</f>
        <v>0.2233803664496018</v>
      </c>
      <c r="AR41" s="508">
        <f>IF(AR$8=0,0,INDEX('R&amp;B Inputs'!$H$73:$U$73,MATCH($B40,'R&amp;B Inputs'!$H$4:$U$4,0))*(1+INDEX('R&amp;B Inputs'!$H$46:$U$46,MATCH($B40,'R&amp;B Inputs'!$H$4:$U$4,0)))^(AR$7-Year1))</f>
        <v>0.2233803664496018</v>
      </c>
      <c r="AS41" s="508">
        <f>IF(AS$8=0,0,INDEX('R&amp;B Inputs'!$H$73:$U$73,MATCH($B40,'R&amp;B Inputs'!$H$4:$U$4,0))*(1+INDEX('R&amp;B Inputs'!$H$46:$U$46,MATCH($B40,'R&amp;B Inputs'!$H$4:$U$4,0)))^(AS$7-Year1))</f>
        <v>0.2233803664496018</v>
      </c>
      <c r="AT41" s="508">
        <f>IF(AT$8=0,0,INDEX('R&amp;B Inputs'!$H$73:$U$73,MATCH($B40,'R&amp;B Inputs'!$H$4:$U$4,0))*(1+INDEX('R&amp;B Inputs'!$H$46:$U$46,MATCH($B40,'R&amp;B Inputs'!$H$4:$U$4,0)))^(AT$7-Year1))</f>
        <v>0.2233803664496018</v>
      </c>
      <c r="AU41" s="508">
        <f>IF(AU$8=0,0,INDEX('R&amp;B Inputs'!$H$73:$U$73,MATCH($B40,'R&amp;B Inputs'!$H$4:$U$4,0))*(1+INDEX('R&amp;B Inputs'!$H$46:$U$46,MATCH($B40,'R&amp;B Inputs'!$H$4:$U$4,0)))^(AU$7-Year1))</f>
        <v>0.2233803664496018</v>
      </c>
      <c r="AV41" s="508">
        <f>IF(AV$8=0,0,INDEX('R&amp;B Inputs'!$H$73:$U$73,MATCH($B40,'R&amp;B Inputs'!$H$4:$U$4,0))*(1+INDEX('R&amp;B Inputs'!$H$46:$U$46,MATCH($B40,'R&amp;B Inputs'!$H$4:$U$4,0)))^(AV$7-Year1))</f>
        <v>0.2233803664496018</v>
      </c>
      <c r="AW41" s="508">
        <f>IF(AW$8=0,0,INDEX('R&amp;B Inputs'!$H$73:$U$73,MATCH($B40,'R&amp;B Inputs'!$H$4:$U$4,0))*(1+INDEX('R&amp;B Inputs'!$H$46:$U$46,MATCH($B40,'R&amp;B Inputs'!$H$4:$U$4,0)))^(AW$7-Year1))</f>
        <v>0.2233803664496018</v>
      </c>
      <c r="AX41" s="508">
        <f>IF(AX$8=0,0,INDEX('R&amp;B Inputs'!$H$73:$U$73,MATCH($B40,'R&amp;B Inputs'!$H$4:$U$4,0))*(1+INDEX('R&amp;B Inputs'!$H$46:$U$46,MATCH($B40,'R&amp;B Inputs'!$H$4:$U$4,0)))^(AX$7-Year1))</f>
        <v>0.2233803664496018</v>
      </c>
      <c r="AY41" s="508">
        <f>IF(AY$8=0,0,INDEX('R&amp;B Inputs'!$H$73:$U$73,MATCH($B40,'R&amp;B Inputs'!$H$4:$U$4,0))*(1+INDEX('R&amp;B Inputs'!$H$46:$U$46,MATCH($B40,'R&amp;B Inputs'!$H$4:$U$4,0)))^(AY$7-Year1))</f>
        <v>0.2233803664496018</v>
      </c>
      <c r="AZ41" s="508">
        <f>IF(AZ$8=0,0,INDEX('R&amp;B Inputs'!$H$73:$U$73,MATCH($B40,'R&amp;B Inputs'!$H$4:$U$4,0))*(1+INDEX('R&amp;B Inputs'!$H$46:$U$46,MATCH($B40,'R&amp;B Inputs'!$H$4:$U$4,0)))^(AZ$7-Year1))</f>
        <v>0.2233803664496018</v>
      </c>
      <c r="BA41" s="508">
        <f>IF(BA$8=0,0,INDEX('R&amp;B Inputs'!$H$73:$U$73,MATCH($B40,'R&amp;B Inputs'!$H$4:$U$4,0))*(1+INDEX('R&amp;B Inputs'!$H$46:$U$46,MATCH($B40,'R&amp;B Inputs'!$H$4:$U$4,0)))^(BA$7-Year1))</f>
        <v>0.2233803664496018</v>
      </c>
      <c r="BB41" s="508">
        <f>IF(BB$8=0,0,INDEX('R&amp;B Inputs'!$H$73:$U$73,MATCH($B40,'R&amp;B Inputs'!$H$4:$U$4,0))*(1+INDEX('R&amp;B Inputs'!$H$46:$U$46,MATCH($B40,'R&amp;B Inputs'!$H$4:$U$4,0)))^(BB$7-Year1))</f>
        <v>0.2233803664496018</v>
      </c>
      <c r="BC41" s="508">
        <f>IF(BC$8=0,0,INDEX('R&amp;B Inputs'!$H$73:$U$73,MATCH($B40,'R&amp;B Inputs'!$H$4:$U$4,0))*(1+INDEX('R&amp;B Inputs'!$H$46:$U$46,MATCH($B40,'R&amp;B Inputs'!$H$4:$U$4,0)))^(BC$7-Year1))</f>
        <v>0.2233803664496018</v>
      </c>
      <c r="BD41" s="508">
        <f>IF(BD$8=0,0,INDEX('R&amp;B Inputs'!$H$73:$U$73,MATCH($B40,'R&amp;B Inputs'!$H$4:$U$4,0))*(1+INDEX('R&amp;B Inputs'!$H$46:$U$46,MATCH($B40,'R&amp;B Inputs'!$H$4:$U$4,0)))^(BD$7-Year1))</f>
        <v>0.2233803664496018</v>
      </c>
      <c r="BE41" s="508">
        <f>IF(BE$8=0,0,INDEX('R&amp;B Inputs'!$H$73:$U$73,MATCH($B40,'R&amp;B Inputs'!$H$4:$U$4,0))*(1+INDEX('R&amp;B Inputs'!$H$46:$U$46,MATCH($B40,'R&amp;B Inputs'!$H$4:$U$4,0)))^(BE$7-Year1))</f>
        <v>0.2233803664496018</v>
      </c>
      <c r="BF41" s="508">
        <f>IF(BF$8=0,0,INDEX('R&amp;B Inputs'!$H$73:$U$73,MATCH($B40,'R&amp;B Inputs'!$H$4:$U$4,0))*(1+INDEX('R&amp;B Inputs'!$H$46:$U$46,MATCH($B40,'R&amp;B Inputs'!$H$4:$U$4,0)))^(BF$7-Year1))</f>
        <v>0.2233803664496018</v>
      </c>
      <c r="BG41" s="508">
        <f>IF(BG$8=0,0,INDEX('R&amp;B Inputs'!$H$73:$U$73,MATCH($B40,'R&amp;B Inputs'!$H$4:$U$4,0))*(1+INDEX('R&amp;B Inputs'!$H$46:$U$46,MATCH($B40,'R&amp;B Inputs'!$H$4:$U$4,0)))^(BG$7-Year1))</f>
        <v>0.2233803664496018</v>
      </c>
      <c r="BH41" s="508">
        <f>IF(BH$8=0,0,INDEX('R&amp;B Inputs'!$H$73:$U$73,MATCH($B40,'R&amp;B Inputs'!$H$4:$U$4,0))*(1+INDEX('R&amp;B Inputs'!$H$46:$U$46,MATCH($B40,'R&amp;B Inputs'!$H$4:$U$4,0)))^(BH$7-Year1))</f>
        <v>0.2233803664496018</v>
      </c>
      <c r="BI41" s="508">
        <f>IF(BI$8=0,0,INDEX('R&amp;B Inputs'!$H$73:$U$73,MATCH($B40,'R&amp;B Inputs'!$H$4:$U$4,0))*(1+INDEX('R&amp;B Inputs'!$H$46:$U$46,MATCH($B40,'R&amp;B Inputs'!$H$4:$U$4,0)))^(BI$7-Year1))</f>
        <v>0.2233803664496018</v>
      </c>
      <c r="BJ41" s="508">
        <f>IF(BJ$8=0,0,INDEX('R&amp;B Inputs'!$H$73:$U$73,MATCH($B40,'R&amp;B Inputs'!$H$4:$U$4,0))*(1+INDEX('R&amp;B Inputs'!$H$46:$U$46,MATCH($B40,'R&amp;B Inputs'!$H$4:$U$4,0)))^(BJ$7-Year1))</f>
        <v>0.2233803664496018</v>
      </c>
      <c r="BK41" s="508">
        <f>IF(BK$8=0,0,INDEX('R&amp;B Inputs'!$H$73:$U$73,MATCH($B40,'R&amp;B Inputs'!$H$4:$U$4,0))*(1+INDEX('R&amp;B Inputs'!$H$46:$U$46,MATCH($B40,'R&amp;B Inputs'!$H$4:$U$4,0)))^(BK$7-Year1))</f>
        <v>0.2233803664496018</v>
      </c>
      <c r="BL41" s="508">
        <f>IF(BL$8=0,0,INDEX('R&amp;B Inputs'!$H$73:$U$73,MATCH($B40,'R&amp;B Inputs'!$H$4:$U$4,0))*(1+INDEX('R&amp;B Inputs'!$H$46:$U$46,MATCH($B40,'R&amp;B Inputs'!$H$4:$U$4,0)))^(BL$7-Year1))</f>
        <v>0.2233803664496018</v>
      </c>
      <c r="BM41" s="508">
        <f>IF(BM$8=0,0,INDEX('R&amp;B Inputs'!$H$73:$U$73,MATCH($B40,'R&amp;B Inputs'!$H$4:$U$4,0))*(1+INDEX('R&amp;B Inputs'!$H$46:$U$46,MATCH($B40,'R&amp;B Inputs'!$H$4:$U$4,0)))^(BM$7-Year1))</f>
        <v>0.2233803664496018</v>
      </c>
      <c r="BN41" s="508"/>
      <c r="BO41" s="508"/>
      <c r="BP41" s="508">
        <f>IF($C$4=Year1,-PMT(Lookups!$E$17,25,NPV(Lookups!$E$17,AM41:BK41),0,1),IF($C$4=Year2,-PMT(Lookups!$F$17,25,NPV(Lookups!$F$17,AN41:BL41),0,1),IF($C$4=Year3,-PMT(Lookups!$G$17,25,NPV(Lookups!$G$17,AO41:BM41),0,1),-PMT(Lookups!$G$17,27,NPV(Lookups!$G$17,AM41:BM41),0,1))))</f>
        <v>0.22026494051558318</v>
      </c>
      <c r="BS41" s="84" t="str">
        <f>E41&amp;" charge from the R&amp;B Inputs tab, escalated annually by the growth rate included on the R&amp;B Inputs tab."</f>
        <v>Customer Charge charge from the R&amp;B Inputs tab, escalated annually by the growth rate included on the R&amp;B Inputs tab.</v>
      </c>
      <c r="BT41" s="51" t="s">
        <v>17</v>
      </c>
    </row>
    <row r="42" spans="1:72" x14ac:dyDescent="0.25">
      <c r="B42" s="243" t="str">
        <f>B40</f>
        <v>Residential</v>
      </c>
      <c r="C42" s="243" t="str">
        <f>C40</f>
        <v>Rates</v>
      </c>
      <c r="D42" s="244" t="str">
        <f>D40</f>
        <v>Rates before DSM (No EE Scenario)</v>
      </c>
      <c r="E42" s="84" t="s">
        <v>76</v>
      </c>
      <c r="F42" s="84" t="s">
        <v>182</v>
      </c>
      <c r="G42" s="506">
        <f>SUM(G38:G41)</f>
        <v>0</v>
      </c>
      <c r="H42" s="506">
        <f>SUM(H38:H41)</f>
        <v>0</v>
      </c>
      <c r="I42" s="506">
        <f t="shared" ref="I42:AG42" si="21">SUM(I38:I41)</f>
        <v>1.3675803664496016</v>
      </c>
      <c r="J42" s="506">
        <f t="shared" si="21"/>
        <v>1.3675803664496016</v>
      </c>
      <c r="K42" s="506">
        <f t="shared" si="21"/>
        <v>1.3675803664496016</v>
      </c>
      <c r="L42" s="506">
        <f t="shared" si="21"/>
        <v>1.3675803664496016</v>
      </c>
      <c r="M42" s="506">
        <f t="shared" si="21"/>
        <v>1.3675803664496016</v>
      </c>
      <c r="N42" s="506">
        <f t="shared" si="21"/>
        <v>1.3675803664496016</v>
      </c>
      <c r="O42" s="506">
        <f t="shared" si="21"/>
        <v>1.3675803664496016</v>
      </c>
      <c r="P42" s="506">
        <f t="shared" si="21"/>
        <v>1.3675803664496016</v>
      </c>
      <c r="Q42" s="506">
        <f t="shared" si="21"/>
        <v>1.3675803664496016</v>
      </c>
      <c r="R42" s="506">
        <f t="shared" si="21"/>
        <v>1.3675803664496016</v>
      </c>
      <c r="S42" s="506">
        <f t="shared" si="21"/>
        <v>1.3675803664496016</v>
      </c>
      <c r="T42" s="506">
        <f t="shared" si="21"/>
        <v>1.3675803664496016</v>
      </c>
      <c r="U42" s="506">
        <f t="shared" si="21"/>
        <v>1.3675803664496016</v>
      </c>
      <c r="V42" s="506">
        <f t="shared" si="21"/>
        <v>1.3675803664496016</v>
      </c>
      <c r="W42" s="506">
        <f t="shared" si="21"/>
        <v>1.3675803664496016</v>
      </c>
      <c r="X42" s="506">
        <f t="shared" si="21"/>
        <v>1.3675803664496016</v>
      </c>
      <c r="Y42" s="506">
        <f t="shared" si="21"/>
        <v>1.3675803664496016</v>
      </c>
      <c r="Z42" s="506">
        <f t="shared" si="21"/>
        <v>1.3675803664496016</v>
      </c>
      <c r="AA42" s="506">
        <f t="shared" si="21"/>
        <v>1.3675803664496016</v>
      </c>
      <c r="AB42" s="506">
        <f t="shared" si="21"/>
        <v>1.3675803664496016</v>
      </c>
      <c r="AC42" s="506">
        <f t="shared" si="21"/>
        <v>1.3675803664496016</v>
      </c>
      <c r="AD42" s="506">
        <f t="shared" si="21"/>
        <v>1.3675803664496016</v>
      </c>
      <c r="AE42" s="506">
        <f t="shared" si="21"/>
        <v>1.3675803664496016</v>
      </c>
      <c r="AF42" s="506">
        <f t="shared" si="21"/>
        <v>1.3675803664496016</v>
      </c>
      <c r="AG42" s="506">
        <f t="shared" si="21"/>
        <v>1.3675803664496016</v>
      </c>
      <c r="AH42" s="506"/>
      <c r="AI42" s="506"/>
      <c r="AJ42" s="506">
        <f>IF($C$4=Year1,-PMT(Lookups!$E$17,25,NPV(Lookups!$E$17,G42:AE42),0,1),IF($C$4=Year2,-PMT(Lookups!$F$17,25,NPV(Lookups!$F$17,H42:AF42),0,1),IF($C$4=Year3,-PMT(Lookups!$G$17,25,NPV(Lookups!$G$17,I42:AG42),0,1),-PMT(Lookups!$G$17,27,NPV(Lookups!$G$17,G42:AG42),0,1))))</f>
        <v>1.3485070906366481</v>
      </c>
      <c r="AK42" s="507"/>
      <c r="AL42" s="507"/>
      <c r="AM42" s="508">
        <f>SUM(AM38:AM41)</f>
        <v>0</v>
      </c>
      <c r="AN42" s="508">
        <f>SUM(AN38:AN41)</f>
        <v>0</v>
      </c>
      <c r="AO42" s="508">
        <f t="shared" ref="AO42:BM42" si="22">SUM(AO38:AO41)</f>
        <v>1.3675803664496016</v>
      </c>
      <c r="AP42" s="508">
        <f t="shared" si="22"/>
        <v>1.3675803664496016</v>
      </c>
      <c r="AQ42" s="508">
        <f t="shared" si="22"/>
        <v>1.3675803664496016</v>
      </c>
      <c r="AR42" s="508">
        <f t="shared" si="22"/>
        <v>1.3675803664496016</v>
      </c>
      <c r="AS42" s="508">
        <f t="shared" si="22"/>
        <v>1.3675803664496016</v>
      </c>
      <c r="AT42" s="508">
        <f t="shared" si="22"/>
        <v>1.3675803664496016</v>
      </c>
      <c r="AU42" s="508">
        <f t="shared" si="22"/>
        <v>1.3675803664496016</v>
      </c>
      <c r="AV42" s="508">
        <f t="shared" si="22"/>
        <v>1.3675803664496016</v>
      </c>
      <c r="AW42" s="508">
        <f t="shared" si="22"/>
        <v>1.3675803664496016</v>
      </c>
      <c r="AX42" s="508">
        <f t="shared" si="22"/>
        <v>1.3675803664496016</v>
      </c>
      <c r="AY42" s="508">
        <f t="shared" si="22"/>
        <v>1.3675803664496016</v>
      </c>
      <c r="AZ42" s="508">
        <f t="shared" si="22"/>
        <v>1.3675803664496016</v>
      </c>
      <c r="BA42" s="508">
        <f t="shared" si="22"/>
        <v>1.3675803664496016</v>
      </c>
      <c r="BB42" s="508">
        <f t="shared" si="22"/>
        <v>1.3675803664496016</v>
      </c>
      <c r="BC42" s="508">
        <f t="shared" si="22"/>
        <v>1.3675803664496016</v>
      </c>
      <c r="BD42" s="508">
        <f t="shared" si="22"/>
        <v>1.3675803664496016</v>
      </c>
      <c r="BE42" s="508">
        <f t="shared" si="22"/>
        <v>1.3675803664496016</v>
      </c>
      <c r="BF42" s="508">
        <f t="shared" si="22"/>
        <v>1.3675803664496016</v>
      </c>
      <c r="BG42" s="508">
        <f t="shared" si="22"/>
        <v>1.3675803664496016</v>
      </c>
      <c r="BH42" s="508">
        <f t="shared" si="22"/>
        <v>1.3675803664496016</v>
      </c>
      <c r="BI42" s="508">
        <f t="shared" si="22"/>
        <v>1.3675803664496016</v>
      </c>
      <c r="BJ42" s="508">
        <f t="shared" si="22"/>
        <v>1.3675803664496016</v>
      </c>
      <c r="BK42" s="508">
        <f t="shared" si="22"/>
        <v>1.3675803664496016</v>
      </c>
      <c r="BL42" s="508">
        <f t="shared" si="22"/>
        <v>1.3675803664496016</v>
      </c>
      <c r="BM42" s="508">
        <f t="shared" si="22"/>
        <v>1.3675803664496016</v>
      </c>
      <c r="BN42" s="508"/>
      <c r="BO42" s="508"/>
      <c r="BP42" s="508">
        <f>IF($C$4=Year1,-PMT(Lookups!$E$17,25,NPV(Lookups!$E$17,AM42:BK42),0,1),IF($C$4=Year2,-PMT(Lookups!$F$17,25,NPV(Lookups!$F$17,AN42:BL42),0,1),IF($C$4=Year3,-PMT(Lookups!$G$17,25,NPV(Lookups!$G$17,AO42:BM42),0,1),-PMT(Lookups!$G$17,27,NPV(Lookups!$G$17,AM42:BM42),0,1))))</f>
        <v>1.3485070906366481</v>
      </c>
      <c r="BS42" s="84" t="s">
        <v>94</v>
      </c>
      <c r="BT42" s="51" t="s">
        <v>17</v>
      </c>
    </row>
    <row r="43" spans="1:72" x14ac:dyDescent="0.25">
      <c r="B43" s="243" t="str">
        <f>B41</f>
        <v>Residential</v>
      </c>
      <c r="C43" s="243" t="str">
        <f>C41</f>
        <v>Rates</v>
      </c>
      <c r="D43" s="114" t="s">
        <v>24</v>
      </c>
      <c r="E43" s="86"/>
      <c r="F43" s="8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506"/>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S43" s="84"/>
      <c r="BT43" s="51" t="s">
        <v>17</v>
      </c>
    </row>
    <row r="44" spans="1:72" x14ac:dyDescent="0.25">
      <c r="B44" s="243" t="str">
        <f t="shared" ref="B44:D59" si="23">B43</f>
        <v>Residential</v>
      </c>
      <c r="C44" s="243" t="str">
        <f t="shared" si="23"/>
        <v>Rates</v>
      </c>
      <c r="D44" s="244" t="str">
        <f t="shared" si="23"/>
        <v>Avoided Costs</v>
      </c>
      <c r="E44" s="84" t="s">
        <v>45</v>
      </c>
      <c r="F44" s="84" t="s">
        <v>182</v>
      </c>
      <c r="G44" s="506">
        <f ca="1">IFERROR(-G25/G17,0)</f>
        <v>0</v>
      </c>
      <c r="H44" s="506">
        <f t="shared" ref="H44:AG44" ca="1" si="24">IFERROR(-H25/H17,0)</f>
        <v>0</v>
      </c>
      <c r="I44" s="506">
        <f t="shared" ca="1" si="24"/>
        <v>-4.9191278200792724E-3</v>
      </c>
      <c r="J44" s="506">
        <f t="shared" ca="1" si="24"/>
        <v>-4.9191278200792724E-3</v>
      </c>
      <c r="K44" s="506">
        <f t="shared" ca="1" si="24"/>
        <v>-4.9191278200792724E-3</v>
      </c>
      <c r="L44" s="506">
        <f t="shared" ca="1" si="24"/>
        <v>-4.9191278200792724E-3</v>
      </c>
      <c r="M44" s="506">
        <f t="shared" ca="1" si="24"/>
        <v>-4.9191278200792724E-3</v>
      </c>
      <c r="N44" s="506">
        <f t="shared" ca="1" si="24"/>
        <v>-4.9191278200792724E-3</v>
      </c>
      <c r="O44" s="506">
        <f t="shared" ca="1" si="24"/>
        <v>-4.9191278200792724E-3</v>
      </c>
      <c r="P44" s="506">
        <f t="shared" ca="1" si="24"/>
        <v>-4.9191278200792724E-3</v>
      </c>
      <c r="Q44" s="506">
        <f t="shared" ca="1" si="24"/>
        <v>-4.9191278200792724E-3</v>
      </c>
      <c r="R44" s="506">
        <f t="shared" ca="1" si="24"/>
        <v>-4.9191278200792724E-3</v>
      </c>
      <c r="S44" s="506">
        <f t="shared" ca="1" si="24"/>
        <v>-4.9191278200792724E-3</v>
      </c>
      <c r="T44" s="506">
        <f t="shared" ca="1" si="24"/>
        <v>-4.9191278200792724E-3</v>
      </c>
      <c r="U44" s="506">
        <f t="shared" ca="1" si="24"/>
        <v>-4.9191278200792724E-3</v>
      </c>
      <c r="V44" s="506">
        <f t="shared" ca="1" si="24"/>
        <v>-4.9191278200792724E-3</v>
      </c>
      <c r="W44" s="506">
        <f t="shared" ca="1" si="24"/>
        <v>-4.9191278200792724E-3</v>
      </c>
      <c r="X44" s="506">
        <f t="shared" ca="1" si="24"/>
        <v>0</v>
      </c>
      <c r="Y44" s="506">
        <f t="shared" ca="1" si="24"/>
        <v>0</v>
      </c>
      <c r="Z44" s="506">
        <f t="shared" ca="1" si="24"/>
        <v>0</v>
      </c>
      <c r="AA44" s="506">
        <f t="shared" ca="1" si="24"/>
        <v>0</v>
      </c>
      <c r="AB44" s="506">
        <f t="shared" ca="1" si="24"/>
        <v>0</v>
      </c>
      <c r="AC44" s="506">
        <f t="shared" ca="1" si="24"/>
        <v>0</v>
      </c>
      <c r="AD44" s="506">
        <f t="shared" ca="1" si="24"/>
        <v>0</v>
      </c>
      <c r="AE44" s="506">
        <f t="shared" ca="1" si="24"/>
        <v>0</v>
      </c>
      <c r="AF44" s="506">
        <f t="shared" ca="1" si="24"/>
        <v>0</v>
      </c>
      <c r="AG44" s="506">
        <f t="shared" ca="1" si="24"/>
        <v>0</v>
      </c>
      <c r="AH44" s="506"/>
      <c r="AI44" s="506"/>
      <c r="AJ44" s="506">
        <f ca="1">IF($C$4=Year1,-PMT(Lookups!$E$17,25,NPV(Lookups!$E$17,G44:AE44),0,1),IF($C$4=Year2,-PMT(Lookups!$F$17,25,NPV(Lookups!$F$17,H44:AF44),0,1),IF($C$4=Year3,-PMT(Lookups!$G$17,25,NPV(Lookups!$G$17,I44:AG44),0,1),-PMT(Lookups!$G$17,27,NPV(Lookups!$G$17,G44:AG44),0,1))))</f>
        <v>-3.111802534856305E-3</v>
      </c>
      <c r="AK44" s="507"/>
      <c r="AL44" s="507"/>
      <c r="AM44" s="508">
        <f ca="1">IFERROR(-AM25/AM17,0)</f>
        <v>0</v>
      </c>
      <c r="AN44" s="508">
        <f t="shared" ref="AN44:BM44" ca="1" si="25">IFERROR(-AN25/AN17,0)</f>
        <v>0</v>
      </c>
      <c r="AO44" s="508">
        <f t="shared" ca="1" si="25"/>
        <v>-5.6272205109779427E-3</v>
      </c>
      <c r="AP44" s="508">
        <f t="shared" ca="1" si="25"/>
        <v>-5.6272205109779427E-3</v>
      </c>
      <c r="AQ44" s="508">
        <f t="shared" ca="1" si="25"/>
        <v>-5.6272205109779427E-3</v>
      </c>
      <c r="AR44" s="508">
        <f t="shared" ca="1" si="25"/>
        <v>-5.6272205109779427E-3</v>
      </c>
      <c r="AS44" s="508">
        <f t="shared" ca="1" si="25"/>
        <v>-5.6272205109779427E-3</v>
      </c>
      <c r="AT44" s="508">
        <f t="shared" ca="1" si="25"/>
        <v>-5.6272205109779427E-3</v>
      </c>
      <c r="AU44" s="508">
        <f t="shared" ca="1" si="25"/>
        <v>-5.6272205109779427E-3</v>
      </c>
      <c r="AV44" s="508">
        <f t="shared" ca="1" si="25"/>
        <v>-5.6272205109779427E-3</v>
      </c>
      <c r="AW44" s="508">
        <f t="shared" ca="1" si="25"/>
        <v>-5.6272205109779427E-3</v>
      </c>
      <c r="AX44" s="508">
        <f t="shared" ca="1" si="25"/>
        <v>-5.6272205109779427E-3</v>
      </c>
      <c r="AY44" s="508">
        <f t="shared" ca="1" si="25"/>
        <v>-5.6272205109779427E-3</v>
      </c>
      <c r="AZ44" s="508">
        <f t="shared" ca="1" si="25"/>
        <v>-5.6272205109779427E-3</v>
      </c>
      <c r="BA44" s="508">
        <f t="shared" ca="1" si="25"/>
        <v>-5.6272205109779427E-3</v>
      </c>
      <c r="BB44" s="508">
        <f t="shared" ca="1" si="25"/>
        <v>-5.6272205109779427E-3</v>
      </c>
      <c r="BC44" s="508">
        <f t="shared" ca="1" si="25"/>
        <v>-5.6272205109779427E-3</v>
      </c>
      <c r="BD44" s="508">
        <f t="shared" ca="1" si="25"/>
        <v>0</v>
      </c>
      <c r="BE44" s="508">
        <f t="shared" ca="1" si="25"/>
        <v>0</v>
      </c>
      <c r="BF44" s="508">
        <f t="shared" ca="1" si="25"/>
        <v>0</v>
      </c>
      <c r="BG44" s="508">
        <f t="shared" ca="1" si="25"/>
        <v>0</v>
      </c>
      <c r="BH44" s="508">
        <f t="shared" ca="1" si="25"/>
        <v>0</v>
      </c>
      <c r="BI44" s="508">
        <f t="shared" ca="1" si="25"/>
        <v>0</v>
      </c>
      <c r="BJ44" s="508">
        <f t="shared" ca="1" si="25"/>
        <v>0</v>
      </c>
      <c r="BK44" s="508">
        <f t="shared" ca="1" si="25"/>
        <v>0</v>
      </c>
      <c r="BL44" s="508">
        <f t="shared" ca="1" si="25"/>
        <v>0</v>
      </c>
      <c r="BM44" s="508">
        <f t="shared" ca="1" si="25"/>
        <v>0</v>
      </c>
      <c r="BN44" s="508"/>
      <c r="BO44" s="508"/>
      <c r="BP44" s="508">
        <f ca="1">IF($C$4=Year1,-PMT(Lookups!$E$17,25,NPV(Lookups!$E$17,AM44:BK44),0,1),IF($C$4=Year2,-PMT(Lookups!$F$17,25,NPV(Lookups!$F$17,AN44:BL44),0,1),IF($C$4=Year3,-PMT(Lookups!$G$17,25,NPV(Lookups!$G$17,AO44:BM44),0,1),-PMT(Lookups!$G$17,27,NPV(Lookups!$G$17,AM44:BM44),0,1))))</f>
        <v>-3.5597365408517418E-3</v>
      </c>
      <c r="BS44" s="84" t="str">
        <f t="shared" ref="BS44:BS46" si="26">"Avoided "&amp;E44&amp;" avoided costs divided by After Scenario sales."</f>
        <v>Avoided Gas avoided costs divided by After Scenario sales.</v>
      </c>
      <c r="BT44" s="51" t="s">
        <v>17</v>
      </c>
    </row>
    <row r="45" spans="1:72" x14ac:dyDescent="0.25">
      <c r="B45" s="243" t="str">
        <f t="shared" si="23"/>
        <v>Residential</v>
      </c>
      <c r="C45" s="243" t="str">
        <f t="shared" si="23"/>
        <v>Rates</v>
      </c>
      <c r="D45" s="244" t="str">
        <f t="shared" si="23"/>
        <v>Avoided Costs</v>
      </c>
      <c r="E45" s="86" t="s">
        <v>412</v>
      </c>
      <c r="F45" s="84" t="s">
        <v>182</v>
      </c>
      <c r="G45" s="506">
        <f ca="1">IFERROR(-G26/G17,0)</f>
        <v>0</v>
      </c>
      <c r="H45" s="506">
        <f t="shared" ref="H45:AG45" ca="1" si="27">IFERROR(-H26/H17,0)</f>
        <v>0</v>
      </c>
      <c r="I45" s="506">
        <f t="shared" ca="1" si="27"/>
        <v>-3.139868821327195E-4</v>
      </c>
      <c r="J45" s="506">
        <f t="shared" ca="1" si="27"/>
        <v>-3.139868821327195E-4</v>
      </c>
      <c r="K45" s="506">
        <f t="shared" ca="1" si="27"/>
        <v>-3.139868821327195E-4</v>
      </c>
      <c r="L45" s="506">
        <f t="shared" ca="1" si="27"/>
        <v>-3.139868821327195E-4</v>
      </c>
      <c r="M45" s="506">
        <f t="shared" ca="1" si="27"/>
        <v>-3.139868821327195E-4</v>
      </c>
      <c r="N45" s="506">
        <f t="shared" ca="1" si="27"/>
        <v>-3.139868821327195E-4</v>
      </c>
      <c r="O45" s="506">
        <f t="shared" ca="1" si="27"/>
        <v>-3.139868821327195E-4</v>
      </c>
      <c r="P45" s="506">
        <f t="shared" ca="1" si="27"/>
        <v>-3.139868821327195E-4</v>
      </c>
      <c r="Q45" s="506">
        <f t="shared" ca="1" si="27"/>
        <v>-3.139868821327195E-4</v>
      </c>
      <c r="R45" s="506">
        <f t="shared" ca="1" si="27"/>
        <v>-3.139868821327195E-4</v>
      </c>
      <c r="S45" s="506">
        <f t="shared" ca="1" si="27"/>
        <v>-3.139868821327195E-4</v>
      </c>
      <c r="T45" s="506">
        <f t="shared" ca="1" si="27"/>
        <v>-3.139868821327195E-4</v>
      </c>
      <c r="U45" s="506">
        <f t="shared" ca="1" si="27"/>
        <v>-3.139868821327195E-4</v>
      </c>
      <c r="V45" s="506">
        <f t="shared" ca="1" si="27"/>
        <v>-3.139868821327195E-4</v>
      </c>
      <c r="W45" s="506">
        <f t="shared" ca="1" si="27"/>
        <v>-3.139868821327195E-4</v>
      </c>
      <c r="X45" s="506">
        <f t="shared" ca="1" si="27"/>
        <v>0</v>
      </c>
      <c r="Y45" s="506">
        <f t="shared" ca="1" si="27"/>
        <v>0</v>
      </c>
      <c r="Z45" s="506">
        <f t="shared" ca="1" si="27"/>
        <v>0</v>
      </c>
      <c r="AA45" s="506">
        <f t="shared" ca="1" si="27"/>
        <v>0</v>
      </c>
      <c r="AB45" s="506">
        <f t="shared" ca="1" si="27"/>
        <v>0</v>
      </c>
      <c r="AC45" s="506">
        <f t="shared" ca="1" si="27"/>
        <v>0</v>
      </c>
      <c r="AD45" s="506">
        <f t="shared" ca="1" si="27"/>
        <v>0</v>
      </c>
      <c r="AE45" s="506">
        <f t="shared" ca="1" si="27"/>
        <v>0</v>
      </c>
      <c r="AF45" s="506">
        <f t="shared" ca="1" si="27"/>
        <v>0</v>
      </c>
      <c r="AG45" s="506">
        <f t="shared" ca="1" si="27"/>
        <v>0</v>
      </c>
      <c r="AH45" s="506"/>
      <c r="AI45" s="506"/>
      <c r="AJ45" s="506">
        <f ca="1">IF($C$4=Year1,-PMT(Lookups!$E$17,25,NPV(Lookups!$E$17,G45:AE45),0,1),IF($C$4=Year2,-PMT(Lookups!$F$17,25,NPV(Lookups!$F$17,H45:AF45),0,1),IF($C$4=Year3,-PMT(Lookups!$G$17,25,NPV(Lookups!$G$17,I45:AG45),0,1),-PMT(Lookups!$G$17,27,NPV(Lookups!$G$17,G45:AG45),0,1))))</f>
        <v>-1.9862569371423234E-4</v>
      </c>
      <c r="AK45" s="507"/>
      <c r="AL45" s="507"/>
      <c r="AM45" s="508">
        <f ca="1">IFERROR(-AM26/AM17,0)</f>
        <v>0</v>
      </c>
      <c r="AN45" s="508">
        <f t="shared" ref="AN45:BM45" ca="1" si="28">IFERROR(-AN26/AN17,0)</f>
        <v>0</v>
      </c>
      <c r="AO45" s="508">
        <f t="shared" ca="1" si="28"/>
        <v>-3.5918428793476226E-4</v>
      </c>
      <c r="AP45" s="508">
        <f t="shared" ca="1" si="28"/>
        <v>-3.5918428793476226E-4</v>
      </c>
      <c r="AQ45" s="508">
        <f t="shared" ca="1" si="28"/>
        <v>-3.5918428793476226E-4</v>
      </c>
      <c r="AR45" s="508">
        <f t="shared" ca="1" si="28"/>
        <v>-3.5918428793476226E-4</v>
      </c>
      <c r="AS45" s="508">
        <f t="shared" ca="1" si="28"/>
        <v>-3.5918428793476226E-4</v>
      </c>
      <c r="AT45" s="508">
        <f t="shared" ca="1" si="28"/>
        <v>-3.5918428793476226E-4</v>
      </c>
      <c r="AU45" s="508">
        <f t="shared" ca="1" si="28"/>
        <v>-3.5918428793476226E-4</v>
      </c>
      <c r="AV45" s="508">
        <f t="shared" ca="1" si="28"/>
        <v>-3.5918428793476226E-4</v>
      </c>
      <c r="AW45" s="508">
        <f t="shared" ca="1" si="28"/>
        <v>-3.5918428793476226E-4</v>
      </c>
      <c r="AX45" s="508">
        <f t="shared" ca="1" si="28"/>
        <v>-3.5918428793476226E-4</v>
      </c>
      <c r="AY45" s="508">
        <f t="shared" ca="1" si="28"/>
        <v>-3.5918428793476226E-4</v>
      </c>
      <c r="AZ45" s="508">
        <f t="shared" ca="1" si="28"/>
        <v>-3.5918428793476226E-4</v>
      </c>
      <c r="BA45" s="508">
        <f t="shared" ca="1" si="28"/>
        <v>-3.5918428793476226E-4</v>
      </c>
      <c r="BB45" s="508">
        <f t="shared" ca="1" si="28"/>
        <v>-3.5918428793476226E-4</v>
      </c>
      <c r="BC45" s="508">
        <f t="shared" ca="1" si="28"/>
        <v>-3.5918428793476226E-4</v>
      </c>
      <c r="BD45" s="508">
        <f t="shared" ca="1" si="28"/>
        <v>0</v>
      </c>
      <c r="BE45" s="508">
        <f t="shared" ca="1" si="28"/>
        <v>0</v>
      </c>
      <c r="BF45" s="508">
        <f t="shared" ca="1" si="28"/>
        <v>0</v>
      </c>
      <c r="BG45" s="508">
        <f t="shared" ca="1" si="28"/>
        <v>0</v>
      </c>
      <c r="BH45" s="508">
        <f t="shared" ca="1" si="28"/>
        <v>0</v>
      </c>
      <c r="BI45" s="508">
        <f t="shared" ca="1" si="28"/>
        <v>0</v>
      </c>
      <c r="BJ45" s="508">
        <f t="shared" ca="1" si="28"/>
        <v>0</v>
      </c>
      <c r="BK45" s="508">
        <f t="shared" ca="1" si="28"/>
        <v>0</v>
      </c>
      <c r="BL45" s="508">
        <f t="shared" ca="1" si="28"/>
        <v>0</v>
      </c>
      <c r="BM45" s="508">
        <f t="shared" ca="1" si="28"/>
        <v>0</v>
      </c>
      <c r="BN45" s="508"/>
      <c r="BO45" s="508"/>
      <c r="BP45" s="508">
        <f ca="1">IF($C$4=Year1,-PMT(Lookups!$E$17,25,NPV(Lookups!$E$17,AM45:BK45),0,1),IF($C$4=Year2,-PMT(Lookups!$F$17,25,NPV(Lookups!$F$17,AN45:BL45),0,1),IF($C$4=Year3,-PMT(Lookups!$G$17,25,NPV(Lookups!$G$17,AO45:BM45),0,1),-PMT(Lookups!$G$17,27,NPV(Lookups!$G$17,AM45:BM45),0,1))))</f>
        <v>-2.272172260118132E-4</v>
      </c>
      <c r="BS45" s="84" t="str">
        <f t="shared" si="26"/>
        <v>Avoided Gas, Retail Margin avoided costs divided by After Scenario sales.</v>
      </c>
      <c r="BT45" s="51"/>
    </row>
    <row r="46" spans="1:72" x14ac:dyDescent="0.25">
      <c r="B46" s="243" t="str">
        <f>B44</f>
        <v>Residential</v>
      </c>
      <c r="C46" s="243" t="str">
        <f>C44</f>
        <v>Rates</v>
      </c>
      <c r="D46" s="244" t="str">
        <f>D44</f>
        <v>Avoided Costs</v>
      </c>
      <c r="E46" s="86" t="s">
        <v>175</v>
      </c>
      <c r="F46" s="84" t="s">
        <v>182</v>
      </c>
      <c r="G46" s="506">
        <f ca="1">IFERROR(-G27/G17,0)</f>
        <v>0</v>
      </c>
      <c r="H46" s="506">
        <f t="shared" ref="H46:AG46" ca="1" si="29">IFERROR(-H27/H17,0)</f>
        <v>0</v>
      </c>
      <c r="I46" s="506">
        <f t="shared" ca="1" si="29"/>
        <v>-1.9415914125841033E-4</v>
      </c>
      <c r="J46" s="506">
        <f t="shared" ca="1" si="29"/>
        <v>-1.9415914125841033E-4</v>
      </c>
      <c r="K46" s="506">
        <f t="shared" ca="1" si="29"/>
        <v>-1.9415914125841033E-4</v>
      </c>
      <c r="L46" s="506">
        <f t="shared" ca="1" si="29"/>
        <v>-1.9415914125841033E-4</v>
      </c>
      <c r="M46" s="506">
        <f t="shared" ca="1" si="29"/>
        <v>-1.9415914125841033E-4</v>
      </c>
      <c r="N46" s="506">
        <f t="shared" ca="1" si="29"/>
        <v>-1.9415914125841033E-4</v>
      </c>
      <c r="O46" s="506">
        <f t="shared" ca="1" si="29"/>
        <v>-1.9415914125841033E-4</v>
      </c>
      <c r="P46" s="506">
        <f t="shared" ca="1" si="29"/>
        <v>-1.9415914125841033E-4</v>
      </c>
      <c r="Q46" s="506">
        <f t="shared" ca="1" si="29"/>
        <v>-1.9415914125841033E-4</v>
      </c>
      <c r="R46" s="506">
        <f t="shared" ca="1" si="29"/>
        <v>-1.9415914125841033E-4</v>
      </c>
      <c r="S46" s="506">
        <f t="shared" ca="1" si="29"/>
        <v>-1.9415914125841033E-4</v>
      </c>
      <c r="T46" s="506">
        <f t="shared" ca="1" si="29"/>
        <v>-1.9415914125841033E-4</v>
      </c>
      <c r="U46" s="506">
        <f t="shared" ca="1" si="29"/>
        <v>-1.9415914125841033E-4</v>
      </c>
      <c r="V46" s="506">
        <f t="shared" ca="1" si="29"/>
        <v>-1.9415914125841033E-4</v>
      </c>
      <c r="W46" s="506">
        <f t="shared" ca="1" si="29"/>
        <v>-1.9415914125841033E-4</v>
      </c>
      <c r="X46" s="506">
        <f t="shared" ca="1" si="29"/>
        <v>0</v>
      </c>
      <c r="Y46" s="506">
        <f t="shared" ca="1" si="29"/>
        <v>0</v>
      </c>
      <c r="Z46" s="506">
        <f t="shared" ca="1" si="29"/>
        <v>0</v>
      </c>
      <c r="AA46" s="506">
        <f t="shared" ca="1" si="29"/>
        <v>0</v>
      </c>
      <c r="AB46" s="506">
        <f t="shared" ca="1" si="29"/>
        <v>0</v>
      </c>
      <c r="AC46" s="506">
        <f t="shared" ca="1" si="29"/>
        <v>0</v>
      </c>
      <c r="AD46" s="506">
        <f t="shared" ca="1" si="29"/>
        <v>0</v>
      </c>
      <c r="AE46" s="506">
        <f t="shared" ca="1" si="29"/>
        <v>0</v>
      </c>
      <c r="AF46" s="506">
        <f t="shared" ca="1" si="29"/>
        <v>0</v>
      </c>
      <c r="AG46" s="506">
        <f t="shared" ca="1" si="29"/>
        <v>0</v>
      </c>
      <c r="AH46" s="506"/>
      <c r="AI46" s="506"/>
      <c r="AJ46" s="506">
        <f ca="1">IF($C$4=Year1,-PMT(Lookups!$E$17,25,NPV(Lookups!$E$17,G46:AE46),0,1),IF($C$4=Year2,-PMT(Lookups!$F$17,25,NPV(Lookups!$F$17,H46:AF46),0,1),IF($C$4=Year3,-PMT(Lookups!$G$17,25,NPV(Lookups!$G$17,I46:AG46),0,1),-PMT(Lookups!$G$17,27,NPV(Lookups!$G$17,G46:AG46),0,1))))</f>
        <v>-1.2282358377987997E-4</v>
      </c>
      <c r="AK46" s="507"/>
      <c r="AL46" s="507"/>
      <c r="AM46" s="508">
        <f ca="1">IFERROR(-AM27/AM17,0)</f>
        <v>0</v>
      </c>
      <c r="AN46" s="508">
        <f t="shared" ref="AN46:BM46" ca="1" si="30">IFERROR(-AN27/AN17,0)</f>
        <v>0</v>
      </c>
      <c r="AO46" s="508">
        <f t="shared" ca="1" si="30"/>
        <v>-2.2210772763891777E-4</v>
      </c>
      <c r="AP46" s="508">
        <f t="shared" ca="1" si="30"/>
        <v>-2.2210772763891777E-4</v>
      </c>
      <c r="AQ46" s="508">
        <f t="shared" ca="1" si="30"/>
        <v>-2.2210772763891777E-4</v>
      </c>
      <c r="AR46" s="508">
        <f t="shared" ca="1" si="30"/>
        <v>-2.2210772763891777E-4</v>
      </c>
      <c r="AS46" s="508">
        <f t="shared" ca="1" si="30"/>
        <v>-2.2210772763891777E-4</v>
      </c>
      <c r="AT46" s="508">
        <f t="shared" ca="1" si="30"/>
        <v>-2.2210772763891777E-4</v>
      </c>
      <c r="AU46" s="508">
        <f t="shared" ca="1" si="30"/>
        <v>-2.2210772763891777E-4</v>
      </c>
      <c r="AV46" s="508">
        <f t="shared" ca="1" si="30"/>
        <v>-2.2210772763891777E-4</v>
      </c>
      <c r="AW46" s="508">
        <f t="shared" ca="1" si="30"/>
        <v>-2.2210772763891777E-4</v>
      </c>
      <c r="AX46" s="508">
        <f t="shared" ca="1" si="30"/>
        <v>-2.2210772763891777E-4</v>
      </c>
      <c r="AY46" s="508">
        <f t="shared" ca="1" si="30"/>
        <v>-2.2210772763891777E-4</v>
      </c>
      <c r="AZ46" s="508">
        <f t="shared" ca="1" si="30"/>
        <v>-2.2210772763891777E-4</v>
      </c>
      <c r="BA46" s="508">
        <f t="shared" ca="1" si="30"/>
        <v>-2.2210772763891777E-4</v>
      </c>
      <c r="BB46" s="508">
        <f t="shared" ca="1" si="30"/>
        <v>-2.2210772763891777E-4</v>
      </c>
      <c r="BC46" s="508">
        <f t="shared" ca="1" si="30"/>
        <v>-2.2210772763891777E-4</v>
      </c>
      <c r="BD46" s="508">
        <f t="shared" ca="1" si="30"/>
        <v>0</v>
      </c>
      <c r="BE46" s="508">
        <f t="shared" ca="1" si="30"/>
        <v>0</v>
      </c>
      <c r="BF46" s="508">
        <f t="shared" ca="1" si="30"/>
        <v>0</v>
      </c>
      <c r="BG46" s="508">
        <f t="shared" ca="1" si="30"/>
        <v>0</v>
      </c>
      <c r="BH46" s="508">
        <f t="shared" ca="1" si="30"/>
        <v>0</v>
      </c>
      <c r="BI46" s="508">
        <f t="shared" ca="1" si="30"/>
        <v>0</v>
      </c>
      <c r="BJ46" s="508">
        <f t="shared" ca="1" si="30"/>
        <v>0</v>
      </c>
      <c r="BK46" s="508">
        <f t="shared" ca="1" si="30"/>
        <v>0</v>
      </c>
      <c r="BL46" s="508">
        <f t="shared" ca="1" si="30"/>
        <v>0</v>
      </c>
      <c r="BM46" s="508">
        <f t="shared" ca="1" si="30"/>
        <v>0</v>
      </c>
      <c r="BN46" s="508"/>
      <c r="BO46" s="508"/>
      <c r="BP46" s="508">
        <f ca="1">IF($C$4=Year1,-PMT(Lookups!$E$17,25,NPV(Lookups!$E$17,AM46:BK46),0,1),IF($C$4=Year2,-PMT(Lookups!$F$17,25,NPV(Lookups!$F$17,AN46:BL46),0,1),IF($C$4=Year3,-PMT(Lookups!$G$17,25,NPV(Lookups!$G$17,AO46:BM46),0,1),-PMT(Lookups!$G$17,27,NPV(Lookups!$G$17,AM46:BM46),0,1))))</f>
        <v>-1.4050364519026064E-4</v>
      </c>
      <c r="BS46" s="84" t="str">
        <f t="shared" si="26"/>
        <v>Avoided Gas DRIPE avoided costs divided by After Scenario sales.</v>
      </c>
      <c r="BT46" s="51" t="s">
        <v>17</v>
      </c>
    </row>
    <row r="47" spans="1:72" x14ac:dyDescent="0.25">
      <c r="B47" s="243" t="str">
        <f t="shared" si="23"/>
        <v>Residential</v>
      </c>
      <c r="C47" s="243" t="str">
        <f t="shared" si="23"/>
        <v>Rates</v>
      </c>
      <c r="D47" s="244" t="str">
        <f t="shared" si="23"/>
        <v>Avoided Costs</v>
      </c>
      <c r="E47" s="86" t="s">
        <v>76</v>
      </c>
      <c r="F47" s="84" t="s">
        <v>182</v>
      </c>
      <c r="G47" s="506">
        <f ca="1">SUM(G44:G46)</f>
        <v>0</v>
      </c>
      <c r="H47" s="506">
        <f ca="1">SUM(H44:H46)</f>
        <v>0</v>
      </c>
      <c r="I47" s="506">
        <f t="shared" ref="I47:AG47" ca="1" si="31">SUM(I44:I46)</f>
        <v>-5.4272738434704027E-3</v>
      </c>
      <c r="J47" s="506">
        <f t="shared" ca="1" si="31"/>
        <v>-5.4272738434704027E-3</v>
      </c>
      <c r="K47" s="506">
        <f t="shared" ca="1" si="31"/>
        <v>-5.4272738434704027E-3</v>
      </c>
      <c r="L47" s="506">
        <f t="shared" ca="1" si="31"/>
        <v>-5.4272738434704027E-3</v>
      </c>
      <c r="M47" s="506">
        <f t="shared" ca="1" si="31"/>
        <v>-5.4272738434704027E-3</v>
      </c>
      <c r="N47" s="506">
        <f t="shared" ca="1" si="31"/>
        <v>-5.4272738434704027E-3</v>
      </c>
      <c r="O47" s="506">
        <f t="shared" ca="1" si="31"/>
        <v>-5.4272738434704027E-3</v>
      </c>
      <c r="P47" s="506">
        <f t="shared" ca="1" si="31"/>
        <v>-5.4272738434704027E-3</v>
      </c>
      <c r="Q47" s="506">
        <f t="shared" ca="1" si="31"/>
        <v>-5.4272738434704027E-3</v>
      </c>
      <c r="R47" s="506">
        <f t="shared" ca="1" si="31"/>
        <v>-5.4272738434704027E-3</v>
      </c>
      <c r="S47" s="506">
        <f t="shared" ca="1" si="31"/>
        <v>-5.4272738434704027E-3</v>
      </c>
      <c r="T47" s="506">
        <f t="shared" ca="1" si="31"/>
        <v>-5.4272738434704027E-3</v>
      </c>
      <c r="U47" s="506">
        <f t="shared" ca="1" si="31"/>
        <v>-5.4272738434704027E-3</v>
      </c>
      <c r="V47" s="506">
        <f t="shared" ca="1" si="31"/>
        <v>-5.4272738434704027E-3</v>
      </c>
      <c r="W47" s="506">
        <f t="shared" ca="1" si="31"/>
        <v>-5.4272738434704027E-3</v>
      </c>
      <c r="X47" s="506">
        <f t="shared" ca="1" si="31"/>
        <v>0</v>
      </c>
      <c r="Y47" s="506">
        <f t="shared" ca="1" si="31"/>
        <v>0</v>
      </c>
      <c r="Z47" s="506">
        <f t="shared" ca="1" si="31"/>
        <v>0</v>
      </c>
      <c r="AA47" s="506">
        <f t="shared" ca="1" si="31"/>
        <v>0</v>
      </c>
      <c r="AB47" s="506">
        <f t="shared" ca="1" si="31"/>
        <v>0</v>
      </c>
      <c r="AC47" s="506">
        <f t="shared" ca="1" si="31"/>
        <v>0</v>
      </c>
      <c r="AD47" s="506">
        <f t="shared" ca="1" si="31"/>
        <v>0</v>
      </c>
      <c r="AE47" s="506">
        <f t="shared" ca="1" si="31"/>
        <v>0</v>
      </c>
      <c r="AF47" s="506">
        <f t="shared" ca="1" si="31"/>
        <v>0</v>
      </c>
      <c r="AG47" s="506">
        <f t="shared" ca="1" si="31"/>
        <v>0</v>
      </c>
      <c r="AH47" s="506"/>
      <c r="AI47" s="506"/>
      <c r="AJ47" s="506">
        <f ca="1">IF($C$4=Year1,-PMT(Lookups!$E$17,25,NPV(Lookups!$E$17,G47:AE47),0,1),IF($C$4=Year2,-PMT(Lookups!$F$17,25,NPV(Lookups!$F$17,H47:AF47),0,1),IF($C$4=Year3,-PMT(Lookups!$G$17,25,NPV(Lookups!$G$17,I47:AG47),0,1),-PMT(Lookups!$G$17,27,NPV(Lookups!$G$17,G47:AG47),0,1))))</f>
        <v>-3.4332518123504174E-3</v>
      </c>
      <c r="AK47" s="507"/>
      <c r="AL47" s="507"/>
      <c r="AM47" s="508">
        <f ca="1">SUM(AM44:AM46)</f>
        <v>0</v>
      </c>
      <c r="AN47" s="508">
        <f t="shared" ref="AN47:BM47" ca="1" si="32">SUM(AN44:AN46)</f>
        <v>0</v>
      </c>
      <c r="AO47" s="508">
        <f t="shared" ca="1" si="32"/>
        <v>-6.2085125265516228E-3</v>
      </c>
      <c r="AP47" s="508">
        <f t="shared" ca="1" si="32"/>
        <v>-6.2085125265516228E-3</v>
      </c>
      <c r="AQ47" s="508">
        <f t="shared" ca="1" si="32"/>
        <v>-6.2085125265516228E-3</v>
      </c>
      <c r="AR47" s="508">
        <f t="shared" ca="1" si="32"/>
        <v>-6.2085125265516228E-3</v>
      </c>
      <c r="AS47" s="508">
        <f t="shared" ca="1" si="32"/>
        <v>-6.2085125265516228E-3</v>
      </c>
      <c r="AT47" s="508">
        <f t="shared" ca="1" si="32"/>
        <v>-6.2085125265516228E-3</v>
      </c>
      <c r="AU47" s="508">
        <f t="shared" ca="1" si="32"/>
        <v>-6.2085125265516228E-3</v>
      </c>
      <c r="AV47" s="508">
        <f t="shared" ca="1" si="32"/>
        <v>-6.2085125265516228E-3</v>
      </c>
      <c r="AW47" s="508">
        <f t="shared" ca="1" si="32"/>
        <v>-6.2085125265516228E-3</v>
      </c>
      <c r="AX47" s="508">
        <f t="shared" ca="1" si="32"/>
        <v>-6.2085125265516228E-3</v>
      </c>
      <c r="AY47" s="508">
        <f t="shared" ca="1" si="32"/>
        <v>-6.2085125265516228E-3</v>
      </c>
      <c r="AZ47" s="508">
        <f t="shared" ca="1" si="32"/>
        <v>-6.2085125265516228E-3</v>
      </c>
      <c r="BA47" s="508">
        <f t="shared" ca="1" si="32"/>
        <v>-6.2085125265516228E-3</v>
      </c>
      <c r="BB47" s="508">
        <f t="shared" ca="1" si="32"/>
        <v>-6.2085125265516228E-3</v>
      </c>
      <c r="BC47" s="508">
        <f t="shared" ca="1" si="32"/>
        <v>-6.2085125265516228E-3</v>
      </c>
      <c r="BD47" s="508">
        <f t="shared" ca="1" si="32"/>
        <v>0</v>
      </c>
      <c r="BE47" s="508">
        <f t="shared" ca="1" si="32"/>
        <v>0</v>
      </c>
      <c r="BF47" s="508">
        <f t="shared" ca="1" si="32"/>
        <v>0</v>
      </c>
      <c r="BG47" s="508">
        <f t="shared" ca="1" si="32"/>
        <v>0</v>
      </c>
      <c r="BH47" s="508">
        <f t="shared" ca="1" si="32"/>
        <v>0</v>
      </c>
      <c r="BI47" s="508">
        <f t="shared" ca="1" si="32"/>
        <v>0</v>
      </c>
      <c r="BJ47" s="508">
        <f t="shared" ca="1" si="32"/>
        <v>0</v>
      </c>
      <c r="BK47" s="508">
        <f t="shared" ca="1" si="32"/>
        <v>0</v>
      </c>
      <c r="BL47" s="508">
        <f t="shared" ca="1" si="32"/>
        <v>0</v>
      </c>
      <c r="BM47" s="508">
        <f t="shared" ca="1" si="32"/>
        <v>0</v>
      </c>
      <c r="BN47" s="508"/>
      <c r="BO47" s="508"/>
      <c r="BP47" s="508">
        <f ca="1">IF($C$4=Year1,-PMT(Lookups!$E$17,25,NPV(Lookups!$E$17,AM47:BK47),0,1),IF($C$4=Year2,-PMT(Lookups!$F$17,25,NPV(Lookups!$F$17,AN47:BL47),0,1),IF($C$4=Year3,-PMT(Lookups!$G$17,25,NPV(Lookups!$G$17,AO47:BM47),0,1),-PMT(Lookups!$G$17,27,NPV(Lookups!$G$17,AM47:BM47),0,1))))</f>
        <v>-3.9274574120538152E-3</v>
      </c>
      <c r="BS47" s="84" t="s">
        <v>232</v>
      </c>
      <c r="BT47" s="51" t="s">
        <v>17</v>
      </c>
    </row>
    <row r="48" spans="1:72" x14ac:dyDescent="0.25">
      <c r="B48" s="243" t="str">
        <f t="shared" si="23"/>
        <v>Residential</v>
      </c>
      <c r="C48" s="243" t="str">
        <f t="shared" si="23"/>
        <v>Rates</v>
      </c>
      <c r="D48" s="114" t="s">
        <v>165</v>
      </c>
      <c r="E48" s="86"/>
      <c r="F48" s="86"/>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506"/>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S48" s="84"/>
      <c r="BT48" s="51" t="s">
        <v>17</v>
      </c>
    </row>
    <row r="49" spans="1:72" x14ac:dyDescent="0.25">
      <c r="A49" s="246"/>
      <c r="B49" s="243" t="str">
        <f t="shared" si="23"/>
        <v>Residential</v>
      </c>
      <c r="C49" s="243" t="str">
        <f t="shared" si="23"/>
        <v>Rates</v>
      </c>
      <c r="D49" s="244" t="str">
        <f t="shared" si="23"/>
        <v>Increased Costs and Cost Shifting</v>
      </c>
      <c r="E49" s="84" t="s">
        <v>406</v>
      </c>
      <c r="F49" s="84" t="s">
        <v>182</v>
      </c>
      <c r="G49" s="509">
        <f ca="1">IF($C$4=Lookups!$D$40,SUM(INDIRECT("'Yr1'!"&amp;ADDRESS(ROW(G49),COLUMN(G49))),INDIRECT("'Yr2'!"&amp;ADDRESS(ROW(G49),COLUMN(G49))),INDIRECT("'Yr3'!"&amp;ADDRESS(ROW(G49),COLUMN(G49)))),
IF($C$4=G$7,SUMIFS('EE Inputs'!$L$9:$L$32,'EE Inputs'!$C$9:$C$32,$G$6,'EE Inputs'!$D$9:$D$32,$C$4,'EE Inputs'!$E$9:$E$32,$B49),0))</f>
        <v>0</v>
      </c>
      <c r="H49" s="509">
        <f ca="1">IF($C$4=Lookups!$D$40,SUM(INDIRECT("'Yr1'!"&amp;ADDRESS(ROW(H49),COLUMN(H49))),INDIRECT("'Yr2'!"&amp;ADDRESS(ROW(H49),COLUMN(H49))),INDIRECT("'Yr3'!"&amp;ADDRESS(ROW(H49),COLUMN(H49)))),
IF($C$4=H$7,SUMIFS('EE Inputs'!$L$9:$L$32,'EE Inputs'!$C$9:$C$32,$G$6,'EE Inputs'!$D$9:$D$32,$C$4,'EE Inputs'!$E$9:$E$32,$B49),0))</f>
        <v>0</v>
      </c>
      <c r="I49" s="509">
        <f ca="1">IF($C$4=Lookups!$D$40,SUM(INDIRECT("'Yr1'!"&amp;ADDRESS(ROW(I49),COLUMN(I49))),INDIRECT("'Yr2'!"&amp;ADDRESS(ROW(I49),COLUMN(I49))),INDIRECT("'Yr3'!"&amp;ADDRESS(ROW(I49),COLUMN(I49)))),
IF($C$4=I$7,SUMIFS('EE Inputs'!$L$9:$L$32,'EE Inputs'!$C$9:$C$32,$G$6,'EE Inputs'!$D$9:$D$32,$C$4,'EE Inputs'!$E$9:$E$32,$B49),0))</f>
        <v>6.8785811560470811E-2</v>
      </c>
      <c r="J49" s="509">
        <f ca="1">IF($C$4=Lookups!$D$40,SUM(INDIRECT("'Yr1'!"&amp;ADDRESS(ROW(J49),COLUMN(J49))),INDIRECT("'Yr2'!"&amp;ADDRESS(ROW(J49),COLUMN(J49))),INDIRECT("'Yr3'!"&amp;ADDRESS(ROW(J49),COLUMN(J49)))),
IF($C$4=J$7,SUMIFS('EE Inputs'!$L$9:$L$32,'EE Inputs'!$C$9:$C$32,$G$6,'EE Inputs'!$D$9:$D$32,$C$4,'EE Inputs'!$E$9:$E$32,$B49),0))</f>
        <v>0</v>
      </c>
      <c r="K49" s="509">
        <f ca="1">IF($C$4=Lookups!$D$40,SUM(INDIRECT("'Yr1'!"&amp;ADDRESS(ROW(K49),COLUMN(K49))),INDIRECT("'Yr2'!"&amp;ADDRESS(ROW(K49),COLUMN(K49))),INDIRECT("'Yr3'!"&amp;ADDRESS(ROW(K49),COLUMN(K49)))),
IF($C$4=K$7,SUMIFS('EE Inputs'!$L$9:$L$32,'EE Inputs'!$C$9:$C$32,$G$6,'EE Inputs'!$D$9:$D$32,$C$4,'EE Inputs'!$E$9:$E$32,$B49),0))</f>
        <v>0</v>
      </c>
      <c r="L49" s="509">
        <f ca="1">IF($C$4=Lookups!$D$40,SUM(INDIRECT("'Yr1'!"&amp;ADDRESS(ROW(L49),COLUMN(L49))),INDIRECT("'Yr2'!"&amp;ADDRESS(ROW(L49),COLUMN(L49))),INDIRECT("'Yr3'!"&amp;ADDRESS(ROW(L49),COLUMN(L49)))),
IF($C$4=L$7,SUMIFS('EE Inputs'!$L$9:$L$32,'EE Inputs'!$C$9:$C$32,$G$6,'EE Inputs'!$D$9:$D$32,$C$4,'EE Inputs'!$E$9:$E$32,$B49),0))</f>
        <v>0</v>
      </c>
      <c r="M49" s="509">
        <f ca="1">IF($C$4=Lookups!$D$40,SUM(INDIRECT("'Yr1'!"&amp;ADDRESS(ROW(M49),COLUMN(M49))),INDIRECT("'Yr2'!"&amp;ADDRESS(ROW(M49),COLUMN(M49))),INDIRECT("'Yr3'!"&amp;ADDRESS(ROW(M49),COLUMN(M49)))),
IF($C$4=M$7,SUMIFS('EE Inputs'!$L$9:$L$32,'EE Inputs'!$C$9:$C$32,$G$6,'EE Inputs'!$D$9:$D$32,$C$4,'EE Inputs'!$E$9:$E$32,$B49),0))</f>
        <v>0</v>
      </c>
      <c r="N49" s="509">
        <f ca="1">IF($C$4=Lookups!$D$40,SUM(INDIRECT("'Yr1'!"&amp;ADDRESS(ROW(N49),COLUMN(N49))),INDIRECT("'Yr2'!"&amp;ADDRESS(ROW(N49),COLUMN(N49))),INDIRECT("'Yr3'!"&amp;ADDRESS(ROW(N49),COLUMN(N49)))),
IF($C$4=N$7,SUMIFS('EE Inputs'!$L$9:$L$32,'EE Inputs'!$C$9:$C$32,$G$6,'EE Inputs'!$D$9:$D$32,$C$4,'EE Inputs'!$E$9:$E$32,$B49),0))</f>
        <v>0</v>
      </c>
      <c r="O49" s="509">
        <f ca="1">IF($C$4=Lookups!$D$40,SUM(INDIRECT("'Yr1'!"&amp;ADDRESS(ROW(O49),COLUMN(O49))),INDIRECT("'Yr2'!"&amp;ADDRESS(ROW(O49),COLUMN(O49))),INDIRECT("'Yr3'!"&amp;ADDRESS(ROW(O49),COLUMN(O49)))),
IF($C$4=O$7,SUMIFS('EE Inputs'!$L$9:$L$32,'EE Inputs'!$C$9:$C$32,$G$6,'EE Inputs'!$D$9:$D$32,$C$4,'EE Inputs'!$E$9:$E$32,$B49),0))</f>
        <v>0</v>
      </c>
      <c r="P49" s="509">
        <f ca="1">IF($C$4=Lookups!$D$40,SUM(INDIRECT("'Yr1'!"&amp;ADDRESS(ROW(P49),COLUMN(P49))),INDIRECT("'Yr2'!"&amp;ADDRESS(ROW(P49),COLUMN(P49))),INDIRECT("'Yr3'!"&amp;ADDRESS(ROW(P49),COLUMN(P49)))),
IF($C$4=P$7,SUMIFS('EE Inputs'!$L$9:$L$32,'EE Inputs'!$C$9:$C$32,$G$6,'EE Inputs'!$D$9:$D$32,$C$4,'EE Inputs'!$E$9:$E$32,$B49),0))</f>
        <v>0</v>
      </c>
      <c r="Q49" s="509">
        <f ca="1">IF($C$4=Lookups!$D$40,SUM(INDIRECT("'Yr1'!"&amp;ADDRESS(ROW(Q49),COLUMN(Q49))),INDIRECT("'Yr2'!"&amp;ADDRESS(ROW(Q49),COLUMN(Q49))),INDIRECT("'Yr3'!"&amp;ADDRESS(ROW(Q49),COLUMN(Q49)))),
IF($C$4=Q$7,SUMIFS('EE Inputs'!$L$9:$L$32,'EE Inputs'!$C$9:$C$32,$G$6,'EE Inputs'!$D$9:$D$32,$C$4,'EE Inputs'!$E$9:$E$32,$B49),0))</f>
        <v>0</v>
      </c>
      <c r="R49" s="509">
        <f ca="1">IF($C$4=Lookups!$D$40,SUM(INDIRECT("'Yr1'!"&amp;ADDRESS(ROW(R49),COLUMN(R49))),INDIRECT("'Yr2'!"&amp;ADDRESS(ROW(R49),COLUMN(R49))),INDIRECT("'Yr3'!"&amp;ADDRESS(ROW(R49),COLUMN(R49)))),
IF($C$4=R$7,SUMIFS('EE Inputs'!$L$9:$L$32,'EE Inputs'!$C$9:$C$32,$G$6,'EE Inputs'!$D$9:$D$32,$C$4,'EE Inputs'!$E$9:$E$32,$B49),0))</f>
        <v>0</v>
      </c>
      <c r="S49" s="509">
        <f ca="1">IF($C$4=Lookups!$D$40,SUM(INDIRECT("'Yr1'!"&amp;ADDRESS(ROW(S49),COLUMN(S49))),INDIRECT("'Yr2'!"&amp;ADDRESS(ROW(S49),COLUMN(S49))),INDIRECT("'Yr3'!"&amp;ADDRESS(ROW(S49),COLUMN(S49)))),
IF($C$4=S$7,SUMIFS('EE Inputs'!$L$9:$L$32,'EE Inputs'!$C$9:$C$32,$G$6,'EE Inputs'!$D$9:$D$32,$C$4,'EE Inputs'!$E$9:$E$32,$B49),0))</f>
        <v>0</v>
      </c>
      <c r="T49" s="509">
        <f ca="1">IF($C$4=Lookups!$D$40,SUM(INDIRECT("'Yr1'!"&amp;ADDRESS(ROW(T49),COLUMN(T49))),INDIRECT("'Yr2'!"&amp;ADDRESS(ROW(T49),COLUMN(T49))),INDIRECT("'Yr3'!"&amp;ADDRESS(ROW(T49),COLUMN(T49)))),
IF($C$4=T$7,SUMIFS('EE Inputs'!$L$9:$L$32,'EE Inputs'!$C$9:$C$32,$G$6,'EE Inputs'!$D$9:$D$32,$C$4,'EE Inputs'!$E$9:$E$32,$B49),0))</f>
        <v>0</v>
      </c>
      <c r="U49" s="509">
        <f ca="1">IF($C$4=Lookups!$D$40,SUM(INDIRECT("'Yr1'!"&amp;ADDRESS(ROW(U49),COLUMN(U49))),INDIRECT("'Yr2'!"&amp;ADDRESS(ROW(U49),COLUMN(U49))),INDIRECT("'Yr3'!"&amp;ADDRESS(ROW(U49),COLUMN(U49)))),
IF($C$4=U$7,SUMIFS('EE Inputs'!$L$9:$L$32,'EE Inputs'!$C$9:$C$32,$G$6,'EE Inputs'!$D$9:$D$32,$C$4,'EE Inputs'!$E$9:$E$32,$B49),0))</f>
        <v>0</v>
      </c>
      <c r="V49" s="509">
        <f ca="1">IF($C$4=Lookups!$D$40,SUM(INDIRECT("'Yr1'!"&amp;ADDRESS(ROW(V49),COLUMN(V49))),INDIRECT("'Yr2'!"&amp;ADDRESS(ROW(V49),COLUMN(V49))),INDIRECT("'Yr3'!"&amp;ADDRESS(ROW(V49),COLUMN(V49)))),
IF($C$4=V$7,SUMIFS('EE Inputs'!$L$9:$L$32,'EE Inputs'!$C$9:$C$32,$G$6,'EE Inputs'!$D$9:$D$32,$C$4,'EE Inputs'!$E$9:$E$32,$B49),0))</f>
        <v>0</v>
      </c>
      <c r="W49" s="509">
        <f ca="1">IF($C$4=Lookups!$D$40,SUM(INDIRECT("'Yr1'!"&amp;ADDRESS(ROW(W49),COLUMN(W49))),INDIRECT("'Yr2'!"&amp;ADDRESS(ROW(W49),COLUMN(W49))),INDIRECT("'Yr3'!"&amp;ADDRESS(ROW(W49),COLUMN(W49)))),
IF($C$4=W$7,SUMIFS('EE Inputs'!$L$9:$L$32,'EE Inputs'!$C$9:$C$32,$G$6,'EE Inputs'!$D$9:$D$32,$C$4,'EE Inputs'!$E$9:$E$32,$B49),0))</f>
        <v>0</v>
      </c>
      <c r="X49" s="509">
        <f ca="1">IF($C$4=Lookups!$D$40,SUM(INDIRECT("'Yr1'!"&amp;ADDRESS(ROW(X49),COLUMN(X49))),INDIRECT("'Yr2'!"&amp;ADDRESS(ROW(X49),COLUMN(X49))),INDIRECT("'Yr3'!"&amp;ADDRESS(ROW(X49),COLUMN(X49)))),
IF($C$4=X$7,SUMIFS('EE Inputs'!$L$9:$L$32,'EE Inputs'!$C$9:$C$32,$G$6,'EE Inputs'!$D$9:$D$32,$C$4,'EE Inputs'!$E$9:$E$32,$B49),0))</f>
        <v>0</v>
      </c>
      <c r="Y49" s="509">
        <f ca="1">IF($C$4=Lookups!$D$40,SUM(INDIRECT("'Yr1'!"&amp;ADDRESS(ROW(Y49),COLUMN(Y49))),INDIRECT("'Yr2'!"&amp;ADDRESS(ROW(Y49),COLUMN(Y49))),INDIRECT("'Yr3'!"&amp;ADDRESS(ROW(Y49),COLUMN(Y49)))),
IF($C$4=Y$7,SUMIFS('EE Inputs'!$L$9:$L$32,'EE Inputs'!$C$9:$C$32,$G$6,'EE Inputs'!$D$9:$D$32,$C$4,'EE Inputs'!$E$9:$E$32,$B49),0))</f>
        <v>0</v>
      </c>
      <c r="Z49" s="509">
        <f ca="1">IF($C$4=Lookups!$D$40,SUM(INDIRECT("'Yr1'!"&amp;ADDRESS(ROW(Z49),COLUMN(Z49))),INDIRECT("'Yr2'!"&amp;ADDRESS(ROW(Z49),COLUMN(Z49))),INDIRECT("'Yr3'!"&amp;ADDRESS(ROW(Z49),COLUMN(Z49)))),
IF($C$4=Z$7,SUMIFS('EE Inputs'!$L$9:$L$32,'EE Inputs'!$C$9:$C$32,$G$6,'EE Inputs'!$D$9:$D$32,$C$4,'EE Inputs'!$E$9:$E$32,$B49),0))</f>
        <v>0</v>
      </c>
      <c r="AA49" s="509">
        <f ca="1">IF($C$4=Lookups!$D$40,SUM(INDIRECT("'Yr1'!"&amp;ADDRESS(ROW(AA49),COLUMN(AA49))),INDIRECT("'Yr2'!"&amp;ADDRESS(ROW(AA49),COLUMN(AA49))),INDIRECT("'Yr3'!"&amp;ADDRESS(ROW(AA49),COLUMN(AA49)))),
IF($C$4=AA$7,SUMIFS('EE Inputs'!$L$9:$L$32,'EE Inputs'!$C$9:$C$32,$G$6,'EE Inputs'!$D$9:$D$32,$C$4,'EE Inputs'!$E$9:$E$32,$B49),0))</f>
        <v>0</v>
      </c>
      <c r="AB49" s="509">
        <f ca="1">IF($C$4=Lookups!$D$40,SUM(INDIRECT("'Yr1'!"&amp;ADDRESS(ROW(AB49),COLUMN(AB49))),INDIRECT("'Yr2'!"&amp;ADDRESS(ROW(AB49),COLUMN(AB49))),INDIRECT("'Yr3'!"&amp;ADDRESS(ROW(AB49),COLUMN(AB49)))),
IF($C$4=AB$7,SUMIFS('EE Inputs'!$L$9:$L$32,'EE Inputs'!$C$9:$C$32,$G$6,'EE Inputs'!$D$9:$D$32,$C$4,'EE Inputs'!$E$9:$E$32,$B49),0))</f>
        <v>0</v>
      </c>
      <c r="AC49" s="509">
        <f ca="1">IF($C$4=Lookups!$D$40,SUM(INDIRECT("'Yr1'!"&amp;ADDRESS(ROW(AC49),COLUMN(AC49))),INDIRECT("'Yr2'!"&amp;ADDRESS(ROW(AC49),COLUMN(AC49))),INDIRECT("'Yr3'!"&amp;ADDRESS(ROW(AC49),COLUMN(AC49)))),
IF($C$4=AC$7,SUMIFS('EE Inputs'!$L$9:$L$32,'EE Inputs'!$C$9:$C$32,$G$6,'EE Inputs'!$D$9:$D$32,$C$4,'EE Inputs'!$E$9:$E$32,$B49),0))</f>
        <v>0</v>
      </c>
      <c r="AD49" s="509">
        <f ca="1">IF($C$4=Lookups!$D$40,SUM(INDIRECT("'Yr1'!"&amp;ADDRESS(ROW(AD49),COLUMN(AD49))),INDIRECT("'Yr2'!"&amp;ADDRESS(ROW(AD49),COLUMN(AD49))),INDIRECT("'Yr3'!"&amp;ADDRESS(ROW(AD49),COLUMN(AD49)))),
IF($C$4=AD$7,SUMIFS('EE Inputs'!$L$9:$L$32,'EE Inputs'!$C$9:$C$32,$G$6,'EE Inputs'!$D$9:$D$32,$C$4,'EE Inputs'!$E$9:$E$32,$B49),0))</f>
        <v>0</v>
      </c>
      <c r="AE49" s="509">
        <f ca="1">IF($C$4=Lookups!$D$40,SUM(INDIRECT("'Yr1'!"&amp;ADDRESS(ROW(AE49),COLUMN(AE49))),INDIRECT("'Yr2'!"&amp;ADDRESS(ROW(AE49),COLUMN(AE49))),INDIRECT("'Yr3'!"&amp;ADDRESS(ROW(AE49),COLUMN(AE49)))),
IF($C$4=AE$7,SUMIFS('EE Inputs'!$L$9:$L$32,'EE Inputs'!$C$9:$C$32,$G$6,'EE Inputs'!$D$9:$D$32,$C$4,'EE Inputs'!$E$9:$E$32,$B49),0))</f>
        <v>0</v>
      </c>
      <c r="AF49" s="509">
        <f ca="1">IF($C$4=Lookups!$D$40,SUM(INDIRECT("'Yr1'!"&amp;ADDRESS(ROW(AF49),COLUMN(AF49))),INDIRECT("'Yr2'!"&amp;ADDRESS(ROW(AF49),COLUMN(AF49))),INDIRECT("'Yr3'!"&amp;ADDRESS(ROW(AF49),COLUMN(AF49)))),
IF($C$4=AF$7,SUMIFS('EE Inputs'!$L$9:$L$32,'EE Inputs'!$C$9:$C$32,$G$6,'EE Inputs'!$D$9:$D$32,$C$4,'EE Inputs'!$E$9:$E$32,$B49),0))</f>
        <v>0</v>
      </c>
      <c r="AG49" s="509">
        <f ca="1">IF($C$4=Lookups!$D$40,SUM(INDIRECT("'Yr1'!"&amp;ADDRESS(ROW(AG49),COLUMN(AG49))),INDIRECT("'Yr2'!"&amp;ADDRESS(ROW(AG49),COLUMN(AG49))),INDIRECT("'Yr3'!"&amp;ADDRESS(ROW(AG49),COLUMN(AG49)))),
IF($C$4=AG$7,SUMIFS('EE Inputs'!$L$9:$L$32,'EE Inputs'!$C$9:$C$32,$G$6,'EE Inputs'!$D$9:$D$32,$C$4,'EE Inputs'!$E$9:$E$32,$B49),0))</f>
        <v>0</v>
      </c>
      <c r="AH49" s="509"/>
      <c r="AI49" s="509"/>
      <c r="AJ49" s="506">
        <f ca="1">IF($C$4=Year1,-PMT(Lookups!$E$17,25,NPV(Lookups!$E$17,G49:AE49),0,1),IF($C$4=Year2,-PMT(Lookups!$F$17,25,NPV(Lookups!$F$17,H49:AF49),0,1),IF($C$4=Year3,-PMT(Lookups!$G$17,25,NPV(Lookups!$G$17,I49:AG49),0,1),-PMT(Lookups!$G$17,27,NPV(Lookups!$G$17,G49:AG49),0,1))))</f>
        <v>3.1946965494973152E-3</v>
      </c>
      <c r="AK49" s="507"/>
      <c r="AL49" s="507"/>
      <c r="AM49" s="508">
        <f ca="1">IF($C$4=Lookups!$D$40,SUM(INDIRECT("'Yr1'!"&amp;ADDRESS(ROW(AM49),COLUMN(AM49))),INDIRECT("'Yr2'!"&amp;ADDRESS(ROW(AM49),COLUMN(AM49))),INDIRECT("'Yr3'!"&amp;ADDRESS(ROW(AM49),COLUMN(AM49)))),
IF($C$4=AM$7,SUMIFS('EE Inputs'!$L$9:$L$32,'EE Inputs'!$C$9:$C$32,$AM$6,'EE Inputs'!$D$9:$D$32,$C$4,'EE Inputs'!$E$9:$E$32,$B49),0))</f>
        <v>0</v>
      </c>
      <c r="AN49" s="508">
        <f ca="1">IF($C$4=Lookups!$D$40,SUM(INDIRECT("'Yr1'!"&amp;ADDRESS(ROW(AN49),COLUMN(AN49))),INDIRECT("'Yr2'!"&amp;ADDRESS(ROW(AN49),COLUMN(AN49))),INDIRECT("'Yr3'!"&amp;ADDRESS(ROW(AN49),COLUMN(AN49)))),
IF($C$4=AN$7,SUMIFS('EE Inputs'!$L$9:$L$32,'EE Inputs'!$C$9:$C$32,$AM$6,'EE Inputs'!$D$9:$D$32,$C$4,'EE Inputs'!$E$9:$E$32,$B49),0))</f>
        <v>0</v>
      </c>
      <c r="AO49" s="508">
        <f ca="1">IF($C$4=Lookups!$D$40,SUM(INDIRECT("'Yr1'!"&amp;ADDRESS(ROW(AO49),COLUMN(AO49))),INDIRECT("'Yr2'!"&amp;ADDRESS(ROW(AO49),COLUMN(AO49))),INDIRECT("'Yr3'!"&amp;ADDRESS(ROW(AO49),COLUMN(AO49)))),
IF($C$4=AO$7,SUMIFS('EE Inputs'!$L$9:$L$32,'EE Inputs'!$C$9:$C$32,$AM$6,'EE Inputs'!$D$9:$D$32,$C$4,'EE Inputs'!$E$9:$E$32,$B49),0))</f>
        <v>8.254297387256497E-2</v>
      </c>
      <c r="AP49" s="508">
        <f ca="1">IF($C$4=Lookups!$D$40,SUM(INDIRECT("'Yr1'!"&amp;ADDRESS(ROW(AP49),COLUMN(AP49))),INDIRECT("'Yr2'!"&amp;ADDRESS(ROW(AP49),COLUMN(AP49))),INDIRECT("'Yr3'!"&amp;ADDRESS(ROW(AP49),COLUMN(AP49)))),
IF($C$4=AP$7,SUMIFS('EE Inputs'!$L$9:$L$32,'EE Inputs'!$C$9:$C$32,$AM$6,'EE Inputs'!$D$9:$D$32,$C$4,'EE Inputs'!$E$9:$E$32,$B49),0))</f>
        <v>0</v>
      </c>
      <c r="AQ49" s="508">
        <f ca="1">IF($C$4=Lookups!$D$40,SUM(INDIRECT("'Yr1'!"&amp;ADDRESS(ROW(AQ49),COLUMN(AQ49))),INDIRECT("'Yr2'!"&amp;ADDRESS(ROW(AQ49),COLUMN(AQ49))),INDIRECT("'Yr3'!"&amp;ADDRESS(ROW(AQ49),COLUMN(AQ49)))),
IF($C$4=AQ$7,SUMIFS('EE Inputs'!$L$9:$L$32,'EE Inputs'!$C$9:$C$32,$AM$6,'EE Inputs'!$D$9:$D$32,$C$4,'EE Inputs'!$E$9:$E$32,$B49),0))</f>
        <v>0</v>
      </c>
      <c r="AR49" s="508">
        <f ca="1">IF($C$4=Lookups!$D$40,SUM(INDIRECT("'Yr1'!"&amp;ADDRESS(ROW(AR49),COLUMN(AR49))),INDIRECT("'Yr2'!"&amp;ADDRESS(ROW(AR49),COLUMN(AR49))),INDIRECT("'Yr3'!"&amp;ADDRESS(ROW(AR49),COLUMN(AR49)))),
IF($C$4=AR$7,SUMIFS('EE Inputs'!$L$9:$L$32,'EE Inputs'!$C$9:$C$32,$AM$6,'EE Inputs'!$D$9:$D$32,$C$4,'EE Inputs'!$E$9:$E$32,$B49),0))</f>
        <v>0</v>
      </c>
      <c r="AS49" s="508">
        <f ca="1">IF($C$4=Lookups!$D$40,SUM(INDIRECT("'Yr1'!"&amp;ADDRESS(ROW(AS49),COLUMN(AS49))),INDIRECT("'Yr2'!"&amp;ADDRESS(ROW(AS49),COLUMN(AS49))),INDIRECT("'Yr3'!"&amp;ADDRESS(ROW(AS49),COLUMN(AS49)))),
IF($C$4=AS$7,SUMIFS('EE Inputs'!$L$9:$L$32,'EE Inputs'!$C$9:$C$32,$AM$6,'EE Inputs'!$D$9:$D$32,$C$4,'EE Inputs'!$E$9:$E$32,$B49),0))</f>
        <v>0</v>
      </c>
      <c r="AT49" s="508">
        <f ca="1">IF($C$4=Lookups!$D$40,SUM(INDIRECT("'Yr1'!"&amp;ADDRESS(ROW(AT49),COLUMN(AT49))),INDIRECT("'Yr2'!"&amp;ADDRESS(ROW(AT49),COLUMN(AT49))),INDIRECT("'Yr3'!"&amp;ADDRESS(ROW(AT49),COLUMN(AT49)))),
IF($C$4=AT$7,SUMIFS('EE Inputs'!$L$9:$L$32,'EE Inputs'!$C$9:$C$32,$AM$6,'EE Inputs'!$D$9:$D$32,$C$4,'EE Inputs'!$E$9:$E$32,$B49),0))</f>
        <v>0</v>
      </c>
      <c r="AU49" s="508">
        <f ca="1">IF($C$4=Lookups!$D$40,SUM(INDIRECT("'Yr1'!"&amp;ADDRESS(ROW(AU49),COLUMN(AU49))),INDIRECT("'Yr2'!"&amp;ADDRESS(ROW(AU49),COLUMN(AU49))),INDIRECT("'Yr3'!"&amp;ADDRESS(ROW(AU49),COLUMN(AU49)))),
IF($C$4=AU$7,SUMIFS('EE Inputs'!$L$9:$L$32,'EE Inputs'!$C$9:$C$32,$AM$6,'EE Inputs'!$D$9:$D$32,$C$4,'EE Inputs'!$E$9:$E$32,$B49),0))</f>
        <v>0</v>
      </c>
      <c r="AV49" s="508">
        <f ca="1">IF($C$4=Lookups!$D$40,SUM(INDIRECT("'Yr1'!"&amp;ADDRESS(ROW(AV49),COLUMN(AV49))),INDIRECT("'Yr2'!"&amp;ADDRESS(ROW(AV49),COLUMN(AV49))),INDIRECT("'Yr3'!"&amp;ADDRESS(ROW(AV49),COLUMN(AV49)))),
IF($C$4=AV$7,SUMIFS('EE Inputs'!$L$9:$L$32,'EE Inputs'!$C$9:$C$32,$AM$6,'EE Inputs'!$D$9:$D$32,$C$4,'EE Inputs'!$E$9:$E$32,$B49),0))</f>
        <v>0</v>
      </c>
      <c r="AW49" s="508">
        <f ca="1">IF($C$4=Lookups!$D$40,SUM(INDIRECT("'Yr1'!"&amp;ADDRESS(ROW(AW49),COLUMN(AW49))),INDIRECT("'Yr2'!"&amp;ADDRESS(ROW(AW49),COLUMN(AW49))),INDIRECT("'Yr3'!"&amp;ADDRESS(ROW(AW49),COLUMN(AW49)))),
IF($C$4=AW$7,SUMIFS('EE Inputs'!$L$9:$L$32,'EE Inputs'!$C$9:$C$32,$AM$6,'EE Inputs'!$D$9:$D$32,$C$4,'EE Inputs'!$E$9:$E$32,$B49),0))</f>
        <v>0</v>
      </c>
      <c r="AX49" s="508">
        <f ca="1">IF($C$4=Lookups!$D$40,SUM(INDIRECT("'Yr1'!"&amp;ADDRESS(ROW(AX49),COLUMN(AX49))),INDIRECT("'Yr2'!"&amp;ADDRESS(ROW(AX49),COLUMN(AX49))),INDIRECT("'Yr3'!"&amp;ADDRESS(ROW(AX49),COLUMN(AX49)))),
IF($C$4=AX$7,SUMIFS('EE Inputs'!$L$9:$L$32,'EE Inputs'!$C$9:$C$32,$AM$6,'EE Inputs'!$D$9:$D$32,$C$4,'EE Inputs'!$E$9:$E$32,$B49),0))</f>
        <v>0</v>
      </c>
      <c r="AY49" s="508">
        <f ca="1">IF($C$4=Lookups!$D$40,SUM(INDIRECT("'Yr1'!"&amp;ADDRESS(ROW(AY49),COLUMN(AY49))),INDIRECT("'Yr2'!"&amp;ADDRESS(ROW(AY49),COLUMN(AY49))),INDIRECT("'Yr3'!"&amp;ADDRESS(ROW(AY49),COLUMN(AY49)))),
IF($C$4=AY$7,SUMIFS('EE Inputs'!$L$9:$L$32,'EE Inputs'!$C$9:$C$32,$AM$6,'EE Inputs'!$D$9:$D$32,$C$4,'EE Inputs'!$E$9:$E$32,$B49),0))</f>
        <v>0</v>
      </c>
      <c r="AZ49" s="508">
        <f ca="1">IF($C$4=Lookups!$D$40,SUM(INDIRECT("'Yr1'!"&amp;ADDRESS(ROW(AZ49),COLUMN(AZ49))),INDIRECT("'Yr2'!"&amp;ADDRESS(ROW(AZ49),COLUMN(AZ49))),INDIRECT("'Yr3'!"&amp;ADDRESS(ROW(AZ49),COLUMN(AZ49)))),
IF($C$4=AZ$7,SUMIFS('EE Inputs'!$L$9:$L$32,'EE Inputs'!$C$9:$C$32,$AM$6,'EE Inputs'!$D$9:$D$32,$C$4,'EE Inputs'!$E$9:$E$32,$B49),0))</f>
        <v>0</v>
      </c>
      <c r="BA49" s="508">
        <f ca="1">IF($C$4=Lookups!$D$40,SUM(INDIRECT("'Yr1'!"&amp;ADDRESS(ROW(BA49),COLUMN(BA49))),INDIRECT("'Yr2'!"&amp;ADDRESS(ROW(BA49),COLUMN(BA49))),INDIRECT("'Yr3'!"&amp;ADDRESS(ROW(BA49),COLUMN(BA49)))),
IF($C$4=BA$7,SUMIFS('EE Inputs'!$L$9:$L$32,'EE Inputs'!$C$9:$C$32,$AM$6,'EE Inputs'!$D$9:$D$32,$C$4,'EE Inputs'!$E$9:$E$32,$B49),0))</f>
        <v>0</v>
      </c>
      <c r="BB49" s="508">
        <f ca="1">IF($C$4=Lookups!$D$40,SUM(INDIRECT("'Yr1'!"&amp;ADDRESS(ROW(BB49),COLUMN(BB49))),INDIRECT("'Yr2'!"&amp;ADDRESS(ROW(BB49),COLUMN(BB49))),INDIRECT("'Yr3'!"&amp;ADDRESS(ROW(BB49),COLUMN(BB49)))),
IF($C$4=BB$7,SUMIFS('EE Inputs'!$L$9:$L$32,'EE Inputs'!$C$9:$C$32,$AM$6,'EE Inputs'!$D$9:$D$32,$C$4,'EE Inputs'!$E$9:$E$32,$B49),0))</f>
        <v>0</v>
      </c>
      <c r="BC49" s="508">
        <f ca="1">IF($C$4=Lookups!$D$40,SUM(INDIRECT("'Yr1'!"&amp;ADDRESS(ROW(BC49),COLUMN(BC49))),INDIRECT("'Yr2'!"&amp;ADDRESS(ROW(BC49),COLUMN(BC49))),INDIRECT("'Yr3'!"&amp;ADDRESS(ROW(BC49),COLUMN(BC49)))),
IF($C$4=BC$7,SUMIFS('EE Inputs'!$L$9:$L$32,'EE Inputs'!$C$9:$C$32,$AM$6,'EE Inputs'!$D$9:$D$32,$C$4,'EE Inputs'!$E$9:$E$32,$B49),0))</f>
        <v>0</v>
      </c>
      <c r="BD49" s="508">
        <f ca="1">IF($C$4=Lookups!$D$40,SUM(INDIRECT("'Yr1'!"&amp;ADDRESS(ROW(BD49),COLUMN(BD49))),INDIRECT("'Yr2'!"&amp;ADDRESS(ROW(BD49),COLUMN(BD49))),INDIRECT("'Yr3'!"&amp;ADDRESS(ROW(BD49),COLUMN(BD49)))),
IF($C$4=BD$7,SUMIFS('EE Inputs'!$L$9:$L$32,'EE Inputs'!$C$9:$C$32,$AM$6,'EE Inputs'!$D$9:$D$32,$C$4,'EE Inputs'!$E$9:$E$32,$B49),0))</f>
        <v>0</v>
      </c>
      <c r="BE49" s="508">
        <f ca="1">IF($C$4=Lookups!$D$40,SUM(INDIRECT("'Yr1'!"&amp;ADDRESS(ROW(BE49),COLUMN(BE49))),INDIRECT("'Yr2'!"&amp;ADDRESS(ROW(BE49),COLUMN(BE49))),INDIRECT("'Yr3'!"&amp;ADDRESS(ROW(BE49),COLUMN(BE49)))),
IF($C$4=BE$7,SUMIFS('EE Inputs'!$L$9:$L$32,'EE Inputs'!$C$9:$C$32,$AM$6,'EE Inputs'!$D$9:$D$32,$C$4,'EE Inputs'!$E$9:$E$32,$B49),0))</f>
        <v>0</v>
      </c>
      <c r="BF49" s="508">
        <f ca="1">IF($C$4=Lookups!$D$40,SUM(INDIRECT("'Yr1'!"&amp;ADDRESS(ROW(BF49),COLUMN(BF49))),INDIRECT("'Yr2'!"&amp;ADDRESS(ROW(BF49),COLUMN(BF49))),INDIRECT("'Yr3'!"&amp;ADDRESS(ROW(BF49),COLUMN(BF49)))),
IF($C$4=BF$7,SUMIFS('EE Inputs'!$L$9:$L$32,'EE Inputs'!$C$9:$C$32,$AM$6,'EE Inputs'!$D$9:$D$32,$C$4,'EE Inputs'!$E$9:$E$32,$B49),0))</f>
        <v>0</v>
      </c>
      <c r="BG49" s="508">
        <f ca="1">IF($C$4=Lookups!$D$40,SUM(INDIRECT("'Yr1'!"&amp;ADDRESS(ROW(BG49),COLUMN(BG49))),INDIRECT("'Yr2'!"&amp;ADDRESS(ROW(BG49),COLUMN(BG49))),INDIRECT("'Yr3'!"&amp;ADDRESS(ROW(BG49),COLUMN(BG49)))),
IF($C$4=BG$7,SUMIFS('EE Inputs'!$L$9:$L$32,'EE Inputs'!$C$9:$C$32,$AM$6,'EE Inputs'!$D$9:$D$32,$C$4,'EE Inputs'!$E$9:$E$32,$B49),0))</f>
        <v>0</v>
      </c>
      <c r="BH49" s="508">
        <f ca="1">IF($C$4=Lookups!$D$40,SUM(INDIRECT("'Yr1'!"&amp;ADDRESS(ROW(BH49),COLUMN(BH49))),INDIRECT("'Yr2'!"&amp;ADDRESS(ROW(BH49),COLUMN(BH49))),INDIRECT("'Yr3'!"&amp;ADDRESS(ROW(BH49),COLUMN(BH49)))),
IF($C$4=BH$7,SUMIFS('EE Inputs'!$L$9:$L$32,'EE Inputs'!$C$9:$C$32,$AM$6,'EE Inputs'!$D$9:$D$32,$C$4,'EE Inputs'!$E$9:$E$32,$B49),0))</f>
        <v>0</v>
      </c>
      <c r="BI49" s="508">
        <f ca="1">IF($C$4=Lookups!$D$40,SUM(INDIRECT("'Yr1'!"&amp;ADDRESS(ROW(BI49),COLUMN(BI49))),INDIRECT("'Yr2'!"&amp;ADDRESS(ROW(BI49),COLUMN(BI49))),INDIRECT("'Yr3'!"&amp;ADDRESS(ROW(BI49),COLUMN(BI49)))),
IF($C$4=BI$7,SUMIFS('EE Inputs'!$L$9:$L$32,'EE Inputs'!$C$9:$C$32,$AM$6,'EE Inputs'!$D$9:$D$32,$C$4,'EE Inputs'!$E$9:$E$32,$B49),0))</f>
        <v>0</v>
      </c>
      <c r="BJ49" s="508">
        <f ca="1">IF($C$4=Lookups!$D$40,SUM(INDIRECT("'Yr1'!"&amp;ADDRESS(ROW(BJ49),COLUMN(BJ49))),INDIRECT("'Yr2'!"&amp;ADDRESS(ROW(BJ49),COLUMN(BJ49))),INDIRECT("'Yr3'!"&amp;ADDRESS(ROW(BJ49),COLUMN(BJ49)))),
IF($C$4=BJ$7,SUMIFS('EE Inputs'!$L$9:$L$32,'EE Inputs'!$C$9:$C$32,$AM$6,'EE Inputs'!$D$9:$D$32,$C$4,'EE Inputs'!$E$9:$E$32,$B49),0))</f>
        <v>0</v>
      </c>
      <c r="BK49" s="508">
        <f ca="1">IF($C$4=Lookups!$D$40,SUM(INDIRECT("'Yr1'!"&amp;ADDRESS(ROW(BK49),COLUMN(BK49))),INDIRECT("'Yr2'!"&amp;ADDRESS(ROW(BK49),COLUMN(BK49))),INDIRECT("'Yr3'!"&amp;ADDRESS(ROW(BK49),COLUMN(BK49)))),
IF($C$4=BK$7,SUMIFS('EE Inputs'!$L$9:$L$32,'EE Inputs'!$C$9:$C$32,$AM$6,'EE Inputs'!$D$9:$D$32,$C$4,'EE Inputs'!$E$9:$E$32,$B49),0))</f>
        <v>0</v>
      </c>
      <c r="BL49" s="508">
        <f ca="1">IF($C$4=Lookups!$D$40,SUM(INDIRECT("'Yr1'!"&amp;ADDRESS(ROW(BL49),COLUMN(BL49))),INDIRECT("'Yr2'!"&amp;ADDRESS(ROW(BL49),COLUMN(BL49))),INDIRECT("'Yr3'!"&amp;ADDRESS(ROW(BL49),COLUMN(BL49)))),
IF($C$4=BL$7,SUMIFS('EE Inputs'!$L$9:$L$32,'EE Inputs'!$C$9:$C$32,$AM$6,'EE Inputs'!$D$9:$D$32,$C$4,'EE Inputs'!$E$9:$E$32,$B49),0))</f>
        <v>0</v>
      </c>
      <c r="BM49" s="508">
        <f ca="1">IF($C$4=Lookups!$D$40,SUM(INDIRECT("'Yr1'!"&amp;ADDRESS(ROW(BM49),COLUMN(BM49))),INDIRECT("'Yr2'!"&amp;ADDRESS(ROW(BM49),COLUMN(BM49))),INDIRECT("'Yr3'!"&amp;ADDRESS(ROW(BM49),COLUMN(BM49)))),
IF($C$4=BM$7,SUMIFS('EE Inputs'!$L$9:$L$32,'EE Inputs'!$C$9:$C$32,$AM$6,'EE Inputs'!$D$9:$D$32,$C$4,'EE Inputs'!$E$9:$E$32,$B49),0))</f>
        <v>0</v>
      </c>
      <c r="BN49" s="508"/>
      <c r="BO49" s="508"/>
      <c r="BP49" s="508">
        <f ca="1">IF($C$4=Year1,-PMT(Lookups!$E$17,25,NPV(Lookups!$E$17,AM49:BK49),0,1),IF($C$4=Year2,-PMT(Lookups!$F$17,25,NPV(Lookups!$F$17,AN49:BL49),0,1),IF($C$4=Year3,-PMT(Lookups!$G$17,25,NPV(Lookups!$G$17,AO49:BM49),0,1),-PMT(Lookups!$G$17,27,NPV(Lookups!$G$17,AM49:BM49),0,1))))</f>
        <v>3.8336358593967774E-3</v>
      </c>
      <c r="BS49" s="86" t="s">
        <v>402</v>
      </c>
      <c r="BT49" s="51" t="s">
        <v>17</v>
      </c>
    </row>
    <row r="50" spans="1:72" x14ac:dyDescent="0.25">
      <c r="A50" s="246"/>
      <c r="B50" s="243" t="str">
        <f t="shared" si="23"/>
        <v>Residential</v>
      </c>
      <c r="C50" s="243" t="str">
        <f t="shared" si="23"/>
        <v>Rates</v>
      </c>
      <c r="D50" s="244" t="str">
        <f t="shared" si="23"/>
        <v>Increased Costs and Cost Shifting</v>
      </c>
      <c r="E50" s="86" t="s">
        <v>198</v>
      </c>
      <c r="F50" s="84" t="s">
        <v>182</v>
      </c>
      <c r="G50" s="506">
        <f ca="1">IFERROR((G32/G17)-(G32/G15),0)</f>
        <v>0</v>
      </c>
      <c r="H50" s="506">
        <f ca="1">IFERROR((H32/H17)-(H32/H15),0)</f>
        <v>0</v>
      </c>
      <c r="I50" s="506">
        <f t="shared" ref="I50:AG50" ca="1" si="33">IFERROR((I32/I17)-(I32/I15),0)</f>
        <v>3.7112017938366604E-3</v>
      </c>
      <c r="J50" s="506">
        <f t="shared" ca="1" si="33"/>
        <v>3.7112017938366604E-3</v>
      </c>
      <c r="K50" s="506">
        <f t="shared" ca="1" si="33"/>
        <v>3.7112017938366604E-3</v>
      </c>
      <c r="L50" s="506">
        <f t="shared" ca="1" si="33"/>
        <v>3.7112017938366604E-3</v>
      </c>
      <c r="M50" s="506">
        <f t="shared" ca="1" si="33"/>
        <v>3.7112017938366604E-3</v>
      </c>
      <c r="N50" s="506">
        <f t="shared" ca="1" si="33"/>
        <v>3.7112017938366604E-3</v>
      </c>
      <c r="O50" s="506">
        <f t="shared" ca="1" si="33"/>
        <v>3.7112017938366604E-3</v>
      </c>
      <c r="P50" s="506">
        <f t="shared" ca="1" si="33"/>
        <v>3.7112017938366604E-3</v>
      </c>
      <c r="Q50" s="506">
        <f t="shared" ca="1" si="33"/>
        <v>3.7112017938366604E-3</v>
      </c>
      <c r="R50" s="506">
        <f t="shared" ca="1" si="33"/>
        <v>3.7112017938366604E-3</v>
      </c>
      <c r="S50" s="506">
        <f t="shared" ca="1" si="33"/>
        <v>3.7112017938366604E-3</v>
      </c>
      <c r="T50" s="506">
        <f t="shared" ca="1" si="33"/>
        <v>3.7112017938366604E-3</v>
      </c>
      <c r="U50" s="506">
        <f t="shared" ca="1" si="33"/>
        <v>3.7112017938366604E-3</v>
      </c>
      <c r="V50" s="506">
        <f t="shared" ca="1" si="33"/>
        <v>3.7112017938366604E-3</v>
      </c>
      <c r="W50" s="506">
        <f t="shared" ca="1" si="33"/>
        <v>3.7112017938366604E-3</v>
      </c>
      <c r="X50" s="506">
        <f t="shared" ca="1" si="33"/>
        <v>0</v>
      </c>
      <c r="Y50" s="506">
        <f t="shared" ca="1" si="33"/>
        <v>0</v>
      </c>
      <c r="Z50" s="506">
        <f t="shared" ca="1" si="33"/>
        <v>0</v>
      </c>
      <c r="AA50" s="506">
        <f t="shared" ca="1" si="33"/>
        <v>0</v>
      </c>
      <c r="AB50" s="506">
        <f t="shared" ca="1" si="33"/>
        <v>0</v>
      </c>
      <c r="AC50" s="506">
        <f t="shared" ca="1" si="33"/>
        <v>0</v>
      </c>
      <c r="AD50" s="506">
        <f t="shared" ca="1" si="33"/>
        <v>0</v>
      </c>
      <c r="AE50" s="506">
        <f t="shared" ca="1" si="33"/>
        <v>0</v>
      </c>
      <c r="AF50" s="506">
        <f t="shared" ca="1" si="33"/>
        <v>0</v>
      </c>
      <c r="AG50" s="506">
        <f t="shared" ca="1" si="33"/>
        <v>0</v>
      </c>
      <c r="AH50" s="506"/>
      <c r="AI50" s="506"/>
      <c r="AJ50" s="506">
        <f ca="1">IF($C$4=Year1,-PMT(Lookups!$E$17,25,NPV(Lookups!$E$17,G50:AE50),0,1),IF($C$4=Year2,-PMT(Lookups!$F$17,25,NPV(Lookups!$F$17,H50:AF50),0,1),IF($C$4=Year3,-PMT(Lookups!$G$17,25,NPV(Lookups!$G$17,I50:AG50),0,1),-PMT(Lookups!$G$17,27,NPV(Lookups!$G$17,G50:AG50),0,1))))</f>
        <v>2.3476777940765283E-3</v>
      </c>
      <c r="AK50" s="507"/>
      <c r="AL50" s="507"/>
      <c r="AM50" s="508">
        <f ca="1">IFERROR((AM32/AM17)-(AM32/AM15),0)</f>
        <v>0</v>
      </c>
      <c r="AN50" s="508">
        <f t="shared" ref="AN50:BM50" ca="1" si="34">IFERROR((AN32/AN17)-(AN32/AN15),0)</f>
        <v>0</v>
      </c>
      <c r="AO50" s="508">
        <f t="shared" ca="1" si="34"/>
        <v>4.2450775321953849E-3</v>
      </c>
      <c r="AP50" s="508">
        <f t="shared" ca="1" si="34"/>
        <v>4.2450775321953849E-3</v>
      </c>
      <c r="AQ50" s="508">
        <f t="shared" ca="1" si="34"/>
        <v>4.2450775321953849E-3</v>
      </c>
      <c r="AR50" s="508">
        <f t="shared" ca="1" si="34"/>
        <v>4.2450775321953849E-3</v>
      </c>
      <c r="AS50" s="508">
        <f t="shared" ca="1" si="34"/>
        <v>4.2450775321953849E-3</v>
      </c>
      <c r="AT50" s="508">
        <f t="shared" ca="1" si="34"/>
        <v>4.2450775321953849E-3</v>
      </c>
      <c r="AU50" s="508">
        <f t="shared" ca="1" si="34"/>
        <v>4.2450775321953849E-3</v>
      </c>
      <c r="AV50" s="508">
        <f t="shared" ca="1" si="34"/>
        <v>4.2450775321953849E-3</v>
      </c>
      <c r="AW50" s="508">
        <f t="shared" ca="1" si="34"/>
        <v>4.2450775321953849E-3</v>
      </c>
      <c r="AX50" s="508">
        <f t="shared" ca="1" si="34"/>
        <v>4.2450775321953849E-3</v>
      </c>
      <c r="AY50" s="508">
        <f t="shared" ca="1" si="34"/>
        <v>4.2450775321953849E-3</v>
      </c>
      <c r="AZ50" s="508">
        <f t="shared" ca="1" si="34"/>
        <v>4.2450775321953849E-3</v>
      </c>
      <c r="BA50" s="508">
        <f t="shared" ca="1" si="34"/>
        <v>4.2450775321953849E-3</v>
      </c>
      <c r="BB50" s="508">
        <f t="shared" ca="1" si="34"/>
        <v>4.2450775321953849E-3</v>
      </c>
      <c r="BC50" s="508">
        <f t="shared" ca="1" si="34"/>
        <v>4.2450775321953849E-3</v>
      </c>
      <c r="BD50" s="508">
        <f t="shared" ca="1" si="34"/>
        <v>0</v>
      </c>
      <c r="BE50" s="508">
        <f t="shared" ca="1" si="34"/>
        <v>0</v>
      </c>
      <c r="BF50" s="508">
        <f t="shared" ca="1" si="34"/>
        <v>0</v>
      </c>
      <c r="BG50" s="508">
        <f t="shared" ca="1" si="34"/>
        <v>0</v>
      </c>
      <c r="BH50" s="508">
        <f t="shared" ca="1" si="34"/>
        <v>0</v>
      </c>
      <c r="BI50" s="508">
        <f t="shared" ca="1" si="34"/>
        <v>0</v>
      </c>
      <c r="BJ50" s="508">
        <f t="shared" ca="1" si="34"/>
        <v>0</v>
      </c>
      <c r="BK50" s="508">
        <f t="shared" ca="1" si="34"/>
        <v>0</v>
      </c>
      <c r="BL50" s="508">
        <f t="shared" ca="1" si="34"/>
        <v>0</v>
      </c>
      <c r="BM50" s="508">
        <f t="shared" ca="1" si="34"/>
        <v>0</v>
      </c>
      <c r="BN50" s="508"/>
      <c r="BO50" s="508"/>
      <c r="BP50" s="508">
        <f ca="1">IF($C$4=Year1,-PMT(Lookups!$E$17,25,NPV(Lookups!$E$17,AM50:BK50),0,1),IF($C$4=Year2,-PMT(Lookups!$F$17,25,NPV(Lookups!$F$17,AN50:BL50),0,1),IF($C$4=Year3,-PMT(Lookups!$G$17,25,NPV(Lookups!$G$17,AO50:BM50),0,1),-PMT(Lookups!$G$17,27,NPV(Lookups!$G$17,AM50:BM50),0,1))))</f>
        <v>2.6854034919414371E-3</v>
      </c>
      <c r="BS50" s="84" t="s">
        <v>103</v>
      </c>
      <c r="BT50" s="51" t="s">
        <v>17</v>
      </c>
    </row>
    <row r="51" spans="1:72" x14ac:dyDescent="0.25">
      <c r="B51" s="243" t="str">
        <f t="shared" si="23"/>
        <v>Residential</v>
      </c>
      <c r="C51" s="243" t="str">
        <f t="shared" si="23"/>
        <v>Rates</v>
      </c>
      <c r="D51" s="114" t="s">
        <v>110</v>
      </c>
      <c r="E51" s="86"/>
      <c r="F51" s="86"/>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49"/>
      <c r="AI51" s="238"/>
      <c r="AJ51" s="506"/>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S51" s="84"/>
      <c r="BT51" s="51" t="s">
        <v>17</v>
      </c>
    </row>
    <row r="52" spans="1:72" x14ac:dyDescent="0.25">
      <c r="B52" s="243" t="str">
        <f t="shared" si="23"/>
        <v>Residential</v>
      </c>
      <c r="C52" s="243" t="str">
        <f t="shared" si="23"/>
        <v>Rates</v>
      </c>
      <c r="D52" s="244" t="str">
        <f>D51</f>
        <v>Rates after DSM Scenario</v>
      </c>
      <c r="E52" s="86" t="s">
        <v>26</v>
      </c>
      <c r="F52" s="84" t="s">
        <v>182</v>
      </c>
      <c r="G52" s="506">
        <f ca="1">IFERROR(G32/G17,0)</f>
        <v>0</v>
      </c>
      <c r="H52" s="506">
        <f t="shared" ref="H52:AG52" ca="1" si="35">IFERROR(H32/H17,0)</f>
        <v>0</v>
      </c>
      <c r="I52" s="506">
        <f t="shared" ca="1" si="35"/>
        <v>0.56029929463711381</v>
      </c>
      <c r="J52" s="506">
        <f t="shared" ca="1" si="35"/>
        <v>0.56029929463711381</v>
      </c>
      <c r="K52" s="506">
        <f t="shared" ca="1" si="35"/>
        <v>0.56029929463711381</v>
      </c>
      <c r="L52" s="506">
        <f t="shared" ca="1" si="35"/>
        <v>0.56029929463711381</v>
      </c>
      <c r="M52" s="506">
        <f t="shared" ca="1" si="35"/>
        <v>0.56029929463711381</v>
      </c>
      <c r="N52" s="506">
        <f t="shared" ca="1" si="35"/>
        <v>0.56029929463711381</v>
      </c>
      <c r="O52" s="506">
        <f t="shared" ca="1" si="35"/>
        <v>0.56029929463711381</v>
      </c>
      <c r="P52" s="506">
        <f t="shared" ca="1" si="35"/>
        <v>0.56029929463711381</v>
      </c>
      <c r="Q52" s="506">
        <f t="shared" ca="1" si="35"/>
        <v>0.56029929463711381</v>
      </c>
      <c r="R52" s="506">
        <f t="shared" ca="1" si="35"/>
        <v>0.56029929463711381</v>
      </c>
      <c r="S52" s="506">
        <f t="shared" ca="1" si="35"/>
        <v>0.56029929463711381</v>
      </c>
      <c r="T52" s="506">
        <f t="shared" ca="1" si="35"/>
        <v>0.56029929463711381</v>
      </c>
      <c r="U52" s="506">
        <f t="shared" ca="1" si="35"/>
        <v>0.56029929463711381</v>
      </c>
      <c r="V52" s="506">
        <f t="shared" ca="1" si="35"/>
        <v>0.56029929463711381</v>
      </c>
      <c r="W52" s="506">
        <f t="shared" ca="1" si="35"/>
        <v>0.56029929463711381</v>
      </c>
      <c r="X52" s="506">
        <f t="shared" ca="1" si="35"/>
        <v>0.55689999999999995</v>
      </c>
      <c r="Y52" s="506">
        <f t="shared" ca="1" si="35"/>
        <v>0.55689999999999995</v>
      </c>
      <c r="Z52" s="506">
        <f t="shared" ca="1" si="35"/>
        <v>0.55689999999999995</v>
      </c>
      <c r="AA52" s="506">
        <f t="shared" ca="1" si="35"/>
        <v>0.55689999999999995</v>
      </c>
      <c r="AB52" s="506">
        <f t="shared" ca="1" si="35"/>
        <v>0.55689999999999995</v>
      </c>
      <c r="AC52" s="506">
        <f t="shared" ca="1" si="35"/>
        <v>0.55689999999999995</v>
      </c>
      <c r="AD52" s="506">
        <f t="shared" ca="1" si="35"/>
        <v>0.55689999999999995</v>
      </c>
      <c r="AE52" s="506">
        <f t="shared" ca="1" si="35"/>
        <v>0.55689999999999995</v>
      </c>
      <c r="AF52" s="506">
        <f t="shared" ca="1" si="35"/>
        <v>0.55689999999999995</v>
      </c>
      <c r="AG52" s="506">
        <f t="shared" ca="1" si="35"/>
        <v>0.55689999999999995</v>
      </c>
      <c r="AH52" s="509"/>
      <c r="AI52" s="506"/>
      <c r="AJ52" s="506">
        <f ca="1">IF($C$4=Year1,-PMT(Lookups!$E$17,25,NPV(Lookups!$E$17,G52:AE52),0,1),IF($C$4=Year2,-PMT(Lookups!$F$17,25,NPV(Lookups!$F$17,H52:AF52),0,1),IF($C$4=Year3,-PMT(Lookups!$G$17,25,NPV(Lookups!$G$17,I52:AG52),0,1),-PMT(Lookups!$G$17,27,NPV(Lookups!$G$17,G52:AG52),0,1))))</f>
        <v>0.55128343309400996</v>
      </c>
      <c r="AK52" s="507"/>
      <c r="AL52" s="507"/>
      <c r="AM52" s="508">
        <f ca="1">IFERROR(AM32/AM17,0)</f>
        <v>0</v>
      </c>
      <c r="AN52" s="508">
        <f t="shared" ref="AN52:BM52" ca="1" si="36">IFERROR(AN32/AN17,0)</f>
        <v>0</v>
      </c>
      <c r="AO52" s="508">
        <f t="shared" ca="1" si="36"/>
        <v>0.56078861221022636</v>
      </c>
      <c r="AP52" s="508">
        <f t="shared" ca="1" si="36"/>
        <v>0.56078861221022636</v>
      </c>
      <c r="AQ52" s="508">
        <f t="shared" ca="1" si="36"/>
        <v>0.56078861221022636</v>
      </c>
      <c r="AR52" s="508">
        <f t="shared" ca="1" si="36"/>
        <v>0.56078861221022636</v>
      </c>
      <c r="AS52" s="508">
        <f t="shared" ca="1" si="36"/>
        <v>0.56078861221022636</v>
      </c>
      <c r="AT52" s="508">
        <f t="shared" ca="1" si="36"/>
        <v>0.56078861221022636</v>
      </c>
      <c r="AU52" s="508">
        <f t="shared" ca="1" si="36"/>
        <v>0.56078861221022636</v>
      </c>
      <c r="AV52" s="508">
        <f t="shared" ca="1" si="36"/>
        <v>0.56078861221022636</v>
      </c>
      <c r="AW52" s="508">
        <f t="shared" ca="1" si="36"/>
        <v>0.56078861221022636</v>
      </c>
      <c r="AX52" s="508">
        <f t="shared" ca="1" si="36"/>
        <v>0.56078861221022636</v>
      </c>
      <c r="AY52" s="508">
        <f t="shared" ca="1" si="36"/>
        <v>0.56078861221022636</v>
      </c>
      <c r="AZ52" s="508">
        <f t="shared" ca="1" si="36"/>
        <v>0.56078861221022636</v>
      </c>
      <c r="BA52" s="508">
        <f t="shared" ca="1" si="36"/>
        <v>0.56078861221022636</v>
      </c>
      <c r="BB52" s="508">
        <f t="shared" ca="1" si="36"/>
        <v>0.56078861221022636</v>
      </c>
      <c r="BC52" s="508">
        <f t="shared" ca="1" si="36"/>
        <v>0.56078861221022636</v>
      </c>
      <c r="BD52" s="508">
        <f t="shared" ca="1" si="36"/>
        <v>0.55689999999999995</v>
      </c>
      <c r="BE52" s="508">
        <f t="shared" ca="1" si="36"/>
        <v>0.55689999999999995</v>
      </c>
      <c r="BF52" s="508">
        <f t="shared" ca="1" si="36"/>
        <v>0.55689999999999995</v>
      </c>
      <c r="BG52" s="508">
        <f t="shared" ca="1" si="36"/>
        <v>0.55689999999999995</v>
      </c>
      <c r="BH52" s="508">
        <f t="shared" ca="1" si="36"/>
        <v>0.55689999999999995</v>
      </c>
      <c r="BI52" s="508">
        <f t="shared" ca="1" si="36"/>
        <v>0.55689999999999995</v>
      </c>
      <c r="BJ52" s="508">
        <f t="shared" ca="1" si="36"/>
        <v>0.55689999999999995</v>
      </c>
      <c r="BK52" s="508">
        <f t="shared" ca="1" si="36"/>
        <v>0.55689999999999995</v>
      </c>
      <c r="BL52" s="508">
        <f t="shared" ca="1" si="36"/>
        <v>0.55689999999999995</v>
      </c>
      <c r="BM52" s="508">
        <f t="shared" ca="1" si="36"/>
        <v>0.55689999999999995</v>
      </c>
      <c r="BN52" s="508"/>
      <c r="BO52" s="508"/>
      <c r="BP52" s="508">
        <f ca="1">IF($C$4=Year1,-PMT(Lookups!$E$17,25,NPV(Lookups!$E$17,AM52:BK52),0,1),IF($C$4=Year2,-PMT(Lookups!$F$17,25,NPV(Lookups!$F$17,AN52:BL52),0,1),IF($C$4=Year3,-PMT(Lookups!$G$17,25,NPV(Lookups!$G$17,AO52:BM52),0,1),-PMT(Lookups!$G$17,27,NPV(Lookups!$G$17,AM52:BM52),0,1))))</f>
        <v>0.55159297163825072</v>
      </c>
      <c r="BS52" s="84" t="s">
        <v>238</v>
      </c>
      <c r="BT52" s="51" t="s">
        <v>17</v>
      </c>
    </row>
    <row r="53" spans="1:72" x14ac:dyDescent="0.25">
      <c r="B53" s="243" t="str">
        <f t="shared" si="23"/>
        <v>Residential</v>
      </c>
      <c r="C53" s="243" t="str">
        <f t="shared" si="23"/>
        <v>Rates</v>
      </c>
      <c r="D53" s="244" t="str">
        <f>D52</f>
        <v>Rates after DSM Scenario</v>
      </c>
      <c r="E53" s="84" t="s">
        <v>407</v>
      </c>
      <c r="F53" s="84" t="s">
        <v>182</v>
      </c>
      <c r="G53" s="506">
        <f ca="1">IFERROR(G33/G17,0)</f>
        <v>0</v>
      </c>
      <c r="H53" s="506">
        <f t="shared" ref="H53:AG53" ca="1" si="37">IFERROR(H33/H17,0)</f>
        <v>0</v>
      </c>
      <c r="I53" s="506">
        <f t="shared" ca="1" si="37"/>
        <v>-3.3220036434072793E-2</v>
      </c>
      <c r="J53" s="506">
        <f t="shared" ca="1" si="37"/>
        <v>-3.3220036434072793E-2</v>
      </c>
      <c r="K53" s="506">
        <f t="shared" ca="1" si="37"/>
        <v>-3.3220036434072793E-2</v>
      </c>
      <c r="L53" s="506">
        <f t="shared" ca="1" si="37"/>
        <v>-3.3220036434072793E-2</v>
      </c>
      <c r="M53" s="506">
        <f t="shared" ca="1" si="37"/>
        <v>-3.3220036434072793E-2</v>
      </c>
      <c r="N53" s="506">
        <f t="shared" ca="1" si="37"/>
        <v>-3.3220036434072793E-2</v>
      </c>
      <c r="O53" s="506">
        <f t="shared" ca="1" si="37"/>
        <v>-3.3220036434072793E-2</v>
      </c>
      <c r="P53" s="506">
        <f t="shared" ca="1" si="37"/>
        <v>-3.3220036434072793E-2</v>
      </c>
      <c r="Q53" s="506">
        <f t="shared" ca="1" si="37"/>
        <v>-3.3220036434072793E-2</v>
      </c>
      <c r="R53" s="506">
        <f t="shared" ca="1" si="37"/>
        <v>-3.3220036434072793E-2</v>
      </c>
      <c r="S53" s="506">
        <f t="shared" ca="1" si="37"/>
        <v>-3.3220036434072793E-2</v>
      </c>
      <c r="T53" s="506">
        <f t="shared" ca="1" si="37"/>
        <v>-3.3220036434072793E-2</v>
      </c>
      <c r="U53" s="506">
        <f t="shared" ca="1" si="37"/>
        <v>-3.3220036434072793E-2</v>
      </c>
      <c r="V53" s="506">
        <f t="shared" ca="1" si="37"/>
        <v>-3.3220036434072793E-2</v>
      </c>
      <c r="W53" s="506">
        <f t="shared" ca="1" si="37"/>
        <v>-3.3220036434072793E-2</v>
      </c>
      <c r="X53" s="506">
        <f t="shared" ca="1" si="37"/>
        <v>-3.3000000000000002E-2</v>
      </c>
      <c r="Y53" s="506">
        <f t="shared" ca="1" si="37"/>
        <v>-3.3000000000000002E-2</v>
      </c>
      <c r="Z53" s="506">
        <f t="shared" ca="1" si="37"/>
        <v>-3.3000000000000002E-2</v>
      </c>
      <c r="AA53" s="506">
        <f t="shared" ca="1" si="37"/>
        <v>-3.3000000000000002E-2</v>
      </c>
      <c r="AB53" s="506">
        <f t="shared" ca="1" si="37"/>
        <v>-3.3000000000000002E-2</v>
      </c>
      <c r="AC53" s="506">
        <f t="shared" ca="1" si="37"/>
        <v>-3.3000000000000002E-2</v>
      </c>
      <c r="AD53" s="506">
        <f t="shared" ca="1" si="37"/>
        <v>-3.3000000000000002E-2</v>
      </c>
      <c r="AE53" s="506">
        <f t="shared" ca="1" si="37"/>
        <v>-3.3000000000000002E-2</v>
      </c>
      <c r="AF53" s="506">
        <f t="shared" ca="1" si="37"/>
        <v>-3.3000000000000002E-2</v>
      </c>
      <c r="AG53" s="506">
        <f t="shared" ca="1" si="37"/>
        <v>-3.3000000000000002E-2</v>
      </c>
      <c r="AH53" s="509"/>
      <c r="AI53" s="506"/>
      <c r="AJ53" s="506">
        <f ca="1">IF($C$4=Year1,-PMT(Lookups!$E$17,25,NPV(Lookups!$E$17,G53:AE53),0,1),IF($C$4=Year2,-PMT(Lookups!$F$17,25,NPV(Lookups!$F$17,H53:AF53),0,1),IF($C$4=Year3,-PMT(Lookups!$G$17,25,NPV(Lookups!$G$17,I53:AG53),0,1),-PMT(Lookups!$G$17,27,NPV(Lookups!$G$17,G53:AG53),0,1))))</f>
        <v>-3.2678951230014179E-2</v>
      </c>
      <c r="AK53" s="507"/>
      <c r="AL53" s="507"/>
      <c r="AM53" s="508">
        <f ca="1">IFERROR(AM33/AM17,0)</f>
        <v>0</v>
      </c>
      <c r="AN53" s="508">
        <f t="shared" ref="AN53:BM53" ca="1" si="38">IFERROR(AN33/AN17,0)</f>
        <v>0</v>
      </c>
      <c r="AO53" s="508">
        <f t="shared" ca="1" si="38"/>
        <v>-3.325170997385405E-2</v>
      </c>
      <c r="AP53" s="508">
        <f t="shared" ca="1" si="38"/>
        <v>-3.325170997385405E-2</v>
      </c>
      <c r="AQ53" s="508">
        <f t="shared" ca="1" si="38"/>
        <v>-3.325170997385405E-2</v>
      </c>
      <c r="AR53" s="508">
        <f t="shared" ca="1" si="38"/>
        <v>-3.325170997385405E-2</v>
      </c>
      <c r="AS53" s="508">
        <f t="shared" ca="1" si="38"/>
        <v>-3.325170997385405E-2</v>
      </c>
      <c r="AT53" s="508">
        <f t="shared" ca="1" si="38"/>
        <v>-3.325170997385405E-2</v>
      </c>
      <c r="AU53" s="508">
        <f t="shared" ca="1" si="38"/>
        <v>-3.325170997385405E-2</v>
      </c>
      <c r="AV53" s="508">
        <f t="shared" ca="1" si="38"/>
        <v>-3.325170997385405E-2</v>
      </c>
      <c r="AW53" s="508">
        <f t="shared" ca="1" si="38"/>
        <v>-3.325170997385405E-2</v>
      </c>
      <c r="AX53" s="508">
        <f t="shared" ca="1" si="38"/>
        <v>-3.325170997385405E-2</v>
      </c>
      <c r="AY53" s="508">
        <f t="shared" ca="1" si="38"/>
        <v>-3.325170997385405E-2</v>
      </c>
      <c r="AZ53" s="508">
        <f t="shared" ca="1" si="38"/>
        <v>-3.325170997385405E-2</v>
      </c>
      <c r="BA53" s="508">
        <f t="shared" ca="1" si="38"/>
        <v>-3.325170997385405E-2</v>
      </c>
      <c r="BB53" s="508">
        <f t="shared" ca="1" si="38"/>
        <v>-3.325170997385405E-2</v>
      </c>
      <c r="BC53" s="508">
        <f t="shared" ca="1" si="38"/>
        <v>-3.325170997385405E-2</v>
      </c>
      <c r="BD53" s="508">
        <f t="shared" ca="1" si="38"/>
        <v>-3.3000000000000002E-2</v>
      </c>
      <c r="BE53" s="508">
        <f t="shared" ca="1" si="38"/>
        <v>-3.3000000000000002E-2</v>
      </c>
      <c r="BF53" s="508">
        <f t="shared" ca="1" si="38"/>
        <v>-3.3000000000000002E-2</v>
      </c>
      <c r="BG53" s="508">
        <f t="shared" ca="1" si="38"/>
        <v>-3.3000000000000002E-2</v>
      </c>
      <c r="BH53" s="508">
        <f t="shared" ca="1" si="38"/>
        <v>-3.3000000000000002E-2</v>
      </c>
      <c r="BI53" s="508">
        <f t="shared" ca="1" si="38"/>
        <v>-3.3000000000000002E-2</v>
      </c>
      <c r="BJ53" s="508">
        <f t="shared" ca="1" si="38"/>
        <v>-3.3000000000000002E-2</v>
      </c>
      <c r="BK53" s="508">
        <f t="shared" ca="1" si="38"/>
        <v>-3.3000000000000002E-2</v>
      </c>
      <c r="BL53" s="508">
        <f t="shared" ca="1" si="38"/>
        <v>-3.3000000000000002E-2</v>
      </c>
      <c r="BM53" s="508">
        <f t="shared" ca="1" si="38"/>
        <v>-3.3000000000000002E-2</v>
      </c>
      <c r="BN53" s="508"/>
      <c r="BO53" s="508"/>
      <c r="BP53" s="508">
        <f ca="1">IF($C$4=Year1,-PMT(Lookups!$E$17,25,NPV(Lookups!$E$17,AM53:BK53),0,1),IF($C$4=Year2,-PMT(Lookups!$F$17,25,NPV(Lookups!$F$17,AN53:BL53),0,1),IF($C$4=Year3,-PMT(Lookups!$G$17,25,NPV(Lookups!$G$17,AO53:BM53),0,1),-PMT(Lookups!$G$17,27,NPV(Lookups!$G$17,AM53:BM53),0,1))))</f>
        <v>-3.2698987668379711E-2</v>
      </c>
      <c r="BS53" s="84" t="s">
        <v>237</v>
      </c>
      <c r="BT53" s="51" t="s">
        <v>17</v>
      </c>
    </row>
    <row r="54" spans="1:72" x14ac:dyDescent="0.25">
      <c r="B54" s="243" t="str">
        <f t="shared" si="23"/>
        <v>Residential</v>
      </c>
      <c r="C54" s="243" t="str">
        <f t="shared" si="23"/>
        <v>Rates</v>
      </c>
      <c r="D54" s="244" t="str">
        <f t="shared" si="23"/>
        <v>Rates after DSM Scenario</v>
      </c>
      <c r="E54" s="84" t="s">
        <v>197</v>
      </c>
      <c r="F54" s="84" t="s">
        <v>182</v>
      </c>
      <c r="G54" s="506">
        <f ca="1">IFERROR(G40+G46,0)</f>
        <v>0</v>
      </c>
      <c r="H54" s="506">
        <f t="shared" ref="H54:AG54" ca="1" si="39">IFERROR(H40+H46,0)</f>
        <v>0</v>
      </c>
      <c r="I54" s="506">
        <f t="shared" ca="1" si="39"/>
        <v>0.62010584085874154</v>
      </c>
      <c r="J54" s="506">
        <f t="shared" ca="1" si="39"/>
        <v>0.62010584085874154</v>
      </c>
      <c r="K54" s="506">
        <f t="shared" ca="1" si="39"/>
        <v>0.62010584085874154</v>
      </c>
      <c r="L54" s="506">
        <f t="shared" ca="1" si="39"/>
        <v>0.62010584085874154</v>
      </c>
      <c r="M54" s="506">
        <f t="shared" ca="1" si="39"/>
        <v>0.62010584085874154</v>
      </c>
      <c r="N54" s="506">
        <f t="shared" ca="1" si="39"/>
        <v>0.62010584085874154</v>
      </c>
      <c r="O54" s="506">
        <f t="shared" ca="1" si="39"/>
        <v>0.62010584085874154</v>
      </c>
      <c r="P54" s="506">
        <f t="shared" ca="1" si="39"/>
        <v>0.62010584085874154</v>
      </c>
      <c r="Q54" s="506">
        <f t="shared" ca="1" si="39"/>
        <v>0.62010584085874154</v>
      </c>
      <c r="R54" s="506">
        <f t="shared" ca="1" si="39"/>
        <v>0.62010584085874154</v>
      </c>
      <c r="S54" s="506">
        <f t="shared" ca="1" si="39"/>
        <v>0.62010584085874154</v>
      </c>
      <c r="T54" s="506">
        <f t="shared" ca="1" si="39"/>
        <v>0.62010584085874154</v>
      </c>
      <c r="U54" s="506">
        <f t="shared" ca="1" si="39"/>
        <v>0.62010584085874154</v>
      </c>
      <c r="V54" s="506">
        <f t="shared" ca="1" si="39"/>
        <v>0.62010584085874154</v>
      </c>
      <c r="W54" s="506">
        <f t="shared" ca="1" si="39"/>
        <v>0.62010584085874154</v>
      </c>
      <c r="X54" s="506">
        <f t="shared" ca="1" si="39"/>
        <v>0.62029999999999996</v>
      </c>
      <c r="Y54" s="506">
        <f t="shared" ca="1" si="39"/>
        <v>0.62029999999999996</v>
      </c>
      <c r="Z54" s="506">
        <f t="shared" ca="1" si="39"/>
        <v>0.62029999999999996</v>
      </c>
      <c r="AA54" s="506">
        <f t="shared" ca="1" si="39"/>
        <v>0.62029999999999996</v>
      </c>
      <c r="AB54" s="506">
        <f t="shared" ca="1" si="39"/>
        <v>0.62029999999999996</v>
      </c>
      <c r="AC54" s="506">
        <f t="shared" ca="1" si="39"/>
        <v>0.62029999999999996</v>
      </c>
      <c r="AD54" s="506">
        <f t="shared" ca="1" si="39"/>
        <v>0.62029999999999996</v>
      </c>
      <c r="AE54" s="506">
        <f t="shared" ca="1" si="39"/>
        <v>0.62029999999999996</v>
      </c>
      <c r="AF54" s="506">
        <f t="shared" ca="1" si="39"/>
        <v>0.62029999999999996</v>
      </c>
      <c r="AG54" s="506">
        <f t="shared" ca="1" si="39"/>
        <v>0.62029999999999996</v>
      </c>
      <c r="AH54" s="509"/>
      <c r="AI54" s="506"/>
      <c r="AJ54" s="506">
        <f ca="1">IF($C$4=Year1,-PMT(Lookups!$E$17,25,NPV(Lookups!$E$17,G54:AE54),0,1),IF($C$4=Year2,-PMT(Lookups!$F$17,25,NPV(Lookups!$F$17,H54:AF54),0,1),IF($C$4=Year3,-PMT(Lookups!$G$17,25,NPV(Lookups!$G$17,I54:AG54),0,1),-PMT(Lookups!$G$17,27,NPV(Lookups!$G$17,G54:AG54),0,1))))</f>
        <v>0.61152601903123216</v>
      </c>
      <c r="AK54" s="507"/>
      <c r="AL54" s="507"/>
      <c r="AM54" s="508">
        <f ca="1">IFERROR(AM40+AM46,0)</f>
        <v>0</v>
      </c>
      <c r="AN54" s="508">
        <f t="shared" ref="AN54:BM54" ca="1" si="40">IFERROR(AN40+AN46,0)</f>
        <v>0</v>
      </c>
      <c r="AO54" s="508">
        <f t="shared" ca="1" si="40"/>
        <v>0.6200778922723611</v>
      </c>
      <c r="AP54" s="508">
        <f t="shared" ca="1" si="40"/>
        <v>0.6200778922723611</v>
      </c>
      <c r="AQ54" s="508">
        <f t="shared" ca="1" si="40"/>
        <v>0.6200778922723611</v>
      </c>
      <c r="AR54" s="508">
        <f t="shared" ca="1" si="40"/>
        <v>0.6200778922723611</v>
      </c>
      <c r="AS54" s="508">
        <f t="shared" ca="1" si="40"/>
        <v>0.6200778922723611</v>
      </c>
      <c r="AT54" s="508">
        <f t="shared" ca="1" si="40"/>
        <v>0.6200778922723611</v>
      </c>
      <c r="AU54" s="508">
        <f t="shared" ca="1" si="40"/>
        <v>0.6200778922723611</v>
      </c>
      <c r="AV54" s="508">
        <f t="shared" ca="1" si="40"/>
        <v>0.6200778922723611</v>
      </c>
      <c r="AW54" s="508">
        <f t="shared" ca="1" si="40"/>
        <v>0.6200778922723611</v>
      </c>
      <c r="AX54" s="508">
        <f t="shared" ca="1" si="40"/>
        <v>0.6200778922723611</v>
      </c>
      <c r="AY54" s="508">
        <f t="shared" ca="1" si="40"/>
        <v>0.6200778922723611</v>
      </c>
      <c r="AZ54" s="508">
        <f t="shared" ca="1" si="40"/>
        <v>0.6200778922723611</v>
      </c>
      <c r="BA54" s="508">
        <f t="shared" ca="1" si="40"/>
        <v>0.6200778922723611</v>
      </c>
      <c r="BB54" s="508">
        <f t="shared" ca="1" si="40"/>
        <v>0.6200778922723611</v>
      </c>
      <c r="BC54" s="508">
        <f t="shared" ca="1" si="40"/>
        <v>0.6200778922723611</v>
      </c>
      <c r="BD54" s="508">
        <f t="shared" ca="1" si="40"/>
        <v>0.62029999999999996</v>
      </c>
      <c r="BE54" s="508">
        <f t="shared" ca="1" si="40"/>
        <v>0.62029999999999996</v>
      </c>
      <c r="BF54" s="508">
        <f t="shared" ca="1" si="40"/>
        <v>0.62029999999999996</v>
      </c>
      <c r="BG54" s="508">
        <f t="shared" ca="1" si="40"/>
        <v>0.62029999999999996</v>
      </c>
      <c r="BH54" s="508">
        <f t="shared" ca="1" si="40"/>
        <v>0.62029999999999996</v>
      </c>
      <c r="BI54" s="508">
        <f t="shared" ca="1" si="40"/>
        <v>0.62029999999999996</v>
      </c>
      <c r="BJ54" s="508">
        <f t="shared" ca="1" si="40"/>
        <v>0.62029999999999996</v>
      </c>
      <c r="BK54" s="508">
        <f t="shared" ca="1" si="40"/>
        <v>0.62029999999999996</v>
      </c>
      <c r="BL54" s="508">
        <f t="shared" ca="1" si="40"/>
        <v>0.62029999999999996</v>
      </c>
      <c r="BM54" s="508">
        <f t="shared" ca="1" si="40"/>
        <v>0.62029999999999996</v>
      </c>
      <c r="BN54" s="508"/>
      <c r="BO54" s="508"/>
      <c r="BP54" s="508">
        <f ca="1">IF($C$4=Year1,-PMT(Lookups!$E$17,25,NPV(Lookups!$E$17,AM54:BK54),0,1),IF($C$4=Year2,-PMT(Lookups!$F$17,25,NPV(Lookups!$F$17,AN54:BL54),0,1),IF($C$4=Year3,-PMT(Lookups!$G$17,25,NPV(Lookups!$G$17,AO54:BM54),0,1),-PMT(Lookups!$G$17,27,NPV(Lookups!$G$17,AM54:BM54),0,1))))</f>
        <v>0.61150833896982182</v>
      </c>
      <c r="BS54" s="86" t="s">
        <v>236</v>
      </c>
      <c r="BT54" s="51" t="s">
        <v>17</v>
      </c>
    </row>
    <row r="55" spans="1:72" x14ac:dyDescent="0.25">
      <c r="B55" s="243" t="str">
        <f t="shared" si="23"/>
        <v>Residential</v>
      </c>
      <c r="C55" s="243" t="str">
        <f t="shared" si="23"/>
        <v>Rates</v>
      </c>
      <c r="D55" s="244" t="str">
        <f t="shared" si="23"/>
        <v>Rates after DSM Scenario</v>
      </c>
      <c r="E55" s="84" t="s">
        <v>406</v>
      </c>
      <c r="F55" s="84" t="s">
        <v>182</v>
      </c>
      <c r="G55" s="509">
        <f ca="1">G49</f>
        <v>0</v>
      </c>
      <c r="H55" s="509">
        <f t="shared" ref="H55:AG55" ca="1" si="41">H49</f>
        <v>0</v>
      </c>
      <c r="I55" s="509">
        <f t="shared" ca="1" si="41"/>
        <v>6.8785811560470811E-2</v>
      </c>
      <c r="J55" s="509">
        <f t="shared" ca="1" si="41"/>
        <v>0</v>
      </c>
      <c r="K55" s="509">
        <f t="shared" ca="1" si="41"/>
        <v>0</v>
      </c>
      <c r="L55" s="509">
        <f t="shared" ca="1" si="41"/>
        <v>0</v>
      </c>
      <c r="M55" s="509">
        <f t="shared" ca="1" si="41"/>
        <v>0</v>
      </c>
      <c r="N55" s="509">
        <f t="shared" ca="1" si="41"/>
        <v>0</v>
      </c>
      <c r="O55" s="509">
        <f t="shared" ca="1" si="41"/>
        <v>0</v>
      </c>
      <c r="P55" s="509">
        <f t="shared" ca="1" si="41"/>
        <v>0</v>
      </c>
      <c r="Q55" s="509">
        <f t="shared" ca="1" si="41"/>
        <v>0</v>
      </c>
      <c r="R55" s="509">
        <f t="shared" ca="1" si="41"/>
        <v>0</v>
      </c>
      <c r="S55" s="509">
        <f t="shared" ca="1" si="41"/>
        <v>0</v>
      </c>
      <c r="T55" s="509">
        <f t="shared" ca="1" si="41"/>
        <v>0</v>
      </c>
      <c r="U55" s="509">
        <f t="shared" ca="1" si="41"/>
        <v>0</v>
      </c>
      <c r="V55" s="509">
        <f t="shared" ca="1" si="41"/>
        <v>0</v>
      </c>
      <c r="W55" s="509">
        <f t="shared" ca="1" si="41"/>
        <v>0</v>
      </c>
      <c r="X55" s="509">
        <f t="shared" ca="1" si="41"/>
        <v>0</v>
      </c>
      <c r="Y55" s="509">
        <f t="shared" ca="1" si="41"/>
        <v>0</v>
      </c>
      <c r="Z55" s="509">
        <f t="shared" ca="1" si="41"/>
        <v>0</v>
      </c>
      <c r="AA55" s="509">
        <f t="shared" ca="1" si="41"/>
        <v>0</v>
      </c>
      <c r="AB55" s="509">
        <f t="shared" ca="1" si="41"/>
        <v>0</v>
      </c>
      <c r="AC55" s="509">
        <f t="shared" ca="1" si="41"/>
        <v>0</v>
      </c>
      <c r="AD55" s="509">
        <f t="shared" ca="1" si="41"/>
        <v>0</v>
      </c>
      <c r="AE55" s="509">
        <f t="shared" ca="1" si="41"/>
        <v>0</v>
      </c>
      <c r="AF55" s="509">
        <f t="shared" ca="1" si="41"/>
        <v>0</v>
      </c>
      <c r="AG55" s="509">
        <f t="shared" ca="1" si="41"/>
        <v>0</v>
      </c>
      <c r="AH55" s="509"/>
      <c r="AI55" s="509"/>
      <c r="AJ55" s="506">
        <f ca="1">IF($C$4=Year1,-PMT(Lookups!$E$17,25,NPV(Lookups!$E$17,G55:AE55),0,1),IF($C$4=Year2,-PMT(Lookups!$F$17,25,NPV(Lookups!$F$17,H55:AF55),0,1),IF($C$4=Year3,-PMT(Lookups!$G$17,25,NPV(Lookups!$G$17,I55:AG55),0,1),-PMT(Lookups!$G$17,27,NPV(Lookups!$G$17,G55:AG55),0,1))))</f>
        <v>3.1946965494973152E-3</v>
      </c>
      <c r="AK55" s="507"/>
      <c r="AL55" s="507"/>
      <c r="AM55" s="508">
        <f ca="1">AM49</f>
        <v>0</v>
      </c>
      <c r="AN55" s="508">
        <f t="shared" ref="AN55:BM55" ca="1" si="42">AN49</f>
        <v>0</v>
      </c>
      <c r="AO55" s="508">
        <f t="shared" ca="1" si="42"/>
        <v>8.254297387256497E-2</v>
      </c>
      <c r="AP55" s="508">
        <f t="shared" ca="1" si="42"/>
        <v>0</v>
      </c>
      <c r="AQ55" s="508">
        <f t="shared" ca="1" si="42"/>
        <v>0</v>
      </c>
      <c r="AR55" s="508">
        <f t="shared" ca="1" si="42"/>
        <v>0</v>
      </c>
      <c r="AS55" s="508">
        <f t="shared" ca="1" si="42"/>
        <v>0</v>
      </c>
      <c r="AT55" s="508">
        <f t="shared" ca="1" si="42"/>
        <v>0</v>
      </c>
      <c r="AU55" s="508">
        <f t="shared" ca="1" si="42"/>
        <v>0</v>
      </c>
      <c r="AV55" s="508">
        <f t="shared" ca="1" si="42"/>
        <v>0</v>
      </c>
      <c r="AW55" s="508">
        <f t="shared" ca="1" si="42"/>
        <v>0</v>
      </c>
      <c r="AX55" s="508">
        <f t="shared" ca="1" si="42"/>
        <v>0</v>
      </c>
      <c r="AY55" s="508">
        <f t="shared" ca="1" si="42"/>
        <v>0</v>
      </c>
      <c r="AZ55" s="508">
        <f t="shared" ca="1" si="42"/>
        <v>0</v>
      </c>
      <c r="BA55" s="508">
        <f t="shared" ca="1" si="42"/>
        <v>0</v>
      </c>
      <c r="BB55" s="508">
        <f t="shared" ca="1" si="42"/>
        <v>0</v>
      </c>
      <c r="BC55" s="508">
        <f t="shared" ca="1" si="42"/>
        <v>0</v>
      </c>
      <c r="BD55" s="508">
        <f t="shared" ca="1" si="42"/>
        <v>0</v>
      </c>
      <c r="BE55" s="508">
        <f t="shared" ca="1" si="42"/>
        <v>0</v>
      </c>
      <c r="BF55" s="508">
        <f t="shared" ca="1" si="42"/>
        <v>0</v>
      </c>
      <c r="BG55" s="508">
        <f t="shared" ca="1" si="42"/>
        <v>0</v>
      </c>
      <c r="BH55" s="508">
        <f t="shared" ca="1" si="42"/>
        <v>0</v>
      </c>
      <c r="BI55" s="508">
        <f t="shared" ca="1" si="42"/>
        <v>0</v>
      </c>
      <c r="BJ55" s="508">
        <f t="shared" ca="1" si="42"/>
        <v>0</v>
      </c>
      <c r="BK55" s="508">
        <f t="shared" ca="1" si="42"/>
        <v>0</v>
      </c>
      <c r="BL55" s="508">
        <f t="shared" ca="1" si="42"/>
        <v>0</v>
      </c>
      <c r="BM55" s="508">
        <f t="shared" ca="1" si="42"/>
        <v>0</v>
      </c>
      <c r="BN55" s="508"/>
      <c r="BO55" s="508"/>
      <c r="BP55" s="508">
        <f ca="1">IF($C$4=Year1,-PMT(Lookups!$E$17,25,NPV(Lookups!$E$17,AM55:BK55),0,1),IF($C$4=Year2,-PMT(Lookups!$F$17,25,NPV(Lookups!$F$17,AN55:BL55),0,1),IF($C$4=Year3,-PMT(Lookups!$G$17,25,NPV(Lookups!$G$17,AO55:BM55),0,1),-PMT(Lookups!$G$17,27,NPV(Lookups!$G$17,AM55:BM55),0,1))))</f>
        <v>3.8336358593967774E-3</v>
      </c>
      <c r="BS55" s="84" t="s">
        <v>403</v>
      </c>
      <c r="BT55" s="51" t="s">
        <v>17</v>
      </c>
    </row>
    <row r="56" spans="1:72" x14ac:dyDescent="0.25">
      <c r="B56" s="243" t="str">
        <f>B57</f>
        <v>Residential</v>
      </c>
      <c r="C56" s="243" t="str">
        <f>C57</f>
        <v>Rates</v>
      </c>
      <c r="D56" s="244" t="str">
        <f>D57</f>
        <v>Rates after DSM Scenario</v>
      </c>
      <c r="E56" s="86" t="s">
        <v>75</v>
      </c>
      <c r="F56" s="84" t="s">
        <v>182</v>
      </c>
      <c r="G56" s="506">
        <f>G41</f>
        <v>0</v>
      </c>
      <c r="H56" s="506">
        <f>H41</f>
        <v>0</v>
      </c>
      <c r="I56" s="506">
        <f t="shared" ref="I56:AG56" si="43">I41</f>
        <v>0.2233803664496018</v>
      </c>
      <c r="J56" s="506">
        <f t="shared" si="43"/>
        <v>0.2233803664496018</v>
      </c>
      <c r="K56" s="506">
        <f t="shared" si="43"/>
        <v>0.2233803664496018</v>
      </c>
      <c r="L56" s="506">
        <f t="shared" si="43"/>
        <v>0.2233803664496018</v>
      </c>
      <c r="M56" s="506">
        <f t="shared" si="43"/>
        <v>0.2233803664496018</v>
      </c>
      <c r="N56" s="506">
        <f t="shared" si="43"/>
        <v>0.2233803664496018</v>
      </c>
      <c r="O56" s="506">
        <f t="shared" si="43"/>
        <v>0.2233803664496018</v>
      </c>
      <c r="P56" s="506">
        <f t="shared" si="43"/>
        <v>0.2233803664496018</v>
      </c>
      <c r="Q56" s="506">
        <f t="shared" si="43"/>
        <v>0.2233803664496018</v>
      </c>
      <c r="R56" s="506">
        <f t="shared" si="43"/>
        <v>0.2233803664496018</v>
      </c>
      <c r="S56" s="506">
        <f t="shared" si="43"/>
        <v>0.2233803664496018</v>
      </c>
      <c r="T56" s="506">
        <f t="shared" si="43"/>
        <v>0.2233803664496018</v>
      </c>
      <c r="U56" s="506">
        <f t="shared" si="43"/>
        <v>0.2233803664496018</v>
      </c>
      <c r="V56" s="506">
        <f t="shared" si="43"/>
        <v>0.2233803664496018</v>
      </c>
      <c r="W56" s="506">
        <f t="shared" si="43"/>
        <v>0.2233803664496018</v>
      </c>
      <c r="X56" s="506">
        <f t="shared" si="43"/>
        <v>0.2233803664496018</v>
      </c>
      <c r="Y56" s="506">
        <f t="shared" si="43"/>
        <v>0.2233803664496018</v>
      </c>
      <c r="Z56" s="506">
        <f t="shared" si="43"/>
        <v>0.2233803664496018</v>
      </c>
      <c r="AA56" s="506">
        <f t="shared" si="43"/>
        <v>0.2233803664496018</v>
      </c>
      <c r="AB56" s="506">
        <f t="shared" si="43"/>
        <v>0.2233803664496018</v>
      </c>
      <c r="AC56" s="506">
        <f t="shared" si="43"/>
        <v>0.2233803664496018</v>
      </c>
      <c r="AD56" s="506">
        <f t="shared" si="43"/>
        <v>0.2233803664496018</v>
      </c>
      <c r="AE56" s="506">
        <f t="shared" si="43"/>
        <v>0.2233803664496018</v>
      </c>
      <c r="AF56" s="506">
        <f t="shared" si="43"/>
        <v>0.2233803664496018</v>
      </c>
      <c r="AG56" s="506">
        <f t="shared" si="43"/>
        <v>0.2233803664496018</v>
      </c>
      <c r="AH56" s="506"/>
      <c r="AI56" s="506"/>
      <c r="AJ56" s="506">
        <f>IF($C$4=Year1,-PMT(Lookups!$E$17,25,NPV(Lookups!$E$17,G56:AE56),0,1),IF($C$4=Year2,-PMT(Lookups!$F$17,25,NPV(Lookups!$F$17,H56:AF56),0,1),IF($C$4=Year3,-PMT(Lookups!$G$17,25,NPV(Lookups!$G$17,I56:AG56),0,1),-PMT(Lookups!$G$17,27,NPV(Lookups!$G$17,G56:AG56),0,1))))</f>
        <v>0.22026494051558318</v>
      </c>
      <c r="AK56" s="507"/>
      <c r="AL56" s="507"/>
      <c r="AM56" s="508">
        <f>AM41</f>
        <v>0</v>
      </c>
      <c r="AN56" s="508">
        <f t="shared" ref="AN56:BM56" si="44">AN41</f>
        <v>0</v>
      </c>
      <c r="AO56" s="508">
        <f t="shared" si="44"/>
        <v>0.2233803664496018</v>
      </c>
      <c r="AP56" s="508">
        <f t="shared" si="44"/>
        <v>0.2233803664496018</v>
      </c>
      <c r="AQ56" s="508">
        <f t="shared" si="44"/>
        <v>0.2233803664496018</v>
      </c>
      <c r="AR56" s="508">
        <f t="shared" si="44"/>
        <v>0.2233803664496018</v>
      </c>
      <c r="AS56" s="508">
        <f t="shared" si="44"/>
        <v>0.2233803664496018</v>
      </c>
      <c r="AT56" s="508">
        <f t="shared" si="44"/>
        <v>0.2233803664496018</v>
      </c>
      <c r="AU56" s="508">
        <f t="shared" si="44"/>
        <v>0.2233803664496018</v>
      </c>
      <c r="AV56" s="508">
        <f t="shared" si="44"/>
        <v>0.2233803664496018</v>
      </c>
      <c r="AW56" s="508">
        <f t="shared" si="44"/>
        <v>0.2233803664496018</v>
      </c>
      <c r="AX56" s="508">
        <f t="shared" si="44"/>
        <v>0.2233803664496018</v>
      </c>
      <c r="AY56" s="508">
        <f t="shared" si="44"/>
        <v>0.2233803664496018</v>
      </c>
      <c r="AZ56" s="508">
        <f t="shared" si="44"/>
        <v>0.2233803664496018</v>
      </c>
      <c r="BA56" s="508">
        <f t="shared" si="44"/>
        <v>0.2233803664496018</v>
      </c>
      <c r="BB56" s="508">
        <f t="shared" si="44"/>
        <v>0.2233803664496018</v>
      </c>
      <c r="BC56" s="508">
        <f t="shared" si="44"/>
        <v>0.2233803664496018</v>
      </c>
      <c r="BD56" s="508">
        <f t="shared" si="44"/>
        <v>0.2233803664496018</v>
      </c>
      <c r="BE56" s="508">
        <f t="shared" si="44"/>
        <v>0.2233803664496018</v>
      </c>
      <c r="BF56" s="508">
        <f t="shared" si="44"/>
        <v>0.2233803664496018</v>
      </c>
      <c r="BG56" s="508">
        <f t="shared" si="44"/>
        <v>0.2233803664496018</v>
      </c>
      <c r="BH56" s="508">
        <f t="shared" si="44"/>
        <v>0.2233803664496018</v>
      </c>
      <c r="BI56" s="508">
        <f t="shared" si="44"/>
        <v>0.2233803664496018</v>
      </c>
      <c r="BJ56" s="508">
        <f t="shared" si="44"/>
        <v>0.2233803664496018</v>
      </c>
      <c r="BK56" s="508">
        <f t="shared" si="44"/>
        <v>0.2233803664496018</v>
      </c>
      <c r="BL56" s="508">
        <f t="shared" si="44"/>
        <v>0.2233803664496018</v>
      </c>
      <c r="BM56" s="508">
        <f t="shared" si="44"/>
        <v>0.2233803664496018</v>
      </c>
      <c r="BN56" s="508"/>
      <c r="BO56" s="508"/>
      <c r="BP56" s="508">
        <f>IF($C$4=Year1,-PMT(Lookups!$E$17,25,NPV(Lookups!$E$17,AM56:BK56),0,1),IF($C$4=Year2,-PMT(Lookups!$F$17,25,NPV(Lookups!$F$17,AN56:BL56),0,1),IF($C$4=Year3,-PMT(Lookups!$G$17,25,NPV(Lookups!$G$17,AO56:BM56),0,1),-PMT(Lookups!$G$17,27,NPV(Lookups!$G$17,AM56:BM56),0,1))))</f>
        <v>0.22026494051558318</v>
      </c>
      <c r="BS56" s="84" t="s">
        <v>171</v>
      </c>
      <c r="BT56" s="51" t="s">
        <v>17</v>
      </c>
    </row>
    <row r="57" spans="1:72" x14ac:dyDescent="0.25">
      <c r="B57" s="243" t="str">
        <f>B55</f>
        <v>Residential</v>
      </c>
      <c r="C57" s="243" t="str">
        <f>C55</f>
        <v>Rates</v>
      </c>
      <c r="D57" s="244" t="str">
        <f>D55</f>
        <v>Rates after DSM Scenario</v>
      </c>
      <c r="E57" s="84" t="s">
        <v>76</v>
      </c>
      <c r="F57" s="84" t="s">
        <v>182</v>
      </c>
      <c r="G57" s="506">
        <f ca="1">SUM(G52:G56)</f>
        <v>0</v>
      </c>
      <c r="H57" s="506">
        <f ca="1">SUM(H52:H56)</f>
        <v>0</v>
      </c>
      <c r="I57" s="506">
        <f t="shared" ref="I57:AG57" ca="1" si="45">SUM(I52:I56)</f>
        <v>1.4393512770718555</v>
      </c>
      <c r="J57" s="506">
        <f t="shared" ca="1" si="45"/>
        <v>1.3705654655113846</v>
      </c>
      <c r="K57" s="506">
        <f t="shared" ca="1" si="45"/>
        <v>1.3705654655113846</v>
      </c>
      <c r="L57" s="506">
        <f t="shared" ca="1" si="45"/>
        <v>1.3705654655113846</v>
      </c>
      <c r="M57" s="506">
        <f t="shared" ca="1" si="45"/>
        <v>1.3705654655113846</v>
      </c>
      <c r="N57" s="506">
        <f t="shared" ca="1" si="45"/>
        <v>1.3705654655113846</v>
      </c>
      <c r="O57" s="506">
        <f t="shared" ca="1" si="45"/>
        <v>1.3705654655113846</v>
      </c>
      <c r="P57" s="506">
        <f t="shared" ca="1" si="45"/>
        <v>1.3705654655113846</v>
      </c>
      <c r="Q57" s="506">
        <f t="shared" ca="1" si="45"/>
        <v>1.3705654655113846</v>
      </c>
      <c r="R57" s="506">
        <f t="shared" ca="1" si="45"/>
        <v>1.3705654655113846</v>
      </c>
      <c r="S57" s="506">
        <f t="shared" ca="1" si="45"/>
        <v>1.3705654655113846</v>
      </c>
      <c r="T57" s="506">
        <f t="shared" ca="1" si="45"/>
        <v>1.3705654655113846</v>
      </c>
      <c r="U57" s="506">
        <f t="shared" ca="1" si="45"/>
        <v>1.3705654655113846</v>
      </c>
      <c r="V57" s="506">
        <f t="shared" ca="1" si="45"/>
        <v>1.3705654655113846</v>
      </c>
      <c r="W57" s="506">
        <f t="shared" ca="1" si="45"/>
        <v>1.3705654655113846</v>
      </c>
      <c r="X57" s="506">
        <f t="shared" ca="1" si="45"/>
        <v>1.3675803664496016</v>
      </c>
      <c r="Y57" s="506">
        <f t="shared" ca="1" si="45"/>
        <v>1.3675803664496016</v>
      </c>
      <c r="Z57" s="506">
        <f t="shared" ca="1" si="45"/>
        <v>1.3675803664496016</v>
      </c>
      <c r="AA57" s="506">
        <f t="shared" ca="1" si="45"/>
        <v>1.3675803664496016</v>
      </c>
      <c r="AB57" s="506">
        <f t="shared" ca="1" si="45"/>
        <v>1.3675803664496016</v>
      </c>
      <c r="AC57" s="506">
        <f t="shared" ca="1" si="45"/>
        <v>1.3675803664496016</v>
      </c>
      <c r="AD57" s="506">
        <f t="shared" ca="1" si="45"/>
        <v>1.3675803664496016</v>
      </c>
      <c r="AE57" s="506">
        <f t="shared" ca="1" si="45"/>
        <v>1.3675803664496016</v>
      </c>
      <c r="AF57" s="506">
        <f t="shared" ca="1" si="45"/>
        <v>1.3675803664496016</v>
      </c>
      <c r="AG57" s="506">
        <f t="shared" ca="1" si="45"/>
        <v>1.3675803664496016</v>
      </c>
      <c r="AH57" s="506"/>
      <c r="AI57" s="506"/>
      <c r="AJ57" s="506">
        <f ca="1">IF($C$4=Year1,-PMT(Lookups!$E$17,25,NPV(Lookups!$E$17,G57:AE57),0,1),IF($C$4=Year2,-PMT(Lookups!$F$17,25,NPV(Lookups!$F$17,H57:AF57),0,1),IF($C$4=Year3,-PMT(Lookups!$G$17,25,NPV(Lookups!$G$17,I57:AG57),0,1),-PMT(Lookups!$G$17,27,NPV(Lookups!$G$17,G57:AG57),0,1))))</f>
        <v>1.3535901379603086</v>
      </c>
      <c r="AK57" s="507"/>
      <c r="AL57" s="507"/>
      <c r="AM57" s="508">
        <f ca="1">SUM(AM52:AM56)</f>
        <v>0</v>
      </c>
      <c r="AN57" s="508">
        <f ca="1">SUM(AN52:AN56)</f>
        <v>0</v>
      </c>
      <c r="AO57" s="508">
        <f t="shared" ref="AO57:BM57" ca="1" si="46">SUM(AO52:AO56)</f>
        <v>1.4535381348309002</v>
      </c>
      <c r="AP57" s="508">
        <f t="shared" ca="1" si="46"/>
        <v>1.3709951609583353</v>
      </c>
      <c r="AQ57" s="508">
        <f t="shared" ca="1" si="46"/>
        <v>1.3709951609583353</v>
      </c>
      <c r="AR57" s="508">
        <f t="shared" ca="1" si="46"/>
        <v>1.3709951609583353</v>
      </c>
      <c r="AS57" s="508">
        <f t="shared" ca="1" si="46"/>
        <v>1.3709951609583353</v>
      </c>
      <c r="AT57" s="508">
        <f t="shared" ca="1" si="46"/>
        <v>1.3709951609583353</v>
      </c>
      <c r="AU57" s="508">
        <f t="shared" ca="1" si="46"/>
        <v>1.3709951609583353</v>
      </c>
      <c r="AV57" s="508">
        <f t="shared" ca="1" si="46"/>
        <v>1.3709951609583353</v>
      </c>
      <c r="AW57" s="508">
        <f t="shared" ca="1" si="46"/>
        <v>1.3709951609583353</v>
      </c>
      <c r="AX57" s="508">
        <f t="shared" ca="1" si="46"/>
        <v>1.3709951609583353</v>
      </c>
      <c r="AY57" s="508">
        <f t="shared" ca="1" si="46"/>
        <v>1.3709951609583353</v>
      </c>
      <c r="AZ57" s="508">
        <f t="shared" ca="1" si="46"/>
        <v>1.3709951609583353</v>
      </c>
      <c r="BA57" s="508">
        <f t="shared" ca="1" si="46"/>
        <v>1.3709951609583353</v>
      </c>
      <c r="BB57" s="508">
        <f t="shared" ca="1" si="46"/>
        <v>1.3709951609583353</v>
      </c>
      <c r="BC57" s="508">
        <f t="shared" ca="1" si="46"/>
        <v>1.3709951609583353</v>
      </c>
      <c r="BD57" s="508">
        <f t="shared" ca="1" si="46"/>
        <v>1.3675803664496016</v>
      </c>
      <c r="BE57" s="508">
        <f t="shared" ca="1" si="46"/>
        <v>1.3675803664496016</v>
      </c>
      <c r="BF57" s="508">
        <f t="shared" ca="1" si="46"/>
        <v>1.3675803664496016</v>
      </c>
      <c r="BG57" s="508">
        <f t="shared" ca="1" si="46"/>
        <v>1.3675803664496016</v>
      </c>
      <c r="BH57" s="508">
        <f t="shared" ca="1" si="46"/>
        <v>1.3675803664496016</v>
      </c>
      <c r="BI57" s="508">
        <f t="shared" ca="1" si="46"/>
        <v>1.3675803664496016</v>
      </c>
      <c r="BJ57" s="508">
        <f t="shared" ca="1" si="46"/>
        <v>1.3675803664496016</v>
      </c>
      <c r="BK57" s="508">
        <f t="shared" ca="1" si="46"/>
        <v>1.3675803664496016</v>
      </c>
      <c r="BL57" s="508">
        <f t="shared" ca="1" si="46"/>
        <v>1.3675803664496016</v>
      </c>
      <c r="BM57" s="508">
        <f t="shared" ca="1" si="46"/>
        <v>1.3675803664496016</v>
      </c>
      <c r="BN57" s="508"/>
      <c r="BO57" s="508"/>
      <c r="BP57" s="508">
        <f ca="1">IF($C$4=Year1,-PMT(Lookups!$E$17,25,NPV(Lookups!$E$17,AM57:BK57),0,1),IF($C$4=Year2,-PMT(Lookups!$F$17,25,NPV(Lookups!$F$17,AN57:BL57),0,1),IF($C$4=Year3,-PMT(Lookups!$G$17,25,NPV(Lookups!$G$17,AO57:BM57),0,1),-PMT(Lookups!$G$17,27,NPV(Lookups!$G$17,AM57:BM57),0,1))))</f>
        <v>1.3545008993146725</v>
      </c>
      <c r="BS57" s="84" t="s">
        <v>235</v>
      </c>
      <c r="BT57" s="51" t="s">
        <v>17</v>
      </c>
    </row>
    <row r="58" spans="1:72" x14ac:dyDescent="0.25">
      <c r="B58" s="243" t="str">
        <f>B56</f>
        <v>Residential</v>
      </c>
      <c r="C58" s="243" t="str">
        <f>C56</f>
        <v>Rates</v>
      </c>
      <c r="D58" s="114" t="s">
        <v>114</v>
      </c>
      <c r="E58" s="84"/>
      <c r="F58" s="84"/>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49"/>
      <c r="AI58" s="109"/>
      <c r="AJ58" s="506"/>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S58" s="84"/>
      <c r="BT58" s="51" t="s">
        <v>17</v>
      </c>
    </row>
    <row r="59" spans="1:72" x14ac:dyDescent="0.25">
      <c r="B59" s="243" t="str">
        <f t="shared" si="23"/>
        <v>Residential</v>
      </c>
      <c r="C59" s="243" t="str">
        <f t="shared" si="23"/>
        <v>Rates</v>
      </c>
      <c r="D59" s="244" t="str">
        <f t="shared" si="23"/>
        <v>Change in Rates after DSM Scenario</v>
      </c>
      <c r="E59" s="84" t="s">
        <v>76</v>
      </c>
      <c r="F59" s="84" t="s">
        <v>182</v>
      </c>
      <c r="G59" s="510">
        <f ca="1">G57-G42</f>
        <v>0</v>
      </c>
      <c r="H59" s="510">
        <f ca="1">H57-H42</f>
        <v>0</v>
      </c>
      <c r="I59" s="510">
        <f t="shared" ref="I59:AG59" ca="1" si="47">I57-I42</f>
        <v>7.1770910622253936E-2</v>
      </c>
      <c r="J59" s="510">
        <f t="shared" ca="1" si="47"/>
        <v>2.9850990617830142E-3</v>
      </c>
      <c r="K59" s="510">
        <f t="shared" ca="1" si="47"/>
        <v>2.9850990617830142E-3</v>
      </c>
      <c r="L59" s="510">
        <f t="shared" ca="1" si="47"/>
        <v>2.9850990617830142E-3</v>
      </c>
      <c r="M59" s="510">
        <f t="shared" ca="1" si="47"/>
        <v>2.9850990617830142E-3</v>
      </c>
      <c r="N59" s="510">
        <f t="shared" ca="1" si="47"/>
        <v>2.9850990617830142E-3</v>
      </c>
      <c r="O59" s="510">
        <f t="shared" ca="1" si="47"/>
        <v>2.9850990617830142E-3</v>
      </c>
      <c r="P59" s="510">
        <f t="shared" ca="1" si="47"/>
        <v>2.9850990617830142E-3</v>
      </c>
      <c r="Q59" s="510">
        <f t="shared" ca="1" si="47"/>
        <v>2.9850990617830142E-3</v>
      </c>
      <c r="R59" s="510">
        <f t="shared" ca="1" si="47"/>
        <v>2.9850990617830142E-3</v>
      </c>
      <c r="S59" s="510">
        <f t="shared" ca="1" si="47"/>
        <v>2.9850990617830142E-3</v>
      </c>
      <c r="T59" s="510">
        <f t="shared" ca="1" si="47"/>
        <v>2.9850990617830142E-3</v>
      </c>
      <c r="U59" s="510">
        <f t="shared" ca="1" si="47"/>
        <v>2.9850990617830142E-3</v>
      </c>
      <c r="V59" s="510">
        <f t="shared" ca="1" si="47"/>
        <v>2.9850990617830142E-3</v>
      </c>
      <c r="W59" s="510">
        <f t="shared" ca="1" si="47"/>
        <v>2.9850990617830142E-3</v>
      </c>
      <c r="X59" s="510">
        <f t="shared" ca="1" si="47"/>
        <v>0</v>
      </c>
      <c r="Y59" s="510">
        <f t="shared" ca="1" si="47"/>
        <v>0</v>
      </c>
      <c r="Z59" s="510">
        <f t="shared" ca="1" si="47"/>
        <v>0</v>
      </c>
      <c r="AA59" s="510">
        <f t="shared" ca="1" si="47"/>
        <v>0</v>
      </c>
      <c r="AB59" s="510">
        <f t="shared" ca="1" si="47"/>
        <v>0</v>
      </c>
      <c r="AC59" s="510">
        <f t="shared" ca="1" si="47"/>
        <v>0</v>
      </c>
      <c r="AD59" s="510">
        <f t="shared" ca="1" si="47"/>
        <v>0</v>
      </c>
      <c r="AE59" s="510">
        <f t="shared" ca="1" si="47"/>
        <v>0</v>
      </c>
      <c r="AF59" s="510">
        <f t="shared" ca="1" si="47"/>
        <v>0</v>
      </c>
      <c r="AG59" s="510">
        <f t="shared" ca="1" si="47"/>
        <v>0</v>
      </c>
      <c r="AH59" s="510"/>
      <c r="AI59" s="510"/>
      <c r="AJ59" s="506">
        <f ca="1">IF($C$4=Year1,-PMT(Lookups!$E$17,25,NPV(Lookups!$E$17,G59:AE59),0,1),IF($C$4=Year2,-PMT(Lookups!$F$17,25,NPV(Lookups!$F$17,H59:AF59),0,1),IF($C$4=Year3,-PMT(Lookups!$G$17,25,NPV(Lookups!$G$17,I59:AG59),0,1),-PMT(Lookups!$G$17,27,NPV(Lookups!$G$17,G59:AG59),0,1))))</f>
        <v>5.0830473236603444E-3</v>
      </c>
      <c r="AK59" s="507"/>
      <c r="AL59" s="507"/>
      <c r="AM59" s="508">
        <f ca="1">AM57-AM42</f>
        <v>0</v>
      </c>
      <c r="AN59" s="508">
        <f ca="1">AN57-AN42</f>
        <v>0</v>
      </c>
      <c r="AO59" s="508">
        <f t="shared" ref="AO59:BM59" ca="1" si="48">AO57-AO42</f>
        <v>8.5957768381298649E-2</v>
      </c>
      <c r="AP59" s="508">
        <f t="shared" ca="1" si="48"/>
        <v>3.4147945087337206E-3</v>
      </c>
      <c r="AQ59" s="508">
        <f t="shared" ca="1" si="48"/>
        <v>3.4147945087337206E-3</v>
      </c>
      <c r="AR59" s="508">
        <f t="shared" ca="1" si="48"/>
        <v>3.4147945087337206E-3</v>
      </c>
      <c r="AS59" s="508">
        <f t="shared" ca="1" si="48"/>
        <v>3.4147945087337206E-3</v>
      </c>
      <c r="AT59" s="508">
        <f t="shared" ca="1" si="48"/>
        <v>3.4147945087337206E-3</v>
      </c>
      <c r="AU59" s="508">
        <f t="shared" ca="1" si="48"/>
        <v>3.4147945087337206E-3</v>
      </c>
      <c r="AV59" s="508">
        <f t="shared" ca="1" si="48"/>
        <v>3.4147945087337206E-3</v>
      </c>
      <c r="AW59" s="508">
        <f t="shared" ca="1" si="48"/>
        <v>3.4147945087337206E-3</v>
      </c>
      <c r="AX59" s="508">
        <f t="shared" ca="1" si="48"/>
        <v>3.4147945087337206E-3</v>
      </c>
      <c r="AY59" s="508">
        <f t="shared" ca="1" si="48"/>
        <v>3.4147945087337206E-3</v>
      </c>
      <c r="AZ59" s="508">
        <f t="shared" ca="1" si="48"/>
        <v>3.4147945087337206E-3</v>
      </c>
      <c r="BA59" s="508">
        <f t="shared" ca="1" si="48"/>
        <v>3.4147945087337206E-3</v>
      </c>
      <c r="BB59" s="508">
        <f t="shared" ca="1" si="48"/>
        <v>3.4147945087337206E-3</v>
      </c>
      <c r="BC59" s="508">
        <f t="shared" ca="1" si="48"/>
        <v>3.4147945087337206E-3</v>
      </c>
      <c r="BD59" s="508">
        <f t="shared" ca="1" si="48"/>
        <v>0</v>
      </c>
      <c r="BE59" s="508">
        <f t="shared" ca="1" si="48"/>
        <v>0</v>
      </c>
      <c r="BF59" s="508">
        <f t="shared" ca="1" si="48"/>
        <v>0</v>
      </c>
      <c r="BG59" s="508">
        <f t="shared" ca="1" si="48"/>
        <v>0</v>
      </c>
      <c r="BH59" s="508">
        <f t="shared" ca="1" si="48"/>
        <v>0</v>
      </c>
      <c r="BI59" s="508">
        <f t="shared" ca="1" si="48"/>
        <v>0</v>
      </c>
      <c r="BJ59" s="508">
        <f t="shared" ca="1" si="48"/>
        <v>0</v>
      </c>
      <c r="BK59" s="508">
        <f t="shared" ca="1" si="48"/>
        <v>0</v>
      </c>
      <c r="BL59" s="508">
        <f t="shared" ca="1" si="48"/>
        <v>0</v>
      </c>
      <c r="BM59" s="508">
        <f t="shared" ca="1" si="48"/>
        <v>0</v>
      </c>
      <c r="BN59" s="508"/>
      <c r="BO59" s="508"/>
      <c r="BP59" s="508">
        <f ca="1">IF($C$4=Year1,-PMT(Lookups!$E$17,25,NPV(Lookups!$E$17,AM59:BK59),0,1),IF($C$4=Year2,-PMT(Lookups!$F$17,25,NPV(Lookups!$F$17,AN59:BL59),0,1),IF($C$4=Year3,-PMT(Lookups!$G$17,25,NPV(Lookups!$G$17,AO59:BM59),0,1),-PMT(Lookups!$G$17,27,NPV(Lookups!$G$17,AM59:BM59),0,1))))</f>
        <v>5.993808678024559E-3</v>
      </c>
      <c r="BS59" s="84" t="s">
        <v>233</v>
      </c>
      <c r="BT59" s="51" t="s">
        <v>17</v>
      </c>
    </row>
    <row r="60" spans="1:72" x14ac:dyDescent="0.25">
      <c r="B60" s="243" t="str">
        <f t="shared" ref="B60:D75" si="49">B59</f>
        <v>Residential</v>
      </c>
      <c r="C60" s="243" t="str">
        <f t="shared" si="49"/>
        <v>Rates</v>
      </c>
      <c r="D60" s="244" t="str">
        <f t="shared" si="49"/>
        <v>Change in Rates after DSM Scenario</v>
      </c>
      <c r="E60" s="84" t="s">
        <v>76</v>
      </c>
      <c r="F60" s="84" t="s">
        <v>16</v>
      </c>
      <c r="G60" s="224">
        <f ca="1">IFERROR(G57/G42-1,0)</f>
        <v>0</v>
      </c>
      <c r="H60" s="224">
        <f ca="1">IFERROR(H57/H42-1,0)</f>
        <v>0</v>
      </c>
      <c r="I60" s="224">
        <f t="shared" ref="I60:AF60" ca="1" si="50">IFERROR(I57/I42-1,0)</f>
        <v>5.2480214240410383E-2</v>
      </c>
      <c r="J60" s="224">
        <f t="shared" ca="1" si="50"/>
        <v>2.1827595182084547E-3</v>
      </c>
      <c r="K60" s="224">
        <f t="shared" ca="1" si="50"/>
        <v>2.1827595182084547E-3</v>
      </c>
      <c r="L60" s="224">
        <f t="shared" ca="1" si="50"/>
        <v>2.1827595182084547E-3</v>
      </c>
      <c r="M60" s="224">
        <f t="shared" ca="1" si="50"/>
        <v>2.1827595182084547E-3</v>
      </c>
      <c r="N60" s="224">
        <f t="shared" ca="1" si="50"/>
        <v>2.1827595182084547E-3</v>
      </c>
      <c r="O60" s="224">
        <f t="shared" ca="1" si="50"/>
        <v>2.1827595182084547E-3</v>
      </c>
      <c r="P60" s="224">
        <f t="shared" ca="1" si="50"/>
        <v>2.1827595182084547E-3</v>
      </c>
      <c r="Q60" s="224">
        <f t="shared" ca="1" si="50"/>
        <v>2.1827595182084547E-3</v>
      </c>
      <c r="R60" s="224">
        <f t="shared" ca="1" si="50"/>
        <v>2.1827595182084547E-3</v>
      </c>
      <c r="S60" s="224">
        <f t="shared" ca="1" si="50"/>
        <v>2.1827595182084547E-3</v>
      </c>
      <c r="T60" s="224">
        <f t="shared" ca="1" si="50"/>
        <v>2.1827595182084547E-3</v>
      </c>
      <c r="U60" s="224">
        <f t="shared" ca="1" si="50"/>
        <v>2.1827595182084547E-3</v>
      </c>
      <c r="V60" s="224">
        <f t="shared" ca="1" si="50"/>
        <v>2.1827595182084547E-3</v>
      </c>
      <c r="W60" s="224">
        <f t="shared" ca="1" si="50"/>
        <v>2.1827595182084547E-3</v>
      </c>
      <c r="X60" s="224">
        <f t="shared" ca="1" si="50"/>
        <v>0</v>
      </c>
      <c r="Y60" s="224">
        <f t="shared" ca="1" si="50"/>
        <v>0</v>
      </c>
      <c r="Z60" s="224">
        <f t="shared" ca="1" si="50"/>
        <v>0</v>
      </c>
      <c r="AA60" s="224">
        <f t="shared" ca="1" si="50"/>
        <v>0</v>
      </c>
      <c r="AB60" s="224">
        <f t="shared" ca="1" si="50"/>
        <v>0</v>
      </c>
      <c r="AC60" s="224">
        <f t="shared" ca="1" si="50"/>
        <v>0</v>
      </c>
      <c r="AD60" s="224">
        <f t="shared" ca="1" si="50"/>
        <v>0</v>
      </c>
      <c r="AE60" s="224">
        <f t="shared" ca="1" si="50"/>
        <v>0</v>
      </c>
      <c r="AF60" s="224">
        <f t="shared" ca="1" si="50"/>
        <v>0</v>
      </c>
      <c r="AG60" s="224">
        <f ca="1">IFERROR(AG57/AG42-1,0)</f>
        <v>0</v>
      </c>
      <c r="AH60" s="224"/>
      <c r="AI60" s="224"/>
      <c r="AJ60" s="224">
        <f ca="1">IFERROR(AJ57/AJ42-1,0)</f>
        <v>3.7693886513125996E-3</v>
      </c>
      <c r="AK60" s="212"/>
      <c r="AL60" s="212"/>
      <c r="AM60" s="504">
        <f ca="1">IFERROR(AM57/AM42-1,0)</f>
        <v>0</v>
      </c>
      <c r="AN60" s="504">
        <f t="shared" ref="AN60:BM60" ca="1" si="51">IFERROR(AN57/AN42-1,0)</f>
        <v>0</v>
      </c>
      <c r="AO60" s="504">
        <f t="shared" ca="1" si="51"/>
        <v>6.2853906424859662E-2</v>
      </c>
      <c r="AP60" s="504">
        <f t="shared" ca="1" si="51"/>
        <v>2.4969607582177034E-3</v>
      </c>
      <c r="AQ60" s="504">
        <f t="shared" ca="1" si="51"/>
        <v>2.4969607582177034E-3</v>
      </c>
      <c r="AR60" s="504">
        <f t="shared" ca="1" si="51"/>
        <v>2.4969607582177034E-3</v>
      </c>
      <c r="AS60" s="504">
        <f t="shared" ca="1" si="51"/>
        <v>2.4969607582177034E-3</v>
      </c>
      <c r="AT60" s="504">
        <f t="shared" ca="1" si="51"/>
        <v>2.4969607582177034E-3</v>
      </c>
      <c r="AU60" s="504">
        <f t="shared" ca="1" si="51"/>
        <v>2.4969607582177034E-3</v>
      </c>
      <c r="AV60" s="504">
        <f t="shared" ca="1" si="51"/>
        <v>2.4969607582177034E-3</v>
      </c>
      <c r="AW60" s="504">
        <f t="shared" ca="1" si="51"/>
        <v>2.4969607582177034E-3</v>
      </c>
      <c r="AX60" s="504">
        <f t="shared" ca="1" si="51"/>
        <v>2.4969607582177034E-3</v>
      </c>
      <c r="AY60" s="504">
        <f t="shared" ca="1" si="51"/>
        <v>2.4969607582177034E-3</v>
      </c>
      <c r="AZ60" s="504">
        <f t="shared" ca="1" si="51"/>
        <v>2.4969607582177034E-3</v>
      </c>
      <c r="BA60" s="504">
        <f t="shared" ca="1" si="51"/>
        <v>2.4969607582177034E-3</v>
      </c>
      <c r="BB60" s="504">
        <f t="shared" ca="1" si="51"/>
        <v>2.4969607582177034E-3</v>
      </c>
      <c r="BC60" s="504">
        <f t="shared" ca="1" si="51"/>
        <v>2.4969607582177034E-3</v>
      </c>
      <c r="BD60" s="504">
        <f t="shared" ca="1" si="51"/>
        <v>0</v>
      </c>
      <c r="BE60" s="504">
        <f t="shared" ca="1" si="51"/>
        <v>0</v>
      </c>
      <c r="BF60" s="504">
        <f t="shared" ca="1" si="51"/>
        <v>0</v>
      </c>
      <c r="BG60" s="504">
        <f t="shared" ca="1" si="51"/>
        <v>0</v>
      </c>
      <c r="BH60" s="504">
        <f t="shared" ca="1" si="51"/>
        <v>0</v>
      </c>
      <c r="BI60" s="504">
        <f t="shared" ca="1" si="51"/>
        <v>0</v>
      </c>
      <c r="BJ60" s="504">
        <f t="shared" ca="1" si="51"/>
        <v>0</v>
      </c>
      <c r="BK60" s="504">
        <f t="shared" ca="1" si="51"/>
        <v>0</v>
      </c>
      <c r="BL60" s="504">
        <f t="shared" ca="1" si="51"/>
        <v>0</v>
      </c>
      <c r="BM60" s="504">
        <f t="shared" ca="1" si="51"/>
        <v>0</v>
      </c>
      <c r="BN60" s="504"/>
      <c r="BO60" s="504"/>
      <c r="BP60" s="504">
        <f ca="1">IFERROR(BP57/BP42-1,0)</f>
        <v>4.4447735719317372E-3</v>
      </c>
      <c r="BS60" s="84" t="s">
        <v>234</v>
      </c>
      <c r="BT60" s="51" t="s">
        <v>17</v>
      </c>
    </row>
    <row r="61" spans="1:72" x14ac:dyDescent="0.25">
      <c r="B61" s="243" t="str">
        <f t="shared" si="49"/>
        <v>Residential</v>
      </c>
      <c r="C61" s="243" t="str">
        <f t="shared" si="49"/>
        <v>Rates</v>
      </c>
      <c r="D61" s="85"/>
      <c r="E61" s="84" t="s">
        <v>17</v>
      </c>
      <c r="F61" s="84"/>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S61" s="84"/>
      <c r="BT61" s="51" t="s">
        <v>17</v>
      </c>
    </row>
    <row r="62" spans="1:72" s="5" customFormat="1" ht="15.75" x14ac:dyDescent="0.25">
      <c r="A62" s="52"/>
      <c r="B62" s="241" t="str">
        <f t="shared" si="49"/>
        <v>Residential</v>
      </c>
      <c r="C62" s="63" t="s">
        <v>51</v>
      </c>
      <c r="D62" s="61"/>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2"/>
      <c r="BO62" s="62"/>
      <c r="BP62" s="62"/>
      <c r="BS62" s="62"/>
      <c r="BT62" s="51" t="s">
        <v>17</v>
      </c>
    </row>
    <row r="63" spans="1:72" x14ac:dyDescent="0.25">
      <c r="B63" s="243" t="str">
        <f t="shared" si="49"/>
        <v>Residential</v>
      </c>
      <c r="C63" s="243" t="str">
        <f>C62</f>
        <v>Bills</v>
      </c>
      <c r="D63" s="114" t="str">
        <f>"Bills before DSM ("&amp;Lookups!$D$22&amp;" Scenario, Non-Participant)"</f>
        <v>Bills before DSM (No EE Scenario, Non-Participant)</v>
      </c>
      <c r="E63" s="86"/>
      <c r="F63" s="84"/>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S63" s="84"/>
      <c r="BT63" s="51" t="s">
        <v>17</v>
      </c>
    </row>
    <row r="64" spans="1:72" x14ac:dyDescent="0.25">
      <c r="B64" s="243" t="str">
        <f t="shared" si="49"/>
        <v>Residential</v>
      </c>
      <c r="C64" s="243" t="str">
        <f t="shared" si="49"/>
        <v>Bills</v>
      </c>
      <c r="D64" s="244" t="str">
        <f>D63</f>
        <v>Bills before DSM (No EE Scenario, Non-Participant)</v>
      </c>
      <c r="E64" s="86" t="s">
        <v>75</v>
      </c>
      <c r="F64" s="84" t="s">
        <v>31</v>
      </c>
      <c r="G64" s="659">
        <f>IF(G$8=0,0,INDEX('R&amp;B Inputs'!$H$45:$U$45,MATCH($B64,'R&amp;B Inputs'!$H$4:$U$4,0))*(1+INDEX('R&amp;B Inputs'!$H$46:$U$46,MATCH($B64,'R&amp;B Inputs'!$H$4:$U$4,0)))^(G$7-Year1)*12)</f>
        <v>0</v>
      </c>
      <c r="H64" s="659">
        <f>IF(H$8=0,0,INDEX('R&amp;B Inputs'!$H$45:$U$45,MATCH($B64,'R&amp;B Inputs'!$H$4:$U$4,0))*(1+INDEX('R&amp;B Inputs'!$H$46:$U$46,MATCH($B64,'R&amp;B Inputs'!$H$4:$U$4,0)))^(H$7-Year1)*12)</f>
        <v>0</v>
      </c>
      <c r="I64" s="659">
        <f>IF(I$8=0,0,INDEX('R&amp;B Inputs'!$H$45:$U$45,MATCH($B64,'R&amp;B Inputs'!$H$4:$U$4,0))*(1+INDEX('R&amp;B Inputs'!$H$46:$U$46,MATCH($B64,'R&amp;B Inputs'!$H$4:$U$4,0)))^(I$7-Year1)*12)</f>
        <v>182.39999999999998</v>
      </c>
      <c r="J64" s="659">
        <f>IF(J$8=0,0,INDEX('R&amp;B Inputs'!$H$45:$U$45,MATCH($B64,'R&amp;B Inputs'!$H$4:$U$4,0))*(1+INDEX('R&amp;B Inputs'!$H$46:$U$46,MATCH($B64,'R&amp;B Inputs'!$H$4:$U$4,0)))^(J$7-Year1)*12)</f>
        <v>182.39999999999998</v>
      </c>
      <c r="K64" s="659">
        <f>IF(K$8=0,0,INDEX('R&amp;B Inputs'!$H$45:$U$45,MATCH($B64,'R&amp;B Inputs'!$H$4:$U$4,0))*(1+INDEX('R&amp;B Inputs'!$H$46:$U$46,MATCH($B64,'R&amp;B Inputs'!$H$4:$U$4,0)))^(K$7-Year1)*12)</f>
        <v>182.39999999999998</v>
      </c>
      <c r="L64" s="659">
        <f>IF(L$8=0,0,INDEX('R&amp;B Inputs'!$H$45:$U$45,MATCH($B64,'R&amp;B Inputs'!$H$4:$U$4,0))*(1+INDEX('R&amp;B Inputs'!$H$46:$U$46,MATCH($B64,'R&amp;B Inputs'!$H$4:$U$4,0)))^(L$7-Year1)*12)</f>
        <v>182.39999999999998</v>
      </c>
      <c r="M64" s="659">
        <f>IF(M$8=0,0,INDEX('R&amp;B Inputs'!$H$45:$U$45,MATCH($B64,'R&amp;B Inputs'!$H$4:$U$4,0))*(1+INDEX('R&amp;B Inputs'!$H$46:$U$46,MATCH($B64,'R&amp;B Inputs'!$H$4:$U$4,0)))^(M$7-Year1)*12)</f>
        <v>182.39999999999998</v>
      </c>
      <c r="N64" s="659">
        <f>IF(N$8=0,0,INDEX('R&amp;B Inputs'!$H$45:$U$45,MATCH($B64,'R&amp;B Inputs'!$H$4:$U$4,0))*(1+INDEX('R&amp;B Inputs'!$H$46:$U$46,MATCH($B64,'R&amp;B Inputs'!$H$4:$U$4,0)))^(N$7-Year1)*12)</f>
        <v>182.39999999999998</v>
      </c>
      <c r="O64" s="659">
        <f>IF(O$8=0,0,INDEX('R&amp;B Inputs'!$H$45:$U$45,MATCH($B64,'R&amp;B Inputs'!$H$4:$U$4,0))*(1+INDEX('R&amp;B Inputs'!$H$46:$U$46,MATCH($B64,'R&amp;B Inputs'!$H$4:$U$4,0)))^(O$7-Year1)*12)</f>
        <v>182.39999999999998</v>
      </c>
      <c r="P64" s="659">
        <f>IF(P$8=0,0,INDEX('R&amp;B Inputs'!$H$45:$U$45,MATCH($B64,'R&amp;B Inputs'!$H$4:$U$4,0))*(1+INDEX('R&amp;B Inputs'!$H$46:$U$46,MATCH($B64,'R&amp;B Inputs'!$H$4:$U$4,0)))^(P$7-Year1)*12)</f>
        <v>182.39999999999998</v>
      </c>
      <c r="Q64" s="659">
        <f>IF(Q$8=0,0,INDEX('R&amp;B Inputs'!$H$45:$U$45,MATCH($B64,'R&amp;B Inputs'!$H$4:$U$4,0))*(1+INDEX('R&amp;B Inputs'!$H$46:$U$46,MATCH($B64,'R&amp;B Inputs'!$H$4:$U$4,0)))^(Q$7-Year1)*12)</f>
        <v>182.39999999999998</v>
      </c>
      <c r="R64" s="659">
        <f>IF(R$8=0,0,INDEX('R&amp;B Inputs'!$H$45:$U$45,MATCH($B64,'R&amp;B Inputs'!$H$4:$U$4,0))*(1+INDEX('R&amp;B Inputs'!$H$46:$U$46,MATCH($B64,'R&amp;B Inputs'!$H$4:$U$4,0)))^(R$7-Year1)*12)</f>
        <v>182.39999999999998</v>
      </c>
      <c r="S64" s="659">
        <f>IF(S$8=0,0,INDEX('R&amp;B Inputs'!$H$45:$U$45,MATCH($B64,'R&amp;B Inputs'!$H$4:$U$4,0))*(1+INDEX('R&amp;B Inputs'!$H$46:$U$46,MATCH($B64,'R&amp;B Inputs'!$H$4:$U$4,0)))^(S$7-Year1)*12)</f>
        <v>182.39999999999998</v>
      </c>
      <c r="T64" s="659">
        <f>IF(T$8=0,0,INDEX('R&amp;B Inputs'!$H$45:$U$45,MATCH($B64,'R&amp;B Inputs'!$H$4:$U$4,0))*(1+INDEX('R&amp;B Inputs'!$H$46:$U$46,MATCH($B64,'R&amp;B Inputs'!$H$4:$U$4,0)))^(T$7-Year1)*12)</f>
        <v>182.39999999999998</v>
      </c>
      <c r="U64" s="659">
        <f>IF(U$8=0,0,INDEX('R&amp;B Inputs'!$H$45:$U$45,MATCH($B64,'R&amp;B Inputs'!$H$4:$U$4,0))*(1+INDEX('R&amp;B Inputs'!$H$46:$U$46,MATCH($B64,'R&amp;B Inputs'!$H$4:$U$4,0)))^(U$7-Year1)*12)</f>
        <v>182.39999999999998</v>
      </c>
      <c r="V64" s="659">
        <f>IF(V$8=0,0,INDEX('R&amp;B Inputs'!$H$45:$U$45,MATCH($B64,'R&amp;B Inputs'!$H$4:$U$4,0))*(1+INDEX('R&amp;B Inputs'!$H$46:$U$46,MATCH($B64,'R&amp;B Inputs'!$H$4:$U$4,0)))^(V$7-Year1)*12)</f>
        <v>182.39999999999998</v>
      </c>
      <c r="W64" s="659">
        <f>IF(W$8=0,0,INDEX('R&amp;B Inputs'!$H$45:$U$45,MATCH($B64,'R&amp;B Inputs'!$H$4:$U$4,0))*(1+INDEX('R&amp;B Inputs'!$H$46:$U$46,MATCH($B64,'R&amp;B Inputs'!$H$4:$U$4,0)))^(W$7-Year1)*12)</f>
        <v>182.39999999999998</v>
      </c>
      <c r="X64" s="659">
        <f>IF(X$8=0,0,INDEX('R&amp;B Inputs'!$H$45:$U$45,MATCH($B64,'R&amp;B Inputs'!$H$4:$U$4,0))*(1+INDEX('R&amp;B Inputs'!$H$46:$U$46,MATCH($B64,'R&amp;B Inputs'!$H$4:$U$4,0)))^(X$7-Year1)*12)</f>
        <v>182.39999999999998</v>
      </c>
      <c r="Y64" s="659">
        <f>IF(Y$8=0,0,INDEX('R&amp;B Inputs'!$H$45:$U$45,MATCH($B64,'R&amp;B Inputs'!$H$4:$U$4,0))*(1+INDEX('R&amp;B Inputs'!$H$46:$U$46,MATCH($B64,'R&amp;B Inputs'!$H$4:$U$4,0)))^(Y$7-Year1)*12)</f>
        <v>182.39999999999998</v>
      </c>
      <c r="Z64" s="659">
        <f>IF(Z$8=0,0,INDEX('R&amp;B Inputs'!$H$45:$U$45,MATCH($B64,'R&amp;B Inputs'!$H$4:$U$4,0))*(1+INDEX('R&amp;B Inputs'!$H$46:$U$46,MATCH($B64,'R&amp;B Inputs'!$H$4:$U$4,0)))^(Z$7-Year1)*12)</f>
        <v>182.39999999999998</v>
      </c>
      <c r="AA64" s="659">
        <f>IF(AA$8=0,0,INDEX('R&amp;B Inputs'!$H$45:$U$45,MATCH($B64,'R&amp;B Inputs'!$H$4:$U$4,0))*(1+INDEX('R&amp;B Inputs'!$H$46:$U$46,MATCH($B64,'R&amp;B Inputs'!$H$4:$U$4,0)))^(AA$7-Year1)*12)</f>
        <v>182.39999999999998</v>
      </c>
      <c r="AB64" s="659">
        <f>IF(AB$8=0,0,INDEX('R&amp;B Inputs'!$H$45:$U$45,MATCH($B64,'R&amp;B Inputs'!$H$4:$U$4,0))*(1+INDEX('R&amp;B Inputs'!$H$46:$U$46,MATCH($B64,'R&amp;B Inputs'!$H$4:$U$4,0)))^(AB$7-Year1)*12)</f>
        <v>182.39999999999998</v>
      </c>
      <c r="AC64" s="659">
        <f>IF(AC$8=0,0,INDEX('R&amp;B Inputs'!$H$45:$U$45,MATCH($B64,'R&amp;B Inputs'!$H$4:$U$4,0))*(1+INDEX('R&amp;B Inputs'!$H$46:$U$46,MATCH($B64,'R&amp;B Inputs'!$H$4:$U$4,0)))^(AC$7-Year1)*12)</f>
        <v>182.39999999999998</v>
      </c>
      <c r="AD64" s="659">
        <f>IF(AD$8=0,0,INDEX('R&amp;B Inputs'!$H$45:$U$45,MATCH($B64,'R&amp;B Inputs'!$H$4:$U$4,0))*(1+INDEX('R&amp;B Inputs'!$H$46:$U$46,MATCH($B64,'R&amp;B Inputs'!$H$4:$U$4,0)))^(AD$7-Year1)*12)</f>
        <v>182.39999999999998</v>
      </c>
      <c r="AE64" s="659">
        <f>IF(AE$8=0,0,INDEX('R&amp;B Inputs'!$H$45:$U$45,MATCH($B64,'R&amp;B Inputs'!$H$4:$U$4,0))*(1+INDEX('R&amp;B Inputs'!$H$46:$U$46,MATCH($B64,'R&amp;B Inputs'!$H$4:$U$4,0)))^(AE$7-Year1)*12)</f>
        <v>182.39999999999998</v>
      </c>
      <c r="AF64" s="659">
        <f>IF(AF$8=0,0,INDEX('R&amp;B Inputs'!$H$45:$U$45,MATCH($B64,'R&amp;B Inputs'!$H$4:$U$4,0))*(1+INDEX('R&amp;B Inputs'!$H$46:$U$46,MATCH($B64,'R&amp;B Inputs'!$H$4:$U$4,0)))^(AF$7-Year1)*12)</f>
        <v>182.39999999999998</v>
      </c>
      <c r="AG64" s="659">
        <f>IF(AG$8=0,0,INDEX('R&amp;B Inputs'!$H$45:$U$45,MATCH($B64,'R&amp;B Inputs'!$H$4:$U$4,0))*(1+INDEX('R&amp;B Inputs'!$H$46:$U$46,MATCH($B64,'R&amp;B Inputs'!$H$4:$U$4,0)))^(AG$7-Year1)*12)</f>
        <v>182.39999999999998</v>
      </c>
      <c r="AH64" s="49"/>
      <c r="AI64" s="49"/>
      <c r="AJ64" s="720">
        <f>IF($C$4=Year1,-PMT(Lookups!$E$17,25,NPV(Lookups!$E$17,G64:AE64),0,1),IF($C$4=Year2,-PMT(Lookups!$F$17,25,NPV(Lookups!$F$17,H64:AF64),0,1),IF($C$4=Year3,-PMT(Lookups!$G$17,25,NPV(Lookups!$G$17,I64:AG64),0,1),-PMT(Lookups!$G$17,27,NPV(Lookups!$G$17,G64:AG64),0,1))))</f>
        <v>179.85611622276028</v>
      </c>
      <c r="AM64" s="705">
        <f>IF(AM$8=0,0,INDEX('R&amp;B Inputs'!$H$45:$U$45,MATCH($B64,'R&amp;B Inputs'!$H$4:$U$4,0))*(1+INDEX('R&amp;B Inputs'!$H$46:$U$46,MATCH($B64,'R&amp;B Inputs'!$H$4:$U$4,0)))^(AM$7-Year1)*12)</f>
        <v>0</v>
      </c>
      <c r="AN64" s="705">
        <f>IF(AN$8=0,0,INDEX('R&amp;B Inputs'!$H$45:$U$45,MATCH($B64,'R&amp;B Inputs'!$H$4:$U$4,0))*(1+INDEX('R&amp;B Inputs'!$H$46:$U$46,MATCH($B64,'R&amp;B Inputs'!$H$4:$U$4,0)))^(AN$7-Year1)*12)</f>
        <v>0</v>
      </c>
      <c r="AO64" s="705">
        <f>IF(AO$8=0,0,INDEX('R&amp;B Inputs'!$H$45:$U$45,MATCH($B64,'R&amp;B Inputs'!$H$4:$U$4,0))*(1+INDEX('R&amp;B Inputs'!$H$46:$U$46,MATCH($B64,'R&amp;B Inputs'!$H$4:$U$4,0)))^(AO$7-Year1)*12)</f>
        <v>182.39999999999998</v>
      </c>
      <c r="AP64" s="705">
        <f>IF(AP$8=0,0,INDEX('R&amp;B Inputs'!$H$45:$U$45,MATCH($B64,'R&amp;B Inputs'!$H$4:$U$4,0))*(1+INDEX('R&amp;B Inputs'!$H$46:$U$46,MATCH($B64,'R&amp;B Inputs'!$H$4:$U$4,0)))^(AP$7-Year1)*12)</f>
        <v>182.39999999999998</v>
      </c>
      <c r="AQ64" s="705">
        <f>IF(AQ$8=0,0,INDEX('R&amp;B Inputs'!$H$45:$U$45,MATCH($B64,'R&amp;B Inputs'!$H$4:$U$4,0))*(1+INDEX('R&amp;B Inputs'!$H$46:$U$46,MATCH($B64,'R&amp;B Inputs'!$H$4:$U$4,0)))^(AQ$7-Year1)*12)</f>
        <v>182.39999999999998</v>
      </c>
      <c r="AR64" s="705">
        <f>IF(AR$8=0,0,INDEX('R&amp;B Inputs'!$H$45:$U$45,MATCH($B64,'R&amp;B Inputs'!$H$4:$U$4,0))*(1+INDEX('R&amp;B Inputs'!$H$46:$U$46,MATCH($B64,'R&amp;B Inputs'!$H$4:$U$4,0)))^(AR$7-Year1)*12)</f>
        <v>182.39999999999998</v>
      </c>
      <c r="AS64" s="705">
        <f>IF(AS$8=0,0,INDEX('R&amp;B Inputs'!$H$45:$U$45,MATCH($B64,'R&amp;B Inputs'!$H$4:$U$4,0))*(1+INDEX('R&amp;B Inputs'!$H$46:$U$46,MATCH($B64,'R&amp;B Inputs'!$H$4:$U$4,0)))^(AS$7-Year1)*12)</f>
        <v>182.39999999999998</v>
      </c>
      <c r="AT64" s="705">
        <f>IF(AT$8=0,0,INDEX('R&amp;B Inputs'!$H$45:$U$45,MATCH($B64,'R&amp;B Inputs'!$H$4:$U$4,0))*(1+INDEX('R&amp;B Inputs'!$H$46:$U$46,MATCH($B64,'R&amp;B Inputs'!$H$4:$U$4,0)))^(AT$7-Year1)*12)</f>
        <v>182.39999999999998</v>
      </c>
      <c r="AU64" s="705">
        <f>IF(AU$8=0,0,INDEX('R&amp;B Inputs'!$H$45:$U$45,MATCH($B64,'R&amp;B Inputs'!$H$4:$U$4,0))*(1+INDEX('R&amp;B Inputs'!$H$46:$U$46,MATCH($B64,'R&amp;B Inputs'!$H$4:$U$4,0)))^(AU$7-Year1)*12)</f>
        <v>182.39999999999998</v>
      </c>
      <c r="AV64" s="705">
        <f>IF(AV$8=0,0,INDEX('R&amp;B Inputs'!$H$45:$U$45,MATCH($B64,'R&amp;B Inputs'!$H$4:$U$4,0))*(1+INDEX('R&amp;B Inputs'!$H$46:$U$46,MATCH($B64,'R&amp;B Inputs'!$H$4:$U$4,0)))^(AV$7-Year1)*12)</f>
        <v>182.39999999999998</v>
      </c>
      <c r="AW64" s="705">
        <f>IF(AW$8=0,0,INDEX('R&amp;B Inputs'!$H$45:$U$45,MATCH($B64,'R&amp;B Inputs'!$H$4:$U$4,0))*(1+INDEX('R&amp;B Inputs'!$H$46:$U$46,MATCH($B64,'R&amp;B Inputs'!$H$4:$U$4,0)))^(AW$7-Year1)*12)</f>
        <v>182.39999999999998</v>
      </c>
      <c r="AX64" s="705">
        <f>IF(AX$8=0,0,INDEX('R&amp;B Inputs'!$H$45:$U$45,MATCH($B64,'R&amp;B Inputs'!$H$4:$U$4,0))*(1+INDEX('R&amp;B Inputs'!$H$46:$U$46,MATCH($B64,'R&amp;B Inputs'!$H$4:$U$4,0)))^(AX$7-Year1)*12)</f>
        <v>182.39999999999998</v>
      </c>
      <c r="AY64" s="705">
        <f>IF(AY$8=0,0,INDEX('R&amp;B Inputs'!$H$45:$U$45,MATCH($B64,'R&amp;B Inputs'!$H$4:$U$4,0))*(1+INDEX('R&amp;B Inputs'!$H$46:$U$46,MATCH($B64,'R&amp;B Inputs'!$H$4:$U$4,0)))^(AY$7-Year1)*12)</f>
        <v>182.39999999999998</v>
      </c>
      <c r="AZ64" s="705">
        <f>IF(AZ$8=0,0,INDEX('R&amp;B Inputs'!$H$45:$U$45,MATCH($B64,'R&amp;B Inputs'!$H$4:$U$4,0))*(1+INDEX('R&amp;B Inputs'!$H$46:$U$46,MATCH($B64,'R&amp;B Inputs'!$H$4:$U$4,0)))^(AZ$7-Year1)*12)</f>
        <v>182.39999999999998</v>
      </c>
      <c r="BA64" s="705">
        <f>IF(BA$8=0,0,INDEX('R&amp;B Inputs'!$H$45:$U$45,MATCH($B64,'R&amp;B Inputs'!$H$4:$U$4,0))*(1+INDEX('R&amp;B Inputs'!$H$46:$U$46,MATCH($B64,'R&amp;B Inputs'!$H$4:$U$4,0)))^(BA$7-Year1)*12)</f>
        <v>182.39999999999998</v>
      </c>
      <c r="BB64" s="705">
        <f>IF(BB$8=0,0,INDEX('R&amp;B Inputs'!$H$45:$U$45,MATCH($B64,'R&amp;B Inputs'!$H$4:$U$4,0))*(1+INDEX('R&amp;B Inputs'!$H$46:$U$46,MATCH($B64,'R&amp;B Inputs'!$H$4:$U$4,0)))^(BB$7-Year1)*12)</f>
        <v>182.39999999999998</v>
      </c>
      <c r="BC64" s="705">
        <f>IF(BC$8=0,0,INDEX('R&amp;B Inputs'!$H$45:$U$45,MATCH($B64,'R&amp;B Inputs'!$H$4:$U$4,0))*(1+INDEX('R&amp;B Inputs'!$H$46:$U$46,MATCH($B64,'R&amp;B Inputs'!$H$4:$U$4,0)))^(BC$7-Year1)*12)</f>
        <v>182.39999999999998</v>
      </c>
      <c r="BD64" s="705">
        <f>IF(BD$8=0,0,INDEX('R&amp;B Inputs'!$H$45:$U$45,MATCH($B64,'R&amp;B Inputs'!$H$4:$U$4,0))*(1+INDEX('R&amp;B Inputs'!$H$46:$U$46,MATCH($B64,'R&amp;B Inputs'!$H$4:$U$4,0)))^(BD$7-Year1)*12)</f>
        <v>182.39999999999998</v>
      </c>
      <c r="BE64" s="705">
        <f>IF(BE$8=0,0,INDEX('R&amp;B Inputs'!$H$45:$U$45,MATCH($B64,'R&amp;B Inputs'!$H$4:$U$4,0))*(1+INDEX('R&amp;B Inputs'!$H$46:$U$46,MATCH($B64,'R&amp;B Inputs'!$H$4:$U$4,0)))^(BE$7-Year1)*12)</f>
        <v>182.39999999999998</v>
      </c>
      <c r="BF64" s="705">
        <f>IF(BF$8=0,0,INDEX('R&amp;B Inputs'!$H$45:$U$45,MATCH($B64,'R&amp;B Inputs'!$H$4:$U$4,0))*(1+INDEX('R&amp;B Inputs'!$H$46:$U$46,MATCH($B64,'R&amp;B Inputs'!$H$4:$U$4,0)))^(BF$7-Year1)*12)</f>
        <v>182.39999999999998</v>
      </c>
      <c r="BG64" s="705">
        <f>IF(BG$8=0,0,INDEX('R&amp;B Inputs'!$H$45:$U$45,MATCH($B64,'R&amp;B Inputs'!$H$4:$U$4,0))*(1+INDEX('R&amp;B Inputs'!$H$46:$U$46,MATCH($B64,'R&amp;B Inputs'!$H$4:$U$4,0)))^(BG$7-Year1)*12)</f>
        <v>182.39999999999998</v>
      </c>
      <c r="BH64" s="705">
        <f>IF(BH$8=0,0,INDEX('R&amp;B Inputs'!$H$45:$U$45,MATCH($B64,'R&amp;B Inputs'!$H$4:$U$4,0))*(1+INDEX('R&amp;B Inputs'!$H$46:$U$46,MATCH($B64,'R&amp;B Inputs'!$H$4:$U$4,0)))^(BH$7-Year1)*12)</f>
        <v>182.39999999999998</v>
      </c>
      <c r="BI64" s="705">
        <f>IF(BI$8=0,0,INDEX('R&amp;B Inputs'!$H$45:$U$45,MATCH($B64,'R&amp;B Inputs'!$H$4:$U$4,0))*(1+INDEX('R&amp;B Inputs'!$H$46:$U$46,MATCH($B64,'R&amp;B Inputs'!$H$4:$U$4,0)))^(BI$7-Year1)*12)</f>
        <v>182.39999999999998</v>
      </c>
      <c r="BJ64" s="705">
        <f>IF(BJ$8=0,0,INDEX('R&amp;B Inputs'!$H$45:$U$45,MATCH($B64,'R&amp;B Inputs'!$H$4:$U$4,0))*(1+INDEX('R&amp;B Inputs'!$H$46:$U$46,MATCH($B64,'R&amp;B Inputs'!$H$4:$U$4,0)))^(BJ$7-Year1)*12)</f>
        <v>182.39999999999998</v>
      </c>
      <c r="BK64" s="705">
        <f>IF(BK$8=0,0,INDEX('R&amp;B Inputs'!$H$45:$U$45,MATCH($B64,'R&amp;B Inputs'!$H$4:$U$4,0))*(1+INDEX('R&amp;B Inputs'!$H$46:$U$46,MATCH($B64,'R&amp;B Inputs'!$H$4:$U$4,0)))^(BK$7-Year1)*12)</f>
        <v>182.39999999999998</v>
      </c>
      <c r="BL64" s="705">
        <f>IF(BL$8=0,0,INDEX('R&amp;B Inputs'!$H$45:$U$45,MATCH($B64,'R&amp;B Inputs'!$H$4:$U$4,0))*(1+INDEX('R&amp;B Inputs'!$H$46:$U$46,MATCH($B64,'R&amp;B Inputs'!$H$4:$U$4,0)))^(BL$7-Year1)*12)</f>
        <v>182.39999999999998</v>
      </c>
      <c r="BM64" s="705">
        <f>IF(BM$8=0,0,INDEX('R&amp;B Inputs'!$H$45:$U$45,MATCH($B64,'R&amp;B Inputs'!$H$4:$U$4,0))*(1+INDEX('R&amp;B Inputs'!$H$46:$U$46,MATCH($B64,'R&amp;B Inputs'!$H$4:$U$4,0)))^(BM$7-Year1)*12)</f>
        <v>182.39999999999998</v>
      </c>
      <c r="BN64" s="74"/>
      <c r="BO64" s="74"/>
      <c r="BP64" s="149">
        <f>IF($C$4=Year1,-PMT(Lookups!$E$17,25,NPV(Lookups!$E$17,AM64:BK64),0,1),IF($C$4=Year2,-PMT(Lookups!$F$17,25,NPV(Lookups!$F$17,AN64:BL64),0,1),IF($C$4=Year3,-PMT(Lookups!$G$17,25,NPV(Lookups!$G$17,AO64:BM64),0,1),-PMT(Lookups!$G$17,27,NPV(Lookups!$G$17,AM64:BM64),0,1))))</f>
        <v>179.85611622276028</v>
      </c>
      <c r="BS64" s="84" t="str">
        <f t="shared" ref="BS64" si="52">E64&amp;" charge from the R&amp;B Inputs tab, escalated annually by the growth rate included on the R&amp;B Inputs tab."</f>
        <v>Customer Charge charge from the R&amp;B Inputs tab, escalated annually by the growth rate included on the R&amp;B Inputs tab.</v>
      </c>
      <c r="BT64" s="51" t="s">
        <v>17</v>
      </c>
    </row>
    <row r="65" spans="1:72" x14ac:dyDescent="0.25">
      <c r="B65" s="243" t="str">
        <f t="shared" si="49"/>
        <v>Residential</v>
      </c>
      <c r="C65" s="243" t="str">
        <f t="shared" si="49"/>
        <v>Bills</v>
      </c>
      <c r="D65" s="244" t="str">
        <f>D64</f>
        <v>Bills before DSM (No EE Scenario, Non-Participant)</v>
      </c>
      <c r="E65" s="84" t="s">
        <v>309</v>
      </c>
      <c r="F65" s="84" t="s">
        <v>195</v>
      </c>
      <c r="G65" s="64">
        <f>IF(G$8=0,0,INDEX('R&amp;B Inputs'!$I$27:$V$27,MATCH($B65,'R&amp;B Inputs'!$I$4:$V$4,0))+INDEX('R&amp;B Inputs'!$I$28:$V$28,MATCH($B65,'R&amp;B Inputs'!$I$4:$V$4,0)))</f>
        <v>0</v>
      </c>
      <c r="H65" s="64">
        <f>IF(H$8=0,0,INDEX('R&amp;B Inputs'!$I$27:$V$27,MATCH($B65,'R&amp;B Inputs'!$I$4:$V$4,0))+INDEX('R&amp;B Inputs'!$I$28:$V$28,MATCH($B65,'R&amp;B Inputs'!$I$4:$V$4,0)))</f>
        <v>0</v>
      </c>
      <c r="I65" s="64">
        <f>IF(I$8=0,0,INDEX('R&amp;B Inputs'!$I$27:$V$27,MATCH($B65,'R&amp;B Inputs'!$I$4:$V$4,0))+INDEX('R&amp;B Inputs'!$I$28:$V$28,MATCH($B65,'R&amp;B Inputs'!$I$4:$V$4,0)))</f>
        <v>666</v>
      </c>
      <c r="J65" s="64">
        <f>IF(J$8=0,0,INDEX('R&amp;B Inputs'!$I$27:$V$27,MATCH($B65,'R&amp;B Inputs'!$I$4:$V$4,0))+INDEX('R&amp;B Inputs'!$I$28:$V$28,MATCH($B65,'R&amp;B Inputs'!$I$4:$V$4,0)))</f>
        <v>666</v>
      </c>
      <c r="K65" s="64">
        <f>IF(K$8=0,0,INDEX('R&amp;B Inputs'!$I$27:$V$27,MATCH($B65,'R&amp;B Inputs'!$I$4:$V$4,0))+INDEX('R&amp;B Inputs'!$I$28:$V$28,MATCH($B65,'R&amp;B Inputs'!$I$4:$V$4,0)))</f>
        <v>666</v>
      </c>
      <c r="L65" s="64">
        <f>IF(L$8=0,0,INDEX('R&amp;B Inputs'!$I$27:$V$27,MATCH($B65,'R&amp;B Inputs'!$I$4:$V$4,0))+INDEX('R&amp;B Inputs'!$I$28:$V$28,MATCH($B65,'R&amp;B Inputs'!$I$4:$V$4,0)))</f>
        <v>666</v>
      </c>
      <c r="M65" s="64">
        <f>IF(M$8=0,0,INDEX('R&amp;B Inputs'!$I$27:$V$27,MATCH($B65,'R&amp;B Inputs'!$I$4:$V$4,0))+INDEX('R&amp;B Inputs'!$I$28:$V$28,MATCH($B65,'R&amp;B Inputs'!$I$4:$V$4,0)))</f>
        <v>666</v>
      </c>
      <c r="N65" s="64">
        <f>IF(N$8=0,0,INDEX('R&amp;B Inputs'!$I$27:$V$27,MATCH($B65,'R&amp;B Inputs'!$I$4:$V$4,0))+INDEX('R&amp;B Inputs'!$I$28:$V$28,MATCH($B65,'R&amp;B Inputs'!$I$4:$V$4,0)))</f>
        <v>666</v>
      </c>
      <c r="O65" s="64">
        <f>IF(O$8=0,0,INDEX('R&amp;B Inputs'!$I$27:$V$27,MATCH($B65,'R&amp;B Inputs'!$I$4:$V$4,0))+INDEX('R&amp;B Inputs'!$I$28:$V$28,MATCH($B65,'R&amp;B Inputs'!$I$4:$V$4,0)))</f>
        <v>666</v>
      </c>
      <c r="P65" s="64">
        <f>IF(P$8=0,0,INDEX('R&amp;B Inputs'!$I$27:$V$27,MATCH($B65,'R&amp;B Inputs'!$I$4:$V$4,0))+INDEX('R&amp;B Inputs'!$I$28:$V$28,MATCH($B65,'R&amp;B Inputs'!$I$4:$V$4,0)))</f>
        <v>666</v>
      </c>
      <c r="Q65" s="64">
        <f>IF(Q$8=0,0,INDEX('R&amp;B Inputs'!$I$27:$V$27,MATCH($B65,'R&amp;B Inputs'!$I$4:$V$4,0))+INDEX('R&amp;B Inputs'!$I$28:$V$28,MATCH($B65,'R&amp;B Inputs'!$I$4:$V$4,0)))</f>
        <v>666</v>
      </c>
      <c r="R65" s="64">
        <f>IF(R$8=0,0,INDEX('R&amp;B Inputs'!$I$27:$V$27,MATCH($B65,'R&amp;B Inputs'!$I$4:$V$4,0))+INDEX('R&amp;B Inputs'!$I$28:$V$28,MATCH($B65,'R&amp;B Inputs'!$I$4:$V$4,0)))</f>
        <v>666</v>
      </c>
      <c r="S65" s="64">
        <f>IF(S$8=0,0,INDEX('R&amp;B Inputs'!$I$27:$V$27,MATCH($B65,'R&amp;B Inputs'!$I$4:$V$4,0))+INDEX('R&amp;B Inputs'!$I$28:$V$28,MATCH($B65,'R&amp;B Inputs'!$I$4:$V$4,0)))</f>
        <v>666</v>
      </c>
      <c r="T65" s="64">
        <f>IF(T$8=0,0,INDEX('R&amp;B Inputs'!$I$27:$V$27,MATCH($B65,'R&amp;B Inputs'!$I$4:$V$4,0))+INDEX('R&amp;B Inputs'!$I$28:$V$28,MATCH($B65,'R&amp;B Inputs'!$I$4:$V$4,0)))</f>
        <v>666</v>
      </c>
      <c r="U65" s="64">
        <f>IF(U$8=0,0,INDEX('R&amp;B Inputs'!$I$27:$V$27,MATCH($B65,'R&amp;B Inputs'!$I$4:$V$4,0))+INDEX('R&amp;B Inputs'!$I$28:$V$28,MATCH($B65,'R&amp;B Inputs'!$I$4:$V$4,0)))</f>
        <v>666</v>
      </c>
      <c r="V65" s="64">
        <f>IF(V$8=0,0,INDEX('R&amp;B Inputs'!$I$27:$V$27,MATCH($B65,'R&amp;B Inputs'!$I$4:$V$4,0))+INDEX('R&amp;B Inputs'!$I$28:$V$28,MATCH($B65,'R&amp;B Inputs'!$I$4:$V$4,0)))</f>
        <v>666</v>
      </c>
      <c r="W65" s="64">
        <f>IF(W$8=0,0,INDEX('R&amp;B Inputs'!$I$27:$V$27,MATCH($B65,'R&amp;B Inputs'!$I$4:$V$4,0))+INDEX('R&amp;B Inputs'!$I$28:$V$28,MATCH($B65,'R&amp;B Inputs'!$I$4:$V$4,0)))</f>
        <v>666</v>
      </c>
      <c r="X65" s="64">
        <f>IF(X$8=0,0,INDEX('R&amp;B Inputs'!$I$27:$V$27,MATCH($B65,'R&amp;B Inputs'!$I$4:$V$4,0))+INDEX('R&amp;B Inputs'!$I$28:$V$28,MATCH($B65,'R&amp;B Inputs'!$I$4:$V$4,0)))</f>
        <v>666</v>
      </c>
      <c r="Y65" s="64">
        <f>IF(Y$8=0,0,INDEX('R&amp;B Inputs'!$I$27:$V$27,MATCH($B65,'R&amp;B Inputs'!$I$4:$V$4,0))+INDEX('R&amp;B Inputs'!$I$28:$V$28,MATCH($B65,'R&amp;B Inputs'!$I$4:$V$4,0)))</f>
        <v>666</v>
      </c>
      <c r="Z65" s="64">
        <f>IF(Z$8=0,0,INDEX('R&amp;B Inputs'!$I$27:$V$27,MATCH($B65,'R&amp;B Inputs'!$I$4:$V$4,0))+INDEX('R&amp;B Inputs'!$I$28:$V$28,MATCH($B65,'R&amp;B Inputs'!$I$4:$V$4,0)))</f>
        <v>666</v>
      </c>
      <c r="AA65" s="64">
        <f>IF(AA$8=0,0,INDEX('R&amp;B Inputs'!$I$27:$V$27,MATCH($B65,'R&amp;B Inputs'!$I$4:$V$4,0))+INDEX('R&amp;B Inputs'!$I$28:$V$28,MATCH($B65,'R&amp;B Inputs'!$I$4:$V$4,0)))</f>
        <v>666</v>
      </c>
      <c r="AB65" s="64">
        <f>IF(AB$8=0,0,INDEX('R&amp;B Inputs'!$I$27:$V$27,MATCH($B65,'R&amp;B Inputs'!$I$4:$V$4,0))+INDEX('R&amp;B Inputs'!$I$28:$V$28,MATCH($B65,'R&amp;B Inputs'!$I$4:$V$4,0)))</f>
        <v>666</v>
      </c>
      <c r="AC65" s="64">
        <f>IF(AC$8=0,0,INDEX('R&amp;B Inputs'!$I$27:$V$27,MATCH($B65,'R&amp;B Inputs'!$I$4:$V$4,0))+INDEX('R&amp;B Inputs'!$I$28:$V$28,MATCH($B65,'R&amp;B Inputs'!$I$4:$V$4,0)))</f>
        <v>666</v>
      </c>
      <c r="AD65" s="64">
        <f>IF(AD$8=0,0,INDEX('R&amp;B Inputs'!$I$27:$V$27,MATCH($B65,'R&amp;B Inputs'!$I$4:$V$4,0))+INDEX('R&amp;B Inputs'!$I$28:$V$28,MATCH($B65,'R&amp;B Inputs'!$I$4:$V$4,0)))</f>
        <v>666</v>
      </c>
      <c r="AE65" s="64">
        <f>IF(AE$8=0,0,INDEX('R&amp;B Inputs'!$I$27:$V$27,MATCH($B65,'R&amp;B Inputs'!$I$4:$V$4,0))+INDEX('R&amp;B Inputs'!$I$28:$V$28,MATCH($B65,'R&amp;B Inputs'!$I$4:$V$4,0)))</f>
        <v>666</v>
      </c>
      <c r="AF65" s="64">
        <f>IF(AF$8=0,0,INDEX('R&amp;B Inputs'!$I$27:$V$27,MATCH($B65,'R&amp;B Inputs'!$I$4:$V$4,0))+INDEX('R&amp;B Inputs'!$I$28:$V$28,MATCH($B65,'R&amp;B Inputs'!$I$4:$V$4,0)))</f>
        <v>666</v>
      </c>
      <c r="AG65" s="64">
        <f>IF(AG$8=0,0,INDEX('R&amp;B Inputs'!$I$27:$V$27,MATCH($B65,'R&amp;B Inputs'!$I$4:$V$4,0))+INDEX('R&amp;B Inputs'!$I$28:$V$28,MATCH($B65,'R&amp;B Inputs'!$I$4:$V$4,0)))</f>
        <v>666</v>
      </c>
      <c r="AH65" s="64"/>
      <c r="AI65" s="64"/>
      <c r="AJ65" s="720"/>
      <c r="AM65" s="71">
        <f>IF(AM$8=0,0,INDEX('R&amp;B Inputs'!$I$27:$V$27,MATCH($B65,'R&amp;B Inputs'!$I$4:$V$4,0))+INDEX('R&amp;B Inputs'!$I$28:$V$28,MATCH($B65,'R&amp;B Inputs'!$I$4:$V$4,0)))</f>
        <v>0</v>
      </c>
      <c r="AN65" s="71">
        <f>IF(AN$8=0,0,INDEX('R&amp;B Inputs'!$I$27:$V$27,MATCH($B65,'R&amp;B Inputs'!$I$4:$V$4,0))+INDEX('R&amp;B Inputs'!$I$28:$V$28,MATCH($B65,'R&amp;B Inputs'!$I$4:$V$4,0)))</f>
        <v>0</v>
      </c>
      <c r="AO65" s="71">
        <f>IF(AO$8=0,0,INDEX('R&amp;B Inputs'!$I$27:$V$27,MATCH($B65,'R&amp;B Inputs'!$I$4:$V$4,0))+INDEX('R&amp;B Inputs'!$I$28:$V$28,MATCH($B65,'R&amp;B Inputs'!$I$4:$V$4,0)))</f>
        <v>666</v>
      </c>
      <c r="AP65" s="71">
        <f>IF(AP$8=0,0,INDEX('R&amp;B Inputs'!$I$27:$V$27,MATCH($B65,'R&amp;B Inputs'!$I$4:$V$4,0))+INDEX('R&amp;B Inputs'!$I$28:$V$28,MATCH($B65,'R&amp;B Inputs'!$I$4:$V$4,0)))</f>
        <v>666</v>
      </c>
      <c r="AQ65" s="71">
        <f>IF(AQ$8=0,0,INDEX('R&amp;B Inputs'!$I$27:$V$27,MATCH($B65,'R&amp;B Inputs'!$I$4:$V$4,0))+INDEX('R&amp;B Inputs'!$I$28:$V$28,MATCH($B65,'R&amp;B Inputs'!$I$4:$V$4,0)))</f>
        <v>666</v>
      </c>
      <c r="AR65" s="71">
        <f>IF(AR$8=0,0,INDEX('R&amp;B Inputs'!$I$27:$V$27,MATCH($B65,'R&amp;B Inputs'!$I$4:$V$4,0))+INDEX('R&amp;B Inputs'!$I$28:$V$28,MATCH($B65,'R&amp;B Inputs'!$I$4:$V$4,0)))</f>
        <v>666</v>
      </c>
      <c r="AS65" s="71">
        <f>IF(AS$8=0,0,INDEX('R&amp;B Inputs'!$I$27:$V$27,MATCH($B65,'R&amp;B Inputs'!$I$4:$V$4,0))+INDEX('R&amp;B Inputs'!$I$28:$V$28,MATCH($B65,'R&amp;B Inputs'!$I$4:$V$4,0)))</f>
        <v>666</v>
      </c>
      <c r="AT65" s="71">
        <f>IF(AT$8=0,0,INDEX('R&amp;B Inputs'!$I$27:$V$27,MATCH($B65,'R&amp;B Inputs'!$I$4:$V$4,0))+INDEX('R&amp;B Inputs'!$I$28:$V$28,MATCH($B65,'R&amp;B Inputs'!$I$4:$V$4,0)))</f>
        <v>666</v>
      </c>
      <c r="AU65" s="71">
        <f>IF(AU$8=0,0,INDEX('R&amp;B Inputs'!$I$27:$V$27,MATCH($B65,'R&amp;B Inputs'!$I$4:$V$4,0))+INDEX('R&amp;B Inputs'!$I$28:$V$28,MATCH($B65,'R&amp;B Inputs'!$I$4:$V$4,0)))</f>
        <v>666</v>
      </c>
      <c r="AV65" s="71">
        <f>IF(AV$8=0,0,INDEX('R&amp;B Inputs'!$I$27:$V$27,MATCH($B65,'R&amp;B Inputs'!$I$4:$V$4,0))+INDEX('R&amp;B Inputs'!$I$28:$V$28,MATCH($B65,'R&amp;B Inputs'!$I$4:$V$4,0)))</f>
        <v>666</v>
      </c>
      <c r="AW65" s="71">
        <f>IF(AW$8=0,0,INDEX('R&amp;B Inputs'!$I$27:$V$27,MATCH($B65,'R&amp;B Inputs'!$I$4:$V$4,0))+INDEX('R&amp;B Inputs'!$I$28:$V$28,MATCH($B65,'R&amp;B Inputs'!$I$4:$V$4,0)))</f>
        <v>666</v>
      </c>
      <c r="AX65" s="71">
        <f>IF(AX$8=0,0,INDEX('R&amp;B Inputs'!$I$27:$V$27,MATCH($B65,'R&amp;B Inputs'!$I$4:$V$4,0))+INDEX('R&amp;B Inputs'!$I$28:$V$28,MATCH($B65,'R&amp;B Inputs'!$I$4:$V$4,0)))</f>
        <v>666</v>
      </c>
      <c r="AY65" s="71">
        <f>IF(AY$8=0,0,INDEX('R&amp;B Inputs'!$I$27:$V$27,MATCH($B65,'R&amp;B Inputs'!$I$4:$V$4,0))+INDEX('R&amp;B Inputs'!$I$28:$V$28,MATCH($B65,'R&amp;B Inputs'!$I$4:$V$4,0)))</f>
        <v>666</v>
      </c>
      <c r="AZ65" s="71">
        <f>IF(AZ$8=0,0,INDEX('R&amp;B Inputs'!$I$27:$V$27,MATCH($B65,'R&amp;B Inputs'!$I$4:$V$4,0))+INDEX('R&amp;B Inputs'!$I$28:$V$28,MATCH($B65,'R&amp;B Inputs'!$I$4:$V$4,0)))</f>
        <v>666</v>
      </c>
      <c r="BA65" s="71">
        <f>IF(BA$8=0,0,INDEX('R&amp;B Inputs'!$I$27:$V$27,MATCH($B65,'R&amp;B Inputs'!$I$4:$V$4,0))+INDEX('R&amp;B Inputs'!$I$28:$V$28,MATCH($B65,'R&amp;B Inputs'!$I$4:$V$4,0)))</f>
        <v>666</v>
      </c>
      <c r="BB65" s="71">
        <f>IF(BB$8=0,0,INDEX('R&amp;B Inputs'!$I$27:$V$27,MATCH($B65,'R&amp;B Inputs'!$I$4:$V$4,0))+INDEX('R&amp;B Inputs'!$I$28:$V$28,MATCH($B65,'R&amp;B Inputs'!$I$4:$V$4,0)))</f>
        <v>666</v>
      </c>
      <c r="BC65" s="71">
        <f>IF(BC$8=0,0,INDEX('R&amp;B Inputs'!$I$27:$V$27,MATCH($B65,'R&amp;B Inputs'!$I$4:$V$4,0))+INDEX('R&amp;B Inputs'!$I$28:$V$28,MATCH($B65,'R&amp;B Inputs'!$I$4:$V$4,0)))</f>
        <v>666</v>
      </c>
      <c r="BD65" s="71">
        <f>IF(BD$8=0,0,INDEX('R&amp;B Inputs'!$I$27:$V$27,MATCH($B65,'R&amp;B Inputs'!$I$4:$V$4,0))+INDEX('R&amp;B Inputs'!$I$28:$V$28,MATCH($B65,'R&amp;B Inputs'!$I$4:$V$4,0)))</f>
        <v>666</v>
      </c>
      <c r="BE65" s="71">
        <f>IF(BE$8=0,0,INDEX('R&amp;B Inputs'!$I$27:$V$27,MATCH($B65,'R&amp;B Inputs'!$I$4:$V$4,0))+INDEX('R&amp;B Inputs'!$I$28:$V$28,MATCH($B65,'R&amp;B Inputs'!$I$4:$V$4,0)))</f>
        <v>666</v>
      </c>
      <c r="BF65" s="71">
        <f>IF(BF$8=0,0,INDEX('R&amp;B Inputs'!$I$27:$V$27,MATCH($B65,'R&amp;B Inputs'!$I$4:$V$4,0))+INDEX('R&amp;B Inputs'!$I$28:$V$28,MATCH($B65,'R&amp;B Inputs'!$I$4:$V$4,0)))</f>
        <v>666</v>
      </c>
      <c r="BG65" s="71">
        <f>IF(BG$8=0,0,INDEX('R&amp;B Inputs'!$I$27:$V$27,MATCH($B65,'R&amp;B Inputs'!$I$4:$V$4,0))+INDEX('R&amp;B Inputs'!$I$28:$V$28,MATCH($B65,'R&amp;B Inputs'!$I$4:$V$4,0)))</f>
        <v>666</v>
      </c>
      <c r="BH65" s="71">
        <f>IF(BH$8=0,0,INDEX('R&amp;B Inputs'!$I$27:$V$27,MATCH($B65,'R&amp;B Inputs'!$I$4:$V$4,0))+INDEX('R&amp;B Inputs'!$I$28:$V$28,MATCH($B65,'R&amp;B Inputs'!$I$4:$V$4,0)))</f>
        <v>666</v>
      </c>
      <c r="BI65" s="71">
        <f>IF(BI$8=0,0,INDEX('R&amp;B Inputs'!$I$27:$V$27,MATCH($B65,'R&amp;B Inputs'!$I$4:$V$4,0))+INDEX('R&amp;B Inputs'!$I$28:$V$28,MATCH($B65,'R&amp;B Inputs'!$I$4:$V$4,0)))</f>
        <v>666</v>
      </c>
      <c r="BJ65" s="71">
        <f>IF(BJ$8=0,0,INDEX('R&amp;B Inputs'!$I$27:$V$27,MATCH($B65,'R&amp;B Inputs'!$I$4:$V$4,0))+INDEX('R&amp;B Inputs'!$I$28:$V$28,MATCH($B65,'R&amp;B Inputs'!$I$4:$V$4,0)))</f>
        <v>666</v>
      </c>
      <c r="BK65" s="71">
        <f>IF(BK$8=0,0,INDEX('R&amp;B Inputs'!$I$27:$V$27,MATCH($B65,'R&amp;B Inputs'!$I$4:$V$4,0))+INDEX('R&amp;B Inputs'!$I$28:$V$28,MATCH($B65,'R&amp;B Inputs'!$I$4:$V$4,0)))</f>
        <v>666</v>
      </c>
      <c r="BL65" s="71">
        <f>IF(BL$8=0,0,INDEX('R&amp;B Inputs'!$I$27:$V$27,MATCH($B65,'R&amp;B Inputs'!$I$4:$V$4,0))+INDEX('R&amp;B Inputs'!$I$28:$V$28,MATCH($B65,'R&amp;B Inputs'!$I$4:$V$4,0)))</f>
        <v>666</v>
      </c>
      <c r="BM65" s="71">
        <f>IF(BM$8=0,0,INDEX('R&amp;B Inputs'!$I$27:$V$27,MATCH($B65,'R&amp;B Inputs'!$I$4:$V$4,0))+INDEX('R&amp;B Inputs'!$I$28:$V$28,MATCH($B65,'R&amp;B Inputs'!$I$4:$V$4,0)))</f>
        <v>666</v>
      </c>
      <c r="BN65" s="71"/>
      <c r="BO65" s="71"/>
      <c r="BP65" s="149"/>
      <c r="BS65" s="76" t="s">
        <v>96</v>
      </c>
      <c r="BT65" s="51" t="s">
        <v>17</v>
      </c>
    </row>
    <row r="66" spans="1:72" x14ac:dyDescent="0.25">
      <c r="B66" s="243" t="str">
        <f t="shared" si="49"/>
        <v>Residential</v>
      </c>
      <c r="C66" s="243" t="str">
        <f t="shared" si="49"/>
        <v>Bills</v>
      </c>
      <c r="D66" s="244" t="str">
        <f>D65</f>
        <v>Bills before DSM (No EE Scenario, Non-Participant)</v>
      </c>
      <c r="E66" s="84" t="s">
        <v>77</v>
      </c>
      <c r="F66" s="84" t="s">
        <v>32</v>
      </c>
      <c r="G66" s="103">
        <f>G64+G65*(G42-G41)</f>
        <v>0</v>
      </c>
      <c r="H66" s="103">
        <f>H64+H65*(H42-H41)</f>
        <v>0</v>
      </c>
      <c r="I66" s="103">
        <f t="shared" ref="I66:AG66" si="53">I64+I65*(I42-I41)</f>
        <v>944.43719999999973</v>
      </c>
      <c r="J66" s="103">
        <f t="shared" si="53"/>
        <v>944.43719999999973</v>
      </c>
      <c r="K66" s="103">
        <f t="shared" si="53"/>
        <v>944.43719999999973</v>
      </c>
      <c r="L66" s="103">
        <f t="shared" si="53"/>
        <v>944.43719999999973</v>
      </c>
      <c r="M66" s="103">
        <f t="shared" si="53"/>
        <v>944.43719999999973</v>
      </c>
      <c r="N66" s="103">
        <f t="shared" si="53"/>
        <v>944.43719999999973</v>
      </c>
      <c r="O66" s="103">
        <f t="shared" si="53"/>
        <v>944.43719999999973</v>
      </c>
      <c r="P66" s="103">
        <f t="shared" si="53"/>
        <v>944.43719999999973</v>
      </c>
      <c r="Q66" s="103">
        <f t="shared" si="53"/>
        <v>944.43719999999973</v>
      </c>
      <c r="R66" s="103">
        <f t="shared" si="53"/>
        <v>944.43719999999973</v>
      </c>
      <c r="S66" s="103">
        <f t="shared" si="53"/>
        <v>944.43719999999973</v>
      </c>
      <c r="T66" s="103">
        <f t="shared" si="53"/>
        <v>944.43719999999973</v>
      </c>
      <c r="U66" s="103">
        <f t="shared" si="53"/>
        <v>944.43719999999973</v>
      </c>
      <c r="V66" s="103">
        <f t="shared" si="53"/>
        <v>944.43719999999973</v>
      </c>
      <c r="W66" s="103">
        <f t="shared" si="53"/>
        <v>944.43719999999973</v>
      </c>
      <c r="X66" s="103">
        <f t="shared" si="53"/>
        <v>944.43719999999973</v>
      </c>
      <c r="Y66" s="103">
        <f t="shared" si="53"/>
        <v>944.43719999999973</v>
      </c>
      <c r="Z66" s="103">
        <f t="shared" si="53"/>
        <v>944.43719999999973</v>
      </c>
      <c r="AA66" s="103">
        <f t="shared" si="53"/>
        <v>944.43719999999973</v>
      </c>
      <c r="AB66" s="103">
        <f t="shared" si="53"/>
        <v>944.43719999999973</v>
      </c>
      <c r="AC66" s="103">
        <f t="shared" si="53"/>
        <v>944.43719999999973</v>
      </c>
      <c r="AD66" s="103">
        <f t="shared" si="53"/>
        <v>944.43719999999973</v>
      </c>
      <c r="AE66" s="103">
        <f t="shared" si="53"/>
        <v>944.43719999999973</v>
      </c>
      <c r="AF66" s="103">
        <f t="shared" si="53"/>
        <v>944.43719999999973</v>
      </c>
      <c r="AG66" s="103">
        <f t="shared" si="53"/>
        <v>944.43719999999973</v>
      </c>
      <c r="AH66" s="103"/>
      <c r="AI66" s="103"/>
      <c r="AJ66" s="720">
        <f>IF($C$4=Year1,-PMT(Lookups!$E$17,25,NPV(Lookups!$E$17,G66:AE66),0,1),IF($C$4=Year2,-PMT(Lookups!$F$17,25,NPV(Lookups!$F$17,H66:AF66),0,1),IF($C$4=Year3,-PMT(Lookups!$G$17,25,NPV(Lookups!$G$17,I66:AG66),0,1),-PMT(Lookups!$G$17,27,NPV(Lookups!$G$17,G66:AG66),0,1))))</f>
        <v>931.26538820338953</v>
      </c>
      <c r="AM66" s="149">
        <f>AM64+AM65*(AM42-AM41)</f>
        <v>0</v>
      </c>
      <c r="AN66" s="149">
        <f>AN64+AN65*(AN42-AN41)</f>
        <v>0</v>
      </c>
      <c r="AO66" s="149">
        <f t="shared" ref="AO66:BM66" si="54">AO64+AO65*(AO42-AO41)</f>
        <v>944.43719999999973</v>
      </c>
      <c r="AP66" s="149">
        <f t="shared" si="54"/>
        <v>944.43719999999973</v>
      </c>
      <c r="AQ66" s="149">
        <f t="shared" si="54"/>
        <v>944.43719999999973</v>
      </c>
      <c r="AR66" s="149">
        <f t="shared" si="54"/>
        <v>944.43719999999973</v>
      </c>
      <c r="AS66" s="149">
        <f t="shared" si="54"/>
        <v>944.43719999999973</v>
      </c>
      <c r="AT66" s="149">
        <f t="shared" si="54"/>
        <v>944.43719999999973</v>
      </c>
      <c r="AU66" s="149">
        <f t="shared" si="54"/>
        <v>944.43719999999973</v>
      </c>
      <c r="AV66" s="149">
        <f t="shared" si="54"/>
        <v>944.43719999999973</v>
      </c>
      <c r="AW66" s="149">
        <f t="shared" si="54"/>
        <v>944.43719999999973</v>
      </c>
      <c r="AX66" s="149">
        <f t="shared" si="54"/>
        <v>944.43719999999973</v>
      </c>
      <c r="AY66" s="149">
        <f t="shared" si="54"/>
        <v>944.43719999999973</v>
      </c>
      <c r="AZ66" s="149">
        <f t="shared" si="54"/>
        <v>944.43719999999973</v>
      </c>
      <c r="BA66" s="149">
        <f t="shared" si="54"/>
        <v>944.43719999999973</v>
      </c>
      <c r="BB66" s="149">
        <f t="shared" si="54"/>
        <v>944.43719999999973</v>
      </c>
      <c r="BC66" s="149">
        <f t="shared" si="54"/>
        <v>944.43719999999973</v>
      </c>
      <c r="BD66" s="149">
        <f t="shared" si="54"/>
        <v>944.43719999999973</v>
      </c>
      <c r="BE66" s="149">
        <f t="shared" si="54"/>
        <v>944.43719999999973</v>
      </c>
      <c r="BF66" s="149">
        <f t="shared" si="54"/>
        <v>944.43719999999973</v>
      </c>
      <c r="BG66" s="149">
        <f t="shared" si="54"/>
        <v>944.43719999999973</v>
      </c>
      <c r="BH66" s="149">
        <f t="shared" si="54"/>
        <v>944.43719999999973</v>
      </c>
      <c r="BI66" s="149">
        <f t="shared" si="54"/>
        <v>944.43719999999973</v>
      </c>
      <c r="BJ66" s="149">
        <f t="shared" si="54"/>
        <v>944.43719999999973</v>
      </c>
      <c r="BK66" s="149">
        <f t="shared" si="54"/>
        <v>944.43719999999973</v>
      </c>
      <c r="BL66" s="149">
        <f t="shared" si="54"/>
        <v>944.43719999999973</v>
      </c>
      <c r="BM66" s="149">
        <f t="shared" si="54"/>
        <v>944.43719999999973</v>
      </c>
      <c r="BN66" s="149"/>
      <c r="BO66" s="149"/>
      <c r="BP66" s="149">
        <f>IF($C$4=Year1,-PMT(Lookups!$E$17,25,NPV(Lookups!$E$17,AM66:BK66),0,1),IF($C$4=Year2,-PMT(Lookups!$F$17,25,NPV(Lookups!$F$17,AN66:BL66),0,1),IF($C$4=Year3,-PMT(Lookups!$G$17,25,NPV(Lookups!$G$17,AO66:BM66),0,1),-PMT(Lookups!$G$17,27,NPV(Lookups!$G$17,AM66:BM66),0,1))))</f>
        <v>931.26538820338953</v>
      </c>
      <c r="BS66" s="84" t="s">
        <v>97</v>
      </c>
      <c r="BT66" s="51" t="s">
        <v>17</v>
      </c>
    </row>
    <row r="67" spans="1:72" x14ac:dyDescent="0.25">
      <c r="B67" s="243" t="str">
        <f t="shared" si="49"/>
        <v>Residential</v>
      </c>
      <c r="C67" s="243" t="str">
        <f t="shared" si="49"/>
        <v>Bills</v>
      </c>
      <c r="D67" s="114" t="s">
        <v>347</v>
      </c>
      <c r="E67" s="84"/>
      <c r="F67" s="84"/>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720"/>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S67" s="84"/>
      <c r="BT67" s="51" t="s">
        <v>17</v>
      </c>
    </row>
    <row r="68" spans="1:72" x14ac:dyDescent="0.25">
      <c r="B68" s="243" t="str">
        <f t="shared" si="49"/>
        <v>Residential</v>
      </c>
      <c r="C68" s="243" t="str">
        <f t="shared" si="49"/>
        <v>Bills</v>
      </c>
      <c r="D68" s="244" t="str">
        <f>D67</f>
        <v>Annual Savings from DSM Scenario</v>
      </c>
      <c r="E68" s="84" t="s">
        <v>78</v>
      </c>
      <c r="F68" s="84" t="s">
        <v>195</v>
      </c>
      <c r="G68" s="65">
        <f t="shared" ref="G68:AG68" ca="1" si="55">IFERROR(G16/G11,0)</f>
        <v>0</v>
      </c>
      <c r="H68" s="65">
        <f t="shared" ca="1" si="55"/>
        <v>0</v>
      </c>
      <c r="I68" s="65">
        <f t="shared" ca="1" si="55"/>
        <v>5.408468798946207</v>
      </c>
      <c r="J68" s="65">
        <f t="shared" ca="1" si="55"/>
        <v>5.408468798946207</v>
      </c>
      <c r="K68" s="65">
        <f t="shared" ca="1" si="55"/>
        <v>5.408468798946207</v>
      </c>
      <c r="L68" s="65">
        <f t="shared" ca="1" si="55"/>
        <v>5.408468798946207</v>
      </c>
      <c r="M68" s="65">
        <f t="shared" ca="1" si="55"/>
        <v>5.408468798946207</v>
      </c>
      <c r="N68" s="65">
        <f t="shared" ca="1" si="55"/>
        <v>5.408468798946207</v>
      </c>
      <c r="O68" s="65">
        <f t="shared" ca="1" si="55"/>
        <v>5.408468798946207</v>
      </c>
      <c r="P68" s="65">
        <f t="shared" ca="1" si="55"/>
        <v>5.408468798946207</v>
      </c>
      <c r="Q68" s="65">
        <f t="shared" ca="1" si="55"/>
        <v>5.408468798946207</v>
      </c>
      <c r="R68" s="65">
        <f t="shared" ca="1" si="55"/>
        <v>5.408468798946207</v>
      </c>
      <c r="S68" s="65">
        <f t="shared" ca="1" si="55"/>
        <v>5.408468798946207</v>
      </c>
      <c r="T68" s="65">
        <f t="shared" ca="1" si="55"/>
        <v>5.408468798946207</v>
      </c>
      <c r="U68" s="65">
        <f t="shared" ca="1" si="55"/>
        <v>5.408468798946207</v>
      </c>
      <c r="V68" s="65">
        <f t="shared" ca="1" si="55"/>
        <v>5.408468798946207</v>
      </c>
      <c r="W68" s="65">
        <f t="shared" ca="1" si="55"/>
        <v>5.408468798946207</v>
      </c>
      <c r="X68" s="65">
        <f t="shared" ca="1" si="55"/>
        <v>0</v>
      </c>
      <c r="Y68" s="65">
        <f t="shared" ca="1" si="55"/>
        <v>0</v>
      </c>
      <c r="Z68" s="65">
        <f t="shared" ca="1" si="55"/>
        <v>0</v>
      </c>
      <c r="AA68" s="65">
        <f t="shared" ca="1" si="55"/>
        <v>0</v>
      </c>
      <c r="AB68" s="65">
        <f t="shared" ca="1" si="55"/>
        <v>0</v>
      </c>
      <c r="AC68" s="65">
        <f t="shared" ca="1" si="55"/>
        <v>0</v>
      </c>
      <c r="AD68" s="65">
        <f t="shared" ca="1" si="55"/>
        <v>0</v>
      </c>
      <c r="AE68" s="65">
        <f t="shared" ca="1" si="55"/>
        <v>0</v>
      </c>
      <c r="AF68" s="65">
        <f t="shared" ca="1" si="55"/>
        <v>0</v>
      </c>
      <c r="AG68" s="65">
        <f t="shared" ca="1" si="55"/>
        <v>0</v>
      </c>
      <c r="AH68" s="65"/>
      <c r="AI68" s="65"/>
      <c r="AJ68" s="720"/>
      <c r="AM68" s="645">
        <f ca="1">IFERROR(AM16/AM11,0)</f>
        <v>0</v>
      </c>
      <c r="AN68" s="645">
        <f t="shared" ref="AN68:BM68" ca="1" si="56">IFERROR(AN16/AN11,0)</f>
        <v>0</v>
      </c>
      <c r="AO68" s="645">
        <f t="shared" ca="1" si="56"/>
        <v>6.1811071987956661</v>
      </c>
      <c r="AP68" s="645">
        <f t="shared" ca="1" si="56"/>
        <v>6.1811071987956661</v>
      </c>
      <c r="AQ68" s="645">
        <f t="shared" ca="1" si="56"/>
        <v>6.1811071987956661</v>
      </c>
      <c r="AR68" s="645">
        <f t="shared" ca="1" si="56"/>
        <v>6.1811071987956661</v>
      </c>
      <c r="AS68" s="645">
        <f t="shared" ca="1" si="56"/>
        <v>6.1811071987956661</v>
      </c>
      <c r="AT68" s="645">
        <f t="shared" ca="1" si="56"/>
        <v>6.1811071987956661</v>
      </c>
      <c r="AU68" s="645">
        <f t="shared" ca="1" si="56"/>
        <v>6.1811071987956661</v>
      </c>
      <c r="AV68" s="645">
        <f t="shared" ca="1" si="56"/>
        <v>6.1811071987956661</v>
      </c>
      <c r="AW68" s="645">
        <f t="shared" ca="1" si="56"/>
        <v>6.1811071987956661</v>
      </c>
      <c r="AX68" s="645">
        <f t="shared" ca="1" si="56"/>
        <v>6.1811071987956661</v>
      </c>
      <c r="AY68" s="645">
        <f t="shared" ca="1" si="56"/>
        <v>6.1811071987956661</v>
      </c>
      <c r="AZ68" s="645">
        <f t="shared" ca="1" si="56"/>
        <v>6.1811071987956661</v>
      </c>
      <c r="BA68" s="645">
        <f t="shared" ca="1" si="56"/>
        <v>6.1811071987956661</v>
      </c>
      <c r="BB68" s="645">
        <f t="shared" ca="1" si="56"/>
        <v>6.1811071987956661</v>
      </c>
      <c r="BC68" s="645">
        <f t="shared" ca="1" si="56"/>
        <v>6.1811071987956661</v>
      </c>
      <c r="BD68" s="645">
        <f t="shared" ca="1" si="56"/>
        <v>0</v>
      </c>
      <c r="BE68" s="645">
        <f t="shared" ca="1" si="56"/>
        <v>0</v>
      </c>
      <c r="BF68" s="645">
        <f t="shared" ca="1" si="56"/>
        <v>0</v>
      </c>
      <c r="BG68" s="645">
        <f t="shared" ca="1" si="56"/>
        <v>0</v>
      </c>
      <c r="BH68" s="645">
        <f t="shared" ca="1" si="56"/>
        <v>0</v>
      </c>
      <c r="BI68" s="645">
        <f t="shared" ca="1" si="56"/>
        <v>0</v>
      </c>
      <c r="BJ68" s="645">
        <f t="shared" ca="1" si="56"/>
        <v>0</v>
      </c>
      <c r="BK68" s="645">
        <f t="shared" ca="1" si="56"/>
        <v>0</v>
      </c>
      <c r="BL68" s="645">
        <f t="shared" ca="1" si="56"/>
        <v>0</v>
      </c>
      <c r="BM68" s="645">
        <f t="shared" ca="1" si="56"/>
        <v>0</v>
      </c>
      <c r="BN68" s="71"/>
      <c r="BO68" s="71"/>
      <c r="BP68" s="71"/>
      <c r="BS68" s="84" t="s">
        <v>104</v>
      </c>
      <c r="BT68" s="51" t="s">
        <v>17</v>
      </c>
    </row>
    <row r="69" spans="1:72" x14ac:dyDescent="0.25">
      <c r="A69" s="246"/>
      <c r="B69" s="243" t="str">
        <f t="shared" si="49"/>
        <v>Residential</v>
      </c>
      <c r="C69" s="243" t="str">
        <f t="shared" si="49"/>
        <v>Bills</v>
      </c>
      <c r="D69" s="244" t="str">
        <f>D68</f>
        <v>Annual Savings from DSM Scenario</v>
      </c>
      <c r="E69" s="84" t="str">
        <f>'EE Inputs'!$N$15&amp;" Participant"</f>
        <v>Low Savings Participant</v>
      </c>
      <c r="F69" s="84" t="s">
        <v>195</v>
      </c>
      <c r="G69" s="64" cm="1">
        <f t="array" aca="1" ref="G69" ca="1">IF($C$4=Lookups!$D$40,INDIRECT("'Yr1'!"&amp;ADDRESS(ROW(G69),COLUMN(G69))),
IF(G12=0,0,SUMIFS('EE Inputs'!$S$9:$S$32,'EE Inputs'!$C$9:$C$32,$G$6,'EE Inputs'!$D$9:$D$32,$C$4,'EE Inputs'!$E$9:$E$32,$B69)))</f>
        <v>0</v>
      </c>
      <c r="H69" s="64" cm="1">
        <f t="array" aca="1" ref="H69" ca="1">IF($C$4=Lookups!$D$40,INDIRECT("'Yr1'!"&amp;ADDRESS(ROW(H69),COLUMN(H69))),
IF(H12=0,0,SUMIFS('EE Inputs'!$S$9:$S$32,'EE Inputs'!$C$9:$C$32,$G$6,'EE Inputs'!$D$9:$D$32,$C$4,'EE Inputs'!$E$9:$E$32,$B69)))</f>
        <v>0</v>
      </c>
      <c r="I69" s="64" cm="1">
        <f t="array" aca="1" ref="I69" ca="1">IF($C$4=Lookups!$D$40,INDIRECT("'Yr1'!"&amp;ADDRESS(ROW(I69),COLUMN(I69))),
IF(I12=0,0,SUMIFS('EE Inputs'!$S$9:$S$32,'EE Inputs'!$C$9:$C$32,$G$6,'EE Inputs'!$D$9:$D$32,$C$4,'EE Inputs'!$E$9:$E$32,$B69)))</f>
        <v>6.66</v>
      </c>
      <c r="J69" s="64" cm="1">
        <f t="array" aca="1" ref="J69" ca="1">IF($C$4=Lookups!$D$40,INDIRECT("'Yr1'!"&amp;ADDRESS(ROW(J69),COLUMN(J69))),
IF(J12=0,0,SUMIFS('EE Inputs'!$S$9:$S$32,'EE Inputs'!$C$9:$C$32,$G$6,'EE Inputs'!$D$9:$D$32,$C$4,'EE Inputs'!$E$9:$E$32,$B69)))</f>
        <v>6.66</v>
      </c>
      <c r="K69" s="64" cm="1">
        <f t="array" aca="1" ref="K69" ca="1">IF($C$4=Lookups!$D$40,INDIRECT("'Yr1'!"&amp;ADDRESS(ROW(K69),COLUMN(K69))),
IF(K12=0,0,SUMIFS('EE Inputs'!$S$9:$S$32,'EE Inputs'!$C$9:$C$32,$G$6,'EE Inputs'!$D$9:$D$32,$C$4,'EE Inputs'!$E$9:$E$32,$B69)))</f>
        <v>6.66</v>
      </c>
      <c r="L69" s="64" cm="1">
        <f t="array" aca="1" ref="L69" ca="1">IF($C$4=Lookups!$D$40,INDIRECT("'Yr1'!"&amp;ADDRESS(ROW(L69),COLUMN(L69))),
IF(L12=0,0,SUMIFS('EE Inputs'!$S$9:$S$32,'EE Inputs'!$C$9:$C$32,$G$6,'EE Inputs'!$D$9:$D$32,$C$4,'EE Inputs'!$E$9:$E$32,$B69)))</f>
        <v>6.66</v>
      </c>
      <c r="M69" s="64" cm="1">
        <f t="array" aca="1" ref="M69" ca="1">IF($C$4=Lookups!$D$40,INDIRECT("'Yr1'!"&amp;ADDRESS(ROW(M69),COLUMN(M69))),
IF(M12=0,0,SUMIFS('EE Inputs'!$S$9:$S$32,'EE Inputs'!$C$9:$C$32,$G$6,'EE Inputs'!$D$9:$D$32,$C$4,'EE Inputs'!$E$9:$E$32,$B69)))</f>
        <v>6.66</v>
      </c>
      <c r="N69" s="64" cm="1">
        <f t="array" aca="1" ref="N69" ca="1">IF($C$4=Lookups!$D$40,INDIRECT("'Yr1'!"&amp;ADDRESS(ROW(N69),COLUMN(N69))),
IF(N12=0,0,SUMIFS('EE Inputs'!$S$9:$S$32,'EE Inputs'!$C$9:$C$32,$G$6,'EE Inputs'!$D$9:$D$32,$C$4,'EE Inputs'!$E$9:$E$32,$B69)))</f>
        <v>6.66</v>
      </c>
      <c r="O69" s="64" cm="1">
        <f t="array" aca="1" ref="O69" ca="1">IF($C$4=Lookups!$D$40,INDIRECT("'Yr1'!"&amp;ADDRESS(ROW(O69),COLUMN(O69))),
IF(O12=0,0,SUMIFS('EE Inputs'!$S$9:$S$32,'EE Inputs'!$C$9:$C$32,$G$6,'EE Inputs'!$D$9:$D$32,$C$4,'EE Inputs'!$E$9:$E$32,$B69)))</f>
        <v>6.66</v>
      </c>
      <c r="P69" s="64" cm="1">
        <f t="array" aca="1" ref="P69" ca="1">IF($C$4=Lookups!$D$40,INDIRECT("'Yr1'!"&amp;ADDRESS(ROW(P69),COLUMN(P69))),
IF(P12=0,0,SUMIFS('EE Inputs'!$S$9:$S$32,'EE Inputs'!$C$9:$C$32,$G$6,'EE Inputs'!$D$9:$D$32,$C$4,'EE Inputs'!$E$9:$E$32,$B69)))</f>
        <v>6.66</v>
      </c>
      <c r="Q69" s="64" cm="1">
        <f t="array" aca="1" ref="Q69" ca="1">IF($C$4=Lookups!$D$40,INDIRECT("'Yr1'!"&amp;ADDRESS(ROW(Q69),COLUMN(Q69))),
IF(Q12=0,0,SUMIFS('EE Inputs'!$S$9:$S$32,'EE Inputs'!$C$9:$C$32,$G$6,'EE Inputs'!$D$9:$D$32,$C$4,'EE Inputs'!$E$9:$E$32,$B69)))</f>
        <v>6.66</v>
      </c>
      <c r="R69" s="64" cm="1">
        <f t="array" aca="1" ref="R69" ca="1">IF($C$4=Lookups!$D$40,INDIRECT("'Yr1'!"&amp;ADDRESS(ROW(R69),COLUMN(R69))),
IF(R12=0,0,SUMIFS('EE Inputs'!$S$9:$S$32,'EE Inputs'!$C$9:$C$32,$G$6,'EE Inputs'!$D$9:$D$32,$C$4,'EE Inputs'!$E$9:$E$32,$B69)))</f>
        <v>6.66</v>
      </c>
      <c r="S69" s="64" cm="1">
        <f t="array" aca="1" ref="S69" ca="1">IF($C$4=Lookups!$D$40,INDIRECT("'Yr1'!"&amp;ADDRESS(ROW(S69),COLUMN(S69))),
IF(S12=0,0,SUMIFS('EE Inputs'!$S$9:$S$32,'EE Inputs'!$C$9:$C$32,$G$6,'EE Inputs'!$D$9:$D$32,$C$4,'EE Inputs'!$E$9:$E$32,$B69)))</f>
        <v>6.66</v>
      </c>
      <c r="T69" s="64" cm="1">
        <f t="array" aca="1" ref="T69" ca="1">IF($C$4=Lookups!$D$40,INDIRECT("'Yr1'!"&amp;ADDRESS(ROW(T69),COLUMN(T69))),
IF(T12=0,0,SUMIFS('EE Inputs'!$S$9:$S$32,'EE Inputs'!$C$9:$C$32,$G$6,'EE Inputs'!$D$9:$D$32,$C$4,'EE Inputs'!$E$9:$E$32,$B69)))</f>
        <v>6.66</v>
      </c>
      <c r="U69" s="64" cm="1">
        <f t="array" aca="1" ref="U69" ca="1">IF($C$4=Lookups!$D$40,INDIRECT("'Yr1'!"&amp;ADDRESS(ROW(U69),COLUMN(U69))),
IF(U12=0,0,SUMIFS('EE Inputs'!$S$9:$S$32,'EE Inputs'!$C$9:$C$32,$G$6,'EE Inputs'!$D$9:$D$32,$C$4,'EE Inputs'!$E$9:$E$32,$B69)))</f>
        <v>6.66</v>
      </c>
      <c r="V69" s="64" cm="1">
        <f t="array" aca="1" ref="V69" ca="1">IF($C$4=Lookups!$D$40,INDIRECT("'Yr1'!"&amp;ADDRESS(ROW(V69),COLUMN(V69))),
IF(V12=0,0,SUMIFS('EE Inputs'!$S$9:$S$32,'EE Inputs'!$C$9:$C$32,$G$6,'EE Inputs'!$D$9:$D$32,$C$4,'EE Inputs'!$E$9:$E$32,$B69)))</f>
        <v>6.66</v>
      </c>
      <c r="W69" s="64" cm="1">
        <f t="array" aca="1" ref="W69" ca="1">IF($C$4=Lookups!$D$40,INDIRECT("'Yr1'!"&amp;ADDRESS(ROW(W69),COLUMN(W69))),
IF(W12=0,0,SUMIFS('EE Inputs'!$S$9:$S$32,'EE Inputs'!$C$9:$C$32,$G$6,'EE Inputs'!$D$9:$D$32,$C$4,'EE Inputs'!$E$9:$E$32,$B69)))</f>
        <v>6.66</v>
      </c>
      <c r="X69" s="64" cm="1">
        <f t="array" aca="1" ref="X69" ca="1">IF($C$4=Lookups!$D$40,INDIRECT("'Yr1'!"&amp;ADDRESS(ROW(X69),COLUMN(X69))),
IF(X12=0,0,SUMIFS('EE Inputs'!$S$9:$S$32,'EE Inputs'!$C$9:$C$32,$G$6,'EE Inputs'!$D$9:$D$32,$C$4,'EE Inputs'!$E$9:$E$32,$B69)))</f>
        <v>0</v>
      </c>
      <c r="Y69" s="64" cm="1">
        <f t="array" aca="1" ref="Y69" ca="1">IF($C$4=Lookups!$D$40,INDIRECT("'Yr1'!"&amp;ADDRESS(ROW(Y69),COLUMN(Y69))),
IF(Y12=0,0,SUMIFS('EE Inputs'!$S$9:$S$32,'EE Inputs'!$C$9:$C$32,$G$6,'EE Inputs'!$D$9:$D$32,$C$4,'EE Inputs'!$E$9:$E$32,$B69)))</f>
        <v>0</v>
      </c>
      <c r="Z69" s="64" cm="1">
        <f t="array" aca="1" ref="Z69" ca="1">IF($C$4=Lookups!$D$40,INDIRECT("'Yr1'!"&amp;ADDRESS(ROW(Z69),COLUMN(Z69))),
IF(Z12=0,0,SUMIFS('EE Inputs'!$S$9:$S$32,'EE Inputs'!$C$9:$C$32,$G$6,'EE Inputs'!$D$9:$D$32,$C$4,'EE Inputs'!$E$9:$E$32,$B69)))</f>
        <v>0</v>
      </c>
      <c r="AA69" s="64" cm="1">
        <f t="array" aca="1" ref="AA69" ca="1">IF($C$4=Lookups!$D$40,INDIRECT("'Yr1'!"&amp;ADDRESS(ROW(AA69),COLUMN(AA69))),
IF(AA12=0,0,SUMIFS('EE Inputs'!$S$9:$S$32,'EE Inputs'!$C$9:$C$32,$G$6,'EE Inputs'!$D$9:$D$32,$C$4,'EE Inputs'!$E$9:$E$32,$B69)))</f>
        <v>0</v>
      </c>
      <c r="AB69" s="64" cm="1">
        <f t="array" aca="1" ref="AB69" ca="1">IF($C$4=Lookups!$D$40,INDIRECT("'Yr1'!"&amp;ADDRESS(ROW(AB69),COLUMN(AB69))),
IF(AB12=0,0,SUMIFS('EE Inputs'!$S$9:$S$32,'EE Inputs'!$C$9:$C$32,$G$6,'EE Inputs'!$D$9:$D$32,$C$4,'EE Inputs'!$E$9:$E$32,$B69)))</f>
        <v>0</v>
      </c>
      <c r="AC69" s="64" cm="1">
        <f t="array" aca="1" ref="AC69" ca="1">IF($C$4=Lookups!$D$40,INDIRECT("'Yr1'!"&amp;ADDRESS(ROW(AC69),COLUMN(AC69))),
IF(AC12=0,0,SUMIFS('EE Inputs'!$S$9:$S$32,'EE Inputs'!$C$9:$C$32,$G$6,'EE Inputs'!$D$9:$D$32,$C$4,'EE Inputs'!$E$9:$E$32,$B69)))</f>
        <v>0</v>
      </c>
      <c r="AD69" s="64" cm="1">
        <f t="array" aca="1" ref="AD69" ca="1">IF($C$4=Lookups!$D$40,INDIRECT("'Yr1'!"&amp;ADDRESS(ROW(AD69),COLUMN(AD69))),
IF(AD12=0,0,SUMIFS('EE Inputs'!$S$9:$S$32,'EE Inputs'!$C$9:$C$32,$G$6,'EE Inputs'!$D$9:$D$32,$C$4,'EE Inputs'!$E$9:$E$32,$B69)))</f>
        <v>0</v>
      </c>
      <c r="AE69" s="64" cm="1">
        <f t="array" aca="1" ref="AE69" ca="1">IF($C$4=Lookups!$D$40,INDIRECT("'Yr1'!"&amp;ADDRESS(ROW(AE69),COLUMN(AE69))),
IF(AE12=0,0,SUMIFS('EE Inputs'!$S$9:$S$32,'EE Inputs'!$C$9:$C$32,$G$6,'EE Inputs'!$D$9:$D$32,$C$4,'EE Inputs'!$E$9:$E$32,$B69)))</f>
        <v>0</v>
      </c>
      <c r="AF69" s="64" cm="1">
        <f t="array" aca="1" ref="AF69" ca="1">IF($C$4=Lookups!$D$40,INDIRECT("'Yr1'!"&amp;ADDRESS(ROW(AF69),COLUMN(AF69))),
IF(AF12=0,0,SUMIFS('EE Inputs'!$S$9:$S$32,'EE Inputs'!$C$9:$C$32,$G$6,'EE Inputs'!$D$9:$D$32,$C$4,'EE Inputs'!$E$9:$E$32,$B69)))</f>
        <v>0</v>
      </c>
      <c r="AG69" s="64" cm="1">
        <f t="array" aca="1" ref="AG69" ca="1">IF($C$4=Lookups!$D$40,INDIRECT("'Yr1'!"&amp;ADDRESS(ROW(AG69),COLUMN(AG69))),
IF(AG12=0,0,SUMIFS('EE Inputs'!$S$9:$S$32,'EE Inputs'!$C$9:$C$32,$G$6,'EE Inputs'!$D$9:$D$32,$C$4,'EE Inputs'!$E$9:$E$32,$B69)))</f>
        <v>0</v>
      </c>
      <c r="AH69" s="64"/>
      <c r="AI69" s="64"/>
      <c r="AJ69" s="720"/>
      <c r="AM69" s="645" cm="1">
        <f t="array" aca="1" ref="AM69" ca="1">IF($C$4=Lookups!$D$40,INDIRECT("'Yr1'!"&amp;ADDRESS(ROW(AM69),COLUMN(AM69))),
IF(AM12=0,0,SUMIFS('EE Inputs'!$S$9:$S$32,'EE Inputs'!$C$9:$C$32,$AM$6,'EE Inputs'!$D$9:$D$32,$C$4,'EE Inputs'!$E$9:$E$32,$B69)))</f>
        <v>0</v>
      </c>
      <c r="AN69" s="645" cm="1">
        <f t="array" aca="1" ref="AN69" ca="1">IF($C$4=Lookups!$D$40,INDIRECT("'Yr1'!"&amp;ADDRESS(ROW(AN69),COLUMN(AN69))),
IF(AN12=0,0,SUMIFS('EE Inputs'!$S$9:$S$32,'EE Inputs'!$C$9:$C$32,$AM$6,'EE Inputs'!$D$9:$D$32,$C$4,'EE Inputs'!$E$9:$E$32,$B69)))</f>
        <v>0</v>
      </c>
      <c r="AO69" s="645" cm="1">
        <f t="array" aca="1" ref="AO69" ca="1">IF($C$4=Lookups!$D$40,INDIRECT("'Yr1'!"&amp;ADDRESS(ROW(AO69),COLUMN(AO69))),
IF(AO12=0,0,SUMIFS('EE Inputs'!$S$9:$S$32,'EE Inputs'!$C$9:$C$32,$AM$6,'EE Inputs'!$D$9:$D$32,$C$4,'EE Inputs'!$E$9:$E$32,$B69)))</f>
        <v>7.992</v>
      </c>
      <c r="AP69" s="645" cm="1">
        <f t="array" aca="1" ref="AP69" ca="1">IF($C$4=Lookups!$D$40,INDIRECT("'Yr1'!"&amp;ADDRESS(ROW(AP69),COLUMN(AP69))),
IF(AP12=0,0,SUMIFS('EE Inputs'!$S$9:$S$32,'EE Inputs'!$C$9:$C$32,$AM$6,'EE Inputs'!$D$9:$D$32,$C$4,'EE Inputs'!$E$9:$E$32,$B69)))</f>
        <v>7.992</v>
      </c>
      <c r="AQ69" s="645" cm="1">
        <f t="array" aca="1" ref="AQ69" ca="1">IF($C$4=Lookups!$D$40,INDIRECT("'Yr1'!"&amp;ADDRESS(ROW(AQ69),COLUMN(AQ69))),
IF(AQ12=0,0,SUMIFS('EE Inputs'!$S$9:$S$32,'EE Inputs'!$C$9:$C$32,$AM$6,'EE Inputs'!$D$9:$D$32,$C$4,'EE Inputs'!$E$9:$E$32,$B69)))</f>
        <v>7.992</v>
      </c>
      <c r="AR69" s="645" cm="1">
        <f t="array" aca="1" ref="AR69" ca="1">IF($C$4=Lookups!$D$40,INDIRECT("'Yr1'!"&amp;ADDRESS(ROW(AR69),COLUMN(AR69))),
IF(AR12=0,0,SUMIFS('EE Inputs'!$S$9:$S$32,'EE Inputs'!$C$9:$C$32,$AM$6,'EE Inputs'!$D$9:$D$32,$C$4,'EE Inputs'!$E$9:$E$32,$B69)))</f>
        <v>7.992</v>
      </c>
      <c r="AS69" s="645" cm="1">
        <f t="array" aca="1" ref="AS69" ca="1">IF($C$4=Lookups!$D$40,INDIRECT("'Yr1'!"&amp;ADDRESS(ROW(AS69),COLUMN(AS69))),
IF(AS12=0,0,SUMIFS('EE Inputs'!$S$9:$S$32,'EE Inputs'!$C$9:$C$32,$AM$6,'EE Inputs'!$D$9:$D$32,$C$4,'EE Inputs'!$E$9:$E$32,$B69)))</f>
        <v>7.992</v>
      </c>
      <c r="AT69" s="645" cm="1">
        <f t="array" aca="1" ref="AT69" ca="1">IF($C$4=Lookups!$D$40,INDIRECT("'Yr1'!"&amp;ADDRESS(ROW(AT69),COLUMN(AT69))),
IF(AT12=0,0,SUMIFS('EE Inputs'!$S$9:$S$32,'EE Inputs'!$C$9:$C$32,$AM$6,'EE Inputs'!$D$9:$D$32,$C$4,'EE Inputs'!$E$9:$E$32,$B69)))</f>
        <v>7.992</v>
      </c>
      <c r="AU69" s="645" cm="1">
        <f t="array" aca="1" ref="AU69" ca="1">IF($C$4=Lookups!$D$40,INDIRECT("'Yr1'!"&amp;ADDRESS(ROW(AU69),COLUMN(AU69))),
IF(AU12=0,0,SUMIFS('EE Inputs'!$S$9:$S$32,'EE Inputs'!$C$9:$C$32,$AM$6,'EE Inputs'!$D$9:$D$32,$C$4,'EE Inputs'!$E$9:$E$32,$B69)))</f>
        <v>7.992</v>
      </c>
      <c r="AV69" s="645" cm="1">
        <f t="array" aca="1" ref="AV69" ca="1">IF($C$4=Lookups!$D$40,INDIRECT("'Yr1'!"&amp;ADDRESS(ROW(AV69),COLUMN(AV69))),
IF(AV12=0,0,SUMIFS('EE Inputs'!$S$9:$S$32,'EE Inputs'!$C$9:$C$32,$AM$6,'EE Inputs'!$D$9:$D$32,$C$4,'EE Inputs'!$E$9:$E$32,$B69)))</f>
        <v>7.992</v>
      </c>
      <c r="AW69" s="645" cm="1">
        <f t="array" aca="1" ref="AW69" ca="1">IF($C$4=Lookups!$D$40,INDIRECT("'Yr1'!"&amp;ADDRESS(ROW(AW69),COLUMN(AW69))),
IF(AW12=0,0,SUMIFS('EE Inputs'!$S$9:$S$32,'EE Inputs'!$C$9:$C$32,$AM$6,'EE Inputs'!$D$9:$D$32,$C$4,'EE Inputs'!$E$9:$E$32,$B69)))</f>
        <v>7.992</v>
      </c>
      <c r="AX69" s="645" cm="1">
        <f t="array" aca="1" ref="AX69" ca="1">IF($C$4=Lookups!$D$40,INDIRECT("'Yr1'!"&amp;ADDRESS(ROW(AX69),COLUMN(AX69))),
IF(AX12=0,0,SUMIFS('EE Inputs'!$S$9:$S$32,'EE Inputs'!$C$9:$C$32,$AM$6,'EE Inputs'!$D$9:$D$32,$C$4,'EE Inputs'!$E$9:$E$32,$B69)))</f>
        <v>7.992</v>
      </c>
      <c r="AY69" s="645" cm="1">
        <f t="array" aca="1" ref="AY69" ca="1">IF($C$4=Lookups!$D$40,INDIRECT("'Yr1'!"&amp;ADDRESS(ROW(AY69),COLUMN(AY69))),
IF(AY12=0,0,SUMIFS('EE Inputs'!$S$9:$S$32,'EE Inputs'!$C$9:$C$32,$AM$6,'EE Inputs'!$D$9:$D$32,$C$4,'EE Inputs'!$E$9:$E$32,$B69)))</f>
        <v>7.992</v>
      </c>
      <c r="AZ69" s="645" cm="1">
        <f t="array" aca="1" ref="AZ69" ca="1">IF($C$4=Lookups!$D$40,INDIRECT("'Yr1'!"&amp;ADDRESS(ROW(AZ69),COLUMN(AZ69))),
IF(AZ12=0,0,SUMIFS('EE Inputs'!$S$9:$S$32,'EE Inputs'!$C$9:$C$32,$AM$6,'EE Inputs'!$D$9:$D$32,$C$4,'EE Inputs'!$E$9:$E$32,$B69)))</f>
        <v>7.992</v>
      </c>
      <c r="BA69" s="645" cm="1">
        <f t="array" aca="1" ref="BA69" ca="1">IF($C$4=Lookups!$D$40,INDIRECT("'Yr1'!"&amp;ADDRESS(ROW(BA69),COLUMN(BA69))),
IF(BA12=0,0,SUMIFS('EE Inputs'!$S$9:$S$32,'EE Inputs'!$C$9:$C$32,$AM$6,'EE Inputs'!$D$9:$D$32,$C$4,'EE Inputs'!$E$9:$E$32,$B69)))</f>
        <v>7.992</v>
      </c>
      <c r="BB69" s="645" cm="1">
        <f t="array" aca="1" ref="BB69" ca="1">IF($C$4=Lookups!$D$40,INDIRECT("'Yr1'!"&amp;ADDRESS(ROW(BB69),COLUMN(BB69))),
IF(BB12=0,0,SUMIFS('EE Inputs'!$S$9:$S$32,'EE Inputs'!$C$9:$C$32,$AM$6,'EE Inputs'!$D$9:$D$32,$C$4,'EE Inputs'!$E$9:$E$32,$B69)))</f>
        <v>7.992</v>
      </c>
      <c r="BC69" s="645" cm="1">
        <f t="array" aca="1" ref="BC69" ca="1">IF($C$4=Lookups!$D$40,INDIRECT("'Yr1'!"&amp;ADDRESS(ROW(BC69),COLUMN(BC69))),
IF(BC12=0,0,SUMIFS('EE Inputs'!$S$9:$S$32,'EE Inputs'!$C$9:$C$32,$AM$6,'EE Inputs'!$D$9:$D$32,$C$4,'EE Inputs'!$E$9:$E$32,$B69)))</f>
        <v>7.992</v>
      </c>
      <c r="BD69" s="645" cm="1">
        <f t="array" aca="1" ref="BD69" ca="1">IF($C$4=Lookups!$D$40,INDIRECT("'Yr1'!"&amp;ADDRESS(ROW(BD69),COLUMN(BD69))),
IF(BD12=0,0,SUMIFS('EE Inputs'!$S$9:$S$32,'EE Inputs'!$C$9:$C$32,$AM$6,'EE Inputs'!$D$9:$D$32,$C$4,'EE Inputs'!$E$9:$E$32,$B69)))</f>
        <v>0</v>
      </c>
      <c r="BE69" s="645" cm="1">
        <f t="array" aca="1" ref="BE69" ca="1">IF($C$4=Lookups!$D$40,INDIRECT("'Yr1'!"&amp;ADDRESS(ROW(BE69),COLUMN(BE69))),
IF(BE12=0,0,SUMIFS('EE Inputs'!$S$9:$S$32,'EE Inputs'!$C$9:$C$32,$AM$6,'EE Inputs'!$D$9:$D$32,$C$4,'EE Inputs'!$E$9:$E$32,$B69)))</f>
        <v>0</v>
      </c>
      <c r="BF69" s="645" cm="1">
        <f t="array" aca="1" ref="BF69" ca="1">IF($C$4=Lookups!$D$40,INDIRECT("'Yr1'!"&amp;ADDRESS(ROW(BF69),COLUMN(BF69))),
IF(BF12=0,0,SUMIFS('EE Inputs'!$S$9:$S$32,'EE Inputs'!$C$9:$C$32,$AM$6,'EE Inputs'!$D$9:$D$32,$C$4,'EE Inputs'!$E$9:$E$32,$B69)))</f>
        <v>0</v>
      </c>
      <c r="BG69" s="645" cm="1">
        <f t="array" aca="1" ref="BG69" ca="1">IF($C$4=Lookups!$D$40,INDIRECT("'Yr1'!"&amp;ADDRESS(ROW(BG69),COLUMN(BG69))),
IF(BG12=0,0,SUMIFS('EE Inputs'!$S$9:$S$32,'EE Inputs'!$C$9:$C$32,$AM$6,'EE Inputs'!$D$9:$D$32,$C$4,'EE Inputs'!$E$9:$E$32,$B69)))</f>
        <v>0</v>
      </c>
      <c r="BH69" s="645" cm="1">
        <f t="array" aca="1" ref="BH69" ca="1">IF($C$4=Lookups!$D$40,INDIRECT("'Yr1'!"&amp;ADDRESS(ROW(BH69),COLUMN(BH69))),
IF(BH12=0,0,SUMIFS('EE Inputs'!$S$9:$S$32,'EE Inputs'!$C$9:$C$32,$AM$6,'EE Inputs'!$D$9:$D$32,$C$4,'EE Inputs'!$E$9:$E$32,$B69)))</f>
        <v>0</v>
      </c>
      <c r="BI69" s="645" cm="1">
        <f t="array" aca="1" ref="BI69" ca="1">IF($C$4=Lookups!$D$40,INDIRECT("'Yr1'!"&amp;ADDRESS(ROW(BI69),COLUMN(BI69))),
IF(BI12=0,0,SUMIFS('EE Inputs'!$S$9:$S$32,'EE Inputs'!$C$9:$C$32,$AM$6,'EE Inputs'!$D$9:$D$32,$C$4,'EE Inputs'!$E$9:$E$32,$B69)))</f>
        <v>0</v>
      </c>
      <c r="BJ69" s="645" cm="1">
        <f t="array" aca="1" ref="BJ69" ca="1">IF($C$4=Lookups!$D$40,INDIRECT("'Yr1'!"&amp;ADDRESS(ROW(BJ69),COLUMN(BJ69))),
IF(BJ12=0,0,SUMIFS('EE Inputs'!$S$9:$S$32,'EE Inputs'!$C$9:$C$32,$AM$6,'EE Inputs'!$D$9:$D$32,$C$4,'EE Inputs'!$E$9:$E$32,$B69)))</f>
        <v>0</v>
      </c>
      <c r="BK69" s="645" cm="1">
        <f t="array" aca="1" ref="BK69" ca="1">IF($C$4=Lookups!$D$40,INDIRECT("'Yr1'!"&amp;ADDRESS(ROW(BK69),COLUMN(BK69))),
IF(BK12=0,0,SUMIFS('EE Inputs'!$S$9:$S$32,'EE Inputs'!$C$9:$C$32,$AM$6,'EE Inputs'!$D$9:$D$32,$C$4,'EE Inputs'!$E$9:$E$32,$B69)))</f>
        <v>0</v>
      </c>
      <c r="BL69" s="645" cm="1">
        <f t="array" aca="1" ref="BL69" ca="1">IF($C$4=Lookups!$D$40,INDIRECT("'Yr1'!"&amp;ADDRESS(ROW(BL69),COLUMN(BL69))),
IF(BL12=0,0,SUMIFS('EE Inputs'!$S$9:$S$32,'EE Inputs'!$C$9:$C$32,$AM$6,'EE Inputs'!$D$9:$D$32,$C$4,'EE Inputs'!$E$9:$E$32,$B69)))</f>
        <v>0</v>
      </c>
      <c r="BM69" s="645" cm="1">
        <f t="array" aca="1" ref="BM69" ca="1">IF($C$4=Lookups!$D$40,INDIRECT("'Yr1'!"&amp;ADDRESS(ROW(BM69),COLUMN(BM69))),
IF(BM12=0,0,SUMIFS('EE Inputs'!$S$9:$S$32,'EE Inputs'!$C$9:$C$32,$AM$6,'EE Inputs'!$D$9:$D$32,$C$4,'EE Inputs'!$E$9:$E$32,$B69)))</f>
        <v>0</v>
      </c>
      <c r="BN69" s="71"/>
      <c r="BO69" s="71"/>
      <c r="BP69" s="71"/>
      <c r="BS69" s="76" t="s">
        <v>96</v>
      </c>
      <c r="BT69" s="51" t="s">
        <v>17</v>
      </c>
    </row>
    <row r="70" spans="1:72" x14ac:dyDescent="0.25">
      <c r="A70" s="246"/>
      <c r="B70" s="243" t="str">
        <f t="shared" si="49"/>
        <v>Residential</v>
      </c>
      <c r="C70" s="243" t="str">
        <f t="shared" si="49"/>
        <v>Bills</v>
      </c>
      <c r="D70" s="244" t="str">
        <f t="shared" si="49"/>
        <v>Annual Savings from DSM Scenario</v>
      </c>
      <c r="E70" s="84" t="str">
        <f>'EE Inputs'!$N$16&amp;" Participant"</f>
        <v>High Savings Participant</v>
      </c>
      <c r="F70" s="84" t="s">
        <v>195</v>
      </c>
      <c r="G70" s="704" cm="1">
        <f t="array" aca="1" ref="G70" ca="1">IF($C$4=Lookups!$D$40,INDIRECT("'Yr1'!"&amp;ADDRESS(ROW(G70),COLUMN(G70))),
IF(G12=0,0,SUMIFS('EE Inputs'!$T$9:$T$32,'EE Inputs'!$C$9:$C$32,$G$6,'EE Inputs'!$D$9:$D$32,$C$4,'EE Inputs'!$E$9:$E$32,$B70)))</f>
        <v>0</v>
      </c>
      <c r="H70" s="704" cm="1">
        <f t="array" aca="1" ref="H70" ca="1">IF($C$4=Lookups!$D$40,INDIRECT("'Yr1'!"&amp;ADDRESS(ROW(H70),COLUMN(H70))),
IF(H12=0,0,SUMIFS('EE Inputs'!$T$9:$T$32,'EE Inputs'!$C$9:$C$32,$G$6,'EE Inputs'!$D$9:$D$32,$C$4,'EE Inputs'!$E$9:$E$32,$B70)))</f>
        <v>0</v>
      </c>
      <c r="I70" s="704" cm="1">
        <f t="array" aca="1" ref="I70" ca="1">IF($C$4=Lookups!$D$40,INDIRECT("'Yr1'!"&amp;ADDRESS(ROW(I70),COLUMN(I70))),
IF(I12=0,0,SUMIFS('EE Inputs'!$T$9:$T$32,'EE Inputs'!$C$9:$C$32,$G$6,'EE Inputs'!$D$9:$D$32,$C$4,'EE Inputs'!$E$9:$E$32,$B70)))</f>
        <v>46.620000000000005</v>
      </c>
      <c r="J70" s="704" cm="1">
        <f t="array" aca="1" ref="J70" ca="1">IF($C$4=Lookups!$D$40,INDIRECT("'Yr1'!"&amp;ADDRESS(ROW(J70),COLUMN(J70))),
IF(J12=0,0,SUMIFS('EE Inputs'!$T$9:$T$32,'EE Inputs'!$C$9:$C$32,$G$6,'EE Inputs'!$D$9:$D$32,$C$4,'EE Inputs'!$E$9:$E$32,$B70)))</f>
        <v>46.620000000000005</v>
      </c>
      <c r="K70" s="704" cm="1">
        <f t="array" aca="1" ref="K70" ca="1">IF($C$4=Lookups!$D$40,INDIRECT("'Yr1'!"&amp;ADDRESS(ROW(K70),COLUMN(K70))),
IF(K12=0,0,SUMIFS('EE Inputs'!$T$9:$T$32,'EE Inputs'!$C$9:$C$32,$G$6,'EE Inputs'!$D$9:$D$32,$C$4,'EE Inputs'!$E$9:$E$32,$B70)))</f>
        <v>46.620000000000005</v>
      </c>
      <c r="L70" s="704" cm="1">
        <f t="array" aca="1" ref="L70" ca="1">IF($C$4=Lookups!$D$40,INDIRECT("'Yr1'!"&amp;ADDRESS(ROW(L70),COLUMN(L70))),
IF(L12=0,0,SUMIFS('EE Inputs'!$T$9:$T$32,'EE Inputs'!$C$9:$C$32,$G$6,'EE Inputs'!$D$9:$D$32,$C$4,'EE Inputs'!$E$9:$E$32,$B70)))</f>
        <v>46.620000000000005</v>
      </c>
      <c r="M70" s="704" cm="1">
        <f t="array" aca="1" ref="M70" ca="1">IF($C$4=Lookups!$D$40,INDIRECT("'Yr1'!"&amp;ADDRESS(ROW(M70),COLUMN(M70))),
IF(M12=0,0,SUMIFS('EE Inputs'!$T$9:$T$32,'EE Inputs'!$C$9:$C$32,$G$6,'EE Inputs'!$D$9:$D$32,$C$4,'EE Inputs'!$E$9:$E$32,$B70)))</f>
        <v>46.620000000000005</v>
      </c>
      <c r="N70" s="704" cm="1">
        <f t="array" aca="1" ref="N70" ca="1">IF($C$4=Lookups!$D$40,INDIRECT("'Yr1'!"&amp;ADDRESS(ROW(N70),COLUMN(N70))),
IF(N12=0,0,SUMIFS('EE Inputs'!$T$9:$T$32,'EE Inputs'!$C$9:$C$32,$G$6,'EE Inputs'!$D$9:$D$32,$C$4,'EE Inputs'!$E$9:$E$32,$B70)))</f>
        <v>46.620000000000005</v>
      </c>
      <c r="O70" s="704" cm="1">
        <f t="array" aca="1" ref="O70" ca="1">IF($C$4=Lookups!$D$40,INDIRECT("'Yr1'!"&amp;ADDRESS(ROW(O70),COLUMN(O70))),
IF(O12=0,0,SUMIFS('EE Inputs'!$T$9:$T$32,'EE Inputs'!$C$9:$C$32,$G$6,'EE Inputs'!$D$9:$D$32,$C$4,'EE Inputs'!$E$9:$E$32,$B70)))</f>
        <v>46.620000000000005</v>
      </c>
      <c r="P70" s="704" cm="1">
        <f t="array" aca="1" ref="P70" ca="1">IF($C$4=Lookups!$D$40,INDIRECT("'Yr1'!"&amp;ADDRESS(ROW(P70),COLUMN(P70))),
IF(P12=0,0,SUMIFS('EE Inputs'!$T$9:$T$32,'EE Inputs'!$C$9:$C$32,$G$6,'EE Inputs'!$D$9:$D$32,$C$4,'EE Inputs'!$E$9:$E$32,$B70)))</f>
        <v>46.620000000000005</v>
      </c>
      <c r="Q70" s="704" cm="1">
        <f t="array" aca="1" ref="Q70" ca="1">IF($C$4=Lookups!$D$40,INDIRECT("'Yr1'!"&amp;ADDRESS(ROW(Q70),COLUMN(Q70))),
IF(Q12=0,0,SUMIFS('EE Inputs'!$T$9:$T$32,'EE Inputs'!$C$9:$C$32,$G$6,'EE Inputs'!$D$9:$D$32,$C$4,'EE Inputs'!$E$9:$E$32,$B70)))</f>
        <v>46.620000000000005</v>
      </c>
      <c r="R70" s="704" cm="1">
        <f t="array" aca="1" ref="R70" ca="1">IF($C$4=Lookups!$D$40,INDIRECT("'Yr1'!"&amp;ADDRESS(ROW(R70),COLUMN(R70))),
IF(R12=0,0,SUMIFS('EE Inputs'!$T$9:$T$32,'EE Inputs'!$C$9:$C$32,$G$6,'EE Inputs'!$D$9:$D$32,$C$4,'EE Inputs'!$E$9:$E$32,$B70)))</f>
        <v>46.620000000000005</v>
      </c>
      <c r="S70" s="704" cm="1">
        <f t="array" aca="1" ref="S70" ca="1">IF($C$4=Lookups!$D$40,INDIRECT("'Yr1'!"&amp;ADDRESS(ROW(S70),COLUMN(S70))),
IF(S12=0,0,SUMIFS('EE Inputs'!$T$9:$T$32,'EE Inputs'!$C$9:$C$32,$G$6,'EE Inputs'!$D$9:$D$32,$C$4,'EE Inputs'!$E$9:$E$32,$B70)))</f>
        <v>46.620000000000005</v>
      </c>
      <c r="T70" s="704" cm="1">
        <f t="array" aca="1" ref="T70" ca="1">IF($C$4=Lookups!$D$40,INDIRECT("'Yr1'!"&amp;ADDRESS(ROW(T70),COLUMN(T70))),
IF(T12=0,0,SUMIFS('EE Inputs'!$T$9:$T$32,'EE Inputs'!$C$9:$C$32,$G$6,'EE Inputs'!$D$9:$D$32,$C$4,'EE Inputs'!$E$9:$E$32,$B70)))</f>
        <v>46.620000000000005</v>
      </c>
      <c r="U70" s="704" cm="1">
        <f t="array" aca="1" ref="U70" ca="1">IF($C$4=Lookups!$D$40,INDIRECT("'Yr1'!"&amp;ADDRESS(ROW(U70),COLUMN(U70))),
IF(U12=0,0,SUMIFS('EE Inputs'!$T$9:$T$32,'EE Inputs'!$C$9:$C$32,$G$6,'EE Inputs'!$D$9:$D$32,$C$4,'EE Inputs'!$E$9:$E$32,$B70)))</f>
        <v>46.620000000000005</v>
      </c>
      <c r="V70" s="704" cm="1">
        <f t="array" aca="1" ref="V70" ca="1">IF($C$4=Lookups!$D$40,INDIRECT("'Yr1'!"&amp;ADDRESS(ROW(V70),COLUMN(V70))),
IF(V12=0,0,SUMIFS('EE Inputs'!$T$9:$T$32,'EE Inputs'!$C$9:$C$32,$G$6,'EE Inputs'!$D$9:$D$32,$C$4,'EE Inputs'!$E$9:$E$32,$B70)))</f>
        <v>46.620000000000005</v>
      </c>
      <c r="W70" s="704" cm="1">
        <f t="array" aca="1" ref="W70" ca="1">IF($C$4=Lookups!$D$40,INDIRECT("'Yr1'!"&amp;ADDRESS(ROW(W70),COLUMN(W70))),
IF(W12=0,0,SUMIFS('EE Inputs'!$T$9:$T$32,'EE Inputs'!$C$9:$C$32,$G$6,'EE Inputs'!$D$9:$D$32,$C$4,'EE Inputs'!$E$9:$E$32,$B70)))</f>
        <v>46.620000000000005</v>
      </c>
      <c r="X70" s="704" cm="1">
        <f t="array" aca="1" ref="X70" ca="1">IF($C$4=Lookups!$D$40,INDIRECT("'Yr1'!"&amp;ADDRESS(ROW(X70),COLUMN(X70))),
IF(X12=0,0,SUMIFS('EE Inputs'!$T$9:$T$32,'EE Inputs'!$C$9:$C$32,$G$6,'EE Inputs'!$D$9:$D$32,$C$4,'EE Inputs'!$E$9:$E$32,$B70)))</f>
        <v>0</v>
      </c>
      <c r="Y70" s="704" cm="1">
        <f t="array" aca="1" ref="Y70" ca="1">IF($C$4=Lookups!$D$40,INDIRECT("'Yr1'!"&amp;ADDRESS(ROW(Y70),COLUMN(Y70))),
IF(Y12=0,0,SUMIFS('EE Inputs'!$T$9:$T$32,'EE Inputs'!$C$9:$C$32,$G$6,'EE Inputs'!$D$9:$D$32,$C$4,'EE Inputs'!$E$9:$E$32,$B70)))</f>
        <v>0</v>
      </c>
      <c r="Z70" s="704" cm="1">
        <f t="array" aca="1" ref="Z70" ca="1">IF($C$4=Lookups!$D$40,INDIRECT("'Yr1'!"&amp;ADDRESS(ROW(Z70),COLUMN(Z70))),
IF(Z12=0,0,SUMIFS('EE Inputs'!$T$9:$T$32,'EE Inputs'!$C$9:$C$32,$G$6,'EE Inputs'!$D$9:$D$32,$C$4,'EE Inputs'!$E$9:$E$32,$B70)))</f>
        <v>0</v>
      </c>
      <c r="AA70" s="704" cm="1">
        <f t="array" aca="1" ref="AA70" ca="1">IF($C$4=Lookups!$D$40,INDIRECT("'Yr1'!"&amp;ADDRESS(ROW(AA70),COLUMN(AA70))),
IF(AA12=0,0,SUMIFS('EE Inputs'!$T$9:$T$32,'EE Inputs'!$C$9:$C$32,$G$6,'EE Inputs'!$D$9:$D$32,$C$4,'EE Inputs'!$E$9:$E$32,$B70)))</f>
        <v>0</v>
      </c>
      <c r="AB70" s="704" cm="1">
        <f t="array" aca="1" ref="AB70" ca="1">IF($C$4=Lookups!$D$40,INDIRECT("'Yr1'!"&amp;ADDRESS(ROW(AB70),COLUMN(AB70))),
IF(AB12=0,0,SUMIFS('EE Inputs'!$T$9:$T$32,'EE Inputs'!$C$9:$C$32,$G$6,'EE Inputs'!$D$9:$D$32,$C$4,'EE Inputs'!$E$9:$E$32,$B70)))</f>
        <v>0</v>
      </c>
      <c r="AC70" s="704" cm="1">
        <f t="array" aca="1" ref="AC70" ca="1">IF($C$4=Lookups!$D$40,INDIRECT("'Yr1'!"&amp;ADDRESS(ROW(AC70),COLUMN(AC70))),
IF(AC12=0,0,SUMIFS('EE Inputs'!$T$9:$T$32,'EE Inputs'!$C$9:$C$32,$G$6,'EE Inputs'!$D$9:$D$32,$C$4,'EE Inputs'!$E$9:$E$32,$B70)))</f>
        <v>0</v>
      </c>
      <c r="AD70" s="704" cm="1">
        <f t="array" aca="1" ref="AD70" ca="1">IF($C$4=Lookups!$D$40,INDIRECT("'Yr1'!"&amp;ADDRESS(ROW(AD70),COLUMN(AD70))),
IF(AD12=0,0,SUMIFS('EE Inputs'!$T$9:$T$32,'EE Inputs'!$C$9:$C$32,$G$6,'EE Inputs'!$D$9:$D$32,$C$4,'EE Inputs'!$E$9:$E$32,$B70)))</f>
        <v>0</v>
      </c>
      <c r="AE70" s="704" cm="1">
        <f t="array" aca="1" ref="AE70" ca="1">IF($C$4=Lookups!$D$40,INDIRECT("'Yr1'!"&amp;ADDRESS(ROW(AE70),COLUMN(AE70))),
IF(AE12=0,0,SUMIFS('EE Inputs'!$T$9:$T$32,'EE Inputs'!$C$9:$C$32,$G$6,'EE Inputs'!$D$9:$D$32,$C$4,'EE Inputs'!$E$9:$E$32,$B70)))</f>
        <v>0</v>
      </c>
      <c r="AF70" s="704" cm="1">
        <f t="array" aca="1" ref="AF70" ca="1">IF($C$4=Lookups!$D$40,INDIRECT("'Yr1'!"&amp;ADDRESS(ROW(AF70),COLUMN(AF70))),
IF(AF12=0,0,SUMIFS('EE Inputs'!$T$9:$T$32,'EE Inputs'!$C$9:$C$32,$G$6,'EE Inputs'!$D$9:$D$32,$C$4,'EE Inputs'!$E$9:$E$32,$B70)))</f>
        <v>0</v>
      </c>
      <c r="AG70" s="704" cm="1">
        <f t="array" aca="1" ref="AG70" ca="1">IF($C$4=Lookups!$D$40,INDIRECT("'Yr1'!"&amp;ADDRESS(ROW(AG70),COLUMN(AG70))),
IF(AG12=0,0,SUMIFS('EE Inputs'!$T$9:$T$32,'EE Inputs'!$C$9:$C$32,$G$6,'EE Inputs'!$D$9:$D$32,$C$4,'EE Inputs'!$E$9:$E$32,$B70)))</f>
        <v>0</v>
      </c>
      <c r="AH70" s="64"/>
      <c r="AI70" s="64"/>
      <c r="AJ70" s="720"/>
      <c r="AM70" s="645" cm="1">
        <f t="array" aca="1" ref="AM70" ca="1">IF($C$4=Lookups!$D$40,INDIRECT("'Yr1'!"&amp;ADDRESS(ROW(AM70),COLUMN(AM70))),
IF(AM12=0,0,SUMIFS('EE Inputs'!$T$9:$T$32,'EE Inputs'!$C$9:$C$32,$AM$6,'EE Inputs'!$D$9:$D$32,$C$4,'EE Inputs'!$E$9:$E$32,$B70)))</f>
        <v>0</v>
      </c>
      <c r="AN70" s="645" cm="1">
        <f t="array" aca="1" ref="AN70" ca="1">IF($C$4=Lookups!$D$40,INDIRECT("'Yr1'!"&amp;ADDRESS(ROW(AN70),COLUMN(AN70))),
IF(AN12=0,0,SUMIFS('EE Inputs'!$T$9:$T$32,'EE Inputs'!$C$9:$C$32,$AM$6,'EE Inputs'!$D$9:$D$32,$C$4,'EE Inputs'!$E$9:$E$32,$B70)))</f>
        <v>0</v>
      </c>
      <c r="AO70" s="645" cm="1">
        <f t="array" aca="1" ref="AO70" ca="1">IF($C$4=Lookups!$D$40,INDIRECT("'Yr1'!"&amp;ADDRESS(ROW(AO70),COLUMN(AO70))),
IF(AO12=0,0,SUMIFS('EE Inputs'!$T$9:$T$32,'EE Inputs'!$C$9:$C$32,$AM$6,'EE Inputs'!$D$9:$D$32,$C$4,'EE Inputs'!$E$9:$E$32,$B70)))</f>
        <v>55.944000000000003</v>
      </c>
      <c r="AP70" s="645" cm="1">
        <f t="array" aca="1" ref="AP70" ca="1">IF($C$4=Lookups!$D$40,INDIRECT("'Yr1'!"&amp;ADDRESS(ROW(AP70),COLUMN(AP70))),
IF(AP12=0,0,SUMIFS('EE Inputs'!$T$9:$T$32,'EE Inputs'!$C$9:$C$32,$AM$6,'EE Inputs'!$D$9:$D$32,$C$4,'EE Inputs'!$E$9:$E$32,$B70)))</f>
        <v>55.944000000000003</v>
      </c>
      <c r="AQ70" s="645" cm="1">
        <f t="array" aca="1" ref="AQ70" ca="1">IF($C$4=Lookups!$D$40,INDIRECT("'Yr1'!"&amp;ADDRESS(ROW(AQ70),COLUMN(AQ70))),
IF(AQ12=0,0,SUMIFS('EE Inputs'!$T$9:$T$32,'EE Inputs'!$C$9:$C$32,$AM$6,'EE Inputs'!$D$9:$D$32,$C$4,'EE Inputs'!$E$9:$E$32,$B70)))</f>
        <v>55.944000000000003</v>
      </c>
      <c r="AR70" s="645" cm="1">
        <f t="array" aca="1" ref="AR70" ca="1">IF($C$4=Lookups!$D$40,INDIRECT("'Yr1'!"&amp;ADDRESS(ROW(AR70),COLUMN(AR70))),
IF(AR12=0,0,SUMIFS('EE Inputs'!$T$9:$T$32,'EE Inputs'!$C$9:$C$32,$AM$6,'EE Inputs'!$D$9:$D$32,$C$4,'EE Inputs'!$E$9:$E$32,$B70)))</f>
        <v>55.944000000000003</v>
      </c>
      <c r="AS70" s="645" cm="1">
        <f t="array" aca="1" ref="AS70" ca="1">IF($C$4=Lookups!$D$40,INDIRECT("'Yr1'!"&amp;ADDRESS(ROW(AS70),COLUMN(AS70))),
IF(AS12=0,0,SUMIFS('EE Inputs'!$T$9:$T$32,'EE Inputs'!$C$9:$C$32,$AM$6,'EE Inputs'!$D$9:$D$32,$C$4,'EE Inputs'!$E$9:$E$32,$B70)))</f>
        <v>55.944000000000003</v>
      </c>
      <c r="AT70" s="645" cm="1">
        <f t="array" aca="1" ref="AT70" ca="1">IF($C$4=Lookups!$D$40,INDIRECT("'Yr1'!"&amp;ADDRESS(ROW(AT70),COLUMN(AT70))),
IF(AT12=0,0,SUMIFS('EE Inputs'!$T$9:$T$32,'EE Inputs'!$C$9:$C$32,$AM$6,'EE Inputs'!$D$9:$D$32,$C$4,'EE Inputs'!$E$9:$E$32,$B70)))</f>
        <v>55.944000000000003</v>
      </c>
      <c r="AU70" s="645" cm="1">
        <f t="array" aca="1" ref="AU70" ca="1">IF($C$4=Lookups!$D$40,INDIRECT("'Yr1'!"&amp;ADDRESS(ROW(AU70),COLUMN(AU70))),
IF(AU12=0,0,SUMIFS('EE Inputs'!$T$9:$T$32,'EE Inputs'!$C$9:$C$32,$AM$6,'EE Inputs'!$D$9:$D$32,$C$4,'EE Inputs'!$E$9:$E$32,$B70)))</f>
        <v>55.944000000000003</v>
      </c>
      <c r="AV70" s="645" cm="1">
        <f t="array" aca="1" ref="AV70" ca="1">IF($C$4=Lookups!$D$40,INDIRECT("'Yr1'!"&amp;ADDRESS(ROW(AV70),COLUMN(AV70))),
IF(AV12=0,0,SUMIFS('EE Inputs'!$T$9:$T$32,'EE Inputs'!$C$9:$C$32,$AM$6,'EE Inputs'!$D$9:$D$32,$C$4,'EE Inputs'!$E$9:$E$32,$B70)))</f>
        <v>55.944000000000003</v>
      </c>
      <c r="AW70" s="645" cm="1">
        <f t="array" aca="1" ref="AW70" ca="1">IF($C$4=Lookups!$D$40,INDIRECT("'Yr1'!"&amp;ADDRESS(ROW(AW70),COLUMN(AW70))),
IF(AW12=0,0,SUMIFS('EE Inputs'!$T$9:$T$32,'EE Inputs'!$C$9:$C$32,$AM$6,'EE Inputs'!$D$9:$D$32,$C$4,'EE Inputs'!$E$9:$E$32,$B70)))</f>
        <v>55.944000000000003</v>
      </c>
      <c r="AX70" s="645" cm="1">
        <f t="array" aca="1" ref="AX70" ca="1">IF($C$4=Lookups!$D$40,INDIRECT("'Yr1'!"&amp;ADDRESS(ROW(AX70),COLUMN(AX70))),
IF(AX12=0,0,SUMIFS('EE Inputs'!$T$9:$T$32,'EE Inputs'!$C$9:$C$32,$AM$6,'EE Inputs'!$D$9:$D$32,$C$4,'EE Inputs'!$E$9:$E$32,$B70)))</f>
        <v>55.944000000000003</v>
      </c>
      <c r="AY70" s="645" cm="1">
        <f t="array" aca="1" ref="AY70" ca="1">IF($C$4=Lookups!$D$40,INDIRECT("'Yr1'!"&amp;ADDRESS(ROW(AY70),COLUMN(AY70))),
IF(AY12=0,0,SUMIFS('EE Inputs'!$T$9:$T$32,'EE Inputs'!$C$9:$C$32,$AM$6,'EE Inputs'!$D$9:$D$32,$C$4,'EE Inputs'!$E$9:$E$32,$B70)))</f>
        <v>55.944000000000003</v>
      </c>
      <c r="AZ70" s="645" cm="1">
        <f t="array" aca="1" ref="AZ70" ca="1">IF($C$4=Lookups!$D$40,INDIRECT("'Yr1'!"&amp;ADDRESS(ROW(AZ70),COLUMN(AZ70))),
IF(AZ12=0,0,SUMIFS('EE Inputs'!$T$9:$T$32,'EE Inputs'!$C$9:$C$32,$AM$6,'EE Inputs'!$D$9:$D$32,$C$4,'EE Inputs'!$E$9:$E$32,$B70)))</f>
        <v>55.944000000000003</v>
      </c>
      <c r="BA70" s="645" cm="1">
        <f t="array" aca="1" ref="BA70" ca="1">IF($C$4=Lookups!$D$40,INDIRECT("'Yr1'!"&amp;ADDRESS(ROW(BA70),COLUMN(BA70))),
IF(BA12=0,0,SUMIFS('EE Inputs'!$T$9:$T$32,'EE Inputs'!$C$9:$C$32,$AM$6,'EE Inputs'!$D$9:$D$32,$C$4,'EE Inputs'!$E$9:$E$32,$B70)))</f>
        <v>55.944000000000003</v>
      </c>
      <c r="BB70" s="645" cm="1">
        <f t="array" aca="1" ref="BB70" ca="1">IF($C$4=Lookups!$D$40,INDIRECT("'Yr1'!"&amp;ADDRESS(ROW(BB70),COLUMN(BB70))),
IF(BB12=0,0,SUMIFS('EE Inputs'!$T$9:$T$32,'EE Inputs'!$C$9:$C$32,$AM$6,'EE Inputs'!$D$9:$D$32,$C$4,'EE Inputs'!$E$9:$E$32,$B70)))</f>
        <v>55.944000000000003</v>
      </c>
      <c r="BC70" s="645" cm="1">
        <f t="array" aca="1" ref="BC70" ca="1">IF($C$4=Lookups!$D$40,INDIRECT("'Yr1'!"&amp;ADDRESS(ROW(BC70),COLUMN(BC70))),
IF(BC12=0,0,SUMIFS('EE Inputs'!$T$9:$T$32,'EE Inputs'!$C$9:$C$32,$AM$6,'EE Inputs'!$D$9:$D$32,$C$4,'EE Inputs'!$E$9:$E$32,$B70)))</f>
        <v>55.944000000000003</v>
      </c>
      <c r="BD70" s="645" cm="1">
        <f t="array" aca="1" ref="BD70" ca="1">IF($C$4=Lookups!$D$40,INDIRECT("'Yr1'!"&amp;ADDRESS(ROW(BD70),COLUMN(BD70))),
IF(BD12=0,0,SUMIFS('EE Inputs'!$T$9:$T$32,'EE Inputs'!$C$9:$C$32,$AM$6,'EE Inputs'!$D$9:$D$32,$C$4,'EE Inputs'!$E$9:$E$32,$B70)))</f>
        <v>0</v>
      </c>
      <c r="BE70" s="645" cm="1">
        <f t="array" aca="1" ref="BE70" ca="1">IF($C$4=Lookups!$D$40,INDIRECT("'Yr1'!"&amp;ADDRESS(ROW(BE70),COLUMN(BE70))),
IF(BE12=0,0,SUMIFS('EE Inputs'!$T$9:$T$32,'EE Inputs'!$C$9:$C$32,$AM$6,'EE Inputs'!$D$9:$D$32,$C$4,'EE Inputs'!$E$9:$E$32,$B70)))</f>
        <v>0</v>
      </c>
      <c r="BF70" s="645" cm="1">
        <f t="array" aca="1" ref="BF70" ca="1">IF($C$4=Lookups!$D$40,INDIRECT("'Yr1'!"&amp;ADDRESS(ROW(BF70),COLUMN(BF70))),
IF(BF12=0,0,SUMIFS('EE Inputs'!$T$9:$T$32,'EE Inputs'!$C$9:$C$32,$AM$6,'EE Inputs'!$D$9:$D$32,$C$4,'EE Inputs'!$E$9:$E$32,$B70)))</f>
        <v>0</v>
      </c>
      <c r="BG70" s="645" cm="1">
        <f t="array" aca="1" ref="BG70" ca="1">IF($C$4=Lookups!$D$40,INDIRECT("'Yr1'!"&amp;ADDRESS(ROW(BG70),COLUMN(BG70))),
IF(BG12=0,0,SUMIFS('EE Inputs'!$T$9:$T$32,'EE Inputs'!$C$9:$C$32,$AM$6,'EE Inputs'!$D$9:$D$32,$C$4,'EE Inputs'!$E$9:$E$32,$B70)))</f>
        <v>0</v>
      </c>
      <c r="BH70" s="645" cm="1">
        <f t="array" aca="1" ref="BH70" ca="1">IF($C$4=Lookups!$D$40,INDIRECT("'Yr1'!"&amp;ADDRESS(ROW(BH70),COLUMN(BH70))),
IF(BH12=0,0,SUMIFS('EE Inputs'!$T$9:$T$32,'EE Inputs'!$C$9:$C$32,$AM$6,'EE Inputs'!$D$9:$D$32,$C$4,'EE Inputs'!$E$9:$E$32,$B70)))</f>
        <v>0</v>
      </c>
      <c r="BI70" s="645" cm="1">
        <f t="array" aca="1" ref="BI70" ca="1">IF($C$4=Lookups!$D$40,INDIRECT("'Yr1'!"&amp;ADDRESS(ROW(BI70),COLUMN(BI70))),
IF(BI12=0,0,SUMIFS('EE Inputs'!$T$9:$T$32,'EE Inputs'!$C$9:$C$32,$AM$6,'EE Inputs'!$D$9:$D$32,$C$4,'EE Inputs'!$E$9:$E$32,$B70)))</f>
        <v>0</v>
      </c>
      <c r="BJ70" s="645" cm="1">
        <f t="array" aca="1" ref="BJ70" ca="1">IF($C$4=Lookups!$D$40,INDIRECT("'Yr1'!"&amp;ADDRESS(ROW(BJ70),COLUMN(BJ70))),
IF(BJ12=0,0,SUMIFS('EE Inputs'!$T$9:$T$32,'EE Inputs'!$C$9:$C$32,$AM$6,'EE Inputs'!$D$9:$D$32,$C$4,'EE Inputs'!$E$9:$E$32,$B70)))</f>
        <v>0</v>
      </c>
      <c r="BK70" s="645" cm="1">
        <f t="array" aca="1" ref="BK70" ca="1">IF($C$4=Lookups!$D$40,INDIRECT("'Yr1'!"&amp;ADDRESS(ROW(BK70),COLUMN(BK70))),
IF(BK12=0,0,SUMIFS('EE Inputs'!$T$9:$T$32,'EE Inputs'!$C$9:$C$32,$AM$6,'EE Inputs'!$D$9:$D$32,$C$4,'EE Inputs'!$E$9:$E$32,$B70)))</f>
        <v>0</v>
      </c>
      <c r="BL70" s="645" cm="1">
        <f t="array" aca="1" ref="BL70" ca="1">IF($C$4=Lookups!$D$40,INDIRECT("'Yr1'!"&amp;ADDRESS(ROW(BL70),COLUMN(BL70))),
IF(BL12=0,0,SUMIFS('EE Inputs'!$T$9:$T$32,'EE Inputs'!$C$9:$C$32,$AM$6,'EE Inputs'!$D$9:$D$32,$C$4,'EE Inputs'!$E$9:$E$32,$B70)))</f>
        <v>0</v>
      </c>
      <c r="BM70" s="645" cm="1">
        <f t="array" aca="1" ref="BM70" ca="1">IF($C$4=Lookups!$D$40,INDIRECT("'Yr1'!"&amp;ADDRESS(ROW(BM70),COLUMN(BM70))),
IF(BM12=0,0,SUMIFS('EE Inputs'!$T$9:$T$32,'EE Inputs'!$C$9:$C$32,$AM$6,'EE Inputs'!$D$9:$D$32,$C$4,'EE Inputs'!$E$9:$E$32,$B70)))</f>
        <v>0</v>
      </c>
      <c r="BN70" s="71"/>
      <c r="BO70" s="71"/>
      <c r="BP70" s="71"/>
      <c r="BS70" s="76" t="s">
        <v>96</v>
      </c>
      <c r="BT70" s="51" t="s">
        <v>17</v>
      </c>
    </row>
    <row r="71" spans="1:72" x14ac:dyDescent="0.25">
      <c r="B71" s="243" t="str">
        <f t="shared" si="49"/>
        <v>Residential</v>
      </c>
      <c r="C71" s="243" t="str">
        <f t="shared" si="49"/>
        <v>Bills</v>
      </c>
      <c r="D71" s="114" t="s">
        <v>111</v>
      </c>
      <c r="E71" s="84"/>
      <c r="F71" s="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49"/>
      <c r="AI71" s="184"/>
      <c r="AJ71" s="720"/>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S71" s="84"/>
      <c r="BT71" s="51" t="s">
        <v>17</v>
      </c>
    </row>
    <row r="72" spans="1:72" x14ac:dyDescent="0.25">
      <c r="B72" s="243" t="str">
        <f t="shared" si="49"/>
        <v>Residential</v>
      </c>
      <c r="C72" s="243" t="str">
        <f t="shared" si="49"/>
        <v>Bills</v>
      </c>
      <c r="D72" s="244" t="str">
        <f t="shared" si="49"/>
        <v>Bills after DSM Scenario</v>
      </c>
      <c r="E72" s="84" t="s">
        <v>348</v>
      </c>
      <c r="F72" s="84" t="s">
        <v>32</v>
      </c>
      <c r="G72" s="103">
        <f ca="1">G64+G65*(G57-G56)</f>
        <v>0</v>
      </c>
      <c r="H72" s="103">
        <f ca="1">H64+H65*(H57-H56)</f>
        <v>0</v>
      </c>
      <c r="I72" s="103">
        <f t="shared" ref="I72:AG72" ca="1" si="57">I64+I65*(I57-I56)</f>
        <v>992.23662647442086</v>
      </c>
      <c r="J72" s="103">
        <f t="shared" ca="1" si="57"/>
        <v>946.4252759751472</v>
      </c>
      <c r="K72" s="103">
        <f t="shared" ca="1" si="57"/>
        <v>946.4252759751472</v>
      </c>
      <c r="L72" s="103">
        <f t="shared" ca="1" si="57"/>
        <v>946.4252759751472</v>
      </c>
      <c r="M72" s="103">
        <f t="shared" ca="1" si="57"/>
        <v>946.4252759751472</v>
      </c>
      <c r="N72" s="103">
        <f t="shared" ca="1" si="57"/>
        <v>946.4252759751472</v>
      </c>
      <c r="O72" s="103">
        <f t="shared" ca="1" si="57"/>
        <v>946.4252759751472</v>
      </c>
      <c r="P72" s="103">
        <f t="shared" ca="1" si="57"/>
        <v>946.4252759751472</v>
      </c>
      <c r="Q72" s="103">
        <f t="shared" ca="1" si="57"/>
        <v>946.4252759751472</v>
      </c>
      <c r="R72" s="103">
        <f t="shared" ca="1" si="57"/>
        <v>946.4252759751472</v>
      </c>
      <c r="S72" s="103">
        <f t="shared" ca="1" si="57"/>
        <v>946.4252759751472</v>
      </c>
      <c r="T72" s="103">
        <f t="shared" ca="1" si="57"/>
        <v>946.4252759751472</v>
      </c>
      <c r="U72" s="103">
        <f t="shared" ca="1" si="57"/>
        <v>946.4252759751472</v>
      </c>
      <c r="V72" s="103">
        <f t="shared" ca="1" si="57"/>
        <v>946.4252759751472</v>
      </c>
      <c r="W72" s="103">
        <f t="shared" ca="1" si="57"/>
        <v>946.4252759751472</v>
      </c>
      <c r="X72" s="103">
        <f t="shared" ca="1" si="57"/>
        <v>944.43719999999973</v>
      </c>
      <c r="Y72" s="103">
        <f t="shared" ca="1" si="57"/>
        <v>944.43719999999973</v>
      </c>
      <c r="Z72" s="103">
        <f t="shared" ca="1" si="57"/>
        <v>944.43719999999973</v>
      </c>
      <c r="AA72" s="103">
        <f t="shared" ca="1" si="57"/>
        <v>944.43719999999973</v>
      </c>
      <c r="AB72" s="103">
        <f t="shared" ca="1" si="57"/>
        <v>944.43719999999973</v>
      </c>
      <c r="AC72" s="103">
        <f t="shared" ca="1" si="57"/>
        <v>944.43719999999973</v>
      </c>
      <c r="AD72" s="103">
        <f t="shared" ca="1" si="57"/>
        <v>944.43719999999973</v>
      </c>
      <c r="AE72" s="103">
        <f t="shared" ca="1" si="57"/>
        <v>944.43719999999973</v>
      </c>
      <c r="AF72" s="103">
        <f t="shared" ca="1" si="57"/>
        <v>944.43719999999973</v>
      </c>
      <c r="AG72" s="103">
        <f t="shared" ca="1" si="57"/>
        <v>944.43719999999973</v>
      </c>
      <c r="AH72" s="103"/>
      <c r="AI72" s="103"/>
      <c r="AJ72" s="720">
        <f ca="1">IF($C$4=Year1,-PMT(Lookups!$E$17,25,NPV(Lookups!$E$17,G72:AE72),0,1),IF($C$4=Year2,-PMT(Lookups!$F$17,25,NPV(Lookups!$F$17,H72:AF72),0,1),IF($C$4=Year3,-PMT(Lookups!$G$17,25,NPV(Lookups!$G$17,I72:AG72),0,1),-PMT(Lookups!$G$17,27,NPV(Lookups!$G$17,G72:AG72),0,1))))</f>
        <v>934.65069772094739</v>
      </c>
      <c r="AM72" s="149">
        <f ca="1">AM64+AM65*(AM57-AM56)</f>
        <v>0</v>
      </c>
      <c r="AN72" s="149">
        <f ca="1">AN64+AN65*(AN57-AN56)</f>
        <v>0</v>
      </c>
      <c r="AO72" s="149">
        <f t="shared" ref="AO72:BM72" ca="1" si="58">AO64+AO65*(AO57-AO56)</f>
        <v>1001.6850737419446</v>
      </c>
      <c r="AP72" s="149">
        <f t="shared" ca="1" si="58"/>
        <v>946.71145314281637</v>
      </c>
      <c r="AQ72" s="149">
        <f t="shared" ca="1" si="58"/>
        <v>946.71145314281637</v>
      </c>
      <c r="AR72" s="149">
        <f t="shared" ca="1" si="58"/>
        <v>946.71145314281637</v>
      </c>
      <c r="AS72" s="149">
        <f t="shared" ca="1" si="58"/>
        <v>946.71145314281637</v>
      </c>
      <c r="AT72" s="149">
        <f t="shared" ca="1" si="58"/>
        <v>946.71145314281637</v>
      </c>
      <c r="AU72" s="149">
        <f t="shared" ca="1" si="58"/>
        <v>946.71145314281637</v>
      </c>
      <c r="AV72" s="149">
        <f t="shared" ca="1" si="58"/>
        <v>946.71145314281637</v>
      </c>
      <c r="AW72" s="149">
        <f t="shared" ca="1" si="58"/>
        <v>946.71145314281637</v>
      </c>
      <c r="AX72" s="149">
        <f t="shared" ca="1" si="58"/>
        <v>946.71145314281637</v>
      </c>
      <c r="AY72" s="149">
        <f t="shared" ca="1" si="58"/>
        <v>946.71145314281637</v>
      </c>
      <c r="AZ72" s="149">
        <f t="shared" ca="1" si="58"/>
        <v>946.71145314281637</v>
      </c>
      <c r="BA72" s="149">
        <f t="shared" ca="1" si="58"/>
        <v>946.71145314281637</v>
      </c>
      <c r="BB72" s="149">
        <f t="shared" ca="1" si="58"/>
        <v>946.71145314281637</v>
      </c>
      <c r="BC72" s="149">
        <f t="shared" ca="1" si="58"/>
        <v>946.71145314281637</v>
      </c>
      <c r="BD72" s="149">
        <f t="shared" ca="1" si="58"/>
        <v>944.43719999999973</v>
      </c>
      <c r="BE72" s="149">
        <f t="shared" ca="1" si="58"/>
        <v>944.43719999999973</v>
      </c>
      <c r="BF72" s="149">
        <f t="shared" ca="1" si="58"/>
        <v>944.43719999999973</v>
      </c>
      <c r="BG72" s="149">
        <f t="shared" ca="1" si="58"/>
        <v>944.43719999999973</v>
      </c>
      <c r="BH72" s="149">
        <f t="shared" ca="1" si="58"/>
        <v>944.43719999999973</v>
      </c>
      <c r="BI72" s="149">
        <f t="shared" ca="1" si="58"/>
        <v>944.43719999999973</v>
      </c>
      <c r="BJ72" s="149">
        <f t="shared" ca="1" si="58"/>
        <v>944.43719999999973</v>
      </c>
      <c r="BK72" s="149">
        <f t="shared" ca="1" si="58"/>
        <v>944.43719999999973</v>
      </c>
      <c r="BL72" s="149">
        <f t="shared" ca="1" si="58"/>
        <v>944.43719999999973</v>
      </c>
      <c r="BM72" s="149">
        <f t="shared" ca="1" si="58"/>
        <v>944.43719999999973</v>
      </c>
      <c r="BN72" s="149"/>
      <c r="BO72" s="149"/>
      <c r="BP72" s="149">
        <f ca="1">IF($C$4=Year1,-PMT(Lookups!$E$17,25,NPV(Lookups!$E$17,AM72:BK72),0,1),IF($C$4=Year2,-PMT(Lookups!$F$17,25,NPV(Lookups!$F$17,AN72:BL72),0,1),IF($C$4=Year3,-PMT(Lookups!$G$17,25,NPV(Lookups!$G$17,AO72:BM72),0,1),-PMT(Lookups!$G$17,27,NPV(Lookups!$G$17,AM72:BM72),0,1))))</f>
        <v>935.25726478295405</v>
      </c>
      <c r="BS72" s="84" t="s">
        <v>239</v>
      </c>
      <c r="BT72" s="51" t="s">
        <v>17</v>
      </c>
    </row>
    <row r="73" spans="1:72" x14ac:dyDescent="0.25">
      <c r="B73" s="243" t="str">
        <f t="shared" si="49"/>
        <v>Residential</v>
      </c>
      <c r="C73" s="243" t="str">
        <f t="shared" si="49"/>
        <v>Bills</v>
      </c>
      <c r="D73" s="244" t="str">
        <f t="shared" si="49"/>
        <v>Bills after DSM Scenario</v>
      </c>
      <c r="E73" s="84" t="s">
        <v>349</v>
      </c>
      <c r="F73" s="84" t="s">
        <v>32</v>
      </c>
      <c r="G73" s="103">
        <f ca="1">G64+(G65-G68)*(G57-G56)</f>
        <v>0</v>
      </c>
      <c r="H73" s="103">
        <f ca="1">H64+(H65-H68)*(H57-H56)</f>
        <v>0</v>
      </c>
      <c r="I73" s="103">
        <f t="shared" ref="I73:AG73" ca="1" si="59">I64+(I65-I68)*(I57-I56)</f>
        <v>985.66008574389423</v>
      </c>
      <c r="J73" s="103">
        <f t="shared" ca="1" si="59"/>
        <v>940.22076116025562</v>
      </c>
      <c r="K73" s="103">
        <f t="shared" ca="1" si="59"/>
        <v>940.22076116025562</v>
      </c>
      <c r="L73" s="103">
        <f t="shared" ca="1" si="59"/>
        <v>940.22076116025562</v>
      </c>
      <c r="M73" s="103">
        <f t="shared" ca="1" si="59"/>
        <v>940.22076116025562</v>
      </c>
      <c r="N73" s="103">
        <f t="shared" ca="1" si="59"/>
        <v>940.22076116025562</v>
      </c>
      <c r="O73" s="103">
        <f t="shared" ca="1" si="59"/>
        <v>940.22076116025562</v>
      </c>
      <c r="P73" s="103">
        <f t="shared" ca="1" si="59"/>
        <v>940.22076116025562</v>
      </c>
      <c r="Q73" s="103">
        <f t="shared" ca="1" si="59"/>
        <v>940.22076116025562</v>
      </c>
      <c r="R73" s="103">
        <f t="shared" ca="1" si="59"/>
        <v>940.22076116025562</v>
      </c>
      <c r="S73" s="103">
        <f t="shared" ca="1" si="59"/>
        <v>940.22076116025562</v>
      </c>
      <c r="T73" s="103">
        <f t="shared" ca="1" si="59"/>
        <v>940.22076116025562</v>
      </c>
      <c r="U73" s="103">
        <f t="shared" ca="1" si="59"/>
        <v>940.22076116025562</v>
      </c>
      <c r="V73" s="103">
        <f t="shared" ca="1" si="59"/>
        <v>940.22076116025562</v>
      </c>
      <c r="W73" s="103">
        <f t="shared" ca="1" si="59"/>
        <v>940.22076116025562</v>
      </c>
      <c r="X73" s="103">
        <f t="shared" ca="1" si="59"/>
        <v>944.43719999999973</v>
      </c>
      <c r="Y73" s="103">
        <f t="shared" ca="1" si="59"/>
        <v>944.43719999999973</v>
      </c>
      <c r="Z73" s="103">
        <f t="shared" ca="1" si="59"/>
        <v>944.43719999999973</v>
      </c>
      <c r="AA73" s="103">
        <f t="shared" ca="1" si="59"/>
        <v>944.43719999999973</v>
      </c>
      <c r="AB73" s="103">
        <f t="shared" ca="1" si="59"/>
        <v>944.43719999999973</v>
      </c>
      <c r="AC73" s="103">
        <f t="shared" ca="1" si="59"/>
        <v>944.43719999999973</v>
      </c>
      <c r="AD73" s="103">
        <f t="shared" ca="1" si="59"/>
        <v>944.43719999999973</v>
      </c>
      <c r="AE73" s="103">
        <f t="shared" ca="1" si="59"/>
        <v>944.43719999999973</v>
      </c>
      <c r="AF73" s="103">
        <f t="shared" ca="1" si="59"/>
        <v>944.43719999999973</v>
      </c>
      <c r="AG73" s="103">
        <f t="shared" ca="1" si="59"/>
        <v>944.43719999999973</v>
      </c>
      <c r="AH73" s="103"/>
      <c r="AI73" s="103"/>
      <c r="AJ73" s="720">
        <f ca="1">IF($C$4=Year1,-PMT(Lookups!$E$17,25,NPV(Lookups!$E$17,G73:AE73),0,1),IF($C$4=Year2,-PMT(Lookups!$F$17,25,NPV(Lookups!$F$17,H73:AF73),0,1),IF($C$4=Year3,-PMT(Lookups!$G$17,25,NPV(Lookups!$G$17,I73:AG73),0,1),-PMT(Lookups!$G$17,27,NPV(Lookups!$G$17,G73:AG73),0,1))))</f>
        <v>930.70849081402184</v>
      </c>
      <c r="AM73" s="149">
        <f ca="1">AM64+(AM65-AM68)*(AM57-AM56)</f>
        <v>0</v>
      </c>
      <c r="AN73" s="149">
        <f ca="1">AN64+(AN65-AN68)*(AN57-AN56)</f>
        <v>0</v>
      </c>
      <c r="AO73" s="149">
        <f t="shared" ref="AO73:BM73" ca="1" si="60">AO64+(AO65-AO68)*(AO57-AO56)</f>
        <v>994.08133670414861</v>
      </c>
      <c r="AP73" s="149">
        <f t="shared" ca="1" si="60"/>
        <v>939.61792307503413</v>
      </c>
      <c r="AQ73" s="149">
        <f t="shared" ca="1" si="60"/>
        <v>939.61792307503413</v>
      </c>
      <c r="AR73" s="149">
        <f t="shared" ca="1" si="60"/>
        <v>939.61792307503413</v>
      </c>
      <c r="AS73" s="149">
        <f t="shared" ca="1" si="60"/>
        <v>939.61792307503413</v>
      </c>
      <c r="AT73" s="149">
        <f t="shared" ca="1" si="60"/>
        <v>939.61792307503413</v>
      </c>
      <c r="AU73" s="149">
        <f t="shared" ca="1" si="60"/>
        <v>939.61792307503413</v>
      </c>
      <c r="AV73" s="149">
        <f t="shared" ca="1" si="60"/>
        <v>939.61792307503413</v>
      </c>
      <c r="AW73" s="149">
        <f t="shared" ca="1" si="60"/>
        <v>939.61792307503413</v>
      </c>
      <c r="AX73" s="149">
        <f t="shared" ca="1" si="60"/>
        <v>939.61792307503413</v>
      </c>
      <c r="AY73" s="149">
        <f t="shared" ca="1" si="60"/>
        <v>939.61792307503413</v>
      </c>
      <c r="AZ73" s="149">
        <f t="shared" ca="1" si="60"/>
        <v>939.61792307503413</v>
      </c>
      <c r="BA73" s="149">
        <f t="shared" ca="1" si="60"/>
        <v>939.61792307503413</v>
      </c>
      <c r="BB73" s="149">
        <f t="shared" ca="1" si="60"/>
        <v>939.61792307503413</v>
      </c>
      <c r="BC73" s="149">
        <f t="shared" ca="1" si="60"/>
        <v>939.61792307503413</v>
      </c>
      <c r="BD73" s="149">
        <f t="shared" ca="1" si="60"/>
        <v>944.43719999999973</v>
      </c>
      <c r="BE73" s="149">
        <f t="shared" ca="1" si="60"/>
        <v>944.43719999999973</v>
      </c>
      <c r="BF73" s="149">
        <f t="shared" ca="1" si="60"/>
        <v>944.43719999999973</v>
      </c>
      <c r="BG73" s="149">
        <f t="shared" ca="1" si="60"/>
        <v>944.43719999999973</v>
      </c>
      <c r="BH73" s="149">
        <f t="shared" ca="1" si="60"/>
        <v>944.43719999999973</v>
      </c>
      <c r="BI73" s="149">
        <f t="shared" ca="1" si="60"/>
        <v>944.43719999999973</v>
      </c>
      <c r="BJ73" s="149">
        <f t="shared" ca="1" si="60"/>
        <v>944.43719999999973</v>
      </c>
      <c r="BK73" s="149">
        <f t="shared" ca="1" si="60"/>
        <v>944.43719999999973</v>
      </c>
      <c r="BL73" s="149">
        <f t="shared" ca="1" si="60"/>
        <v>944.43719999999973</v>
      </c>
      <c r="BM73" s="149">
        <f t="shared" ca="1" si="60"/>
        <v>944.43719999999973</v>
      </c>
      <c r="BN73" s="149"/>
      <c r="BO73" s="149"/>
      <c r="BP73" s="149">
        <f ca="1">IF($C$4=Year1,-PMT(Lookups!$E$17,25,NPV(Lookups!$E$17,AM73:BK73),0,1),IF($C$4=Year2,-PMT(Lookups!$F$17,25,NPV(Lookups!$F$17,AN73:BL73),0,1),IF($C$4=Year3,-PMT(Lookups!$G$17,25,NPV(Lookups!$G$17,AO73:BM73),0,1),-PMT(Lookups!$G$17,27,NPV(Lookups!$G$17,AM73:BM73),0,1))))</f>
        <v>930.74625594718941</v>
      </c>
      <c r="BS73" s="84" t="s">
        <v>240</v>
      </c>
      <c r="BT73" s="51" t="s">
        <v>17</v>
      </c>
    </row>
    <row r="74" spans="1:72" x14ac:dyDescent="0.25">
      <c r="B74" s="243" t="str">
        <f t="shared" si="49"/>
        <v>Residential</v>
      </c>
      <c r="C74" s="243" t="str">
        <f t="shared" si="49"/>
        <v>Bills</v>
      </c>
      <c r="D74" s="244" t="str">
        <f t="shared" si="49"/>
        <v>Bills after DSM Scenario</v>
      </c>
      <c r="E74" s="84" t="str">
        <f>'EE Inputs'!$N$15&amp;" Participant Annual Bill"</f>
        <v>Low Savings Participant Annual Bill</v>
      </c>
      <c r="F74" s="84" t="s">
        <v>32</v>
      </c>
      <c r="G74" s="103">
        <f ca="1">G64+(G65-G69)*(G57-G56)</f>
        <v>0</v>
      </c>
      <c r="H74" s="103">
        <f ca="1">H64+(H65-H69)*(H57-H56)</f>
        <v>0</v>
      </c>
      <c r="I74" s="103">
        <f t="shared" ref="I74:AG74" ca="1" si="61">I64+(I65-I69)*(I57-I56)</f>
        <v>984.13826020967667</v>
      </c>
      <c r="J74" s="103">
        <f t="shared" ca="1" si="61"/>
        <v>938.78502321539577</v>
      </c>
      <c r="K74" s="103">
        <f t="shared" ca="1" si="61"/>
        <v>938.78502321539577</v>
      </c>
      <c r="L74" s="103">
        <f t="shared" ca="1" si="61"/>
        <v>938.78502321539577</v>
      </c>
      <c r="M74" s="103">
        <f t="shared" ca="1" si="61"/>
        <v>938.78502321539577</v>
      </c>
      <c r="N74" s="103">
        <f t="shared" ca="1" si="61"/>
        <v>938.78502321539577</v>
      </c>
      <c r="O74" s="103">
        <f t="shared" ca="1" si="61"/>
        <v>938.78502321539577</v>
      </c>
      <c r="P74" s="103">
        <f t="shared" ca="1" si="61"/>
        <v>938.78502321539577</v>
      </c>
      <c r="Q74" s="103">
        <f t="shared" ca="1" si="61"/>
        <v>938.78502321539577</v>
      </c>
      <c r="R74" s="103">
        <f t="shared" ca="1" si="61"/>
        <v>938.78502321539577</v>
      </c>
      <c r="S74" s="103">
        <f t="shared" ca="1" si="61"/>
        <v>938.78502321539577</v>
      </c>
      <c r="T74" s="103">
        <f t="shared" ca="1" si="61"/>
        <v>938.78502321539577</v>
      </c>
      <c r="U74" s="103">
        <f t="shared" ca="1" si="61"/>
        <v>938.78502321539577</v>
      </c>
      <c r="V74" s="103">
        <f t="shared" ca="1" si="61"/>
        <v>938.78502321539577</v>
      </c>
      <c r="W74" s="103">
        <f t="shared" ca="1" si="61"/>
        <v>938.78502321539577</v>
      </c>
      <c r="X74" s="103">
        <f t="shared" ca="1" si="61"/>
        <v>944.43719999999973</v>
      </c>
      <c r="Y74" s="103">
        <f t="shared" ca="1" si="61"/>
        <v>944.43719999999973</v>
      </c>
      <c r="Z74" s="103">
        <f t="shared" ca="1" si="61"/>
        <v>944.43719999999973</v>
      </c>
      <c r="AA74" s="103">
        <f t="shared" ca="1" si="61"/>
        <v>944.43719999999973</v>
      </c>
      <c r="AB74" s="103">
        <f t="shared" ca="1" si="61"/>
        <v>944.43719999999973</v>
      </c>
      <c r="AC74" s="103">
        <f t="shared" ca="1" si="61"/>
        <v>944.43719999999973</v>
      </c>
      <c r="AD74" s="103">
        <f t="shared" ca="1" si="61"/>
        <v>944.43719999999973</v>
      </c>
      <c r="AE74" s="103">
        <f t="shared" ca="1" si="61"/>
        <v>944.43719999999973</v>
      </c>
      <c r="AF74" s="103">
        <f t="shared" ca="1" si="61"/>
        <v>944.43719999999973</v>
      </c>
      <c r="AG74" s="103">
        <f t="shared" ca="1" si="61"/>
        <v>944.43719999999973</v>
      </c>
      <c r="AH74" s="103"/>
      <c r="AI74" s="103"/>
      <c r="AJ74" s="720">
        <f ca="1">IF($C$4=Year1,-PMT(Lookups!$E$17,25,NPV(Lookups!$E$17,G74:AE74),0,1),IF($C$4=Year2,-PMT(Lookups!$F$17,25,NPV(Lookups!$F$17,H74:AF74),0,1),IF($C$4=Year3,-PMT(Lookups!$G$17,25,NPV(Lookups!$G$17,I74:AG74),0,1),-PMT(Lookups!$G$17,27,NPV(Lookups!$G$17,G74:AG74),0,1))))</f>
        <v>929.79625573817384</v>
      </c>
      <c r="AM74" s="149">
        <f ca="1">AM64+(AM65-AM69)*(AM57-AM56)</f>
        <v>0</v>
      </c>
      <c r="AN74" s="149">
        <f ca="1">AN64+(AN65-AN69)*(AN57-AN56)</f>
        <v>0</v>
      </c>
      <c r="AO74" s="149">
        <f t="shared" ref="AO74:BM74" ca="1" si="62">AO64+(AO65-AO69)*(AO57-AO56)</f>
        <v>991.85365285704131</v>
      </c>
      <c r="AP74" s="149">
        <f t="shared" ca="1" si="62"/>
        <v>937.53971570510271</v>
      </c>
      <c r="AQ74" s="149">
        <f t="shared" ca="1" si="62"/>
        <v>937.53971570510271</v>
      </c>
      <c r="AR74" s="149">
        <f t="shared" ca="1" si="62"/>
        <v>937.53971570510271</v>
      </c>
      <c r="AS74" s="149">
        <f t="shared" ca="1" si="62"/>
        <v>937.53971570510271</v>
      </c>
      <c r="AT74" s="149">
        <f t="shared" ca="1" si="62"/>
        <v>937.53971570510271</v>
      </c>
      <c r="AU74" s="149">
        <f t="shared" ca="1" si="62"/>
        <v>937.53971570510271</v>
      </c>
      <c r="AV74" s="149">
        <f t="shared" ca="1" si="62"/>
        <v>937.53971570510271</v>
      </c>
      <c r="AW74" s="149">
        <f t="shared" ca="1" si="62"/>
        <v>937.53971570510271</v>
      </c>
      <c r="AX74" s="149">
        <f t="shared" ca="1" si="62"/>
        <v>937.53971570510271</v>
      </c>
      <c r="AY74" s="149">
        <f t="shared" ca="1" si="62"/>
        <v>937.53971570510271</v>
      </c>
      <c r="AZ74" s="149">
        <f t="shared" ca="1" si="62"/>
        <v>937.53971570510271</v>
      </c>
      <c r="BA74" s="149">
        <f t="shared" ca="1" si="62"/>
        <v>937.53971570510271</v>
      </c>
      <c r="BB74" s="149">
        <f t="shared" ca="1" si="62"/>
        <v>937.53971570510271</v>
      </c>
      <c r="BC74" s="149">
        <f t="shared" ca="1" si="62"/>
        <v>937.53971570510271</v>
      </c>
      <c r="BD74" s="149">
        <f t="shared" ca="1" si="62"/>
        <v>944.43719999999973</v>
      </c>
      <c r="BE74" s="149">
        <f t="shared" ca="1" si="62"/>
        <v>944.43719999999973</v>
      </c>
      <c r="BF74" s="149">
        <f t="shared" ca="1" si="62"/>
        <v>944.43719999999973</v>
      </c>
      <c r="BG74" s="149">
        <f t="shared" ca="1" si="62"/>
        <v>944.43719999999973</v>
      </c>
      <c r="BH74" s="149">
        <f t="shared" ca="1" si="62"/>
        <v>944.43719999999973</v>
      </c>
      <c r="BI74" s="149">
        <f t="shared" ca="1" si="62"/>
        <v>944.43719999999973</v>
      </c>
      <c r="BJ74" s="149">
        <f t="shared" ca="1" si="62"/>
        <v>944.43719999999973</v>
      </c>
      <c r="BK74" s="149">
        <f t="shared" ca="1" si="62"/>
        <v>944.43719999999973</v>
      </c>
      <c r="BL74" s="149">
        <f t="shared" ca="1" si="62"/>
        <v>944.43719999999973</v>
      </c>
      <c r="BM74" s="149">
        <f t="shared" ca="1" si="62"/>
        <v>944.43719999999973</v>
      </c>
      <c r="BN74" s="149"/>
      <c r="BO74" s="149"/>
      <c r="BP74" s="149">
        <f ca="1">IF($C$4=Year1,-PMT(Lookups!$E$17,25,NPV(Lookups!$E$17,AM74:BK74),0,1),IF($C$4=Year2,-PMT(Lookups!$F$17,25,NPV(Lookups!$F$17,AN74:BL74),0,1),IF($C$4=Year3,-PMT(Lookups!$G$17,25,NPV(Lookups!$G$17,AO74:BM74),0,1),-PMT(Lookups!$G$17,27,NPV(Lookups!$G$17,AM74:BM74),0,1))))</f>
        <v>929.42465559888183</v>
      </c>
      <c r="BS74" s="84" t="s">
        <v>240</v>
      </c>
      <c r="BT74" s="51" t="s">
        <v>17</v>
      </c>
    </row>
    <row r="75" spans="1:72" x14ac:dyDescent="0.25">
      <c r="B75" s="243" t="str">
        <f t="shared" si="49"/>
        <v>Residential</v>
      </c>
      <c r="C75" s="243" t="str">
        <f t="shared" si="49"/>
        <v>Bills</v>
      </c>
      <c r="D75" s="244" t="str">
        <f t="shared" si="49"/>
        <v>Bills after DSM Scenario</v>
      </c>
      <c r="E75" s="84" t="str">
        <f>'EE Inputs'!$N$16&amp;" Participant Annual Bill"</f>
        <v>High Savings Participant Annual Bill</v>
      </c>
      <c r="F75" s="84" t="s">
        <v>32</v>
      </c>
      <c r="G75" s="103">
        <f ca="1">G64+(G65-G70)*(G57-G56)</f>
        <v>0</v>
      </c>
      <c r="H75" s="103">
        <f ca="1">H64+(H65-H70)*(H57-H56)</f>
        <v>0</v>
      </c>
      <c r="I75" s="103">
        <f t="shared" ref="I75:AG75" ca="1" si="63">I64+(I65-I70)*(I57-I56)</f>
        <v>935.54806262121144</v>
      </c>
      <c r="J75" s="103">
        <f t="shared" ca="1" si="63"/>
        <v>892.94350665688694</v>
      </c>
      <c r="K75" s="103">
        <f t="shared" ca="1" si="63"/>
        <v>892.94350665688694</v>
      </c>
      <c r="L75" s="103">
        <f t="shared" ca="1" si="63"/>
        <v>892.94350665688694</v>
      </c>
      <c r="M75" s="103">
        <f t="shared" ca="1" si="63"/>
        <v>892.94350665688694</v>
      </c>
      <c r="N75" s="103">
        <f t="shared" ca="1" si="63"/>
        <v>892.94350665688694</v>
      </c>
      <c r="O75" s="103">
        <f t="shared" ca="1" si="63"/>
        <v>892.94350665688694</v>
      </c>
      <c r="P75" s="103">
        <f t="shared" ca="1" si="63"/>
        <v>892.94350665688694</v>
      </c>
      <c r="Q75" s="103">
        <f t="shared" ca="1" si="63"/>
        <v>892.94350665688694</v>
      </c>
      <c r="R75" s="103">
        <f t="shared" ca="1" si="63"/>
        <v>892.94350665688694</v>
      </c>
      <c r="S75" s="103">
        <f t="shared" ca="1" si="63"/>
        <v>892.94350665688694</v>
      </c>
      <c r="T75" s="103">
        <f t="shared" ca="1" si="63"/>
        <v>892.94350665688694</v>
      </c>
      <c r="U75" s="103">
        <f t="shared" ca="1" si="63"/>
        <v>892.94350665688694</v>
      </c>
      <c r="V75" s="103">
        <f t="shared" ca="1" si="63"/>
        <v>892.94350665688694</v>
      </c>
      <c r="W75" s="103">
        <f t="shared" ca="1" si="63"/>
        <v>892.94350665688694</v>
      </c>
      <c r="X75" s="103">
        <f t="shared" ca="1" si="63"/>
        <v>944.43719999999973</v>
      </c>
      <c r="Y75" s="103">
        <f t="shared" ca="1" si="63"/>
        <v>944.43719999999973</v>
      </c>
      <c r="Z75" s="103">
        <f t="shared" ca="1" si="63"/>
        <v>944.43719999999973</v>
      </c>
      <c r="AA75" s="103">
        <f t="shared" ca="1" si="63"/>
        <v>944.43719999999973</v>
      </c>
      <c r="AB75" s="103">
        <f t="shared" ca="1" si="63"/>
        <v>944.43719999999973</v>
      </c>
      <c r="AC75" s="103">
        <f t="shared" ca="1" si="63"/>
        <v>944.43719999999973</v>
      </c>
      <c r="AD75" s="103">
        <f t="shared" ca="1" si="63"/>
        <v>944.43719999999973</v>
      </c>
      <c r="AE75" s="103">
        <f t="shared" ca="1" si="63"/>
        <v>944.43719999999973</v>
      </c>
      <c r="AF75" s="103">
        <f t="shared" ca="1" si="63"/>
        <v>944.43719999999973</v>
      </c>
      <c r="AG75" s="103">
        <f t="shared" ca="1" si="63"/>
        <v>944.43719999999973</v>
      </c>
      <c r="AH75" s="103"/>
      <c r="AI75" s="103"/>
      <c r="AJ75" s="720">
        <f ca="1">IF($C$4=Year1,-PMT(Lookups!$E$17,25,NPV(Lookups!$E$17,G75:AE75),0,1),IF($C$4=Year2,-PMT(Lookups!$F$17,25,NPV(Lookups!$F$17,H75:AF75),0,1),IF($C$4=Year3,-PMT(Lookups!$G$17,25,NPV(Lookups!$G$17,I75:AG75),0,1),-PMT(Lookups!$G$17,27,NPV(Lookups!$G$17,G75:AG75),0,1))))</f>
        <v>900.66960384153276</v>
      </c>
      <c r="AM75" s="149">
        <f ca="1">AM64+(AM65-AM70)*(AM57-AM56)</f>
        <v>0</v>
      </c>
      <c r="AN75" s="149">
        <f ca="1">AN64+(AN65-AN70)*(AN57-AN56)</f>
        <v>0</v>
      </c>
      <c r="AO75" s="149">
        <f t="shared" ref="AO75:BM75" ca="1" si="64">AO64+(AO65-AO70)*(AO57-AO56)</f>
        <v>932.86512754762134</v>
      </c>
      <c r="AP75" s="149">
        <f t="shared" ca="1" si="64"/>
        <v>882.50929107881984</v>
      </c>
      <c r="AQ75" s="149">
        <f t="shared" ca="1" si="64"/>
        <v>882.50929107881984</v>
      </c>
      <c r="AR75" s="149">
        <f t="shared" ca="1" si="64"/>
        <v>882.50929107881984</v>
      </c>
      <c r="AS75" s="149">
        <f t="shared" ca="1" si="64"/>
        <v>882.50929107881984</v>
      </c>
      <c r="AT75" s="149">
        <f t="shared" ca="1" si="64"/>
        <v>882.50929107881984</v>
      </c>
      <c r="AU75" s="149">
        <f t="shared" ca="1" si="64"/>
        <v>882.50929107881984</v>
      </c>
      <c r="AV75" s="149">
        <f t="shared" ca="1" si="64"/>
        <v>882.50929107881984</v>
      </c>
      <c r="AW75" s="149">
        <f t="shared" ca="1" si="64"/>
        <v>882.50929107881984</v>
      </c>
      <c r="AX75" s="149">
        <f t="shared" ca="1" si="64"/>
        <v>882.50929107881984</v>
      </c>
      <c r="AY75" s="149">
        <f t="shared" ca="1" si="64"/>
        <v>882.50929107881984</v>
      </c>
      <c r="AZ75" s="149">
        <f t="shared" ca="1" si="64"/>
        <v>882.50929107881984</v>
      </c>
      <c r="BA75" s="149">
        <f t="shared" ca="1" si="64"/>
        <v>882.50929107881984</v>
      </c>
      <c r="BB75" s="149">
        <f t="shared" ca="1" si="64"/>
        <v>882.50929107881984</v>
      </c>
      <c r="BC75" s="149">
        <f t="shared" ca="1" si="64"/>
        <v>882.50929107881984</v>
      </c>
      <c r="BD75" s="149">
        <f t="shared" ca="1" si="64"/>
        <v>944.43719999999973</v>
      </c>
      <c r="BE75" s="149">
        <f t="shared" ca="1" si="64"/>
        <v>944.43719999999973</v>
      </c>
      <c r="BF75" s="149">
        <f t="shared" ca="1" si="64"/>
        <v>944.43719999999973</v>
      </c>
      <c r="BG75" s="149">
        <f t="shared" ca="1" si="64"/>
        <v>944.43719999999973</v>
      </c>
      <c r="BH75" s="149">
        <f t="shared" ca="1" si="64"/>
        <v>944.43719999999973</v>
      </c>
      <c r="BI75" s="149">
        <f t="shared" ca="1" si="64"/>
        <v>944.43719999999973</v>
      </c>
      <c r="BJ75" s="149">
        <f t="shared" ca="1" si="64"/>
        <v>944.43719999999973</v>
      </c>
      <c r="BK75" s="149">
        <f t="shared" ca="1" si="64"/>
        <v>944.43719999999973</v>
      </c>
      <c r="BL75" s="149">
        <f t="shared" ca="1" si="64"/>
        <v>944.43719999999973</v>
      </c>
      <c r="BM75" s="149">
        <f t="shared" ca="1" si="64"/>
        <v>944.43719999999973</v>
      </c>
      <c r="BN75" s="149"/>
      <c r="BO75" s="149"/>
      <c r="BP75" s="149">
        <f ca="1">IF($C$4=Year1,-PMT(Lookups!$E$17,25,NPV(Lookups!$E$17,AM75:BK75),0,1),IF($C$4=Year2,-PMT(Lookups!$F$17,25,NPV(Lookups!$F$17,AN75:BL75),0,1),IF($C$4=Year3,-PMT(Lookups!$G$17,25,NPV(Lookups!$G$17,AO75:BM75),0,1),-PMT(Lookups!$G$17,27,NPV(Lookups!$G$17,AM75:BM75),0,1))))</f>
        <v>894.42900049444802</v>
      </c>
      <c r="BS75" s="84" t="s">
        <v>240</v>
      </c>
      <c r="BT75" s="51" t="s">
        <v>17</v>
      </c>
    </row>
    <row r="76" spans="1:72" x14ac:dyDescent="0.25">
      <c r="B76" s="243" t="str">
        <f t="shared" ref="B76:D85" si="65">B75</f>
        <v>Residential</v>
      </c>
      <c r="C76" s="243" t="str">
        <f t="shared" si="65"/>
        <v>Bills</v>
      </c>
      <c r="D76" s="114" t="s">
        <v>115</v>
      </c>
      <c r="E76" s="84"/>
      <c r="F76" s="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49"/>
      <c r="AI76" s="184"/>
      <c r="AJ76" s="49"/>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S76" s="84"/>
      <c r="BT76" s="51" t="s">
        <v>17</v>
      </c>
    </row>
    <row r="77" spans="1:72" x14ac:dyDescent="0.25">
      <c r="B77" s="243" t="str">
        <f t="shared" si="65"/>
        <v>Residential</v>
      </c>
      <c r="C77" s="243" t="str">
        <f t="shared" si="65"/>
        <v>Bills</v>
      </c>
      <c r="D77" s="244" t="str">
        <f t="shared" si="65"/>
        <v>Change in Bills</v>
      </c>
      <c r="E77" s="84" t="s">
        <v>348</v>
      </c>
      <c r="F77" s="84" t="s">
        <v>32</v>
      </c>
      <c r="G77" s="103">
        <f ca="1">G72-G66</f>
        <v>0</v>
      </c>
      <c r="H77" s="103">
        <f ca="1">H72-H66</f>
        <v>0</v>
      </c>
      <c r="I77" s="103">
        <f t="shared" ref="I77:AG77" ca="1" si="66">I72-I66</f>
        <v>47.799426474421125</v>
      </c>
      <c r="J77" s="103">
        <f t="shared" ca="1" si="66"/>
        <v>1.988075975147467</v>
      </c>
      <c r="K77" s="103">
        <f t="shared" ca="1" si="66"/>
        <v>1.988075975147467</v>
      </c>
      <c r="L77" s="103">
        <f t="shared" ca="1" si="66"/>
        <v>1.988075975147467</v>
      </c>
      <c r="M77" s="103">
        <f t="shared" ca="1" si="66"/>
        <v>1.988075975147467</v>
      </c>
      <c r="N77" s="103">
        <f t="shared" ca="1" si="66"/>
        <v>1.988075975147467</v>
      </c>
      <c r="O77" s="103">
        <f t="shared" ca="1" si="66"/>
        <v>1.988075975147467</v>
      </c>
      <c r="P77" s="103">
        <f t="shared" ca="1" si="66"/>
        <v>1.988075975147467</v>
      </c>
      <c r="Q77" s="103">
        <f t="shared" ca="1" si="66"/>
        <v>1.988075975147467</v>
      </c>
      <c r="R77" s="103">
        <f t="shared" ca="1" si="66"/>
        <v>1.988075975147467</v>
      </c>
      <c r="S77" s="103">
        <f t="shared" ca="1" si="66"/>
        <v>1.988075975147467</v>
      </c>
      <c r="T77" s="103">
        <f t="shared" ca="1" si="66"/>
        <v>1.988075975147467</v>
      </c>
      <c r="U77" s="103">
        <f t="shared" ca="1" si="66"/>
        <v>1.988075975147467</v>
      </c>
      <c r="V77" s="103">
        <f t="shared" ca="1" si="66"/>
        <v>1.988075975147467</v>
      </c>
      <c r="W77" s="103">
        <f t="shared" ca="1" si="66"/>
        <v>1.988075975147467</v>
      </c>
      <c r="X77" s="103">
        <f t="shared" ca="1" si="66"/>
        <v>0</v>
      </c>
      <c r="Y77" s="103">
        <f t="shared" ca="1" si="66"/>
        <v>0</v>
      </c>
      <c r="Z77" s="103">
        <f t="shared" ca="1" si="66"/>
        <v>0</v>
      </c>
      <c r="AA77" s="103">
        <f t="shared" ca="1" si="66"/>
        <v>0</v>
      </c>
      <c r="AB77" s="103">
        <f t="shared" ca="1" si="66"/>
        <v>0</v>
      </c>
      <c r="AC77" s="103">
        <f t="shared" ca="1" si="66"/>
        <v>0</v>
      </c>
      <c r="AD77" s="103">
        <f t="shared" ca="1" si="66"/>
        <v>0</v>
      </c>
      <c r="AE77" s="103">
        <f t="shared" ca="1" si="66"/>
        <v>0</v>
      </c>
      <c r="AF77" s="103">
        <f t="shared" ca="1" si="66"/>
        <v>0</v>
      </c>
      <c r="AG77" s="103">
        <f t="shared" ca="1" si="66"/>
        <v>0</v>
      </c>
      <c r="AH77" s="103"/>
      <c r="AI77" s="65">
        <f ca="1">NPV(Lookups!$E$17,G77:AG77)</f>
        <v>69.882553632906294</v>
      </c>
      <c r="AJ77" s="720">
        <f ca="1">IF($C$4=Year1,-PMT(Lookups!$E$17,25,NPV(Lookups!$E$17,G77:AE77),0,1),IF($C$4=Year2,-PMT(Lookups!$F$17,25,NPV(Lookups!$F$17,H77:AF77),0,1),IF($C$4=Year3,-PMT(Lookups!$G$17,25,NPV(Lookups!$G$17,I77:AG77),0,1),-PMT(Lookups!$G$17,27,NPV(Lookups!$G$17,G77:AG77),0,1))))</f>
        <v>3.3853095175577788</v>
      </c>
      <c r="AM77" s="149">
        <f ca="1">AM72-AM66</f>
        <v>0</v>
      </c>
      <c r="AN77" s="149">
        <f t="shared" ref="AN77:BM77" ca="1" si="67">AN72-AN66</f>
        <v>0</v>
      </c>
      <c r="AO77" s="149">
        <f t="shared" ca="1" si="67"/>
        <v>57.247873741944886</v>
      </c>
      <c r="AP77" s="149">
        <f t="shared" ca="1" si="67"/>
        <v>2.274253142816633</v>
      </c>
      <c r="AQ77" s="149">
        <f t="shared" ca="1" si="67"/>
        <v>2.274253142816633</v>
      </c>
      <c r="AR77" s="149">
        <f t="shared" ca="1" si="67"/>
        <v>2.274253142816633</v>
      </c>
      <c r="AS77" s="149">
        <f t="shared" ca="1" si="67"/>
        <v>2.274253142816633</v>
      </c>
      <c r="AT77" s="149">
        <f t="shared" ca="1" si="67"/>
        <v>2.274253142816633</v>
      </c>
      <c r="AU77" s="149">
        <f t="shared" ca="1" si="67"/>
        <v>2.274253142816633</v>
      </c>
      <c r="AV77" s="149">
        <f t="shared" ca="1" si="67"/>
        <v>2.274253142816633</v>
      </c>
      <c r="AW77" s="149">
        <f t="shared" ca="1" si="67"/>
        <v>2.274253142816633</v>
      </c>
      <c r="AX77" s="149">
        <f t="shared" ca="1" si="67"/>
        <v>2.274253142816633</v>
      </c>
      <c r="AY77" s="149">
        <f t="shared" ca="1" si="67"/>
        <v>2.274253142816633</v>
      </c>
      <c r="AZ77" s="149">
        <f t="shared" ca="1" si="67"/>
        <v>2.274253142816633</v>
      </c>
      <c r="BA77" s="149">
        <f t="shared" ca="1" si="67"/>
        <v>2.274253142816633</v>
      </c>
      <c r="BB77" s="149">
        <f t="shared" ca="1" si="67"/>
        <v>2.274253142816633</v>
      </c>
      <c r="BC77" s="149">
        <f t="shared" ca="1" si="67"/>
        <v>2.274253142816633</v>
      </c>
      <c r="BD77" s="149">
        <f t="shared" ca="1" si="67"/>
        <v>0</v>
      </c>
      <c r="BE77" s="149">
        <f t="shared" ca="1" si="67"/>
        <v>0</v>
      </c>
      <c r="BF77" s="149">
        <f t="shared" ca="1" si="67"/>
        <v>0</v>
      </c>
      <c r="BG77" s="149">
        <f t="shared" ca="1" si="67"/>
        <v>0</v>
      </c>
      <c r="BH77" s="149">
        <f t="shared" ca="1" si="67"/>
        <v>0</v>
      </c>
      <c r="BI77" s="149">
        <f t="shared" ca="1" si="67"/>
        <v>0</v>
      </c>
      <c r="BJ77" s="149">
        <f t="shared" ca="1" si="67"/>
        <v>0</v>
      </c>
      <c r="BK77" s="149">
        <f t="shared" ca="1" si="67"/>
        <v>0</v>
      </c>
      <c r="BL77" s="149">
        <f t="shared" ca="1" si="67"/>
        <v>0</v>
      </c>
      <c r="BM77" s="149">
        <f t="shared" ca="1" si="67"/>
        <v>0</v>
      </c>
      <c r="BN77" s="149"/>
      <c r="BO77" s="149">
        <f ca="1">NPV(Lookups!$E$17,AM77:BM77)</f>
        <v>82.403847482931511</v>
      </c>
      <c r="BP77" s="149">
        <f ca="1">IF($C$4=Year1,-PMT(Lookups!$E$17,25,NPV(Lookups!$E$17,AM77:BK77),0,1),IF($C$4=Year2,-PMT(Lookups!$F$17,25,NPV(Lookups!$F$17,AN77:BL77),0,1),IF($C$4=Year3,-PMT(Lookups!$G$17,25,NPV(Lookups!$G$17,AO77:BM77),0,1),-PMT(Lookups!$G$17,27,NPV(Lookups!$G$17,AM77:BM77),0,1))))</f>
        <v>3.9918765795643409</v>
      </c>
      <c r="BS77" s="84" t="s">
        <v>241</v>
      </c>
      <c r="BT77" s="51" t="s">
        <v>17</v>
      </c>
    </row>
    <row r="78" spans="1:72" x14ac:dyDescent="0.25">
      <c r="B78" s="243" t="str">
        <f t="shared" si="65"/>
        <v>Residential</v>
      </c>
      <c r="C78" s="243" t="str">
        <f t="shared" si="65"/>
        <v>Bills</v>
      </c>
      <c r="D78" s="244" t="str">
        <f t="shared" si="65"/>
        <v>Change in Bills</v>
      </c>
      <c r="E78" s="84" t="s">
        <v>348</v>
      </c>
      <c r="F78" s="84" t="s">
        <v>16</v>
      </c>
      <c r="G78" s="223">
        <f ca="1">IFERROR(G72/G66-1,0)</f>
        <v>0</v>
      </c>
      <c r="H78" s="223">
        <f t="shared" ref="H78:AJ78" ca="1" si="68">IFERROR(H72/H66-1,0)</f>
        <v>0</v>
      </c>
      <c r="I78" s="223">
        <f t="shared" ca="1" si="68"/>
        <v>5.0611545663831414E-2</v>
      </c>
      <c r="J78" s="223">
        <f t="shared" ca="1" si="68"/>
        <v>2.1050377676223864E-3</v>
      </c>
      <c r="K78" s="223">
        <f t="shared" ca="1" si="68"/>
        <v>2.1050377676223864E-3</v>
      </c>
      <c r="L78" s="223">
        <f t="shared" ca="1" si="68"/>
        <v>2.1050377676223864E-3</v>
      </c>
      <c r="M78" s="223">
        <f t="shared" ca="1" si="68"/>
        <v>2.1050377676223864E-3</v>
      </c>
      <c r="N78" s="223">
        <f t="shared" ca="1" si="68"/>
        <v>2.1050377676223864E-3</v>
      </c>
      <c r="O78" s="223">
        <f t="shared" ca="1" si="68"/>
        <v>2.1050377676223864E-3</v>
      </c>
      <c r="P78" s="223">
        <f t="shared" ca="1" si="68"/>
        <v>2.1050377676223864E-3</v>
      </c>
      <c r="Q78" s="223">
        <f t="shared" ca="1" si="68"/>
        <v>2.1050377676223864E-3</v>
      </c>
      <c r="R78" s="223">
        <f t="shared" ca="1" si="68"/>
        <v>2.1050377676223864E-3</v>
      </c>
      <c r="S78" s="224">
        <f t="shared" ca="1" si="68"/>
        <v>2.1050377676223864E-3</v>
      </c>
      <c r="T78" s="224">
        <f t="shared" ca="1" si="68"/>
        <v>2.1050377676223864E-3</v>
      </c>
      <c r="U78" s="224">
        <f t="shared" ca="1" si="68"/>
        <v>2.1050377676223864E-3</v>
      </c>
      <c r="V78" s="224">
        <f t="shared" ca="1" si="68"/>
        <v>2.1050377676223864E-3</v>
      </c>
      <c r="W78" s="224">
        <f t="shared" ca="1" si="68"/>
        <v>2.1050377676223864E-3</v>
      </c>
      <c r="X78" s="224">
        <f t="shared" ca="1" si="68"/>
        <v>0</v>
      </c>
      <c r="Y78" s="224">
        <f t="shared" ca="1" si="68"/>
        <v>0</v>
      </c>
      <c r="Z78" s="224">
        <f t="shared" ca="1" si="68"/>
        <v>0</v>
      </c>
      <c r="AA78" s="224">
        <f t="shared" ca="1" si="68"/>
        <v>0</v>
      </c>
      <c r="AB78" s="224">
        <f t="shared" ca="1" si="68"/>
        <v>0</v>
      </c>
      <c r="AC78" s="224">
        <f t="shared" ca="1" si="68"/>
        <v>0</v>
      </c>
      <c r="AD78" s="224">
        <f t="shared" ca="1" si="68"/>
        <v>0</v>
      </c>
      <c r="AE78" s="224">
        <f t="shared" ca="1" si="68"/>
        <v>0</v>
      </c>
      <c r="AF78" s="224">
        <f t="shared" ca="1" si="68"/>
        <v>0</v>
      </c>
      <c r="AG78" s="224">
        <f t="shared" ca="1" si="68"/>
        <v>0</v>
      </c>
      <c r="AH78" s="224">
        <f t="shared" si="68"/>
        <v>0</v>
      </c>
      <c r="AI78" s="224"/>
      <c r="AJ78" s="224">
        <f t="shared" ca="1" si="68"/>
        <v>3.635171628239009E-3</v>
      </c>
      <c r="AK78" s="212"/>
      <c r="AL78" s="212"/>
      <c r="AM78" s="504">
        <f ca="1">IFERROR(AM72/AM66-1,0)</f>
        <v>0</v>
      </c>
      <c r="AN78" s="504">
        <f t="shared" ref="AN78:BM78" ca="1" si="69">IFERROR(AN72/AN66-1,0)</f>
        <v>0</v>
      </c>
      <c r="AO78" s="504">
        <f t="shared" ca="1" si="69"/>
        <v>6.0615860686072942E-2</v>
      </c>
      <c r="AP78" s="504">
        <f t="shared" ca="1" si="69"/>
        <v>2.408051210622153E-3</v>
      </c>
      <c r="AQ78" s="504">
        <f t="shared" ca="1" si="69"/>
        <v>2.408051210622153E-3</v>
      </c>
      <c r="AR78" s="504">
        <f t="shared" ca="1" si="69"/>
        <v>2.408051210622153E-3</v>
      </c>
      <c r="AS78" s="504">
        <f t="shared" ca="1" si="69"/>
        <v>2.408051210622153E-3</v>
      </c>
      <c r="AT78" s="504">
        <f t="shared" ca="1" si="69"/>
        <v>2.408051210622153E-3</v>
      </c>
      <c r="AU78" s="504">
        <f t="shared" ca="1" si="69"/>
        <v>2.408051210622153E-3</v>
      </c>
      <c r="AV78" s="504">
        <f t="shared" ca="1" si="69"/>
        <v>2.408051210622153E-3</v>
      </c>
      <c r="AW78" s="504">
        <f t="shared" ca="1" si="69"/>
        <v>2.408051210622153E-3</v>
      </c>
      <c r="AX78" s="504">
        <f t="shared" ca="1" si="69"/>
        <v>2.408051210622153E-3</v>
      </c>
      <c r="AY78" s="504">
        <f t="shared" ca="1" si="69"/>
        <v>2.408051210622153E-3</v>
      </c>
      <c r="AZ78" s="504">
        <f t="shared" ca="1" si="69"/>
        <v>2.408051210622153E-3</v>
      </c>
      <c r="BA78" s="504">
        <f t="shared" ca="1" si="69"/>
        <v>2.408051210622153E-3</v>
      </c>
      <c r="BB78" s="504">
        <f t="shared" ca="1" si="69"/>
        <v>2.408051210622153E-3</v>
      </c>
      <c r="BC78" s="504">
        <f t="shared" ca="1" si="69"/>
        <v>2.408051210622153E-3</v>
      </c>
      <c r="BD78" s="504">
        <f t="shared" ca="1" si="69"/>
        <v>0</v>
      </c>
      <c r="BE78" s="504">
        <f t="shared" ca="1" si="69"/>
        <v>0</v>
      </c>
      <c r="BF78" s="504">
        <f t="shared" ca="1" si="69"/>
        <v>0</v>
      </c>
      <c r="BG78" s="504">
        <f t="shared" ca="1" si="69"/>
        <v>0</v>
      </c>
      <c r="BH78" s="504">
        <f t="shared" ca="1" si="69"/>
        <v>0</v>
      </c>
      <c r="BI78" s="504">
        <f t="shared" ca="1" si="69"/>
        <v>0</v>
      </c>
      <c r="BJ78" s="504">
        <f t="shared" ca="1" si="69"/>
        <v>0</v>
      </c>
      <c r="BK78" s="504">
        <f t="shared" ca="1" si="69"/>
        <v>0</v>
      </c>
      <c r="BL78" s="504">
        <f t="shared" ca="1" si="69"/>
        <v>0</v>
      </c>
      <c r="BM78" s="504">
        <f t="shared" ca="1" si="69"/>
        <v>0</v>
      </c>
      <c r="BN78" s="504"/>
      <c r="BO78" s="504"/>
      <c r="BP78" s="504">
        <f ca="1">IFERROR(BP72/BP66-1,0)</f>
        <v>4.2865080460745553E-3</v>
      </c>
      <c r="BS78" s="84" t="s">
        <v>242</v>
      </c>
      <c r="BT78" s="51" t="s">
        <v>17</v>
      </c>
    </row>
    <row r="79" spans="1:72" x14ac:dyDescent="0.25">
      <c r="B79" s="243" t="str">
        <f t="shared" si="65"/>
        <v>Residential</v>
      </c>
      <c r="C79" s="243" t="str">
        <f t="shared" si="65"/>
        <v>Bills</v>
      </c>
      <c r="D79" s="244" t="str">
        <f t="shared" si="65"/>
        <v>Change in Bills</v>
      </c>
      <c r="E79" s="84" t="s">
        <v>349</v>
      </c>
      <c r="F79" s="84" t="s">
        <v>32</v>
      </c>
      <c r="G79" s="103">
        <f ca="1">G73-G66</f>
        <v>0</v>
      </c>
      <c r="H79" s="103">
        <f ca="1">H73-H66</f>
        <v>0</v>
      </c>
      <c r="I79" s="103">
        <f t="shared" ref="I79:AG79" ca="1" si="70">I73-I66</f>
        <v>41.222885743894494</v>
      </c>
      <c r="J79" s="103">
        <f t="shared" ca="1" si="70"/>
        <v>-4.2164388397441144</v>
      </c>
      <c r="K79" s="103">
        <f t="shared" ca="1" si="70"/>
        <v>-4.2164388397441144</v>
      </c>
      <c r="L79" s="103">
        <f t="shared" ca="1" si="70"/>
        <v>-4.2164388397441144</v>
      </c>
      <c r="M79" s="103">
        <f t="shared" ca="1" si="70"/>
        <v>-4.2164388397441144</v>
      </c>
      <c r="N79" s="103">
        <f t="shared" ca="1" si="70"/>
        <v>-4.2164388397441144</v>
      </c>
      <c r="O79" s="103">
        <f t="shared" ca="1" si="70"/>
        <v>-4.2164388397441144</v>
      </c>
      <c r="P79" s="103">
        <f t="shared" ca="1" si="70"/>
        <v>-4.2164388397441144</v>
      </c>
      <c r="Q79" s="103">
        <f t="shared" ca="1" si="70"/>
        <v>-4.2164388397441144</v>
      </c>
      <c r="R79" s="103">
        <f t="shared" ca="1" si="70"/>
        <v>-4.2164388397441144</v>
      </c>
      <c r="S79" s="103">
        <f t="shared" ca="1" si="70"/>
        <v>-4.2164388397441144</v>
      </c>
      <c r="T79" s="103">
        <f t="shared" ca="1" si="70"/>
        <v>-4.2164388397441144</v>
      </c>
      <c r="U79" s="103">
        <f t="shared" ca="1" si="70"/>
        <v>-4.2164388397441144</v>
      </c>
      <c r="V79" s="103">
        <f t="shared" ca="1" si="70"/>
        <v>-4.2164388397441144</v>
      </c>
      <c r="W79" s="103">
        <f t="shared" ca="1" si="70"/>
        <v>-4.2164388397441144</v>
      </c>
      <c r="X79" s="103">
        <f t="shared" ca="1" si="70"/>
        <v>0</v>
      </c>
      <c r="Y79" s="103">
        <f t="shared" ca="1" si="70"/>
        <v>0</v>
      </c>
      <c r="Z79" s="103">
        <f t="shared" ca="1" si="70"/>
        <v>0</v>
      </c>
      <c r="AA79" s="103">
        <f t="shared" ca="1" si="70"/>
        <v>0</v>
      </c>
      <c r="AB79" s="103">
        <f t="shared" ca="1" si="70"/>
        <v>0</v>
      </c>
      <c r="AC79" s="103">
        <f t="shared" ca="1" si="70"/>
        <v>0</v>
      </c>
      <c r="AD79" s="103">
        <f t="shared" ca="1" si="70"/>
        <v>0</v>
      </c>
      <c r="AE79" s="103">
        <f t="shared" ca="1" si="70"/>
        <v>0</v>
      </c>
      <c r="AF79" s="103">
        <f t="shared" ca="1" si="70"/>
        <v>0</v>
      </c>
      <c r="AG79" s="103">
        <f t="shared" ca="1" si="70"/>
        <v>0</v>
      </c>
      <c r="AH79" s="103"/>
      <c r="AI79" s="65">
        <f ca="1">NPV(Lookups!$E$17,G79:AG79)</f>
        <v>-11.495968530700583</v>
      </c>
      <c r="AJ79" s="720">
        <f ca="1">IF($C$4=Year1,-PMT(Lookups!$E$17,25,NPV(Lookups!$E$17,G79:AE79),0,1),IF($C$4=Year2,-PMT(Lookups!$F$17,25,NPV(Lookups!$F$17,H79:AF79),0,1),IF($C$4=Year3,-PMT(Lookups!$G$17,25,NPV(Lookups!$G$17,I79:AG79),0,1),-PMT(Lookups!$G$17,27,NPV(Lookups!$G$17,G79:AG79),0,1))))</f>
        <v>-0.55689738936786526</v>
      </c>
      <c r="AM79" s="149">
        <f ca="1">AM73-AM66</f>
        <v>0</v>
      </c>
      <c r="AN79" s="149">
        <f t="shared" ref="AN79:BM79" ca="1" si="71">AN73-AN66</f>
        <v>0</v>
      </c>
      <c r="AO79" s="149">
        <f t="shared" ca="1" si="71"/>
        <v>49.644136704148877</v>
      </c>
      <c r="AP79" s="149">
        <f t="shared" ca="1" si="71"/>
        <v>-4.8192769249656067</v>
      </c>
      <c r="AQ79" s="149">
        <f t="shared" ca="1" si="71"/>
        <v>-4.8192769249656067</v>
      </c>
      <c r="AR79" s="149">
        <f t="shared" ca="1" si="71"/>
        <v>-4.8192769249656067</v>
      </c>
      <c r="AS79" s="149">
        <f t="shared" ca="1" si="71"/>
        <v>-4.8192769249656067</v>
      </c>
      <c r="AT79" s="149">
        <f t="shared" ca="1" si="71"/>
        <v>-4.8192769249656067</v>
      </c>
      <c r="AU79" s="149">
        <f t="shared" ca="1" si="71"/>
        <v>-4.8192769249656067</v>
      </c>
      <c r="AV79" s="149">
        <f t="shared" ca="1" si="71"/>
        <v>-4.8192769249656067</v>
      </c>
      <c r="AW79" s="149">
        <f t="shared" ca="1" si="71"/>
        <v>-4.8192769249656067</v>
      </c>
      <c r="AX79" s="149">
        <f t="shared" ca="1" si="71"/>
        <v>-4.8192769249656067</v>
      </c>
      <c r="AY79" s="149">
        <f t="shared" ca="1" si="71"/>
        <v>-4.8192769249656067</v>
      </c>
      <c r="AZ79" s="149">
        <f t="shared" ca="1" si="71"/>
        <v>-4.8192769249656067</v>
      </c>
      <c r="BA79" s="149">
        <f t="shared" ca="1" si="71"/>
        <v>-4.8192769249656067</v>
      </c>
      <c r="BB79" s="149">
        <f t="shared" ca="1" si="71"/>
        <v>-4.8192769249656067</v>
      </c>
      <c r="BC79" s="149">
        <f t="shared" ca="1" si="71"/>
        <v>-4.8192769249656067</v>
      </c>
      <c r="BD79" s="149">
        <f t="shared" ca="1" si="71"/>
        <v>0</v>
      </c>
      <c r="BE79" s="149">
        <f t="shared" ca="1" si="71"/>
        <v>0</v>
      </c>
      <c r="BF79" s="149">
        <f t="shared" ca="1" si="71"/>
        <v>0</v>
      </c>
      <c r="BG79" s="149">
        <f t="shared" ca="1" si="71"/>
        <v>0</v>
      </c>
      <c r="BH79" s="149">
        <f t="shared" ca="1" si="71"/>
        <v>0</v>
      </c>
      <c r="BI79" s="149">
        <f t="shared" ca="1" si="71"/>
        <v>0</v>
      </c>
      <c r="BJ79" s="149">
        <f t="shared" ca="1" si="71"/>
        <v>0</v>
      </c>
      <c r="BK79" s="149">
        <f t="shared" ca="1" si="71"/>
        <v>0</v>
      </c>
      <c r="BL79" s="149">
        <f t="shared" ca="1" si="71"/>
        <v>0</v>
      </c>
      <c r="BM79" s="149">
        <f t="shared" ca="1" si="71"/>
        <v>0</v>
      </c>
      <c r="BN79" s="149"/>
      <c r="BO79" s="149">
        <f ca="1">NPV(Lookups!$E$17,AM79:BM79)</f>
        <v>-10.716387245635504</v>
      </c>
      <c r="BP79" s="149">
        <f ca="1">IF($C$4=Year1,-PMT(Lookups!$E$17,25,NPV(Lookups!$E$17,AM79:BK79),0,1),IF($C$4=Year2,-PMT(Lookups!$F$17,25,NPV(Lookups!$F$17,AN79:BL79),0,1),IF($C$4=Year3,-PMT(Lookups!$G$17,25,NPV(Lookups!$G$17,AO79:BM79),0,1),-PMT(Lookups!$G$17,27,NPV(Lookups!$G$17,AM79:BM79),0,1))))</f>
        <v>-0.51913225620023595</v>
      </c>
      <c r="BS79" s="84" t="s">
        <v>241</v>
      </c>
      <c r="BT79" s="51" t="s">
        <v>17</v>
      </c>
    </row>
    <row r="80" spans="1:72" x14ac:dyDescent="0.25">
      <c r="B80" s="243" t="str">
        <f t="shared" si="65"/>
        <v>Residential</v>
      </c>
      <c r="C80" s="243" t="str">
        <f t="shared" si="65"/>
        <v>Bills</v>
      </c>
      <c r="D80" s="244" t="str">
        <f t="shared" si="65"/>
        <v>Change in Bills</v>
      </c>
      <c r="E80" s="84" t="s">
        <v>349</v>
      </c>
      <c r="F80" s="84" t="s">
        <v>16</v>
      </c>
      <c r="G80" s="223">
        <f ca="1">IFERROR(G73/G66-1,0)</f>
        <v>0</v>
      </c>
      <c r="H80" s="223">
        <f t="shared" ref="H80:AJ80" ca="1" si="72">IFERROR(H73/H66-1,0)</f>
        <v>0</v>
      </c>
      <c r="I80" s="223">
        <f t="shared" ca="1" si="72"/>
        <v>4.364809618246146E-2</v>
      </c>
      <c r="J80" s="223">
        <f t="shared" ca="1" si="72"/>
        <v>-4.4644988991794365E-3</v>
      </c>
      <c r="K80" s="223">
        <f t="shared" ca="1" si="72"/>
        <v>-4.4644988991794365E-3</v>
      </c>
      <c r="L80" s="223">
        <f t="shared" ca="1" si="72"/>
        <v>-4.4644988991794365E-3</v>
      </c>
      <c r="M80" s="223">
        <f t="shared" ca="1" si="72"/>
        <v>-4.4644988991794365E-3</v>
      </c>
      <c r="N80" s="223">
        <f t="shared" ca="1" si="72"/>
        <v>-4.4644988991794365E-3</v>
      </c>
      <c r="O80" s="223">
        <f t="shared" ca="1" si="72"/>
        <v>-4.4644988991794365E-3</v>
      </c>
      <c r="P80" s="223">
        <f t="shared" ca="1" si="72"/>
        <v>-4.4644988991794365E-3</v>
      </c>
      <c r="Q80" s="223">
        <f t="shared" ca="1" si="72"/>
        <v>-4.4644988991794365E-3</v>
      </c>
      <c r="R80" s="223">
        <f t="shared" ca="1" si="72"/>
        <v>-4.4644988991794365E-3</v>
      </c>
      <c r="S80" s="224">
        <f t="shared" ca="1" si="72"/>
        <v>-4.4644988991794365E-3</v>
      </c>
      <c r="T80" s="224">
        <f t="shared" ca="1" si="72"/>
        <v>-4.4644988991794365E-3</v>
      </c>
      <c r="U80" s="224">
        <f t="shared" ca="1" si="72"/>
        <v>-4.4644988991794365E-3</v>
      </c>
      <c r="V80" s="224">
        <f t="shared" ca="1" si="72"/>
        <v>-4.4644988991794365E-3</v>
      </c>
      <c r="W80" s="224">
        <f t="shared" ca="1" si="72"/>
        <v>-4.4644988991794365E-3</v>
      </c>
      <c r="X80" s="224">
        <f t="shared" ca="1" si="72"/>
        <v>0</v>
      </c>
      <c r="Y80" s="224">
        <f t="shared" ca="1" si="72"/>
        <v>0</v>
      </c>
      <c r="Z80" s="224">
        <f t="shared" ca="1" si="72"/>
        <v>0</v>
      </c>
      <c r="AA80" s="224">
        <f t="shared" ca="1" si="72"/>
        <v>0</v>
      </c>
      <c r="AB80" s="224">
        <f t="shared" ca="1" si="72"/>
        <v>0</v>
      </c>
      <c r="AC80" s="224">
        <f t="shared" ca="1" si="72"/>
        <v>0</v>
      </c>
      <c r="AD80" s="224">
        <f t="shared" ca="1" si="72"/>
        <v>0</v>
      </c>
      <c r="AE80" s="224">
        <f t="shared" ca="1" si="72"/>
        <v>0</v>
      </c>
      <c r="AF80" s="224">
        <f t="shared" ca="1" si="72"/>
        <v>0</v>
      </c>
      <c r="AG80" s="224">
        <f t="shared" ca="1" si="72"/>
        <v>0</v>
      </c>
      <c r="AH80" s="224">
        <f t="shared" si="72"/>
        <v>0</v>
      </c>
      <c r="AI80" s="224"/>
      <c r="AJ80" s="224">
        <f t="shared" ca="1" si="72"/>
        <v>-5.9800073794435971E-4</v>
      </c>
      <c r="AK80" s="212"/>
      <c r="AL80" s="212"/>
      <c r="AM80" s="504">
        <f ca="1">IFERROR(AM73/AM66-1,0)</f>
        <v>0</v>
      </c>
      <c r="AN80" s="504">
        <f t="shared" ref="AN80:BM80" ca="1" si="73">IFERROR(AN73/AN66-1,0)</f>
        <v>0</v>
      </c>
      <c r="AO80" s="504">
        <f t="shared" ca="1" si="73"/>
        <v>5.2564783242494917E-2</v>
      </c>
      <c r="AP80" s="504">
        <f t="shared" ca="1" si="73"/>
        <v>-5.102802944405016E-3</v>
      </c>
      <c r="AQ80" s="504">
        <f t="shared" ca="1" si="73"/>
        <v>-5.102802944405016E-3</v>
      </c>
      <c r="AR80" s="504">
        <f t="shared" ca="1" si="73"/>
        <v>-5.102802944405016E-3</v>
      </c>
      <c r="AS80" s="504">
        <f t="shared" ca="1" si="73"/>
        <v>-5.102802944405016E-3</v>
      </c>
      <c r="AT80" s="504">
        <f t="shared" ca="1" si="73"/>
        <v>-5.102802944405016E-3</v>
      </c>
      <c r="AU80" s="504">
        <f t="shared" ca="1" si="73"/>
        <v>-5.102802944405016E-3</v>
      </c>
      <c r="AV80" s="504">
        <f t="shared" ca="1" si="73"/>
        <v>-5.102802944405016E-3</v>
      </c>
      <c r="AW80" s="504">
        <f t="shared" ca="1" si="73"/>
        <v>-5.102802944405016E-3</v>
      </c>
      <c r="AX80" s="504">
        <f t="shared" ca="1" si="73"/>
        <v>-5.102802944405016E-3</v>
      </c>
      <c r="AY80" s="504">
        <f t="shared" ca="1" si="73"/>
        <v>-5.102802944405016E-3</v>
      </c>
      <c r="AZ80" s="504">
        <f t="shared" ca="1" si="73"/>
        <v>-5.102802944405016E-3</v>
      </c>
      <c r="BA80" s="504">
        <f t="shared" ca="1" si="73"/>
        <v>-5.102802944405016E-3</v>
      </c>
      <c r="BB80" s="504">
        <f t="shared" ca="1" si="73"/>
        <v>-5.102802944405016E-3</v>
      </c>
      <c r="BC80" s="504">
        <f t="shared" ca="1" si="73"/>
        <v>-5.102802944405016E-3</v>
      </c>
      <c r="BD80" s="504">
        <f t="shared" ca="1" si="73"/>
        <v>0</v>
      </c>
      <c r="BE80" s="504">
        <f t="shared" ca="1" si="73"/>
        <v>0</v>
      </c>
      <c r="BF80" s="504">
        <f t="shared" ca="1" si="73"/>
        <v>0</v>
      </c>
      <c r="BG80" s="504">
        <f t="shared" ca="1" si="73"/>
        <v>0</v>
      </c>
      <c r="BH80" s="504">
        <f t="shared" ca="1" si="73"/>
        <v>0</v>
      </c>
      <c r="BI80" s="504">
        <f t="shared" ca="1" si="73"/>
        <v>0</v>
      </c>
      <c r="BJ80" s="504">
        <f t="shared" ca="1" si="73"/>
        <v>0</v>
      </c>
      <c r="BK80" s="504">
        <f t="shared" ca="1" si="73"/>
        <v>0</v>
      </c>
      <c r="BL80" s="504">
        <f t="shared" ca="1" si="73"/>
        <v>0</v>
      </c>
      <c r="BM80" s="504">
        <f t="shared" ca="1" si="73"/>
        <v>0</v>
      </c>
      <c r="BN80" s="504"/>
      <c r="BO80" s="504"/>
      <c r="BP80" s="504">
        <f t="shared" ref="BP80" ca="1" si="74">IFERROR(BP73/BP66-1,0)</f>
        <v>-5.5744824491077427E-4</v>
      </c>
      <c r="BS80" s="84" t="s">
        <v>242</v>
      </c>
      <c r="BT80" s="51" t="s">
        <v>17</v>
      </c>
    </row>
    <row r="81" spans="1:72" x14ac:dyDescent="0.25">
      <c r="B81" s="243" t="str">
        <f t="shared" si="65"/>
        <v>Residential</v>
      </c>
      <c r="C81" s="243" t="str">
        <f t="shared" si="65"/>
        <v>Bills</v>
      </c>
      <c r="D81" s="244" t="str">
        <f t="shared" si="65"/>
        <v>Change in Bills</v>
      </c>
      <c r="E81" s="84" t="str">
        <f>'EE Inputs'!$N$15&amp;" Participant Annual Bill"</f>
        <v>Low Savings Participant Annual Bill</v>
      </c>
      <c r="F81" s="84" t="s">
        <v>32</v>
      </c>
      <c r="G81" s="103">
        <f ca="1">G74-G66</f>
        <v>0</v>
      </c>
      <c r="H81" s="103">
        <f ca="1">H74-H66</f>
        <v>0</v>
      </c>
      <c r="I81" s="103">
        <f t="shared" ref="I81:AG81" ca="1" si="75">I74-I66</f>
        <v>39.701060209676939</v>
      </c>
      <c r="J81" s="103">
        <f t="shared" ca="1" si="75"/>
        <v>-5.6521767846039666</v>
      </c>
      <c r="K81" s="103">
        <f t="shared" ca="1" si="75"/>
        <v>-5.6521767846039666</v>
      </c>
      <c r="L81" s="103">
        <f t="shared" ca="1" si="75"/>
        <v>-5.6521767846039666</v>
      </c>
      <c r="M81" s="103">
        <f t="shared" ca="1" si="75"/>
        <v>-5.6521767846039666</v>
      </c>
      <c r="N81" s="103">
        <f t="shared" ca="1" si="75"/>
        <v>-5.6521767846039666</v>
      </c>
      <c r="O81" s="103">
        <f t="shared" ca="1" si="75"/>
        <v>-5.6521767846039666</v>
      </c>
      <c r="P81" s="103">
        <f t="shared" ca="1" si="75"/>
        <v>-5.6521767846039666</v>
      </c>
      <c r="Q81" s="103">
        <f t="shared" ca="1" si="75"/>
        <v>-5.6521767846039666</v>
      </c>
      <c r="R81" s="103">
        <f t="shared" ca="1" si="75"/>
        <v>-5.6521767846039666</v>
      </c>
      <c r="S81" s="103">
        <f t="shared" ca="1" si="75"/>
        <v>-5.6521767846039666</v>
      </c>
      <c r="T81" s="103">
        <f t="shared" ca="1" si="75"/>
        <v>-5.6521767846039666</v>
      </c>
      <c r="U81" s="103">
        <f t="shared" ca="1" si="75"/>
        <v>-5.6521767846039666</v>
      </c>
      <c r="V81" s="103">
        <f t="shared" ca="1" si="75"/>
        <v>-5.6521767846039666</v>
      </c>
      <c r="W81" s="103">
        <f t="shared" ca="1" si="75"/>
        <v>-5.6521767846039666</v>
      </c>
      <c r="X81" s="103">
        <f t="shared" ca="1" si="75"/>
        <v>0</v>
      </c>
      <c r="Y81" s="103">
        <f t="shared" ca="1" si="75"/>
        <v>0</v>
      </c>
      <c r="Z81" s="103">
        <f t="shared" ca="1" si="75"/>
        <v>0</v>
      </c>
      <c r="AA81" s="103">
        <f t="shared" ca="1" si="75"/>
        <v>0</v>
      </c>
      <c r="AB81" s="103">
        <f t="shared" ca="1" si="75"/>
        <v>0</v>
      </c>
      <c r="AC81" s="103">
        <f t="shared" ca="1" si="75"/>
        <v>0</v>
      </c>
      <c r="AD81" s="103">
        <f t="shared" ca="1" si="75"/>
        <v>0</v>
      </c>
      <c r="AE81" s="103">
        <f t="shared" ca="1" si="75"/>
        <v>0</v>
      </c>
      <c r="AF81" s="103">
        <f t="shared" ca="1" si="75"/>
        <v>0</v>
      </c>
      <c r="AG81" s="103">
        <f t="shared" ca="1" si="75"/>
        <v>0</v>
      </c>
      <c r="AH81" s="103"/>
      <c r="AI81" s="65">
        <f ca="1">NPV(Lookups!$E$17,G81:AG81)</f>
        <v>-30.327131909742359</v>
      </c>
      <c r="AJ81" s="720">
        <f ca="1">IF($C$4=Year1,-PMT(Lookups!$E$17,25,NPV(Lookups!$E$17,G81:AE81),0,1),IF($C$4=Year2,-PMT(Lookups!$F$17,25,NPV(Lookups!$F$17,H81:AF81),0,1),IF($C$4=Year3,-PMT(Lookups!$G$17,25,NPV(Lookups!$G$17,I81:AG81),0,1),-PMT(Lookups!$G$17,27,NPV(Lookups!$G$17,G81:AG81),0,1))))</f>
        <v>-1.4691324652157141</v>
      </c>
      <c r="AM81" s="149">
        <f ca="1">AM74-AM66</f>
        <v>0</v>
      </c>
      <c r="AN81" s="149">
        <f t="shared" ref="AN81:BM81" ca="1" si="76">AN74-AN66</f>
        <v>0</v>
      </c>
      <c r="AO81" s="149">
        <f t="shared" ca="1" si="76"/>
        <v>47.416452857041577</v>
      </c>
      <c r="AP81" s="149">
        <f t="shared" ca="1" si="76"/>
        <v>-6.8974842948970263</v>
      </c>
      <c r="AQ81" s="149">
        <f t="shared" ca="1" si="76"/>
        <v>-6.8974842948970263</v>
      </c>
      <c r="AR81" s="149">
        <f t="shared" ca="1" si="76"/>
        <v>-6.8974842948970263</v>
      </c>
      <c r="AS81" s="149">
        <f t="shared" ca="1" si="76"/>
        <v>-6.8974842948970263</v>
      </c>
      <c r="AT81" s="149">
        <f t="shared" ca="1" si="76"/>
        <v>-6.8974842948970263</v>
      </c>
      <c r="AU81" s="149">
        <f t="shared" ca="1" si="76"/>
        <v>-6.8974842948970263</v>
      </c>
      <c r="AV81" s="149">
        <f t="shared" ca="1" si="76"/>
        <v>-6.8974842948970263</v>
      </c>
      <c r="AW81" s="149">
        <f t="shared" ca="1" si="76"/>
        <v>-6.8974842948970263</v>
      </c>
      <c r="AX81" s="149">
        <f t="shared" ca="1" si="76"/>
        <v>-6.8974842948970263</v>
      </c>
      <c r="AY81" s="149">
        <f t="shared" ca="1" si="76"/>
        <v>-6.8974842948970263</v>
      </c>
      <c r="AZ81" s="149">
        <f t="shared" ca="1" si="76"/>
        <v>-6.8974842948970263</v>
      </c>
      <c r="BA81" s="149">
        <f t="shared" ca="1" si="76"/>
        <v>-6.8974842948970263</v>
      </c>
      <c r="BB81" s="149">
        <f t="shared" ca="1" si="76"/>
        <v>-6.8974842948970263</v>
      </c>
      <c r="BC81" s="149">
        <f t="shared" ca="1" si="76"/>
        <v>-6.8974842948970263</v>
      </c>
      <c r="BD81" s="149">
        <f t="shared" ca="1" si="76"/>
        <v>0</v>
      </c>
      <c r="BE81" s="149">
        <f t="shared" ca="1" si="76"/>
        <v>0</v>
      </c>
      <c r="BF81" s="149">
        <f t="shared" ca="1" si="76"/>
        <v>0</v>
      </c>
      <c r="BG81" s="149">
        <f t="shared" ca="1" si="76"/>
        <v>0</v>
      </c>
      <c r="BH81" s="149">
        <f t="shared" ca="1" si="76"/>
        <v>0</v>
      </c>
      <c r="BI81" s="149">
        <f t="shared" ca="1" si="76"/>
        <v>0</v>
      </c>
      <c r="BJ81" s="149">
        <f t="shared" ca="1" si="76"/>
        <v>0</v>
      </c>
      <c r="BK81" s="149">
        <f t="shared" ca="1" si="76"/>
        <v>0</v>
      </c>
      <c r="BL81" s="149">
        <f t="shared" ca="1" si="76"/>
        <v>0</v>
      </c>
      <c r="BM81" s="149">
        <f t="shared" ca="1" si="76"/>
        <v>0</v>
      </c>
      <c r="BN81" s="149"/>
      <c r="BO81" s="149">
        <f ca="1">NPV(Lookups!$E$17,AM81:BM81)</f>
        <v>-37.998030694446065</v>
      </c>
      <c r="BP81" s="149">
        <f ca="1">IF($C$4=Year1,-PMT(Lookups!$E$17,25,NPV(Lookups!$E$17,AM81:BK81),0,1),IF($C$4=Year2,-PMT(Lookups!$F$17,25,NPV(Lookups!$F$17,AN81:BL81),0,1),IF($C$4=Year3,-PMT(Lookups!$G$17,25,NPV(Lookups!$G$17,AO81:BM81),0,1),-PMT(Lookups!$G$17,27,NPV(Lookups!$G$17,AM81:BM81),0,1))))</f>
        <v>-1.8407326045078745</v>
      </c>
      <c r="BS81" s="84" t="s">
        <v>241</v>
      </c>
      <c r="BT81" s="51" t="s">
        <v>17</v>
      </c>
    </row>
    <row r="82" spans="1:72" x14ac:dyDescent="0.25">
      <c r="B82" s="243" t="str">
        <f t="shared" si="65"/>
        <v>Residential</v>
      </c>
      <c r="C82" s="243" t="str">
        <f t="shared" si="65"/>
        <v>Bills</v>
      </c>
      <c r="D82" s="244" t="str">
        <f t="shared" si="65"/>
        <v>Change in Bills</v>
      </c>
      <c r="E82" s="84" t="str">
        <f>'EE Inputs'!$N$15&amp;" Participant Annual Bill"</f>
        <v>Low Savings Participant Annual Bill</v>
      </c>
      <c r="F82" s="84" t="s">
        <v>16</v>
      </c>
      <c r="G82" s="223">
        <f ca="1">IFERROR(G74/G66-1,0)</f>
        <v>0</v>
      </c>
      <c r="H82" s="223">
        <f t="shared" ref="H82:AJ82" ca="1" si="77">IFERROR(H74/H66-1,0)</f>
        <v>0</v>
      </c>
      <c r="I82" s="223">
        <f t="shared" ca="1" si="77"/>
        <v>4.2036739139115875E-2</v>
      </c>
      <c r="J82" s="223">
        <f t="shared" ca="1" si="77"/>
        <v>-5.984703678131198E-3</v>
      </c>
      <c r="K82" s="223">
        <f t="shared" ca="1" si="77"/>
        <v>-5.984703678131198E-3</v>
      </c>
      <c r="L82" s="223">
        <f t="shared" ca="1" si="77"/>
        <v>-5.984703678131198E-3</v>
      </c>
      <c r="M82" s="223">
        <f t="shared" ca="1" si="77"/>
        <v>-5.984703678131198E-3</v>
      </c>
      <c r="N82" s="223">
        <f t="shared" ca="1" si="77"/>
        <v>-5.984703678131198E-3</v>
      </c>
      <c r="O82" s="223">
        <f t="shared" ca="1" si="77"/>
        <v>-5.984703678131198E-3</v>
      </c>
      <c r="P82" s="223">
        <f t="shared" ca="1" si="77"/>
        <v>-5.984703678131198E-3</v>
      </c>
      <c r="Q82" s="223">
        <f t="shared" ca="1" si="77"/>
        <v>-5.984703678131198E-3</v>
      </c>
      <c r="R82" s="223">
        <f t="shared" ca="1" si="77"/>
        <v>-5.984703678131198E-3</v>
      </c>
      <c r="S82" s="224">
        <f t="shared" ca="1" si="77"/>
        <v>-5.984703678131198E-3</v>
      </c>
      <c r="T82" s="224">
        <f t="shared" ca="1" si="77"/>
        <v>-5.984703678131198E-3</v>
      </c>
      <c r="U82" s="224">
        <f t="shared" ca="1" si="77"/>
        <v>-5.984703678131198E-3</v>
      </c>
      <c r="V82" s="224">
        <f t="shared" ca="1" si="77"/>
        <v>-5.984703678131198E-3</v>
      </c>
      <c r="W82" s="224">
        <f t="shared" ca="1" si="77"/>
        <v>-5.984703678131198E-3</v>
      </c>
      <c r="X82" s="224">
        <f t="shared" ca="1" si="77"/>
        <v>0</v>
      </c>
      <c r="Y82" s="224">
        <f t="shared" ca="1" si="77"/>
        <v>0</v>
      </c>
      <c r="Z82" s="224">
        <f t="shared" ca="1" si="77"/>
        <v>0</v>
      </c>
      <c r="AA82" s="224">
        <f t="shared" ca="1" si="77"/>
        <v>0</v>
      </c>
      <c r="AB82" s="224">
        <f t="shared" ca="1" si="77"/>
        <v>0</v>
      </c>
      <c r="AC82" s="224">
        <f t="shared" ca="1" si="77"/>
        <v>0</v>
      </c>
      <c r="AD82" s="224">
        <f t="shared" ca="1" si="77"/>
        <v>0</v>
      </c>
      <c r="AE82" s="224">
        <f t="shared" ca="1" si="77"/>
        <v>0</v>
      </c>
      <c r="AF82" s="224">
        <f t="shared" ca="1" si="77"/>
        <v>0</v>
      </c>
      <c r="AG82" s="224">
        <f t="shared" ca="1" si="77"/>
        <v>0</v>
      </c>
      <c r="AH82" s="224">
        <f t="shared" si="77"/>
        <v>0</v>
      </c>
      <c r="AI82" s="224"/>
      <c r="AJ82" s="224">
        <f t="shared" ca="1" si="77"/>
        <v>-1.5775658408715421E-3</v>
      </c>
      <c r="AK82" s="212"/>
      <c r="AL82" s="212"/>
      <c r="AM82" s="504">
        <f ca="1">IFERROR(AM74/AM66-1,0)</f>
        <v>0</v>
      </c>
      <c r="AN82" s="504">
        <f t="shared" ref="AN82:BM82" ca="1" si="78">IFERROR(AN74/AN66-1,0)</f>
        <v>0</v>
      </c>
      <c r="AO82" s="504">
        <f t="shared" ca="1" si="78"/>
        <v>5.0206041076147345E-2</v>
      </c>
      <c r="AP82" s="504">
        <f t="shared" ca="1" si="78"/>
        <v>-7.3032746855979935E-3</v>
      </c>
      <c r="AQ82" s="504">
        <f t="shared" ca="1" si="78"/>
        <v>-7.3032746855979935E-3</v>
      </c>
      <c r="AR82" s="504">
        <f t="shared" ca="1" si="78"/>
        <v>-7.3032746855979935E-3</v>
      </c>
      <c r="AS82" s="504">
        <f t="shared" ca="1" si="78"/>
        <v>-7.3032746855979935E-3</v>
      </c>
      <c r="AT82" s="504">
        <f t="shared" ca="1" si="78"/>
        <v>-7.3032746855979935E-3</v>
      </c>
      <c r="AU82" s="504">
        <f t="shared" ca="1" si="78"/>
        <v>-7.3032746855979935E-3</v>
      </c>
      <c r="AV82" s="504">
        <f t="shared" ca="1" si="78"/>
        <v>-7.3032746855979935E-3</v>
      </c>
      <c r="AW82" s="504">
        <f t="shared" ca="1" si="78"/>
        <v>-7.3032746855979935E-3</v>
      </c>
      <c r="AX82" s="504">
        <f t="shared" ca="1" si="78"/>
        <v>-7.3032746855979935E-3</v>
      </c>
      <c r="AY82" s="504">
        <f t="shared" ca="1" si="78"/>
        <v>-7.3032746855979935E-3</v>
      </c>
      <c r="AZ82" s="504">
        <f t="shared" ca="1" si="78"/>
        <v>-7.3032746855979935E-3</v>
      </c>
      <c r="BA82" s="504">
        <f t="shared" ca="1" si="78"/>
        <v>-7.3032746855979935E-3</v>
      </c>
      <c r="BB82" s="504">
        <f t="shared" ca="1" si="78"/>
        <v>-7.3032746855979935E-3</v>
      </c>
      <c r="BC82" s="504">
        <f t="shared" ca="1" si="78"/>
        <v>-7.3032746855979935E-3</v>
      </c>
      <c r="BD82" s="504">
        <f t="shared" ca="1" si="78"/>
        <v>0</v>
      </c>
      <c r="BE82" s="504">
        <f t="shared" ca="1" si="78"/>
        <v>0</v>
      </c>
      <c r="BF82" s="504">
        <f t="shared" ca="1" si="78"/>
        <v>0</v>
      </c>
      <c r="BG82" s="504">
        <f t="shared" ca="1" si="78"/>
        <v>0</v>
      </c>
      <c r="BH82" s="504">
        <f t="shared" ca="1" si="78"/>
        <v>0</v>
      </c>
      <c r="BI82" s="504">
        <f t="shared" ca="1" si="78"/>
        <v>0</v>
      </c>
      <c r="BJ82" s="504">
        <f t="shared" ca="1" si="78"/>
        <v>0</v>
      </c>
      <c r="BK82" s="504">
        <f t="shared" ca="1" si="78"/>
        <v>0</v>
      </c>
      <c r="BL82" s="504">
        <f t="shared" ca="1" si="78"/>
        <v>0</v>
      </c>
      <c r="BM82" s="504">
        <f t="shared" ca="1" si="78"/>
        <v>0</v>
      </c>
      <c r="BN82" s="504"/>
      <c r="BO82" s="504"/>
      <c r="BP82" s="504">
        <f t="shared" ref="BP82" ca="1" si="79">IFERROR(BP74/BP66-1,0)</f>
        <v>-1.9765929538719806E-3</v>
      </c>
      <c r="BS82" s="84" t="s">
        <v>242</v>
      </c>
      <c r="BT82" s="51" t="s">
        <v>17</v>
      </c>
    </row>
    <row r="83" spans="1:72" x14ac:dyDescent="0.25">
      <c r="B83" s="243" t="str">
        <f t="shared" si="65"/>
        <v>Residential</v>
      </c>
      <c r="C83" s="243" t="str">
        <f t="shared" si="65"/>
        <v>Bills</v>
      </c>
      <c r="D83" s="244" t="str">
        <f t="shared" si="65"/>
        <v>Change in Bills</v>
      </c>
      <c r="E83" s="84" t="str">
        <f>'EE Inputs'!$N$16&amp;" Participant Annual Bill"</f>
        <v>High Savings Participant Annual Bill</v>
      </c>
      <c r="F83" s="84" t="s">
        <v>32</v>
      </c>
      <c r="G83" s="103">
        <f ca="1">G75-G66</f>
        <v>0</v>
      </c>
      <c r="H83" s="103">
        <f ca="1">H75-H66</f>
        <v>0</v>
      </c>
      <c r="I83" s="103">
        <f t="shared" ref="I83:AG83" ca="1" si="80">I75-I66</f>
        <v>-8.8891373787882912</v>
      </c>
      <c r="J83" s="103">
        <f t="shared" ca="1" si="80"/>
        <v>-51.493693343112795</v>
      </c>
      <c r="K83" s="103">
        <f t="shared" ca="1" si="80"/>
        <v>-51.493693343112795</v>
      </c>
      <c r="L83" s="103">
        <f t="shared" ca="1" si="80"/>
        <v>-51.493693343112795</v>
      </c>
      <c r="M83" s="103">
        <f t="shared" ca="1" si="80"/>
        <v>-51.493693343112795</v>
      </c>
      <c r="N83" s="103">
        <f t="shared" ca="1" si="80"/>
        <v>-51.493693343112795</v>
      </c>
      <c r="O83" s="103">
        <f t="shared" ca="1" si="80"/>
        <v>-51.493693343112795</v>
      </c>
      <c r="P83" s="103">
        <f t="shared" ca="1" si="80"/>
        <v>-51.493693343112795</v>
      </c>
      <c r="Q83" s="103">
        <f t="shared" ca="1" si="80"/>
        <v>-51.493693343112795</v>
      </c>
      <c r="R83" s="103">
        <f t="shared" ca="1" si="80"/>
        <v>-51.493693343112795</v>
      </c>
      <c r="S83" s="103">
        <f t="shared" ca="1" si="80"/>
        <v>-51.493693343112795</v>
      </c>
      <c r="T83" s="103">
        <f t="shared" ca="1" si="80"/>
        <v>-51.493693343112795</v>
      </c>
      <c r="U83" s="103">
        <f t="shared" ca="1" si="80"/>
        <v>-51.493693343112795</v>
      </c>
      <c r="V83" s="103">
        <f t="shared" ca="1" si="80"/>
        <v>-51.493693343112795</v>
      </c>
      <c r="W83" s="103">
        <f t="shared" ca="1" si="80"/>
        <v>-51.493693343112795</v>
      </c>
      <c r="X83" s="103">
        <f t="shared" ca="1" si="80"/>
        <v>0</v>
      </c>
      <c r="Y83" s="103">
        <f t="shared" ca="1" si="80"/>
        <v>0</v>
      </c>
      <c r="Z83" s="103">
        <f t="shared" ca="1" si="80"/>
        <v>0</v>
      </c>
      <c r="AA83" s="103">
        <f t="shared" ca="1" si="80"/>
        <v>0</v>
      </c>
      <c r="AB83" s="103">
        <f t="shared" ca="1" si="80"/>
        <v>0</v>
      </c>
      <c r="AC83" s="103">
        <f t="shared" ca="1" si="80"/>
        <v>0</v>
      </c>
      <c r="AD83" s="103">
        <f t="shared" ca="1" si="80"/>
        <v>0</v>
      </c>
      <c r="AE83" s="103">
        <f t="shared" ca="1" si="80"/>
        <v>0</v>
      </c>
      <c r="AF83" s="103">
        <f t="shared" ca="1" si="80"/>
        <v>0</v>
      </c>
      <c r="AG83" s="103">
        <f t="shared" ca="1" si="80"/>
        <v>0</v>
      </c>
      <c r="AH83" s="103"/>
      <c r="AI83" s="65">
        <f ca="1">NPV(Lookups!$E$17,G83:AG83)</f>
        <v>-631.58524516563705</v>
      </c>
      <c r="AJ83" s="720">
        <f ca="1">IF($C$4=Year1,-PMT(Lookups!$E$17,25,NPV(Lookups!$E$17,G83:AE83),0,1),IF($C$4=Year2,-PMT(Lookups!$F$17,25,NPV(Lookups!$F$17,H83:AF83),0,1),IF($C$4=Year3,-PMT(Lookups!$G$17,25,NPV(Lookups!$G$17,I83:AG83),0,1),-PMT(Lookups!$G$17,27,NPV(Lookups!$G$17,G83:AG83),0,1))))</f>
        <v>-30.595784361856808</v>
      </c>
      <c r="AM83" s="149">
        <f ca="1">AM75-AM66</f>
        <v>0</v>
      </c>
      <c r="AN83" s="149">
        <f t="shared" ref="AN83:BM83" ca="1" si="81">AN75-AN66</f>
        <v>0</v>
      </c>
      <c r="AO83" s="149">
        <f t="shared" ca="1" si="81"/>
        <v>-11.572072452378393</v>
      </c>
      <c r="AP83" s="149">
        <f t="shared" ca="1" si="81"/>
        <v>-61.927908921179892</v>
      </c>
      <c r="AQ83" s="149">
        <f t="shared" ca="1" si="81"/>
        <v>-61.927908921179892</v>
      </c>
      <c r="AR83" s="149">
        <f t="shared" ca="1" si="81"/>
        <v>-61.927908921179892</v>
      </c>
      <c r="AS83" s="149">
        <f t="shared" ca="1" si="81"/>
        <v>-61.927908921179892</v>
      </c>
      <c r="AT83" s="149">
        <f t="shared" ca="1" si="81"/>
        <v>-61.927908921179892</v>
      </c>
      <c r="AU83" s="149">
        <f t="shared" ca="1" si="81"/>
        <v>-61.927908921179892</v>
      </c>
      <c r="AV83" s="149">
        <f t="shared" ca="1" si="81"/>
        <v>-61.927908921179892</v>
      </c>
      <c r="AW83" s="149">
        <f t="shared" ca="1" si="81"/>
        <v>-61.927908921179892</v>
      </c>
      <c r="AX83" s="149">
        <f t="shared" ca="1" si="81"/>
        <v>-61.927908921179892</v>
      </c>
      <c r="AY83" s="149">
        <f t="shared" ca="1" si="81"/>
        <v>-61.927908921179892</v>
      </c>
      <c r="AZ83" s="149">
        <f t="shared" ca="1" si="81"/>
        <v>-61.927908921179892</v>
      </c>
      <c r="BA83" s="149">
        <f t="shared" ca="1" si="81"/>
        <v>-61.927908921179892</v>
      </c>
      <c r="BB83" s="149">
        <f t="shared" ca="1" si="81"/>
        <v>-61.927908921179892</v>
      </c>
      <c r="BC83" s="149">
        <f t="shared" ca="1" si="81"/>
        <v>-61.927908921179892</v>
      </c>
      <c r="BD83" s="149">
        <f t="shared" ca="1" si="81"/>
        <v>0</v>
      </c>
      <c r="BE83" s="149">
        <f t="shared" ca="1" si="81"/>
        <v>0</v>
      </c>
      <c r="BF83" s="149">
        <f t="shared" ca="1" si="81"/>
        <v>0</v>
      </c>
      <c r="BG83" s="149">
        <f t="shared" ca="1" si="81"/>
        <v>0</v>
      </c>
      <c r="BH83" s="149">
        <f t="shared" ca="1" si="81"/>
        <v>0</v>
      </c>
      <c r="BI83" s="149">
        <f t="shared" ca="1" si="81"/>
        <v>0</v>
      </c>
      <c r="BJ83" s="149">
        <f t="shared" ca="1" si="81"/>
        <v>0</v>
      </c>
      <c r="BK83" s="149">
        <f t="shared" ca="1" si="81"/>
        <v>0</v>
      </c>
      <c r="BL83" s="149">
        <f t="shared" ca="1" si="81"/>
        <v>0</v>
      </c>
      <c r="BM83" s="149">
        <f t="shared" ca="1" si="81"/>
        <v>0</v>
      </c>
      <c r="BN83" s="149"/>
      <c r="BO83" s="149">
        <f ca="1">NPV(Lookups!$E$17,AM83:BM83)</f>
        <v>-760.40929975872268</v>
      </c>
      <c r="BP83" s="149">
        <f ca="1">IF($C$4=Year1,-PMT(Lookups!$E$17,25,NPV(Lookups!$E$17,AM83:BK83),0,1),IF($C$4=Year2,-PMT(Lookups!$F$17,25,NPV(Lookups!$F$17,AN83:BL83),0,1),IF($C$4=Year3,-PMT(Lookups!$G$17,25,NPV(Lookups!$G$17,AO83:BM83),0,1),-PMT(Lookups!$G$17,27,NPV(Lookups!$G$17,AM83:BM83),0,1))))</f>
        <v>-36.836387708941707</v>
      </c>
      <c r="BS83" s="84" t="s">
        <v>241</v>
      </c>
      <c r="BT83" s="51" t="s">
        <v>17</v>
      </c>
    </row>
    <row r="84" spans="1:72" x14ac:dyDescent="0.25">
      <c r="B84" s="243" t="str">
        <f t="shared" si="65"/>
        <v>Residential</v>
      </c>
      <c r="C84" s="243" t="str">
        <f t="shared" si="65"/>
        <v>Bills</v>
      </c>
      <c r="D84" s="244" t="str">
        <f t="shared" si="65"/>
        <v>Change in Bills</v>
      </c>
      <c r="E84" s="84" t="str">
        <f>'EE Inputs'!$N$16&amp;" Participant Annual Bill"</f>
        <v>High Savings Participant Annual Bill</v>
      </c>
      <c r="F84" s="84" t="s">
        <v>16</v>
      </c>
      <c r="G84" s="223">
        <f ca="1">IFERROR(G75/G66-1,0)</f>
        <v>0</v>
      </c>
      <c r="H84" s="223">
        <f t="shared" ref="H84:AJ84" ca="1" si="82">IFERROR(H75/H66-1,0)</f>
        <v>0</v>
      </c>
      <c r="I84" s="223">
        <f t="shared" ca="1" si="82"/>
        <v>-9.4121000091782481E-3</v>
      </c>
      <c r="J84" s="223">
        <f t="shared" ca="1" si="82"/>
        <v>-5.4523152352652815E-2</v>
      </c>
      <c r="K84" s="223">
        <f t="shared" ca="1" si="82"/>
        <v>-5.4523152352652815E-2</v>
      </c>
      <c r="L84" s="223">
        <f t="shared" ca="1" si="82"/>
        <v>-5.4523152352652815E-2</v>
      </c>
      <c r="M84" s="223">
        <f t="shared" ca="1" si="82"/>
        <v>-5.4523152352652815E-2</v>
      </c>
      <c r="N84" s="223">
        <f t="shared" ca="1" si="82"/>
        <v>-5.4523152352652815E-2</v>
      </c>
      <c r="O84" s="223">
        <f t="shared" ca="1" si="82"/>
        <v>-5.4523152352652815E-2</v>
      </c>
      <c r="P84" s="223">
        <f t="shared" ca="1" si="82"/>
        <v>-5.4523152352652815E-2</v>
      </c>
      <c r="Q84" s="223">
        <f t="shared" ca="1" si="82"/>
        <v>-5.4523152352652815E-2</v>
      </c>
      <c r="R84" s="223">
        <f t="shared" ca="1" si="82"/>
        <v>-5.4523152352652815E-2</v>
      </c>
      <c r="S84" s="224">
        <f t="shared" ca="1" si="82"/>
        <v>-5.4523152352652815E-2</v>
      </c>
      <c r="T84" s="224">
        <f t="shared" ca="1" si="82"/>
        <v>-5.4523152352652815E-2</v>
      </c>
      <c r="U84" s="224">
        <f t="shared" ca="1" si="82"/>
        <v>-5.4523152352652815E-2</v>
      </c>
      <c r="V84" s="224">
        <f t="shared" ca="1" si="82"/>
        <v>-5.4523152352652815E-2</v>
      </c>
      <c r="W84" s="224">
        <f t="shared" ca="1" si="82"/>
        <v>-5.4523152352652815E-2</v>
      </c>
      <c r="X84" s="224">
        <f t="shared" ca="1" si="82"/>
        <v>0</v>
      </c>
      <c r="Y84" s="224">
        <f t="shared" ca="1" si="82"/>
        <v>0</v>
      </c>
      <c r="Z84" s="224">
        <f t="shared" ca="1" si="82"/>
        <v>0</v>
      </c>
      <c r="AA84" s="224">
        <f t="shared" ca="1" si="82"/>
        <v>0</v>
      </c>
      <c r="AB84" s="224">
        <f t="shared" ca="1" si="82"/>
        <v>0</v>
      </c>
      <c r="AC84" s="224">
        <f t="shared" ca="1" si="82"/>
        <v>0</v>
      </c>
      <c r="AD84" s="224">
        <f t="shared" ca="1" si="82"/>
        <v>0</v>
      </c>
      <c r="AE84" s="224">
        <f t="shared" ca="1" si="82"/>
        <v>0</v>
      </c>
      <c r="AF84" s="224">
        <f t="shared" ca="1" si="82"/>
        <v>0</v>
      </c>
      <c r="AG84" s="224">
        <f t="shared" ca="1" si="82"/>
        <v>0</v>
      </c>
      <c r="AH84" s="224">
        <f t="shared" si="82"/>
        <v>0</v>
      </c>
      <c r="AI84" s="224"/>
      <c r="AJ84" s="224">
        <f t="shared" ca="1" si="82"/>
        <v>-3.2853990655534404E-2</v>
      </c>
      <c r="AK84" s="212"/>
      <c r="AL84" s="212"/>
      <c r="AM84" s="504">
        <f ca="1">IFERROR(AM75/AM66-1,0)</f>
        <v>0</v>
      </c>
      <c r="AN84" s="504">
        <f t="shared" ref="AN84:BM84" ca="1" si="83">IFERROR(AN75/AN66-1,0)</f>
        <v>0</v>
      </c>
      <c r="AO84" s="504">
        <f t="shared" ca="1" si="83"/>
        <v>-1.2252876583406902E-2</v>
      </c>
      <c r="AP84" s="504">
        <f t="shared" ca="1" si="83"/>
        <v>-6.5571230062919872E-2</v>
      </c>
      <c r="AQ84" s="504">
        <f t="shared" ca="1" si="83"/>
        <v>-6.5571230062919872E-2</v>
      </c>
      <c r="AR84" s="504">
        <f t="shared" ca="1" si="83"/>
        <v>-6.5571230062919872E-2</v>
      </c>
      <c r="AS84" s="504">
        <f t="shared" ca="1" si="83"/>
        <v>-6.5571230062919872E-2</v>
      </c>
      <c r="AT84" s="504">
        <f t="shared" ca="1" si="83"/>
        <v>-6.5571230062919872E-2</v>
      </c>
      <c r="AU84" s="504">
        <f t="shared" ca="1" si="83"/>
        <v>-6.5571230062919872E-2</v>
      </c>
      <c r="AV84" s="504">
        <f t="shared" ca="1" si="83"/>
        <v>-6.5571230062919872E-2</v>
      </c>
      <c r="AW84" s="504">
        <f t="shared" ca="1" si="83"/>
        <v>-6.5571230062919872E-2</v>
      </c>
      <c r="AX84" s="504">
        <f t="shared" ca="1" si="83"/>
        <v>-6.5571230062919872E-2</v>
      </c>
      <c r="AY84" s="504">
        <f t="shared" ca="1" si="83"/>
        <v>-6.5571230062919872E-2</v>
      </c>
      <c r="AZ84" s="504">
        <f t="shared" ca="1" si="83"/>
        <v>-6.5571230062919872E-2</v>
      </c>
      <c r="BA84" s="504">
        <f t="shared" ca="1" si="83"/>
        <v>-6.5571230062919872E-2</v>
      </c>
      <c r="BB84" s="504">
        <f t="shared" ca="1" si="83"/>
        <v>-6.5571230062919872E-2</v>
      </c>
      <c r="BC84" s="504">
        <f t="shared" ca="1" si="83"/>
        <v>-6.5571230062919872E-2</v>
      </c>
      <c r="BD84" s="504">
        <f t="shared" ca="1" si="83"/>
        <v>0</v>
      </c>
      <c r="BE84" s="504">
        <f t="shared" ca="1" si="83"/>
        <v>0</v>
      </c>
      <c r="BF84" s="504">
        <f t="shared" ca="1" si="83"/>
        <v>0</v>
      </c>
      <c r="BG84" s="504">
        <f t="shared" ca="1" si="83"/>
        <v>0</v>
      </c>
      <c r="BH84" s="504">
        <f t="shared" ca="1" si="83"/>
        <v>0</v>
      </c>
      <c r="BI84" s="504">
        <f t="shared" ca="1" si="83"/>
        <v>0</v>
      </c>
      <c r="BJ84" s="504">
        <f t="shared" ca="1" si="83"/>
        <v>0</v>
      </c>
      <c r="BK84" s="504">
        <f t="shared" ca="1" si="83"/>
        <v>0</v>
      </c>
      <c r="BL84" s="504">
        <f t="shared" ca="1" si="83"/>
        <v>0</v>
      </c>
      <c r="BM84" s="504">
        <f t="shared" ca="1" si="83"/>
        <v>0</v>
      </c>
      <c r="BN84" s="504"/>
      <c r="BO84" s="504"/>
      <c r="BP84" s="504">
        <f t="shared" ref="BP84" ca="1" si="84">IFERROR(BP75/BP66-1,0)</f>
        <v>-3.9555198953551529E-2</v>
      </c>
      <c r="BS84" s="84" t="s">
        <v>242</v>
      </c>
      <c r="BT84" s="51" t="s">
        <v>17</v>
      </c>
    </row>
    <row r="85" spans="1:72" x14ac:dyDescent="0.25">
      <c r="B85" s="243" t="str">
        <f t="shared" si="65"/>
        <v>Residential</v>
      </c>
      <c r="C85" s="243" t="str">
        <f t="shared" si="65"/>
        <v>Bills</v>
      </c>
      <c r="D85" s="244" t="str">
        <f t="shared" si="65"/>
        <v>Change in Bills</v>
      </c>
      <c r="E85" s="84" t="s">
        <v>17</v>
      </c>
      <c r="F85" s="84"/>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S85" s="84"/>
      <c r="BT85" s="51" t="s">
        <v>17</v>
      </c>
    </row>
    <row r="86" spans="1:72" x14ac:dyDescent="0.25">
      <c r="B86" t="s">
        <v>17</v>
      </c>
      <c r="BT86" s="51" t="s">
        <v>17</v>
      </c>
    </row>
    <row r="87" spans="1:72" x14ac:dyDescent="0.25">
      <c r="B87" t="s">
        <v>17</v>
      </c>
      <c r="BT87" s="51" t="s">
        <v>17</v>
      </c>
    </row>
    <row r="88" spans="1:72" s="51" customFormat="1" ht="23.25" x14ac:dyDescent="0.25">
      <c r="A88" s="52"/>
      <c r="B88" s="195" t="str">
        <f>Lookups!$D$27</f>
        <v>Low-Income</v>
      </c>
      <c r="C88" s="196"/>
      <c r="D88" s="196"/>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51" t="s">
        <v>17</v>
      </c>
    </row>
    <row r="89" spans="1:72" s="5" customFormat="1" ht="15.75" x14ac:dyDescent="0.25">
      <c r="A89" s="52"/>
      <c r="B89" s="241" t="str">
        <f>B88</f>
        <v>Low-Income</v>
      </c>
      <c r="C89" s="63" t="s">
        <v>3</v>
      </c>
      <c r="D89" s="61"/>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M89" s="63"/>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S89" s="62"/>
      <c r="BT89" s="51" t="s">
        <v>17</v>
      </c>
    </row>
    <row r="90" spans="1:72" s="5" customFormat="1" x14ac:dyDescent="0.25">
      <c r="A90" s="52"/>
      <c r="B90" s="242" t="str">
        <f t="shared" ref="B90:C101" si="85">B89</f>
        <v>Low-Income</v>
      </c>
      <c r="C90" s="242" t="str">
        <f>C89</f>
        <v>Customers</v>
      </c>
      <c r="D90" s="244" t="s">
        <v>3</v>
      </c>
      <c r="E90" s="77" t="s">
        <v>3</v>
      </c>
      <c r="F90" s="76" t="s">
        <v>48</v>
      </c>
      <c r="G90" s="64">
        <f>IF(G$8=0,0,INDEX('Multi-Year Inputs'!$E$12:$AE$15,MATCH($B90,'Multi-Year Inputs'!$D$12:$D$15,0),MATCH(G$7,'Multi-Year Inputs'!$E$4:$AE$4,0)))</f>
        <v>0</v>
      </c>
      <c r="H90" s="64">
        <f>IF(H$8=0,0,INDEX('Multi-Year Inputs'!$E$12:$AE$15,MATCH($B90,'Multi-Year Inputs'!$D$12:$D$15,0),MATCH(H$7,'Multi-Year Inputs'!$E$4:$AE$4,0)))</f>
        <v>0</v>
      </c>
      <c r="I90" s="64">
        <f>IF(I$8=0,0,INDEX('Multi-Year Inputs'!$E$12:$AE$15,MATCH($B90,'Multi-Year Inputs'!$D$12:$D$15,0),MATCH(I$7,'Multi-Year Inputs'!$E$4:$AE$4,0)))</f>
        <v>5826.1944158878568</v>
      </c>
      <c r="J90" s="64">
        <f>IF(J$8=0,0,INDEX('Multi-Year Inputs'!$E$12:$AE$15,MATCH($B90,'Multi-Year Inputs'!$D$12:$D$15,0),MATCH(J$7,'Multi-Year Inputs'!$E$4:$AE$4,0)))</f>
        <v>5826.1944158878568</v>
      </c>
      <c r="K90" s="64">
        <f>IF(K$8=0,0,INDEX('Multi-Year Inputs'!$E$12:$AE$15,MATCH($B90,'Multi-Year Inputs'!$D$12:$D$15,0),MATCH(K$7,'Multi-Year Inputs'!$E$4:$AE$4,0)))</f>
        <v>5826.1944158878568</v>
      </c>
      <c r="L90" s="64">
        <f>IF(L$8=0,0,INDEX('Multi-Year Inputs'!$E$12:$AE$15,MATCH($B90,'Multi-Year Inputs'!$D$12:$D$15,0),MATCH(L$7,'Multi-Year Inputs'!$E$4:$AE$4,0)))</f>
        <v>5826.1944158878568</v>
      </c>
      <c r="M90" s="64">
        <f>IF(M$8=0,0,INDEX('Multi-Year Inputs'!$E$12:$AE$15,MATCH($B90,'Multi-Year Inputs'!$D$12:$D$15,0),MATCH(M$7,'Multi-Year Inputs'!$E$4:$AE$4,0)))</f>
        <v>5826.1944158878568</v>
      </c>
      <c r="N90" s="64">
        <f>IF(N$8=0,0,INDEX('Multi-Year Inputs'!$E$12:$AE$15,MATCH($B90,'Multi-Year Inputs'!$D$12:$D$15,0),MATCH(N$7,'Multi-Year Inputs'!$E$4:$AE$4,0)))</f>
        <v>5826.1944158878568</v>
      </c>
      <c r="O90" s="64">
        <f>IF(O$8=0,0,INDEX('Multi-Year Inputs'!$E$12:$AE$15,MATCH($B90,'Multi-Year Inputs'!$D$12:$D$15,0),MATCH(O$7,'Multi-Year Inputs'!$E$4:$AE$4,0)))</f>
        <v>5826.1944158878568</v>
      </c>
      <c r="P90" s="64">
        <f>IF(P$8=0,0,INDEX('Multi-Year Inputs'!$E$12:$AE$15,MATCH($B90,'Multi-Year Inputs'!$D$12:$D$15,0),MATCH(P$7,'Multi-Year Inputs'!$E$4:$AE$4,0)))</f>
        <v>5826.1944158878568</v>
      </c>
      <c r="Q90" s="64">
        <f>IF(Q$8=0,0,INDEX('Multi-Year Inputs'!$E$12:$AE$15,MATCH($B90,'Multi-Year Inputs'!$D$12:$D$15,0),MATCH(Q$7,'Multi-Year Inputs'!$E$4:$AE$4,0)))</f>
        <v>5826.1944158878568</v>
      </c>
      <c r="R90" s="64">
        <f>IF(R$8=0,0,INDEX('Multi-Year Inputs'!$E$12:$AE$15,MATCH($B90,'Multi-Year Inputs'!$D$12:$D$15,0),MATCH(R$7,'Multi-Year Inputs'!$E$4:$AE$4,0)))</f>
        <v>5826.1944158878568</v>
      </c>
      <c r="S90" s="64">
        <f>IF(S$8=0,0,INDEX('Multi-Year Inputs'!$E$12:$AE$15,MATCH($B90,'Multi-Year Inputs'!$D$12:$D$15,0),MATCH(S$7,'Multi-Year Inputs'!$E$4:$AE$4,0)))</f>
        <v>5826.1944158878568</v>
      </c>
      <c r="T90" s="64">
        <f>IF(T$8=0,0,INDEX('Multi-Year Inputs'!$E$12:$AE$15,MATCH($B90,'Multi-Year Inputs'!$D$12:$D$15,0),MATCH(T$7,'Multi-Year Inputs'!$E$4:$AE$4,0)))</f>
        <v>5826.1944158878568</v>
      </c>
      <c r="U90" s="64">
        <f>IF(U$8=0,0,INDEX('Multi-Year Inputs'!$E$12:$AE$15,MATCH($B90,'Multi-Year Inputs'!$D$12:$D$15,0),MATCH(U$7,'Multi-Year Inputs'!$E$4:$AE$4,0)))</f>
        <v>5826.1944158878568</v>
      </c>
      <c r="V90" s="64">
        <f>IF(V$8=0,0,INDEX('Multi-Year Inputs'!$E$12:$AE$15,MATCH($B90,'Multi-Year Inputs'!$D$12:$D$15,0),MATCH(V$7,'Multi-Year Inputs'!$E$4:$AE$4,0)))</f>
        <v>5826.1944158878568</v>
      </c>
      <c r="W90" s="64">
        <f>IF(W$8=0,0,INDEX('Multi-Year Inputs'!$E$12:$AE$15,MATCH($B90,'Multi-Year Inputs'!$D$12:$D$15,0),MATCH(W$7,'Multi-Year Inputs'!$E$4:$AE$4,0)))</f>
        <v>5826.1944158878568</v>
      </c>
      <c r="X90" s="64">
        <f>IF(X$8=0,0,INDEX('Multi-Year Inputs'!$E$12:$AE$15,MATCH($B90,'Multi-Year Inputs'!$D$12:$D$15,0),MATCH(X$7,'Multi-Year Inputs'!$E$4:$AE$4,0)))</f>
        <v>5826.1944158878568</v>
      </c>
      <c r="Y90" s="64">
        <f>IF(Y$8=0,0,INDEX('Multi-Year Inputs'!$E$12:$AE$15,MATCH($B90,'Multi-Year Inputs'!$D$12:$D$15,0),MATCH(Y$7,'Multi-Year Inputs'!$E$4:$AE$4,0)))</f>
        <v>5826.1944158878568</v>
      </c>
      <c r="Z90" s="64">
        <f>IF(Z$8=0,0,INDEX('Multi-Year Inputs'!$E$12:$AE$15,MATCH($B90,'Multi-Year Inputs'!$D$12:$D$15,0),MATCH(Z$7,'Multi-Year Inputs'!$E$4:$AE$4,0)))</f>
        <v>5826.1944158878568</v>
      </c>
      <c r="AA90" s="64">
        <f>IF(AA$8=0,0,INDEX('Multi-Year Inputs'!$E$12:$AE$15,MATCH($B90,'Multi-Year Inputs'!$D$12:$D$15,0),MATCH(AA$7,'Multi-Year Inputs'!$E$4:$AE$4,0)))</f>
        <v>5826.1944158878568</v>
      </c>
      <c r="AB90" s="64">
        <f>IF(AB$8=0,0,INDEX('Multi-Year Inputs'!$E$12:$AE$15,MATCH($B90,'Multi-Year Inputs'!$D$12:$D$15,0),MATCH(AB$7,'Multi-Year Inputs'!$E$4:$AE$4,0)))</f>
        <v>5826.1944158878568</v>
      </c>
      <c r="AC90" s="64">
        <f>IF(AC$8=0,0,INDEX('Multi-Year Inputs'!$E$12:$AE$15,MATCH($B90,'Multi-Year Inputs'!$D$12:$D$15,0),MATCH(AC$7,'Multi-Year Inputs'!$E$4:$AE$4,0)))</f>
        <v>5826.1944158878568</v>
      </c>
      <c r="AD90" s="64">
        <f>IF(AD$8=0,0,INDEX('Multi-Year Inputs'!$E$12:$AE$15,MATCH($B90,'Multi-Year Inputs'!$D$12:$D$15,0),MATCH(AD$7,'Multi-Year Inputs'!$E$4:$AE$4,0)))</f>
        <v>5826.1944158878568</v>
      </c>
      <c r="AE90" s="64">
        <f>IF(AE$8=0,0,INDEX('Multi-Year Inputs'!$E$12:$AE$15,MATCH($B90,'Multi-Year Inputs'!$D$12:$D$15,0),MATCH(AE$7,'Multi-Year Inputs'!$E$4:$AE$4,0)))</f>
        <v>5826.1944158878568</v>
      </c>
      <c r="AF90" s="64">
        <f>IF(AF$8=0,0,INDEX('Multi-Year Inputs'!$E$12:$AE$15,MATCH($B90,'Multi-Year Inputs'!$D$12:$D$15,0),MATCH(AF$7,'Multi-Year Inputs'!$E$4:$AE$4,0)))</f>
        <v>5826.1944158878568</v>
      </c>
      <c r="AG90" s="64">
        <f>IF(AG$8=0,0,INDEX('Multi-Year Inputs'!$E$12:$AE$15,MATCH($B90,'Multi-Year Inputs'!$D$12:$D$15,0),MATCH(AG$7,'Multi-Year Inputs'!$E$4:$AE$4,0)))</f>
        <v>5826.1944158878568</v>
      </c>
      <c r="AH90" s="64"/>
      <c r="AI90" s="64"/>
      <c r="AJ90" s="64"/>
      <c r="AM90" s="71">
        <f>IF(AM$8=0,0,INDEX('Multi-Year Inputs'!$E$12:$AE$15,MATCH($B90,'Multi-Year Inputs'!$D$12:$D$15,0),MATCH(AM$7,'Multi-Year Inputs'!$E$4:$AE$4,0)))</f>
        <v>0</v>
      </c>
      <c r="AN90" s="71">
        <f>IF(AN$8=0,0,INDEX('Multi-Year Inputs'!$E$12:$AE$15,MATCH($B90,'Multi-Year Inputs'!$D$12:$D$15,0),MATCH(AN$7,'Multi-Year Inputs'!$E$4:$AE$4,0)))</f>
        <v>0</v>
      </c>
      <c r="AO90" s="71">
        <f>IF(AO$8=0,0,INDEX('Multi-Year Inputs'!$E$12:$AE$15,MATCH($B90,'Multi-Year Inputs'!$D$12:$D$15,0),MATCH(AO$7,'Multi-Year Inputs'!$E$4:$AE$4,0)))</f>
        <v>5826.1944158878568</v>
      </c>
      <c r="AP90" s="71">
        <f>IF(AP$8=0,0,INDEX('Multi-Year Inputs'!$E$12:$AE$15,MATCH($B90,'Multi-Year Inputs'!$D$12:$D$15,0),MATCH(AP$7,'Multi-Year Inputs'!$E$4:$AE$4,0)))</f>
        <v>5826.1944158878568</v>
      </c>
      <c r="AQ90" s="71">
        <f>IF(AQ$8=0,0,INDEX('Multi-Year Inputs'!$E$12:$AE$15,MATCH($B90,'Multi-Year Inputs'!$D$12:$D$15,0),MATCH(AQ$7,'Multi-Year Inputs'!$E$4:$AE$4,0)))</f>
        <v>5826.1944158878568</v>
      </c>
      <c r="AR90" s="71">
        <f>IF(AR$8=0,0,INDEX('Multi-Year Inputs'!$E$12:$AE$15,MATCH($B90,'Multi-Year Inputs'!$D$12:$D$15,0),MATCH(AR$7,'Multi-Year Inputs'!$E$4:$AE$4,0)))</f>
        <v>5826.1944158878568</v>
      </c>
      <c r="AS90" s="71">
        <f>IF(AS$8=0,0,INDEX('Multi-Year Inputs'!$E$12:$AE$15,MATCH($B90,'Multi-Year Inputs'!$D$12:$D$15,0),MATCH(AS$7,'Multi-Year Inputs'!$E$4:$AE$4,0)))</f>
        <v>5826.1944158878568</v>
      </c>
      <c r="AT90" s="71">
        <f>IF(AT$8=0,0,INDEX('Multi-Year Inputs'!$E$12:$AE$15,MATCH($B90,'Multi-Year Inputs'!$D$12:$D$15,0),MATCH(AT$7,'Multi-Year Inputs'!$E$4:$AE$4,0)))</f>
        <v>5826.1944158878568</v>
      </c>
      <c r="AU90" s="71">
        <f>IF(AU$8=0,0,INDEX('Multi-Year Inputs'!$E$12:$AE$15,MATCH($B90,'Multi-Year Inputs'!$D$12:$D$15,0),MATCH(AU$7,'Multi-Year Inputs'!$E$4:$AE$4,0)))</f>
        <v>5826.1944158878568</v>
      </c>
      <c r="AV90" s="71">
        <f>IF(AV$8=0,0,INDEX('Multi-Year Inputs'!$E$12:$AE$15,MATCH($B90,'Multi-Year Inputs'!$D$12:$D$15,0),MATCH(AV$7,'Multi-Year Inputs'!$E$4:$AE$4,0)))</f>
        <v>5826.1944158878568</v>
      </c>
      <c r="AW90" s="71">
        <f>IF(AW$8=0,0,INDEX('Multi-Year Inputs'!$E$12:$AE$15,MATCH($B90,'Multi-Year Inputs'!$D$12:$D$15,0),MATCH(AW$7,'Multi-Year Inputs'!$E$4:$AE$4,0)))</f>
        <v>5826.1944158878568</v>
      </c>
      <c r="AX90" s="71">
        <f>IF(AX$8=0,0,INDEX('Multi-Year Inputs'!$E$12:$AE$15,MATCH($B90,'Multi-Year Inputs'!$D$12:$D$15,0),MATCH(AX$7,'Multi-Year Inputs'!$E$4:$AE$4,0)))</f>
        <v>5826.1944158878568</v>
      </c>
      <c r="AY90" s="71">
        <f>IF(AY$8=0,0,INDEX('Multi-Year Inputs'!$E$12:$AE$15,MATCH($B90,'Multi-Year Inputs'!$D$12:$D$15,0),MATCH(AY$7,'Multi-Year Inputs'!$E$4:$AE$4,0)))</f>
        <v>5826.1944158878568</v>
      </c>
      <c r="AZ90" s="71">
        <f>IF(AZ$8=0,0,INDEX('Multi-Year Inputs'!$E$12:$AE$15,MATCH($B90,'Multi-Year Inputs'!$D$12:$D$15,0),MATCH(AZ$7,'Multi-Year Inputs'!$E$4:$AE$4,0)))</f>
        <v>5826.1944158878568</v>
      </c>
      <c r="BA90" s="71">
        <f>IF(BA$8=0,0,INDEX('Multi-Year Inputs'!$E$12:$AE$15,MATCH($B90,'Multi-Year Inputs'!$D$12:$D$15,0),MATCH(BA$7,'Multi-Year Inputs'!$E$4:$AE$4,0)))</f>
        <v>5826.1944158878568</v>
      </c>
      <c r="BB90" s="71">
        <f>IF(BB$8=0,0,INDEX('Multi-Year Inputs'!$E$12:$AE$15,MATCH($B90,'Multi-Year Inputs'!$D$12:$D$15,0),MATCH(BB$7,'Multi-Year Inputs'!$E$4:$AE$4,0)))</f>
        <v>5826.1944158878568</v>
      </c>
      <c r="BC90" s="71">
        <f>IF(BC$8=0,0,INDEX('Multi-Year Inputs'!$E$12:$AE$15,MATCH($B90,'Multi-Year Inputs'!$D$12:$D$15,0),MATCH(BC$7,'Multi-Year Inputs'!$E$4:$AE$4,0)))</f>
        <v>5826.1944158878568</v>
      </c>
      <c r="BD90" s="71">
        <f>IF(BD$8=0,0,INDEX('Multi-Year Inputs'!$E$12:$AE$15,MATCH($B90,'Multi-Year Inputs'!$D$12:$D$15,0),MATCH(BD$7,'Multi-Year Inputs'!$E$4:$AE$4,0)))</f>
        <v>5826.1944158878568</v>
      </c>
      <c r="BE90" s="71">
        <f>IF(BE$8=0,0,INDEX('Multi-Year Inputs'!$E$12:$AE$15,MATCH($B90,'Multi-Year Inputs'!$D$12:$D$15,0),MATCH(BE$7,'Multi-Year Inputs'!$E$4:$AE$4,0)))</f>
        <v>5826.1944158878568</v>
      </c>
      <c r="BF90" s="71">
        <f>IF(BF$8=0,0,INDEX('Multi-Year Inputs'!$E$12:$AE$15,MATCH($B90,'Multi-Year Inputs'!$D$12:$D$15,0),MATCH(BF$7,'Multi-Year Inputs'!$E$4:$AE$4,0)))</f>
        <v>5826.1944158878568</v>
      </c>
      <c r="BG90" s="71">
        <f>IF(BG$8=0,0,INDEX('Multi-Year Inputs'!$E$12:$AE$15,MATCH($B90,'Multi-Year Inputs'!$D$12:$D$15,0),MATCH(BG$7,'Multi-Year Inputs'!$E$4:$AE$4,0)))</f>
        <v>5826.1944158878568</v>
      </c>
      <c r="BH90" s="71">
        <f>IF(BH$8=0,0,INDEX('Multi-Year Inputs'!$E$12:$AE$15,MATCH($B90,'Multi-Year Inputs'!$D$12:$D$15,0),MATCH(BH$7,'Multi-Year Inputs'!$E$4:$AE$4,0)))</f>
        <v>5826.1944158878568</v>
      </c>
      <c r="BI90" s="71">
        <f>IF(BI$8=0,0,INDEX('Multi-Year Inputs'!$E$12:$AE$15,MATCH($B90,'Multi-Year Inputs'!$D$12:$D$15,0),MATCH(BI$7,'Multi-Year Inputs'!$E$4:$AE$4,0)))</f>
        <v>5826.1944158878568</v>
      </c>
      <c r="BJ90" s="71">
        <f>IF(BJ$8=0,0,INDEX('Multi-Year Inputs'!$E$12:$AE$15,MATCH($B90,'Multi-Year Inputs'!$D$12:$D$15,0),MATCH(BJ$7,'Multi-Year Inputs'!$E$4:$AE$4,0)))</f>
        <v>5826.1944158878568</v>
      </c>
      <c r="BK90" s="71">
        <f>IF(BK$8=0,0,INDEX('Multi-Year Inputs'!$E$12:$AE$15,MATCH($B90,'Multi-Year Inputs'!$D$12:$D$15,0),MATCH(BK$7,'Multi-Year Inputs'!$E$4:$AE$4,0)))</f>
        <v>5826.1944158878568</v>
      </c>
      <c r="BL90" s="71">
        <f>IF(BL$8=0,0,INDEX('Multi-Year Inputs'!$E$12:$AE$15,MATCH($B90,'Multi-Year Inputs'!$D$12:$D$15,0),MATCH(BL$7,'Multi-Year Inputs'!$E$4:$AE$4,0)))</f>
        <v>5826.1944158878568</v>
      </c>
      <c r="BM90" s="71">
        <f>IF(BM$8=0,0,INDEX('Multi-Year Inputs'!$E$12:$AE$15,MATCH($B90,'Multi-Year Inputs'!$D$12:$D$15,0),MATCH(BM$7,'Multi-Year Inputs'!$E$4:$AE$4,0)))</f>
        <v>5826.1944158878568</v>
      </c>
      <c r="BN90" s="72"/>
      <c r="BO90" s="72"/>
      <c r="BP90" s="72"/>
      <c r="BS90" s="76" t="s">
        <v>89</v>
      </c>
      <c r="BT90" s="51" t="s">
        <v>17</v>
      </c>
    </row>
    <row r="91" spans="1:72" s="5" customFormat="1" x14ac:dyDescent="0.25">
      <c r="A91" s="52"/>
      <c r="B91" s="242" t="str">
        <f t="shared" si="85"/>
        <v>Low-Income</v>
      </c>
      <c r="C91" s="242" t="str">
        <f>C90</f>
        <v>Customers</v>
      </c>
      <c r="D91" s="244" t="s">
        <v>40</v>
      </c>
      <c r="E91" s="77" t="s">
        <v>40</v>
      </c>
      <c r="F91" s="76" t="s">
        <v>2</v>
      </c>
      <c r="G91" s="65">
        <f ca="1">IF($C$4=Lookups!$D$40,IF(SUM(INDIRECT("'Yr1'!"&amp;ADDRESS(ROW(G91),COLUMN(G91))),INDIRECT("'Yr2'!"&amp;ADDRESS(ROW(G91),COLUMN(G91))),INDIRECT("'Yr3'!"&amp;ADDRESS(ROW(G91),COLUMN(G91))))&gt;0,"3 Yr. total",0),
IF(G$7&lt;$C$4,0,IF(G$8&lt;=SUMIFS('EE Inputs'!$V$9:$V$32,'EE Inputs'!$C$9:$C$32,$G$6,'EE Inputs'!$D$9:$D$32,$C$4,'EE Inputs'!$E$9:$E$32,$B91),SUMIFS('EE Inputs'!$V$9:$V$32,'EE Inputs'!$C$9:$C$32,$G$6,'EE Inputs'!$D$9:$D$32,$C$4,'EE Inputs'!$E$9:$E$32,$B91),0)))</f>
        <v>0</v>
      </c>
      <c r="H91" s="65">
        <f ca="1">IF($C$4=Lookups!$D$40,IF(SUM(INDIRECT("'Yr1'!"&amp;ADDRESS(ROW(H91),COLUMN(H91))),INDIRECT("'Yr2'!"&amp;ADDRESS(ROW(H91),COLUMN(H91))),INDIRECT("'Yr3'!"&amp;ADDRESS(ROW(H91),COLUMN(H91))))&gt;0,"3 Yr. total",0),
IF(H$7&lt;$C$4,0,IF(H$8&lt;=SUMIFS('EE Inputs'!$V$9:$V$32,'EE Inputs'!$C$9:$C$32,$G$6,'EE Inputs'!$D$9:$D$32,$C$4,'EE Inputs'!$E$9:$E$32,$B91),SUMIFS('EE Inputs'!$V$9:$V$32,'EE Inputs'!$C$9:$C$32,$G$6,'EE Inputs'!$D$9:$D$32,$C$4,'EE Inputs'!$E$9:$E$32,$B91),0)))</f>
        <v>0</v>
      </c>
      <c r="I91" s="65">
        <f ca="1">IF($C$4=Lookups!$D$40,IF(SUM(INDIRECT("'Yr1'!"&amp;ADDRESS(ROW(I91),COLUMN(I91))),INDIRECT("'Yr2'!"&amp;ADDRESS(ROW(I91),COLUMN(I91))),INDIRECT("'Yr3'!"&amp;ADDRESS(ROW(I91),COLUMN(I91))))&gt;0,"3 Yr. total",0),
IF(I$7&lt;$C$4,0,IF(I$8&lt;=SUMIFS('EE Inputs'!$V$9:$V$32,'EE Inputs'!$C$9:$C$32,$G$6,'EE Inputs'!$D$9:$D$32,$C$4,'EE Inputs'!$E$9:$E$32,$B91),SUMIFS('EE Inputs'!$V$9:$V$32,'EE Inputs'!$C$9:$C$32,$G$6,'EE Inputs'!$D$9:$D$32,$C$4,'EE Inputs'!$E$9:$E$32,$B91),0)))</f>
        <v>20</v>
      </c>
      <c r="J91" s="65">
        <f ca="1">IF($C$4=Lookups!$D$40,IF(SUM(INDIRECT("'Yr1'!"&amp;ADDRESS(ROW(J91),COLUMN(J91))),INDIRECT("'Yr2'!"&amp;ADDRESS(ROW(J91),COLUMN(J91))),INDIRECT("'Yr3'!"&amp;ADDRESS(ROW(J91),COLUMN(J91))))&gt;0,"3 Yr. total",0),
IF(J$7&lt;$C$4,0,IF(J$8&lt;=SUMIFS('EE Inputs'!$V$9:$V$32,'EE Inputs'!$C$9:$C$32,$G$6,'EE Inputs'!$D$9:$D$32,$C$4,'EE Inputs'!$E$9:$E$32,$B91),SUMIFS('EE Inputs'!$V$9:$V$32,'EE Inputs'!$C$9:$C$32,$G$6,'EE Inputs'!$D$9:$D$32,$C$4,'EE Inputs'!$E$9:$E$32,$B91),0)))</f>
        <v>20</v>
      </c>
      <c r="K91" s="65">
        <f ca="1">IF($C$4=Lookups!$D$40,IF(SUM(INDIRECT("'Yr1'!"&amp;ADDRESS(ROW(K91),COLUMN(K91))),INDIRECT("'Yr2'!"&amp;ADDRESS(ROW(K91),COLUMN(K91))),INDIRECT("'Yr3'!"&amp;ADDRESS(ROW(K91),COLUMN(K91))))&gt;0,"3 Yr. total",0),
IF(K$7&lt;$C$4,0,IF(K$8&lt;=SUMIFS('EE Inputs'!$V$9:$V$32,'EE Inputs'!$C$9:$C$32,$G$6,'EE Inputs'!$D$9:$D$32,$C$4,'EE Inputs'!$E$9:$E$32,$B91),SUMIFS('EE Inputs'!$V$9:$V$32,'EE Inputs'!$C$9:$C$32,$G$6,'EE Inputs'!$D$9:$D$32,$C$4,'EE Inputs'!$E$9:$E$32,$B91),0)))</f>
        <v>20</v>
      </c>
      <c r="L91" s="65">
        <f ca="1">IF($C$4=Lookups!$D$40,IF(SUM(INDIRECT("'Yr1'!"&amp;ADDRESS(ROW(L91),COLUMN(L91))),INDIRECT("'Yr2'!"&amp;ADDRESS(ROW(L91),COLUMN(L91))),INDIRECT("'Yr3'!"&amp;ADDRESS(ROW(L91),COLUMN(L91))))&gt;0,"3 Yr. total",0),
IF(L$7&lt;$C$4,0,IF(L$8&lt;=SUMIFS('EE Inputs'!$V$9:$V$32,'EE Inputs'!$C$9:$C$32,$G$6,'EE Inputs'!$D$9:$D$32,$C$4,'EE Inputs'!$E$9:$E$32,$B91),SUMIFS('EE Inputs'!$V$9:$V$32,'EE Inputs'!$C$9:$C$32,$G$6,'EE Inputs'!$D$9:$D$32,$C$4,'EE Inputs'!$E$9:$E$32,$B91),0)))</f>
        <v>20</v>
      </c>
      <c r="M91" s="65">
        <f ca="1">IF($C$4=Lookups!$D$40,IF(SUM(INDIRECT("'Yr1'!"&amp;ADDRESS(ROW(M91),COLUMN(M91))),INDIRECT("'Yr2'!"&amp;ADDRESS(ROW(M91),COLUMN(M91))),INDIRECT("'Yr3'!"&amp;ADDRESS(ROW(M91),COLUMN(M91))))&gt;0,"3 Yr. total",0),
IF(M$7&lt;$C$4,0,IF(M$8&lt;=SUMIFS('EE Inputs'!$V$9:$V$32,'EE Inputs'!$C$9:$C$32,$G$6,'EE Inputs'!$D$9:$D$32,$C$4,'EE Inputs'!$E$9:$E$32,$B91),SUMIFS('EE Inputs'!$V$9:$V$32,'EE Inputs'!$C$9:$C$32,$G$6,'EE Inputs'!$D$9:$D$32,$C$4,'EE Inputs'!$E$9:$E$32,$B91),0)))</f>
        <v>20</v>
      </c>
      <c r="N91" s="65">
        <f ca="1">IF($C$4=Lookups!$D$40,IF(SUM(INDIRECT("'Yr1'!"&amp;ADDRESS(ROW(N91),COLUMN(N91))),INDIRECT("'Yr2'!"&amp;ADDRESS(ROW(N91),COLUMN(N91))),INDIRECT("'Yr3'!"&amp;ADDRESS(ROW(N91),COLUMN(N91))))&gt;0,"3 Yr. total",0),
IF(N$7&lt;$C$4,0,IF(N$8&lt;=SUMIFS('EE Inputs'!$V$9:$V$32,'EE Inputs'!$C$9:$C$32,$G$6,'EE Inputs'!$D$9:$D$32,$C$4,'EE Inputs'!$E$9:$E$32,$B91),SUMIFS('EE Inputs'!$V$9:$V$32,'EE Inputs'!$C$9:$C$32,$G$6,'EE Inputs'!$D$9:$D$32,$C$4,'EE Inputs'!$E$9:$E$32,$B91),0)))</f>
        <v>20</v>
      </c>
      <c r="O91" s="65">
        <f ca="1">IF($C$4=Lookups!$D$40,IF(SUM(INDIRECT("'Yr1'!"&amp;ADDRESS(ROW(O91),COLUMN(O91))),INDIRECT("'Yr2'!"&amp;ADDRESS(ROW(O91),COLUMN(O91))),INDIRECT("'Yr3'!"&amp;ADDRESS(ROW(O91),COLUMN(O91))))&gt;0,"3 Yr. total",0),
IF(O$7&lt;$C$4,0,IF(O$8&lt;=SUMIFS('EE Inputs'!$V$9:$V$32,'EE Inputs'!$C$9:$C$32,$G$6,'EE Inputs'!$D$9:$D$32,$C$4,'EE Inputs'!$E$9:$E$32,$B91),SUMIFS('EE Inputs'!$V$9:$V$32,'EE Inputs'!$C$9:$C$32,$G$6,'EE Inputs'!$D$9:$D$32,$C$4,'EE Inputs'!$E$9:$E$32,$B91),0)))</f>
        <v>20</v>
      </c>
      <c r="P91" s="65">
        <f ca="1">IF($C$4=Lookups!$D$40,IF(SUM(INDIRECT("'Yr1'!"&amp;ADDRESS(ROW(P91),COLUMN(P91))),INDIRECT("'Yr2'!"&amp;ADDRESS(ROW(P91),COLUMN(P91))),INDIRECT("'Yr3'!"&amp;ADDRESS(ROW(P91),COLUMN(P91))))&gt;0,"3 Yr. total",0),
IF(P$7&lt;$C$4,0,IF(P$8&lt;=SUMIFS('EE Inputs'!$V$9:$V$32,'EE Inputs'!$C$9:$C$32,$G$6,'EE Inputs'!$D$9:$D$32,$C$4,'EE Inputs'!$E$9:$E$32,$B91),SUMIFS('EE Inputs'!$V$9:$V$32,'EE Inputs'!$C$9:$C$32,$G$6,'EE Inputs'!$D$9:$D$32,$C$4,'EE Inputs'!$E$9:$E$32,$B91),0)))</f>
        <v>20</v>
      </c>
      <c r="Q91" s="65">
        <f ca="1">IF($C$4=Lookups!$D$40,IF(SUM(INDIRECT("'Yr1'!"&amp;ADDRESS(ROW(Q91),COLUMN(Q91))),INDIRECT("'Yr2'!"&amp;ADDRESS(ROW(Q91),COLUMN(Q91))),INDIRECT("'Yr3'!"&amp;ADDRESS(ROW(Q91),COLUMN(Q91))))&gt;0,"3 Yr. total",0),
IF(Q$7&lt;$C$4,0,IF(Q$8&lt;=SUMIFS('EE Inputs'!$V$9:$V$32,'EE Inputs'!$C$9:$C$32,$G$6,'EE Inputs'!$D$9:$D$32,$C$4,'EE Inputs'!$E$9:$E$32,$B91),SUMIFS('EE Inputs'!$V$9:$V$32,'EE Inputs'!$C$9:$C$32,$G$6,'EE Inputs'!$D$9:$D$32,$C$4,'EE Inputs'!$E$9:$E$32,$B91),0)))</f>
        <v>20</v>
      </c>
      <c r="R91" s="65">
        <f ca="1">IF($C$4=Lookups!$D$40,IF(SUM(INDIRECT("'Yr1'!"&amp;ADDRESS(ROW(R91),COLUMN(R91))),INDIRECT("'Yr2'!"&amp;ADDRESS(ROW(R91),COLUMN(R91))),INDIRECT("'Yr3'!"&amp;ADDRESS(ROW(R91),COLUMN(R91))))&gt;0,"3 Yr. total",0),
IF(R$7&lt;$C$4,0,IF(R$8&lt;=SUMIFS('EE Inputs'!$V$9:$V$32,'EE Inputs'!$C$9:$C$32,$G$6,'EE Inputs'!$D$9:$D$32,$C$4,'EE Inputs'!$E$9:$E$32,$B91),SUMIFS('EE Inputs'!$V$9:$V$32,'EE Inputs'!$C$9:$C$32,$G$6,'EE Inputs'!$D$9:$D$32,$C$4,'EE Inputs'!$E$9:$E$32,$B91),0)))</f>
        <v>20</v>
      </c>
      <c r="S91" s="65">
        <f ca="1">IF($C$4=Lookups!$D$40,IF(SUM(INDIRECT("'Yr1'!"&amp;ADDRESS(ROW(S91),COLUMN(S91))),INDIRECT("'Yr2'!"&amp;ADDRESS(ROW(S91),COLUMN(S91))),INDIRECT("'Yr3'!"&amp;ADDRESS(ROW(S91),COLUMN(S91))))&gt;0,"3 Yr. total",0),
IF(S$7&lt;$C$4,0,IF(S$8&lt;=SUMIFS('EE Inputs'!$V$9:$V$32,'EE Inputs'!$C$9:$C$32,$G$6,'EE Inputs'!$D$9:$D$32,$C$4,'EE Inputs'!$E$9:$E$32,$B91),SUMIFS('EE Inputs'!$V$9:$V$32,'EE Inputs'!$C$9:$C$32,$G$6,'EE Inputs'!$D$9:$D$32,$C$4,'EE Inputs'!$E$9:$E$32,$B91),0)))</f>
        <v>20</v>
      </c>
      <c r="T91" s="65">
        <f ca="1">IF($C$4=Lookups!$D$40,IF(SUM(INDIRECT("'Yr1'!"&amp;ADDRESS(ROW(T91),COLUMN(T91))),INDIRECT("'Yr2'!"&amp;ADDRESS(ROW(T91),COLUMN(T91))),INDIRECT("'Yr3'!"&amp;ADDRESS(ROW(T91),COLUMN(T91))))&gt;0,"3 Yr. total",0),
IF(T$7&lt;$C$4,0,IF(T$8&lt;=SUMIFS('EE Inputs'!$V$9:$V$32,'EE Inputs'!$C$9:$C$32,$G$6,'EE Inputs'!$D$9:$D$32,$C$4,'EE Inputs'!$E$9:$E$32,$B91),SUMIFS('EE Inputs'!$V$9:$V$32,'EE Inputs'!$C$9:$C$32,$G$6,'EE Inputs'!$D$9:$D$32,$C$4,'EE Inputs'!$E$9:$E$32,$B91),0)))</f>
        <v>20</v>
      </c>
      <c r="U91" s="65">
        <f ca="1">IF($C$4=Lookups!$D$40,IF(SUM(INDIRECT("'Yr1'!"&amp;ADDRESS(ROW(U91),COLUMN(U91))),INDIRECT("'Yr2'!"&amp;ADDRESS(ROW(U91),COLUMN(U91))),INDIRECT("'Yr3'!"&amp;ADDRESS(ROW(U91),COLUMN(U91))))&gt;0,"3 Yr. total",0),
IF(U$7&lt;$C$4,0,IF(U$8&lt;=SUMIFS('EE Inputs'!$V$9:$V$32,'EE Inputs'!$C$9:$C$32,$G$6,'EE Inputs'!$D$9:$D$32,$C$4,'EE Inputs'!$E$9:$E$32,$B91),SUMIFS('EE Inputs'!$V$9:$V$32,'EE Inputs'!$C$9:$C$32,$G$6,'EE Inputs'!$D$9:$D$32,$C$4,'EE Inputs'!$E$9:$E$32,$B91),0)))</f>
        <v>20</v>
      </c>
      <c r="V91" s="65">
        <f ca="1">IF($C$4=Lookups!$D$40,IF(SUM(INDIRECT("'Yr1'!"&amp;ADDRESS(ROW(V91),COLUMN(V91))),INDIRECT("'Yr2'!"&amp;ADDRESS(ROW(V91),COLUMN(V91))),INDIRECT("'Yr3'!"&amp;ADDRESS(ROW(V91),COLUMN(V91))))&gt;0,"3 Yr. total",0),
IF(V$7&lt;$C$4,0,IF(V$8&lt;=SUMIFS('EE Inputs'!$V$9:$V$32,'EE Inputs'!$C$9:$C$32,$G$6,'EE Inputs'!$D$9:$D$32,$C$4,'EE Inputs'!$E$9:$E$32,$B91),SUMIFS('EE Inputs'!$V$9:$V$32,'EE Inputs'!$C$9:$C$32,$G$6,'EE Inputs'!$D$9:$D$32,$C$4,'EE Inputs'!$E$9:$E$32,$B91),0)))</f>
        <v>20</v>
      </c>
      <c r="W91" s="65">
        <f ca="1">IF($C$4=Lookups!$D$40,IF(SUM(INDIRECT("'Yr1'!"&amp;ADDRESS(ROW(W91),COLUMN(W91))),INDIRECT("'Yr2'!"&amp;ADDRESS(ROW(W91),COLUMN(W91))),INDIRECT("'Yr3'!"&amp;ADDRESS(ROW(W91),COLUMN(W91))))&gt;0,"3 Yr. total",0),
IF(W$7&lt;$C$4,0,IF(W$8&lt;=SUMIFS('EE Inputs'!$V$9:$V$32,'EE Inputs'!$C$9:$C$32,$G$6,'EE Inputs'!$D$9:$D$32,$C$4,'EE Inputs'!$E$9:$E$32,$B91),SUMIFS('EE Inputs'!$V$9:$V$32,'EE Inputs'!$C$9:$C$32,$G$6,'EE Inputs'!$D$9:$D$32,$C$4,'EE Inputs'!$E$9:$E$32,$B91),0)))</f>
        <v>20</v>
      </c>
      <c r="X91" s="65">
        <f ca="1">IF($C$4=Lookups!$D$40,IF(SUM(INDIRECT("'Yr1'!"&amp;ADDRESS(ROW(X91),COLUMN(X91))),INDIRECT("'Yr2'!"&amp;ADDRESS(ROW(X91),COLUMN(X91))),INDIRECT("'Yr3'!"&amp;ADDRESS(ROW(X91),COLUMN(X91))))&gt;0,"3 Yr. total",0),
IF(X$7&lt;$C$4,0,IF(X$8&lt;=SUMIFS('EE Inputs'!$V$9:$V$32,'EE Inputs'!$C$9:$C$32,$G$6,'EE Inputs'!$D$9:$D$32,$C$4,'EE Inputs'!$E$9:$E$32,$B91),SUMIFS('EE Inputs'!$V$9:$V$32,'EE Inputs'!$C$9:$C$32,$G$6,'EE Inputs'!$D$9:$D$32,$C$4,'EE Inputs'!$E$9:$E$32,$B91),0)))</f>
        <v>20</v>
      </c>
      <c r="Y91" s="65">
        <f ca="1">IF($C$4=Lookups!$D$40,IF(SUM(INDIRECT("'Yr1'!"&amp;ADDRESS(ROW(Y91),COLUMN(Y91))),INDIRECT("'Yr2'!"&amp;ADDRESS(ROW(Y91),COLUMN(Y91))),INDIRECT("'Yr3'!"&amp;ADDRESS(ROW(Y91),COLUMN(Y91))))&gt;0,"3 Yr. total",0),
IF(Y$7&lt;$C$4,0,IF(Y$8&lt;=SUMIFS('EE Inputs'!$V$9:$V$32,'EE Inputs'!$C$9:$C$32,$G$6,'EE Inputs'!$D$9:$D$32,$C$4,'EE Inputs'!$E$9:$E$32,$B91),SUMIFS('EE Inputs'!$V$9:$V$32,'EE Inputs'!$C$9:$C$32,$G$6,'EE Inputs'!$D$9:$D$32,$C$4,'EE Inputs'!$E$9:$E$32,$B91),0)))</f>
        <v>20</v>
      </c>
      <c r="Z91" s="65">
        <f ca="1">IF($C$4=Lookups!$D$40,IF(SUM(INDIRECT("'Yr1'!"&amp;ADDRESS(ROW(Z91),COLUMN(Z91))),INDIRECT("'Yr2'!"&amp;ADDRESS(ROW(Z91),COLUMN(Z91))),INDIRECT("'Yr3'!"&amp;ADDRESS(ROW(Z91),COLUMN(Z91))))&gt;0,"3 Yr. total",0),
IF(Z$7&lt;$C$4,0,IF(Z$8&lt;=SUMIFS('EE Inputs'!$V$9:$V$32,'EE Inputs'!$C$9:$C$32,$G$6,'EE Inputs'!$D$9:$D$32,$C$4,'EE Inputs'!$E$9:$E$32,$B91),SUMIFS('EE Inputs'!$V$9:$V$32,'EE Inputs'!$C$9:$C$32,$G$6,'EE Inputs'!$D$9:$D$32,$C$4,'EE Inputs'!$E$9:$E$32,$B91),0)))</f>
        <v>20</v>
      </c>
      <c r="AA91" s="65">
        <f ca="1">IF($C$4=Lookups!$D$40,IF(SUM(INDIRECT("'Yr1'!"&amp;ADDRESS(ROW(AA91),COLUMN(AA91))),INDIRECT("'Yr2'!"&amp;ADDRESS(ROW(AA91),COLUMN(AA91))),INDIRECT("'Yr3'!"&amp;ADDRESS(ROW(AA91),COLUMN(AA91))))&gt;0,"3 Yr. total",0),
IF(AA$7&lt;$C$4,0,IF(AA$8&lt;=SUMIFS('EE Inputs'!$V$9:$V$32,'EE Inputs'!$C$9:$C$32,$G$6,'EE Inputs'!$D$9:$D$32,$C$4,'EE Inputs'!$E$9:$E$32,$B91),SUMIFS('EE Inputs'!$V$9:$V$32,'EE Inputs'!$C$9:$C$32,$G$6,'EE Inputs'!$D$9:$D$32,$C$4,'EE Inputs'!$E$9:$E$32,$B91),0)))</f>
        <v>20</v>
      </c>
      <c r="AB91" s="65">
        <f ca="1">IF($C$4=Lookups!$D$40,IF(SUM(INDIRECT("'Yr1'!"&amp;ADDRESS(ROW(AB91),COLUMN(AB91))),INDIRECT("'Yr2'!"&amp;ADDRESS(ROW(AB91),COLUMN(AB91))),INDIRECT("'Yr3'!"&amp;ADDRESS(ROW(AB91),COLUMN(AB91))))&gt;0,"3 Yr. total",0),
IF(AB$7&lt;$C$4,0,IF(AB$8&lt;=SUMIFS('EE Inputs'!$V$9:$V$32,'EE Inputs'!$C$9:$C$32,$G$6,'EE Inputs'!$D$9:$D$32,$C$4,'EE Inputs'!$E$9:$E$32,$B91),SUMIFS('EE Inputs'!$V$9:$V$32,'EE Inputs'!$C$9:$C$32,$G$6,'EE Inputs'!$D$9:$D$32,$C$4,'EE Inputs'!$E$9:$E$32,$B91),0)))</f>
        <v>20</v>
      </c>
      <c r="AC91" s="65">
        <f ca="1">IF($C$4=Lookups!$D$40,IF(SUM(INDIRECT("'Yr1'!"&amp;ADDRESS(ROW(AC91),COLUMN(AC91))),INDIRECT("'Yr2'!"&amp;ADDRESS(ROW(AC91),COLUMN(AC91))),INDIRECT("'Yr3'!"&amp;ADDRESS(ROW(AC91),COLUMN(AC91))))&gt;0,"3 Yr. total",0),
IF(AC$7&lt;$C$4,0,IF(AC$8&lt;=SUMIFS('EE Inputs'!$V$9:$V$32,'EE Inputs'!$C$9:$C$32,$G$6,'EE Inputs'!$D$9:$D$32,$C$4,'EE Inputs'!$E$9:$E$32,$B91),SUMIFS('EE Inputs'!$V$9:$V$32,'EE Inputs'!$C$9:$C$32,$G$6,'EE Inputs'!$D$9:$D$32,$C$4,'EE Inputs'!$E$9:$E$32,$B91),0)))</f>
        <v>0</v>
      </c>
      <c r="AD91" s="65">
        <f ca="1">IF($C$4=Lookups!$D$40,IF(SUM(INDIRECT("'Yr1'!"&amp;ADDRESS(ROW(AD91),COLUMN(AD91))),INDIRECT("'Yr2'!"&amp;ADDRESS(ROW(AD91),COLUMN(AD91))),INDIRECT("'Yr3'!"&amp;ADDRESS(ROW(AD91),COLUMN(AD91))))&gt;0,"3 Yr. total",0),
IF(AD$7&lt;$C$4,0,IF(AD$8&lt;=SUMIFS('EE Inputs'!$V$9:$V$32,'EE Inputs'!$C$9:$C$32,$G$6,'EE Inputs'!$D$9:$D$32,$C$4,'EE Inputs'!$E$9:$E$32,$B91),SUMIFS('EE Inputs'!$V$9:$V$32,'EE Inputs'!$C$9:$C$32,$G$6,'EE Inputs'!$D$9:$D$32,$C$4,'EE Inputs'!$E$9:$E$32,$B91),0)))</f>
        <v>0</v>
      </c>
      <c r="AE91" s="65">
        <f ca="1">IF($C$4=Lookups!$D$40,IF(SUM(INDIRECT("'Yr1'!"&amp;ADDRESS(ROW(AE91),COLUMN(AE91))),INDIRECT("'Yr2'!"&amp;ADDRESS(ROW(AE91),COLUMN(AE91))),INDIRECT("'Yr3'!"&amp;ADDRESS(ROW(AE91),COLUMN(AE91))))&gt;0,"3 Yr. total",0),
IF(AE$7&lt;$C$4,0,IF(AE$8&lt;=SUMIFS('EE Inputs'!$V$9:$V$32,'EE Inputs'!$C$9:$C$32,$G$6,'EE Inputs'!$D$9:$D$32,$C$4,'EE Inputs'!$E$9:$E$32,$B91),SUMIFS('EE Inputs'!$V$9:$V$32,'EE Inputs'!$C$9:$C$32,$G$6,'EE Inputs'!$D$9:$D$32,$C$4,'EE Inputs'!$E$9:$E$32,$B91),0)))</f>
        <v>0</v>
      </c>
      <c r="AF91" s="65">
        <f ca="1">IF($C$4=Lookups!$D$40,IF(SUM(INDIRECT("'Yr1'!"&amp;ADDRESS(ROW(AF91),COLUMN(AF91))),INDIRECT("'Yr2'!"&amp;ADDRESS(ROW(AF91),COLUMN(AF91))),INDIRECT("'Yr3'!"&amp;ADDRESS(ROW(AF91),COLUMN(AF91))))&gt;0,"3 Yr. total",0),
IF(AF$7&lt;$C$4,0,IF(AF$8&lt;=SUMIFS('EE Inputs'!$V$9:$V$32,'EE Inputs'!$C$9:$C$32,$G$6,'EE Inputs'!$D$9:$D$32,$C$4,'EE Inputs'!$E$9:$E$32,$B91),SUMIFS('EE Inputs'!$V$9:$V$32,'EE Inputs'!$C$9:$C$32,$G$6,'EE Inputs'!$D$9:$D$32,$C$4,'EE Inputs'!$E$9:$E$32,$B91),0)))</f>
        <v>0</v>
      </c>
      <c r="AG91" s="65">
        <f ca="1">IF($C$4=Lookups!$D$40,IF(SUM(INDIRECT("'Yr1'!"&amp;ADDRESS(ROW(AG91),COLUMN(AG91))),INDIRECT("'Yr2'!"&amp;ADDRESS(ROW(AG91),COLUMN(AG91))),INDIRECT("'Yr3'!"&amp;ADDRESS(ROW(AG91),COLUMN(AG91))))&gt;0,"3 Yr. total",0),
IF(AG$7&lt;$C$4,0,IF(AG$8&lt;=SUMIFS('EE Inputs'!$V$9:$V$32,'EE Inputs'!$C$9:$C$32,$G$6,'EE Inputs'!$D$9:$D$32,$C$4,'EE Inputs'!$E$9:$E$32,$B91),SUMIFS('EE Inputs'!$V$9:$V$32,'EE Inputs'!$C$9:$C$32,$G$6,'EE Inputs'!$D$9:$D$32,$C$4,'EE Inputs'!$E$9:$E$32,$B91),0)))</f>
        <v>0</v>
      </c>
      <c r="AH91" s="65"/>
      <c r="AI91" s="65"/>
      <c r="AJ91" s="65"/>
      <c r="AM91" s="72">
        <f ca="1">IF($C$4=Lookups!$D$40,IF(SUM(INDIRECT("'Yr1'!"&amp;ADDRESS(ROW(AM91),COLUMN(AM91))),INDIRECT("'Yr2'!"&amp;ADDRESS(ROW(AM91),COLUMN(AM91))),INDIRECT("'Yr3'!"&amp;ADDRESS(ROW(AM91),COLUMN(AM91))))&gt;0,"3 Yr. total",0),
IF(AM$7&lt;$C$4,0,IF(AM$8&lt;=SUMIFS('EE Inputs'!$V$9:$V$32,'EE Inputs'!$C$9:$C$32,$AM$6,'EE Inputs'!$D$9:$D$32,$C$4,'EE Inputs'!$E$9:$E$32,$B91),SUMIFS('EE Inputs'!$V$9:$V$32,'EE Inputs'!$C$9:$C$32,$AM$6,'EE Inputs'!$D$9:$D$32,$C$4,'EE Inputs'!$E$9:$E$32,$B91),0)))</f>
        <v>0</v>
      </c>
      <c r="AN91" s="72">
        <f ca="1">IF($C$4=Lookups!$D$40,IF(SUM(INDIRECT("'Yr1'!"&amp;ADDRESS(ROW(AN91),COLUMN(AN91))),INDIRECT("'Yr2'!"&amp;ADDRESS(ROW(AN91),COLUMN(AN91))),INDIRECT("'Yr3'!"&amp;ADDRESS(ROW(AN91),COLUMN(AN91))))&gt;0,"3 Yr. total",0),
IF(AN$7&lt;$C$4,0,IF(AN$8&lt;=SUMIFS('EE Inputs'!$V$9:$V$32,'EE Inputs'!$C$9:$C$32,$AM$6,'EE Inputs'!$D$9:$D$32,$C$4,'EE Inputs'!$E$9:$E$32,$B91),SUMIFS('EE Inputs'!$V$9:$V$32,'EE Inputs'!$C$9:$C$32,$AM$6,'EE Inputs'!$D$9:$D$32,$C$4,'EE Inputs'!$E$9:$E$32,$B91),0)))</f>
        <v>0</v>
      </c>
      <c r="AO91" s="72">
        <f ca="1">IF($C$4=Lookups!$D$40,IF(SUM(INDIRECT("'Yr1'!"&amp;ADDRESS(ROW(AO91),COLUMN(AO91))),INDIRECT("'Yr2'!"&amp;ADDRESS(ROW(AO91),COLUMN(AO91))),INDIRECT("'Yr3'!"&amp;ADDRESS(ROW(AO91),COLUMN(AO91))))&gt;0,"3 Yr. total",0),
IF(AO$7&lt;$C$4,0,IF(AO$8&lt;=SUMIFS('EE Inputs'!$V$9:$V$32,'EE Inputs'!$C$9:$C$32,$AM$6,'EE Inputs'!$D$9:$D$32,$C$4,'EE Inputs'!$E$9:$E$32,$B91),SUMIFS('EE Inputs'!$V$9:$V$32,'EE Inputs'!$C$9:$C$32,$AM$6,'EE Inputs'!$D$9:$D$32,$C$4,'EE Inputs'!$E$9:$E$32,$B91),0)))</f>
        <v>20</v>
      </c>
      <c r="AP91" s="72">
        <f ca="1">IF($C$4=Lookups!$D$40,IF(SUM(INDIRECT("'Yr1'!"&amp;ADDRESS(ROW(AP91),COLUMN(AP91))),INDIRECT("'Yr2'!"&amp;ADDRESS(ROW(AP91),COLUMN(AP91))),INDIRECT("'Yr3'!"&amp;ADDRESS(ROW(AP91),COLUMN(AP91))))&gt;0,"3 Yr. total",0),
IF(AP$7&lt;$C$4,0,IF(AP$8&lt;=SUMIFS('EE Inputs'!$V$9:$V$32,'EE Inputs'!$C$9:$C$32,$AM$6,'EE Inputs'!$D$9:$D$32,$C$4,'EE Inputs'!$E$9:$E$32,$B91),SUMIFS('EE Inputs'!$V$9:$V$32,'EE Inputs'!$C$9:$C$32,$AM$6,'EE Inputs'!$D$9:$D$32,$C$4,'EE Inputs'!$E$9:$E$32,$B91),0)))</f>
        <v>20</v>
      </c>
      <c r="AQ91" s="72">
        <f ca="1">IF($C$4=Lookups!$D$40,IF(SUM(INDIRECT("'Yr1'!"&amp;ADDRESS(ROW(AQ91),COLUMN(AQ91))),INDIRECT("'Yr2'!"&amp;ADDRESS(ROW(AQ91),COLUMN(AQ91))),INDIRECT("'Yr3'!"&amp;ADDRESS(ROW(AQ91),COLUMN(AQ91))))&gt;0,"3 Yr. total",0),
IF(AQ$7&lt;$C$4,0,IF(AQ$8&lt;=SUMIFS('EE Inputs'!$V$9:$V$32,'EE Inputs'!$C$9:$C$32,$AM$6,'EE Inputs'!$D$9:$D$32,$C$4,'EE Inputs'!$E$9:$E$32,$B91),SUMIFS('EE Inputs'!$V$9:$V$32,'EE Inputs'!$C$9:$C$32,$AM$6,'EE Inputs'!$D$9:$D$32,$C$4,'EE Inputs'!$E$9:$E$32,$B91),0)))</f>
        <v>20</v>
      </c>
      <c r="AR91" s="72">
        <f ca="1">IF($C$4=Lookups!$D$40,IF(SUM(INDIRECT("'Yr1'!"&amp;ADDRESS(ROW(AR91),COLUMN(AR91))),INDIRECT("'Yr2'!"&amp;ADDRESS(ROW(AR91),COLUMN(AR91))),INDIRECT("'Yr3'!"&amp;ADDRESS(ROW(AR91),COLUMN(AR91))))&gt;0,"3 Yr. total",0),
IF(AR$7&lt;$C$4,0,IF(AR$8&lt;=SUMIFS('EE Inputs'!$V$9:$V$32,'EE Inputs'!$C$9:$C$32,$AM$6,'EE Inputs'!$D$9:$D$32,$C$4,'EE Inputs'!$E$9:$E$32,$B91),SUMIFS('EE Inputs'!$V$9:$V$32,'EE Inputs'!$C$9:$C$32,$AM$6,'EE Inputs'!$D$9:$D$32,$C$4,'EE Inputs'!$E$9:$E$32,$B91),0)))</f>
        <v>20</v>
      </c>
      <c r="AS91" s="72">
        <f ca="1">IF($C$4=Lookups!$D$40,IF(SUM(INDIRECT("'Yr1'!"&amp;ADDRESS(ROW(AS91),COLUMN(AS91))),INDIRECT("'Yr2'!"&amp;ADDRESS(ROW(AS91),COLUMN(AS91))),INDIRECT("'Yr3'!"&amp;ADDRESS(ROW(AS91),COLUMN(AS91))))&gt;0,"3 Yr. total",0),
IF(AS$7&lt;$C$4,0,IF(AS$8&lt;=SUMIFS('EE Inputs'!$V$9:$V$32,'EE Inputs'!$C$9:$C$32,$AM$6,'EE Inputs'!$D$9:$D$32,$C$4,'EE Inputs'!$E$9:$E$32,$B91),SUMIFS('EE Inputs'!$V$9:$V$32,'EE Inputs'!$C$9:$C$32,$AM$6,'EE Inputs'!$D$9:$D$32,$C$4,'EE Inputs'!$E$9:$E$32,$B91),0)))</f>
        <v>20</v>
      </c>
      <c r="AT91" s="72">
        <f ca="1">IF($C$4=Lookups!$D$40,IF(SUM(INDIRECT("'Yr1'!"&amp;ADDRESS(ROW(AT91),COLUMN(AT91))),INDIRECT("'Yr2'!"&amp;ADDRESS(ROW(AT91),COLUMN(AT91))),INDIRECT("'Yr3'!"&amp;ADDRESS(ROW(AT91),COLUMN(AT91))))&gt;0,"3 Yr. total",0),
IF(AT$7&lt;$C$4,0,IF(AT$8&lt;=SUMIFS('EE Inputs'!$V$9:$V$32,'EE Inputs'!$C$9:$C$32,$AM$6,'EE Inputs'!$D$9:$D$32,$C$4,'EE Inputs'!$E$9:$E$32,$B91),SUMIFS('EE Inputs'!$V$9:$V$32,'EE Inputs'!$C$9:$C$32,$AM$6,'EE Inputs'!$D$9:$D$32,$C$4,'EE Inputs'!$E$9:$E$32,$B91),0)))</f>
        <v>20</v>
      </c>
      <c r="AU91" s="72">
        <f ca="1">IF($C$4=Lookups!$D$40,IF(SUM(INDIRECT("'Yr1'!"&amp;ADDRESS(ROW(AU91),COLUMN(AU91))),INDIRECT("'Yr2'!"&amp;ADDRESS(ROW(AU91),COLUMN(AU91))),INDIRECT("'Yr3'!"&amp;ADDRESS(ROW(AU91),COLUMN(AU91))))&gt;0,"3 Yr. total",0),
IF(AU$7&lt;$C$4,0,IF(AU$8&lt;=SUMIFS('EE Inputs'!$V$9:$V$32,'EE Inputs'!$C$9:$C$32,$AM$6,'EE Inputs'!$D$9:$D$32,$C$4,'EE Inputs'!$E$9:$E$32,$B91),SUMIFS('EE Inputs'!$V$9:$V$32,'EE Inputs'!$C$9:$C$32,$AM$6,'EE Inputs'!$D$9:$D$32,$C$4,'EE Inputs'!$E$9:$E$32,$B91),0)))</f>
        <v>20</v>
      </c>
      <c r="AV91" s="72">
        <f ca="1">IF($C$4=Lookups!$D$40,IF(SUM(INDIRECT("'Yr1'!"&amp;ADDRESS(ROW(AV91),COLUMN(AV91))),INDIRECT("'Yr2'!"&amp;ADDRESS(ROW(AV91),COLUMN(AV91))),INDIRECT("'Yr3'!"&amp;ADDRESS(ROW(AV91),COLUMN(AV91))))&gt;0,"3 Yr. total",0),
IF(AV$7&lt;$C$4,0,IF(AV$8&lt;=SUMIFS('EE Inputs'!$V$9:$V$32,'EE Inputs'!$C$9:$C$32,$AM$6,'EE Inputs'!$D$9:$D$32,$C$4,'EE Inputs'!$E$9:$E$32,$B91),SUMIFS('EE Inputs'!$V$9:$V$32,'EE Inputs'!$C$9:$C$32,$AM$6,'EE Inputs'!$D$9:$D$32,$C$4,'EE Inputs'!$E$9:$E$32,$B91),0)))</f>
        <v>20</v>
      </c>
      <c r="AW91" s="72">
        <f ca="1">IF($C$4=Lookups!$D$40,IF(SUM(INDIRECT("'Yr1'!"&amp;ADDRESS(ROW(AW91),COLUMN(AW91))),INDIRECT("'Yr2'!"&amp;ADDRESS(ROW(AW91),COLUMN(AW91))),INDIRECT("'Yr3'!"&amp;ADDRESS(ROW(AW91),COLUMN(AW91))))&gt;0,"3 Yr. total",0),
IF(AW$7&lt;$C$4,0,IF(AW$8&lt;=SUMIFS('EE Inputs'!$V$9:$V$32,'EE Inputs'!$C$9:$C$32,$AM$6,'EE Inputs'!$D$9:$D$32,$C$4,'EE Inputs'!$E$9:$E$32,$B91),SUMIFS('EE Inputs'!$V$9:$V$32,'EE Inputs'!$C$9:$C$32,$AM$6,'EE Inputs'!$D$9:$D$32,$C$4,'EE Inputs'!$E$9:$E$32,$B91),0)))</f>
        <v>20</v>
      </c>
      <c r="AX91" s="72">
        <f ca="1">IF($C$4=Lookups!$D$40,IF(SUM(INDIRECT("'Yr1'!"&amp;ADDRESS(ROW(AX91),COLUMN(AX91))),INDIRECT("'Yr2'!"&amp;ADDRESS(ROW(AX91),COLUMN(AX91))),INDIRECT("'Yr3'!"&amp;ADDRESS(ROW(AX91),COLUMN(AX91))))&gt;0,"3 Yr. total",0),
IF(AX$7&lt;$C$4,0,IF(AX$8&lt;=SUMIFS('EE Inputs'!$V$9:$V$32,'EE Inputs'!$C$9:$C$32,$AM$6,'EE Inputs'!$D$9:$D$32,$C$4,'EE Inputs'!$E$9:$E$32,$B91),SUMIFS('EE Inputs'!$V$9:$V$32,'EE Inputs'!$C$9:$C$32,$AM$6,'EE Inputs'!$D$9:$D$32,$C$4,'EE Inputs'!$E$9:$E$32,$B91),0)))</f>
        <v>20</v>
      </c>
      <c r="AY91" s="72">
        <f ca="1">IF($C$4=Lookups!$D$40,IF(SUM(INDIRECT("'Yr1'!"&amp;ADDRESS(ROW(AY91),COLUMN(AY91))),INDIRECT("'Yr2'!"&amp;ADDRESS(ROW(AY91),COLUMN(AY91))),INDIRECT("'Yr3'!"&amp;ADDRESS(ROW(AY91),COLUMN(AY91))))&gt;0,"3 Yr. total",0),
IF(AY$7&lt;$C$4,0,IF(AY$8&lt;=SUMIFS('EE Inputs'!$V$9:$V$32,'EE Inputs'!$C$9:$C$32,$AM$6,'EE Inputs'!$D$9:$D$32,$C$4,'EE Inputs'!$E$9:$E$32,$B91),SUMIFS('EE Inputs'!$V$9:$V$32,'EE Inputs'!$C$9:$C$32,$AM$6,'EE Inputs'!$D$9:$D$32,$C$4,'EE Inputs'!$E$9:$E$32,$B91),0)))</f>
        <v>20</v>
      </c>
      <c r="AZ91" s="72">
        <f ca="1">IF($C$4=Lookups!$D$40,IF(SUM(INDIRECT("'Yr1'!"&amp;ADDRESS(ROW(AZ91),COLUMN(AZ91))),INDIRECT("'Yr2'!"&amp;ADDRESS(ROW(AZ91),COLUMN(AZ91))),INDIRECT("'Yr3'!"&amp;ADDRESS(ROW(AZ91),COLUMN(AZ91))))&gt;0,"3 Yr. total",0),
IF(AZ$7&lt;$C$4,0,IF(AZ$8&lt;=SUMIFS('EE Inputs'!$V$9:$V$32,'EE Inputs'!$C$9:$C$32,$AM$6,'EE Inputs'!$D$9:$D$32,$C$4,'EE Inputs'!$E$9:$E$32,$B91),SUMIFS('EE Inputs'!$V$9:$V$32,'EE Inputs'!$C$9:$C$32,$AM$6,'EE Inputs'!$D$9:$D$32,$C$4,'EE Inputs'!$E$9:$E$32,$B91),0)))</f>
        <v>20</v>
      </c>
      <c r="BA91" s="72">
        <f ca="1">IF($C$4=Lookups!$D$40,IF(SUM(INDIRECT("'Yr1'!"&amp;ADDRESS(ROW(BA91),COLUMN(BA91))),INDIRECT("'Yr2'!"&amp;ADDRESS(ROW(BA91),COLUMN(BA91))),INDIRECT("'Yr3'!"&amp;ADDRESS(ROW(BA91),COLUMN(BA91))))&gt;0,"3 Yr. total",0),
IF(BA$7&lt;$C$4,0,IF(BA$8&lt;=SUMIFS('EE Inputs'!$V$9:$V$32,'EE Inputs'!$C$9:$C$32,$AM$6,'EE Inputs'!$D$9:$D$32,$C$4,'EE Inputs'!$E$9:$E$32,$B91),SUMIFS('EE Inputs'!$V$9:$V$32,'EE Inputs'!$C$9:$C$32,$AM$6,'EE Inputs'!$D$9:$D$32,$C$4,'EE Inputs'!$E$9:$E$32,$B91),0)))</f>
        <v>20</v>
      </c>
      <c r="BB91" s="72">
        <f ca="1">IF($C$4=Lookups!$D$40,IF(SUM(INDIRECT("'Yr1'!"&amp;ADDRESS(ROW(BB91),COLUMN(BB91))),INDIRECT("'Yr2'!"&amp;ADDRESS(ROW(BB91),COLUMN(BB91))),INDIRECT("'Yr3'!"&amp;ADDRESS(ROW(BB91),COLUMN(BB91))))&gt;0,"3 Yr. total",0),
IF(BB$7&lt;$C$4,0,IF(BB$8&lt;=SUMIFS('EE Inputs'!$V$9:$V$32,'EE Inputs'!$C$9:$C$32,$AM$6,'EE Inputs'!$D$9:$D$32,$C$4,'EE Inputs'!$E$9:$E$32,$B91),SUMIFS('EE Inputs'!$V$9:$V$32,'EE Inputs'!$C$9:$C$32,$AM$6,'EE Inputs'!$D$9:$D$32,$C$4,'EE Inputs'!$E$9:$E$32,$B91),0)))</f>
        <v>20</v>
      </c>
      <c r="BC91" s="72">
        <f ca="1">IF($C$4=Lookups!$D$40,IF(SUM(INDIRECT("'Yr1'!"&amp;ADDRESS(ROW(BC91),COLUMN(BC91))),INDIRECT("'Yr2'!"&amp;ADDRESS(ROW(BC91),COLUMN(BC91))),INDIRECT("'Yr3'!"&amp;ADDRESS(ROW(BC91),COLUMN(BC91))))&gt;0,"3 Yr. total",0),
IF(BC$7&lt;$C$4,0,IF(BC$8&lt;=SUMIFS('EE Inputs'!$V$9:$V$32,'EE Inputs'!$C$9:$C$32,$AM$6,'EE Inputs'!$D$9:$D$32,$C$4,'EE Inputs'!$E$9:$E$32,$B91),SUMIFS('EE Inputs'!$V$9:$V$32,'EE Inputs'!$C$9:$C$32,$AM$6,'EE Inputs'!$D$9:$D$32,$C$4,'EE Inputs'!$E$9:$E$32,$B91),0)))</f>
        <v>20</v>
      </c>
      <c r="BD91" s="72">
        <f ca="1">IF($C$4=Lookups!$D$40,IF(SUM(INDIRECT("'Yr1'!"&amp;ADDRESS(ROW(BD91),COLUMN(BD91))),INDIRECT("'Yr2'!"&amp;ADDRESS(ROW(BD91),COLUMN(BD91))),INDIRECT("'Yr3'!"&amp;ADDRESS(ROW(BD91),COLUMN(BD91))))&gt;0,"3 Yr. total",0),
IF(BD$7&lt;$C$4,0,IF(BD$8&lt;=SUMIFS('EE Inputs'!$V$9:$V$32,'EE Inputs'!$C$9:$C$32,$AM$6,'EE Inputs'!$D$9:$D$32,$C$4,'EE Inputs'!$E$9:$E$32,$B91),SUMIFS('EE Inputs'!$V$9:$V$32,'EE Inputs'!$C$9:$C$32,$AM$6,'EE Inputs'!$D$9:$D$32,$C$4,'EE Inputs'!$E$9:$E$32,$B91),0)))</f>
        <v>20</v>
      </c>
      <c r="BE91" s="72">
        <f ca="1">IF($C$4=Lookups!$D$40,IF(SUM(INDIRECT("'Yr1'!"&amp;ADDRESS(ROW(BE91),COLUMN(BE91))),INDIRECT("'Yr2'!"&amp;ADDRESS(ROW(BE91),COLUMN(BE91))),INDIRECT("'Yr3'!"&amp;ADDRESS(ROW(BE91),COLUMN(BE91))))&gt;0,"3 Yr. total",0),
IF(BE$7&lt;$C$4,0,IF(BE$8&lt;=SUMIFS('EE Inputs'!$V$9:$V$32,'EE Inputs'!$C$9:$C$32,$AM$6,'EE Inputs'!$D$9:$D$32,$C$4,'EE Inputs'!$E$9:$E$32,$B91),SUMIFS('EE Inputs'!$V$9:$V$32,'EE Inputs'!$C$9:$C$32,$AM$6,'EE Inputs'!$D$9:$D$32,$C$4,'EE Inputs'!$E$9:$E$32,$B91),0)))</f>
        <v>20</v>
      </c>
      <c r="BF91" s="72">
        <f ca="1">IF($C$4=Lookups!$D$40,IF(SUM(INDIRECT("'Yr1'!"&amp;ADDRESS(ROW(BF91),COLUMN(BF91))),INDIRECT("'Yr2'!"&amp;ADDRESS(ROW(BF91),COLUMN(BF91))),INDIRECT("'Yr3'!"&amp;ADDRESS(ROW(BF91),COLUMN(BF91))))&gt;0,"3 Yr. total",0),
IF(BF$7&lt;$C$4,0,IF(BF$8&lt;=SUMIFS('EE Inputs'!$V$9:$V$32,'EE Inputs'!$C$9:$C$32,$AM$6,'EE Inputs'!$D$9:$D$32,$C$4,'EE Inputs'!$E$9:$E$32,$B91),SUMIFS('EE Inputs'!$V$9:$V$32,'EE Inputs'!$C$9:$C$32,$AM$6,'EE Inputs'!$D$9:$D$32,$C$4,'EE Inputs'!$E$9:$E$32,$B91),0)))</f>
        <v>20</v>
      </c>
      <c r="BG91" s="72">
        <f ca="1">IF($C$4=Lookups!$D$40,IF(SUM(INDIRECT("'Yr1'!"&amp;ADDRESS(ROW(BG91),COLUMN(BG91))),INDIRECT("'Yr2'!"&amp;ADDRESS(ROW(BG91),COLUMN(BG91))),INDIRECT("'Yr3'!"&amp;ADDRESS(ROW(BG91),COLUMN(BG91))))&gt;0,"3 Yr. total",0),
IF(BG$7&lt;$C$4,0,IF(BG$8&lt;=SUMIFS('EE Inputs'!$V$9:$V$32,'EE Inputs'!$C$9:$C$32,$AM$6,'EE Inputs'!$D$9:$D$32,$C$4,'EE Inputs'!$E$9:$E$32,$B91),SUMIFS('EE Inputs'!$V$9:$V$32,'EE Inputs'!$C$9:$C$32,$AM$6,'EE Inputs'!$D$9:$D$32,$C$4,'EE Inputs'!$E$9:$E$32,$B91),0)))</f>
        <v>20</v>
      </c>
      <c r="BH91" s="72">
        <f ca="1">IF($C$4=Lookups!$D$40,IF(SUM(INDIRECT("'Yr1'!"&amp;ADDRESS(ROW(BH91),COLUMN(BH91))),INDIRECT("'Yr2'!"&amp;ADDRESS(ROW(BH91),COLUMN(BH91))),INDIRECT("'Yr3'!"&amp;ADDRESS(ROW(BH91),COLUMN(BH91))))&gt;0,"3 Yr. total",0),
IF(BH$7&lt;$C$4,0,IF(BH$8&lt;=SUMIFS('EE Inputs'!$V$9:$V$32,'EE Inputs'!$C$9:$C$32,$AM$6,'EE Inputs'!$D$9:$D$32,$C$4,'EE Inputs'!$E$9:$E$32,$B91),SUMIFS('EE Inputs'!$V$9:$V$32,'EE Inputs'!$C$9:$C$32,$AM$6,'EE Inputs'!$D$9:$D$32,$C$4,'EE Inputs'!$E$9:$E$32,$B91),0)))</f>
        <v>20</v>
      </c>
      <c r="BI91" s="72">
        <f ca="1">IF($C$4=Lookups!$D$40,IF(SUM(INDIRECT("'Yr1'!"&amp;ADDRESS(ROW(BI91),COLUMN(BI91))),INDIRECT("'Yr2'!"&amp;ADDRESS(ROW(BI91),COLUMN(BI91))),INDIRECT("'Yr3'!"&amp;ADDRESS(ROW(BI91),COLUMN(BI91))))&gt;0,"3 Yr. total",0),
IF(BI$7&lt;$C$4,0,IF(BI$8&lt;=SUMIFS('EE Inputs'!$V$9:$V$32,'EE Inputs'!$C$9:$C$32,$AM$6,'EE Inputs'!$D$9:$D$32,$C$4,'EE Inputs'!$E$9:$E$32,$B91),SUMIFS('EE Inputs'!$V$9:$V$32,'EE Inputs'!$C$9:$C$32,$AM$6,'EE Inputs'!$D$9:$D$32,$C$4,'EE Inputs'!$E$9:$E$32,$B91),0)))</f>
        <v>0</v>
      </c>
      <c r="BJ91" s="72">
        <f ca="1">IF($C$4=Lookups!$D$40,IF(SUM(INDIRECT("'Yr1'!"&amp;ADDRESS(ROW(BJ91),COLUMN(BJ91))),INDIRECT("'Yr2'!"&amp;ADDRESS(ROW(BJ91),COLUMN(BJ91))),INDIRECT("'Yr3'!"&amp;ADDRESS(ROW(BJ91),COLUMN(BJ91))))&gt;0,"3 Yr. total",0),
IF(BJ$7&lt;$C$4,0,IF(BJ$8&lt;=SUMIFS('EE Inputs'!$V$9:$V$32,'EE Inputs'!$C$9:$C$32,$AM$6,'EE Inputs'!$D$9:$D$32,$C$4,'EE Inputs'!$E$9:$E$32,$B91),SUMIFS('EE Inputs'!$V$9:$V$32,'EE Inputs'!$C$9:$C$32,$AM$6,'EE Inputs'!$D$9:$D$32,$C$4,'EE Inputs'!$E$9:$E$32,$B91),0)))</f>
        <v>0</v>
      </c>
      <c r="BK91" s="72">
        <f ca="1">IF($C$4=Lookups!$D$40,IF(SUM(INDIRECT("'Yr1'!"&amp;ADDRESS(ROW(BK91),COLUMN(BK91))),INDIRECT("'Yr2'!"&amp;ADDRESS(ROW(BK91),COLUMN(BK91))),INDIRECT("'Yr3'!"&amp;ADDRESS(ROW(BK91),COLUMN(BK91))))&gt;0,"3 Yr. total",0),
IF(BK$7&lt;$C$4,0,IF(BK$8&lt;=SUMIFS('EE Inputs'!$V$9:$V$32,'EE Inputs'!$C$9:$C$32,$AM$6,'EE Inputs'!$D$9:$D$32,$C$4,'EE Inputs'!$E$9:$E$32,$B91),SUMIFS('EE Inputs'!$V$9:$V$32,'EE Inputs'!$C$9:$C$32,$AM$6,'EE Inputs'!$D$9:$D$32,$C$4,'EE Inputs'!$E$9:$E$32,$B91),0)))</f>
        <v>0</v>
      </c>
      <c r="BL91" s="72">
        <f ca="1">IF($C$4=Lookups!$D$40,IF(SUM(INDIRECT("'Yr1'!"&amp;ADDRESS(ROW(BL91),COLUMN(BL91))),INDIRECT("'Yr2'!"&amp;ADDRESS(ROW(BL91),COLUMN(BL91))),INDIRECT("'Yr3'!"&amp;ADDRESS(ROW(BL91),COLUMN(BL91))))&gt;0,"3 Yr. total",0),
IF(BL$7&lt;$C$4,0,IF(BL$8&lt;=SUMIFS('EE Inputs'!$V$9:$V$32,'EE Inputs'!$C$9:$C$32,$AM$6,'EE Inputs'!$D$9:$D$32,$C$4,'EE Inputs'!$E$9:$E$32,$B91),SUMIFS('EE Inputs'!$V$9:$V$32,'EE Inputs'!$C$9:$C$32,$AM$6,'EE Inputs'!$D$9:$D$32,$C$4,'EE Inputs'!$E$9:$E$32,$B91),0)))</f>
        <v>0</v>
      </c>
      <c r="BM91" s="72">
        <f ca="1">IF($C$4=Lookups!$D$40,IF(SUM(INDIRECT("'Yr1'!"&amp;ADDRESS(ROW(BM91),COLUMN(BM91))),INDIRECT("'Yr2'!"&amp;ADDRESS(ROW(BM91),COLUMN(BM91))),INDIRECT("'Yr3'!"&amp;ADDRESS(ROW(BM91),COLUMN(BM91))))&gt;0,"3 Yr. total",0),
IF(BM$7&lt;$C$4,0,IF(BM$8&lt;=SUMIFS('EE Inputs'!$V$9:$V$32,'EE Inputs'!$C$9:$C$32,$AM$6,'EE Inputs'!$D$9:$D$32,$C$4,'EE Inputs'!$E$9:$E$32,$B91),SUMIFS('EE Inputs'!$V$9:$V$32,'EE Inputs'!$C$9:$C$32,$AM$6,'EE Inputs'!$D$9:$D$32,$C$4,'EE Inputs'!$E$9:$E$32,$B91),0)))</f>
        <v>0</v>
      </c>
      <c r="BN91" s="72"/>
      <c r="BO91" s="72"/>
      <c r="BP91" s="72"/>
      <c r="BS91" s="76" t="s">
        <v>90</v>
      </c>
      <c r="BT91" s="51" t="s">
        <v>17</v>
      </c>
    </row>
    <row r="92" spans="1:72" s="5" customFormat="1" x14ac:dyDescent="0.25">
      <c r="A92" s="52"/>
      <c r="B92" s="242" t="str">
        <f t="shared" si="85"/>
        <v>Low-Income</v>
      </c>
      <c r="C92" s="242" t="str">
        <f>C91</f>
        <v>Customers</v>
      </c>
      <c r="D92" s="77" t="s">
        <v>17</v>
      </c>
      <c r="E92" s="76"/>
      <c r="F92" s="76"/>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S92" s="76"/>
      <c r="BT92" s="51" t="s">
        <v>17</v>
      </c>
    </row>
    <row r="93" spans="1:72" s="5" customFormat="1" ht="15.75" x14ac:dyDescent="0.25">
      <c r="A93" s="52"/>
      <c r="B93" s="241" t="str">
        <f t="shared" si="85"/>
        <v>Low-Income</v>
      </c>
      <c r="C93" s="63" t="s">
        <v>4</v>
      </c>
      <c r="D93" s="61"/>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2"/>
      <c r="BO93" s="62"/>
      <c r="BP93" s="62"/>
      <c r="BS93" s="62"/>
      <c r="BT93" s="51" t="s">
        <v>17</v>
      </c>
    </row>
    <row r="94" spans="1:72" x14ac:dyDescent="0.25">
      <c r="B94" s="243" t="str">
        <f t="shared" si="85"/>
        <v>Low-Income</v>
      </c>
      <c r="C94" s="243" t="str">
        <f>C93</f>
        <v>Sales</v>
      </c>
      <c r="D94" s="244" t="str">
        <f>"Sales before DSM ("&amp;Lookups!$D$22&amp;" Scenario)"</f>
        <v>Sales before DSM (No EE Scenario)</v>
      </c>
      <c r="E94" s="85" t="str">
        <f>"Sales before DSM ("&amp;Lookups!$D$22&amp;" Scenario)"</f>
        <v>Sales before DSM (No EE Scenario)</v>
      </c>
      <c r="F94" s="84" t="s">
        <v>195</v>
      </c>
      <c r="G94" s="64">
        <f>IF(G$8=0,0,INDEX('Multi-Year Inputs'!$E$41:$AE$44,MATCH($B94,'Multi-Year Inputs'!$D$41:$D$44,0),MATCH(G$7,'Multi-Year Inputs'!$E$4:$AE$4,0)))</f>
        <v>0</v>
      </c>
      <c r="H94" s="64">
        <f>IF(H$8=0,0,INDEX('Multi-Year Inputs'!$E$41:$AE$44,MATCH($B94,'Multi-Year Inputs'!$D$41:$D$44,0),MATCH(H$7,'Multi-Year Inputs'!$E$4:$AE$4,0)))</f>
        <v>0</v>
      </c>
      <c r="I94" s="64">
        <f>IF(I$8=0,0,INDEX('Multi-Year Inputs'!$E$41:$AE$44,MATCH($B94,'Multi-Year Inputs'!$D$41:$D$44,0),MATCH(I$7,'Multi-Year Inputs'!$E$4:$AE$4,0)))</f>
        <v>4673617.4897935251</v>
      </c>
      <c r="J94" s="64">
        <f>IF(J$8=0,0,INDEX('Multi-Year Inputs'!$E$41:$AE$44,MATCH($B94,'Multi-Year Inputs'!$D$41:$D$44,0),MATCH(J$7,'Multi-Year Inputs'!$E$4:$AE$4,0)))</f>
        <v>4673617.4897935251</v>
      </c>
      <c r="K94" s="64">
        <f>IF(K$8=0,0,INDEX('Multi-Year Inputs'!$E$41:$AE$44,MATCH($B94,'Multi-Year Inputs'!$D$41:$D$44,0),MATCH(K$7,'Multi-Year Inputs'!$E$4:$AE$4,0)))</f>
        <v>4673617.4897935251</v>
      </c>
      <c r="L94" s="64">
        <f>IF(L$8=0,0,INDEX('Multi-Year Inputs'!$E$41:$AE$44,MATCH($B94,'Multi-Year Inputs'!$D$41:$D$44,0),MATCH(L$7,'Multi-Year Inputs'!$E$4:$AE$4,0)))</f>
        <v>4673617.4897935251</v>
      </c>
      <c r="M94" s="64">
        <f>IF(M$8=0,0,INDEX('Multi-Year Inputs'!$E$41:$AE$44,MATCH($B94,'Multi-Year Inputs'!$D$41:$D$44,0),MATCH(M$7,'Multi-Year Inputs'!$E$4:$AE$4,0)))</f>
        <v>4673617.4897935251</v>
      </c>
      <c r="N94" s="64">
        <f>IF(N$8=0,0,INDEX('Multi-Year Inputs'!$E$41:$AE$44,MATCH($B94,'Multi-Year Inputs'!$D$41:$D$44,0),MATCH(N$7,'Multi-Year Inputs'!$E$4:$AE$4,0)))</f>
        <v>4673617.4897935251</v>
      </c>
      <c r="O94" s="64">
        <f>IF(O$8=0,0,INDEX('Multi-Year Inputs'!$E$41:$AE$44,MATCH($B94,'Multi-Year Inputs'!$D$41:$D$44,0),MATCH(O$7,'Multi-Year Inputs'!$E$4:$AE$4,0)))</f>
        <v>4673617.4897935251</v>
      </c>
      <c r="P94" s="64">
        <f>IF(P$8=0,0,INDEX('Multi-Year Inputs'!$E$41:$AE$44,MATCH($B94,'Multi-Year Inputs'!$D$41:$D$44,0),MATCH(P$7,'Multi-Year Inputs'!$E$4:$AE$4,0)))</f>
        <v>4673617.4897935251</v>
      </c>
      <c r="Q94" s="64">
        <f>IF(Q$8=0,0,INDEX('Multi-Year Inputs'!$E$41:$AE$44,MATCH($B94,'Multi-Year Inputs'!$D$41:$D$44,0),MATCH(Q$7,'Multi-Year Inputs'!$E$4:$AE$4,0)))</f>
        <v>4673617.4897935251</v>
      </c>
      <c r="R94" s="64">
        <f>IF(R$8=0,0,INDEX('Multi-Year Inputs'!$E$41:$AE$44,MATCH($B94,'Multi-Year Inputs'!$D$41:$D$44,0),MATCH(R$7,'Multi-Year Inputs'!$E$4:$AE$4,0)))</f>
        <v>4673617.4897935251</v>
      </c>
      <c r="S94" s="64">
        <f>IF(S$8=0,0,INDEX('Multi-Year Inputs'!$E$41:$AE$44,MATCH($B94,'Multi-Year Inputs'!$D$41:$D$44,0),MATCH(S$7,'Multi-Year Inputs'!$E$4:$AE$4,0)))</f>
        <v>4673617.4897935251</v>
      </c>
      <c r="T94" s="64">
        <f>IF(T$8=0,0,INDEX('Multi-Year Inputs'!$E$41:$AE$44,MATCH($B94,'Multi-Year Inputs'!$D$41:$D$44,0),MATCH(T$7,'Multi-Year Inputs'!$E$4:$AE$4,0)))</f>
        <v>4673617.4897935251</v>
      </c>
      <c r="U94" s="64">
        <f>IF(U$8=0,0,INDEX('Multi-Year Inputs'!$E$41:$AE$44,MATCH($B94,'Multi-Year Inputs'!$D$41:$D$44,0),MATCH(U$7,'Multi-Year Inputs'!$E$4:$AE$4,0)))</f>
        <v>4673617.4897935251</v>
      </c>
      <c r="V94" s="64">
        <f>IF(V$8=0,0,INDEX('Multi-Year Inputs'!$E$41:$AE$44,MATCH($B94,'Multi-Year Inputs'!$D$41:$D$44,0),MATCH(V$7,'Multi-Year Inputs'!$E$4:$AE$4,0)))</f>
        <v>4673617.4897935251</v>
      </c>
      <c r="W94" s="64">
        <f>IF(W$8=0,0,INDEX('Multi-Year Inputs'!$E$41:$AE$44,MATCH($B94,'Multi-Year Inputs'!$D$41:$D$44,0),MATCH(W$7,'Multi-Year Inputs'!$E$4:$AE$4,0)))</f>
        <v>4673617.4897935251</v>
      </c>
      <c r="X94" s="64">
        <f>IF(X$8=0,0,INDEX('Multi-Year Inputs'!$E$41:$AE$44,MATCH($B94,'Multi-Year Inputs'!$D$41:$D$44,0),MATCH(X$7,'Multi-Year Inputs'!$E$4:$AE$4,0)))</f>
        <v>4673617.4897935251</v>
      </c>
      <c r="Y94" s="64">
        <f>IF(Y$8=0,0,INDEX('Multi-Year Inputs'!$E$41:$AE$44,MATCH($B94,'Multi-Year Inputs'!$D$41:$D$44,0),MATCH(Y$7,'Multi-Year Inputs'!$E$4:$AE$4,0)))</f>
        <v>4673617.4897935251</v>
      </c>
      <c r="Z94" s="64">
        <f>IF(Z$8=0,0,INDEX('Multi-Year Inputs'!$E$41:$AE$44,MATCH($B94,'Multi-Year Inputs'!$D$41:$D$44,0),MATCH(Z$7,'Multi-Year Inputs'!$E$4:$AE$4,0)))</f>
        <v>4673617.4897935251</v>
      </c>
      <c r="AA94" s="64">
        <f>IF(AA$8=0,0,INDEX('Multi-Year Inputs'!$E$41:$AE$44,MATCH($B94,'Multi-Year Inputs'!$D$41:$D$44,0),MATCH(AA$7,'Multi-Year Inputs'!$E$4:$AE$4,0)))</f>
        <v>4673617.4897935251</v>
      </c>
      <c r="AB94" s="64">
        <f>IF(AB$8=0,0,INDEX('Multi-Year Inputs'!$E$41:$AE$44,MATCH($B94,'Multi-Year Inputs'!$D$41:$D$44,0),MATCH(AB$7,'Multi-Year Inputs'!$E$4:$AE$4,0)))</f>
        <v>4673617.4897935251</v>
      </c>
      <c r="AC94" s="64">
        <f>IF(AC$8=0,0,INDEX('Multi-Year Inputs'!$E$41:$AE$44,MATCH($B94,'Multi-Year Inputs'!$D$41:$D$44,0),MATCH(AC$7,'Multi-Year Inputs'!$E$4:$AE$4,0)))</f>
        <v>4673617.4897935251</v>
      </c>
      <c r="AD94" s="64">
        <f>IF(AD$8=0,0,INDEX('Multi-Year Inputs'!$E$41:$AE$44,MATCH($B94,'Multi-Year Inputs'!$D$41:$D$44,0),MATCH(AD$7,'Multi-Year Inputs'!$E$4:$AE$4,0)))</f>
        <v>4673617.4897935251</v>
      </c>
      <c r="AE94" s="64">
        <f>IF(AE$8=0,0,INDEX('Multi-Year Inputs'!$E$41:$AE$44,MATCH($B94,'Multi-Year Inputs'!$D$41:$D$44,0),MATCH(AE$7,'Multi-Year Inputs'!$E$4:$AE$4,0)))</f>
        <v>4673617.4897935251</v>
      </c>
      <c r="AF94" s="64">
        <f>IF(AF$8=0,0,INDEX('Multi-Year Inputs'!$E$41:$AE$44,MATCH($B94,'Multi-Year Inputs'!$D$41:$D$44,0),MATCH(AF$7,'Multi-Year Inputs'!$E$4:$AE$4,0)))</f>
        <v>4673617.4897935251</v>
      </c>
      <c r="AG94" s="64">
        <f>IF(AG$8=0,0,INDEX('Multi-Year Inputs'!$E$41:$AE$44,MATCH($B94,'Multi-Year Inputs'!$D$41:$D$44,0),MATCH(AG$7,'Multi-Year Inputs'!$E$4:$AE$4,0)))</f>
        <v>4673617.4897935251</v>
      </c>
      <c r="AH94" s="64"/>
      <c r="AI94" s="64">
        <f t="shared" ref="AI94:AI96" si="86">SUM(G94:AG94)</f>
        <v>116840437.24483812</v>
      </c>
      <c r="AJ94" s="64"/>
      <c r="AM94" s="71">
        <f>IF(AM$8=0,0,INDEX('Multi-Year Inputs'!$E$41:$AE$44,MATCH($B94,'Multi-Year Inputs'!$D$41:$D$44,0),MATCH(AM$7,'Multi-Year Inputs'!$E$4:$AE$4,0)))</f>
        <v>0</v>
      </c>
      <c r="AN94" s="71">
        <f>IF(AN$8=0,0,INDEX('Multi-Year Inputs'!$E$41:$AE$44,MATCH($B94,'Multi-Year Inputs'!$D$41:$D$44,0),MATCH(AN$7,'Multi-Year Inputs'!$E$4:$AE$4,0)))</f>
        <v>0</v>
      </c>
      <c r="AO94" s="71">
        <f>IF(AO$8=0,0,INDEX('Multi-Year Inputs'!$E$41:$AE$44,MATCH($B94,'Multi-Year Inputs'!$D$41:$D$44,0),MATCH(AO$7,'Multi-Year Inputs'!$E$4:$AE$4,0)))</f>
        <v>4673617.4897935251</v>
      </c>
      <c r="AP94" s="71">
        <f>IF(AP$8=0,0,INDEX('Multi-Year Inputs'!$E$41:$AE$44,MATCH($B94,'Multi-Year Inputs'!$D$41:$D$44,0),MATCH(AP$7,'Multi-Year Inputs'!$E$4:$AE$4,0)))</f>
        <v>4673617.4897935251</v>
      </c>
      <c r="AQ94" s="71">
        <f>IF(AQ$8=0,0,INDEX('Multi-Year Inputs'!$E$41:$AE$44,MATCH($B94,'Multi-Year Inputs'!$D$41:$D$44,0),MATCH(AQ$7,'Multi-Year Inputs'!$E$4:$AE$4,0)))</f>
        <v>4673617.4897935251</v>
      </c>
      <c r="AR94" s="71">
        <f>IF(AR$8=0,0,INDEX('Multi-Year Inputs'!$E$41:$AE$44,MATCH($B94,'Multi-Year Inputs'!$D$41:$D$44,0),MATCH(AR$7,'Multi-Year Inputs'!$E$4:$AE$4,0)))</f>
        <v>4673617.4897935251</v>
      </c>
      <c r="AS94" s="71">
        <f>IF(AS$8=0,0,INDEX('Multi-Year Inputs'!$E$41:$AE$44,MATCH($B94,'Multi-Year Inputs'!$D$41:$D$44,0),MATCH(AS$7,'Multi-Year Inputs'!$E$4:$AE$4,0)))</f>
        <v>4673617.4897935251</v>
      </c>
      <c r="AT94" s="71">
        <f>IF(AT$8=0,0,INDEX('Multi-Year Inputs'!$E$41:$AE$44,MATCH($B94,'Multi-Year Inputs'!$D$41:$D$44,0),MATCH(AT$7,'Multi-Year Inputs'!$E$4:$AE$4,0)))</f>
        <v>4673617.4897935251</v>
      </c>
      <c r="AU94" s="71">
        <f>IF(AU$8=0,0,INDEX('Multi-Year Inputs'!$E$41:$AE$44,MATCH($B94,'Multi-Year Inputs'!$D$41:$D$44,0),MATCH(AU$7,'Multi-Year Inputs'!$E$4:$AE$4,0)))</f>
        <v>4673617.4897935251</v>
      </c>
      <c r="AV94" s="71">
        <f>IF(AV$8=0,0,INDEX('Multi-Year Inputs'!$E$41:$AE$44,MATCH($B94,'Multi-Year Inputs'!$D$41:$D$44,0),MATCH(AV$7,'Multi-Year Inputs'!$E$4:$AE$4,0)))</f>
        <v>4673617.4897935251</v>
      </c>
      <c r="AW94" s="71">
        <f>IF(AW$8=0,0,INDEX('Multi-Year Inputs'!$E$41:$AE$44,MATCH($B94,'Multi-Year Inputs'!$D$41:$D$44,0),MATCH(AW$7,'Multi-Year Inputs'!$E$4:$AE$4,0)))</f>
        <v>4673617.4897935251</v>
      </c>
      <c r="AX94" s="71">
        <f>IF(AX$8=0,0,INDEX('Multi-Year Inputs'!$E$41:$AE$44,MATCH($B94,'Multi-Year Inputs'!$D$41:$D$44,0),MATCH(AX$7,'Multi-Year Inputs'!$E$4:$AE$4,0)))</f>
        <v>4673617.4897935251</v>
      </c>
      <c r="AY94" s="71">
        <f>IF(AY$8=0,0,INDEX('Multi-Year Inputs'!$E$41:$AE$44,MATCH($B94,'Multi-Year Inputs'!$D$41:$D$44,0),MATCH(AY$7,'Multi-Year Inputs'!$E$4:$AE$4,0)))</f>
        <v>4673617.4897935251</v>
      </c>
      <c r="AZ94" s="71">
        <f>IF(AZ$8=0,0,INDEX('Multi-Year Inputs'!$E$41:$AE$44,MATCH($B94,'Multi-Year Inputs'!$D$41:$D$44,0),MATCH(AZ$7,'Multi-Year Inputs'!$E$4:$AE$4,0)))</f>
        <v>4673617.4897935251</v>
      </c>
      <c r="BA94" s="71">
        <f>IF(BA$8=0,0,INDEX('Multi-Year Inputs'!$E$41:$AE$44,MATCH($B94,'Multi-Year Inputs'!$D$41:$D$44,0),MATCH(BA$7,'Multi-Year Inputs'!$E$4:$AE$4,0)))</f>
        <v>4673617.4897935251</v>
      </c>
      <c r="BB94" s="71">
        <f>IF(BB$8=0,0,INDEX('Multi-Year Inputs'!$E$41:$AE$44,MATCH($B94,'Multi-Year Inputs'!$D$41:$D$44,0),MATCH(BB$7,'Multi-Year Inputs'!$E$4:$AE$4,0)))</f>
        <v>4673617.4897935251</v>
      </c>
      <c r="BC94" s="71">
        <f>IF(BC$8=0,0,INDEX('Multi-Year Inputs'!$E$41:$AE$44,MATCH($B94,'Multi-Year Inputs'!$D$41:$D$44,0),MATCH(BC$7,'Multi-Year Inputs'!$E$4:$AE$4,0)))</f>
        <v>4673617.4897935251</v>
      </c>
      <c r="BD94" s="71">
        <f>IF(BD$8=0,0,INDEX('Multi-Year Inputs'!$E$41:$AE$44,MATCH($B94,'Multi-Year Inputs'!$D$41:$D$44,0),MATCH(BD$7,'Multi-Year Inputs'!$E$4:$AE$4,0)))</f>
        <v>4673617.4897935251</v>
      </c>
      <c r="BE94" s="71">
        <f>IF(BE$8=0,0,INDEX('Multi-Year Inputs'!$E$41:$AE$44,MATCH($B94,'Multi-Year Inputs'!$D$41:$D$44,0),MATCH(BE$7,'Multi-Year Inputs'!$E$4:$AE$4,0)))</f>
        <v>4673617.4897935251</v>
      </c>
      <c r="BF94" s="71">
        <f>IF(BF$8=0,0,INDEX('Multi-Year Inputs'!$E$41:$AE$44,MATCH($B94,'Multi-Year Inputs'!$D$41:$D$44,0),MATCH(BF$7,'Multi-Year Inputs'!$E$4:$AE$4,0)))</f>
        <v>4673617.4897935251</v>
      </c>
      <c r="BG94" s="71">
        <f>IF(BG$8=0,0,INDEX('Multi-Year Inputs'!$E$41:$AE$44,MATCH($B94,'Multi-Year Inputs'!$D$41:$D$44,0),MATCH(BG$7,'Multi-Year Inputs'!$E$4:$AE$4,0)))</f>
        <v>4673617.4897935251</v>
      </c>
      <c r="BH94" s="71">
        <f>IF(BH$8=0,0,INDEX('Multi-Year Inputs'!$E$41:$AE$44,MATCH($B94,'Multi-Year Inputs'!$D$41:$D$44,0),MATCH(BH$7,'Multi-Year Inputs'!$E$4:$AE$4,0)))</f>
        <v>4673617.4897935251</v>
      </c>
      <c r="BI94" s="71">
        <f>IF(BI$8=0,0,INDEX('Multi-Year Inputs'!$E$41:$AE$44,MATCH($B94,'Multi-Year Inputs'!$D$41:$D$44,0),MATCH(BI$7,'Multi-Year Inputs'!$E$4:$AE$4,0)))</f>
        <v>4673617.4897935251</v>
      </c>
      <c r="BJ94" s="71">
        <f>IF(BJ$8=0,0,INDEX('Multi-Year Inputs'!$E$41:$AE$44,MATCH($B94,'Multi-Year Inputs'!$D$41:$D$44,0),MATCH(BJ$7,'Multi-Year Inputs'!$E$4:$AE$4,0)))</f>
        <v>4673617.4897935251</v>
      </c>
      <c r="BK94" s="71">
        <f>IF(BK$8=0,0,INDEX('Multi-Year Inputs'!$E$41:$AE$44,MATCH($B94,'Multi-Year Inputs'!$D$41:$D$44,0),MATCH(BK$7,'Multi-Year Inputs'!$E$4:$AE$4,0)))</f>
        <v>4673617.4897935251</v>
      </c>
      <c r="BL94" s="71">
        <f>IF(BL$8=0,0,INDEX('Multi-Year Inputs'!$E$41:$AE$44,MATCH($B94,'Multi-Year Inputs'!$D$41:$D$44,0),MATCH(BL$7,'Multi-Year Inputs'!$E$4:$AE$4,0)))</f>
        <v>4673617.4897935251</v>
      </c>
      <c r="BM94" s="71">
        <f>IF(BM$8=0,0,INDEX('Multi-Year Inputs'!$E$41:$AE$44,MATCH($B94,'Multi-Year Inputs'!$D$41:$D$44,0),MATCH(BM$7,'Multi-Year Inputs'!$E$4:$AE$4,0)))</f>
        <v>4673617.4897935251</v>
      </c>
      <c r="BN94" s="72"/>
      <c r="BO94" s="72">
        <f>SUM(AM94:BM94)</f>
        <v>116840437.24483812</v>
      </c>
      <c r="BP94" s="72"/>
      <c r="BS94" s="76" t="s">
        <v>91</v>
      </c>
      <c r="BT94" s="51" t="s">
        <v>17</v>
      </c>
    </row>
    <row r="95" spans="1:72" x14ac:dyDescent="0.25">
      <c r="A95" s="246"/>
      <c r="B95" s="243" t="str">
        <f t="shared" si="85"/>
        <v>Low-Income</v>
      </c>
      <c r="C95" s="243" t="str">
        <f>C94</f>
        <v>Sales</v>
      </c>
      <c r="D95" s="244" t="s">
        <v>108</v>
      </c>
      <c r="E95" s="85" t="s">
        <v>108</v>
      </c>
      <c r="F95" s="84" t="s">
        <v>195</v>
      </c>
      <c r="G95" s="64">
        <f ca="1">IF($C$4=Lookups!$D$40,SUM(INDIRECT("'Yr1'!"&amp;ADDRESS(ROW(G95),COLUMN(G95))),INDIRECT("'Yr2'!"&amp;ADDRESS(ROW(G95),COLUMN(G95))),INDIRECT("'Yr3'!"&amp;ADDRESS(ROW(G95),COLUMN(G95)))),
IF(G91&gt;0,SUMIFS('EE Inputs'!$I$9:$I$32,'EE Inputs'!$C$9:$C$32,$G$6,'EE Inputs'!$D$9:$D$32,$C$4,'EE Inputs'!$E$9:$E$32,$B95)/SUMIFS('EE Inputs'!$V$9:$V$32,'EE Inputs'!$C$9:$C$32,$G$6,'EE Inputs'!$D$9:$D$32,$C$4,'EE Inputs'!$E$9:$E$32,$B95)*10,0))</f>
        <v>0</v>
      </c>
      <c r="H95" s="64">
        <f ca="1">IF($C$4=Lookups!$D$40,SUM(INDIRECT("'Yr1'!"&amp;ADDRESS(ROW(H95),COLUMN(H95))),INDIRECT("'Yr2'!"&amp;ADDRESS(ROW(H95),COLUMN(H95))),INDIRECT("'Yr3'!"&amp;ADDRESS(ROW(H95),COLUMN(H95)))),
IF(H91&gt;0,SUMIFS('EE Inputs'!$I$9:$I$32,'EE Inputs'!$C$9:$C$32,$G$6,'EE Inputs'!$D$9:$D$32,$C$4,'EE Inputs'!$E$9:$E$32,$B95)/SUMIFS('EE Inputs'!$V$9:$V$32,'EE Inputs'!$C$9:$C$32,$G$6,'EE Inputs'!$D$9:$D$32,$C$4,'EE Inputs'!$E$9:$E$32,$B95)*10,0))</f>
        <v>0</v>
      </c>
      <c r="I95" s="64">
        <f ca="1">IF($C$4=Lookups!$D$40,SUM(INDIRECT("'Yr1'!"&amp;ADDRESS(ROW(I95),COLUMN(I95))),INDIRECT("'Yr2'!"&amp;ADDRESS(ROW(I95),COLUMN(I95))),INDIRECT("'Yr3'!"&amp;ADDRESS(ROW(I95),COLUMN(I95)))),
IF(I91&gt;0,SUMIFS('EE Inputs'!$I$9:$I$32,'EE Inputs'!$C$9:$C$32,$G$6,'EE Inputs'!$D$9:$D$32,$C$4,'EE Inputs'!$E$9:$E$32,$B95)/SUMIFS('EE Inputs'!$V$9:$V$32,'EE Inputs'!$C$9:$C$32,$G$6,'EE Inputs'!$D$9:$D$32,$C$4,'EE Inputs'!$E$9:$E$32,$B95)*10,0))</f>
        <v>93560.992685927369</v>
      </c>
      <c r="J95" s="64">
        <f ca="1">IF($C$4=Lookups!$D$40,SUM(INDIRECT("'Yr1'!"&amp;ADDRESS(ROW(J95),COLUMN(J95))),INDIRECT("'Yr2'!"&amp;ADDRESS(ROW(J95),COLUMN(J95))),INDIRECT("'Yr3'!"&amp;ADDRESS(ROW(J95),COLUMN(J95)))),
IF(J91&gt;0,SUMIFS('EE Inputs'!$I$9:$I$32,'EE Inputs'!$C$9:$C$32,$G$6,'EE Inputs'!$D$9:$D$32,$C$4,'EE Inputs'!$E$9:$E$32,$B95)/SUMIFS('EE Inputs'!$V$9:$V$32,'EE Inputs'!$C$9:$C$32,$G$6,'EE Inputs'!$D$9:$D$32,$C$4,'EE Inputs'!$E$9:$E$32,$B95)*10,0))</f>
        <v>93560.992685927369</v>
      </c>
      <c r="K95" s="64">
        <f ca="1">IF($C$4=Lookups!$D$40,SUM(INDIRECT("'Yr1'!"&amp;ADDRESS(ROW(K95),COLUMN(K95))),INDIRECT("'Yr2'!"&amp;ADDRESS(ROW(K95),COLUMN(K95))),INDIRECT("'Yr3'!"&amp;ADDRESS(ROW(K95),COLUMN(K95)))),
IF(K91&gt;0,SUMIFS('EE Inputs'!$I$9:$I$32,'EE Inputs'!$C$9:$C$32,$G$6,'EE Inputs'!$D$9:$D$32,$C$4,'EE Inputs'!$E$9:$E$32,$B95)/SUMIFS('EE Inputs'!$V$9:$V$32,'EE Inputs'!$C$9:$C$32,$G$6,'EE Inputs'!$D$9:$D$32,$C$4,'EE Inputs'!$E$9:$E$32,$B95)*10,0))</f>
        <v>93560.992685927369</v>
      </c>
      <c r="L95" s="64">
        <f ca="1">IF($C$4=Lookups!$D$40,SUM(INDIRECT("'Yr1'!"&amp;ADDRESS(ROW(L95),COLUMN(L95))),INDIRECT("'Yr2'!"&amp;ADDRESS(ROW(L95),COLUMN(L95))),INDIRECT("'Yr3'!"&amp;ADDRESS(ROW(L95),COLUMN(L95)))),
IF(L91&gt;0,SUMIFS('EE Inputs'!$I$9:$I$32,'EE Inputs'!$C$9:$C$32,$G$6,'EE Inputs'!$D$9:$D$32,$C$4,'EE Inputs'!$E$9:$E$32,$B95)/SUMIFS('EE Inputs'!$V$9:$V$32,'EE Inputs'!$C$9:$C$32,$G$6,'EE Inputs'!$D$9:$D$32,$C$4,'EE Inputs'!$E$9:$E$32,$B95)*10,0))</f>
        <v>93560.992685927369</v>
      </c>
      <c r="M95" s="64">
        <f ca="1">IF($C$4=Lookups!$D$40,SUM(INDIRECT("'Yr1'!"&amp;ADDRESS(ROW(M95),COLUMN(M95))),INDIRECT("'Yr2'!"&amp;ADDRESS(ROW(M95),COLUMN(M95))),INDIRECT("'Yr3'!"&amp;ADDRESS(ROW(M95),COLUMN(M95)))),
IF(M91&gt;0,SUMIFS('EE Inputs'!$I$9:$I$32,'EE Inputs'!$C$9:$C$32,$G$6,'EE Inputs'!$D$9:$D$32,$C$4,'EE Inputs'!$E$9:$E$32,$B95)/SUMIFS('EE Inputs'!$V$9:$V$32,'EE Inputs'!$C$9:$C$32,$G$6,'EE Inputs'!$D$9:$D$32,$C$4,'EE Inputs'!$E$9:$E$32,$B95)*10,0))</f>
        <v>93560.992685927369</v>
      </c>
      <c r="N95" s="64">
        <f ca="1">IF($C$4=Lookups!$D$40,SUM(INDIRECT("'Yr1'!"&amp;ADDRESS(ROW(N95),COLUMN(N95))),INDIRECT("'Yr2'!"&amp;ADDRESS(ROW(N95),COLUMN(N95))),INDIRECT("'Yr3'!"&amp;ADDRESS(ROW(N95),COLUMN(N95)))),
IF(N91&gt;0,SUMIFS('EE Inputs'!$I$9:$I$32,'EE Inputs'!$C$9:$C$32,$G$6,'EE Inputs'!$D$9:$D$32,$C$4,'EE Inputs'!$E$9:$E$32,$B95)/SUMIFS('EE Inputs'!$V$9:$V$32,'EE Inputs'!$C$9:$C$32,$G$6,'EE Inputs'!$D$9:$D$32,$C$4,'EE Inputs'!$E$9:$E$32,$B95)*10,0))</f>
        <v>93560.992685927369</v>
      </c>
      <c r="O95" s="64">
        <f ca="1">IF($C$4=Lookups!$D$40,SUM(INDIRECT("'Yr1'!"&amp;ADDRESS(ROW(O95),COLUMN(O95))),INDIRECT("'Yr2'!"&amp;ADDRESS(ROW(O95),COLUMN(O95))),INDIRECT("'Yr3'!"&amp;ADDRESS(ROW(O95),COLUMN(O95)))),
IF(O91&gt;0,SUMIFS('EE Inputs'!$I$9:$I$32,'EE Inputs'!$C$9:$C$32,$G$6,'EE Inputs'!$D$9:$D$32,$C$4,'EE Inputs'!$E$9:$E$32,$B95)/SUMIFS('EE Inputs'!$V$9:$V$32,'EE Inputs'!$C$9:$C$32,$G$6,'EE Inputs'!$D$9:$D$32,$C$4,'EE Inputs'!$E$9:$E$32,$B95)*10,0))</f>
        <v>93560.992685927369</v>
      </c>
      <c r="P95" s="64">
        <f ca="1">IF($C$4=Lookups!$D$40,SUM(INDIRECT("'Yr1'!"&amp;ADDRESS(ROW(P95),COLUMN(P95))),INDIRECT("'Yr2'!"&amp;ADDRESS(ROW(P95),COLUMN(P95))),INDIRECT("'Yr3'!"&amp;ADDRESS(ROW(P95),COLUMN(P95)))),
IF(P91&gt;0,SUMIFS('EE Inputs'!$I$9:$I$32,'EE Inputs'!$C$9:$C$32,$G$6,'EE Inputs'!$D$9:$D$32,$C$4,'EE Inputs'!$E$9:$E$32,$B95)/SUMIFS('EE Inputs'!$V$9:$V$32,'EE Inputs'!$C$9:$C$32,$G$6,'EE Inputs'!$D$9:$D$32,$C$4,'EE Inputs'!$E$9:$E$32,$B95)*10,0))</f>
        <v>93560.992685927369</v>
      </c>
      <c r="Q95" s="64">
        <f ca="1">IF($C$4=Lookups!$D$40,SUM(INDIRECT("'Yr1'!"&amp;ADDRESS(ROW(Q95),COLUMN(Q95))),INDIRECT("'Yr2'!"&amp;ADDRESS(ROW(Q95),COLUMN(Q95))),INDIRECT("'Yr3'!"&amp;ADDRESS(ROW(Q95),COLUMN(Q95)))),
IF(Q91&gt;0,SUMIFS('EE Inputs'!$I$9:$I$32,'EE Inputs'!$C$9:$C$32,$G$6,'EE Inputs'!$D$9:$D$32,$C$4,'EE Inputs'!$E$9:$E$32,$B95)/SUMIFS('EE Inputs'!$V$9:$V$32,'EE Inputs'!$C$9:$C$32,$G$6,'EE Inputs'!$D$9:$D$32,$C$4,'EE Inputs'!$E$9:$E$32,$B95)*10,0))</f>
        <v>93560.992685927369</v>
      </c>
      <c r="R95" s="64">
        <f ca="1">IF($C$4=Lookups!$D$40,SUM(INDIRECT("'Yr1'!"&amp;ADDRESS(ROW(R95),COLUMN(R95))),INDIRECT("'Yr2'!"&amp;ADDRESS(ROW(R95),COLUMN(R95))),INDIRECT("'Yr3'!"&amp;ADDRESS(ROW(R95),COLUMN(R95)))),
IF(R91&gt;0,SUMIFS('EE Inputs'!$I$9:$I$32,'EE Inputs'!$C$9:$C$32,$G$6,'EE Inputs'!$D$9:$D$32,$C$4,'EE Inputs'!$E$9:$E$32,$B95)/SUMIFS('EE Inputs'!$V$9:$V$32,'EE Inputs'!$C$9:$C$32,$G$6,'EE Inputs'!$D$9:$D$32,$C$4,'EE Inputs'!$E$9:$E$32,$B95)*10,0))</f>
        <v>93560.992685927369</v>
      </c>
      <c r="S95" s="64">
        <f ca="1">IF($C$4=Lookups!$D$40,SUM(INDIRECT("'Yr1'!"&amp;ADDRESS(ROW(S95),COLUMN(S95))),INDIRECT("'Yr2'!"&amp;ADDRESS(ROW(S95),COLUMN(S95))),INDIRECT("'Yr3'!"&amp;ADDRESS(ROW(S95),COLUMN(S95)))),
IF(S91&gt;0,SUMIFS('EE Inputs'!$I$9:$I$32,'EE Inputs'!$C$9:$C$32,$G$6,'EE Inputs'!$D$9:$D$32,$C$4,'EE Inputs'!$E$9:$E$32,$B95)/SUMIFS('EE Inputs'!$V$9:$V$32,'EE Inputs'!$C$9:$C$32,$G$6,'EE Inputs'!$D$9:$D$32,$C$4,'EE Inputs'!$E$9:$E$32,$B95)*10,0))</f>
        <v>93560.992685927369</v>
      </c>
      <c r="T95" s="64">
        <f ca="1">IF($C$4=Lookups!$D$40,SUM(INDIRECT("'Yr1'!"&amp;ADDRESS(ROW(T95),COLUMN(T95))),INDIRECT("'Yr2'!"&amp;ADDRESS(ROW(T95),COLUMN(T95))),INDIRECT("'Yr3'!"&amp;ADDRESS(ROW(T95),COLUMN(T95)))),
IF(T91&gt;0,SUMIFS('EE Inputs'!$I$9:$I$32,'EE Inputs'!$C$9:$C$32,$G$6,'EE Inputs'!$D$9:$D$32,$C$4,'EE Inputs'!$E$9:$E$32,$B95)/SUMIFS('EE Inputs'!$V$9:$V$32,'EE Inputs'!$C$9:$C$32,$G$6,'EE Inputs'!$D$9:$D$32,$C$4,'EE Inputs'!$E$9:$E$32,$B95)*10,0))</f>
        <v>93560.992685927369</v>
      </c>
      <c r="U95" s="64">
        <f ca="1">IF($C$4=Lookups!$D$40,SUM(INDIRECT("'Yr1'!"&amp;ADDRESS(ROW(U95),COLUMN(U95))),INDIRECT("'Yr2'!"&amp;ADDRESS(ROW(U95),COLUMN(U95))),INDIRECT("'Yr3'!"&amp;ADDRESS(ROW(U95),COLUMN(U95)))),
IF(U91&gt;0,SUMIFS('EE Inputs'!$I$9:$I$32,'EE Inputs'!$C$9:$C$32,$G$6,'EE Inputs'!$D$9:$D$32,$C$4,'EE Inputs'!$E$9:$E$32,$B95)/SUMIFS('EE Inputs'!$V$9:$V$32,'EE Inputs'!$C$9:$C$32,$G$6,'EE Inputs'!$D$9:$D$32,$C$4,'EE Inputs'!$E$9:$E$32,$B95)*10,0))</f>
        <v>93560.992685927369</v>
      </c>
      <c r="V95" s="64">
        <f ca="1">IF($C$4=Lookups!$D$40,SUM(INDIRECT("'Yr1'!"&amp;ADDRESS(ROW(V95),COLUMN(V95))),INDIRECT("'Yr2'!"&amp;ADDRESS(ROW(V95),COLUMN(V95))),INDIRECT("'Yr3'!"&amp;ADDRESS(ROW(V95),COLUMN(V95)))),
IF(V91&gt;0,SUMIFS('EE Inputs'!$I$9:$I$32,'EE Inputs'!$C$9:$C$32,$G$6,'EE Inputs'!$D$9:$D$32,$C$4,'EE Inputs'!$E$9:$E$32,$B95)/SUMIFS('EE Inputs'!$V$9:$V$32,'EE Inputs'!$C$9:$C$32,$G$6,'EE Inputs'!$D$9:$D$32,$C$4,'EE Inputs'!$E$9:$E$32,$B95)*10,0))</f>
        <v>93560.992685927369</v>
      </c>
      <c r="W95" s="64">
        <f ca="1">IF($C$4=Lookups!$D$40,SUM(INDIRECT("'Yr1'!"&amp;ADDRESS(ROW(W95),COLUMN(W95))),INDIRECT("'Yr2'!"&amp;ADDRESS(ROW(W95),COLUMN(W95))),INDIRECT("'Yr3'!"&amp;ADDRESS(ROW(W95),COLUMN(W95)))),
IF(W91&gt;0,SUMIFS('EE Inputs'!$I$9:$I$32,'EE Inputs'!$C$9:$C$32,$G$6,'EE Inputs'!$D$9:$D$32,$C$4,'EE Inputs'!$E$9:$E$32,$B95)/SUMIFS('EE Inputs'!$V$9:$V$32,'EE Inputs'!$C$9:$C$32,$G$6,'EE Inputs'!$D$9:$D$32,$C$4,'EE Inputs'!$E$9:$E$32,$B95)*10,0))</f>
        <v>93560.992685927369</v>
      </c>
      <c r="X95" s="64">
        <f ca="1">IF($C$4=Lookups!$D$40,SUM(INDIRECT("'Yr1'!"&amp;ADDRESS(ROW(X95),COLUMN(X95))),INDIRECT("'Yr2'!"&amp;ADDRESS(ROW(X95),COLUMN(X95))),INDIRECT("'Yr3'!"&amp;ADDRESS(ROW(X95),COLUMN(X95)))),
IF(X91&gt;0,SUMIFS('EE Inputs'!$I$9:$I$32,'EE Inputs'!$C$9:$C$32,$G$6,'EE Inputs'!$D$9:$D$32,$C$4,'EE Inputs'!$E$9:$E$32,$B95)/SUMIFS('EE Inputs'!$V$9:$V$32,'EE Inputs'!$C$9:$C$32,$G$6,'EE Inputs'!$D$9:$D$32,$C$4,'EE Inputs'!$E$9:$E$32,$B95)*10,0))</f>
        <v>93560.992685927369</v>
      </c>
      <c r="Y95" s="64">
        <f ca="1">IF($C$4=Lookups!$D$40,SUM(INDIRECT("'Yr1'!"&amp;ADDRESS(ROW(Y95),COLUMN(Y95))),INDIRECT("'Yr2'!"&amp;ADDRESS(ROW(Y95),COLUMN(Y95))),INDIRECT("'Yr3'!"&amp;ADDRESS(ROW(Y95),COLUMN(Y95)))),
IF(Y91&gt;0,SUMIFS('EE Inputs'!$I$9:$I$32,'EE Inputs'!$C$9:$C$32,$G$6,'EE Inputs'!$D$9:$D$32,$C$4,'EE Inputs'!$E$9:$E$32,$B95)/SUMIFS('EE Inputs'!$V$9:$V$32,'EE Inputs'!$C$9:$C$32,$G$6,'EE Inputs'!$D$9:$D$32,$C$4,'EE Inputs'!$E$9:$E$32,$B95)*10,0))</f>
        <v>93560.992685927369</v>
      </c>
      <c r="Z95" s="64">
        <f ca="1">IF($C$4=Lookups!$D$40,SUM(INDIRECT("'Yr1'!"&amp;ADDRESS(ROW(Z95),COLUMN(Z95))),INDIRECT("'Yr2'!"&amp;ADDRESS(ROW(Z95),COLUMN(Z95))),INDIRECT("'Yr3'!"&amp;ADDRESS(ROW(Z95),COLUMN(Z95)))),
IF(Z91&gt;0,SUMIFS('EE Inputs'!$I$9:$I$32,'EE Inputs'!$C$9:$C$32,$G$6,'EE Inputs'!$D$9:$D$32,$C$4,'EE Inputs'!$E$9:$E$32,$B95)/SUMIFS('EE Inputs'!$V$9:$V$32,'EE Inputs'!$C$9:$C$32,$G$6,'EE Inputs'!$D$9:$D$32,$C$4,'EE Inputs'!$E$9:$E$32,$B95)*10,0))</f>
        <v>93560.992685927369</v>
      </c>
      <c r="AA95" s="64">
        <f ca="1">IF($C$4=Lookups!$D$40,SUM(INDIRECT("'Yr1'!"&amp;ADDRESS(ROW(AA95),COLUMN(AA95))),INDIRECT("'Yr2'!"&amp;ADDRESS(ROW(AA95),COLUMN(AA95))),INDIRECT("'Yr3'!"&amp;ADDRESS(ROW(AA95),COLUMN(AA95)))),
IF(AA91&gt;0,SUMIFS('EE Inputs'!$I$9:$I$32,'EE Inputs'!$C$9:$C$32,$G$6,'EE Inputs'!$D$9:$D$32,$C$4,'EE Inputs'!$E$9:$E$32,$B95)/SUMIFS('EE Inputs'!$V$9:$V$32,'EE Inputs'!$C$9:$C$32,$G$6,'EE Inputs'!$D$9:$D$32,$C$4,'EE Inputs'!$E$9:$E$32,$B95)*10,0))</f>
        <v>93560.992685927369</v>
      </c>
      <c r="AB95" s="64">
        <f ca="1">IF($C$4=Lookups!$D$40,SUM(INDIRECT("'Yr1'!"&amp;ADDRESS(ROW(AB95),COLUMN(AB95))),INDIRECT("'Yr2'!"&amp;ADDRESS(ROW(AB95),COLUMN(AB95))),INDIRECT("'Yr3'!"&amp;ADDRESS(ROW(AB95),COLUMN(AB95)))),
IF(AB91&gt;0,SUMIFS('EE Inputs'!$I$9:$I$32,'EE Inputs'!$C$9:$C$32,$G$6,'EE Inputs'!$D$9:$D$32,$C$4,'EE Inputs'!$E$9:$E$32,$B95)/SUMIFS('EE Inputs'!$V$9:$V$32,'EE Inputs'!$C$9:$C$32,$G$6,'EE Inputs'!$D$9:$D$32,$C$4,'EE Inputs'!$E$9:$E$32,$B95)*10,0))</f>
        <v>93560.992685927369</v>
      </c>
      <c r="AC95" s="64">
        <f ca="1">IF($C$4=Lookups!$D$40,SUM(INDIRECT("'Yr1'!"&amp;ADDRESS(ROW(AC95),COLUMN(AC95))),INDIRECT("'Yr2'!"&amp;ADDRESS(ROW(AC95),COLUMN(AC95))),INDIRECT("'Yr3'!"&amp;ADDRESS(ROW(AC95),COLUMN(AC95)))),
IF(AC91&gt;0,SUMIFS('EE Inputs'!$I$9:$I$32,'EE Inputs'!$C$9:$C$32,$G$6,'EE Inputs'!$D$9:$D$32,$C$4,'EE Inputs'!$E$9:$E$32,$B95)/SUMIFS('EE Inputs'!$V$9:$V$32,'EE Inputs'!$C$9:$C$32,$G$6,'EE Inputs'!$D$9:$D$32,$C$4,'EE Inputs'!$E$9:$E$32,$B95)*10,0))</f>
        <v>0</v>
      </c>
      <c r="AD95" s="64">
        <f ca="1">IF($C$4=Lookups!$D$40,SUM(INDIRECT("'Yr1'!"&amp;ADDRESS(ROW(AD95),COLUMN(AD95))),INDIRECT("'Yr2'!"&amp;ADDRESS(ROW(AD95),COLUMN(AD95))),INDIRECT("'Yr3'!"&amp;ADDRESS(ROW(AD95),COLUMN(AD95)))),
IF(AD91&gt;0,SUMIFS('EE Inputs'!$I$9:$I$32,'EE Inputs'!$C$9:$C$32,$G$6,'EE Inputs'!$D$9:$D$32,$C$4,'EE Inputs'!$E$9:$E$32,$B95)/SUMIFS('EE Inputs'!$V$9:$V$32,'EE Inputs'!$C$9:$C$32,$G$6,'EE Inputs'!$D$9:$D$32,$C$4,'EE Inputs'!$E$9:$E$32,$B95)*10,0))</f>
        <v>0</v>
      </c>
      <c r="AE95" s="64">
        <f ca="1">IF($C$4=Lookups!$D$40,SUM(INDIRECT("'Yr1'!"&amp;ADDRESS(ROW(AE95),COLUMN(AE95))),INDIRECT("'Yr2'!"&amp;ADDRESS(ROW(AE95),COLUMN(AE95))),INDIRECT("'Yr3'!"&amp;ADDRESS(ROW(AE95),COLUMN(AE95)))),
IF(AE91&gt;0,SUMIFS('EE Inputs'!$I$9:$I$32,'EE Inputs'!$C$9:$C$32,$G$6,'EE Inputs'!$D$9:$D$32,$C$4,'EE Inputs'!$E$9:$E$32,$B95)/SUMIFS('EE Inputs'!$V$9:$V$32,'EE Inputs'!$C$9:$C$32,$G$6,'EE Inputs'!$D$9:$D$32,$C$4,'EE Inputs'!$E$9:$E$32,$B95)*10,0))</f>
        <v>0</v>
      </c>
      <c r="AF95" s="64">
        <f ca="1">IF($C$4=Lookups!$D$40,SUM(INDIRECT("'Yr1'!"&amp;ADDRESS(ROW(AF95),COLUMN(AF95))),INDIRECT("'Yr2'!"&amp;ADDRESS(ROW(AF95),COLUMN(AF95))),INDIRECT("'Yr3'!"&amp;ADDRESS(ROW(AF95),COLUMN(AF95)))),
IF(AF91&gt;0,SUMIFS('EE Inputs'!$I$9:$I$32,'EE Inputs'!$C$9:$C$32,$G$6,'EE Inputs'!$D$9:$D$32,$C$4,'EE Inputs'!$E$9:$E$32,$B95)/SUMIFS('EE Inputs'!$V$9:$V$32,'EE Inputs'!$C$9:$C$32,$G$6,'EE Inputs'!$D$9:$D$32,$C$4,'EE Inputs'!$E$9:$E$32,$B95)*10,0))</f>
        <v>0</v>
      </c>
      <c r="AG95" s="64">
        <f ca="1">IF($C$4=Lookups!$D$40,SUM(INDIRECT("'Yr1'!"&amp;ADDRESS(ROW(AG95),COLUMN(AG95))),INDIRECT("'Yr2'!"&amp;ADDRESS(ROW(AG95),COLUMN(AG95))),INDIRECT("'Yr3'!"&amp;ADDRESS(ROW(AG95),COLUMN(AG95)))),
IF(AG91&gt;0,SUMIFS('EE Inputs'!$I$9:$I$32,'EE Inputs'!$C$9:$C$32,$G$6,'EE Inputs'!$D$9:$D$32,$C$4,'EE Inputs'!$E$9:$E$32,$B95)/SUMIFS('EE Inputs'!$V$9:$V$32,'EE Inputs'!$C$9:$C$32,$G$6,'EE Inputs'!$D$9:$D$32,$C$4,'EE Inputs'!$E$9:$E$32,$B95)*10,0))</f>
        <v>0</v>
      </c>
      <c r="AH95" s="64"/>
      <c r="AI95" s="64">
        <f t="shared" ca="1" si="86"/>
        <v>1871219.8537185467</v>
      </c>
      <c r="AJ95" s="64"/>
      <c r="AM95" s="71">
        <f ca="1">IF($C$4=Lookups!$D$40,SUM(INDIRECT("'Yr1'!"&amp;ADDRESS(ROW(AM95),COLUMN(AM95))),INDIRECT("'Yr2'!"&amp;ADDRESS(ROW(AM95),COLUMN(AM95))),INDIRECT("'Yr3'!"&amp;ADDRESS(ROW(AM95),COLUMN(AM95)))),
IF(AM91&gt;0,SUMIFS('EE Inputs'!$I$9:$I$32,'EE Inputs'!$C$9:$C$32,$AM$6,'EE Inputs'!$D$9:$D$32,$C$4,'EE Inputs'!$E$9:$E$32,$B95)/SUMIFS('EE Inputs'!$V$9:$V$32,'EE Inputs'!$C$9:$C$32,$AM$6,'EE Inputs'!$D$9:$D$32,$C$4,'EE Inputs'!$E$9:$E$32,$B95)*10,0))</f>
        <v>0</v>
      </c>
      <c r="AN95" s="71">
        <f ca="1">IF($C$4=Lookups!$D$40,SUM(INDIRECT("'Yr1'!"&amp;ADDRESS(ROW(AN95),COLUMN(AN95))),INDIRECT("'Yr2'!"&amp;ADDRESS(ROW(AN95),COLUMN(AN95))),INDIRECT("'Yr3'!"&amp;ADDRESS(ROW(AN95),COLUMN(AN95)))),
IF(AN91&gt;0,SUMIFS('EE Inputs'!$I$9:$I$32,'EE Inputs'!$C$9:$C$32,$AM$6,'EE Inputs'!$D$9:$D$32,$C$4,'EE Inputs'!$E$9:$E$32,$B95)/SUMIFS('EE Inputs'!$V$9:$V$32,'EE Inputs'!$C$9:$C$32,$AM$6,'EE Inputs'!$D$9:$D$32,$C$4,'EE Inputs'!$E$9:$E$32,$B95)*10,0))</f>
        <v>0</v>
      </c>
      <c r="AO95" s="71">
        <f ca="1">IF($C$4=Lookups!$D$40,SUM(INDIRECT("'Yr1'!"&amp;ADDRESS(ROW(AO95),COLUMN(AO95))),INDIRECT("'Yr2'!"&amp;ADDRESS(ROW(AO95),COLUMN(AO95))),INDIRECT("'Yr3'!"&amp;ADDRESS(ROW(AO95),COLUMN(AO95)))),
IF(AO91&gt;0,SUMIFS('EE Inputs'!$I$9:$I$32,'EE Inputs'!$C$9:$C$32,$AM$6,'EE Inputs'!$D$9:$D$32,$C$4,'EE Inputs'!$E$9:$E$32,$B95)/SUMIFS('EE Inputs'!$V$9:$V$32,'EE Inputs'!$C$9:$C$32,$AM$6,'EE Inputs'!$D$9:$D$32,$C$4,'EE Inputs'!$E$9:$E$32,$B95)*10,0))</f>
        <v>106926.848783917</v>
      </c>
      <c r="AP95" s="71">
        <f ca="1">IF($C$4=Lookups!$D$40,SUM(INDIRECT("'Yr1'!"&amp;ADDRESS(ROW(AP95),COLUMN(AP95))),INDIRECT("'Yr2'!"&amp;ADDRESS(ROW(AP95),COLUMN(AP95))),INDIRECT("'Yr3'!"&amp;ADDRESS(ROW(AP95),COLUMN(AP95)))),
IF(AP91&gt;0,SUMIFS('EE Inputs'!$I$9:$I$32,'EE Inputs'!$C$9:$C$32,$AM$6,'EE Inputs'!$D$9:$D$32,$C$4,'EE Inputs'!$E$9:$E$32,$B95)/SUMIFS('EE Inputs'!$V$9:$V$32,'EE Inputs'!$C$9:$C$32,$AM$6,'EE Inputs'!$D$9:$D$32,$C$4,'EE Inputs'!$E$9:$E$32,$B95)*10,0))</f>
        <v>106926.848783917</v>
      </c>
      <c r="AQ95" s="71">
        <f ca="1">IF($C$4=Lookups!$D$40,SUM(INDIRECT("'Yr1'!"&amp;ADDRESS(ROW(AQ95),COLUMN(AQ95))),INDIRECT("'Yr2'!"&amp;ADDRESS(ROW(AQ95),COLUMN(AQ95))),INDIRECT("'Yr3'!"&amp;ADDRESS(ROW(AQ95),COLUMN(AQ95)))),
IF(AQ91&gt;0,SUMIFS('EE Inputs'!$I$9:$I$32,'EE Inputs'!$C$9:$C$32,$AM$6,'EE Inputs'!$D$9:$D$32,$C$4,'EE Inputs'!$E$9:$E$32,$B95)/SUMIFS('EE Inputs'!$V$9:$V$32,'EE Inputs'!$C$9:$C$32,$AM$6,'EE Inputs'!$D$9:$D$32,$C$4,'EE Inputs'!$E$9:$E$32,$B95)*10,0))</f>
        <v>106926.848783917</v>
      </c>
      <c r="AR95" s="71">
        <f ca="1">IF($C$4=Lookups!$D$40,SUM(INDIRECT("'Yr1'!"&amp;ADDRESS(ROW(AR95),COLUMN(AR95))),INDIRECT("'Yr2'!"&amp;ADDRESS(ROW(AR95),COLUMN(AR95))),INDIRECT("'Yr3'!"&amp;ADDRESS(ROW(AR95),COLUMN(AR95)))),
IF(AR91&gt;0,SUMIFS('EE Inputs'!$I$9:$I$32,'EE Inputs'!$C$9:$C$32,$AM$6,'EE Inputs'!$D$9:$D$32,$C$4,'EE Inputs'!$E$9:$E$32,$B95)/SUMIFS('EE Inputs'!$V$9:$V$32,'EE Inputs'!$C$9:$C$32,$AM$6,'EE Inputs'!$D$9:$D$32,$C$4,'EE Inputs'!$E$9:$E$32,$B95)*10,0))</f>
        <v>106926.848783917</v>
      </c>
      <c r="AS95" s="71">
        <f ca="1">IF($C$4=Lookups!$D$40,SUM(INDIRECT("'Yr1'!"&amp;ADDRESS(ROW(AS95),COLUMN(AS95))),INDIRECT("'Yr2'!"&amp;ADDRESS(ROW(AS95),COLUMN(AS95))),INDIRECT("'Yr3'!"&amp;ADDRESS(ROW(AS95),COLUMN(AS95)))),
IF(AS91&gt;0,SUMIFS('EE Inputs'!$I$9:$I$32,'EE Inputs'!$C$9:$C$32,$AM$6,'EE Inputs'!$D$9:$D$32,$C$4,'EE Inputs'!$E$9:$E$32,$B95)/SUMIFS('EE Inputs'!$V$9:$V$32,'EE Inputs'!$C$9:$C$32,$AM$6,'EE Inputs'!$D$9:$D$32,$C$4,'EE Inputs'!$E$9:$E$32,$B95)*10,0))</f>
        <v>106926.848783917</v>
      </c>
      <c r="AT95" s="71">
        <f ca="1">IF($C$4=Lookups!$D$40,SUM(INDIRECT("'Yr1'!"&amp;ADDRESS(ROW(AT95),COLUMN(AT95))),INDIRECT("'Yr2'!"&amp;ADDRESS(ROW(AT95),COLUMN(AT95))),INDIRECT("'Yr3'!"&amp;ADDRESS(ROW(AT95),COLUMN(AT95)))),
IF(AT91&gt;0,SUMIFS('EE Inputs'!$I$9:$I$32,'EE Inputs'!$C$9:$C$32,$AM$6,'EE Inputs'!$D$9:$D$32,$C$4,'EE Inputs'!$E$9:$E$32,$B95)/SUMIFS('EE Inputs'!$V$9:$V$32,'EE Inputs'!$C$9:$C$32,$AM$6,'EE Inputs'!$D$9:$D$32,$C$4,'EE Inputs'!$E$9:$E$32,$B95)*10,0))</f>
        <v>106926.848783917</v>
      </c>
      <c r="AU95" s="71">
        <f ca="1">IF($C$4=Lookups!$D$40,SUM(INDIRECT("'Yr1'!"&amp;ADDRESS(ROW(AU95),COLUMN(AU95))),INDIRECT("'Yr2'!"&amp;ADDRESS(ROW(AU95),COLUMN(AU95))),INDIRECT("'Yr3'!"&amp;ADDRESS(ROW(AU95),COLUMN(AU95)))),
IF(AU91&gt;0,SUMIFS('EE Inputs'!$I$9:$I$32,'EE Inputs'!$C$9:$C$32,$AM$6,'EE Inputs'!$D$9:$D$32,$C$4,'EE Inputs'!$E$9:$E$32,$B95)/SUMIFS('EE Inputs'!$V$9:$V$32,'EE Inputs'!$C$9:$C$32,$AM$6,'EE Inputs'!$D$9:$D$32,$C$4,'EE Inputs'!$E$9:$E$32,$B95)*10,0))</f>
        <v>106926.848783917</v>
      </c>
      <c r="AV95" s="71">
        <f ca="1">IF($C$4=Lookups!$D$40,SUM(INDIRECT("'Yr1'!"&amp;ADDRESS(ROW(AV95),COLUMN(AV95))),INDIRECT("'Yr2'!"&amp;ADDRESS(ROW(AV95),COLUMN(AV95))),INDIRECT("'Yr3'!"&amp;ADDRESS(ROW(AV95),COLUMN(AV95)))),
IF(AV91&gt;0,SUMIFS('EE Inputs'!$I$9:$I$32,'EE Inputs'!$C$9:$C$32,$AM$6,'EE Inputs'!$D$9:$D$32,$C$4,'EE Inputs'!$E$9:$E$32,$B95)/SUMIFS('EE Inputs'!$V$9:$V$32,'EE Inputs'!$C$9:$C$32,$AM$6,'EE Inputs'!$D$9:$D$32,$C$4,'EE Inputs'!$E$9:$E$32,$B95)*10,0))</f>
        <v>106926.848783917</v>
      </c>
      <c r="AW95" s="71">
        <f ca="1">IF($C$4=Lookups!$D$40,SUM(INDIRECT("'Yr1'!"&amp;ADDRESS(ROW(AW95),COLUMN(AW95))),INDIRECT("'Yr2'!"&amp;ADDRESS(ROW(AW95),COLUMN(AW95))),INDIRECT("'Yr3'!"&amp;ADDRESS(ROW(AW95),COLUMN(AW95)))),
IF(AW91&gt;0,SUMIFS('EE Inputs'!$I$9:$I$32,'EE Inputs'!$C$9:$C$32,$AM$6,'EE Inputs'!$D$9:$D$32,$C$4,'EE Inputs'!$E$9:$E$32,$B95)/SUMIFS('EE Inputs'!$V$9:$V$32,'EE Inputs'!$C$9:$C$32,$AM$6,'EE Inputs'!$D$9:$D$32,$C$4,'EE Inputs'!$E$9:$E$32,$B95)*10,0))</f>
        <v>106926.848783917</v>
      </c>
      <c r="AX95" s="71">
        <f ca="1">IF($C$4=Lookups!$D$40,SUM(INDIRECT("'Yr1'!"&amp;ADDRESS(ROW(AX95),COLUMN(AX95))),INDIRECT("'Yr2'!"&amp;ADDRESS(ROW(AX95),COLUMN(AX95))),INDIRECT("'Yr3'!"&amp;ADDRESS(ROW(AX95),COLUMN(AX95)))),
IF(AX91&gt;0,SUMIFS('EE Inputs'!$I$9:$I$32,'EE Inputs'!$C$9:$C$32,$AM$6,'EE Inputs'!$D$9:$D$32,$C$4,'EE Inputs'!$E$9:$E$32,$B95)/SUMIFS('EE Inputs'!$V$9:$V$32,'EE Inputs'!$C$9:$C$32,$AM$6,'EE Inputs'!$D$9:$D$32,$C$4,'EE Inputs'!$E$9:$E$32,$B95)*10,0))</f>
        <v>106926.848783917</v>
      </c>
      <c r="AY95" s="71">
        <f ca="1">IF($C$4=Lookups!$D$40,SUM(INDIRECT("'Yr1'!"&amp;ADDRESS(ROW(AY95),COLUMN(AY95))),INDIRECT("'Yr2'!"&amp;ADDRESS(ROW(AY95),COLUMN(AY95))),INDIRECT("'Yr3'!"&amp;ADDRESS(ROW(AY95),COLUMN(AY95)))),
IF(AY91&gt;0,SUMIFS('EE Inputs'!$I$9:$I$32,'EE Inputs'!$C$9:$C$32,$AM$6,'EE Inputs'!$D$9:$D$32,$C$4,'EE Inputs'!$E$9:$E$32,$B95)/SUMIFS('EE Inputs'!$V$9:$V$32,'EE Inputs'!$C$9:$C$32,$AM$6,'EE Inputs'!$D$9:$D$32,$C$4,'EE Inputs'!$E$9:$E$32,$B95)*10,0))</f>
        <v>106926.848783917</v>
      </c>
      <c r="AZ95" s="71">
        <f ca="1">IF($C$4=Lookups!$D$40,SUM(INDIRECT("'Yr1'!"&amp;ADDRESS(ROW(AZ95),COLUMN(AZ95))),INDIRECT("'Yr2'!"&amp;ADDRESS(ROW(AZ95),COLUMN(AZ95))),INDIRECT("'Yr3'!"&amp;ADDRESS(ROW(AZ95),COLUMN(AZ95)))),
IF(AZ91&gt;0,SUMIFS('EE Inputs'!$I$9:$I$32,'EE Inputs'!$C$9:$C$32,$AM$6,'EE Inputs'!$D$9:$D$32,$C$4,'EE Inputs'!$E$9:$E$32,$B95)/SUMIFS('EE Inputs'!$V$9:$V$32,'EE Inputs'!$C$9:$C$32,$AM$6,'EE Inputs'!$D$9:$D$32,$C$4,'EE Inputs'!$E$9:$E$32,$B95)*10,0))</f>
        <v>106926.848783917</v>
      </c>
      <c r="BA95" s="71">
        <f ca="1">IF($C$4=Lookups!$D$40,SUM(INDIRECT("'Yr1'!"&amp;ADDRESS(ROW(BA95),COLUMN(BA95))),INDIRECT("'Yr2'!"&amp;ADDRESS(ROW(BA95),COLUMN(BA95))),INDIRECT("'Yr3'!"&amp;ADDRESS(ROW(BA95),COLUMN(BA95)))),
IF(BA91&gt;0,SUMIFS('EE Inputs'!$I$9:$I$32,'EE Inputs'!$C$9:$C$32,$AM$6,'EE Inputs'!$D$9:$D$32,$C$4,'EE Inputs'!$E$9:$E$32,$B95)/SUMIFS('EE Inputs'!$V$9:$V$32,'EE Inputs'!$C$9:$C$32,$AM$6,'EE Inputs'!$D$9:$D$32,$C$4,'EE Inputs'!$E$9:$E$32,$B95)*10,0))</f>
        <v>106926.848783917</v>
      </c>
      <c r="BB95" s="71">
        <f ca="1">IF($C$4=Lookups!$D$40,SUM(INDIRECT("'Yr1'!"&amp;ADDRESS(ROW(BB95),COLUMN(BB95))),INDIRECT("'Yr2'!"&amp;ADDRESS(ROW(BB95),COLUMN(BB95))),INDIRECT("'Yr3'!"&amp;ADDRESS(ROW(BB95),COLUMN(BB95)))),
IF(BB91&gt;0,SUMIFS('EE Inputs'!$I$9:$I$32,'EE Inputs'!$C$9:$C$32,$AM$6,'EE Inputs'!$D$9:$D$32,$C$4,'EE Inputs'!$E$9:$E$32,$B95)/SUMIFS('EE Inputs'!$V$9:$V$32,'EE Inputs'!$C$9:$C$32,$AM$6,'EE Inputs'!$D$9:$D$32,$C$4,'EE Inputs'!$E$9:$E$32,$B95)*10,0))</f>
        <v>106926.848783917</v>
      </c>
      <c r="BC95" s="71">
        <f ca="1">IF($C$4=Lookups!$D$40,SUM(INDIRECT("'Yr1'!"&amp;ADDRESS(ROW(BC95),COLUMN(BC95))),INDIRECT("'Yr2'!"&amp;ADDRESS(ROW(BC95),COLUMN(BC95))),INDIRECT("'Yr3'!"&amp;ADDRESS(ROW(BC95),COLUMN(BC95)))),
IF(BC91&gt;0,SUMIFS('EE Inputs'!$I$9:$I$32,'EE Inputs'!$C$9:$C$32,$AM$6,'EE Inputs'!$D$9:$D$32,$C$4,'EE Inputs'!$E$9:$E$32,$B95)/SUMIFS('EE Inputs'!$V$9:$V$32,'EE Inputs'!$C$9:$C$32,$AM$6,'EE Inputs'!$D$9:$D$32,$C$4,'EE Inputs'!$E$9:$E$32,$B95)*10,0))</f>
        <v>106926.848783917</v>
      </c>
      <c r="BD95" s="71">
        <f ca="1">IF($C$4=Lookups!$D$40,SUM(INDIRECT("'Yr1'!"&amp;ADDRESS(ROW(BD95),COLUMN(BD95))),INDIRECT("'Yr2'!"&amp;ADDRESS(ROW(BD95),COLUMN(BD95))),INDIRECT("'Yr3'!"&amp;ADDRESS(ROW(BD95),COLUMN(BD95)))),
IF(BD91&gt;0,SUMIFS('EE Inputs'!$I$9:$I$32,'EE Inputs'!$C$9:$C$32,$AM$6,'EE Inputs'!$D$9:$D$32,$C$4,'EE Inputs'!$E$9:$E$32,$B95)/SUMIFS('EE Inputs'!$V$9:$V$32,'EE Inputs'!$C$9:$C$32,$AM$6,'EE Inputs'!$D$9:$D$32,$C$4,'EE Inputs'!$E$9:$E$32,$B95)*10,0))</f>
        <v>106926.848783917</v>
      </c>
      <c r="BE95" s="71">
        <f ca="1">IF($C$4=Lookups!$D$40,SUM(INDIRECT("'Yr1'!"&amp;ADDRESS(ROW(BE95),COLUMN(BE95))),INDIRECT("'Yr2'!"&amp;ADDRESS(ROW(BE95),COLUMN(BE95))),INDIRECT("'Yr3'!"&amp;ADDRESS(ROW(BE95),COLUMN(BE95)))),
IF(BE91&gt;0,SUMIFS('EE Inputs'!$I$9:$I$32,'EE Inputs'!$C$9:$C$32,$AM$6,'EE Inputs'!$D$9:$D$32,$C$4,'EE Inputs'!$E$9:$E$32,$B95)/SUMIFS('EE Inputs'!$V$9:$V$32,'EE Inputs'!$C$9:$C$32,$AM$6,'EE Inputs'!$D$9:$D$32,$C$4,'EE Inputs'!$E$9:$E$32,$B95)*10,0))</f>
        <v>106926.848783917</v>
      </c>
      <c r="BF95" s="71">
        <f ca="1">IF($C$4=Lookups!$D$40,SUM(INDIRECT("'Yr1'!"&amp;ADDRESS(ROW(BF95),COLUMN(BF95))),INDIRECT("'Yr2'!"&amp;ADDRESS(ROW(BF95),COLUMN(BF95))),INDIRECT("'Yr3'!"&amp;ADDRESS(ROW(BF95),COLUMN(BF95)))),
IF(BF91&gt;0,SUMIFS('EE Inputs'!$I$9:$I$32,'EE Inputs'!$C$9:$C$32,$AM$6,'EE Inputs'!$D$9:$D$32,$C$4,'EE Inputs'!$E$9:$E$32,$B95)/SUMIFS('EE Inputs'!$V$9:$V$32,'EE Inputs'!$C$9:$C$32,$AM$6,'EE Inputs'!$D$9:$D$32,$C$4,'EE Inputs'!$E$9:$E$32,$B95)*10,0))</f>
        <v>106926.848783917</v>
      </c>
      <c r="BG95" s="71">
        <f ca="1">IF($C$4=Lookups!$D$40,SUM(INDIRECT("'Yr1'!"&amp;ADDRESS(ROW(BG95),COLUMN(BG95))),INDIRECT("'Yr2'!"&amp;ADDRESS(ROW(BG95),COLUMN(BG95))),INDIRECT("'Yr3'!"&amp;ADDRESS(ROW(BG95),COLUMN(BG95)))),
IF(BG91&gt;0,SUMIFS('EE Inputs'!$I$9:$I$32,'EE Inputs'!$C$9:$C$32,$AM$6,'EE Inputs'!$D$9:$D$32,$C$4,'EE Inputs'!$E$9:$E$32,$B95)/SUMIFS('EE Inputs'!$V$9:$V$32,'EE Inputs'!$C$9:$C$32,$AM$6,'EE Inputs'!$D$9:$D$32,$C$4,'EE Inputs'!$E$9:$E$32,$B95)*10,0))</f>
        <v>106926.848783917</v>
      </c>
      <c r="BH95" s="71">
        <f ca="1">IF($C$4=Lookups!$D$40,SUM(INDIRECT("'Yr1'!"&amp;ADDRESS(ROW(BH95),COLUMN(BH95))),INDIRECT("'Yr2'!"&amp;ADDRESS(ROW(BH95),COLUMN(BH95))),INDIRECT("'Yr3'!"&amp;ADDRESS(ROW(BH95),COLUMN(BH95)))),
IF(BH91&gt;0,SUMIFS('EE Inputs'!$I$9:$I$32,'EE Inputs'!$C$9:$C$32,$AM$6,'EE Inputs'!$D$9:$D$32,$C$4,'EE Inputs'!$E$9:$E$32,$B95)/SUMIFS('EE Inputs'!$V$9:$V$32,'EE Inputs'!$C$9:$C$32,$AM$6,'EE Inputs'!$D$9:$D$32,$C$4,'EE Inputs'!$E$9:$E$32,$B95)*10,0))</f>
        <v>106926.848783917</v>
      </c>
      <c r="BI95" s="71">
        <f ca="1">IF($C$4=Lookups!$D$40,SUM(INDIRECT("'Yr1'!"&amp;ADDRESS(ROW(BI95),COLUMN(BI95))),INDIRECT("'Yr2'!"&amp;ADDRESS(ROW(BI95),COLUMN(BI95))),INDIRECT("'Yr3'!"&amp;ADDRESS(ROW(BI95),COLUMN(BI95)))),
IF(BI91&gt;0,SUMIFS('EE Inputs'!$I$9:$I$32,'EE Inputs'!$C$9:$C$32,$AM$6,'EE Inputs'!$D$9:$D$32,$C$4,'EE Inputs'!$E$9:$E$32,$B95)/SUMIFS('EE Inputs'!$V$9:$V$32,'EE Inputs'!$C$9:$C$32,$AM$6,'EE Inputs'!$D$9:$D$32,$C$4,'EE Inputs'!$E$9:$E$32,$B95)*10,0))</f>
        <v>0</v>
      </c>
      <c r="BJ95" s="71">
        <f ca="1">IF($C$4=Lookups!$D$40,SUM(INDIRECT("'Yr1'!"&amp;ADDRESS(ROW(BJ95),COLUMN(BJ95))),INDIRECT("'Yr2'!"&amp;ADDRESS(ROW(BJ95),COLUMN(BJ95))),INDIRECT("'Yr3'!"&amp;ADDRESS(ROW(BJ95),COLUMN(BJ95)))),
IF(BJ91&gt;0,SUMIFS('EE Inputs'!$I$9:$I$32,'EE Inputs'!$C$9:$C$32,$AM$6,'EE Inputs'!$D$9:$D$32,$C$4,'EE Inputs'!$E$9:$E$32,$B95)/SUMIFS('EE Inputs'!$V$9:$V$32,'EE Inputs'!$C$9:$C$32,$AM$6,'EE Inputs'!$D$9:$D$32,$C$4,'EE Inputs'!$E$9:$E$32,$B95)*10,0))</f>
        <v>0</v>
      </c>
      <c r="BK95" s="71">
        <f ca="1">IF($C$4=Lookups!$D$40,SUM(INDIRECT("'Yr1'!"&amp;ADDRESS(ROW(BK95),COLUMN(BK95))),INDIRECT("'Yr2'!"&amp;ADDRESS(ROW(BK95),COLUMN(BK95))),INDIRECT("'Yr3'!"&amp;ADDRESS(ROW(BK95),COLUMN(BK95)))),
IF(BK91&gt;0,SUMIFS('EE Inputs'!$I$9:$I$32,'EE Inputs'!$C$9:$C$32,$AM$6,'EE Inputs'!$D$9:$D$32,$C$4,'EE Inputs'!$E$9:$E$32,$B95)/SUMIFS('EE Inputs'!$V$9:$V$32,'EE Inputs'!$C$9:$C$32,$AM$6,'EE Inputs'!$D$9:$D$32,$C$4,'EE Inputs'!$E$9:$E$32,$B95)*10,0))</f>
        <v>0</v>
      </c>
      <c r="BL95" s="71">
        <f ca="1">IF($C$4=Lookups!$D$40,SUM(INDIRECT("'Yr1'!"&amp;ADDRESS(ROW(BL95),COLUMN(BL95))),INDIRECT("'Yr2'!"&amp;ADDRESS(ROW(BL95),COLUMN(BL95))),INDIRECT("'Yr3'!"&amp;ADDRESS(ROW(BL95),COLUMN(BL95)))),
IF(BL91&gt;0,SUMIFS('EE Inputs'!$I$9:$I$32,'EE Inputs'!$C$9:$C$32,$AM$6,'EE Inputs'!$D$9:$D$32,$C$4,'EE Inputs'!$E$9:$E$32,$B95)/SUMIFS('EE Inputs'!$V$9:$V$32,'EE Inputs'!$C$9:$C$32,$AM$6,'EE Inputs'!$D$9:$D$32,$C$4,'EE Inputs'!$E$9:$E$32,$B95)*10,0))</f>
        <v>0</v>
      </c>
      <c r="BM95" s="71">
        <f ca="1">IF($C$4=Lookups!$D$40,SUM(INDIRECT("'Yr1'!"&amp;ADDRESS(ROW(BM95),COLUMN(BM95))),INDIRECT("'Yr2'!"&amp;ADDRESS(ROW(BM95),COLUMN(BM95))),INDIRECT("'Yr3'!"&amp;ADDRESS(ROW(BM95),COLUMN(BM95)))),
IF(BM91&gt;0,SUMIFS('EE Inputs'!$I$9:$I$32,'EE Inputs'!$C$9:$C$32,$AM$6,'EE Inputs'!$D$9:$D$32,$C$4,'EE Inputs'!$E$9:$E$32,$B95)/SUMIFS('EE Inputs'!$V$9:$V$32,'EE Inputs'!$C$9:$C$32,$AM$6,'EE Inputs'!$D$9:$D$32,$C$4,'EE Inputs'!$E$9:$E$32,$B95)*10,0))</f>
        <v>0</v>
      </c>
      <c r="BN95" s="71"/>
      <c r="BO95" s="71">
        <f t="shared" ref="BO95:BO96" ca="1" si="87">SUM(AM95:BM95)</f>
        <v>2138536.9756783401</v>
      </c>
      <c r="BP95" s="71"/>
      <c r="BS95" s="84" t="s">
        <v>92</v>
      </c>
      <c r="BT95" s="51" t="s">
        <v>17</v>
      </c>
    </row>
    <row r="96" spans="1:72" x14ac:dyDescent="0.25">
      <c r="B96" s="243" t="str">
        <f t="shared" si="85"/>
        <v>Low-Income</v>
      </c>
      <c r="C96" s="243" t="str">
        <f>C95</f>
        <v>Sales</v>
      </c>
      <c r="D96" s="244" t="s">
        <v>109</v>
      </c>
      <c r="E96" s="85" t="s">
        <v>109</v>
      </c>
      <c r="F96" s="84" t="s">
        <v>195</v>
      </c>
      <c r="G96" s="65">
        <f ca="1">G94-G95</f>
        <v>0</v>
      </c>
      <c r="H96" s="65">
        <f t="shared" ref="H96:AG96" ca="1" si="88">H94-H95</f>
        <v>0</v>
      </c>
      <c r="I96" s="65">
        <f t="shared" ca="1" si="88"/>
        <v>4580056.497107598</v>
      </c>
      <c r="J96" s="65">
        <f t="shared" ca="1" si="88"/>
        <v>4580056.497107598</v>
      </c>
      <c r="K96" s="65">
        <f t="shared" ca="1" si="88"/>
        <v>4580056.497107598</v>
      </c>
      <c r="L96" s="65">
        <f t="shared" ca="1" si="88"/>
        <v>4580056.497107598</v>
      </c>
      <c r="M96" s="65">
        <f t="shared" ca="1" si="88"/>
        <v>4580056.497107598</v>
      </c>
      <c r="N96" s="65">
        <f t="shared" ca="1" si="88"/>
        <v>4580056.497107598</v>
      </c>
      <c r="O96" s="65">
        <f t="shared" ca="1" si="88"/>
        <v>4580056.497107598</v>
      </c>
      <c r="P96" s="65">
        <f t="shared" ca="1" si="88"/>
        <v>4580056.497107598</v>
      </c>
      <c r="Q96" s="65">
        <f t="shared" ca="1" si="88"/>
        <v>4580056.497107598</v>
      </c>
      <c r="R96" s="65">
        <f t="shared" ca="1" si="88"/>
        <v>4580056.497107598</v>
      </c>
      <c r="S96" s="65">
        <f t="shared" ca="1" si="88"/>
        <v>4580056.497107598</v>
      </c>
      <c r="T96" s="65">
        <f t="shared" ca="1" si="88"/>
        <v>4580056.497107598</v>
      </c>
      <c r="U96" s="65">
        <f t="shared" ca="1" si="88"/>
        <v>4580056.497107598</v>
      </c>
      <c r="V96" s="65">
        <f t="shared" ca="1" si="88"/>
        <v>4580056.497107598</v>
      </c>
      <c r="W96" s="65">
        <f t="shared" ca="1" si="88"/>
        <v>4580056.497107598</v>
      </c>
      <c r="X96" s="65">
        <f t="shared" ca="1" si="88"/>
        <v>4580056.497107598</v>
      </c>
      <c r="Y96" s="65">
        <f t="shared" ca="1" si="88"/>
        <v>4580056.497107598</v>
      </c>
      <c r="Z96" s="65">
        <f t="shared" ca="1" si="88"/>
        <v>4580056.497107598</v>
      </c>
      <c r="AA96" s="65">
        <f t="shared" ca="1" si="88"/>
        <v>4580056.497107598</v>
      </c>
      <c r="AB96" s="65">
        <f t="shared" ca="1" si="88"/>
        <v>4580056.497107598</v>
      </c>
      <c r="AC96" s="65">
        <f t="shared" ca="1" si="88"/>
        <v>4673617.4897935251</v>
      </c>
      <c r="AD96" s="65">
        <f t="shared" ca="1" si="88"/>
        <v>4673617.4897935251</v>
      </c>
      <c r="AE96" s="65">
        <f t="shared" ca="1" si="88"/>
        <v>4673617.4897935251</v>
      </c>
      <c r="AF96" s="65">
        <f t="shared" ca="1" si="88"/>
        <v>4673617.4897935251</v>
      </c>
      <c r="AG96" s="65">
        <f t="shared" ca="1" si="88"/>
        <v>4673617.4897935251</v>
      </c>
      <c r="AH96" s="65"/>
      <c r="AI96" s="65">
        <f t="shared" ca="1" si="86"/>
        <v>114969217.39111955</v>
      </c>
      <c r="AJ96" s="65"/>
      <c r="AM96" s="72">
        <f ca="1">AM94-AM95</f>
        <v>0</v>
      </c>
      <c r="AN96" s="72">
        <f t="shared" ref="AN96:BM96" ca="1" si="89">AN94-AN95</f>
        <v>0</v>
      </c>
      <c r="AO96" s="72">
        <f t="shared" ca="1" si="89"/>
        <v>4566690.6410096083</v>
      </c>
      <c r="AP96" s="72">
        <f t="shared" ca="1" si="89"/>
        <v>4566690.6410096083</v>
      </c>
      <c r="AQ96" s="72">
        <f t="shared" ca="1" si="89"/>
        <v>4566690.6410096083</v>
      </c>
      <c r="AR96" s="72">
        <f t="shared" ca="1" si="89"/>
        <v>4566690.6410096083</v>
      </c>
      <c r="AS96" s="72">
        <f t="shared" ca="1" si="89"/>
        <v>4566690.6410096083</v>
      </c>
      <c r="AT96" s="72">
        <f t="shared" ca="1" si="89"/>
        <v>4566690.6410096083</v>
      </c>
      <c r="AU96" s="72">
        <f t="shared" ca="1" si="89"/>
        <v>4566690.6410096083</v>
      </c>
      <c r="AV96" s="72">
        <f t="shared" ca="1" si="89"/>
        <v>4566690.6410096083</v>
      </c>
      <c r="AW96" s="72">
        <f t="shared" ca="1" si="89"/>
        <v>4566690.6410096083</v>
      </c>
      <c r="AX96" s="72">
        <f t="shared" ca="1" si="89"/>
        <v>4566690.6410096083</v>
      </c>
      <c r="AY96" s="72">
        <f t="shared" ca="1" si="89"/>
        <v>4566690.6410096083</v>
      </c>
      <c r="AZ96" s="72">
        <f t="shared" ca="1" si="89"/>
        <v>4566690.6410096083</v>
      </c>
      <c r="BA96" s="72">
        <f t="shared" ca="1" si="89"/>
        <v>4566690.6410096083</v>
      </c>
      <c r="BB96" s="72">
        <f t="shared" ca="1" si="89"/>
        <v>4566690.6410096083</v>
      </c>
      <c r="BC96" s="72">
        <f t="shared" ca="1" si="89"/>
        <v>4566690.6410096083</v>
      </c>
      <c r="BD96" s="72">
        <f t="shared" ca="1" si="89"/>
        <v>4566690.6410096083</v>
      </c>
      <c r="BE96" s="72">
        <f t="shared" ca="1" si="89"/>
        <v>4566690.6410096083</v>
      </c>
      <c r="BF96" s="72">
        <f t="shared" ca="1" si="89"/>
        <v>4566690.6410096083</v>
      </c>
      <c r="BG96" s="72">
        <f t="shared" ca="1" si="89"/>
        <v>4566690.6410096083</v>
      </c>
      <c r="BH96" s="72">
        <f t="shared" ca="1" si="89"/>
        <v>4566690.6410096083</v>
      </c>
      <c r="BI96" s="72">
        <f t="shared" ca="1" si="89"/>
        <v>4673617.4897935251</v>
      </c>
      <c r="BJ96" s="72">
        <f t="shared" ca="1" si="89"/>
        <v>4673617.4897935251</v>
      </c>
      <c r="BK96" s="72">
        <f t="shared" ca="1" si="89"/>
        <v>4673617.4897935251</v>
      </c>
      <c r="BL96" s="72">
        <f t="shared" ca="1" si="89"/>
        <v>4673617.4897935251</v>
      </c>
      <c r="BM96" s="72">
        <f t="shared" ca="1" si="89"/>
        <v>4673617.4897935251</v>
      </c>
      <c r="BN96" s="72"/>
      <c r="BO96" s="72">
        <f t="shared" ca="1" si="87"/>
        <v>114701900.26915979</v>
      </c>
      <c r="BP96" s="72"/>
      <c r="BS96" s="84" t="s">
        <v>93</v>
      </c>
      <c r="BT96" s="51" t="s">
        <v>17</v>
      </c>
    </row>
    <row r="97" spans="1:72" s="5" customFormat="1" x14ac:dyDescent="0.25">
      <c r="A97" s="52"/>
      <c r="B97" s="242" t="str">
        <f t="shared" si="85"/>
        <v>Low-Income</v>
      </c>
      <c r="C97" s="243" t="str">
        <f>C96</f>
        <v>Sales</v>
      </c>
      <c r="D97" s="77" t="s">
        <v>17</v>
      </c>
      <c r="E97" s="76"/>
      <c r="F97" s="76"/>
      <c r="G97" s="468"/>
      <c r="H97" s="468"/>
      <c r="I97" s="468"/>
      <c r="J97" s="468"/>
      <c r="K97" s="468"/>
      <c r="L97" s="468"/>
      <c r="M97" s="468"/>
      <c r="N97" s="468"/>
      <c r="O97" s="468"/>
      <c r="P97" s="468"/>
      <c r="Q97" s="468"/>
      <c r="R97" s="468"/>
      <c r="S97" s="468"/>
      <c r="T97" s="468"/>
      <c r="U97" s="468"/>
      <c r="V97" s="468"/>
      <c r="W97" s="468"/>
      <c r="X97" s="468"/>
      <c r="Y97" s="468"/>
      <c r="Z97" s="468"/>
      <c r="AA97" s="468"/>
      <c r="AB97" s="468"/>
      <c r="AC97" s="468"/>
      <c r="AD97" s="468"/>
      <c r="AE97" s="468"/>
      <c r="AF97" s="468"/>
      <c r="AG97" s="468"/>
      <c r="AH97" s="48"/>
      <c r="AI97" s="235"/>
      <c r="AJ97" s="48"/>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S97" s="76"/>
      <c r="BT97" s="51" t="s">
        <v>17</v>
      </c>
    </row>
    <row r="98" spans="1:72" s="5" customFormat="1" ht="15.75" x14ac:dyDescent="0.25">
      <c r="A98" s="52"/>
      <c r="B98" s="241" t="str">
        <f t="shared" si="85"/>
        <v>Low-Income</v>
      </c>
      <c r="C98" s="63" t="s">
        <v>124</v>
      </c>
      <c r="D98" s="61"/>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2"/>
      <c r="BO98" s="62"/>
      <c r="BP98" s="62"/>
      <c r="BS98" s="62"/>
      <c r="BT98" s="51" t="s">
        <v>17</v>
      </c>
    </row>
    <row r="99" spans="1:72" x14ac:dyDescent="0.25">
      <c r="B99" s="243" t="str">
        <f t="shared" si="85"/>
        <v>Low-Income</v>
      </c>
      <c r="C99" s="243" t="str">
        <f t="shared" si="85"/>
        <v>Revenue Requirements</v>
      </c>
      <c r="D99" s="114" t="str">
        <f>"Revenue Requirement before DSM ("&amp;Lookups!$D$22&amp;" Scenario)"</f>
        <v>Revenue Requirement before DSM (No EE Scenario)</v>
      </c>
      <c r="E99" s="84"/>
      <c r="F99" s="84"/>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S99" s="84"/>
      <c r="BT99" s="51" t="s">
        <v>17</v>
      </c>
    </row>
    <row r="100" spans="1:72" x14ac:dyDescent="0.25">
      <c r="B100" s="243" t="str">
        <f t="shared" si="85"/>
        <v>Low-Income</v>
      </c>
      <c r="C100" s="243" t="str">
        <f t="shared" si="85"/>
        <v>Revenue Requirements</v>
      </c>
      <c r="D100" s="244" t="str">
        <f>D99</f>
        <v>Revenue Requirement before DSM (No EE Scenario)</v>
      </c>
      <c r="E100" s="84" t="s">
        <v>26</v>
      </c>
      <c r="F100" s="84" t="s">
        <v>32</v>
      </c>
      <c r="G100" s="65">
        <f>G117*G94</f>
        <v>0</v>
      </c>
      <c r="H100" s="65">
        <f t="shared" ref="H100:AG100" si="90">H117*H94</f>
        <v>0</v>
      </c>
      <c r="I100" s="65">
        <f t="shared" si="90"/>
        <v>1041281.9767259974</v>
      </c>
      <c r="J100" s="65">
        <f t="shared" si="90"/>
        <v>1041281.9767259974</v>
      </c>
      <c r="K100" s="65">
        <f t="shared" si="90"/>
        <v>1041281.9767259974</v>
      </c>
      <c r="L100" s="65">
        <f t="shared" si="90"/>
        <v>1041281.9767259974</v>
      </c>
      <c r="M100" s="65">
        <f t="shared" si="90"/>
        <v>1041281.9767259974</v>
      </c>
      <c r="N100" s="65">
        <f t="shared" si="90"/>
        <v>1041281.9767259974</v>
      </c>
      <c r="O100" s="65">
        <f t="shared" si="90"/>
        <v>1041281.9767259974</v>
      </c>
      <c r="P100" s="65">
        <f t="shared" si="90"/>
        <v>1041281.9767259974</v>
      </c>
      <c r="Q100" s="65">
        <f t="shared" si="90"/>
        <v>1041281.9767259974</v>
      </c>
      <c r="R100" s="65">
        <f t="shared" si="90"/>
        <v>1041281.9767259974</v>
      </c>
      <c r="S100" s="65">
        <f t="shared" si="90"/>
        <v>1041281.9767259974</v>
      </c>
      <c r="T100" s="65">
        <f t="shared" si="90"/>
        <v>1041281.9767259974</v>
      </c>
      <c r="U100" s="65">
        <f t="shared" si="90"/>
        <v>1041281.9767259974</v>
      </c>
      <c r="V100" s="65">
        <f t="shared" si="90"/>
        <v>1041281.9767259974</v>
      </c>
      <c r="W100" s="65">
        <f t="shared" si="90"/>
        <v>1041281.9767259974</v>
      </c>
      <c r="X100" s="65">
        <f t="shared" si="90"/>
        <v>1041281.9767259974</v>
      </c>
      <c r="Y100" s="65">
        <f t="shared" si="90"/>
        <v>1041281.9767259974</v>
      </c>
      <c r="Z100" s="65">
        <f t="shared" si="90"/>
        <v>1041281.9767259974</v>
      </c>
      <c r="AA100" s="65">
        <f t="shared" si="90"/>
        <v>1041281.9767259974</v>
      </c>
      <c r="AB100" s="65">
        <f t="shared" si="90"/>
        <v>1041281.9767259974</v>
      </c>
      <c r="AC100" s="65">
        <f t="shared" si="90"/>
        <v>1041281.9767259974</v>
      </c>
      <c r="AD100" s="65">
        <f t="shared" si="90"/>
        <v>1041281.9767259974</v>
      </c>
      <c r="AE100" s="65">
        <f t="shared" si="90"/>
        <v>1041281.9767259974</v>
      </c>
      <c r="AF100" s="65">
        <f t="shared" si="90"/>
        <v>1041281.9767259974</v>
      </c>
      <c r="AG100" s="65">
        <f t="shared" si="90"/>
        <v>1041281.9767259974</v>
      </c>
      <c r="AH100" s="65"/>
      <c r="AI100" s="65">
        <f>NPV(Lookups!$E$17,G100:AG100)</f>
        <v>21195277.783332791</v>
      </c>
      <c r="AJ100" s="65"/>
      <c r="AM100" s="72">
        <f>AM117*AM94</f>
        <v>0</v>
      </c>
      <c r="AN100" s="72">
        <f t="shared" ref="AN100:BM100" si="91">AN117*AN94</f>
        <v>0</v>
      </c>
      <c r="AO100" s="72">
        <f t="shared" si="91"/>
        <v>1041281.9767259974</v>
      </c>
      <c r="AP100" s="72">
        <f t="shared" si="91"/>
        <v>1041281.9767259974</v>
      </c>
      <c r="AQ100" s="72">
        <f t="shared" si="91"/>
        <v>1041281.9767259974</v>
      </c>
      <c r="AR100" s="72">
        <f t="shared" si="91"/>
        <v>1041281.9767259974</v>
      </c>
      <c r="AS100" s="72">
        <f t="shared" si="91"/>
        <v>1041281.9767259974</v>
      </c>
      <c r="AT100" s="72">
        <f t="shared" si="91"/>
        <v>1041281.9767259974</v>
      </c>
      <c r="AU100" s="72">
        <f t="shared" si="91"/>
        <v>1041281.9767259974</v>
      </c>
      <c r="AV100" s="72">
        <f t="shared" si="91"/>
        <v>1041281.9767259974</v>
      </c>
      <c r="AW100" s="72">
        <f t="shared" si="91"/>
        <v>1041281.9767259974</v>
      </c>
      <c r="AX100" s="72">
        <f t="shared" si="91"/>
        <v>1041281.9767259974</v>
      </c>
      <c r="AY100" s="72">
        <f t="shared" si="91"/>
        <v>1041281.9767259974</v>
      </c>
      <c r="AZ100" s="72">
        <f t="shared" si="91"/>
        <v>1041281.9767259974</v>
      </c>
      <c r="BA100" s="72">
        <f t="shared" si="91"/>
        <v>1041281.9767259974</v>
      </c>
      <c r="BB100" s="72">
        <f t="shared" si="91"/>
        <v>1041281.9767259974</v>
      </c>
      <c r="BC100" s="72">
        <f t="shared" si="91"/>
        <v>1041281.9767259974</v>
      </c>
      <c r="BD100" s="72">
        <f t="shared" si="91"/>
        <v>1041281.9767259974</v>
      </c>
      <c r="BE100" s="72">
        <f t="shared" si="91"/>
        <v>1041281.9767259974</v>
      </c>
      <c r="BF100" s="72">
        <f t="shared" si="91"/>
        <v>1041281.9767259974</v>
      </c>
      <c r="BG100" s="72">
        <f t="shared" si="91"/>
        <v>1041281.9767259974</v>
      </c>
      <c r="BH100" s="72">
        <f t="shared" si="91"/>
        <v>1041281.9767259974</v>
      </c>
      <c r="BI100" s="72">
        <f t="shared" si="91"/>
        <v>1041281.9767259974</v>
      </c>
      <c r="BJ100" s="72">
        <f t="shared" si="91"/>
        <v>1041281.9767259974</v>
      </c>
      <c r="BK100" s="72">
        <f t="shared" si="91"/>
        <v>1041281.9767259974</v>
      </c>
      <c r="BL100" s="72">
        <f t="shared" si="91"/>
        <v>1041281.9767259974</v>
      </c>
      <c r="BM100" s="72">
        <f t="shared" si="91"/>
        <v>1041281.9767259974</v>
      </c>
      <c r="BN100" s="72"/>
      <c r="BO100" s="72">
        <f>NPV(Lookups!$E$17,AM100:BM100)</f>
        <v>21195277.783332791</v>
      </c>
      <c r="BP100" s="72"/>
      <c r="BS100" s="84" t="str">
        <f>"No EE Scenario "&amp;E100&amp;" rate multiplied by No EE Scenario sales."</f>
        <v>No EE Scenario Distribution rate multiplied by No EE Scenario sales.</v>
      </c>
      <c r="BT100" s="51" t="s">
        <v>17</v>
      </c>
    </row>
    <row r="101" spans="1:72" x14ac:dyDescent="0.25">
      <c r="B101" s="243" t="str">
        <f t="shared" si="85"/>
        <v>Low-Income</v>
      </c>
      <c r="C101" s="243" t="str">
        <f t="shared" si="85"/>
        <v>Revenue Requirements</v>
      </c>
      <c r="D101" s="244" t="str">
        <f>D100</f>
        <v>Revenue Requirement before DSM (No EE Scenario)</v>
      </c>
      <c r="E101" s="84" t="s">
        <v>407</v>
      </c>
      <c r="F101" s="84" t="s">
        <v>32</v>
      </c>
      <c r="G101" s="65">
        <f>G118*G94</f>
        <v>0</v>
      </c>
      <c r="H101" s="65">
        <f t="shared" ref="H101:AG101" si="92">H118*H94</f>
        <v>0</v>
      </c>
      <c r="I101" s="65">
        <f t="shared" si="92"/>
        <v>-154229.37716318635</v>
      </c>
      <c r="J101" s="65">
        <f t="shared" si="92"/>
        <v>-154229.37716318635</v>
      </c>
      <c r="K101" s="65">
        <f t="shared" si="92"/>
        <v>-154229.37716318635</v>
      </c>
      <c r="L101" s="65">
        <f t="shared" si="92"/>
        <v>-154229.37716318635</v>
      </c>
      <c r="M101" s="65">
        <f t="shared" si="92"/>
        <v>-154229.37716318635</v>
      </c>
      <c r="N101" s="65">
        <f t="shared" si="92"/>
        <v>-154229.37716318635</v>
      </c>
      <c r="O101" s="65">
        <f t="shared" si="92"/>
        <v>-154229.37716318635</v>
      </c>
      <c r="P101" s="65">
        <f t="shared" si="92"/>
        <v>-154229.37716318635</v>
      </c>
      <c r="Q101" s="65">
        <f t="shared" si="92"/>
        <v>-154229.37716318635</v>
      </c>
      <c r="R101" s="65">
        <f t="shared" si="92"/>
        <v>-154229.37716318635</v>
      </c>
      <c r="S101" s="65">
        <f t="shared" si="92"/>
        <v>-154229.37716318635</v>
      </c>
      <c r="T101" s="65">
        <f t="shared" si="92"/>
        <v>-154229.37716318635</v>
      </c>
      <c r="U101" s="65">
        <f t="shared" si="92"/>
        <v>-154229.37716318635</v>
      </c>
      <c r="V101" s="65">
        <f t="shared" si="92"/>
        <v>-154229.37716318635</v>
      </c>
      <c r="W101" s="65">
        <f t="shared" si="92"/>
        <v>-154229.37716318635</v>
      </c>
      <c r="X101" s="65">
        <f t="shared" si="92"/>
        <v>-154229.37716318635</v>
      </c>
      <c r="Y101" s="65">
        <f t="shared" si="92"/>
        <v>-154229.37716318635</v>
      </c>
      <c r="Z101" s="65">
        <f t="shared" si="92"/>
        <v>-154229.37716318635</v>
      </c>
      <c r="AA101" s="65">
        <f t="shared" si="92"/>
        <v>-154229.37716318635</v>
      </c>
      <c r="AB101" s="65">
        <f t="shared" si="92"/>
        <v>-154229.37716318635</v>
      </c>
      <c r="AC101" s="65">
        <f t="shared" si="92"/>
        <v>-154229.37716318635</v>
      </c>
      <c r="AD101" s="65">
        <f t="shared" si="92"/>
        <v>-154229.37716318635</v>
      </c>
      <c r="AE101" s="65">
        <f t="shared" si="92"/>
        <v>-154229.37716318635</v>
      </c>
      <c r="AF101" s="65">
        <f t="shared" si="92"/>
        <v>-154229.37716318635</v>
      </c>
      <c r="AG101" s="65">
        <f t="shared" si="92"/>
        <v>-154229.37716318635</v>
      </c>
      <c r="AH101" s="65"/>
      <c r="AI101" s="65">
        <f>NPV(Lookups!$E$17,G101:AG101)</f>
        <v>-3139336.4759873538</v>
      </c>
      <c r="AJ101" s="65"/>
      <c r="AM101" s="72">
        <f>AM118*AM94</f>
        <v>0</v>
      </c>
      <c r="AN101" s="72">
        <f t="shared" ref="AN101:BM101" si="93">AN118*AN94</f>
        <v>0</v>
      </c>
      <c r="AO101" s="72">
        <f t="shared" si="93"/>
        <v>-154229.37716318635</v>
      </c>
      <c r="AP101" s="72">
        <f t="shared" si="93"/>
        <v>-154229.37716318635</v>
      </c>
      <c r="AQ101" s="72">
        <f t="shared" si="93"/>
        <v>-154229.37716318635</v>
      </c>
      <c r="AR101" s="72">
        <f t="shared" si="93"/>
        <v>-154229.37716318635</v>
      </c>
      <c r="AS101" s="72">
        <f t="shared" si="93"/>
        <v>-154229.37716318635</v>
      </c>
      <c r="AT101" s="72">
        <f t="shared" si="93"/>
        <v>-154229.37716318635</v>
      </c>
      <c r="AU101" s="72">
        <f t="shared" si="93"/>
        <v>-154229.37716318635</v>
      </c>
      <c r="AV101" s="72">
        <f t="shared" si="93"/>
        <v>-154229.37716318635</v>
      </c>
      <c r="AW101" s="72">
        <f t="shared" si="93"/>
        <v>-154229.37716318635</v>
      </c>
      <c r="AX101" s="72">
        <f t="shared" si="93"/>
        <v>-154229.37716318635</v>
      </c>
      <c r="AY101" s="72">
        <f t="shared" si="93"/>
        <v>-154229.37716318635</v>
      </c>
      <c r="AZ101" s="72">
        <f t="shared" si="93"/>
        <v>-154229.37716318635</v>
      </c>
      <c r="BA101" s="72">
        <f t="shared" si="93"/>
        <v>-154229.37716318635</v>
      </c>
      <c r="BB101" s="72">
        <f t="shared" si="93"/>
        <v>-154229.37716318635</v>
      </c>
      <c r="BC101" s="72">
        <f t="shared" si="93"/>
        <v>-154229.37716318635</v>
      </c>
      <c r="BD101" s="72">
        <f t="shared" si="93"/>
        <v>-154229.37716318635</v>
      </c>
      <c r="BE101" s="72">
        <f t="shared" si="93"/>
        <v>-154229.37716318635</v>
      </c>
      <c r="BF101" s="72">
        <f t="shared" si="93"/>
        <v>-154229.37716318635</v>
      </c>
      <c r="BG101" s="72">
        <f t="shared" si="93"/>
        <v>-154229.37716318635</v>
      </c>
      <c r="BH101" s="72">
        <f t="shared" si="93"/>
        <v>-154229.37716318635</v>
      </c>
      <c r="BI101" s="72">
        <f t="shared" si="93"/>
        <v>-154229.37716318635</v>
      </c>
      <c r="BJ101" s="72">
        <f t="shared" si="93"/>
        <v>-154229.37716318635</v>
      </c>
      <c r="BK101" s="72">
        <f t="shared" si="93"/>
        <v>-154229.37716318635</v>
      </c>
      <c r="BL101" s="72">
        <f t="shared" si="93"/>
        <v>-154229.37716318635</v>
      </c>
      <c r="BM101" s="72">
        <f t="shared" si="93"/>
        <v>-154229.37716318635</v>
      </c>
      <c r="BN101" s="72"/>
      <c r="BO101" s="72">
        <f>NPV(Lookups!$E$17,AM101:BM101)</f>
        <v>-3139336.4759873538</v>
      </c>
      <c r="BP101" s="72"/>
      <c r="BS101" s="84" t="str">
        <f>"No EE Scenario "&amp;E101&amp;" rate multiplied by No EE Scenario sales."</f>
        <v>No EE Scenario LDAC, Non-EE rate multiplied by No EE Scenario sales.</v>
      </c>
      <c r="BT101" s="51" t="s">
        <v>17</v>
      </c>
    </row>
    <row r="102" spans="1:72" x14ac:dyDescent="0.25">
      <c r="A102" s="1"/>
      <c r="B102" s="243" t="str">
        <f>B100</f>
        <v>Low-Income</v>
      </c>
      <c r="C102" s="243" t="str">
        <f>C100</f>
        <v>Revenue Requirements</v>
      </c>
      <c r="D102" s="244" t="str">
        <f>D100</f>
        <v>Revenue Requirement before DSM (No EE Scenario)</v>
      </c>
      <c r="E102" s="84" t="s">
        <v>197</v>
      </c>
      <c r="F102" s="84" t="s">
        <v>32</v>
      </c>
      <c r="G102" s="65">
        <f>G119*G94</f>
        <v>0</v>
      </c>
      <c r="H102" s="65">
        <f>H119*H94</f>
        <v>0</v>
      </c>
      <c r="I102" s="65">
        <f t="shared" ref="I102:AG102" si="94">I119*I94</f>
        <v>2899044.9289189233</v>
      </c>
      <c r="J102" s="65">
        <f t="shared" si="94"/>
        <v>2899044.9289189233</v>
      </c>
      <c r="K102" s="65">
        <f t="shared" si="94"/>
        <v>2899044.9289189233</v>
      </c>
      <c r="L102" s="65">
        <f t="shared" si="94"/>
        <v>2899044.9289189233</v>
      </c>
      <c r="M102" s="65">
        <f t="shared" si="94"/>
        <v>2899044.9289189233</v>
      </c>
      <c r="N102" s="65">
        <f t="shared" si="94"/>
        <v>2899044.9289189233</v>
      </c>
      <c r="O102" s="65">
        <f t="shared" si="94"/>
        <v>2899044.9289189233</v>
      </c>
      <c r="P102" s="65">
        <f t="shared" si="94"/>
        <v>2899044.9289189233</v>
      </c>
      <c r="Q102" s="65">
        <f t="shared" si="94"/>
        <v>2899044.9289189233</v>
      </c>
      <c r="R102" s="65">
        <f t="shared" si="94"/>
        <v>2899044.9289189233</v>
      </c>
      <c r="S102" s="65">
        <f t="shared" si="94"/>
        <v>2899044.9289189233</v>
      </c>
      <c r="T102" s="65">
        <f t="shared" si="94"/>
        <v>2899044.9289189233</v>
      </c>
      <c r="U102" s="65">
        <f t="shared" si="94"/>
        <v>2899044.9289189233</v>
      </c>
      <c r="V102" s="65">
        <f t="shared" si="94"/>
        <v>2899044.9289189233</v>
      </c>
      <c r="W102" s="65">
        <f t="shared" si="94"/>
        <v>2899044.9289189233</v>
      </c>
      <c r="X102" s="65">
        <f t="shared" si="94"/>
        <v>2899044.9289189233</v>
      </c>
      <c r="Y102" s="65">
        <f t="shared" si="94"/>
        <v>2899044.9289189233</v>
      </c>
      <c r="Z102" s="65">
        <f t="shared" si="94"/>
        <v>2899044.9289189233</v>
      </c>
      <c r="AA102" s="65">
        <f t="shared" si="94"/>
        <v>2899044.9289189233</v>
      </c>
      <c r="AB102" s="65">
        <f t="shared" si="94"/>
        <v>2899044.9289189233</v>
      </c>
      <c r="AC102" s="65">
        <f t="shared" si="94"/>
        <v>2899044.9289189233</v>
      </c>
      <c r="AD102" s="65">
        <f t="shared" si="94"/>
        <v>2899044.9289189233</v>
      </c>
      <c r="AE102" s="65">
        <f t="shared" si="94"/>
        <v>2899044.9289189233</v>
      </c>
      <c r="AF102" s="65">
        <f t="shared" si="94"/>
        <v>2899044.9289189233</v>
      </c>
      <c r="AG102" s="65">
        <f t="shared" si="94"/>
        <v>2899044.9289189233</v>
      </c>
      <c r="AH102" s="65"/>
      <c r="AI102" s="65">
        <f>NPV(Lookups!$E$17,G102:AG102)</f>
        <v>59010012.607725903</v>
      </c>
      <c r="AJ102" s="65"/>
      <c r="AM102" s="72">
        <f>AM119*AM94</f>
        <v>0</v>
      </c>
      <c r="AN102" s="72">
        <f t="shared" ref="AN102:BM102" si="95">AN119*AN94</f>
        <v>0</v>
      </c>
      <c r="AO102" s="72">
        <f t="shared" si="95"/>
        <v>2899044.9289189233</v>
      </c>
      <c r="AP102" s="72">
        <f t="shared" si="95"/>
        <v>2899044.9289189233</v>
      </c>
      <c r="AQ102" s="72">
        <f t="shared" si="95"/>
        <v>2899044.9289189233</v>
      </c>
      <c r="AR102" s="72">
        <f t="shared" si="95"/>
        <v>2899044.9289189233</v>
      </c>
      <c r="AS102" s="72">
        <f t="shared" si="95"/>
        <v>2899044.9289189233</v>
      </c>
      <c r="AT102" s="72">
        <f t="shared" si="95"/>
        <v>2899044.9289189233</v>
      </c>
      <c r="AU102" s="72">
        <f t="shared" si="95"/>
        <v>2899044.9289189233</v>
      </c>
      <c r="AV102" s="72">
        <f t="shared" si="95"/>
        <v>2899044.9289189233</v>
      </c>
      <c r="AW102" s="72">
        <f t="shared" si="95"/>
        <v>2899044.9289189233</v>
      </c>
      <c r="AX102" s="72">
        <f t="shared" si="95"/>
        <v>2899044.9289189233</v>
      </c>
      <c r="AY102" s="72">
        <f t="shared" si="95"/>
        <v>2899044.9289189233</v>
      </c>
      <c r="AZ102" s="72">
        <f t="shared" si="95"/>
        <v>2899044.9289189233</v>
      </c>
      <c r="BA102" s="72">
        <f t="shared" si="95"/>
        <v>2899044.9289189233</v>
      </c>
      <c r="BB102" s="72">
        <f t="shared" si="95"/>
        <v>2899044.9289189233</v>
      </c>
      <c r="BC102" s="72">
        <f t="shared" si="95"/>
        <v>2899044.9289189233</v>
      </c>
      <c r="BD102" s="72">
        <f t="shared" si="95"/>
        <v>2899044.9289189233</v>
      </c>
      <c r="BE102" s="72">
        <f t="shared" si="95"/>
        <v>2899044.9289189233</v>
      </c>
      <c r="BF102" s="72">
        <f t="shared" si="95"/>
        <v>2899044.9289189233</v>
      </c>
      <c r="BG102" s="72">
        <f t="shared" si="95"/>
        <v>2899044.9289189233</v>
      </c>
      <c r="BH102" s="72">
        <f t="shared" si="95"/>
        <v>2899044.9289189233</v>
      </c>
      <c r="BI102" s="72">
        <f t="shared" si="95"/>
        <v>2899044.9289189233</v>
      </c>
      <c r="BJ102" s="72">
        <f t="shared" si="95"/>
        <v>2899044.9289189233</v>
      </c>
      <c r="BK102" s="72">
        <f t="shared" si="95"/>
        <v>2899044.9289189233</v>
      </c>
      <c r="BL102" s="72">
        <f t="shared" si="95"/>
        <v>2899044.9289189233</v>
      </c>
      <c r="BM102" s="72">
        <f t="shared" si="95"/>
        <v>2899044.9289189233</v>
      </c>
      <c r="BN102" s="72"/>
      <c r="BO102" s="72">
        <f>NPV(Lookups!$E$17,AM102:BM102)</f>
        <v>59010012.607725903</v>
      </c>
      <c r="BP102" s="72"/>
      <c r="BS102" s="84" t="str">
        <f>"No EE Scenario "&amp;E102&amp;" rate multiplied by No EE Scenario sales."</f>
        <v>No EE Scenario Cost of Gas rate multiplied by No EE Scenario sales.</v>
      </c>
      <c r="BT102" s="51" t="s">
        <v>17</v>
      </c>
    </row>
    <row r="103" spans="1:72" x14ac:dyDescent="0.25">
      <c r="B103" s="243" t="str">
        <f t="shared" ref="B103:C105" si="96">B102</f>
        <v>Low-Income</v>
      </c>
      <c r="C103" s="243" t="str">
        <f t="shared" si="96"/>
        <v>Revenue Requirements</v>
      </c>
      <c r="D103" s="114" t="s">
        <v>24</v>
      </c>
      <c r="E103" s="84"/>
      <c r="F103" s="84"/>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S103" s="84"/>
      <c r="BT103" s="51" t="s">
        <v>17</v>
      </c>
    </row>
    <row r="104" spans="1:72" x14ac:dyDescent="0.25">
      <c r="A104" s="246"/>
      <c r="B104" s="243" t="str">
        <f t="shared" si="96"/>
        <v>Low-Income</v>
      </c>
      <c r="C104" s="243" t="str">
        <f t="shared" si="96"/>
        <v>Revenue Requirements</v>
      </c>
      <c r="D104" s="244" t="str">
        <f>D103</f>
        <v>Avoided Costs</v>
      </c>
      <c r="E104" s="84" t="s">
        <v>45</v>
      </c>
      <c r="F104" s="84" t="s">
        <v>32</v>
      </c>
      <c r="G104" s="65">
        <f ca="1">IF($C$4=Lookups!$D$40,SUM(INDIRECT("'Yr1'!"&amp;ADDRESS(ROW(G104),COLUMN(G104))),INDIRECT("'Yr2'!"&amp;ADDRESS(ROW(G104),COLUMN(G104))),INDIRECT("'Yr3'!"&amp;ADDRESS(ROW(G104),COLUMN(G104)))),
IF(G91=0,0,-PMT(INDEX(Lookups!$E$17:$G$17,MATCH($C$4,Lookups!$E$14:$G$14,0)),G91,SUMIFS('EE Inputs'!$J$9:$J$32,'EE Inputs'!$C$9:$C$32,$G$6,'EE Inputs'!$D$9:$D$32,$C$4,'EE Inputs'!$E$9:$E$32,$B104),0,1)))-G105</f>
        <v>0</v>
      </c>
      <c r="H104" s="65">
        <f ca="1">IF($C$4=Lookups!$D$40,SUM(INDIRECT("'Yr1'!"&amp;ADDRESS(ROW(H104),COLUMN(H104))),INDIRECT("'Yr2'!"&amp;ADDRESS(ROW(H104),COLUMN(H104))),INDIRECT("'Yr3'!"&amp;ADDRESS(ROW(H104),COLUMN(H104)))),
IF(H91=0,0,-PMT(INDEX(Lookups!$E$17:$G$17,MATCH($C$4,Lookups!$E$14:$G$14,0)),H91,SUMIFS('EE Inputs'!$J$9:$J$32,'EE Inputs'!$C$9:$C$32,$G$6,'EE Inputs'!$D$9:$D$32,$C$4,'EE Inputs'!$E$9:$E$32,$B104),0,1)))-H105</f>
        <v>0</v>
      </c>
      <c r="I104" s="65">
        <f ca="1">IF($C$4=Lookups!$D$40,SUM(INDIRECT("'Yr1'!"&amp;ADDRESS(ROW(I104),COLUMN(I104))),INDIRECT("'Yr2'!"&amp;ADDRESS(ROW(I104),COLUMN(I104))),INDIRECT("'Yr3'!"&amp;ADDRESS(ROW(I104),COLUMN(I104)))),
IF(I91=0,0,-PMT(INDEX(Lookups!$E$17:$G$17,MATCH($C$4,Lookups!$E$14:$G$14,0)),I91,SUMIFS('EE Inputs'!$J$9:$J$32,'EE Inputs'!$C$9:$C$32,$G$6,'EE Inputs'!$D$9:$D$32,$C$4,'EE Inputs'!$E$9:$E$32,$B104),0,1)))-I105</f>
        <v>69445.183227550122</v>
      </c>
      <c r="J104" s="65">
        <f ca="1">IF($C$4=Lookups!$D$40,SUM(INDIRECT("'Yr1'!"&amp;ADDRESS(ROW(J104),COLUMN(J104))),INDIRECT("'Yr2'!"&amp;ADDRESS(ROW(J104),COLUMN(J104))),INDIRECT("'Yr3'!"&amp;ADDRESS(ROW(J104),COLUMN(J104)))),
IF(J91=0,0,-PMT(INDEX(Lookups!$E$17:$G$17,MATCH($C$4,Lookups!$E$14:$G$14,0)),J91,SUMIFS('EE Inputs'!$J$9:$J$32,'EE Inputs'!$C$9:$C$32,$G$6,'EE Inputs'!$D$9:$D$32,$C$4,'EE Inputs'!$E$9:$E$32,$B104),0,1)))-J105</f>
        <v>69445.183227550122</v>
      </c>
      <c r="K104" s="65">
        <f ca="1">IF($C$4=Lookups!$D$40,SUM(INDIRECT("'Yr1'!"&amp;ADDRESS(ROW(K104),COLUMN(K104))),INDIRECT("'Yr2'!"&amp;ADDRESS(ROW(K104),COLUMN(K104))),INDIRECT("'Yr3'!"&amp;ADDRESS(ROW(K104),COLUMN(K104)))),
IF(K91=0,0,-PMT(INDEX(Lookups!$E$17:$G$17,MATCH($C$4,Lookups!$E$14:$G$14,0)),K91,SUMIFS('EE Inputs'!$J$9:$J$32,'EE Inputs'!$C$9:$C$32,$G$6,'EE Inputs'!$D$9:$D$32,$C$4,'EE Inputs'!$E$9:$E$32,$B104),0,1)))-K105</f>
        <v>69445.183227550122</v>
      </c>
      <c r="L104" s="65">
        <f ca="1">IF($C$4=Lookups!$D$40,SUM(INDIRECT("'Yr1'!"&amp;ADDRESS(ROW(L104),COLUMN(L104))),INDIRECT("'Yr2'!"&amp;ADDRESS(ROW(L104),COLUMN(L104))),INDIRECT("'Yr3'!"&amp;ADDRESS(ROW(L104),COLUMN(L104)))),
IF(L91=0,0,-PMT(INDEX(Lookups!$E$17:$G$17,MATCH($C$4,Lookups!$E$14:$G$14,0)),L91,SUMIFS('EE Inputs'!$J$9:$J$32,'EE Inputs'!$C$9:$C$32,$G$6,'EE Inputs'!$D$9:$D$32,$C$4,'EE Inputs'!$E$9:$E$32,$B104),0,1)))-L105</f>
        <v>69445.183227550122</v>
      </c>
      <c r="M104" s="65">
        <f ca="1">IF($C$4=Lookups!$D$40,SUM(INDIRECT("'Yr1'!"&amp;ADDRESS(ROW(M104),COLUMN(M104))),INDIRECT("'Yr2'!"&amp;ADDRESS(ROW(M104),COLUMN(M104))),INDIRECT("'Yr3'!"&amp;ADDRESS(ROW(M104),COLUMN(M104)))),
IF(M91=0,0,-PMT(INDEX(Lookups!$E$17:$G$17,MATCH($C$4,Lookups!$E$14:$G$14,0)),M91,SUMIFS('EE Inputs'!$J$9:$J$32,'EE Inputs'!$C$9:$C$32,$G$6,'EE Inputs'!$D$9:$D$32,$C$4,'EE Inputs'!$E$9:$E$32,$B104),0,1)))-M105</f>
        <v>69445.183227550122</v>
      </c>
      <c r="N104" s="65">
        <f ca="1">IF($C$4=Lookups!$D$40,SUM(INDIRECT("'Yr1'!"&amp;ADDRESS(ROW(N104),COLUMN(N104))),INDIRECT("'Yr2'!"&amp;ADDRESS(ROW(N104),COLUMN(N104))),INDIRECT("'Yr3'!"&amp;ADDRESS(ROW(N104),COLUMN(N104)))),
IF(N91=0,0,-PMT(INDEX(Lookups!$E$17:$G$17,MATCH($C$4,Lookups!$E$14:$G$14,0)),N91,SUMIFS('EE Inputs'!$J$9:$J$32,'EE Inputs'!$C$9:$C$32,$G$6,'EE Inputs'!$D$9:$D$32,$C$4,'EE Inputs'!$E$9:$E$32,$B104),0,1)))-N105</f>
        <v>69445.183227550122</v>
      </c>
      <c r="O104" s="65">
        <f ca="1">IF($C$4=Lookups!$D$40,SUM(INDIRECT("'Yr1'!"&amp;ADDRESS(ROW(O104),COLUMN(O104))),INDIRECT("'Yr2'!"&amp;ADDRESS(ROW(O104),COLUMN(O104))),INDIRECT("'Yr3'!"&amp;ADDRESS(ROW(O104),COLUMN(O104)))),
IF(O91=0,0,-PMT(INDEX(Lookups!$E$17:$G$17,MATCH($C$4,Lookups!$E$14:$G$14,0)),O91,SUMIFS('EE Inputs'!$J$9:$J$32,'EE Inputs'!$C$9:$C$32,$G$6,'EE Inputs'!$D$9:$D$32,$C$4,'EE Inputs'!$E$9:$E$32,$B104),0,1)))-O105</f>
        <v>69445.183227550122</v>
      </c>
      <c r="P104" s="65">
        <f ca="1">IF($C$4=Lookups!$D$40,SUM(INDIRECT("'Yr1'!"&amp;ADDRESS(ROW(P104),COLUMN(P104))),INDIRECT("'Yr2'!"&amp;ADDRESS(ROW(P104),COLUMN(P104))),INDIRECT("'Yr3'!"&amp;ADDRESS(ROW(P104),COLUMN(P104)))),
IF(P91=0,0,-PMT(INDEX(Lookups!$E$17:$G$17,MATCH($C$4,Lookups!$E$14:$G$14,0)),P91,SUMIFS('EE Inputs'!$J$9:$J$32,'EE Inputs'!$C$9:$C$32,$G$6,'EE Inputs'!$D$9:$D$32,$C$4,'EE Inputs'!$E$9:$E$32,$B104),0,1)))-P105</f>
        <v>69445.183227550122</v>
      </c>
      <c r="Q104" s="65">
        <f ca="1">IF($C$4=Lookups!$D$40,SUM(INDIRECT("'Yr1'!"&amp;ADDRESS(ROW(Q104),COLUMN(Q104))),INDIRECT("'Yr2'!"&amp;ADDRESS(ROW(Q104),COLUMN(Q104))),INDIRECT("'Yr3'!"&amp;ADDRESS(ROW(Q104),COLUMN(Q104)))),
IF(Q91=0,0,-PMT(INDEX(Lookups!$E$17:$G$17,MATCH($C$4,Lookups!$E$14:$G$14,0)),Q91,SUMIFS('EE Inputs'!$J$9:$J$32,'EE Inputs'!$C$9:$C$32,$G$6,'EE Inputs'!$D$9:$D$32,$C$4,'EE Inputs'!$E$9:$E$32,$B104),0,1)))-Q105</f>
        <v>69445.183227550122</v>
      </c>
      <c r="R104" s="65">
        <f ca="1">IF($C$4=Lookups!$D$40,SUM(INDIRECT("'Yr1'!"&amp;ADDRESS(ROW(R104),COLUMN(R104))),INDIRECT("'Yr2'!"&amp;ADDRESS(ROW(R104),COLUMN(R104))),INDIRECT("'Yr3'!"&amp;ADDRESS(ROW(R104),COLUMN(R104)))),
IF(R91=0,0,-PMT(INDEX(Lookups!$E$17:$G$17,MATCH($C$4,Lookups!$E$14:$G$14,0)),R91,SUMIFS('EE Inputs'!$J$9:$J$32,'EE Inputs'!$C$9:$C$32,$G$6,'EE Inputs'!$D$9:$D$32,$C$4,'EE Inputs'!$E$9:$E$32,$B104),0,1)))-R105</f>
        <v>69445.183227550122</v>
      </c>
      <c r="S104" s="65">
        <f ca="1">IF($C$4=Lookups!$D$40,SUM(INDIRECT("'Yr1'!"&amp;ADDRESS(ROW(S104),COLUMN(S104))),INDIRECT("'Yr2'!"&amp;ADDRESS(ROW(S104),COLUMN(S104))),INDIRECT("'Yr3'!"&amp;ADDRESS(ROW(S104),COLUMN(S104)))),
IF(S91=0,0,-PMT(INDEX(Lookups!$E$17:$G$17,MATCH($C$4,Lookups!$E$14:$G$14,0)),S91,SUMIFS('EE Inputs'!$J$9:$J$32,'EE Inputs'!$C$9:$C$32,$G$6,'EE Inputs'!$D$9:$D$32,$C$4,'EE Inputs'!$E$9:$E$32,$B104),0,1)))-S105</f>
        <v>69445.183227550122</v>
      </c>
      <c r="T104" s="65">
        <f ca="1">IF($C$4=Lookups!$D$40,SUM(INDIRECT("'Yr1'!"&amp;ADDRESS(ROW(T104),COLUMN(T104))),INDIRECT("'Yr2'!"&amp;ADDRESS(ROW(T104),COLUMN(T104))),INDIRECT("'Yr3'!"&amp;ADDRESS(ROW(T104),COLUMN(T104)))),
IF(T91=0,0,-PMT(INDEX(Lookups!$E$17:$G$17,MATCH($C$4,Lookups!$E$14:$G$14,0)),T91,SUMIFS('EE Inputs'!$J$9:$J$32,'EE Inputs'!$C$9:$C$32,$G$6,'EE Inputs'!$D$9:$D$32,$C$4,'EE Inputs'!$E$9:$E$32,$B104),0,1)))-T105</f>
        <v>69445.183227550122</v>
      </c>
      <c r="U104" s="65">
        <f ca="1">IF($C$4=Lookups!$D$40,SUM(INDIRECT("'Yr1'!"&amp;ADDRESS(ROW(U104),COLUMN(U104))),INDIRECT("'Yr2'!"&amp;ADDRESS(ROW(U104),COLUMN(U104))),INDIRECT("'Yr3'!"&amp;ADDRESS(ROW(U104),COLUMN(U104)))),
IF(U91=0,0,-PMT(INDEX(Lookups!$E$17:$G$17,MATCH($C$4,Lookups!$E$14:$G$14,0)),U91,SUMIFS('EE Inputs'!$J$9:$J$32,'EE Inputs'!$C$9:$C$32,$G$6,'EE Inputs'!$D$9:$D$32,$C$4,'EE Inputs'!$E$9:$E$32,$B104),0,1)))-U105</f>
        <v>69445.183227550122</v>
      </c>
      <c r="V104" s="65">
        <f ca="1">IF($C$4=Lookups!$D$40,SUM(INDIRECT("'Yr1'!"&amp;ADDRESS(ROW(V104),COLUMN(V104))),INDIRECT("'Yr2'!"&amp;ADDRESS(ROW(V104),COLUMN(V104))),INDIRECT("'Yr3'!"&amp;ADDRESS(ROW(V104),COLUMN(V104)))),
IF(V91=0,0,-PMT(INDEX(Lookups!$E$17:$G$17,MATCH($C$4,Lookups!$E$14:$G$14,0)),V91,SUMIFS('EE Inputs'!$J$9:$J$32,'EE Inputs'!$C$9:$C$32,$G$6,'EE Inputs'!$D$9:$D$32,$C$4,'EE Inputs'!$E$9:$E$32,$B104),0,1)))-V105</f>
        <v>69445.183227550122</v>
      </c>
      <c r="W104" s="65">
        <f ca="1">IF($C$4=Lookups!$D$40,SUM(INDIRECT("'Yr1'!"&amp;ADDRESS(ROW(W104),COLUMN(W104))),INDIRECT("'Yr2'!"&amp;ADDRESS(ROW(W104),COLUMN(W104))),INDIRECT("'Yr3'!"&amp;ADDRESS(ROW(W104),COLUMN(W104)))),
IF(W91=0,0,-PMT(INDEX(Lookups!$E$17:$G$17,MATCH($C$4,Lookups!$E$14:$G$14,0)),W91,SUMIFS('EE Inputs'!$J$9:$J$32,'EE Inputs'!$C$9:$C$32,$G$6,'EE Inputs'!$D$9:$D$32,$C$4,'EE Inputs'!$E$9:$E$32,$B104),0,1)))-W105</f>
        <v>69445.183227550122</v>
      </c>
      <c r="X104" s="65">
        <f ca="1">IF($C$4=Lookups!$D$40,SUM(INDIRECT("'Yr1'!"&amp;ADDRESS(ROW(X104),COLUMN(X104))),INDIRECT("'Yr2'!"&amp;ADDRESS(ROW(X104),COLUMN(X104))),INDIRECT("'Yr3'!"&amp;ADDRESS(ROW(X104),COLUMN(X104)))),
IF(X91=0,0,-PMT(INDEX(Lookups!$E$17:$G$17,MATCH($C$4,Lookups!$E$14:$G$14,0)),X91,SUMIFS('EE Inputs'!$J$9:$J$32,'EE Inputs'!$C$9:$C$32,$G$6,'EE Inputs'!$D$9:$D$32,$C$4,'EE Inputs'!$E$9:$E$32,$B104),0,1)))-X105</f>
        <v>69445.183227550122</v>
      </c>
      <c r="Y104" s="65">
        <f ca="1">IF($C$4=Lookups!$D$40,SUM(INDIRECT("'Yr1'!"&amp;ADDRESS(ROW(Y104),COLUMN(Y104))),INDIRECT("'Yr2'!"&amp;ADDRESS(ROW(Y104),COLUMN(Y104))),INDIRECT("'Yr3'!"&amp;ADDRESS(ROW(Y104),COLUMN(Y104)))),
IF(Y91=0,0,-PMT(INDEX(Lookups!$E$17:$G$17,MATCH($C$4,Lookups!$E$14:$G$14,0)),Y91,SUMIFS('EE Inputs'!$J$9:$J$32,'EE Inputs'!$C$9:$C$32,$G$6,'EE Inputs'!$D$9:$D$32,$C$4,'EE Inputs'!$E$9:$E$32,$B104),0,1)))-Y105</f>
        <v>69445.183227550122</v>
      </c>
      <c r="Z104" s="65">
        <f ca="1">IF($C$4=Lookups!$D$40,SUM(INDIRECT("'Yr1'!"&amp;ADDRESS(ROW(Z104),COLUMN(Z104))),INDIRECT("'Yr2'!"&amp;ADDRESS(ROW(Z104),COLUMN(Z104))),INDIRECT("'Yr3'!"&amp;ADDRESS(ROW(Z104),COLUMN(Z104)))),
IF(Z91=0,0,-PMT(INDEX(Lookups!$E$17:$G$17,MATCH($C$4,Lookups!$E$14:$G$14,0)),Z91,SUMIFS('EE Inputs'!$J$9:$J$32,'EE Inputs'!$C$9:$C$32,$G$6,'EE Inputs'!$D$9:$D$32,$C$4,'EE Inputs'!$E$9:$E$32,$B104),0,1)))-Z105</f>
        <v>69445.183227550122</v>
      </c>
      <c r="AA104" s="65">
        <f ca="1">IF($C$4=Lookups!$D$40,SUM(INDIRECT("'Yr1'!"&amp;ADDRESS(ROW(AA104),COLUMN(AA104))),INDIRECT("'Yr2'!"&amp;ADDRESS(ROW(AA104),COLUMN(AA104))),INDIRECT("'Yr3'!"&amp;ADDRESS(ROW(AA104),COLUMN(AA104)))),
IF(AA91=0,0,-PMT(INDEX(Lookups!$E$17:$G$17,MATCH($C$4,Lookups!$E$14:$G$14,0)),AA91,SUMIFS('EE Inputs'!$J$9:$J$32,'EE Inputs'!$C$9:$C$32,$G$6,'EE Inputs'!$D$9:$D$32,$C$4,'EE Inputs'!$E$9:$E$32,$B104),0,1)))-AA105</f>
        <v>69445.183227550122</v>
      </c>
      <c r="AB104" s="65">
        <f ca="1">IF($C$4=Lookups!$D$40,SUM(INDIRECT("'Yr1'!"&amp;ADDRESS(ROW(AB104),COLUMN(AB104))),INDIRECT("'Yr2'!"&amp;ADDRESS(ROW(AB104),COLUMN(AB104))),INDIRECT("'Yr3'!"&amp;ADDRESS(ROW(AB104),COLUMN(AB104)))),
IF(AB91=0,0,-PMT(INDEX(Lookups!$E$17:$G$17,MATCH($C$4,Lookups!$E$14:$G$14,0)),AB91,SUMIFS('EE Inputs'!$J$9:$J$32,'EE Inputs'!$C$9:$C$32,$G$6,'EE Inputs'!$D$9:$D$32,$C$4,'EE Inputs'!$E$9:$E$32,$B104),0,1)))-AB105</f>
        <v>69445.183227550122</v>
      </c>
      <c r="AC104" s="65">
        <f ca="1">IF($C$4=Lookups!$D$40,SUM(INDIRECT("'Yr1'!"&amp;ADDRESS(ROW(AC104),COLUMN(AC104))),INDIRECT("'Yr2'!"&amp;ADDRESS(ROW(AC104),COLUMN(AC104))),INDIRECT("'Yr3'!"&amp;ADDRESS(ROW(AC104),COLUMN(AC104)))),
IF(AC91=0,0,-PMT(INDEX(Lookups!$E$17:$G$17,MATCH($C$4,Lookups!$E$14:$G$14,0)),AC91,SUMIFS('EE Inputs'!$J$9:$J$32,'EE Inputs'!$C$9:$C$32,$G$6,'EE Inputs'!$D$9:$D$32,$C$4,'EE Inputs'!$E$9:$E$32,$B104),0,1)))-AC105</f>
        <v>0</v>
      </c>
      <c r="AD104" s="65">
        <f ca="1">IF($C$4=Lookups!$D$40,SUM(INDIRECT("'Yr1'!"&amp;ADDRESS(ROW(AD104),COLUMN(AD104))),INDIRECT("'Yr2'!"&amp;ADDRESS(ROW(AD104),COLUMN(AD104))),INDIRECT("'Yr3'!"&amp;ADDRESS(ROW(AD104),COLUMN(AD104)))),
IF(AD91=0,0,-PMT(INDEX(Lookups!$E$17:$G$17,MATCH($C$4,Lookups!$E$14:$G$14,0)),AD91,SUMIFS('EE Inputs'!$J$9:$J$32,'EE Inputs'!$C$9:$C$32,$G$6,'EE Inputs'!$D$9:$D$32,$C$4,'EE Inputs'!$E$9:$E$32,$B104),0,1)))-AD105</f>
        <v>0</v>
      </c>
      <c r="AE104" s="65">
        <f ca="1">IF($C$4=Lookups!$D$40,SUM(INDIRECT("'Yr1'!"&amp;ADDRESS(ROW(AE104),COLUMN(AE104))),INDIRECT("'Yr2'!"&amp;ADDRESS(ROW(AE104),COLUMN(AE104))),INDIRECT("'Yr3'!"&amp;ADDRESS(ROW(AE104),COLUMN(AE104)))),
IF(AE91=0,0,-PMT(INDEX(Lookups!$E$17:$G$17,MATCH($C$4,Lookups!$E$14:$G$14,0)),AE91,SUMIFS('EE Inputs'!$J$9:$J$32,'EE Inputs'!$C$9:$C$32,$G$6,'EE Inputs'!$D$9:$D$32,$C$4,'EE Inputs'!$E$9:$E$32,$B104),0,1)))-AE105</f>
        <v>0</v>
      </c>
      <c r="AF104" s="65">
        <f ca="1">IF($C$4=Lookups!$D$40,SUM(INDIRECT("'Yr1'!"&amp;ADDRESS(ROW(AF104),COLUMN(AF104))),INDIRECT("'Yr2'!"&amp;ADDRESS(ROW(AF104),COLUMN(AF104))),INDIRECT("'Yr3'!"&amp;ADDRESS(ROW(AF104),COLUMN(AF104)))),
IF(AF91=0,0,-PMT(INDEX(Lookups!$E$17:$G$17,MATCH($C$4,Lookups!$E$14:$G$14,0)),AF91,SUMIFS('EE Inputs'!$J$9:$J$32,'EE Inputs'!$C$9:$C$32,$G$6,'EE Inputs'!$D$9:$D$32,$C$4,'EE Inputs'!$E$9:$E$32,$B104),0,1)))-AF105</f>
        <v>0</v>
      </c>
      <c r="AG104" s="65">
        <f ca="1">IF($C$4=Lookups!$D$40,SUM(INDIRECT("'Yr1'!"&amp;ADDRESS(ROW(AG104),COLUMN(AG104))),INDIRECT("'Yr2'!"&amp;ADDRESS(ROW(AG104),COLUMN(AG104))),INDIRECT("'Yr3'!"&amp;ADDRESS(ROW(AG104),COLUMN(AG104)))),
IF(AG91=0,0,-PMT(INDEX(Lookups!$E$17:$G$17,MATCH($C$4,Lookups!$E$14:$G$14,0)),AG91,SUMIFS('EE Inputs'!$J$9:$J$32,'EE Inputs'!$C$9:$C$32,$G$6,'EE Inputs'!$D$9:$D$32,$C$4,'EE Inputs'!$E$9:$E$32,$B104),0,1)))-AG105</f>
        <v>0</v>
      </c>
      <c r="AH104" s="65"/>
      <c r="AI104" s="65">
        <f ca="1">NPV(Lookups!$E$17,G104:AG104)</f>
        <v>1169095.9083005888</v>
      </c>
      <c r="AJ104" s="65"/>
      <c r="AM104" s="72">
        <f ca="1">IF($C$4=Lookups!$D$40,SUM(INDIRECT("'Yr1'!"&amp;ADDRESS(ROW(AM104),COLUMN(AM104))),INDIRECT("'Yr2'!"&amp;ADDRESS(ROW(AM104),COLUMN(AM104))),INDIRECT("'Yr3'!"&amp;ADDRESS(ROW(AM104),COLUMN(AM104)))),
IF(AM91=0,0,-PMT(INDEX(Lookups!$E$17:$G$17,MATCH($C$4,Lookups!$E$14:$G$14,0)),AM91,SUMIFS('EE Inputs'!$J$9:$J$32,'EE Inputs'!$C$9:$C$32,$AM$6,'EE Inputs'!$D$9:$D$32,$C$4,'EE Inputs'!$E$9:$E$32,$B104),0,1)))-AM105</f>
        <v>0</v>
      </c>
      <c r="AN104" s="72">
        <f ca="1">IF($C$4=Lookups!$D$40,SUM(INDIRECT("'Yr1'!"&amp;ADDRESS(ROW(AN104),COLUMN(AN104))),INDIRECT("'Yr2'!"&amp;ADDRESS(ROW(AN104),COLUMN(AN104))),INDIRECT("'Yr3'!"&amp;ADDRESS(ROW(AN104),COLUMN(AN104)))),
IF(AN91=0,0,-PMT(INDEX(Lookups!$E$17:$G$17,MATCH($C$4,Lookups!$E$14:$G$14,0)),AN91,SUMIFS('EE Inputs'!$J$9:$J$32,'EE Inputs'!$C$9:$C$32,$AM$6,'EE Inputs'!$D$9:$D$32,$C$4,'EE Inputs'!$E$9:$E$32,$B104),0,1)))-AN105</f>
        <v>0</v>
      </c>
      <c r="AO104" s="72">
        <f ca="1">IF($C$4=Lookups!$D$40,SUM(INDIRECT("'Yr1'!"&amp;ADDRESS(ROW(AO104),COLUMN(AO104))),INDIRECT("'Yr2'!"&amp;ADDRESS(ROW(AO104),COLUMN(AO104))),INDIRECT("'Yr3'!"&amp;ADDRESS(ROW(AO104),COLUMN(AO104)))),
IF(AO91=0,0,-PMT(INDEX(Lookups!$E$17:$G$17,MATCH($C$4,Lookups!$E$14:$G$14,0)),AO91,SUMIFS('EE Inputs'!$J$9:$J$32,'EE Inputs'!$C$9:$C$32,$AM$6,'EE Inputs'!$D$9:$D$32,$C$4,'EE Inputs'!$E$9:$E$32,$B104),0,1)))-AO105</f>
        <v>79365.923688628711</v>
      </c>
      <c r="AP104" s="72">
        <f ca="1">IF($C$4=Lookups!$D$40,SUM(INDIRECT("'Yr1'!"&amp;ADDRESS(ROW(AP104),COLUMN(AP104))),INDIRECT("'Yr2'!"&amp;ADDRESS(ROW(AP104),COLUMN(AP104))),INDIRECT("'Yr3'!"&amp;ADDRESS(ROW(AP104),COLUMN(AP104)))),
IF(AP91=0,0,-PMT(INDEX(Lookups!$E$17:$G$17,MATCH($C$4,Lookups!$E$14:$G$14,0)),AP91,SUMIFS('EE Inputs'!$J$9:$J$32,'EE Inputs'!$C$9:$C$32,$AM$6,'EE Inputs'!$D$9:$D$32,$C$4,'EE Inputs'!$E$9:$E$32,$B104),0,1)))-AP105</f>
        <v>79365.923688628711</v>
      </c>
      <c r="AQ104" s="72">
        <f ca="1">IF($C$4=Lookups!$D$40,SUM(INDIRECT("'Yr1'!"&amp;ADDRESS(ROW(AQ104),COLUMN(AQ104))),INDIRECT("'Yr2'!"&amp;ADDRESS(ROW(AQ104),COLUMN(AQ104))),INDIRECT("'Yr3'!"&amp;ADDRESS(ROW(AQ104),COLUMN(AQ104)))),
IF(AQ91=0,0,-PMT(INDEX(Lookups!$E$17:$G$17,MATCH($C$4,Lookups!$E$14:$G$14,0)),AQ91,SUMIFS('EE Inputs'!$J$9:$J$32,'EE Inputs'!$C$9:$C$32,$AM$6,'EE Inputs'!$D$9:$D$32,$C$4,'EE Inputs'!$E$9:$E$32,$B104),0,1)))-AQ105</f>
        <v>79365.923688628711</v>
      </c>
      <c r="AR104" s="72">
        <f ca="1">IF($C$4=Lookups!$D$40,SUM(INDIRECT("'Yr1'!"&amp;ADDRESS(ROW(AR104),COLUMN(AR104))),INDIRECT("'Yr2'!"&amp;ADDRESS(ROW(AR104),COLUMN(AR104))),INDIRECT("'Yr3'!"&amp;ADDRESS(ROW(AR104),COLUMN(AR104)))),
IF(AR91=0,0,-PMT(INDEX(Lookups!$E$17:$G$17,MATCH($C$4,Lookups!$E$14:$G$14,0)),AR91,SUMIFS('EE Inputs'!$J$9:$J$32,'EE Inputs'!$C$9:$C$32,$AM$6,'EE Inputs'!$D$9:$D$32,$C$4,'EE Inputs'!$E$9:$E$32,$B104),0,1)))-AR105</f>
        <v>79365.923688628711</v>
      </c>
      <c r="AS104" s="72">
        <f ca="1">IF($C$4=Lookups!$D$40,SUM(INDIRECT("'Yr1'!"&amp;ADDRESS(ROW(AS104),COLUMN(AS104))),INDIRECT("'Yr2'!"&amp;ADDRESS(ROW(AS104),COLUMN(AS104))),INDIRECT("'Yr3'!"&amp;ADDRESS(ROW(AS104),COLUMN(AS104)))),
IF(AS91=0,0,-PMT(INDEX(Lookups!$E$17:$G$17,MATCH($C$4,Lookups!$E$14:$G$14,0)),AS91,SUMIFS('EE Inputs'!$J$9:$J$32,'EE Inputs'!$C$9:$C$32,$AM$6,'EE Inputs'!$D$9:$D$32,$C$4,'EE Inputs'!$E$9:$E$32,$B104),0,1)))-AS105</f>
        <v>79365.923688628711</v>
      </c>
      <c r="AT104" s="72">
        <f ca="1">IF($C$4=Lookups!$D$40,SUM(INDIRECT("'Yr1'!"&amp;ADDRESS(ROW(AT104),COLUMN(AT104))),INDIRECT("'Yr2'!"&amp;ADDRESS(ROW(AT104),COLUMN(AT104))),INDIRECT("'Yr3'!"&amp;ADDRESS(ROW(AT104),COLUMN(AT104)))),
IF(AT91=0,0,-PMT(INDEX(Lookups!$E$17:$G$17,MATCH($C$4,Lookups!$E$14:$G$14,0)),AT91,SUMIFS('EE Inputs'!$J$9:$J$32,'EE Inputs'!$C$9:$C$32,$AM$6,'EE Inputs'!$D$9:$D$32,$C$4,'EE Inputs'!$E$9:$E$32,$B104),0,1)))-AT105</f>
        <v>79365.923688628711</v>
      </c>
      <c r="AU104" s="72">
        <f ca="1">IF($C$4=Lookups!$D$40,SUM(INDIRECT("'Yr1'!"&amp;ADDRESS(ROW(AU104),COLUMN(AU104))),INDIRECT("'Yr2'!"&amp;ADDRESS(ROW(AU104),COLUMN(AU104))),INDIRECT("'Yr3'!"&amp;ADDRESS(ROW(AU104),COLUMN(AU104)))),
IF(AU91=0,0,-PMT(INDEX(Lookups!$E$17:$G$17,MATCH($C$4,Lookups!$E$14:$G$14,0)),AU91,SUMIFS('EE Inputs'!$J$9:$J$32,'EE Inputs'!$C$9:$C$32,$AM$6,'EE Inputs'!$D$9:$D$32,$C$4,'EE Inputs'!$E$9:$E$32,$B104),0,1)))-AU105</f>
        <v>79365.923688628711</v>
      </c>
      <c r="AV104" s="72">
        <f ca="1">IF($C$4=Lookups!$D$40,SUM(INDIRECT("'Yr1'!"&amp;ADDRESS(ROW(AV104),COLUMN(AV104))),INDIRECT("'Yr2'!"&amp;ADDRESS(ROW(AV104),COLUMN(AV104))),INDIRECT("'Yr3'!"&amp;ADDRESS(ROW(AV104),COLUMN(AV104)))),
IF(AV91=0,0,-PMT(INDEX(Lookups!$E$17:$G$17,MATCH($C$4,Lookups!$E$14:$G$14,0)),AV91,SUMIFS('EE Inputs'!$J$9:$J$32,'EE Inputs'!$C$9:$C$32,$AM$6,'EE Inputs'!$D$9:$D$32,$C$4,'EE Inputs'!$E$9:$E$32,$B104),0,1)))-AV105</f>
        <v>79365.923688628711</v>
      </c>
      <c r="AW104" s="72">
        <f ca="1">IF($C$4=Lookups!$D$40,SUM(INDIRECT("'Yr1'!"&amp;ADDRESS(ROW(AW104),COLUMN(AW104))),INDIRECT("'Yr2'!"&amp;ADDRESS(ROW(AW104),COLUMN(AW104))),INDIRECT("'Yr3'!"&amp;ADDRESS(ROW(AW104),COLUMN(AW104)))),
IF(AW91=0,0,-PMT(INDEX(Lookups!$E$17:$G$17,MATCH($C$4,Lookups!$E$14:$G$14,0)),AW91,SUMIFS('EE Inputs'!$J$9:$J$32,'EE Inputs'!$C$9:$C$32,$AM$6,'EE Inputs'!$D$9:$D$32,$C$4,'EE Inputs'!$E$9:$E$32,$B104),0,1)))-AW105</f>
        <v>79365.923688628711</v>
      </c>
      <c r="AX104" s="72">
        <f ca="1">IF($C$4=Lookups!$D$40,SUM(INDIRECT("'Yr1'!"&amp;ADDRESS(ROW(AX104),COLUMN(AX104))),INDIRECT("'Yr2'!"&amp;ADDRESS(ROW(AX104),COLUMN(AX104))),INDIRECT("'Yr3'!"&amp;ADDRESS(ROW(AX104),COLUMN(AX104)))),
IF(AX91=0,0,-PMT(INDEX(Lookups!$E$17:$G$17,MATCH($C$4,Lookups!$E$14:$G$14,0)),AX91,SUMIFS('EE Inputs'!$J$9:$J$32,'EE Inputs'!$C$9:$C$32,$AM$6,'EE Inputs'!$D$9:$D$32,$C$4,'EE Inputs'!$E$9:$E$32,$B104),0,1)))-AX105</f>
        <v>79365.923688628711</v>
      </c>
      <c r="AY104" s="72">
        <f ca="1">IF($C$4=Lookups!$D$40,SUM(INDIRECT("'Yr1'!"&amp;ADDRESS(ROW(AY104),COLUMN(AY104))),INDIRECT("'Yr2'!"&amp;ADDRESS(ROW(AY104),COLUMN(AY104))),INDIRECT("'Yr3'!"&amp;ADDRESS(ROW(AY104),COLUMN(AY104)))),
IF(AY91=0,0,-PMT(INDEX(Lookups!$E$17:$G$17,MATCH($C$4,Lookups!$E$14:$G$14,0)),AY91,SUMIFS('EE Inputs'!$J$9:$J$32,'EE Inputs'!$C$9:$C$32,$AM$6,'EE Inputs'!$D$9:$D$32,$C$4,'EE Inputs'!$E$9:$E$32,$B104),0,1)))-AY105</f>
        <v>79365.923688628711</v>
      </c>
      <c r="AZ104" s="72">
        <f ca="1">IF($C$4=Lookups!$D$40,SUM(INDIRECT("'Yr1'!"&amp;ADDRESS(ROW(AZ104),COLUMN(AZ104))),INDIRECT("'Yr2'!"&amp;ADDRESS(ROW(AZ104),COLUMN(AZ104))),INDIRECT("'Yr3'!"&amp;ADDRESS(ROW(AZ104),COLUMN(AZ104)))),
IF(AZ91=0,0,-PMT(INDEX(Lookups!$E$17:$G$17,MATCH($C$4,Lookups!$E$14:$G$14,0)),AZ91,SUMIFS('EE Inputs'!$J$9:$J$32,'EE Inputs'!$C$9:$C$32,$AM$6,'EE Inputs'!$D$9:$D$32,$C$4,'EE Inputs'!$E$9:$E$32,$B104),0,1)))-AZ105</f>
        <v>79365.923688628711</v>
      </c>
      <c r="BA104" s="72">
        <f ca="1">IF($C$4=Lookups!$D$40,SUM(INDIRECT("'Yr1'!"&amp;ADDRESS(ROW(BA104),COLUMN(BA104))),INDIRECT("'Yr2'!"&amp;ADDRESS(ROW(BA104),COLUMN(BA104))),INDIRECT("'Yr3'!"&amp;ADDRESS(ROW(BA104),COLUMN(BA104)))),
IF(BA91=0,0,-PMT(INDEX(Lookups!$E$17:$G$17,MATCH($C$4,Lookups!$E$14:$G$14,0)),BA91,SUMIFS('EE Inputs'!$J$9:$J$32,'EE Inputs'!$C$9:$C$32,$AM$6,'EE Inputs'!$D$9:$D$32,$C$4,'EE Inputs'!$E$9:$E$32,$B104),0,1)))-BA105</f>
        <v>79365.923688628711</v>
      </c>
      <c r="BB104" s="72">
        <f ca="1">IF($C$4=Lookups!$D$40,SUM(INDIRECT("'Yr1'!"&amp;ADDRESS(ROW(BB104),COLUMN(BB104))),INDIRECT("'Yr2'!"&amp;ADDRESS(ROW(BB104),COLUMN(BB104))),INDIRECT("'Yr3'!"&amp;ADDRESS(ROW(BB104),COLUMN(BB104)))),
IF(BB91=0,0,-PMT(INDEX(Lookups!$E$17:$G$17,MATCH($C$4,Lookups!$E$14:$G$14,0)),BB91,SUMIFS('EE Inputs'!$J$9:$J$32,'EE Inputs'!$C$9:$C$32,$AM$6,'EE Inputs'!$D$9:$D$32,$C$4,'EE Inputs'!$E$9:$E$32,$B104),0,1)))-BB105</f>
        <v>79365.923688628711</v>
      </c>
      <c r="BC104" s="72">
        <f ca="1">IF($C$4=Lookups!$D$40,SUM(INDIRECT("'Yr1'!"&amp;ADDRESS(ROW(BC104),COLUMN(BC104))),INDIRECT("'Yr2'!"&amp;ADDRESS(ROW(BC104),COLUMN(BC104))),INDIRECT("'Yr3'!"&amp;ADDRESS(ROW(BC104),COLUMN(BC104)))),
IF(BC91=0,0,-PMT(INDEX(Lookups!$E$17:$G$17,MATCH($C$4,Lookups!$E$14:$G$14,0)),BC91,SUMIFS('EE Inputs'!$J$9:$J$32,'EE Inputs'!$C$9:$C$32,$AM$6,'EE Inputs'!$D$9:$D$32,$C$4,'EE Inputs'!$E$9:$E$32,$B104),0,1)))-BC105</f>
        <v>79365.923688628711</v>
      </c>
      <c r="BD104" s="72">
        <f ca="1">IF($C$4=Lookups!$D$40,SUM(INDIRECT("'Yr1'!"&amp;ADDRESS(ROW(BD104),COLUMN(BD104))),INDIRECT("'Yr2'!"&amp;ADDRESS(ROW(BD104),COLUMN(BD104))),INDIRECT("'Yr3'!"&amp;ADDRESS(ROW(BD104),COLUMN(BD104)))),
IF(BD91=0,0,-PMT(INDEX(Lookups!$E$17:$G$17,MATCH($C$4,Lookups!$E$14:$G$14,0)),BD91,SUMIFS('EE Inputs'!$J$9:$J$32,'EE Inputs'!$C$9:$C$32,$AM$6,'EE Inputs'!$D$9:$D$32,$C$4,'EE Inputs'!$E$9:$E$32,$B104),0,1)))-BD105</f>
        <v>79365.923688628711</v>
      </c>
      <c r="BE104" s="72">
        <f ca="1">IF($C$4=Lookups!$D$40,SUM(INDIRECT("'Yr1'!"&amp;ADDRESS(ROW(BE104),COLUMN(BE104))),INDIRECT("'Yr2'!"&amp;ADDRESS(ROW(BE104),COLUMN(BE104))),INDIRECT("'Yr3'!"&amp;ADDRESS(ROW(BE104),COLUMN(BE104)))),
IF(BE91=0,0,-PMT(INDEX(Lookups!$E$17:$G$17,MATCH($C$4,Lookups!$E$14:$G$14,0)),BE91,SUMIFS('EE Inputs'!$J$9:$J$32,'EE Inputs'!$C$9:$C$32,$AM$6,'EE Inputs'!$D$9:$D$32,$C$4,'EE Inputs'!$E$9:$E$32,$B104),0,1)))-BE105</f>
        <v>79365.923688628711</v>
      </c>
      <c r="BF104" s="72">
        <f ca="1">IF($C$4=Lookups!$D$40,SUM(INDIRECT("'Yr1'!"&amp;ADDRESS(ROW(BF104),COLUMN(BF104))),INDIRECT("'Yr2'!"&amp;ADDRESS(ROW(BF104),COLUMN(BF104))),INDIRECT("'Yr3'!"&amp;ADDRESS(ROW(BF104),COLUMN(BF104)))),
IF(BF91=0,0,-PMT(INDEX(Lookups!$E$17:$G$17,MATCH($C$4,Lookups!$E$14:$G$14,0)),BF91,SUMIFS('EE Inputs'!$J$9:$J$32,'EE Inputs'!$C$9:$C$32,$AM$6,'EE Inputs'!$D$9:$D$32,$C$4,'EE Inputs'!$E$9:$E$32,$B104),0,1)))-BF105</f>
        <v>79365.923688628711</v>
      </c>
      <c r="BG104" s="72">
        <f ca="1">IF($C$4=Lookups!$D$40,SUM(INDIRECT("'Yr1'!"&amp;ADDRESS(ROW(BG104),COLUMN(BG104))),INDIRECT("'Yr2'!"&amp;ADDRESS(ROW(BG104),COLUMN(BG104))),INDIRECT("'Yr3'!"&amp;ADDRESS(ROW(BG104),COLUMN(BG104)))),
IF(BG91=0,0,-PMT(INDEX(Lookups!$E$17:$G$17,MATCH($C$4,Lookups!$E$14:$G$14,0)),BG91,SUMIFS('EE Inputs'!$J$9:$J$32,'EE Inputs'!$C$9:$C$32,$AM$6,'EE Inputs'!$D$9:$D$32,$C$4,'EE Inputs'!$E$9:$E$32,$B104),0,1)))-BG105</f>
        <v>79365.923688628711</v>
      </c>
      <c r="BH104" s="72">
        <f ca="1">IF($C$4=Lookups!$D$40,SUM(INDIRECT("'Yr1'!"&amp;ADDRESS(ROW(BH104),COLUMN(BH104))),INDIRECT("'Yr2'!"&amp;ADDRESS(ROW(BH104),COLUMN(BH104))),INDIRECT("'Yr3'!"&amp;ADDRESS(ROW(BH104),COLUMN(BH104)))),
IF(BH91=0,0,-PMT(INDEX(Lookups!$E$17:$G$17,MATCH($C$4,Lookups!$E$14:$G$14,0)),BH91,SUMIFS('EE Inputs'!$J$9:$J$32,'EE Inputs'!$C$9:$C$32,$AM$6,'EE Inputs'!$D$9:$D$32,$C$4,'EE Inputs'!$E$9:$E$32,$B104),0,1)))-BH105</f>
        <v>79365.923688628711</v>
      </c>
      <c r="BI104" s="72">
        <f ca="1">IF($C$4=Lookups!$D$40,SUM(INDIRECT("'Yr1'!"&amp;ADDRESS(ROW(BI104),COLUMN(BI104))),INDIRECT("'Yr2'!"&amp;ADDRESS(ROW(BI104),COLUMN(BI104))),INDIRECT("'Yr3'!"&amp;ADDRESS(ROW(BI104),COLUMN(BI104)))),
IF(BI91=0,0,-PMT(INDEX(Lookups!$E$17:$G$17,MATCH($C$4,Lookups!$E$14:$G$14,0)),BI91,SUMIFS('EE Inputs'!$J$9:$J$32,'EE Inputs'!$C$9:$C$32,$AM$6,'EE Inputs'!$D$9:$D$32,$C$4,'EE Inputs'!$E$9:$E$32,$B104),0,1)))-BI105</f>
        <v>0</v>
      </c>
      <c r="BJ104" s="72">
        <f ca="1">IF($C$4=Lookups!$D$40,SUM(INDIRECT("'Yr1'!"&amp;ADDRESS(ROW(BJ104),COLUMN(BJ104))),INDIRECT("'Yr2'!"&amp;ADDRESS(ROW(BJ104),COLUMN(BJ104))),INDIRECT("'Yr3'!"&amp;ADDRESS(ROW(BJ104),COLUMN(BJ104)))),
IF(BJ91=0,0,-PMT(INDEX(Lookups!$E$17:$G$17,MATCH($C$4,Lookups!$E$14:$G$14,0)),BJ91,SUMIFS('EE Inputs'!$J$9:$J$32,'EE Inputs'!$C$9:$C$32,$AM$6,'EE Inputs'!$D$9:$D$32,$C$4,'EE Inputs'!$E$9:$E$32,$B104),0,1)))-BJ105</f>
        <v>0</v>
      </c>
      <c r="BK104" s="72">
        <f ca="1">IF($C$4=Lookups!$D$40,SUM(INDIRECT("'Yr1'!"&amp;ADDRESS(ROW(BK104),COLUMN(BK104))),INDIRECT("'Yr2'!"&amp;ADDRESS(ROW(BK104),COLUMN(BK104))),INDIRECT("'Yr3'!"&amp;ADDRESS(ROW(BK104),COLUMN(BK104)))),
IF(BK91=0,0,-PMT(INDEX(Lookups!$E$17:$G$17,MATCH($C$4,Lookups!$E$14:$G$14,0)),BK91,SUMIFS('EE Inputs'!$J$9:$J$32,'EE Inputs'!$C$9:$C$32,$AM$6,'EE Inputs'!$D$9:$D$32,$C$4,'EE Inputs'!$E$9:$E$32,$B104),0,1)))-BK105</f>
        <v>0</v>
      </c>
      <c r="BL104" s="72">
        <f ca="1">IF($C$4=Lookups!$D$40,SUM(INDIRECT("'Yr1'!"&amp;ADDRESS(ROW(BL104),COLUMN(BL104))),INDIRECT("'Yr2'!"&amp;ADDRESS(ROW(BL104),COLUMN(BL104))),INDIRECT("'Yr3'!"&amp;ADDRESS(ROW(BL104),COLUMN(BL104)))),
IF(BL91=0,0,-PMT(INDEX(Lookups!$E$17:$G$17,MATCH($C$4,Lookups!$E$14:$G$14,0)),BL91,SUMIFS('EE Inputs'!$J$9:$J$32,'EE Inputs'!$C$9:$C$32,$AM$6,'EE Inputs'!$D$9:$D$32,$C$4,'EE Inputs'!$E$9:$E$32,$B104),0,1)))-BL105</f>
        <v>0</v>
      </c>
      <c r="BM104" s="72">
        <f ca="1">IF($C$4=Lookups!$D$40,SUM(INDIRECT("'Yr1'!"&amp;ADDRESS(ROW(BM104),COLUMN(BM104))),INDIRECT("'Yr2'!"&amp;ADDRESS(ROW(BM104),COLUMN(BM104))),INDIRECT("'Yr3'!"&amp;ADDRESS(ROW(BM104),COLUMN(BM104)))),
IF(BM91=0,0,-PMT(INDEX(Lookups!$E$17:$G$17,MATCH($C$4,Lookups!$E$14:$G$14,0)),BM91,SUMIFS('EE Inputs'!$J$9:$J$32,'EE Inputs'!$C$9:$C$32,$AM$6,'EE Inputs'!$D$9:$D$32,$C$4,'EE Inputs'!$E$9:$E$32,$B104),0,1)))-BM105</f>
        <v>0</v>
      </c>
      <c r="BN104" s="72"/>
      <c r="BO104" s="72">
        <f ca="1">NPV(Lookups!$E$17,AM104:BM104)</f>
        <v>1336109.6094863871</v>
      </c>
      <c r="BP104" s="72"/>
      <c r="BS104" s="84" t="str">
        <f>"Avoided "&amp;E104&amp;" costs, less the retail margin."</f>
        <v>Avoided Gas costs, less the retail margin.</v>
      </c>
      <c r="BT104" s="51" t="s">
        <v>17</v>
      </c>
    </row>
    <row r="105" spans="1:72" x14ac:dyDescent="0.25">
      <c r="A105" s="246"/>
      <c r="B105" s="243" t="str">
        <f t="shared" si="96"/>
        <v>Low-Income</v>
      </c>
      <c r="C105" s="243" t="str">
        <f t="shared" si="96"/>
        <v>Revenue Requirements</v>
      </c>
      <c r="D105" s="244" t="str">
        <f>D104</f>
        <v>Avoided Costs</v>
      </c>
      <c r="E105" s="84" t="s">
        <v>412</v>
      </c>
      <c r="F105" s="84" t="s">
        <v>32</v>
      </c>
      <c r="G105" s="65">
        <f ca="1">IF($C$4=Lookups!$D$40,SUM(INDIRECT("'Yr1'!"&amp;ADDRESS(ROW(G105),COLUMN(G105))),INDIRECT("'Yr2'!"&amp;ADDRESS(ROW(G105),COLUMN(G105))),INDIRECT("'Yr3'!"&amp;ADDRESS(ROW(G105),COLUMN(G105)))),
IF(G91=0,0,-PMT(INDEX(Lookups!$E$17:$G$17,MATCH($C$4,Lookups!$E$14:$G$14,0)),G91,SUMIFS('EE Inputs'!$W$9:$W$32,'EE Inputs'!$C$9:$C$32,$G$6,'EE Inputs'!$D$9:$D$32,$C$4,'EE Inputs'!$E$9:$E$32,$B105),0,1)))</f>
        <v>0</v>
      </c>
      <c r="H105" s="65">
        <f ca="1">IF($C$4=Lookups!$D$40,SUM(INDIRECT("'Yr1'!"&amp;ADDRESS(ROW(H105),COLUMN(H105))),INDIRECT("'Yr2'!"&amp;ADDRESS(ROW(H105),COLUMN(H105))),INDIRECT("'Yr3'!"&amp;ADDRESS(ROW(H105),COLUMN(H105)))),
IF(H91=0,0,-PMT(INDEX(Lookups!$E$17:$G$17,MATCH($C$4,Lookups!$E$14:$G$14,0)),H91,SUMIFS('EE Inputs'!$W$9:$W$32,'EE Inputs'!$C$9:$C$32,$G$6,'EE Inputs'!$D$9:$D$32,$C$4,'EE Inputs'!$E$9:$E$32,$B105),0,1)))</f>
        <v>0</v>
      </c>
      <c r="I105" s="65">
        <f ca="1">IF($C$4=Lookups!$D$40,SUM(INDIRECT("'Yr1'!"&amp;ADDRESS(ROW(I105),COLUMN(I105))),INDIRECT("'Yr2'!"&amp;ADDRESS(ROW(I105),COLUMN(I105))),INDIRECT("'Yr3'!"&amp;ADDRESS(ROW(I105),COLUMN(I105)))),
IF(I91=0,0,-PMT(INDEX(Lookups!$E$17:$G$17,MATCH($C$4,Lookups!$E$14:$G$14,0)),I91,SUMIFS('EE Inputs'!$W$9:$W$32,'EE Inputs'!$C$9:$C$32,$G$6,'EE Inputs'!$D$9:$D$32,$C$4,'EE Inputs'!$E$9:$E$32,$B105),0,1)))</f>
        <v>4432.6712698436259</v>
      </c>
      <c r="J105" s="65">
        <f ca="1">IF($C$4=Lookups!$D$40,SUM(INDIRECT("'Yr1'!"&amp;ADDRESS(ROW(J105),COLUMN(J105))),INDIRECT("'Yr2'!"&amp;ADDRESS(ROW(J105),COLUMN(J105))),INDIRECT("'Yr3'!"&amp;ADDRESS(ROW(J105),COLUMN(J105)))),
IF(J91=0,0,-PMT(INDEX(Lookups!$E$17:$G$17,MATCH($C$4,Lookups!$E$14:$G$14,0)),J91,SUMIFS('EE Inputs'!$W$9:$W$32,'EE Inputs'!$C$9:$C$32,$G$6,'EE Inputs'!$D$9:$D$32,$C$4,'EE Inputs'!$E$9:$E$32,$B105),0,1)))</f>
        <v>4432.6712698436259</v>
      </c>
      <c r="K105" s="65">
        <f ca="1">IF($C$4=Lookups!$D$40,SUM(INDIRECT("'Yr1'!"&amp;ADDRESS(ROW(K105),COLUMN(K105))),INDIRECT("'Yr2'!"&amp;ADDRESS(ROW(K105),COLUMN(K105))),INDIRECT("'Yr3'!"&amp;ADDRESS(ROW(K105),COLUMN(K105)))),
IF(K91=0,0,-PMT(INDEX(Lookups!$E$17:$G$17,MATCH($C$4,Lookups!$E$14:$G$14,0)),K91,SUMIFS('EE Inputs'!$W$9:$W$32,'EE Inputs'!$C$9:$C$32,$G$6,'EE Inputs'!$D$9:$D$32,$C$4,'EE Inputs'!$E$9:$E$32,$B105),0,1)))</f>
        <v>4432.6712698436259</v>
      </c>
      <c r="L105" s="65">
        <f ca="1">IF($C$4=Lookups!$D$40,SUM(INDIRECT("'Yr1'!"&amp;ADDRESS(ROW(L105),COLUMN(L105))),INDIRECT("'Yr2'!"&amp;ADDRESS(ROW(L105),COLUMN(L105))),INDIRECT("'Yr3'!"&amp;ADDRESS(ROW(L105),COLUMN(L105)))),
IF(L91=0,0,-PMT(INDEX(Lookups!$E$17:$G$17,MATCH($C$4,Lookups!$E$14:$G$14,0)),L91,SUMIFS('EE Inputs'!$W$9:$W$32,'EE Inputs'!$C$9:$C$32,$G$6,'EE Inputs'!$D$9:$D$32,$C$4,'EE Inputs'!$E$9:$E$32,$B105),0,1)))</f>
        <v>4432.6712698436259</v>
      </c>
      <c r="M105" s="65">
        <f ca="1">IF($C$4=Lookups!$D$40,SUM(INDIRECT("'Yr1'!"&amp;ADDRESS(ROW(M105),COLUMN(M105))),INDIRECT("'Yr2'!"&amp;ADDRESS(ROW(M105),COLUMN(M105))),INDIRECT("'Yr3'!"&amp;ADDRESS(ROW(M105),COLUMN(M105)))),
IF(M91=0,0,-PMT(INDEX(Lookups!$E$17:$G$17,MATCH($C$4,Lookups!$E$14:$G$14,0)),M91,SUMIFS('EE Inputs'!$W$9:$W$32,'EE Inputs'!$C$9:$C$32,$G$6,'EE Inputs'!$D$9:$D$32,$C$4,'EE Inputs'!$E$9:$E$32,$B105),0,1)))</f>
        <v>4432.6712698436259</v>
      </c>
      <c r="N105" s="65">
        <f ca="1">IF($C$4=Lookups!$D$40,SUM(INDIRECT("'Yr1'!"&amp;ADDRESS(ROW(N105),COLUMN(N105))),INDIRECT("'Yr2'!"&amp;ADDRESS(ROW(N105),COLUMN(N105))),INDIRECT("'Yr3'!"&amp;ADDRESS(ROW(N105),COLUMN(N105)))),
IF(N91=0,0,-PMT(INDEX(Lookups!$E$17:$G$17,MATCH($C$4,Lookups!$E$14:$G$14,0)),N91,SUMIFS('EE Inputs'!$W$9:$W$32,'EE Inputs'!$C$9:$C$32,$G$6,'EE Inputs'!$D$9:$D$32,$C$4,'EE Inputs'!$E$9:$E$32,$B105),0,1)))</f>
        <v>4432.6712698436259</v>
      </c>
      <c r="O105" s="65">
        <f ca="1">IF($C$4=Lookups!$D$40,SUM(INDIRECT("'Yr1'!"&amp;ADDRESS(ROW(O105),COLUMN(O105))),INDIRECT("'Yr2'!"&amp;ADDRESS(ROW(O105),COLUMN(O105))),INDIRECT("'Yr3'!"&amp;ADDRESS(ROW(O105),COLUMN(O105)))),
IF(O91=0,0,-PMT(INDEX(Lookups!$E$17:$G$17,MATCH($C$4,Lookups!$E$14:$G$14,0)),O91,SUMIFS('EE Inputs'!$W$9:$W$32,'EE Inputs'!$C$9:$C$32,$G$6,'EE Inputs'!$D$9:$D$32,$C$4,'EE Inputs'!$E$9:$E$32,$B105),0,1)))</f>
        <v>4432.6712698436259</v>
      </c>
      <c r="P105" s="65">
        <f ca="1">IF($C$4=Lookups!$D$40,SUM(INDIRECT("'Yr1'!"&amp;ADDRESS(ROW(P105),COLUMN(P105))),INDIRECT("'Yr2'!"&amp;ADDRESS(ROW(P105),COLUMN(P105))),INDIRECT("'Yr3'!"&amp;ADDRESS(ROW(P105),COLUMN(P105)))),
IF(P91=0,0,-PMT(INDEX(Lookups!$E$17:$G$17,MATCH($C$4,Lookups!$E$14:$G$14,0)),P91,SUMIFS('EE Inputs'!$W$9:$W$32,'EE Inputs'!$C$9:$C$32,$G$6,'EE Inputs'!$D$9:$D$32,$C$4,'EE Inputs'!$E$9:$E$32,$B105),0,1)))</f>
        <v>4432.6712698436259</v>
      </c>
      <c r="Q105" s="65">
        <f ca="1">IF($C$4=Lookups!$D$40,SUM(INDIRECT("'Yr1'!"&amp;ADDRESS(ROW(Q105),COLUMN(Q105))),INDIRECT("'Yr2'!"&amp;ADDRESS(ROW(Q105),COLUMN(Q105))),INDIRECT("'Yr3'!"&amp;ADDRESS(ROW(Q105),COLUMN(Q105)))),
IF(Q91=0,0,-PMT(INDEX(Lookups!$E$17:$G$17,MATCH($C$4,Lookups!$E$14:$G$14,0)),Q91,SUMIFS('EE Inputs'!$W$9:$W$32,'EE Inputs'!$C$9:$C$32,$G$6,'EE Inputs'!$D$9:$D$32,$C$4,'EE Inputs'!$E$9:$E$32,$B105),0,1)))</f>
        <v>4432.6712698436259</v>
      </c>
      <c r="R105" s="65">
        <f ca="1">IF($C$4=Lookups!$D$40,SUM(INDIRECT("'Yr1'!"&amp;ADDRESS(ROW(R105),COLUMN(R105))),INDIRECT("'Yr2'!"&amp;ADDRESS(ROW(R105),COLUMN(R105))),INDIRECT("'Yr3'!"&amp;ADDRESS(ROW(R105),COLUMN(R105)))),
IF(R91=0,0,-PMT(INDEX(Lookups!$E$17:$G$17,MATCH($C$4,Lookups!$E$14:$G$14,0)),R91,SUMIFS('EE Inputs'!$W$9:$W$32,'EE Inputs'!$C$9:$C$32,$G$6,'EE Inputs'!$D$9:$D$32,$C$4,'EE Inputs'!$E$9:$E$32,$B105),0,1)))</f>
        <v>4432.6712698436259</v>
      </c>
      <c r="S105" s="65">
        <f ca="1">IF($C$4=Lookups!$D$40,SUM(INDIRECT("'Yr1'!"&amp;ADDRESS(ROW(S105),COLUMN(S105))),INDIRECT("'Yr2'!"&amp;ADDRESS(ROW(S105),COLUMN(S105))),INDIRECT("'Yr3'!"&amp;ADDRESS(ROW(S105),COLUMN(S105)))),
IF(S91=0,0,-PMT(INDEX(Lookups!$E$17:$G$17,MATCH($C$4,Lookups!$E$14:$G$14,0)),S91,SUMIFS('EE Inputs'!$W$9:$W$32,'EE Inputs'!$C$9:$C$32,$G$6,'EE Inputs'!$D$9:$D$32,$C$4,'EE Inputs'!$E$9:$E$32,$B105),0,1)))</f>
        <v>4432.6712698436259</v>
      </c>
      <c r="T105" s="65">
        <f ca="1">IF($C$4=Lookups!$D$40,SUM(INDIRECT("'Yr1'!"&amp;ADDRESS(ROW(T105),COLUMN(T105))),INDIRECT("'Yr2'!"&amp;ADDRESS(ROW(T105),COLUMN(T105))),INDIRECT("'Yr3'!"&amp;ADDRESS(ROW(T105),COLUMN(T105)))),
IF(T91=0,0,-PMT(INDEX(Lookups!$E$17:$G$17,MATCH($C$4,Lookups!$E$14:$G$14,0)),T91,SUMIFS('EE Inputs'!$W$9:$W$32,'EE Inputs'!$C$9:$C$32,$G$6,'EE Inputs'!$D$9:$D$32,$C$4,'EE Inputs'!$E$9:$E$32,$B105),0,1)))</f>
        <v>4432.6712698436259</v>
      </c>
      <c r="U105" s="65">
        <f ca="1">IF($C$4=Lookups!$D$40,SUM(INDIRECT("'Yr1'!"&amp;ADDRESS(ROW(U105),COLUMN(U105))),INDIRECT("'Yr2'!"&amp;ADDRESS(ROW(U105),COLUMN(U105))),INDIRECT("'Yr3'!"&amp;ADDRESS(ROW(U105),COLUMN(U105)))),
IF(U91=0,0,-PMT(INDEX(Lookups!$E$17:$G$17,MATCH($C$4,Lookups!$E$14:$G$14,0)),U91,SUMIFS('EE Inputs'!$W$9:$W$32,'EE Inputs'!$C$9:$C$32,$G$6,'EE Inputs'!$D$9:$D$32,$C$4,'EE Inputs'!$E$9:$E$32,$B105),0,1)))</f>
        <v>4432.6712698436259</v>
      </c>
      <c r="V105" s="65">
        <f ca="1">IF($C$4=Lookups!$D$40,SUM(INDIRECT("'Yr1'!"&amp;ADDRESS(ROW(V105),COLUMN(V105))),INDIRECT("'Yr2'!"&amp;ADDRESS(ROW(V105),COLUMN(V105))),INDIRECT("'Yr3'!"&amp;ADDRESS(ROW(V105),COLUMN(V105)))),
IF(V91=0,0,-PMT(INDEX(Lookups!$E$17:$G$17,MATCH($C$4,Lookups!$E$14:$G$14,0)),V91,SUMIFS('EE Inputs'!$W$9:$W$32,'EE Inputs'!$C$9:$C$32,$G$6,'EE Inputs'!$D$9:$D$32,$C$4,'EE Inputs'!$E$9:$E$32,$B105),0,1)))</f>
        <v>4432.6712698436259</v>
      </c>
      <c r="W105" s="65">
        <f ca="1">IF($C$4=Lookups!$D$40,SUM(INDIRECT("'Yr1'!"&amp;ADDRESS(ROW(W105),COLUMN(W105))),INDIRECT("'Yr2'!"&amp;ADDRESS(ROW(W105),COLUMN(W105))),INDIRECT("'Yr3'!"&amp;ADDRESS(ROW(W105),COLUMN(W105)))),
IF(W91=0,0,-PMT(INDEX(Lookups!$E$17:$G$17,MATCH($C$4,Lookups!$E$14:$G$14,0)),W91,SUMIFS('EE Inputs'!$W$9:$W$32,'EE Inputs'!$C$9:$C$32,$G$6,'EE Inputs'!$D$9:$D$32,$C$4,'EE Inputs'!$E$9:$E$32,$B105),0,1)))</f>
        <v>4432.6712698436259</v>
      </c>
      <c r="X105" s="65">
        <f ca="1">IF($C$4=Lookups!$D$40,SUM(INDIRECT("'Yr1'!"&amp;ADDRESS(ROW(X105),COLUMN(X105))),INDIRECT("'Yr2'!"&amp;ADDRESS(ROW(X105),COLUMN(X105))),INDIRECT("'Yr3'!"&amp;ADDRESS(ROW(X105),COLUMN(X105)))),
IF(X91=0,0,-PMT(INDEX(Lookups!$E$17:$G$17,MATCH($C$4,Lookups!$E$14:$G$14,0)),X91,SUMIFS('EE Inputs'!$W$9:$W$32,'EE Inputs'!$C$9:$C$32,$G$6,'EE Inputs'!$D$9:$D$32,$C$4,'EE Inputs'!$E$9:$E$32,$B105),0,1)))</f>
        <v>4432.6712698436259</v>
      </c>
      <c r="Y105" s="65">
        <f ca="1">IF($C$4=Lookups!$D$40,SUM(INDIRECT("'Yr1'!"&amp;ADDRESS(ROW(Y105),COLUMN(Y105))),INDIRECT("'Yr2'!"&amp;ADDRESS(ROW(Y105),COLUMN(Y105))),INDIRECT("'Yr3'!"&amp;ADDRESS(ROW(Y105),COLUMN(Y105)))),
IF(Y91=0,0,-PMT(INDEX(Lookups!$E$17:$G$17,MATCH($C$4,Lookups!$E$14:$G$14,0)),Y91,SUMIFS('EE Inputs'!$W$9:$W$32,'EE Inputs'!$C$9:$C$32,$G$6,'EE Inputs'!$D$9:$D$32,$C$4,'EE Inputs'!$E$9:$E$32,$B105),0,1)))</f>
        <v>4432.6712698436259</v>
      </c>
      <c r="Z105" s="65">
        <f ca="1">IF($C$4=Lookups!$D$40,SUM(INDIRECT("'Yr1'!"&amp;ADDRESS(ROW(Z105),COLUMN(Z105))),INDIRECT("'Yr2'!"&amp;ADDRESS(ROW(Z105),COLUMN(Z105))),INDIRECT("'Yr3'!"&amp;ADDRESS(ROW(Z105),COLUMN(Z105)))),
IF(Z91=0,0,-PMT(INDEX(Lookups!$E$17:$G$17,MATCH($C$4,Lookups!$E$14:$G$14,0)),Z91,SUMIFS('EE Inputs'!$W$9:$W$32,'EE Inputs'!$C$9:$C$32,$G$6,'EE Inputs'!$D$9:$D$32,$C$4,'EE Inputs'!$E$9:$E$32,$B105),0,1)))</f>
        <v>4432.6712698436259</v>
      </c>
      <c r="AA105" s="65">
        <f ca="1">IF($C$4=Lookups!$D$40,SUM(INDIRECT("'Yr1'!"&amp;ADDRESS(ROW(AA105),COLUMN(AA105))),INDIRECT("'Yr2'!"&amp;ADDRESS(ROW(AA105),COLUMN(AA105))),INDIRECT("'Yr3'!"&amp;ADDRESS(ROW(AA105),COLUMN(AA105)))),
IF(AA91=0,0,-PMT(INDEX(Lookups!$E$17:$G$17,MATCH($C$4,Lookups!$E$14:$G$14,0)),AA91,SUMIFS('EE Inputs'!$W$9:$W$32,'EE Inputs'!$C$9:$C$32,$G$6,'EE Inputs'!$D$9:$D$32,$C$4,'EE Inputs'!$E$9:$E$32,$B105),0,1)))</f>
        <v>4432.6712698436259</v>
      </c>
      <c r="AB105" s="65">
        <f ca="1">IF($C$4=Lookups!$D$40,SUM(INDIRECT("'Yr1'!"&amp;ADDRESS(ROW(AB105),COLUMN(AB105))),INDIRECT("'Yr2'!"&amp;ADDRESS(ROW(AB105),COLUMN(AB105))),INDIRECT("'Yr3'!"&amp;ADDRESS(ROW(AB105),COLUMN(AB105)))),
IF(AB91=0,0,-PMT(INDEX(Lookups!$E$17:$G$17,MATCH($C$4,Lookups!$E$14:$G$14,0)),AB91,SUMIFS('EE Inputs'!$W$9:$W$32,'EE Inputs'!$C$9:$C$32,$G$6,'EE Inputs'!$D$9:$D$32,$C$4,'EE Inputs'!$E$9:$E$32,$B105),0,1)))</f>
        <v>4432.6712698436259</v>
      </c>
      <c r="AC105" s="65">
        <f ca="1">IF($C$4=Lookups!$D$40,SUM(INDIRECT("'Yr1'!"&amp;ADDRESS(ROW(AC105),COLUMN(AC105))),INDIRECT("'Yr2'!"&amp;ADDRESS(ROW(AC105),COLUMN(AC105))),INDIRECT("'Yr3'!"&amp;ADDRESS(ROW(AC105),COLUMN(AC105)))),
IF(AC91=0,0,-PMT(INDEX(Lookups!$E$17:$G$17,MATCH($C$4,Lookups!$E$14:$G$14,0)),AC91,SUMIFS('EE Inputs'!$W$9:$W$32,'EE Inputs'!$C$9:$C$32,$G$6,'EE Inputs'!$D$9:$D$32,$C$4,'EE Inputs'!$E$9:$E$32,$B105),0,1)))</f>
        <v>0</v>
      </c>
      <c r="AD105" s="65">
        <f ca="1">IF($C$4=Lookups!$D$40,SUM(INDIRECT("'Yr1'!"&amp;ADDRESS(ROW(AD105),COLUMN(AD105))),INDIRECT("'Yr2'!"&amp;ADDRESS(ROW(AD105),COLUMN(AD105))),INDIRECT("'Yr3'!"&amp;ADDRESS(ROW(AD105),COLUMN(AD105)))),
IF(AD91=0,0,-PMT(INDEX(Lookups!$E$17:$G$17,MATCH($C$4,Lookups!$E$14:$G$14,0)),AD91,SUMIFS('EE Inputs'!$W$9:$W$32,'EE Inputs'!$C$9:$C$32,$G$6,'EE Inputs'!$D$9:$D$32,$C$4,'EE Inputs'!$E$9:$E$32,$B105),0,1)))</f>
        <v>0</v>
      </c>
      <c r="AE105" s="65">
        <f ca="1">IF($C$4=Lookups!$D$40,SUM(INDIRECT("'Yr1'!"&amp;ADDRESS(ROW(AE105),COLUMN(AE105))),INDIRECT("'Yr2'!"&amp;ADDRESS(ROW(AE105),COLUMN(AE105))),INDIRECT("'Yr3'!"&amp;ADDRESS(ROW(AE105),COLUMN(AE105)))),
IF(AE91=0,0,-PMT(INDEX(Lookups!$E$17:$G$17,MATCH($C$4,Lookups!$E$14:$G$14,0)),AE91,SUMIFS('EE Inputs'!$W$9:$W$32,'EE Inputs'!$C$9:$C$32,$G$6,'EE Inputs'!$D$9:$D$32,$C$4,'EE Inputs'!$E$9:$E$32,$B105),0,1)))</f>
        <v>0</v>
      </c>
      <c r="AF105" s="65">
        <f ca="1">IF($C$4=Lookups!$D$40,SUM(INDIRECT("'Yr1'!"&amp;ADDRESS(ROW(AF105),COLUMN(AF105))),INDIRECT("'Yr2'!"&amp;ADDRESS(ROW(AF105),COLUMN(AF105))),INDIRECT("'Yr3'!"&amp;ADDRESS(ROW(AF105),COLUMN(AF105)))),
IF(AF91=0,0,-PMT(INDEX(Lookups!$E$17:$G$17,MATCH($C$4,Lookups!$E$14:$G$14,0)),AF91,SUMIFS('EE Inputs'!$W$9:$W$32,'EE Inputs'!$C$9:$C$32,$G$6,'EE Inputs'!$D$9:$D$32,$C$4,'EE Inputs'!$E$9:$E$32,$B105),0,1)))</f>
        <v>0</v>
      </c>
      <c r="AG105" s="65">
        <f ca="1">IF($C$4=Lookups!$D$40,SUM(INDIRECT("'Yr1'!"&amp;ADDRESS(ROW(AG105),COLUMN(AG105))),INDIRECT("'Yr2'!"&amp;ADDRESS(ROW(AG105),COLUMN(AG105))),INDIRECT("'Yr3'!"&amp;ADDRESS(ROW(AG105),COLUMN(AG105)))),
IF(AG91=0,0,-PMT(INDEX(Lookups!$E$17:$G$17,MATCH($C$4,Lookups!$E$14:$G$14,0)),AG91,SUMIFS('EE Inputs'!$W$9:$W$32,'EE Inputs'!$C$9:$C$32,$G$6,'EE Inputs'!$D$9:$D$32,$C$4,'EE Inputs'!$E$9:$E$32,$B105),0,1)))</f>
        <v>0</v>
      </c>
      <c r="AH105" s="65"/>
      <c r="AI105" s="65">
        <f ca="1">NPV(Lookups!$E$17,G105:AG105)</f>
        <v>74623.143083016315</v>
      </c>
      <c r="AJ105" s="65"/>
      <c r="AM105" s="72">
        <f ca="1">IF($C$4=Lookups!$D$40,SUM(INDIRECT("'Yr1'!"&amp;ADDRESS(ROW(AM105),COLUMN(AM105))),INDIRECT("'Yr2'!"&amp;ADDRESS(ROW(AM105),COLUMN(AM105))),INDIRECT("'Yr3'!"&amp;ADDRESS(ROW(AM105),COLUMN(AM105)))),
IF(AM91=0,0,-PMT(INDEX(Lookups!$E$17:$G$17,MATCH($C$4,Lookups!$E$14:$G$14,0)),AM91,SUMIFS('EE Inputs'!$W$9:$W$32,'EE Inputs'!$C$9:$C$32,$AM$6,'EE Inputs'!$D$9:$D$32,$C$4,'EE Inputs'!$E$9:$E$32,$B105),0,1)))</f>
        <v>0</v>
      </c>
      <c r="AN105" s="72">
        <f ca="1">IF($C$4=Lookups!$D$40,SUM(INDIRECT("'Yr1'!"&amp;ADDRESS(ROW(AN105),COLUMN(AN105))),INDIRECT("'Yr2'!"&amp;ADDRESS(ROW(AN105),COLUMN(AN105))),INDIRECT("'Yr3'!"&amp;ADDRESS(ROW(AN105),COLUMN(AN105)))),
IF(AN91=0,0,-PMT(INDEX(Lookups!$E$17:$G$17,MATCH($C$4,Lookups!$E$14:$G$14,0)),AN91,SUMIFS('EE Inputs'!$W$9:$W$32,'EE Inputs'!$C$9:$C$32,$AM$6,'EE Inputs'!$D$9:$D$32,$C$4,'EE Inputs'!$E$9:$E$32,$B105),0,1)))</f>
        <v>0</v>
      </c>
      <c r="AO105" s="72">
        <f ca="1">IF($C$4=Lookups!$D$40,SUM(INDIRECT("'Yr1'!"&amp;ADDRESS(ROW(AO105),COLUMN(AO105))),INDIRECT("'Yr2'!"&amp;ADDRESS(ROW(AO105),COLUMN(AO105))),INDIRECT("'Yr3'!"&amp;ADDRESS(ROW(AO105),COLUMN(AO105)))),
IF(AO91=0,0,-PMT(INDEX(Lookups!$E$17:$G$17,MATCH($C$4,Lookups!$E$14:$G$14,0)),AO91,SUMIFS('EE Inputs'!$W$9:$W$32,'EE Inputs'!$C$9:$C$32,$AM$6,'EE Inputs'!$D$9:$D$32,$C$4,'EE Inputs'!$E$9:$E$32,$B105),0,1)))</f>
        <v>5065.9100226784285</v>
      </c>
      <c r="AP105" s="72">
        <f ca="1">IF($C$4=Lookups!$D$40,SUM(INDIRECT("'Yr1'!"&amp;ADDRESS(ROW(AP105),COLUMN(AP105))),INDIRECT("'Yr2'!"&amp;ADDRESS(ROW(AP105),COLUMN(AP105))),INDIRECT("'Yr3'!"&amp;ADDRESS(ROW(AP105),COLUMN(AP105)))),
IF(AP91=0,0,-PMT(INDEX(Lookups!$E$17:$G$17,MATCH($C$4,Lookups!$E$14:$G$14,0)),AP91,SUMIFS('EE Inputs'!$W$9:$W$32,'EE Inputs'!$C$9:$C$32,$AM$6,'EE Inputs'!$D$9:$D$32,$C$4,'EE Inputs'!$E$9:$E$32,$B105),0,1)))</f>
        <v>5065.9100226784285</v>
      </c>
      <c r="AQ105" s="72">
        <f ca="1">IF($C$4=Lookups!$D$40,SUM(INDIRECT("'Yr1'!"&amp;ADDRESS(ROW(AQ105),COLUMN(AQ105))),INDIRECT("'Yr2'!"&amp;ADDRESS(ROW(AQ105),COLUMN(AQ105))),INDIRECT("'Yr3'!"&amp;ADDRESS(ROW(AQ105),COLUMN(AQ105)))),
IF(AQ91=0,0,-PMT(INDEX(Lookups!$E$17:$G$17,MATCH($C$4,Lookups!$E$14:$G$14,0)),AQ91,SUMIFS('EE Inputs'!$W$9:$W$32,'EE Inputs'!$C$9:$C$32,$AM$6,'EE Inputs'!$D$9:$D$32,$C$4,'EE Inputs'!$E$9:$E$32,$B105),0,1)))</f>
        <v>5065.9100226784285</v>
      </c>
      <c r="AR105" s="72">
        <f ca="1">IF($C$4=Lookups!$D$40,SUM(INDIRECT("'Yr1'!"&amp;ADDRESS(ROW(AR105),COLUMN(AR105))),INDIRECT("'Yr2'!"&amp;ADDRESS(ROW(AR105),COLUMN(AR105))),INDIRECT("'Yr3'!"&amp;ADDRESS(ROW(AR105),COLUMN(AR105)))),
IF(AR91=0,0,-PMT(INDEX(Lookups!$E$17:$G$17,MATCH($C$4,Lookups!$E$14:$G$14,0)),AR91,SUMIFS('EE Inputs'!$W$9:$W$32,'EE Inputs'!$C$9:$C$32,$AM$6,'EE Inputs'!$D$9:$D$32,$C$4,'EE Inputs'!$E$9:$E$32,$B105),0,1)))</f>
        <v>5065.9100226784285</v>
      </c>
      <c r="AS105" s="72">
        <f ca="1">IF($C$4=Lookups!$D$40,SUM(INDIRECT("'Yr1'!"&amp;ADDRESS(ROW(AS105),COLUMN(AS105))),INDIRECT("'Yr2'!"&amp;ADDRESS(ROW(AS105),COLUMN(AS105))),INDIRECT("'Yr3'!"&amp;ADDRESS(ROW(AS105),COLUMN(AS105)))),
IF(AS91=0,0,-PMT(INDEX(Lookups!$E$17:$G$17,MATCH($C$4,Lookups!$E$14:$G$14,0)),AS91,SUMIFS('EE Inputs'!$W$9:$W$32,'EE Inputs'!$C$9:$C$32,$AM$6,'EE Inputs'!$D$9:$D$32,$C$4,'EE Inputs'!$E$9:$E$32,$B105),0,1)))</f>
        <v>5065.9100226784285</v>
      </c>
      <c r="AT105" s="72">
        <f ca="1">IF($C$4=Lookups!$D$40,SUM(INDIRECT("'Yr1'!"&amp;ADDRESS(ROW(AT105),COLUMN(AT105))),INDIRECT("'Yr2'!"&amp;ADDRESS(ROW(AT105),COLUMN(AT105))),INDIRECT("'Yr3'!"&amp;ADDRESS(ROW(AT105),COLUMN(AT105)))),
IF(AT91=0,0,-PMT(INDEX(Lookups!$E$17:$G$17,MATCH($C$4,Lookups!$E$14:$G$14,0)),AT91,SUMIFS('EE Inputs'!$W$9:$W$32,'EE Inputs'!$C$9:$C$32,$AM$6,'EE Inputs'!$D$9:$D$32,$C$4,'EE Inputs'!$E$9:$E$32,$B105),0,1)))</f>
        <v>5065.9100226784285</v>
      </c>
      <c r="AU105" s="72">
        <f ca="1">IF($C$4=Lookups!$D$40,SUM(INDIRECT("'Yr1'!"&amp;ADDRESS(ROW(AU105),COLUMN(AU105))),INDIRECT("'Yr2'!"&amp;ADDRESS(ROW(AU105),COLUMN(AU105))),INDIRECT("'Yr3'!"&amp;ADDRESS(ROW(AU105),COLUMN(AU105)))),
IF(AU91=0,0,-PMT(INDEX(Lookups!$E$17:$G$17,MATCH($C$4,Lookups!$E$14:$G$14,0)),AU91,SUMIFS('EE Inputs'!$W$9:$W$32,'EE Inputs'!$C$9:$C$32,$AM$6,'EE Inputs'!$D$9:$D$32,$C$4,'EE Inputs'!$E$9:$E$32,$B105),0,1)))</f>
        <v>5065.9100226784285</v>
      </c>
      <c r="AV105" s="72">
        <f ca="1">IF($C$4=Lookups!$D$40,SUM(INDIRECT("'Yr1'!"&amp;ADDRESS(ROW(AV105),COLUMN(AV105))),INDIRECT("'Yr2'!"&amp;ADDRESS(ROW(AV105),COLUMN(AV105))),INDIRECT("'Yr3'!"&amp;ADDRESS(ROW(AV105),COLUMN(AV105)))),
IF(AV91=0,0,-PMT(INDEX(Lookups!$E$17:$G$17,MATCH($C$4,Lookups!$E$14:$G$14,0)),AV91,SUMIFS('EE Inputs'!$W$9:$W$32,'EE Inputs'!$C$9:$C$32,$AM$6,'EE Inputs'!$D$9:$D$32,$C$4,'EE Inputs'!$E$9:$E$32,$B105),0,1)))</f>
        <v>5065.9100226784285</v>
      </c>
      <c r="AW105" s="72">
        <f ca="1">IF($C$4=Lookups!$D$40,SUM(INDIRECT("'Yr1'!"&amp;ADDRESS(ROW(AW105),COLUMN(AW105))),INDIRECT("'Yr2'!"&amp;ADDRESS(ROW(AW105),COLUMN(AW105))),INDIRECT("'Yr3'!"&amp;ADDRESS(ROW(AW105),COLUMN(AW105)))),
IF(AW91=0,0,-PMT(INDEX(Lookups!$E$17:$G$17,MATCH($C$4,Lookups!$E$14:$G$14,0)),AW91,SUMIFS('EE Inputs'!$W$9:$W$32,'EE Inputs'!$C$9:$C$32,$AM$6,'EE Inputs'!$D$9:$D$32,$C$4,'EE Inputs'!$E$9:$E$32,$B105),0,1)))</f>
        <v>5065.9100226784285</v>
      </c>
      <c r="AX105" s="72">
        <f ca="1">IF($C$4=Lookups!$D$40,SUM(INDIRECT("'Yr1'!"&amp;ADDRESS(ROW(AX105),COLUMN(AX105))),INDIRECT("'Yr2'!"&amp;ADDRESS(ROW(AX105),COLUMN(AX105))),INDIRECT("'Yr3'!"&amp;ADDRESS(ROW(AX105),COLUMN(AX105)))),
IF(AX91=0,0,-PMT(INDEX(Lookups!$E$17:$G$17,MATCH($C$4,Lookups!$E$14:$G$14,0)),AX91,SUMIFS('EE Inputs'!$W$9:$W$32,'EE Inputs'!$C$9:$C$32,$AM$6,'EE Inputs'!$D$9:$D$32,$C$4,'EE Inputs'!$E$9:$E$32,$B105),0,1)))</f>
        <v>5065.9100226784285</v>
      </c>
      <c r="AY105" s="72">
        <f ca="1">IF($C$4=Lookups!$D$40,SUM(INDIRECT("'Yr1'!"&amp;ADDRESS(ROW(AY105),COLUMN(AY105))),INDIRECT("'Yr2'!"&amp;ADDRESS(ROW(AY105),COLUMN(AY105))),INDIRECT("'Yr3'!"&amp;ADDRESS(ROW(AY105),COLUMN(AY105)))),
IF(AY91=0,0,-PMT(INDEX(Lookups!$E$17:$G$17,MATCH($C$4,Lookups!$E$14:$G$14,0)),AY91,SUMIFS('EE Inputs'!$W$9:$W$32,'EE Inputs'!$C$9:$C$32,$AM$6,'EE Inputs'!$D$9:$D$32,$C$4,'EE Inputs'!$E$9:$E$32,$B105),0,1)))</f>
        <v>5065.9100226784285</v>
      </c>
      <c r="AZ105" s="72">
        <f ca="1">IF($C$4=Lookups!$D$40,SUM(INDIRECT("'Yr1'!"&amp;ADDRESS(ROW(AZ105),COLUMN(AZ105))),INDIRECT("'Yr2'!"&amp;ADDRESS(ROW(AZ105),COLUMN(AZ105))),INDIRECT("'Yr3'!"&amp;ADDRESS(ROW(AZ105),COLUMN(AZ105)))),
IF(AZ91=0,0,-PMT(INDEX(Lookups!$E$17:$G$17,MATCH($C$4,Lookups!$E$14:$G$14,0)),AZ91,SUMIFS('EE Inputs'!$W$9:$W$32,'EE Inputs'!$C$9:$C$32,$AM$6,'EE Inputs'!$D$9:$D$32,$C$4,'EE Inputs'!$E$9:$E$32,$B105),0,1)))</f>
        <v>5065.9100226784285</v>
      </c>
      <c r="BA105" s="72">
        <f ca="1">IF($C$4=Lookups!$D$40,SUM(INDIRECT("'Yr1'!"&amp;ADDRESS(ROW(BA105),COLUMN(BA105))),INDIRECT("'Yr2'!"&amp;ADDRESS(ROW(BA105),COLUMN(BA105))),INDIRECT("'Yr3'!"&amp;ADDRESS(ROW(BA105),COLUMN(BA105)))),
IF(BA91=0,0,-PMT(INDEX(Lookups!$E$17:$G$17,MATCH($C$4,Lookups!$E$14:$G$14,0)),BA91,SUMIFS('EE Inputs'!$W$9:$W$32,'EE Inputs'!$C$9:$C$32,$AM$6,'EE Inputs'!$D$9:$D$32,$C$4,'EE Inputs'!$E$9:$E$32,$B105),0,1)))</f>
        <v>5065.9100226784285</v>
      </c>
      <c r="BB105" s="72">
        <f ca="1">IF($C$4=Lookups!$D$40,SUM(INDIRECT("'Yr1'!"&amp;ADDRESS(ROW(BB105),COLUMN(BB105))),INDIRECT("'Yr2'!"&amp;ADDRESS(ROW(BB105),COLUMN(BB105))),INDIRECT("'Yr3'!"&amp;ADDRESS(ROW(BB105),COLUMN(BB105)))),
IF(BB91=0,0,-PMT(INDEX(Lookups!$E$17:$G$17,MATCH($C$4,Lookups!$E$14:$G$14,0)),BB91,SUMIFS('EE Inputs'!$W$9:$W$32,'EE Inputs'!$C$9:$C$32,$AM$6,'EE Inputs'!$D$9:$D$32,$C$4,'EE Inputs'!$E$9:$E$32,$B105),0,1)))</f>
        <v>5065.9100226784285</v>
      </c>
      <c r="BC105" s="72">
        <f ca="1">IF($C$4=Lookups!$D$40,SUM(INDIRECT("'Yr1'!"&amp;ADDRESS(ROW(BC105),COLUMN(BC105))),INDIRECT("'Yr2'!"&amp;ADDRESS(ROW(BC105),COLUMN(BC105))),INDIRECT("'Yr3'!"&amp;ADDRESS(ROW(BC105),COLUMN(BC105)))),
IF(BC91=0,0,-PMT(INDEX(Lookups!$E$17:$G$17,MATCH($C$4,Lookups!$E$14:$G$14,0)),BC91,SUMIFS('EE Inputs'!$W$9:$W$32,'EE Inputs'!$C$9:$C$32,$AM$6,'EE Inputs'!$D$9:$D$32,$C$4,'EE Inputs'!$E$9:$E$32,$B105),0,1)))</f>
        <v>5065.9100226784285</v>
      </c>
      <c r="BD105" s="72">
        <f ca="1">IF($C$4=Lookups!$D$40,SUM(INDIRECT("'Yr1'!"&amp;ADDRESS(ROW(BD105),COLUMN(BD105))),INDIRECT("'Yr2'!"&amp;ADDRESS(ROW(BD105),COLUMN(BD105))),INDIRECT("'Yr3'!"&amp;ADDRESS(ROW(BD105),COLUMN(BD105)))),
IF(BD91=0,0,-PMT(INDEX(Lookups!$E$17:$G$17,MATCH($C$4,Lookups!$E$14:$G$14,0)),BD91,SUMIFS('EE Inputs'!$W$9:$W$32,'EE Inputs'!$C$9:$C$32,$AM$6,'EE Inputs'!$D$9:$D$32,$C$4,'EE Inputs'!$E$9:$E$32,$B105),0,1)))</f>
        <v>5065.9100226784285</v>
      </c>
      <c r="BE105" s="72">
        <f ca="1">IF($C$4=Lookups!$D$40,SUM(INDIRECT("'Yr1'!"&amp;ADDRESS(ROW(BE105),COLUMN(BE105))),INDIRECT("'Yr2'!"&amp;ADDRESS(ROW(BE105),COLUMN(BE105))),INDIRECT("'Yr3'!"&amp;ADDRESS(ROW(BE105),COLUMN(BE105)))),
IF(BE91=0,0,-PMT(INDEX(Lookups!$E$17:$G$17,MATCH($C$4,Lookups!$E$14:$G$14,0)),BE91,SUMIFS('EE Inputs'!$W$9:$W$32,'EE Inputs'!$C$9:$C$32,$AM$6,'EE Inputs'!$D$9:$D$32,$C$4,'EE Inputs'!$E$9:$E$32,$B105),0,1)))</f>
        <v>5065.9100226784285</v>
      </c>
      <c r="BF105" s="72">
        <f ca="1">IF($C$4=Lookups!$D$40,SUM(INDIRECT("'Yr1'!"&amp;ADDRESS(ROW(BF105),COLUMN(BF105))),INDIRECT("'Yr2'!"&amp;ADDRESS(ROW(BF105),COLUMN(BF105))),INDIRECT("'Yr3'!"&amp;ADDRESS(ROW(BF105),COLUMN(BF105)))),
IF(BF91=0,0,-PMT(INDEX(Lookups!$E$17:$G$17,MATCH($C$4,Lookups!$E$14:$G$14,0)),BF91,SUMIFS('EE Inputs'!$W$9:$W$32,'EE Inputs'!$C$9:$C$32,$AM$6,'EE Inputs'!$D$9:$D$32,$C$4,'EE Inputs'!$E$9:$E$32,$B105),0,1)))</f>
        <v>5065.9100226784285</v>
      </c>
      <c r="BG105" s="72">
        <f ca="1">IF($C$4=Lookups!$D$40,SUM(INDIRECT("'Yr1'!"&amp;ADDRESS(ROW(BG105),COLUMN(BG105))),INDIRECT("'Yr2'!"&amp;ADDRESS(ROW(BG105),COLUMN(BG105))),INDIRECT("'Yr3'!"&amp;ADDRESS(ROW(BG105),COLUMN(BG105)))),
IF(BG91=0,0,-PMT(INDEX(Lookups!$E$17:$G$17,MATCH($C$4,Lookups!$E$14:$G$14,0)),BG91,SUMIFS('EE Inputs'!$W$9:$W$32,'EE Inputs'!$C$9:$C$32,$AM$6,'EE Inputs'!$D$9:$D$32,$C$4,'EE Inputs'!$E$9:$E$32,$B105),0,1)))</f>
        <v>5065.9100226784285</v>
      </c>
      <c r="BH105" s="72">
        <f ca="1">IF($C$4=Lookups!$D$40,SUM(INDIRECT("'Yr1'!"&amp;ADDRESS(ROW(BH105),COLUMN(BH105))),INDIRECT("'Yr2'!"&amp;ADDRESS(ROW(BH105),COLUMN(BH105))),INDIRECT("'Yr3'!"&amp;ADDRESS(ROW(BH105),COLUMN(BH105)))),
IF(BH91=0,0,-PMT(INDEX(Lookups!$E$17:$G$17,MATCH($C$4,Lookups!$E$14:$G$14,0)),BH91,SUMIFS('EE Inputs'!$W$9:$W$32,'EE Inputs'!$C$9:$C$32,$AM$6,'EE Inputs'!$D$9:$D$32,$C$4,'EE Inputs'!$E$9:$E$32,$B105),0,1)))</f>
        <v>5065.9100226784285</v>
      </c>
      <c r="BI105" s="72">
        <f ca="1">IF($C$4=Lookups!$D$40,SUM(INDIRECT("'Yr1'!"&amp;ADDRESS(ROW(BI105),COLUMN(BI105))),INDIRECT("'Yr2'!"&amp;ADDRESS(ROW(BI105),COLUMN(BI105))),INDIRECT("'Yr3'!"&amp;ADDRESS(ROW(BI105),COLUMN(BI105)))),
IF(BI91=0,0,-PMT(INDEX(Lookups!$E$17:$G$17,MATCH($C$4,Lookups!$E$14:$G$14,0)),BI91,SUMIFS('EE Inputs'!$W$9:$W$32,'EE Inputs'!$C$9:$C$32,$AM$6,'EE Inputs'!$D$9:$D$32,$C$4,'EE Inputs'!$E$9:$E$32,$B105),0,1)))</f>
        <v>0</v>
      </c>
      <c r="BJ105" s="72">
        <f ca="1">IF($C$4=Lookups!$D$40,SUM(INDIRECT("'Yr1'!"&amp;ADDRESS(ROW(BJ105),COLUMN(BJ105))),INDIRECT("'Yr2'!"&amp;ADDRESS(ROW(BJ105),COLUMN(BJ105))),INDIRECT("'Yr3'!"&amp;ADDRESS(ROW(BJ105),COLUMN(BJ105)))),
IF(BJ91=0,0,-PMT(INDEX(Lookups!$E$17:$G$17,MATCH($C$4,Lookups!$E$14:$G$14,0)),BJ91,SUMIFS('EE Inputs'!$W$9:$W$32,'EE Inputs'!$C$9:$C$32,$AM$6,'EE Inputs'!$D$9:$D$32,$C$4,'EE Inputs'!$E$9:$E$32,$B105),0,1)))</f>
        <v>0</v>
      </c>
      <c r="BK105" s="72">
        <f ca="1">IF($C$4=Lookups!$D$40,SUM(INDIRECT("'Yr1'!"&amp;ADDRESS(ROW(BK105),COLUMN(BK105))),INDIRECT("'Yr2'!"&amp;ADDRESS(ROW(BK105),COLUMN(BK105))),INDIRECT("'Yr3'!"&amp;ADDRESS(ROW(BK105),COLUMN(BK105)))),
IF(BK91=0,0,-PMT(INDEX(Lookups!$E$17:$G$17,MATCH($C$4,Lookups!$E$14:$G$14,0)),BK91,SUMIFS('EE Inputs'!$W$9:$W$32,'EE Inputs'!$C$9:$C$32,$AM$6,'EE Inputs'!$D$9:$D$32,$C$4,'EE Inputs'!$E$9:$E$32,$B105),0,1)))</f>
        <v>0</v>
      </c>
      <c r="BL105" s="72">
        <f ca="1">IF($C$4=Lookups!$D$40,SUM(INDIRECT("'Yr1'!"&amp;ADDRESS(ROW(BL105),COLUMN(BL105))),INDIRECT("'Yr2'!"&amp;ADDRESS(ROW(BL105),COLUMN(BL105))),INDIRECT("'Yr3'!"&amp;ADDRESS(ROW(BL105),COLUMN(BL105)))),
IF(BL91=0,0,-PMT(INDEX(Lookups!$E$17:$G$17,MATCH($C$4,Lookups!$E$14:$G$14,0)),BL91,SUMIFS('EE Inputs'!$W$9:$W$32,'EE Inputs'!$C$9:$C$32,$AM$6,'EE Inputs'!$D$9:$D$32,$C$4,'EE Inputs'!$E$9:$E$32,$B105),0,1)))</f>
        <v>0</v>
      </c>
      <c r="BM105" s="72">
        <f ca="1">IF($C$4=Lookups!$D$40,SUM(INDIRECT("'Yr1'!"&amp;ADDRESS(ROW(BM105),COLUMN(BM105))),INDIRECT("'Yr2'!"&amp;ADDRESS(ROW(BM105),COLUMN(BM105))),INDIRECT("'Yr3'!"&amp;ADDRESS(ROW(BM105),COLUMN(BM105)))),
IF(BM91=0,0,-PMT(INDEX(Lookups!$E$17:$G$17,MATCH($C$4,Lookups!$E$14:$G$14,0)),BM91,SUMIFS('EE Inputs'!$W$9:$W$32,'EE Inputs'!$C$9:$C$32,$AM$6,'EE Inputs'!$D$9:$D$32,$C$4,'EE Inputs'!$E$9:$E$32,$B105),0,1)))</f>
        <v>0</v>
      </c>
      <c r="BN105" s="72"/>
      <c r="BO105" s="72">
        <f ca="1">NPV(Lookups!$E$17,AM105:BM105)</f>
        <v>85283.59209487577</v>
      </c>
      <c r="BP105" s="72"/>
      <c r="BS105" s="84" t="s">
        <v>413</v>
      </c>
      <c r="BT105" s="51"/>
    </row>
    <row r="106" spans="1:72" x14ac:dyDescent="0.25">
      <c r="A106" s="246"/>
      <c r="B106" s="243" t="str">
        <f t="shared" ref="B106:C106" si="97">B104</f>
        <v>Low-Income</v>
      </c>
      <c r="C106" s="243" t="str">
        <f t="shared" si="97"/>
        <v>Revenue Requirements</v>
      </c>
      <c r="D106" s="244" t="str">
        <f>D104</f>
        <v>Avoided Costs</v>
      </c>
      <c r="E106" s="86" t="s">
        <v>175</v>
      </c>
      <c r="F106" s="84" t="s">
        <v>32</v>
      </c>
      <c r="G106" s="65">
        <f ca="1">IF($C$4=Lookups!$D$40,SUM(INDIRECT("'Yr1'!"&amp;ADDRESS(ROW(G106),COLUMN(G106))),INDIRECT("'Yr2'!"&amp;ADDRESS(ROW(G106),COLUMN(G106))),INDIRECT("'Yr3'!"&amp;ADDRESS(ROW(G106),COLUMN(G106)))),
IF(G91=0,0,-PMT(INDEX(Lookups!$E$17:$G$17,MATCH($C$4,Lookups!$E$14:$G$14,0)),G91,SUMIFS('EE Inputs'!$K$9:$K$32,'EE Inputs'!$C$9:$C$32,$G$6,'EE Inputs'!$D$9:$D$32,$C$4,'EE Inputs'!$E$9:$E$32,$B106),0,1)))</f>
        <v>0</v>
      </c>
      <c r="H106" s="65">
        <f ca="1">IF($C$4=Lookups!$D$40,SUM(INDIRECT("'Yr1'!"&amp;ADDRESS(ROW(H106),COLUMN(H106))),INDIRECT("'Yr2'!"&amp;ADDRESS(ROW(H106),COLUMN(H106))),INDIRECT("'Yr3'!"&amp;ADDRESS(ROW(H106),COLUMN(H106)))),
IF(H91=0,0,-PMT(INDEX(Lookups!$E$17:$G$17,MATCH($C$4,Lookups!$E$14:$G$14,0)),H91,SUMIFS('EE Inputs'!$K$9:$K$32,'EE Inputs'!$C$9:$C$32,$G$6,'EE Inputs'!$D$9:$D$32,$C$4,'EE Inputs'!$E$9:$E$32,$B106),0,1)))</f>
        <v>0</v>
      </c>
      <c r="I106" s="65">
        <f ca="1">IF($C$4=Lookups!$D$40,SUM(INDIRECT("'Yr1'!"&amp;ADDRESS(ROW(I106),COLUMN(I106))),INDIRECT("'Yr2'!"&amp;ADDRESS(ROW(I106),COLUMN(I106))),INDIRECT("'Yr3'!"&amp;ADDRESS(ROW(I106),COLUMN(I106)))),
IF(I91=0,0,-PMT(INDEX(Lookups!$E$17:$G$17,MATCH($C$4,Lookups!$E$14:$G$14,0)),I91,SUMIFS('EE Inputs'!$K$9:$K$32,'EE Inputs'!$C$9:$C$32,$G$6,'EE Inputs'!$D$9:$D$32,$C$4,'EE Inputs'!$E$9:$E$32,$B106),0,1)))</f>
        <v>2367.0997021484013</v>
      </c>
      <c r="J106" s="65">
        <f ca="1">IF($C$4=Lookups!$D$40,SUM(INDIRECT("'Yr1'!"&amp;ADDRESS(ROW(J106),COLUMN(J106))),INDIRECT("'Yr2'!"&amp;ADDRESS(ROW(J106),COLUMN(J106))),INDIRECT("'Yr3'!"&amp;ADDRESS(ROW(J106),COLUMN(J106)))),
IF(J91=0,0,-PMT(INDEX(Lookups!$E$17:$G$17,MATCH($C$4,Lookups!$E$14:$G$14,0)),J91,SUMIFS('EE Inputs'!$K$9:$K$32,'EE Inputs'!$C$9:$C$32,$G$6,'EE Inputs'!$D$9:$D$32,$C$4,'EE Inputs'!$E$9:$E$32,$B106),0,1)))</f>
        <v>2367.0997021484013</v>
      </c>
      <c r="K106" s="65">
        <f ca="1">IF($C$4=Lookups!$D$40,SUM(INDIRECT("'Yr1'!"&amp;ADDRESS(ROW(K106),COLUMN(K106))),INDIRECT("'Yr2'!"&amp;ADDRESS(ROW(K106),COLUMN(K106))),INDIRECT("'Yr3'!"&amp;ADDRESS(ROW(K106),COLUMN(K106)))),
IF(K91=0,0,-PMT(INDEX(Lookups!$E$17:$G$17,MATCH($C$4,Lookups!$E$14:$G$14,0)),K91,SUMIFS('EE Inputs'!$K$9:$K$32,'EE Inputs'!$C$9:$C$32,$G$6,'EE Inputs'!$D$9:$D$32,$C$4,'EE Inputs'!$E$9:$E$32,$B106),0,1)))</f>
        <v>2367.0997021484013</v>
      </c>
      <c r="L106" s="65">
        <f ca="1">IF($C$4=Lookups!$D$40,SUM(INDIRECT("'Yr1'!"&amp;ADDRESS(ROW(L106),COLUMN(L106))),INDIRECT("'Yr2'!"&amp;ADDRESS(ROW(L106),COLUMN(L106))),INDIRECT("'Yr3'!"&amp;ADDRESS(ROW(L106),COLUMN(L106)))),
IF(L91=0,0,-PMT(INDEX(Lookups!$E$17:$G$17,MATCH($C$4,Lookups!$E$14:$G$14,0)),L91,SUMIFS('EE Inputs'!$K$9:$K$32,'EE Inputs'!$C$9:$C$32,$G$6,'EE Inputs'!$D$9:$D$32,$C$4,'EE Inputs'!$E$9:$E$32,$B106),0,1)))</f>
        <v>2367.0997021484013</v>
      </c>
      <c r="M106" s="65">
        <f ca="1">IF($C$4=Lookups!$D$40,SUM(INDIRECT("'Yr1'!"&amp;ADDRESS(ROW(M106),COLUMN(M106))),INDIRECT("'Yr2'!"&amp;ADDRESS(ROW(M106),COLUMN(M106))),INDIRECT("'Yr3'!"&amp;ADDRESS(ROW(M106),COLUMN(M106)))),
IF(M91=0,0,-PMT(INDEX(Lookups!$E$17:$G$17,MATCH($C$4,Lookups!$E$14:$G$14,0)),M91,SUMIFS('EE Inputs'!$K$9:$K$32,'EE Inputs'!$C$9:$C$32,$G$6,'EE Inputs'!$D$9:$D$32,$C$4,'EE Inputs'!$E$9:$E$32,$B106),0,1)))</f>
        <v>2367.0997021484013</v>
      </c>
      <c r="N106" s="65">
        <f ca="1">IF($C$4=Lookups!$D$40,SUM(INDIRECT("'Yr1'!"&amp;ADDRESS(ROW(N106),COLUMN(N106))),INDIRECT("'Yr2'!"&amp;ADDRESS(ROW(N106),COLUMN(N106))),INDIRECT("'Yr3'!"&amp;ADDRESS(ROW(N106),COLUMN(N106)))),
IF(N91=0,0,-PMT(INDEX(Lookups!$E$17:$G$17,MATCH($C$4,Lookups!$E$14:$G$14,0)),N91,SUMIFS('EE Inputs'!$K$9:$K$32,'EE Inputs'!$C$9:$C$32,$G$6,'EE Inputs'!$D$9:$D$32,$C$4,'EE Inputs'!$E$9:$E$32,$B106),0,1)))</f>
        <v>2367.0997021484013</v>
      </c>
      <c r="O106" s="65">
        <f ca="1">IF($C$4=Lookups!$D$40,SUM(INDIRECT("'Yr1'!"&amp;ADDRESS(ROW(O106),COLUMN(O106))),INDIRECT("'Yr2'!"&amp;ADDRESS(ROW(O106),COLUMN(O106))),INDIRECT("'Yr3'!"&amp;ADDRESS(ROW(O106),COLUMN(O106)))),
IF(O91=0,0,-PMT(INDEX(Lookups!$E$17:$G$17,MATCH($C$4,Lookups!$E$14:$G$14,0)),O91,SUMIFS('EE Inputs'!$K$9:$K$32,'EE Inputs'!$C$9:$C$32,$G$6,'EE Inputs'!$D$9:$D$32,$C$4,'EE Inputs'!$E$9:$E$32,$B106),0,1)))</f>
        <v>2367.0997021484013</v>
      </c>
      <c r="P106" s="65">
        <f ca="1">IF($C$4=Lookups!$D$40,SUM(INDIRECT("'Yr1'!"&amp;ADDRESS(ROW(P106),COLUMN(P106))),INDIRECT("'Yr2'!"&amp;ADDRESS(ROW(P106),COLUMN(P106))),INDIRECT("'Yr3'!"&amp;ADDRESS(ROW(P106),COLUMN(P106)))),
IF(P91=0,0,-PMT(INDEX(Lookups!$E$17:$G$17,MATCH($C$4,Lookups!$E$14:$G$14,0)),P91,SUMIFS('EE Inputs'!$K$9:$K$32,'EE Inputs'!$C$9:$C$32,$G$6,'EE Inputs'!$D$9:$D$32,$C$4,'EE Inputs'!$E$9:$E$32,$B106),0,1)))</f>
        <v>2367.0997021484013</v>
      </c>
      <c r="Q106" s="65">
        <f ca="1">IF($C$4=Lookups!$D$40,SUM(INDIRECT("'Yr1'!"&amp;ADDRESS(ROW(Q106),COLUMN(Q106))),INDIRECT("'Yr2'!"&amp;ADDRESS(ROW(Q106),COLUMN(Q106))),INDIRECT("'Yr3'!"&amp;ADDRESS(ROW(Q106),COLUMN(Q106)))),
IF(Q91=0,0,-PMT(INDEX(Lookups!$E$17:$G$17,MATCH($C$4,Lookups!$E$14:$G$14,0)),Q91,SUMIFS('EE Inputs'!$K$9:$K$32,'EE Inputs'!$C$9:$C$32,$G$6,'EE Inputs'!$D$9:$D$32,$C$4,'EE Inputs'!$E$9:$E$32,$B106),0,1)))</f>
        <v>2367.0997021484013</v>
      </c>
      <c r="R106" s="65">
        <f ca="1">IF($C$4=Lookups!$D$40,SUM(INDIRECT("'Yr1'!"&amp;ADDRESS(ROW(R106),COLUMN(R106))),INDIRECT("'Yr2'!"&amp;ADDRESS(ROW(R106),COLUMN(R106))),INDIRECT("'Yr3'!"&amp;ADDRESS(ROW(R106),COLUMN(R106)))),
IF(R91=0,0,-PMT(INDEX(Lookups!$E$17:$G$17,MATCH($C$4,Lookups!$E$14:$G$14,0)),R91,SUMIFS('EE Inputs'!$K$9:$K$32,'EE Inputs'!$C$9:$C$32,$G$6,'EE Inputs'!$D$9:$D$32,$C$4,'EE Inputs'!$E$9:$E$32,$B106),0,1)))</f>
        <v>2367.0997021484013</v>
      </c>
      <c r="S106" s="65">
        <f ca="1">IF($C$4=Lookups!$D$40,SUM(INDIRECT("'Yr1'!"&amp;ADDRESS(ROW(S106),COLUMN(S106))),INDIRECT("'Yr2'!"&amp;ADDRESS(ROW(S106),COLUMN(S106))),INDIRECT("'Yr3'!"&amp;ADDRESS(ROW(S106),COLUMN(S106)))),
IF(S91=0,0,-PMT(INDEX(Lookups!$E$17:$G$17,MATCH($C$4,Lookups!$E$14:$G$14,0)),S91,SUMIFS('EE Inputs'!$K$9:$K$32,'EE Inputs'!$C$9:$C$32,$G$6,'EE Inputs'!$D$9:$D$32,$C$4,'EE Inputs'!$E$9:$E$32,$B106),0,1)))</f>
        <v>2367.0997021484013</v>
      </c>
      <c r="T106" s="65">
        <f ca="1">IF($C$4=Lookups!$D$40,SUM(INDIRECT("'Yr1'!"&amp;ADDRESS(ROW(T106),COLUMN(T106))),INDIRECT("'Yr2'!"&amp;ADDRESS(ROW(T106),COLUMN(T106))),INDIRECT("'Yr3'!"&amp;ADDRESS(ROW(T106),COLUMN(T106)))),
IF(T91=0,0,-PMT(INDEX(Lookups!$E$17:$G$17,MATCH($C$4,Lookups!$E$14:$G$14,0)),T91,SUMIFS('EE Inputs'!$K$9:$K$32,'EE Inputs'!$C$9:$C$32,$G$6,'EE Inputs'!$D$9:$D$32,$C$4,'EE Inputs'!$E$9:$E$32,$B106),0,1)))</f>
        <v>2367.0997021484013</v>
      </c>
      <c r="U106" s="65">
        <f ca="1">IF($C$4=Lookups!$D$40,SUM(INDIRECT("'Yr1'!"&amp;ADDRESS(ROW(U106),COLUMN(U106))),INDIRECT("'Yr2'!"&amp;ADDRESS(ROW(U106),COLUMN(U106))),INDIRECT("'Yr3'!"&amp;ADDRESS(ROW(U106),COLUMN(U106)))),
IF(U91=0,0,-PMT(INDEX(Lookups!$E$17:$G$17,MATCH($C$4,Lookups!$E$14:$G$14,0)),U91,SUMIFS('EE Inputs'!$K$9:$K$32,'EE Inputs'!$C$9:$C$32,$G$6,'EE Inputs'!$D$9:$D$32,$C$4,'EE Inputs'!$E$9:$E$32,$B106),0,1)))</f>
        <v>2367.0997021484013</v>
      </c>
      <c r="V106" s="65">
        <f ca="1">IF($C$4=Lookups!$D$40,SUM(INDIRECT("'Yr1'!"&amp;ADDRESS(ROW(V106),COLUMN(V106))),INDIRECT("'Yr2'!"&amp;ADDRESS(ROW(V106),COLUMN(V106))),INDIRECT("'Yr3'!"&amp;ADDRESS(ROW(V106),COLUMN(V106)))),
IF(V91=0,0,-PMT(INDEX(Lookups!$E$17:$G$17,MATCH($C$4,Lookups!$E$14:$G$14,0)),V91,SUMIFS('EE Inputs'!$K$9:$K$32,'EE Inputs'!$C$9:$C$32,$G$6,'EE Inputs'!$D$9:$D$32,$C$4,'EE Inputs'!$E$9:$E$32,$B106),0,1)))</f>
        <v>2367.0997021484013</v>
      </c>
      <c r="W106" s="65">
        <f ca="1">IF($C$4=Lookups!$D$40,SUM(INDIRECT("'Yr1'!"&amp;ADDRESS(ROW(W106),COLUMN(W106))),INDIRECT("'Yr2'!"&amp;ADDRESS(ROW(W106),COLUMN(W106))),INDIRECT("'Yr3'!"&amp;ADDRESS(ROW(W106),COLUMN(W106)))),
IF(W91=0,0,-PMT(INDEX(Lookups!$E$17:$G$17,MATCH($C$4,Lookups!$E$14:$G$14,0)),W91,SUMIFS('EE Inputs'!$K$9:$K$32,'EE Inputs'!$C$9:$C$32,$G$6,'EE Inputs'!$D$9:$D$32,$C$4,'EE Inputs'!$E$9:$E$32,$B106),0,1)))</f>
        <v>2367.0997021484013</v>
      </c>
      <c r="X106" s="65">
        <f ca="1">IF($C$4=Lookups!$D$40,SUM(INDIRECT("'Yr1'!"&amp;ADDRESS(ROW(X106),COLUMN(X106))),INDIRECT("'Yr2'!"&amp;ADDRESS(ROW(X106),COLUMN(X106))),INDIRECT("'Yr3'!"&amp;ADDRESS(ROW(X106),COLUMN(X106)))),
IF(X91=0,0,-PMT(INDEX(Lookups!$E$17:$G$17,MATCH($C$4,Lookups!$E$14:$G$14,0)),X91,SUMIFS('EE Inputs'!$K$9:$K$32,'EE Inputs'!$C$9:$C$32,$G$6,'EE Inputs'!$D$9:$D$32,$C$4,'EE Inputs'!$E$9:$E$32,$B106),0,1)))</f>
        <v>2367.0997021484013</v>
      </c>
      <c r="Y106" s="65">
        <f ca="1">IF($C$4=Lookups!$D$40,SUM(INDIRECT("'Yr1'!"&amp;ADDRESS(ROW(Y106),COLUMN(Y106))),INDIRECT("'Yr2'!"&amp;ADDRESS(ROW(Y106),COLUMN(Y106))),INDIRECT("'Yr3'!"&amp;ADDRESS(ROW(Y106),COLUMN(Y106)))),
IF(Y91=0,0,-PMT(INDEX(Lookups!$E$17:$G$17,MATCH($C$4,Lookups!$E$14:$G$14,0)),Y91,SUMIFS('EE Inputs'!$K$9:$K$32,'EE Inputs'!$C$9:$C$32,$G$6,'EE Inputs'!$D$9:$D$32,$C$4,'EE Inputs'!$E$9:$E$32,$B106),0,1)))</f>
        <v>2367.0997021484013</v>
      </c>
      <c r="Z106" s="65">
        <f ca="1">IF($C$4=Lookups!$D$40,SUM(INDIRECT("'Yr1'!"&amp;ADDRESS(ROW(Z106),COLUMN(Z106))),INDIRECT("'Yr2'!"&amp;ADDRESS(ROW(Z106),COLUMN(Z106))),INDIRECT("'Yr3'!"&amp;ADDRESS(ROW(Z106),COLUMN(Z106)))),
IF(Z91=0,0,-PMT(INDEX(Lookups!$E$17:$G$17,MATCH($C$4,Lookups!$E$14:$G$14,0)),Z91,SUMIFS('EE Inputs'!$K$9:$K$32,'EE Inputs'!$C$9:$C$32,$G$6,'EE Inputs'!$D$9:$D$32,$C$4,'EE Inputs'!$E$9:$E$32,$B106),0,1)))</f>
        <v>2367.0997021484013</v>
      </c>
      <c r="AA106" s="65">
        <f ca="1">IF($C$4=Lookups!$D$40,SUM(INDIRECT("'Yr1'!"&amp;ADDRESS(ROW(AA106),COLUMN(AA106))),INDIRECT("'Yr2'!"&amp;ADDRESS(ROW(AA106),COLUMN(AA106))),INDIRECT("'Yr3'!"&amp;ADDRESS(ROW(AA106),COLUMN(AA106)))),
IF(AA91=0,0,-PMT(INDEX(Lookups!$E$17:$G$17,MATCH($C$4,Lookups!$E$14:$G$14,0)),AA91,SUMIFS('EE Inputs'!$K$9:$K$32,'EE Inputs'!$C$9:$C$32,$G$6,'EE Inputs'!$D$9:$D$32,$C$4,'EE Inputs'!$E$9:$E$32,$B106),0,1)))</f>
        <v>2367.0997021484013</v>
      </c>
      <c r="AB106" s="65">
        <f ca="1">IF($C$4=Lookups!$D$40,SUM(INDIRECT("'Yr1'!"&amp;ADDRESS(ROW(AB106),COLUMN(AB106))),INDIRECT("'Yr2'!"&amp;ADDRESS(ROW(AB106),COLUMN(AB106))),INDIRECT("'Yr3'!"&amp;ADDRESS(ROW(AB106),COLUMN(AB106)))),
IF(AB91=0,0,-PMT(INDEX(Lookups!$E$17:$G$17,MATCH($C$4,Lookups!$E$14:$G$14,0)),AB91,SUMIFS('EE Inputs'!$K$9:$K$32,'EE Inputs'!$C$9:$C$32,$G$6,'EE Inputs'!$D$9:$D$32,$C$4,'EE Inputs'!$E$9:$E$32,$B106),0,1)))</f>
        <v>2367.0997021484013</v>
      </c>
      <c r="AC106" s="65">
        <f ca="1">IF($C$4=Lookups!$D$40,SUM(INDIRECT("'Yr1'!"&amp;ADDRESS(ROW(AC106),COLUMN(AC106))),INDIRECT("'Yr2'!"&amp;ADDRESS(ROW(AC106),COLUMN(AC106))),INDIRECT("'Yr3'!"&amp;ADDRESS(ROW(AC106),COLUMN(AC106)))),
IF(AC91=0,0,-PMT(INDEX(Lookups!$E$17:$G$17,MATCH($C$4,Lookups!$E$14:$G$14,0)),AC91,SUMIFS('EE Inputs'!$K$9:$K$32,'EE Inputs'!$C$9:$C$32,$G$6,'EE Inputs'!$D$9:$D$32,$C$4,'EE Inputs'!$E$9:$E$32,$B106),0,1)))</f>
        <v>0</v>
      </c>
      <c r="AD106" s="65">
        <f ca="1">IF($C$4=Lookups!$D$40,SUM(INDIRECT("'Yr1'!"&amp;ADDRESS(ROW(AD106),COLUMN(AD106))),INDIRECT("'Yr2'!"&amp;ADDRESS(ROW(AD106),COLUMN(AD106))),INDIRECT("'Yr3'!"&amp;ADDRESS(ROW(AD106),COLUMN(AD106)))),
IF(AD91=0,0,-PMT(INDEX(Lookups!$E$17:$G$17,MATCH($C$4,Lookups!$E$14:$G$14,0)),AD91,SUMIFS('EE Inputs'!$K$9:$K$32,'EE Inputs'!$C$9:$C$32,$G$6,'EE Inputs'!$D$9:$D$32,$C$4,'EE Inputs'!$E$9:$E$32,$B106),0,1)))</f>
        <v>0</v>
      </c>
      <c r="AE106" s="65">
        <f ca="1">IF($C$4=Lookups!$D$40,SUM(INDIRECT("'Yr1'!"&amp;ADDRESS(ROW(AE106),COLUMN(AE106))),INDIRECT("'Yr2'!"&amp;ADDRESS(ROW(AE106),COLUMN(AE106))),INDIRECT("'Yr3'!"&amp;ADDRESS(ROW(AE106),COLUMN(AE106)))),
IF(AE91=0,0,-PMT(INDEX(Lookups!$E$17:$G$17,MATCH($C$4,Lookups!$E$14:$G$14,0)),AE91,SUMIFS('EE Inputs'!$K$9:$K$32,'EE Inputs'!$C$9:$C$32,$G$6,'EE Inputs'!$D$9:$D$32,$C$4,'EE Inputs'!$E$9:$E$32,$B106),0,1)))</f>
        <v>0</v>
      </c>
      <c r="AF106" s="65">
        <f ca="1">IF($C$4=Lookups!$D$40,SUM(INDIRECT("'Yr1'!"&amp;ADDRESS(ROW(AF106),COLUMN(AF106))),INDIRECT("'Yr2'!"&amp;ADDRESS(ROW(AF106),COLUMN(AF106))),INDIRECT("'Yr3'!"&amp;ADDRESS(ROW(AF106),COLUMN(AF106)))),
IF(AF91=0,0,-PMT(INDEX(Lookups!$E$17:$G$17,MATCH($C$4,Lookups!$E$14:$G$14,0)),AF91,SUMIFS('EE Inputs'!$K$9:$K$32,'EE Inputs'!$C$9:$C$32,$G$6,'EE Inputs'!$D$9:$D$32,$C$4,'EE Inputs'!$E$9:$E$32,$B106),0,1)))</f>
        <v>0</v>
      </c>
      <c r="AG106" s="65">
        <f ca="1">IF($C$4=Lookups!$D$40,SUM(INDIRECT("'Yr1'!"&amp;ADDRESS(ROW(AG106),COLUMN(AG106))),INDIRECT("'Yr2'!"&amp;ADDRESS(ROW(AG106),COLUMN(AG106))),INDIRECT("'Yr3'!"&amp;ADDRESS(ROW(AG106),COLUMN(AG106)))),
IF(AG91=0,0,-PMT(INDEX(Lookups!$E$17:$G$17,MATCH($C$4,Lookups!$E$14:$G$14,0)),AG91,SUMIFS('EE Inputs'!$K$9:$K$32,'EE Inputs'!$C$9:$C$32,$G$6,'EE Inputs'!$D$9:$D$32,$C$4,'EE Inputs'!$E$9:$E$32,$B106),0,1)))</f>
        <v>0</v>
      </c>
      <c r="AH106" s="65"/>
      <c r="AI106" s="65">
        <f ca="1">NPV(Lookups!$E$17,G106:AG106)</f>
        <v>39849.654759401295</v>
      </c>
      <c r="AJ106" s="65"/>
      <c r="AM106" s="72">
        <f ca="1">IF($C$4=Lookups!$D$40,SUM(INDIRECT("'Yr1'!"&amp;ADDRESS(ROW(AM106),COLUMN(AM106))),INDIRECT("'Yr2'!"&amp;ADDRESS(ROW(AM106),COLUMN(AM106))),INDIRECT("'Yr3'!"&amp;ADDRESS(ROW(AM106),COLUMN(AM106)))),
IF(AM91=0,0,-PMT(INDEX(Lookups!$E$17:$G$17,MATCH($C$4,Lookups!$E$14:$G$14,0)),AM91,SUMIFS('EE Inputs'!$K$9:$K$32,'EE Inputs'!$C$9:$C$32,$AM$6,'EE Inputs'!$D$9:$D$32,$C$4,'EE Inputs'!$E$9:$E$32,$B106),0,1)))</f>
        <v>0</v>
      </c>
      <c r="AN106" s="72">
        <f ca="1">IF($C$4=Lookups!$D$40,SUM(INDIRECT("'Yr1'!"&amp;ADDRESS(ROW(AN106),COLUMN(AN106))),INDIRECT("'Yr2'!"&amp;ADDRESS(ROW(AN106),COLUMN(AN106))),INDIRECT("'Yr3'!"&amp;ADDRESS(ROW(AN106),COLUMN(AN106)))),
IF(AN91=0,0,-PMT(INDEX(Lookups!$E$17:$G$17,MATCH($C$4,Lookups!$E$14:$G$14,0)),AN91,SUMIFS('EE Inputs'!$K$9:$K$32,'EE Inputs'!$C$9:$C$32,$AM$6,'EE Inputs'!$D$9:$D$32,$C$4,'EE Inputs'!$E$9:$E$32,$B106),0,1)))</f>
        <v>0</v>
      </c>
      <c r="AO106" s="72">
        <f ca="1">IF($C$4=Lookups!$D$40,SUM(INDIRECT("'Yr1'!"&amp;ADDRESS(ROW(AO106),COLUMN(AO106))),INDIRECT("'Yr2'!"&amp;ADDRESS(ROW(AO106),COLUMN(AO106))),INDIRECT("'Yr3'!"&amp;ADDRESS(ROW(AO106),COLUMN(AO106)))),
IF(AO91=0,0,-PMT(INDEX(Lookups!$E$17:$G$17,MATCH($C$4,Lookups!$E$14:$G$14,0)),AO91,SUMIFS('EE Inputs'!$K$9:$K$32,'EE Inputs'!$C$9:$C$32,$AM$6,'EE Inputs'!$D$9:$D$32,$C$4,'EE Inputs'!$E$9:$E$32,$B106),0,1)))</f>
        <v>2705.2568024553152</v>
      </c>
      <c r="AP106" s="72">
        <f ca="1">IF($C$4=Lookups!$D$40,SUM(INDIRECT("'Yr1'!"&amp;ADDRESS(ROW(AP106),COLUMN(AP106))),INDIRECT("'Yr2'!"&amp;ADDRESS(ROW(AP106),COLUMN(AP106))),INDIRECT("'Yr3'!"&amp;ADDRESS(ROW(AP106),COLUMN(AP106)))),
IF(AP91=0,0,-PMT(INDEX(Lookups!$E$17:$G$17,MATCH($C$4,Lookups!$E$14:$G$14,0)),AP91,SUMIFS('EE Inputs'!$K$9:$K$32,'EE Inputs'!$C$9:$C$32,$AM$6,'EE Inputs'!$D$9:$D$32,$C$4,'EE Inputs'!$E$9:$E$32,$B106),0,1)))</f>
        <v>2705.2568024553152</v>
      </c>
      <c r="AQ106" s="72">
        <f ca="1">IF($C$4=Lookups!$D$40,SUM(INDIRECT("'Yr1'!"&amp;ADDRESS(ROW(AQ106),COLUMN(AQ106))),INDIRECT("'Yr2'!"&amp;ADDRESS(ROW(AQ106),COLUMN(AQ106))),INDIRECT("'Yr3'!"&amp;ADDRESS(ROW(AQ106),COLUMN(AQ106)))),
IF(AQ91=0,0,-PMT(INDEX(Lookups!$E$17:$G$17,MATCH($C$4,Lookups!$E$14:$G$14,0)),AQ91,SUMIFS('EE Inputs'!$K$9:$K$32,'EE Inputs'!$C$9:$C$32,$AM$6,'EE Inputs'!$D$9:$D$32,$C$4,'EE Inputs'!$E$9:$E$32,$B106),0,1)))</f>
        <v>2705.2568024553152</v>
      </c>
      <c r="AR106" s="72">
        <f ca="1">IF($C$4=Lookups!$D$40,SUM(INDIRECT("'Yr1'!"&amp;ADDRESS(ROW(AR106),COLUMN(AR106))),INDIRECT("'Yr2'!"&amp;ADDRESS(ROW(AR106),COLUMN(AR106))),INDIRECT("'Yr3'!"&amp;ADDRESS(ROW(AR106),COLUMN(AR106)))),
IF(AR91=0,0,-PMT(INDEX(Lookups!$E$17:$G$17,MATCH($C$4,Lookups!$E$14:$G$14,0)),AR91,SUMIFS('EE Inputs'!$K$9:$K$32,'EE Inputs'!$C$9:$C$32,$AM$6,'EE Inputs'!$D$9:$D$32,$C$4,'EE Inputs'!$E$9:$E$32,$B106),0,1)))</f>
        <v>2705.2568024553152</v>
      </c>
      <c r="AS106" s="72">
        <f ca="1">IF($C$4=Lookups!$D$40,SUM(INDIRECT("'Yr1'!"&amp;ADDRESS(ROW(AS106),COLUMN(AS106))),INDIRECT("'Yr2'!"&amp;ADDRESS(ROW(AS106),COLUMN(AS106))),INDIRECT("'Yr3'!"&amp;ADDRESS(ROW(AS106),COLUMN(AS106)))),
IF(AS91=0,0,-PMT(INDEX(Lookups!$E$17:$G$17,MATCH($C$4,Lookups!$E$14:$G$14,0)),AS91,SUMIFS('EE Inputs'!$K$9:$K$32,'EE Inputs'!$C$9:$C$32,$AM$6,'EE Inputs'!$D$9:$D$32,$C$4,'EE Inputs'!$E$9:$E$32,$B106),0,1)))</f>
        <v>2705.2568024553152</v>
      </c>
      <c r="AT106" s="72">
        <f ca="1">IF($C$4=Lookups!$D$40,SUM(INDIRECT("'Yr1'!"&amp;ADDRESS(ROW(AT106),COLUMN(AT106))),INDIRECT("'Yr2'!"&amp;ADDRESS(ROW(AT106),COLUMN(AT106))),INDIRECT("'Yr3'!"&amp;ADDRESS(ROW(AT106),COLUMN(AT106)))),
IF(AT91=0,0,-PMT(INDEX(Lookups!$E$17:$G$17,MATCH($C$4,Lookups!$E$14:$G$14,0)),AT91,SUMIFS('EE Inputs'!$K$9:$K$32,'EE Inputs'!$C$9:$C$32,$AM$6,'EE Inputs'!$D$9:$D$32,$C$4,'EE Inputs'!$E$9:$E$32,$B106),0,1)))</f>
        <v>2705.2568024553152</v>
      </c>
      <c r="AU106" s="72">
        <f ca="1">IF($C$4=Lookups!$D$40,SUM(INDIRECT("'Yr1'!"&amp;ADDRESS(ROW(AU106),COLUMN(AU106))),INDIRECT("'Yr2'!"&amp;ADDRESS(ROW(AU106),COLUMN(AU106))),INDIRECT("'Yr3'!"&amp;ADDRESS(ROW(AU106),COLUMN(AU106)))),
IF(AU91=0,0,-PMT(INDEX(Lookups!$E$17:$G$17,MATCH($C$4,Lookups!$E$14:$G$14,0)),AU91,SUMIFS('EE Inputs'!$K$9:$K$32,'EE Inputs'!$C$9:$C$32,$AM$6,'EE Inputs'!$D$9:$D$32,$C$4,'EE Inputs'!$E$9:$E$32,$B106),0,1)))</f>
        <v>2705.2568024553152</v>
      </c>
      <c r="AV106" s="72">
        <f ca="1">IF($C$4=Lookups!$D$40,SUM(INDIRECT("'Yr1'!"&amp;ADDRESS(ROW(AV106),COLUMN(AV106))),INDIRECT("'Yr2'!"&amp;ADDRESS(ROW(AV106),COLUMN(AV106))),INDIRECT("'Yr3'!"&amp;ADDRESS(ROW(AV106),COLUMN(AV106)))),
IF(AV91=0,0,-PMT(INDEX(Lookups!$E$17:$G$17,MATCH($C$4,Lookups!$E$14:$G$14,0)),AV91,SUMIFS('EE Inputs'!$K$9:$K$32,'EE Inputs'!$C$9:$C$32,$AM$6,'EE Inputs'!$D$9:$D$32,$C$4,'EE Inputs'!$E$9:$E$32,$B106),0,1)))</f>
        <v>2705.2568024553152</v>
      </c>
      <c r="AW106" s="72">
        <f ca="1">IF($C$4=Lookups!$D$40,SUM(INDIRECT("'Yr1'!"&amp;ADDRESS(ROW(AW106),COLUMN(AW106))),INDIRECT("'Yr2'!"&amp;ADDRESS(ROW(AW106),COLUMN(AW106))),INDIRECT("'Yr3'!"&amp;ADDRESS(ROW(AW106),COLUMN(AW106)))),
IF(AW91=0,0,-PMT(INDEX(Lookups!$E$17:$G$17,MATCH($C$4,Lookups!$E$14:$G$14,0)),AW91,SUMIFS('EE Inputs'!$K$9:$K$32,'EE Inputs'!$C$9:$C$32,$AM$6,'EE Inputs'!$D$9:$D$32,$C$4,'EE Inputs'!$E$9:$E$32,$B106),0,1)))</f>
        <v>2705.2568024553152</v>
      </c>
      <c r="AX106" s="72">
        <f ca="1">IF($C$4=Lookups!$D$40,SUM(INDIRECT("'Yr1'!"&amp;ADDRESS(ROW(AX106),COLUMN(AX106))),INDIRECT("'Yr2'!"&amp;ADDRESS(ROW(AX106),COLUMN(AX106))),INDIRECT("'Yr3'!"&amp;ADDRESS(ROW(AX106),COLUMN(AX106)))),
IF(AX91=0,0,-PMT(INDEX(Lookups!$E$17:$G$17,MATCH($C$4,Lookups!$E$14:$G$14,0)),AX91,SUMIFS('EE Inputs'!$K$9:$K$32,'EE Inputs'!$C$9:$C$32,$AM$6,'EE Inputs'!$D$9:$D$32,$C$4,'EE Inputs'!$E$9:$E$32,$B106),0,1)))</f>
        <v>2705.2568024553152</v>
      </c>
      <c r="AY106" s="72">
        <f ca="1">IF($C$4=Lookups!$D$40,SUM(INDIRECT("'Yr1'!"&amp;ADDRESS(ROW(AY106),COLUMN(AY106))),INDIRECT("'Yr2'!"&amp;ADDRESS(ROW(AY106),COLUMN(AY106))),INDIRECT("'Yr3'!"&amp;ADDRESS(ROW(AY106),COLUMN(AY106)))),
IF(AY91=0,0,-PMT(INDEX(Lookups!$E$17:$G$17,MATCH($C$4,Lookups!$E$14:$G$14,0)),AY91,SUMIFS('EE Inputs'!$K$9:$K$32,'EE Inputs'!$C$9:$C$32,$AM$6,'EE Inputs'!$D$9:$D$32,$C$4,'EE Inputs'!$E$9:$E$32,$B106),0,1)))</f>
        <v>2705.2568024553152</v>
      </c>
      <c r="AZ106" s="72">
        <f ca="1">IF($C$4=Lookups!$D$40,SUM(INDIRECT("'Yr1'!"&amp;ADDRESS(ROW(AZ106),COLUMN(AZ106))),INDIRECT("'Yr2'!"&amp;ADDRESS(ROW(AZ106),COLUMN(AZ106))),INDIRECT("'Yr3'!"&amp;ADDRESS(ROW(AZ106),COLUMN(AZ106)))),
IF(AZ91=0,0,-PMT(INDEX(Lookups!$E$17:$G$17,MATCH($C$4,Lookups!$E$14:$G$14,0)),AZ91,SUMIFS('EE Inputs'!$K$9:$K$32,'EE Inputs'!$C$9:$C$32,$AM$6,'EE Inputs'!$D$9:$D$32,$C$4,'EE Inputs'!$E$9:$E$32,$B106),0,1)))</f>
        <v>2705.2568024553152</v>
      </c>
      <c r="BA106" s="72">
        <f ca="1">IF($C$4=Lookups!$D$40,SUM(INDIRECT("'Yr1'!"&amp;ADDRESS(ROW(BA106),COLUMN(BA106))),INDIRECT("'Yr2'!"&amp;ADDRESS(ROW(BA106),COLUMN(BA106))),INDIRECT("'Yr3'!"&amp;ADDRESS(ROW(BA106),COLUMN(BA106)))),
IF(BA91=0,0,-PMT(INDEX(Lookups!$E$17:$G$17,MATCH($C$4,Lookups!$E$14:$G$14,0)),BA91,SUMIFS('EE Inputs'!$K$9:$K$32,'EE Inputs'!$C$9:$C$32,$AM$6,'EE Inputs'!$D$9:$D$32,$C$4,'EE Inputs'!$E$9:$E$32,$B106),0,1)))</f>
        <v>2705.2568024553152</v>
      </c>
      <c r="BB106" s="72">
        <f ca="1">IF($C$4=Lookups!$D$40,SUM(INDIRECT("'Yr1'!"&amp;ADDRESS(ROW(BB106),COLUMN(BB106))),INDIRECT("'Yr2'!"&amp;ADDRESS(ROW(BB106),COLUMN(BB106))),INDIRECT("'Yr3'!"&amp;ADDRESS(ROW(BB106),COLUMN(BB106)))),
IF(BB91=0,0,-PMT(INDEX(Lookups!$E$17:$G$17,MATCH($C$4,Lookups!$E$14:$G$14,0)),BB91,SUMIFS('EE Inputs'!$K$9:$K$32,'EE Inputs'!$C$9:$C$32,$AM$6,'EE Inputs'!$D$9:$D$32,$C$4,'EE Inputs'!$E$9:$E$32,$B106),0,1)))</f>
        <v>2705.2568024553152</v>
      </c>
      <c r="BC106" s="72">
        <f ca="1">IF($C$4=Lookups!$D$40,SUM(INDIRECT("'Yr1'!"&amp;ADDRESS(ROW(BC106),COLUMN(BC106))),INDIRECT("'Yr2'!"&amp;ADDRESS(ROW(BC106),COLUMN(BC106))),INDIRECT("'Yr3'!"&amp;ADDRESS(ROW(BC106),COLUMN(BC106)))),
IF(BC91=0,0,-PMT(INDEX(Lookups!$E$17:$G$17,MATCH($C$4,Lookups!$E$14:$G$14,0)),BC91,SUMIFS('EE Inputs'!$K$9:$K$32,'EE Inputs'!$C$9:$C$32,$AM$6,'EE Inputs'!$D$9:$D$32,$C$4,'EE Inputs'!$E$9:$E$32,$B106),0,1)))</f>
        <v>2705.2568024553152</v>
      </c>
      <c r="BD106" s="72">
        <f ca="1">IF($C$4=Lookups!$D$40,SUM(INDIRECT("'Yr1'!"&amp;ADDRESS(ROW(BD106),COLUMN(BD106))),INDIRECT("'Yr2'!"&amp;ADDRESS(ROW(BD106),COLUMN(BD106))),INDIRECT("'Yr3'!"&amp;ADDRESS(ROW(BD106),COLUMN(BD106)))),
IF(BD91=0,0,-PMT(INDEX(Lookups!$E$17:$G$17,MATCH($C$4,Lookups!$E$14:$G$14,0)),BD91,SUMIFS('EE Inputs'!$K$9:$K$32,'EE Inputs'!$C$9:$C$32,$AM$6,'EE Inputs'!$D$9:$D$32,$C$4,'EE Inputs'!$E$9:$E$32,$B106),0,1)))</f>
        <v>2705.2568024553152</v>
      </c>
      <c r="BE106" s="72">
        <f ca="1">IF($C$4=Lookups!$D$40,SUM(INDIRECT("'Yr1'!"&amp;ADDRESS(ROW(BE106),COLUMN(BE106))),INDIRECT("'Yr2'!"&amp;ADDRESS(ROW(BE106),COLUMN(BE106))),INDIRECT("'Yr3'!"&amp;ADDRESS(ROW(BE106),COLUMN(BE106)))),
IF(BE91=0,0,-PMT(INDEX(Lookups!$E$17:$G$17,MATCH($C$4,Lookups!$E$14:$G$14,0)),BE91,SUMIFS('EE Inputs'!$K$9:$K$32,'EE Inputs'!$C$9:$C$32,$AM$6,'EE Inputs'!$D$9:$D$32,$C$4,'EE Inputs'!$E$9:$E$32,$B106),0,1)))</f>
        <v>2705.2568024553152</v>
      </c>
      <c r="BF106" s="72">
        <f ca="1">IF($C$4=Lookups!$D$40,SUM(INDIRECT("'Yr1'!"&amp;ADDRESS(ROW(BF106),COLUMN(BF106))),INDIRECT("'Yr2'!"&amp;ADDRESS(ROW(BF106),COLUMN(BF106))),INDIRECT("'Yr3'!"&amp;ADDRESS(ROW(BF106),COLUMN(BF106)))),
IF(BF91=0,0,-PMT(INDEX(Lookups!$E$17:$G$17,MATCH($C$4,Lookups!$E$14:$G$14,0)),BF91,SUMIFS('EE Inputs'!$K$9:$K$32,'EE Inputs'!$C$9:$C$32,$AM$6,'EE Inputs'!$D$9:$D$32,$C$4,'EE Inputs'!$E$9:$E$32,$B106),0,1)))</f>
        <v>2705.2568024553152</v>
      </c>
      <c r="BG106" s="72">
        <f ca="1">IF($C$4=Lookups!$D$40,SUM(INDIRECT("'Yr1'!"&amp;ADDRESS(ROW(BG106),COLUMN(BG106))),INDIRECT("'Yr2'!"&amp;ADDRESS(ROW(BG106),COLUMN(BG106))),INDIRECT("'Yr3'!"&amp;ADDRESS(ROW(BG106),COLUMN(BG106)))),
IF(BG91=0,0,-PMT(INDEX(Lookups!$E$17:$G$17,MATCH($C$4,Lookups!$E$14:$G$14,0)),BG91,SUMIFS('EE Inputs'!$K$9:$K$32,'EE Inputs'!$C$9:$C$32,$AM$6,'EE Inputs'!$D$9:$D$32,$C$4,'EE Inputs'!$E$9:$E$32,$B106),0,1)))</f>
        <v>2705.2568024553152</v>
      </c>
      <c r="BH106" s="72">
        <f ca="1">IF($C$4=Lookups!$D$40,SUM(INDIRECT("'Yr1'!"&amp;ADDRESS(ROW(BH106),COLUMN(BH106))),INDIRECT("'Yr2'!"&amp;ADDRESS(ROW(BH106),COLUMN(BH106))),INDIRECT("'Yr3'!"&amp;ADDRESS(ROW(BH106),COLUMN(BH106)))),
IF(BH91=0,0,-PMT(INDEX(Lookups!$E$17:$G$17,MATCH($C$4,Lookups!$E$14:$G$14,0)),BH91,SUMIFS('EE Inputs'!$K$9:$K$32,'EE Inputs'!$C$9:$C$32,$AM$6,'EE Inputs'!$D$9:$D$32,$C$4,'EE Inputs'!$E$9:$E$32,$B106),0,1)))</f>
        <v>2705.2568024553152</v>
      </c>
      <c r="BI106" s="72">
        <f ca="1">IF($C$4=Lookups!$D$40,SUM(INDIRECT("'Yr1'!"&amp;ADDRESS(ROW(BI106),COLUMN(BI106))),INDIRECT("'Yr2'!"&amp;ADDRESS(ROW(BI106),COLUMN(BI106))),INDIRECT("'Yr3'!"&amp;ADDRESS(ROW(BI106),COLUMN(BI106)))),
IF(BI91=0,0,-PMT(INDEX(Lookups!$E$17:$G$17,MATCH($C$4,Lookups!$E$14:$G$14,0)),BI91,SUMIFS('EE Inputs'!$K$9:$K$32,'EE Inputs'!$C$9:$C$32,$AM$6,'EE Inputs'!$D$9:$D$32,$C$4,'EE Inputs'!$E$9:$E$32,$B106),0,1)))</f>
        <v>0</v>
      </c>
      <c r="BJ106" s="72">
        <f ca="1">IF($C$4=Lookups!$D$40,SUM(INDIRECT("'Yr1'!"&amp;ADDRESS(ROW(BJ106),COLUMN(BJ106))),INDIRECT("'Yr2'!"&amp;ADDRESS(ROW(BJ106),COLUMN(BJ106))),INDIRECT("'Yr3'!"&amp;ADDRESS(ROW(BJ106),COLUMN(BJ106)))),
IF(BJ91=0,0,-PMT(INDEX(Lookups!$E$17:$G$17,MATCH($C$4,Lookups!$E$14:$G$14,0)),BJ91,SUMIFS('EE Inputs'!$K$9:$K$32,'EE Inputs'!$C$9:$C$32,$AM$6,'EE Inputs'!$D$9:$D$32,$C$4,'EE Inputs'!$E$9:$E$32,$B106),0,1)))</f>
        <v>0</v>
      </c>
      <c r="BK106" s="72">
        <f ca="1">IF($C$4=Lookups!$D$40,SUM(INDIRECT("'Yr1'!"&amp;ADDRESS(ROW(BK106),COLUMN(BK106))),INDIRECT("'Yr2'!"&amp;ADDRESS(ROW(BK106),COLUMN(BK106))),INDIRECT("'Yr3'!"&amp;ADDRESS(ROW(BK106),COLUMN(BK106)))),
IF(BK91=0,0,-PMT(INDEX(Lookups!$E$17:$G$17,MATCH($C$4,Lookups!$E$14:$G$14,0)),BK91,SUMIFS('EE Inputs'!$K$9:$K$32,'EE Inputs'!$C$9:$C$32,$AM$6,'EE Inputs'!$D$9:$D$32,$C$4,'EE Inputs'!$E$9:$E$32,$B106),0,1)))</f>
        <v>0</v>
      </c>
      <c r="BL106" s="72">
        <f ca="1">IF($C$4=Lookups!$D$40,SUM(INDIRECT("'Yr1'!"&amp;ADDRESS(ROW(BL106),COLUMN(BL106))),INDIRECT("'Yr2'!"&amp;ADDRESS(ROW(BL106),COLUMN(BL106))),INDIRECT("'Yr3'!"&amp;ADDRESS(ROW(BL106),COLUMN(BL106)))),
IF(BL91=0,0,-PMT(INDEX(Lookups!$E$17:$G$17,MATCH($C$4,Lookups!$E$14:$G$14,0)),BL91,SUMIFS('EE Inputs'!$K$9:$K$32,'EE Inputs'!$C$9:$C$32,$AM$6,'EE Inputs'!$D$9:$D$32,$C$4,'EE Inputs'!$E$9:$E$32,$B106),0,1)))</f>
        <v>0</v>
      </c>
      <c r="BM106" s="72">
        <f ca="1">IF($C$4=Lookups!$D$40,SUM(INDIRECT("'Yr1'!"&amp;ADDRESS(ROW(BM106),COLUMN(BM106))),INDIRECT("'Yr2'!"&amp;ADDRESS(ROW(BM106),COLUMN(BM106))),INDIRECT("'Yr3'!"&amp;ADDRESS(ROW(BM106),COLUMN(BM106)))),
IF(BM91=0,0,-PMT(INDEX(Lookups!$E$17:$G$17,MATCH($C$4,Lookups!$E$14:$G$14,0)),BM91,SUMIFS('EE Inputs'!$K$9:$K$32,'EE Inputs'!$C$9:$C$32,$AM$6,'EE Inputs'!$D$9:$D$32,$C$4,'EE Inputs'!$E$9:$E$32,$B106),0,1)))</f>
        <v>0</v>
      </c>
      <c r="BN106" s="72"/>
      <c r="BO106" s="72">
        <f ca="1">NPV(Lookups!$E$17,AM106:BM106)</f>
        <v>45542.462582172899</v>
      </c>
      <c r="BP106" s="72"/>
      <c r="BS106" s="84" t="str">
        <f>"Avoided "&amp;E106&amp;" costs."</f>
        <v>Avoided Gas DRIPE costs.</v>
      </c>
      <c r="BT106" s="51" t="s">
        <v>17</v>
      </c>
    </row>
    <row r="107" spans="1:72" x14ac:dyDescent="0.25">
      <c r="B107" s="243" t="str">
        <f t="shared" ref="B107:C109" si="98">B106</f>
        <v>Low-Income</v>
      </c>
      <c r="C107" s="243" t="str">
        <f t="shared" si="98"/>
        <v>Revenue Requirements</v>
      </c>
      <c r="D107" s="114" t="s">
        <v>165</v>
      </c>
      <c r="E107" s="84"/>
      <c r="F107" s="84"/>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S107" s="84"/>
      <c r="BT107" s="51" t="s">
        <v>17</v>
      </c>
    </row>
    <row r="108" spans="1:72" x14ac:dyDescent="0.25">
      <c r="A108" s="476"/>
      <c r="B108" s="243" t="str">
        <f t="shared" si="98"/>
        <v>Low-Income</v>
      </c>
      <c r="C108" s="243" t="str">
        <f t="shared" si="98"/>
        <v>Revenue Requirements</v>
      </c>
      <c r="D108" s="244" t="str">
        <f>D107</f>
        <v>Increased Costs and Cost Shifting</v>
      </c>
      <c r="E108" s="84" t="s">
        <v>406</v>
      </c>
      <c r="F108" s="84" t="s">
        <v>32</v>
      </c>
      <c r="G108" s="64">
        <f ca="1">IF($C$4=Lookups!$D$40,SUM(INDIRECT("'Yr1'!"&amp;ADDRESS(ROW(G108),COLUMN(G108))),INDIRECT("'Yr2'!"&amp;ADDRESS(ROW(G108),COLUMN(G108))),INDIRECT("'Yr3'!"&amp;ADDRESS(ROW(G108),COLUMN(G108)))),
IF($C$4=G$7,G128*G96,0))</f>
        <v>0</v>
      </c>
      <c r="H108" s="64">
        <f ca="1">IF($C$4=Lookups!$D$40,SUM(INDIRECT("'Yr1'!"&amp;ADDRESS(ROW(H108),COLUMN(H108))),INDIRECT("'Yr2'!"&amp;ADDRESS(ROW(H108),COLUMN(H108))),INDIRECT("'Yr3'!"&amp;ADDRESS(ROW(H108),COLUMN(H108)))),
IF($C$4=H$7,H128*H96,0))</f>
        <v>0</v>
      </c>
      <c r="I108" s="64">
        <f ca="1">IF($C$4=Lookups!$D$40,SUM(INDIRECT("'Yr1'!"&amp;ADDRESS(ROW(I108),COLUMN(I108))),INDIRECT("'Yr2'!"&amp;ADDRESS(ROW(I108),COLUMN(I108))),INDIRECT("'Yr3'!"&amp;ADDRESS(ROW(I108),COLUMN(I108)))),
IF($C$4=I$7,I128*I96,0))</f>
        <v>315042.90314635326</v>
      </c>
      <c r="J108" s="64">
        <f ca="1">IF($C$4=Lookups!$D$40,SUM(INDIRECT("'Yr1'!"&amp;ADDRESS(ROW(J108),COLUMN(J108))),INDIRECT("'Yr2'!"&amp;ADDRESS(ROW(J108),COLUMN(J108))),INDIRECT("'Yr3'!"&amp;ADDRESS(ROW(J108),COLUMN(J108)))),
IF($C$4=J$7,J128*J96,0))</f>
        <v>0</v>
      </c>
      <c r="K108" s="64">
        <f ca="1">IF($C$4=Lookups!$D$40,SUM(INDIRECT("'Yr1'!"&amp;ADDRESS(ROW(K108),COLUMN(K108))),INDIRECT("'Yr2'!"&amp;ADDRESS(ROW(K108),COLUMN(K108))),INDIRECT("'Yr3'!"&amp;ADDRESS(ROW(K108),COLUMN(K108)))),
IF($C$4=K$7,K128*K96,0))</f>
        <v>0</v>
      </c>
      <c r="L108" s="64">
        <f ca="1">IF($C$4=Lookups!$D$40,SUM(INDIRECT("'Yr1'!"&amp;ADDRESS(ROW(L108),COLUMN(L108))),INDIRECT("'Yr2'!"&amp;ADDRESS(ROW(L108),COLUMN(L108))),INDIRECT("'Yr3'!"&amp;ADDRESS(ROW(L108),COLUMN(L108)))),
IF($C$4=L$7,L128*L96,0))</f>
        <v>0</v>
      </c>
      <c r="M108" s="64">
        <f ca="1">IF($C$4=Lookups!$D$40,SUM(INDIRECT("'Yr1'!"&amp;ADDRESS(ROW(M108),COLUMN(M108))),INDIRECT("'Yr2'!"&amp;ADDRESS(ROW(M108),COLUMN(M108))),INDIRECT("'Yr3'!"&amp;ADDRESS(ROW(M108),COLUMN(M108)))),
IF($C$4=M$7,M128*M96,0))</f>
        <v>0</v>
      </c>
      <c r="N108" s="64">
        <f ca="1">IF($C$4=Lookups!$D$40,SUM(INDIRECT("'Yr1'!"&amp;ADDRESS(ROW(N108),COLUMN(N108))),INDIRECT("'Yr2'!"&amp;ADDRESS(ROW(N108),COLUMN(N108))),INDIRECT("'Yr3'!"&amp;ADDRESS(ROW(N108),COLUMN(N108)))),
IF($C$4=N$7,N128*N96,0))</f>
        <v>0</v>
      </c>
      <c r="O108" s="64">
        <f ca="1">IF($C$4=Lookups!$D$40,SUM(INDIRECT("'Yr1'!"&amp;ADDRESS(ROW(O108),COLUMN(O108))),INDIRECT("'Yr2'!"&amp;ADDRESS(ROW(O108),COLUMN(O108))),INDIRECT("'Yr3'!"&amp;ADDRESS(ROW(O108),COLUMN(O108)))),
IF($C$4=O$7,O128*O96,0))</f>
        <v>0</v>
      </c>
      <c r="P108" s="64">
        <f ca="1">IF($C$4=Lookups!$D$40,SUM(INDIRECT("'Yr1'!"&amp;ADDRESS(ROW(P108),COLUMN(P108))),INDIRECT("'Yr2'!"&amp;ADDRESS(ROW(P108),COLUMN(P108))),INDIRECT("'Yr3'!"&amp;ADDRESS(ROW(P108),COLUMN(P108)))),
IF($C$4=P$7,P128*P96,0))</f>
        <v>0</v>
      </c>
      <c r="Q108" s="64">
        <f ca="1">IF($C$4=Lookups!$D$40,SUM(INDIRECT("'Yr1'!"&amp;ADDRESS(ROW(Q108),COLUMN(Q108))),INDIRECT("'Yr2'!"&amp;ADDRESS(ROW(Q108),COLUMN(Q108))),INDIRECT("'Yr3'!"&amp;ADDRESS(ROW(Q108),COLUMN(Q108)))),
IF($C$4=Q$7,Q128*Q96,0))</f>
        <v>0</v>
      </c>
      <c r="R108" s="64">
        <f ca="1">IF($C$4=Lookups!$D$40,SUM(INDIRECT("'Yr1'!"&amp;ADDRESS(ROW(R108),COLUMN(R108))),INDIRECT("'Yr2'!"&amp;ADDRESS(ROW(R108),COLUMN(R108))),INDIRECT("'Yr3'!"&amp;ADDRESS(ROW(R108),COLUMN(R108)))),
IF($C$4=R$7,R128*R96,0))</f>
        <v>0</v>
      </c>
      <c r="S108" s="64">
        <f ca="1">IF($C$4=Lookups!$D$40,SUM(INDIRECT("'Yr1'!"&amp;ADDRESS(ROW(S108),COLUMN(S108))),INDIRECT("'Yr2'!"&amp;ADDRESS(ROW(S108),COLUMN(S108))),INDIRECT("'Yr3'!"&amp;ADDRESS(ROW(S108),COLUMN(S108)))),
IF($C$4=S$7,S128*S96,0))</f>
        <v>0</v>
      </c>
      <c r="T108" s="64">
        <f ca="1">IF($C$4=Lookups!$D$40,SUM(INDIRECT("'Yr1'!"&amp;ADDRESS(ROW(T108),COLUMN(T108))),INDIRECT("'Yr2'!"&amp;ADDRESS(ROW(T108),COLUMN(T108))),INDIRECT("'Yr3'!"&amp;ADDRESS(ROW(T108),COLUMN(T108)))),
IF($C$4=T$7,T128*T96,0))</f>
        <v>0</v>
      </c>
      <c r="U108" s="64">
        <f ca="1">IF($C$4=Lookups!$D$40,SUM(INDIRECT("'Yr1'!"&amp;ADDRESS(ROW(U108),COLUMN(U108))),INDIRECT("'Yr2'!"&amp;ADDRESS(ROW(U108),COLUMN(U108))),INDIRECT("'Yr3'!"&amp;ADDRESS(ROW(U108),COLUMN(U108)))),
IF($C$4=U$7,U128*U96,0))</f>
        <v>0</v>
      </c>
      <c r="V108" s="64">
        <f ca="1">IF($C$4=Lookups!$D$40,SUM(INDIRECT("'Yr1'!"&amp;ADDRESS(ROW(V108),COLUMN(V108))),INDIRECT("'Yr2'!"&amp;ADDRESS(ROW(V108),COLUMN(V108))),INDIRECT("'Yr3'!"&amp;ADDRESS(ROW(V108),COLUMN(V108)))),
IF($C$4=V$7,V128*V96,0))</f>
        <v>0</v>
      </c>
      <c r="W108" s="64">
        <f ca="1">IF($C$4=Lookups!$D$40,SUM(INDIRECT("'Yr1'!"&amp;ADDRESS(ROW(W108),COLUMN(W108))),INDIRECT("'Yr2'!"&amp;ADDRESS(ROW(W108),COLUMN(W108))),INDIRECT("'Yr3'!"&amp;ADDRESS(ROW(W108),COLUMN(W108)))),
IF($C$4=W$7,W128*W96,0))</f>
        <v>0</v>
      </c>
      <c r="X108" s="64">
        <f ca="1">IF($C$4=Lookups!$D$40,SUM(INDIRECT("'Yr1'!"&amp;ADDRESS(ROW(X108),COLUMN(X108))),INDIRECT("'Yr2'!"&amp;ADDRESS(ROW(X108),COLUMN(X108))),INDIRECT("'Yr3'!"&amp;ADDRESS(ROW(X108),COLUMN(X108)))),
IF($C$4=X$7,X128*X96,0))</f>
        <v>0</v>
      </c>
      <c r="Y108" s="64">
        <f ca="1">IF($C$4=Lookups!$D$40,SUM(INDIRECT("'Yr1'!"&amp;ADDRESS(ROW(Y108),COLUMN(Y108))),INDIRECT("'Yr2'!"&amp;ADDRESS(ROW(Y108),COLUMN(Y108))),INDIRECT("'Yr3'!"&amp;ADDRESS(ROW(Y108),COLUMN(Y108)))),
IF($C$4=Y$7,Y128*Y96,0))</f>
        <v>0</v>
      </c>
      <c r="Z108" s="64">
        <f ca="1">IF($C$4=Lookups!$D$40,SUM(INDIRECT("'Yr1'!"&amp;ADDRESS(ROW(Z108),COLUMN(Z108))),INDIRECT("'Yr2'!"&amp;ADDRESS(ROW(Z108),COLUMN(Z108))),INDIRECT("'Yr3'!"&amp;ADDRESS(ROW(Z108),COLUMN(Z108)))),
IF($C$4=Z$7,Z128*Z96,0))</f>
        <v>0</v>
      </c>
      <c r="AA108" s="64">
        <f ca="1">IF($C$4=Lookups!$D$40,SUM(INDIRECT("'Yr1'!"&amp;ADDRESS(ROW(AA108),COLUMN(AA108))),INDIRECT("'Yr2'!"&amp;ADDRESS(ROW(AA108),COLUMN(AA108))),INDIRECT("'Yr3'!"&amp;ADDRESS(ROW(AA108),COLUMN(AA108)))),
IF($C$4=AA$7,AA128*AA96,0))</f>
        <v>0</v>
      </c>
      <c r="AB108" s="64">
        <f ca="1">IF($C$4=Lookups!$D$40,SUM(INDIRECT("'Yr1'!"&amp;ADDRESS(ROW(AB108),COLUMN(AB108))),INDIRECT("'Yr2'!"&amp;ADDRESS(ROW(AB108),COLUMN(AB108))),INDIRECT("'Yr3'!"&amp;ADDRESS(ROW(AB108),COLUMN(AB108)))),
IF($C$4=AB$7,AB128*AB96,0))</f>
        <v>0</v>
      </c>
      <c r="AC108" s="64">
        <f ca="1">IF($C$4=Lookups!$D$40,SUM(INDIRECT("'Yr1'!"&amp;ADDRESS(ROW(AC108),COLUMN(AC108))),INDIRECT("'Yr2'!"&amp;ADDRESS(ROW(AC108),COLUMN(AC108))),INDIRECT("'Yr3'!"&amp;ADDRESS(ROW(AC108),COLUMN(AC108)))),
IF($C$4=AC$7,AC128*AC96,0))</f>
        <v>0</v>
      </c>
      <c r="AD108" s="64">
        <f ca="1">IF($C$4=Lookups!$D$40,SUM(INDIRECT("'Yr1'!"&amp;ADDRESS(ROW(AD108),COLUMN(AD108))),INDIRECT("'Yr2'!"&amp;ADDRESS(ROW(AD108),COLUMN(AD108))),INDIRECT("'Yr3'!"&amp;ADDRESS(ROW(AD108),COLUMN(AD108)))),
IF($C$4=AD$7,AD128*AD96,0))</f>
        <v>0</v>
      </c>
      <c r="AE108" s="64">
        <f ca="1">IF($C$4=Lookups!$D$40,SUM(INDIRECT("'Yr1'!"&amp;ADDRESS(ROW(AE108),COLUMN(AE108))),INDIRECT("'Yr2'!"&amp;ADDRESS(ROW(AE108),COLUMN(AE108))),INDIRECT("'Yr3'!"&amp;ADDRESS(ROW(AE108),COLUMN(AE108)))),
IF($C$4=AE$7,AE128*AE96,0))</f>
        <v>0</v>
      </c>
      <c r="AF108" s="64">
        <f ca="1">IF($C$4=Lookups!$D$40,SUM(INDIRECT("'Yr1'!"&amp;ADDRESS(ROW(AF108),COLUMN(AF108))),INDIRECT("'Yr2'!"&amp;ADDRESS(ROW(AF108),COLUMN(AF108))),INDIRECT("'Yr3'!"&amp;ADDRESS(ROW(AF108),COLUMN(AF108)))),
IF($C$4=AF$7,AF128*AF96,0))</f>
        <v>0</v>
      </c>
      <c r="AG108" s="64">
        <f ca="1">IF($C$4=Lookups!$D$40,SUM(INDIRECT("'Yr1'!"&amp;ADDRESS(ROW(AG108),COLUMN(AG108))),INDIRECT("'Yr2'!"&amp;ADDRESS(ROW(AG108),COLUMN(AG108))),INDIRECT("'Yr3'!"&amp;ADDRESS(ROW(AG108),COLUMN(AG108)))),
IF($C$4=AG$7,AG128*AG96,0))</f>
        <v>0</v>
      </c>
      <c r="AH108" s="49"/>
      <c r="AI108" s="64">
        <f ca="1">NPV(Lookups!$E$17,G108:AG108)</f>
        <v>302044.4306314218</v>
      </c>
      <c r="AJ108" s="65"/>
      <c r="AM108" s="71">
        <f ca="1">IF($C$4=Lookups!$D$40,SUM(INDIRECT("'Yr1'!"&amp;ADDRESS(ROW(AM108),COLUMN(AM108))),INDIRECT("'Yr2'!"&amp;ADDRESS(ROW(AM108),COLUMN(AM108))),INDIRECT("'Yr3'!"&amp;ADDRESS(ROW(AM108),COLUMN(AM108)))),
IF($C$4=AM$7,AM128*AM96,0))</f>
        <v>0</v>
      </c>
      <c r="AN108" s="71">
        <f ca="1">IF($C$4=Lookups!$D$40,SUM(INDIRECT("'Yr1'!"&amp;ADDRESS(ROW(AN108),COLUMN(AN108))),INDIRECT("'Yr2'!"&amp;ADDRESS(ROW(AN108),COLUMN(AN108))),INDIRECT("'Yr3'!"&amp;ADDRESS(ROW(AN108),COLUMN(AN108)))),
IF($C$4=AN$7,AN128*AN96,0))</f>
        <v>0</v>
      </c>
      <c r="AO108" s="71">
        <f ca="1">IF($C$4=Lookups!$D$40,SUM(INDIRECT("'Yr1'!"&amp;ADDRESS(ROW(AO108),COLUMN(AO108))),INDIRECT("'Yr2'!"&amp;ADDRESS(ROW(AO108),COLUMN(AO108))),INDIRECT("'Yr3'!"&amp;ADDRESS(ROW(AO108),COLUMN(AO108)))),
IF($C$4=AO$7,AO128*AO96,0))</f>
        <v>376948.22626494308</v>
      </c>
      <c r="AP108" s="71">
        <f ca="1">IF($C$4=Lookups!$D$40,SUM(INDIRECT("'Yr1'!"&amp;ADDRESS(ROW(AP108),COLUMN(AP108))),INDIRECT("'Yr2'!"&amp;ADDRESS(ROW(AP108),COLUMN(AP108))),INDIRECT("'Yr3'!"&amp;ADDRESS(ROW(AP108),COLUMN(AP108)))),
IF($C$4=AP$7,AP128*AP96,0))</f>
        <v>0</v>
      </c>
      <c r="AQ108" s="71">
        <f ca="1">IF($C$4=Lookups!$D$40,SUM(INDIRECT("'Yr1'!"&amp;ADDRESS(ROW(AQ108),COLUMN(AQ108))),INDIRECT("'Yr2'!"&amp;ADDRESS(ROW(AQ108),COLUMN(AQ108))),INDIRECT("'Yr3'!"&amp;ADDRESS(ROW(AQ108),COLUMN(AQ108)))),
IF($C$4=AQ$7,AQ128*AQ96,0))</f>
        <v>0</v>
      </c>
      <c r="AR108" s="71">
        <f ca="1">IF($C$4=Lookups!$D$40,SUM(INDIRECT("'Yr1'!"&amp;ADDRESS(ROW(AR108),COLUMN(AR108))),INDIRECT("'Yr2'!"&amp;ADDRESS(ROW(AR108),COLUMN(AR108))),INDIRECT("'Yr3'!"&amp;ADDRESS(ROW(AR108),COLUMN(AR108)))),
IF($C$4=AR$7,AR128*AR96,0))</f>
        <v>0</v>
      </c>
      <c r="AS108" s="71">
        <f ca="1">IF($C$4=Lookups!$D$40,SUM(INDIRECT("'Yr1'!"&amp;ADDRESS(ROW(AS108),COLUMN(AS108))),INDIRECT("'Yr2'!"&amp;ADDRESS(ROW(AS108),COLUMN(AS108))),INDIRECT("'Yr3'!"&amp;ADDRESS(ROW(AS108),COLUMN(AS108)))),
IF($C$4=AS$7,AS128*AS96,0))</f>
        <v>0</v>
      </c>
      <c r="AT108" s="71">
        <f ca="1">IF($C$4=Lookups!$D$40,SUM(INDIRECT("'Yr1'!"&amp;ADDRESS(ROW(AT108),COLUMN(AT108))),INDIRECT("'Yr2'!"&amp;ADDRESS(ROW(AT108),COLUMN(AT108))),INDIRECT("'Yr3'!"&amp;ADDRESS(ROW(AT108),COLUMN(AT108)))),
IF($C$4=AT$7,AT128*AT96,0))</f>
        <v>0</v>
      </c>
      <c r="AU108" s="71">
        <f ca="1">IF($C$4=Lookups!$D$40,SUM(INDIRECT("'Yr1'!"&amp;ADDRESS(ROW(AU108),COLUMN(AU108))),INDIRECT("'Yr2'!"&amp;ADDRESS(ROW(AU108),COLUMN(AU108))),INDIRECT("'Yr3'!"&amp;ADDRESS(ROW(AU108),COLUMN(AU108)))),
IF($C$4=AU$7,AU128*AU96,0))</f>
        <v>0</v>
      </c>
      <c r="AV108" s="71">
        <f ca="1">IF($C$4=Lookups!$D$40,SUM(INDIRECT("'Yr1'!"&amp;ADDRESS(ROW(AV108),COLUMN(AV108))),INDIRECT("'Yr2'!"&amp;ADDRESS(ROW(AV108),COLUMN(AV108))),INDIRECT("'Yr3'!"&amp;ADDRESS(ROW(AV108),COLUMN(AV108)))),
IF($C$4=AV$7,AV128*AV96,0))</f>
        <v>0</v>
      </c>
      <c r="AW108" s="71">
        <f ca="1">IF($C$4=Lookups!$D$40,SUM(INDIRECT("'Yr1'!"&amp;ADDRESS(ROW(AW108),COLUMN(AW108))),INDIRECT("'Yr2'!"&amp;ADDRESS(ROW(AW108),COLUMN(AW108))),INDIRECT("'Yr3'!"&amp;ADDRESS(ROW(AW108),COLUMN(AW108)))),
IF($C$4=AW$7,AW128*AW96,0))</f>
        <v>0</v>
      </c>
      <c r="AX108" s="71">
        <f ca="1">IF($C$4=Lookups!$D$40,SUM(INDIRECT("'Yr1'!"&amp;ADDRESS(ROW(AX108),COLUMN(AX108))),INDIRECT("'Yr2'!"&amp;ADDRESS(ROW(AX108),COLUMN(AX108))),INDIRECT("'Yr3'!"&amp;ADDRESS(ROW(AX108),COLUMN(AX108)))),
IF($C$4=AX$7,AX128*AX96,0))</f>
        <v>0</v>
      </c>
      <c r="AY108" s="71">
        <f ca="1">IF($C$4=Lookups!$D$40,SUM(INDIRECT("'Yr1'!"&amp;ADDRESS(ROW(AY108),COLUMN(AY108))),INDIRECT("'Yr2'!"&amp;ADDRESS(ROW(AY108),COLUMN(AY108))),INDIRECT("'Yr3'!"&amp;ADDRESS(ROW(AY108),COLUMN(AY108)))),
IF($C$4=AY$7,AY128*AY96,0))</f>
        <v>0</v>
      </c>
      <c r="AZ108" s="71">
        <f ca="1">IF($C$4=Lookups!$D$40,SUM(INDIRECT("'Yr1'!"&amp;ADDRESS(ROW(AZ108),COLUMN(AZ108))),INDIRECT("'Yr2'!"&amp;ADDRESS(ROW(AZ108),COLUMN(AZ108))),INDIRECT("'Yr3'!"&amp;ADDRESS(ROW(AZ108),COLUMN(AZ108)))),
IF($C$4=AZ$7,AZ128*AZ96,0))</f>
        <v>0</v>
      </c>
      <c r="BA108" s="71">
        <f ca="1">IF($C$4=Lookups!$D$40,SUM(INDIRECT("'Yr1'!"&amp;ADDRESS(ROW(BA108),COLUMN(BA108))),INDIRECT("'Yr2'!"&amp;ADDRESS(ROW(BA108),COLUMN(BA108))),INDIRECT("'Yr3'!"&amp;ADDRESS(ROW(BA108),COLUMN(BA108)))),
IF($C$4=BA$7,BA128*BA96,0))</f>
        <v>0</v>
      </c>
      <c r="BB108" s="71">
        <f ca="1">IF($C$4=Lookups!$D$40,SUM(INDIRECT("'Yr1'!"&amp;ADDRESS(ROW(BB108),COLUMN(BB108))),INDIRECT("'Yr2'!"&amp;ADDRESS(ROW(BB108),COLUMN(BB108))),INDIRECT("'Yr3'!"&amp;ADDRESS(ROW(BB108),COLUMN(BB108)))),
IF($C$4=BB$7,BB128*BB96,0))</f>
        <v>0</v>
      </c>
      <c r="BC108" s="71">
        <f ca="1">IF($C$4=Lookups!$D$40,SUM(INDIRECT("'Yr1'!"&amp;ADDRESS(ROW(BC108),COLUMN(BC108))),INDIRECT("'Yr2'!"&amp;ADDRESS(ROW(BC108),COLUMN(BC108))),INDIRECT("'Yr3'!"&amp;ADDRESS(ROW(BC108),COLUMN(BC108)))),
IF($C$4=BC$7,BC128*BC96,0))</f>
        <v>0</v>
      </c>
      <c r="BD108" s="71">
        <f ca="1">IF($C$4=Lookups!$D$40,SUM(INDIRECT("'Yr1'!"&amp;ADDRESS(ROW(BD108),COLUMN(BD108))),INDIRECT("'Yr2'!"&amp;ADDRESS(ROW(BD108),COLUMN(BD108))),INDIRECT("'Yr3'!"&amp;ADDRESS(ROW(BD108),COLUMN(BD108)))),
IF($C$4=BD$7,BD128*BD96,0))</f>
        <v>0</v>
      </c>
      <c r="BE108" s="71">
        <f ca="1">IF($C$4=Lookups!$D$40,SUM(INDIRECT("'Yr1'!"&amp;ADDRESS(ROW(BE108),COLUMN(BE108))),INDIRECT("'Yr2'!"&amp;ADDRESS(ROW(BE108),COLUMN(BE108))),INDIRECT("'Yr3'!"&amp;ADDRESS(ROW(BE108),COLUMN(BE108)))),
IF($C$4=BE$7,BE128*BE96,0))</f>
        <v>0</v>
      </c>
      <c r="BF108" s="71">
        <f ca="1">IF($C$4=Lookups!$D$40,SUM(INDIRECT("'Yr1'!"&amp;ADDRESS(ROW(BF108),COLUMN(BF108))),INDIRECT("'Yr2'!"&amp;ADDRESS(ROW(BF108),COLUMN(BF108))),INDIRECT("'Yr3'!"&amp;ADDRESS(ROW(BF108),COLUMN(BF108)))),
IF($C$4=BF$7,BF128*BF96,0))</f>
        <v>0</v>
      </c>
      <c r="BG108" s="71">
        <f ca="1">IF($C$4=Lookups!$D$40,SUM(INDIRECT("'Yr1'!"&amp;ADDRESS(ROW(BG108),COLUMN(BG108))),INDIRECT("'Yr2'!"&amp;ADDRESS(ROW(BG108),COLUMN(BG108))),INDIRECT("'Yr3'!"&amp;ADDRESS(ROW(BG108),COLUMN(BG108)))),
IF($C$4=BG$7,BG128*BG96,0))</f>
        <v>0</v>
      </c>
      <c r="BH108" s="71">
        <f ca="1">IF($C$4=Lookups!$D$40,SUM(INDIRECT("'Yr1'!"&amp;ADDRESS(ROW(BH108),COLUMN(BH108))),INDIRECT("'Yr2'!"&amp;ADDRESS(ROW(BH108),COLUMN(BH108))),INDIRECT("'Yr3'!"&amp;ADDRESS(ROW(BH108),COLUMN(BH108)))),
IF($C$4=BH$7,BH128*BH96,0))</f>
        <v>0</v>
      </c>
      <c r="BI108" s="71">
        <f ca="1">IF($C$4=Lookups!$D$40,SUM(INDIRECT("'Yr1'!"&amp;ADDRESS(ROW(BI108),COLUMN(BI108))),INDIRECT("'Yr2'!"&amp;ADDRESS(ROW(BI108),COLUMN(BI108))),INDIRECT("'Yr3'!"&amp;ADDRESS(ROW(BI108),COLUMN(BI108)))),
IF($C$4=BI$7,BI128*BI96,0))</f>
        <v>0</v>
      </c>
      <c r="BJ108" s="71">
        <f ca="1">IF($C$4=Lookups!$D$40,SUM(INDIRECT("'Yr1'!"&amp;ADDRESS(ROW(BJ108),COLUMN(BJ108))),INDIRECT("'Yr2'!"&amp;ADDRESS(ROW(BJ108),COLUMN(BJ108))),INDIRECT("'Yr3'!"&amp;ADDRESS(ROW(BJ108),COLUMN(BJ108)))),
IF($C$4=BJ$7,BJ128*BJ96,0))</f>
        <v>0</v>
      </c>
      <c r="BK108" s="71">
        <f ca="1">IF($C$4=Lookups!$D$40,SUM(INDIRECT("'Yr1'!"&amp;ADDRESS(ROW(BK108),COLUMN(BK108))),INDIRECT("'Yr2'!"&amp;ADDRESS(ROW(BK108),COLUMN(BK108))),INDIRECT("'Yr3'!"&amp;ADDRESS(ROW(BK108),COLUMN(BK108)))),
IF($C$4=BK$7,BK128*BK96,0))</f>
        <v>0</v>
      </c>
      <c r="BL108" s="71">
        <f ca="1">IF($C$4=Lookups!$D$40,SUM(INDIRECT("'Yr1'!"&amp;ADDRESS(ROW(BL108),COLUMN(BL108))),INDIRECT("'Yr2'!"&amp;ADDRESS(ROW(BL108),COLUMN(BL108))),INDIRECT("'Yr3'!"&amp;ADDRESS(ROW(BL108),COLUMN(BL108)))),
IF($C$4=BL$7,BL128*BL96,0))</f>
        <v>0</v>
      </c>
      <c r="BM108" s="71">
        <f ca="1">IF($C$4=Lookups!$D$40,SUM(INDIRECT("'Yr1'!"&amp;ADDRESS(ROW(BM108),COLUMN(BM108))),INDIRECT("'Yr2'!"&amp;ADDRESS(ROW(BM108),COLUMN(BM108))),INDIRECT("'Yr3'!"&amp;ADDRESS(ROW(BM108),COLUMN(BM108)))),
IF($C$4=BM$7,BM128*BM96,0))</f>
        <v>0</v>
      </c>
      <c r="BN108" s="71"/>
      <c r="BO108" s="71">
        <f ca="1">NPV(Lookups!$E$17,AM108:BM108)</f>
        <v>361395.5789596939</v>
      </c>
      <c r="BP108" s="72"/>
      <c r="BS108" s="84" t="str">
        <f>E108&amp;" rate multiplied by After DSM sales."</f>
        <v>LDAC, EE Only rate multiplied by After DSM sales.</v>
      </c>
      <c r="BT108" s="51" t="s">
        <v>17</v>
      </c>
    </row>
    <row r="109" spans="1:72" x14ac:dyDescent="0.25">
      <c r="A109" s="476"/>
      <c r="B109" s="243" t="str">
        <f t="shared" si="98"/>
        <v>Low-Income</v>
      </c>
      <c r="C109" s="243" t="str">
        <f t="shared" si="98"/>
        <v>Revenue Requirements</v>
      </c>
      <c r="D109" s="244" t="str">
        <f>D108</f>
        <v>Increased Costs and Cost Shifting</v>
      </c>
      <c r="E109" s="86" t="s">
        <v>198</v>
      </c>
      <c r="F109" s="84" t="s">
        <v>32</v>
      </c>
      <c r="G109" s="64">
        <f ca="1">IF($C$4=Lookups!$D$40,SUM(INDIRECT("'Yr1'!"&amp;ADDRESS(ROW(G109),COLUMN(G109))),INDIRECT("'Yr2'!"&amp;ADDRESS(ROW(G109),COLUMN(G109))),INDIRECT("'Yr3'!"&amp;ADDRESS(ROW(G109),COLUMN(G109)))),
G129*G96)</f>
        <v>0</v>
      </c>
      <c r="H109" s="64">
        <f ca="1">IF($C$4=Lookups!$D$40,SUM(INDIRECT("'Yr1'!"&amp;ADDRESS(ROW(H109),COLUMN(H109))),INDIRECT("'Yr2'!"&amp;ADDRESS(ROW(H109),COLUMN(H109))),INDIRECT("'Yr3'!"&amp;ADDRESS(ROW(H109),COLUMN(H109)))),
H129*H96)</f>
        <v>0</v>
      </c>
      <c r="I109" s="64">
        <f ca="1">IF($C$4=Lookups!$D$40,SUM(INDIRECT("'Yr1'!"&amp;ADDRESS(ROW(I109),COLUMN(I109))),INDIRECT("'Yr2'!"&amp;ADDRESS(ROW(I109),COLUMN(I109))),INDIRECT("'Yr3'!"&amp;ADDRESS(ROW(I109),COLUMN(I109)))),
I129*I96)</f>
        <v>20756.651672081429</v>
      </c>
      <c r="J109" s="64">
        <f ca="1">IF($C$4=Lookups!$D$40,SUM(INDIRECT("'Yr1'!"&amp;ADDRESS(ROW(J109),COLUMN(J109))),INDIRECT("'Yr2'!"&amp;ADDRESS(ROW(J109),COLUMN(J109))),INDIRECT("'Yr3'!"&amp;ADDRESS(ROW(J109),COLUMN(J109)))),
J129*J96)</f>
        <v>20756.651672081429</v>
      </c>
      <c r="K109" s="64">
        <f ca="1">IF($C$4=Lookups!$D$40,SUM(INDIRECT("'Yr1'!"&amp;ADDRESS(ROW(K109),COLUMN(K109))),INDIRECT("'Yr2'!"&amp;ADDRESS(ROW(K109),COLUMN(K109))),INDIRECT("'Yr3'!"&amp;ADDRESS(ROW(K109),COLUMN(K109)))),
K129*K96)</f>
        <v>20756.651672081429</v>
      </c>
      <c r="L109" s="64">
        <f ca="1">IF($C$4=Lookups!$D$40,SUM(INDIRECT("'Yr1'!"&amp;ADDRESS(ROW(L109),COLUMN(L109))),INDIRECT("'Yr2'!"&amp;ADDRESS(ROW(L109),COLUMN(L109))),INDIRECT("'Yr3'!"&amp;ADDRESS(ROW(L109),COLUMN(L109)))),
L129*L96)</f>
        <v>20756.651672081429</v>
      </c>
      <c r="M109" s="64">
        <f ca="1">IF($C$4=Lookups!$D$40,SUM(INDIRECT("'Yr1'!"&amp;ADDRESS(ROW(M109),COLUMN(M109))),INDIRECT("'Yr2'!"&amp;ADDRESS(ROW(M109),COLUMN(M109))),INDIRECT("'Yr3'!"&amp;ADDRESS(ROW(M109),COLUMN(M109)))),
M129*M96)</f>
        <v>20756.651672081429</v>
      </c>
      <c r="N109" s="64">
        <f ca="1">IF($C$4=Lookups!$D$40,SUM(INDIRECT("'Yr1'!"&amp;ADDRESS(ROW(N109),COLUMN(N109))),INDIRECT("'Yr2'!"&amp;ADDRESS(ROW(N109),COLUMN(N109))),INDIRECT("'Yr3'!"&amp;ADDRESS(ROW(N109),COLUMN(N109)))),
N129*N96)</f>
        <v>20756.651672081429</v>
      </c>
      <c r="O109" s="64">
        <f ca="1">IF($C$4=Lookups!$D$40,SUM(INDIRECT("'Yr1'!"&amp;ADDRESS(ROW(O109),COLUMN(O109))),INDIRECT("'Yr2'!"&amp;ADDRESS(ROW(O109),COLUMN(O109))),INDIRECT("'Yr3'!"&amp;ADDRESS(ROW(O109),COLUMN(O109)))),
O129*O96)</f>
        <v>20756.651672081429</v>
      </c>
      <c r="P109" s="64">
        <f ca="1">IF($C$4=Lookups!$D$40,SUM(INDIRECT("'Yr1'!"&amp;ADDRESS(ROW(P109),COLUMN(P109))),INDIRECT("'Yr2'!"&amp;ADDRESS(ROW(P109),COLUMN(P109))),INDIRECT("'Yr3'!"&amp;ADDRESS(ROW(P109),COLUMN(P109)))),
P129*P96)</f>
        <v>20756.651672081429</v>
      </c>
      <c r="Q109" s="64">
        <f ca="1">IF($C$4=Lookups!$D$40,SUM(INDIRECT("'Yr1'!"&amp;ADDRESS(ROW(Q109),COLUMN(Q109))),INDIRECT("'Yr2'!"&amp;ADDRESS(ROW(Q109),COLUMN(Q109))),INDIRECT("'Yr3'!"&amp;ADDRESS(ROW(Q109),COLUMN(Q109)))),
Q129*Q96)</f>
        <v>20756.651672081429</v>
      </c>
      <c r="R109" s="64">
        <f ca="1">IF($C$4=Lookups!$D$40,SUM(INDIRECT("'Yr1'!"&amp;ADDRESS(ROW(R109),COLUMN(R109))),INDIRECT("'Yr2'!"&amp;ADDRESS(ROW(R109),COLUMN(R109))),INDIRECT("'Yr3'!"&amp;ADDRESS(ROW(R109),COLUMN(R109)))),
R129*R96)</f>
        <v>20756.651672081429</v>
      </c>
      <c r="S109" s="64">
        <f ca="1">IF($C$4=Lookups!$D$40,SUM(INDIRECT("'Yr1'!"&amp;ADDRESS(ROW(S109),COLUMN(S109))),INDIRECT("'Yr2'!"&amp;ADDRESS(ROW(S109),COLUMN(S109))),INDIRECT("'Yr3'!"&amp;ADDRESS(ROW(S109),COLUMN(S109)))),
S129*S96)</f>
        <v>20756.651672081429</v>
      </c>
      <c r="T109" s="64">
        <f ca="1">IF($C$4=Lookups!$D$40,SUM(INDIRECT("'Yr1'!"&amp;ADDRESS(ROW(T109),COLUMN(T109))),INDIRECT("'Yr2'!"&amp;ADDRESS(ROW(T109),COLUMN(T109))),INDIRECT("'Yr3'!"&amp;ADDRESS(ROW(T109),COLUMN(T109)))),
T129*T96)</f>
        <v>20756.651672081429</v>
      </c>
      <c r="U109" s="64">
        <f ca="1">IF($C$4=Lookups!$D$40,SUM(INDIRECT("'Yr1'!"&amp;ADDRESS(ROW(U109),COLUMN(U109))),INDIRECT("'Yr2'!"&amp;ADDRESS(ROW(U109),COLUMN(U109))),INDIRECT("'Yr3'!"&amp;ADDRESS(ROW(U109),COLUMN(U109)))),
U129*U96)</f>
        <v>20756.651672081429</v>
      </c>
      <c r="V109" s="64">
        <f ca="1">IF($C$4=Lookups!$D$40,SUM(INDIRECT("'Yr1'!"&amp;ADDRESS(ROW(V109),COLUMN(V109))),INDIRECT("'Yr2'!"&amp;ADDRESS(ROW(V109),COLUMN(V109))),INDIRECT("'Yr3'!"&amp;ADDRESS(ROW(V109),COLUMN(V109)))),
V129*V96)</f>
        <v>20756.651672081429</v>
      </c>
      <c r="W109" s="64">
        <f ca="1">IF($C$4=Lookups!$D$40,SUM(INDIRECT("'Yr1'!"&amp;ADDRESS(ROW(W109),COLUMN(W109))),INDIRECT("'Yr2'!"&amp;ADDRESS(ROW(W109),COLUMN(W109))),INDIRECT("'Yr3'!"&amp;ADDRESS(ROW(W109),COLUMN(W109)))),
W129*W96)</f>
        <v>20756.651672081429</v>
      </c>
      <c r="X109" s="64">
        <f ca="1">IF($C$4=Lookups!$D$40,SUM(INDIRECT("'Yr1'!"&amp;ADDRESS(ROW(X109),COLUMN(X109))),INDIRECT("'Yr2'!"&amp;ADDRESS(ROW(X109),COLUMN(X109))),INDIRECT("'Yr3'!"&amp;ADDRESS(ROW(X109),COLUMN(X109)))),
X129*X96)</f>
        <v>20756.651672081429</v>
      </c>
      <c r="Y109" s="64">
        <f ca="1">IF($C$4=Lookups!$D$40,SUM(INDIRECT("'Yr1'!"&amp;ADDRESS(ROW(Y109),COLUMN(Y109))),INDIRECT("'Yr2'!"&amp;ADDRESS(ROW(Y109),COLUMN(Y109))),INDIRECT("'Yr3'!"&amp;ADDRESS(ROW(Y109),COLUMN(Y109)))),
Y129*Y96)</f>
        <v>20756.651672081429</v>
      </c>
      <c r="Z109" s="64">
        <f ca="1">IF($C$4=Lookups!$D$40,SUM(INDIRECT("'Yr1'!"&amp;ADDRESS(ROW(Z109),COLUMN(Z109))),INDIRECT("'Yr2'!"&amp;ADDRESS(ROW(Z109),COLUMN(Z109))),INDIRECT("'Yr3'!"&amp;ADDRESS(ROW(Z109),COLUMN(Z109)))),
Z129*Z96)</f>
        <v>20756.651672081429</v>
      </c>
      <c r="AA109" s="64">
        <f ca="1">IF($C$4=Lookups!$D$40,SUM(INDIRECT("'Yr1'!"&amp;ADDRESS(ROW(AA109),COLUMN(AA109))),INDIRECT("'Yr2'!"&amp;ADDRESS(ROW(AA109),COLUMN(AA109))),INDIRECT("'Yr3'!"&amp;ADDRESS(ROW(AA109),COLUMN(AA109)))),
AA129*AA96)</f>
        <v>20756.651672081429</v>
      </c>
      <c r="AB109" s="64">
        <f ca="1">IF($C$4=Lookups!$D$40,SUM(INDIRECT("'Yr1'!"&amp;ADDRESS(ROW(AB109),COLUMN(AB109))),INDIRECT("'Yr2'!"&amp;ADDRESS(ROW(AB109),COLUMN(AB109))),INDIRECT("'Yr3'!"&amp;ADDRESS(ROW(AB109),COLUMN(AB109)))),
AB129*AB96)</f>
        <v>20756.651672081429</v>
      </c>
      <c r="AC109" s="64">
        <f ca="1">IF($C$4=Lookups!$D$40,SUM(INDIRECT("'Yr1'!"&amp;ADDRESS(ROW(AC109),COLUMN(AC109))),INDIRECT("'Yr2'!"&amp;ADDRESS(ROW(AC109),COLUMN(AC109))),INDIRECT("'Yr3'!"&amp;ADDRESS(ROW(AC109),COLUMN(AC109)))),
AC129*AC96)</f>
        <v>0</v>
      </c>
      <c r="AD109" s="64">
        <f ca="1">IF($C$4=Lookups!$D$40,SUM(INDIRECT("'Yr1'!"&amp;ADDRESS(ROW(AD109),COLUMN(AD109))),INDIRECT("'Yr2'!"&amp;ADDRESS(ROW(AD109),COLUMN(AD109))),INDIRECT("'Yr3'!"&amp;ADDRESS(ROW(AD109),COLUMN(AD109)))),
AD129*AD96)</f>
        <v>0</v>
      </c>
      <c r="AE109" s="64">
        <f ca="1">IF($C$4=Lookups!$D$40,SUM(INDIRECT("'Yr1'!"&amp;ADDRESS(ROW(AE109),COLUMN(AE109))),INDIRECT("'Yr2'!"&amp;ADDRESS(ROW(AE109),COLUMN(AE109))),INDIRECT("'Yr3'!"&amp;ADDRESS(ROW(AE109),COLUMN(AE109)))),
AE129*AE96)</f>
        <v>0</v>
      </c>
      <c r="AF109" s="64">
        <f ca="1">IF($C$4=Lookups!$D$40,SUM(INDIRECT("'Yr1'!"&amp;ADDRESS(ROW(AF109),COLUMN(AF109))),INDIRECT("'Yr2'!"&amp;ADDRESS(ROW(AF109),COLUMN(AF109))),INDIRECT("'Yr3'!"&amp;ADDRESS(ROW(AF109),COLUMN(AF109)))),
AF129*AF96)</f>
        <v>0</v>
      </c>
      <c r="AG109" s="64">
        <f ca="1">IF($C$4=Lookups!$D$40,SUM(INDIRECT("'Yr1'!"&amp;ADDRESS(ROW(AG109),COLUMN(AG109))),INDIRECT("'Yr2'!"&amp;ADDRESS(ROW(AG109),COLUMN(AG109))),INDIRECT("'Yr3'!"&amp;ADDRESS(ROW(AG109),COLUMN(AG109)))),
AG129*AG96)</f>
        <v>0</v>
      </c>
      <c r="AH109" s="49"/>
      <c r="AI109" s="64">
        <f ca="1">NPV(Lookups!$E$17,G109:AG109)</f>
        <v>349434.12072709482</v>
      </c>
      <c r="AJ109" s="65"/>
      <c r="AM109" s="71">
        <f ca="1">IF($C$4=Lookups!$D$40,SUM(INDIRECT("'Yr1'!"&amp;ADDRESS(ROW(AM109),COLUMN(AM109))),INDIRECT("'Yr2'!"&amp;ADDRESS(ROW(AM109),COLUMN(AM109))),INDIRECT("'Yr3'!"&amp;ADDRESS(ROW(AM109),COLUMN(AM109)))),
AM129*AM96)</f>
        <v>0</v>
      </c>
      <c r="AN109" s="71">
        <f ca="1">IF($C$4=Lookups!$D$40,SUM(INDIRECT("'Yr1'!"&amp;ADDRESS(ROW(AN109),COLUMN(AN109))),INDIRECT("'Yr2'!"&amp;ADDRESS(ROW(AN109),COLUMN(AN109))),INDIRECT("'Yr3'!"&amp;ADDRESS(ROW(AN109),COLUMN(AN109)))),
AN129*AN96)</f>
        <v>0</v>
      </c>
      <c r="AO109" s="71">
        <f ca="1">IF($C$4=Lookups!$D$40,SUM(INDIRECT("'Yr1'!"&amp;ADDRESS(ROW(AO109),COLUMN(AO109))),INDIRECT("'Yr2'!"&amp;ADDRESS(ROW(AO109),COLUMN(AO109))),INDIRECT("'Yr3'!"&amp;ADDRESS(ROW(AO109),COLUMN(AO109)))),
AO129*AO96)</f>
        <v>23707.399870404388</v>
      </c>
      <c r="AP109" s="71">
        <f ca="1">IF($C$4=Lookups!$D$40,SUM(INDIRECT("'Yr1'!"&amp;ADDRESS(ROW(AP109),COLUMN(AP109))),INDIRECT("'Yr2'!"&amp;ADDRESS(ROW(AP109),COLUMN(AP109))),INDIRECT("'Yr3'!"&amp;ADDRESS(ROW(AP109),COLUMN(AP109)))),
AP129*AP96)</f>
        <v>23707.399870404388</v>
      </c>
      <c r="AQ109" s="71">
        <f ca="1">IF($C$4=Lookups!$D$40,SUM(INDIRECT("'Yr1'!"&amp;ADDRESS(ROW(AQ109),COLUMN(AQ109))),INDIRECT("'Yr2'!"&amp;ADDRESS(ROW(AQ109),COLUMN(AQ109))),INDIRECT("'Yr3'!"&amp;ADDRESS(ROW(AQ109),COLUMN(AQ109)))),
AQ129*AQ96)</f>
        <v>23707.399870404388</v>
      </c>
      <c r="AR109" s="71">
        <f ca="1">IF($C$4=Lookups!$D$40,SUM(INDIRECT("'Yr1'!"&amp;ADDRESS(ROW(AR109),COLUMN(AR109))),INDIRECT("'Yr2'!"&amp;ADDRESS(ROW(AR109),COLUMN(AR109))),INDIRECT("'Yr3'!"&amp;ADDRESS(ROW(AR109),COLUMN(AR109)))),
AR129*AR96)</f>
        <v>23707.399870404388</v>
      </c>
      <c r="AS109" s="71">
        <f ca="1">IF($C$4=Lookups!$D$40,SUM(INDIRECT("'Yr1'!"&amp;ADDRESS(ROW(AS109),COLUMN(AS109))),INDIRECT("'Yr2'!"&amp;ADDRESS(ROW(AS109),COLUMN(AS109))),INDIRECT("'Yr3'!"&amp;ADDRESS(ROW(AS109),COLUMN(AS109)))),
AS129*AS96)</f>
        <v>23707.399870404388</v>
      </c>
      <c r="AT109" s="71">
        <f ca="1">IF($C$4=Lookups!$D$40,SUM(INDIRECT("'Yr1'!"&amp;ADDRESS(ROW(AT109),COLUMN(AT109))),INDIRECT("'Yr2'!"&amp;ADDRESS(ROW(AT109),COLUMN(AT109))),INDIRECT("'Yr3'!"&amp;ADDRESS(ROW(AT109),COLUMN(AT109)))),
AT129*AT96)</f>
        <v>23707.399870404388</v>
      </c>
      <c r="AU109" s="71">
        <f ca="1">IF($C$4=Lookups!$D$40,SUM(INDIRECT("'Yr1'!"&amp;ADDRESS(ROW(AU109),COLUMN(AU109))),INDIRECT("'Yr2'!"&amp;ADDRESS(ROW(AU109),COLUMN(AU109))),INDIRECT("'Yr3'!"&amp;ADDRESS(ROW(AU109),COLUMN(AU109)))),
AU129*AU96)</f>
        <v>23707.399870404388</v>
      </c>
      <c r="AV109" s="71">
        <f ca="1">IF($C$4=Lookups!$D$40,SUM(INDIRECT("'Yr1'!"&amp;ADDRESS(ROW(AV109),COLUMN(AV109))),INDIRECT("'Yr2'!"&amp;ADDRESS(ROW(AV109),COLUMN(AV109))),INDIRECT("'Yr3'!"&amp;ADDRESS(ROW(AV109),COLUMN(AV109)))),
AV129*AV96)</f>
        <v>23707.399870404388</v>
      </c>
      <c r="AW109" s="71">
        <f ca="1">IF($C$4=Lookups!$D$40,SUM(INDIRECT("'Yr1'!"&amp;ADDRESS(ROW(AW109),COLUMN(AW109))),INDIRECT("'Yr2'!"&amp;ADDRESS(ROW(AW109),COLUMN(AW109))),INDIRECT("'Yr3'!"&amp;ADDRESS(ROW(AW109),COLUMN(AW109)))),
AW129*AW96)</f>
        <v>23707.399870404388</v>
      </c>
      <c r="AX109" s="71">
        <f ca="1">IF($C$4=Lookups!$D$40,SUM(INDIRECT("'Yr1'!"&amp;ADDRESS(ROW(AX109),COLUMN(AX109))),INDIRECT("'Yr2'!"&amp;ADDRESS(ROW(AX109),COLUMN(AX109))),INDIRECT("'Yr3'!"&amp;ADDRESS(ROW(AX109),COLUMN(AX109)))),
AX129*AX96)</f>
        <v>23707.399870404388</v>
      </c>
      <c r="AY109" s="71">
        <f ca="1">IF($C$4=Lookups!$D$40,SUM(INDIRECT("'Yr1'!"&amp;ADDRESS(ROW(AY109),COLUMN(AY109))),INDIRECT("'Yr2'!"&amp;ADDRESS(ROW(AY109),COLUMN(AY109))),INDIRECT("'Yr3'!"&amp;ADDRESS(ROW(AY109),COLUMN(AY109)))),
AY129*AY96)</f>
        <v>23707.399870404388</v>
      </c>
      <c r="AZ109" s="71">
        <f ca="1">IF($C$4=Lookups!$D$40,SUM(INDIRECT("'Yr1'!"&amp;ADDRESS(ROW(AZ109),COLUMN(AZ109))),INDIRECT("'Yr2'!"&amp;ADDRESS(ROW(AZ109),COLUMN(AZ109))),INDIRECT("'Yr3'!"&amp;ADDRESS(ROW(AZ109),COLUMN(AZ109)))),
AZ129*AZ96)</f>
        <v>23707.399870404388</v>
      </c>
      <c r="BA109" s="71">
        <f ca="1">IF($C$4=Lookups!$D$40,SUM(INDIRECT("'Yr1'!"&amp;ADDRESS(ROW(BA109),COLUMN(BA109))),INDIRECT("'Yr2'!"&amp;ADDRESS(ROW(BA109),COLUMN(BA109))),INDIRECT("'Yr3'!"&amp;ADDRESS(ROW(BA109),COLUMN(BA109)))),
BA129*BA96)</f>
        <v>23707.399870404388</v>
      </c>
      <c r="BB109" s="71">
        <f ca="1">IF($C$4=Lookups!$D$40,SUM(INDIRECT("'Yr1'!"&amp;ADDRESS(ROW(BB109),COLUMN(BB109))),INDIRECT("'Yr2'!"&amp;ADDRESS(ROW(BB109),COLUMN(BB109))),INDIRECT("'Yr3'!"&amp;ADDRESS(ROW(BB109),COLUMN(BB109)))),
BB129*BB96)</f>
        <v>23707.399870404388</v>
      </c>
      <c r="BC109" s="71">
        <f ca="1">IF($C$4=Lookups!$D$40,SUM(INDIRECT("'Yr1'!"&amp;ADDRESS(ROW(BC109),COLUMN(BC109))),INDIRECT("'Yr2'!"&amp;ADDRESS(ROW(BC109),COLUMN(BC109))),INDIRECT("'Yr3'!"&amp;ADDRESS(ROW(BC109),COLUMN(BC109)))),
BC129*BC96)</f>
        <v>23707.399870404388</v>
      </c>
      <c r="BD109" s="71">
        <f ca="1">IF($C$4=Lookups!$D$40,SUM(INDIRECT("'Yr1'!"&amp;ADDRESS(ROW(BD109),COLUMN(BD109))),INDIRECT("'Yr2'!"&amp;ADDRESS(ROW(BD109),COLUMN(BD109))),INDIRECT("'Yr3'!"&amp;ADDRESS(ROW(BD109),COLUMN(BD109)))),
BD129*BD96)</f>
        <v>23707.399870404388</v>
      </c>
      <c r="BE109" s="71">
        <f ca="1">IF($C$4=Lookups!$D$40,SUM(INDIRECT("'Yr1'!"&amp;ADDRESS(ROW(BE109),COLUMN(BE109))),INDIRECT("'Yr2'!"&amp;ADDRESS(ROW(BE109),COLUMN(BE109))),INDIRECT("'Yr3'!"&amp;ADDRESS(ROW(BE109),COLUMN(BE109)))),
BE129*BE96)</f>
        <v>23707.399870404388</v>
      </c>
      <c r="BF109" s="71">
        <f ca="1">IF($C$4=Lookups!$D$40,SUM(INDIRECT("'Yr1'!"&amp;ADDRESS(ROW(BF109),COLUMN(BF109))),INDIRECT("'Yr2'!"&amp;ADDRESS(ROW(BF109),COLUMN(BF109))),INDIRECT("'Yr3'!"&amp;ADDRESS(ROW(BF109),COLUMN(BF109)))),
BF129*BF96)</f>
        <v>23707.399870404388</v>
      </c>
      <c r="BG109" s="71">
        <f ca="1">IF($C$4=Lookups!$D$40,SUM(INDIRECT("'Yr1'!"&amp;ADDRESS(ROW(BG109),COLUMN(BG109))),INDIRECT("'Yr2'!"&amp;ADDRESS(ROW(BG109),COLUMN(BG109))),INDIRECT("'Yr3'!"&amp;ADDRESS(ROW(BG109),COLUMN(BG109)))),
BG129*BG96)</f>
        <v>23707.399870404388</v>
      </c>
      <c r="BH109" s="71">
        <f ca="1">IF($C$4=Lookups!$D$40,SUM(INDIRECT("'Yr1'!"&amp;ADDRESS(ROW(BH109),COLUMN(BH109))),INDIRECT("'Yr2'!"&amp;ADDRESS(ROW(BH109),COLUMN(BH109))),INDIRECT("'Yr3'!"&amp;ADDRESS(ROW(BH109),COLUMN(BH109)))),
BH129*BH96)</f>
        <v>23707.399870404388</v>
      </c>
      <c r="BI109" s="71">
        <f ca="1">IF($C$4=Lookups!$D$40,SUM(INDIRECT("'Yr1'!"&amp;ADDRESS(ROW(BI109),COLUMN(BI109))),INDIRECT("'Yr2'!"&amp;ADDRESS(ROW(BI109),COLUMN(BI109))),INDIRECT("'Yr3'!"&amp;ADDRESS(ROW(BI109),COLUMN(BI109)))),
BI129*BI96)</f>
        <v>0</v>
      </c>
      <c r="BJ109" s="71">
        <f ca="1">IF($C$4=Lookups!$D$40,SUM(INDIRECT("'Yr1'!"&amp;ADDRESS(ROW(BJ109),COLUMN(BJ109))),INDIRECT("'Yr2'!"&amp;ADDRESS(ROW(BJ109),COLUMN(BJ109))),INDIRECT("'Yr3'!"&amp;ADDRESS(ROW(BJ109),COLUMN(BJ109)))),
BJ129*BJ96)</f>
        <v>0</v>
      </c>
      <c r="BK109" s="71">
        <f ca="1">IF($C$4=Lookups!$D$40,SUM(INDIRECT("'Yr1'!"&amp;ADDRESS(ROW(BK109),COLUMN(BK109))),INDIRECT("'Yr2'!"&amp;ADDRESS(ROW(BK109),COLUMN(BK109))),INDIRECT("'Yr3'!"&amp;ADDRESS(ROW(BK109),COLUMN(BK109)))),
BK129*BK96)</f>
        <v>0</v>
      </c>
      <c r="BL109" s="71">
        <f ca="1">IF($C$4=Lookups!$D$40,SUM(INDIRECT("'Yr1'!"&amp;ADDRESS(ROW(BL109),COLUMN(BL109))),INDIRECT("'Yr2'!"&amp;ADDRESS(ROW(BL109),COLUMN(BL109))),INDIRECT("'Yr3'!"&amp;ADDRESS(ROW(BL109),COLUMN(BL109)))),
BL129*BL96)</f>
        <v>0</v>
      </c>
      <c r="BM109" s="71">
        <f ca="1">IF($C$4=Lookups!$D$40,SUM(INDIRECT("'Yr1'!"&amp;ADDRESS(ROW(BM109),COLUMN(BM109))),INDIRECT("'Yr2'!"&amp;ADDRESS(ROW(BM109),COLUMN(BM109))),INDIRECT("'Yr3'!"&amp;ADDRESS(ROW(BM109),COLUMN(BM109)))),
BM129*BM96)</f>
        <v>0</v>
      </c>
      <c r="BN109" s="71"/>
      <c r="BO109" s="71">
        <f ca="1">NPV(Lookups!$E$17,AM109:BM109)</f>
        <v>399109.38234720018</v>
      </c>
      <c r="BP109" s="72"/>
      <c r="BS109" s="84" t="str">
        <f>E109&amp;" rate multiplied by After DSM sales."</f>
        <v>Distribution Lost Revenue rate multiplied by After DSM sales.</v>
      </c>
      <c r="BT109" s="51" t="s">
        <v>17</v>
      </c>
    </row>
    <row r="110" spans="1:72" x14ac:dyDescent="0.25">
      <c r="B110" s="243" t="str">
        <f>B108</f>
        <v>Low-Income</v>
      </c>
      <c r="C110" s="243" t="str">
        <f>C108</f>
        <v>Revenue Requirements</v>
      </c>
      <c r="D110" s="114" t="s">
        <v>125</v>
      </c>
      <c r="E110" s="84"/>
      <c r="F110" s="84"/>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S110" s="84"/>
      <c r="BT110" s="51" t="s">
        <v>17</v>
      </c>
    </row>
    <row r="111" spans="1:72" x14ac:dyDescent="0.25">
      <c r="A111" s="1"/>
      <c r="B111" s="243" t="str">
        <f t="shared" ref="B111:C112" si="99">B110</f>
        <v>Low-Income</v>
      </c>
      <c r="C111" s="243" t="str">
        <f t="shared" si="99"/>
        <v>Revenue Requirements</v>
      </c>
      <c r="D111" s="244" t="str">
        <f>D110</f>
        <v>Revenue Requirement after DSM Scenario</v>
      </c>
      <c r="E111" s="84" t="s">
        <v>26</v>
      </c>
      <c r="F111" s="84" t="s">
        <v>32</v>
      </c>
      <c r="G111" s="64">
        <f ca="1">G100-G105</f>
        <v>0</v>
      </c>
      <c r="H111" s="64">
        <f t="shared" ref="H111:AG111" ca="1" si="100">H100-H105</f>
        <v>0</v>
      </c>
      <c r="I111" s="64">
        <f t="shared" ca="1" si="100"/>
        <v>1036849.3054561538</v>
      </c>
      <c r="J111" s="64">
        <f t="shared" ca="1" si="100"/>
        <v>1036849.3054561538</v>
      </c>
      <c r="K111" s="64">
        <f t="shared" ca="1" si="100"/>
        <v>1036849.3054561538</v>
      </c>
      <c r="L111" s="64">
        <f t="shared" ca="1" si="100"/>
        <v>1036849.3054561538</v>
      </c>
      <c r="M111" s="64">
        <f t="shared" ca="1" si="100"/>
        <v>1036849.3054561538</v>
      </c>
      <c r="N111" s="64">
        <f t="shared" ca="1" si="100"/>
        <v>1036849.3054561538</v>
      </c>
      <c r="O111" s="64">
        <f t="shared" ca="1" si="100"/>
        <v>1036849.3054561538</v>
      </c>
      <c r="P111" s="64">
        <f t="shared" ca="1" si="100"/>
        <v>1036849.3054561538</v>
      </c>
      <c r="Q111" s="64">
        <f t="shared" ca="1" si="100"/>
        <v>1036849.3054561538</v>
      </c>
      <c r="R111" s="64">
        <f t="shared" ca="1" si="100"/>
        <v>1036849.3054561538</v>
      </c>
      <c r="S111" s="64">
        <f t="shared" ca="1" si="100"/>
        <v>1036849.3054561538</v>
      </c>
      <c r="T111" s="64">
        <f t="shared" ca="1" si="100"/>
        <v>1036849.3054561538</v>
      </c>
      <c r="U111" s="64">
        <f t="shared" ca="1" si="100"/>
        <v>1036849.3054561538</v>
      </c>
      <c r="V111" s="64">
        <f t="shared" ca="1" si="100"/>
        <v>1036849.3054561538</v>
      </c>
      <c r="W111" s="64">
        <f t="shared" ca="1" si="100"/>
        <v>1036849.3054561538</v>
      </c>
      <c r="X111" s="64">
        <f t="shared" ca="1" si="100"/>
        <v>1036849.3054561538</v>
      </c>
      <c r="Y111" s="64">
        <f t="shared" ca="1" si="100"/>
        <v>1036849.3054561538</v>
      </c>
      <c r="Z111" s="64">
        <f t="shared" ca="1" si="100"/>
        <v>1036849.3054561538</v>
      </c>
      <c r="AA111" s="64">
        <f t="shared" ca="1" si="100"/>
        <v>1036849.3054561538</v>
      </c>
      <c r="AB111" s="64">
        <f t="shared" ca="1" si="100"/>
        <v>1036849.3054561538</v>
      </c>
      <c r="AC111" s="64">
        <f t="shared" ca="1" si="100"/>
        <v>1041281.9767259974</v>
      </c>
      <c r="AD111" s="64">
        <f t="shared" ca="1" si="100"/>
        <v>1041281.9767259974</v>
      </c>
      <c r="AE111" s="64">
        <f t="shared" ca="1" si="100"/>
        <v>1041281.9767259974</v>
      </c>
      <c r="AF111" s="64">
        <f t="shared" ca="1" si="100"/>
        <v>1041281.9767259974</v>
      </c>
      <c r="AG111" s="64">
        <f t="shared" ca="1" si="100"/>
        <v>1041281.9767259974</v>
      </c>
      <c r="AH111" s="64"/>
      <c r="AI111" s="64">
        <f ca="1">NPV(Lookups!$E$17,G111:AG111)</f>
        <v>21120654.640249774</v>
      </c>
      <c r="AJ111" s="64"/>
      <c r="AM111" s="71">
        <f ca="1">AM100-AM105</f>
        <v>0</v>
      </c>
      <c r="AN111" s="71">
        <f t="shared" ref="AN111:BM111" ca="1" si="101">AN100-AN105</f>
        <v>0</v>
      </c>
      <c r="AO111" s="71">
        <f t="shared" ca="1" si="101"/>
        <v>1036216.066703319</v>
      </c>
      <c r="AP111" s="71">
        <f t="shared" ca="1" si="101"/>
        <v>1036216.066703319</v>
      </c>
      <c r="AQ111" s="71">
        <f t="shared" ca="1" si="101"/>
        <v>1036216.066703319</v>
      </c>
      <c r="AR111" s="71">
        <f t="shared" ca="1" si="101"/>
        <v>1036216.066703319</v>
      </c>
      <c r="AS111" s="71">
        <f t="shared" ca="1" si="101"/>
        <v>1036216.066703319</v>
      </c>
      <c r="AT111" s="71">
        <f t="shared" ca="1" si="101"/>
        <v>1036216.066703319</v>
      </c>
      <c r="AU111" s="71">
        <f t="shared" ca="1" si="101"/>
        <v>1036216.066703319</v>
      </c>
      <c r="AV111" s="71">
        <f t="shared" ca="1" si="101"/>
        <v>1036216.066703319</v>
      </c>
      <c r="AW111" s="71">
        <f t="shared" ca="1" si="101"/>
        <v>1036216.066703319</v>
      </c>
      <c r="AX111" s="71">
        <f t="shared" ca="1" si="101"/>
        <v>1036216.066703319</v>
      </c>
      <c r="AY111" s="71">
        <f t="shared" ca="1" si="101"/>
        <v>1036216.066703319</v>
      </c>
      <c r="AZ111" s="71">
        <f t="shared" ca="1" si="101"/>
        <v>1036216.066703319</v>
      </c>
      <c r="BA111" s="71">
        <f t="shared" ca="1" si="101"/>
        <v>1036216.066703319</v>
      </c>
      <c r="BB111" s="71">
        <f t="shared" ca="1" si="101"/>
        <v>1036216.066703319</v>
      </c>
      <c r="BC111" s="71">
        <f t="shared" ca="1" si="101"/>
        <v>1036216.066703319</v>
      </c>
      <c r="BD111" s="71">
        <f t="shared" ca="1" si="101"/>
        <v>1036216.066703319</v>
      </c>
      <c r="BE111" s="71">
        <f t="shared" ca="1" si="101"/>
        <v>1036216.066703319</v>
      </c>
      <c r="BF111" s="71">
        <f t="shared" ca="1" si="101"/>
        <v>1036216.066703319</v>
      </c>
      <c r="BG111" s="71">
        <f t="shared" ca="1" si="101"/>
        <v>1036216.066703319</v>
      </c>
      <c r="BH111" s="71">
        <f t="shared" ca="1" si="101"/>
        <v>1036216.066703319</v>
      </c>
      <c r="BI111" s="71">
        <f t="shared" ca="1" si="101"/>
        <v>1041281.9767259974</v>
      </c>
      <c r="BJ111" s="71">
        <f t="shared" ca="1" si="101"/>
        <v>1041281.9767259974</v>
      </c>
      <c r="BK111" s="71">
        <f t="shared" ca="1" si="101"/>
        <v>1041281.9767259974</v>
      </c>
      <c r="BL111" s="71">
        <f t="shared" ca="1" si="101"/>
        <v>1041281.9767259974</v>
      </c>
      <c r="BM111" s="71">
        <f t="shared" ca="1" si="101"/>
        <v>1041281.9767259974</v>
      </c>
      <c r="BN111" s="71"/>
      <c r="BO111" s="71">
        <f ca="1">NPV(Lookups!$E$17,AM111:BM111)</f>
        <v>21109994.191237908</v>
      </c>
      <c r="BP111" s="71"/>
      <c r="BS111" s="84" t="s">
        <v>229</v>
      </c>
      <c r="BT111" s="51" t="s">
        <v>17</v>
      </c>
    </row>
    <row r="112" spans="1:72" x14ac:dyDescent="0.25">
      <c r="A112" s="1"/>
      <c r="B112" s="243" t="str">
        <f t="shared" si="99"/>
        <v>Low-Income</v>
      </c>
      <c r="C112" s="243" t="str">
        <f t="shared" si="99"/>
        <v>Revenue Requirements</v>
      </c>
      <c r="D112" s="244" t="str">
        <f>D111</f>
        <v>Revenue Requirement after DSM Scenario</v>
      </c>
      <c r="E112" s="84" t="s">
        <v>407</v>
      </c>
      <c r="F112" s="84" t="s">
        <v>32</v>
      </c>
      <c r="G112" s="64">
        <f>G101</f>
        <v>0</v>
      </c>
      <c r="H112" s="64">
        <f t="shared" ref="H112:AG112" si="102">H101</f>
        <v>0</v>
      </c>
      <c r="I112" s="64">
        <f t="shared" si="102"/>
        <v>-154229.37716318635</v>
      </c>
      <c r="J112" s="64">
        <f t="shared" si="102"/>
        <v>-154229.37716318635</v>
      </c>
      <c r="K112" s="64">
        <f t="shared" si="102"/>
        <v>-154229.37716318635</v>
      </c>
      <c r="L112" s="64">
        <f t="shared" si="102"/>
        <v>-154229.37716318635</v>
      </c>
      <c r="M112" s="64">
        <f t="shared" si="102"/>
        <v>-154229.37716318635</v>
      </c>
      <c r="N112" s="64">
        <f t="shared" si="102"/>
        <v>-154229.37716318635</v>
      </c>
      <c r="O112" s="64">
        <f t="shared" si="102"/>
        <v>-154229.37716318635</v>
      </c>
      <c r="P112" s="64">
        <f t="shared" si="102"/>
        <v>-154229.37716318635</v>
      </c>
      <c r="Q112" s="64">
        <f t="shared" si="102"/>
        <v>-154229.37716318635</v>
      </c>
      <c r="R112" s="64">
        <f t="shared" si="102"/>
        <v>-154229.37716318635</v>
      </c>
      <c r="S112" s="64">
        <f t="shared" si="102"/>
        <v>-154229.37716318635</v>
      </c>
      <c r="T112" s="64">
        <f t="shared" si="102"/>
        <v>-154229.37716318635</v>
      </c>
      <c r="U112" s="64">
        <f t="shared" si="102"/>
        <v>-154229.37716318635</v>
      </c>
      <c r="V112" s="64">
        <f t="shared" si="102"/>
        <v>-154229.37716318635</v>
      </c>
      <c r="W112" s="64">
        <f t="shared" si="102"/>
        <v>-154229.37716318635</v>
      </c>
      <c r="X112" s="64">
        <f t="shared" si="102"/>
        <v>-154229.37716318635</v>
      </c>
      <c r="Y112" s="64">
        <f t="shared" si="102"/>
        <v>-154229.37716318635</v>
      </c>
      <c r="Z112" s="64">
        <f t="shared" si="102"/>
        <v>-154229.37716318635</v>
      </c>
      <c r="AA112" s="64">
        <f t="shared" si="102"/>
        <v>-154229.37716318635</v>
      </c>
      <c r="AB112" s="64">
        <f t="shared" si="102"/>
        <v>-154229.37716318635</v>
      </c>
      <c r="AC112" s="64">
        <f t="shared" si="102"/>
        <v>-154229.37716318635</v>
      </c>
      <c r="AD112" s="64">
        <f t="shared" si="102"/>
        <v>-154229.37716318635</v>
      </c>
      <c r="AE112" s="64">
        <f t="shared" si="102"/>
        <v>-154229.37716318635</v>
      </c>
      <c r="AF112" s="64">
        <f t="shared" si="102"/>
        <v>-154229.37716318635</v>
      </c>
      <c r="AG112" s="64">
        <f t="shared" si="102"/>
        <v>-154229.37716318635</v>
      </c>
      <c r="AH112" s="64"/>
      <c r="AI112" s="64">
        <f>NPV(Lookups!$E$17,G112:AG112)</f>
        <v>-3139336.4759873538</v>
      </c>
      <c r="AJ112" s="64"/>
      <c r="AM112" s="71">
        <f>AM101</f>
        <v>0</v>
      </c>
      <c r="AN112" s="71">
        <f t="shared" ref="AN112:BM112" si="103">AN101</f>
        <v>0</v>
      </c>
      <c r="AO112" s="71">
        <f t="shared" si="103"/>
        <v>-154229.37716318635</v>
      </c>
      <c r="AP112" s="71">
        <f t="shared" si="103"/>
        <v>-154229.37716318635</v>
      </c>
      <c r="AQ112" s="71">
        <f t="shared" si="103"/>
        <v>-154229.37716318635</v>
      </c>
      <c r="AR112" s="71">
        <f t="shared" si="103"/>
        <v>-154229.37716318635</v>
      </c>
      <c r="AS112" s="71">
        <f t="shared" si="103"/>
        <v>-154229.37716318635</v>
      </c>
      <c r="AT112" s="71">
        <f t="shared" si="103"/>
        <v>-154229.37716318635</v>
      </c>
      <c r="AU112" s="71">
        <f t="shared" si="103"/>
        <v>-154229.37716318635</v>
      </c>
      <c r="AV112" s="71">
        <f t="shared" si="103"/>
        <v>-154229.37716318635</v>
      </c>
      <c r="AW112" s="71">
        <f t="shared" si="103"/>
        <v>-154229.37716318635</v>
      </c>
      <c r="AX112" s="71">
        <f t="shared" si="103"/>
        <v>-154229.37716318635</v>
      </c>
      <c r="AY112" s="71">
        <f t="shared" si="103"/>
        <v>-154229.37716318635</v>
      </c>
      <c r="AZ112" s="71">
        <f t="shared" si="103"/>
        <v>-154229.37716318635</v>
      </c>
      <c r="BA112" s="71">
        <f t="shared" si="103"/>
        <v>-154229.37716318635</v>
      </c>
      <c r="BB112" s="71">
        <f t="shared" si="103"/>
        <v>-154229.37716318635</v>
      </c>
      <c r="BC112" s="71">
        <f t="shared" si="103"/>
        <v>-154229.37716318635</v>
      </c>
      <c r="BD112" s="71">
        <f t="shared" si="103"/>
        <v>-154229.37716318635</v>
      </c>
      <c r="BE112" s="71">
        <f t="shared" si="103"/>
        <v>-154229.37716318635</v>
      </c>
      <c r="BF112" s="71">
        <f t="shared" si="103"/>
        <v>-154229.37716318635</v>
      </c>
      <c r="BG112" s="71">
        <f t="shared" si="103"/>
        <v>-154229.37716318635</v>
      </c>
      <c r="BH112" s="71">
        <f t="shared" si="103"/>
        <v>-154229.37716318635</v>
      </c>
      <c r="BI112" s="71">
        <f t="shared" si="103"/>
        <v>-154229.37716318635</v>
      </c>
      <c r="BJ112" s="71">
        <f t="shared" si="103"/>
        <v>-154229.37716318635</v>
      </c>
      <c r="BK112" s="71">
        <f t="shared" si="103"/>
        <v>-154229.37716318635</v>
      </c>
      <c r="BL112" s="71">
        <f t="shared" si="103"/>
        <v>-154229.37716318635</v>
      </c>
      <c r="BM112" s="71">
        <f t="shared" si="103"/>
        <v>-154229.37716318635</v>
      </c>
      <c r="BN112" s="71"/>
      <c r="BO112" s="71">
        <f>NPV(Lookups!$E$17,AM112:BM112)</f>
        <v>-3139336.4759873538</v>
      </c>
      <c r="BP112" s="71"/>
      <c r="BS112" s="84" t="s">
        <v>230</v>
      </c>
      <c r="BT112" s="51" t="s">
        <v>17</v>
      </c>
    </row>
    <row r="113" spans="1:72" x14ac:dyDescent="0.25">
      <c r="A113" s="1"/>
      <c r="B113" s="243" t="str">
        <f>B111</f>
        <v>Low-Income</v>
      </c>
      <c r="C113" s="243" t="str">
        <f>C111</f>
        <v>Revenue Requirements</v>
      </c>
      <c r="D113" s="244" t="str">
        <f>D111</f>
        <v>Revenue Requirement after DSM Scenario</v>
      </c>
      <c r="E113" s="84" t="s">
        <v>197</v>
      </c>
      <c r="F113" s="84" t="s">
        <v>32</v>
      </c>
      <c r="G113" s="64">
        <f ca="1">G102-G104-G106</f>
        <v>0</v>
      </c>
      <c r="H113" s="64">
        <f t="shared" ref="H113:AG113" ca="1" si="104">H102-H104-H106</f>
        <v>0</v>
      </c>
      <c r="I113" s="64">
        <f t="shared" ca="1" si="104"/>
        <v>2827232.6459892248</v>
      </c>
      <c r="J113" s="64">
        <f t="shared" ca="1" si="104"/>
        <v>2827232.6459892248</v>
      </c>
      <c r="K113" s="64">
        <f t="shared" ca="1" si="104"/>
        <v>2827232.6459892248</v>
      </c>
      <c r="L113" s="64">
        <f t="shared" ca="1" si="104"/>
        <v>2827232.6459892248</v>
      </c>
      <c r="M113" s="64">
        <f t="shared" ca="1" si="104"/>
        <v>2827232.6459892248</v>
      </c>
      <c r="N113" s="64">
        <f t="shared" ca="1" si="104"/>
        <v>2827232.6459892248</v>
      </c>
      <c r="O113" s="64">
        <f t="shared" ca="1" si="104"/>
        <v>2827232.6459892248</v>
      </c>
      <c r="P113" s="64">
        <f t="shared" ca="1" si="104"/>
        <v>2827232.6459892248</v>
      </c>
      <c r="Q113" s="64">
        <f t="shared" ca="1" si="104"/>
        <v>2827232.6459892248</v>
      </c>
      <c r="R113" s="64">
        <f t="shared" ca="1" si="104"/>
        <v>2827232.6459892248</v>
      </c>
      <c r="S113" s="64">
        <f t="shared" ca="1" si="104"/>
        <v>2827232.6459892248</v>
      </c>
      <c r="T113" s="64">
        <f t="shared" ca="1" si="104"/>
        <v>2827232.6459892248</v>
      </c>
      <c r="U113" s="64">
        <f t="shared" ca="1" si="104"/>
        <v>2827232.6459892248</v>
      </c>
      <c r="V113" s="64">
        <f t="shared" ca="1" si="104"/>
        <v>2827232.6459892248</v>
      </c>
      <c r="W113" s="64">
        <f t="shared" ca="1" si="104"/>
        <v>2827232.6459892248</v>
      </c>
      <c r="X113" s="64">
        <f t="shared" ca="1" si="104"/>
        <v>2827232.6459892248</v>
      </c>
      <c r="Y113" s="64">
        <f t="shared" ca="1" si="104"/>
        <v>2827232.6459892248</v>
      </c>
      <c r="Z113" s="64">
        <f t="shared" ca="1" si="104"/>
        <v>2827232.6459892248</v>
      </c>
      <c r="AA113" s="64">
        <f t="shared" ca="1" si="104"/>
        <v>2827232.6459892248</v>
      </c>
      <c r="AB113" s="64">
        <f t="shared" ca="1" si="104"/>
        <v>2827232.6459892248</v>
      </c>
      <c r="AC113" s="64">
        <f t="shared" ca="1" si="104"/>
        <v>2899044.9289189233</v>
      </c>
      <c r="AD113" s="64">
        <f t="shared" ca="1" si="104"/>
        <v>2899044.9289189233</v>
      </c>
      <c r="AE113" s="64">
        <f t="shared" ca="1" si="104"/>
        <v>2899044.9289189233</v>
      </c>
      <c r="AF113" s="64">
        <f t="shared" ca="1" si="104"/>
        <v>2899044.9289189233</v>
      </c>
      <c r="AG113" s="64">
        <f t="shared" ca="1" si="104"/>
        <v>2899044.9289189233</v>
      </c>
      <c r="AH113" s="64"/>
      <c r="AI113" s="64">
        <f ca="1">NPV(Lookups!$E$17,G113:AG113)</f>
        <v>57801067.04466591</v>
      </c>
      <c r="AJ113" s="64"/>
      <c r="AM113" s="71">
        <f ca="1">AM102-AM104-AM106</f>
        <v>0</v>
      </c>
      <c r="AN113" s="71">
        <f t="shared" ref="AN113:BM113" ca="1" si="105">AN102-AN104-AN106</f>
        <v>0</v>
      </c>
      <c r="AO113" s="71">
        <f t="shared" ca="1" si="105"/>
        <v>2816973.748427839</v>
      </c>
      <c r="AP113" s="71">
        <f t="shared" ca="1" si="105"/>
        <v>2816973.748427839</v>
      </c>
      <c r="AQ113" s="71">
        <f t="shared" ca="1" si="105"/>
        <v>2816973.748427839</v>
      </c>
      <c r="AR113" s="71">
        <f t="shared" ca="1" si="105"/>
        <v>2816973.748427839</v>
      </c>
      <c r="AS113" s="71">
        <f t="shared" ca="1" si="105"/>
        <v>2816973.748427839</v>
      </c>
      <c r="AT113" s="71">
        <f t="shared" ca="1" si="105"/>
        <v>2816973.748427839</v>
      </c>
      <c r="AU113" s="71">
        <f t="shared" ca="1" si="105"/>
        <v>2816973.748427839</v>
      </c>
      <c r="AV113" s="71">
        <f t="shared" ca="1" si="105"/>
        <v>2816973.748427839</v>
      </c>
      <c r="AW113" s="71">
        <f t="shared" ca="1" si="105"/>
        <v>2816973.748427839</v>
      </c>
      <c r="AX113" s="71">
        <f t="shared" ca="1" si="105"/>
        <v>2816973.748427839</v>
      </c>
      <c r="AY113" s="71">
        <f t="shared" ca="1" si="105"/>
        <v>2816973.748427839</v>
      </c>
      <c r="AZ113" s="71">
        <f t="shared" ca="1" si="105"/>
        <v>2816973.748427839</v>
      </c>
      <c r="BA113" s="71">
        <f t="shared" ca="1" si="105"/>
        <v>2816973.748427839</v>
      </c>
      <c r="BB113" s="71">
        <f t="shared" ca="1" si="105"/>
        <v>2816973.748427839</v>
      </c>
      <c r="BC113" s="71">
        <f t="shared" ca="1" si="105"/>
        <v>2816973.748427839</v>
      </c>
      <c r="BD113" s="71">
        <f t="shared" ca="1" si="105"/>
        <v>2816973.748427839</v>
      </c>
      <c r="BE113" s="71">
        <f t="shared" ca="1" si="105"/>
        <v>2816973.748427839</v>
      </c>
      <c r="BF113" s="71">
        <f t="shared" ca="1" si="105"/>
        <v>2816973.748427839</v>
      </c>
      <c r="BG113" s="71">
        <f t="shared" ca="1" si="105"/>
        <v>2816973.748427839</v>
      </c>
      <c r="BH113" s="71">
        <f t="shared" ca="1" si="105"/>
        <v>2816973.748427839</v>
      </c>
      <c r="BI113" s="71">
        <f t="shared" ca="1" si="105"/>
        <v>2899044.9289189233</v>
      </c>
      <c r="BJ113" s="71">
        <f t="shared" ca="1" si="105"/>
        <v>2899044.9289189233</v>
      </c>
      <c r="BK113" s="71">
        <f t="shared" ca="1" si="105"/>
        <v>2899044.9289189233</v>
      </c>
      <c r="BL113" s="71">
        <f t="shared" ca="1" si="105"/>
        <v>2899044.9289189233</v>
      </c>
      <c r="BM113" s="71">
        <f t="shared" ca="1" si="105"/>
        <v>2899044.9289189233</v>
      </c>
      <c r="BN113" s="71"/>
      <c r="BO113" s="71">
        <f ca="1">NPV(Lookups!$E$17,AM113:BM113)</f>
        <v>57628360.535657346</v>
      </c>
      <c r="BP113" s="71"/>
      <c r="BS113" s="84" t="s">
        <v>231</v>
      </c>
      <c r="BT113" s="51" t="s">
        <v>17</v>
      </c>
    </row>
    <row r="114" spans="1:72" x14ac:dyDescent="0.25">
      <c r="B114" s="243" t="str">
        <f t="shared" ref="B114:C118" si="106">B113</f>
        <v>Low-Income</v>
      </c>
      <c r="C114" s="243" t="str">
        <f t="shared" si="106"/>
        <v>Revenue Requirements</v>
      </c>
      <c r="D114" s="244"/>
      <c r="E114" s="84" t="s">
        <v>17</v>
      </c>
      <c r="F114" s="84"/>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S114" s="84"/>
      <c r="BT114" s="51" t="s">
        <v>17</v>
      </c>
    </row>
    <row r="115" spans="1:72" s="5" customFormat="1" ht="15.75" x14ac:dyDescent="0.25">
      <c r="A115" s="52"/>
      <c r="B115" s="241" t="str">
        <f t="shared" si="106"/>
        <v>Low-Income</v>
      </c>
      <c r="C115" s="63" t="s">
        <v>30</v>
      </c>
      <c r="D115" s="61"/>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2"/>
      <c r="BO115" s="62"/>
      <c r="BP115" s="62"/>
      <c r="BS115" s="62"/>
      <c r="BT115" s="51" t="s">
        <v>17</v>
      </c>
    </row>
    <row r="116" spans="1:72" x14ac:dyDescent="0.25">
      <c r="B116" s="243" t="str">
        <f t="shared" si="106"/>
        <v>Low-Income</v>
      </c>
      <c r="C116" s="243" t="str">
        <f t="shared" si="106"/>
        <v>Rates</v>
      </c>
      <c r="D116" s="114" t="str">
        <f>"Rates before DSM ("&amp;Lookups!$D$22&amp;" Scenario)"</f>
        <v>Rates before DSM (No EE Scenario)</v>
      </c>
      <c r="E116" s="84"/>
      <c r="F116" s="84"/>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S116" s="84"/>
      <c r="BT116" s="51" t="s">
        <v>17</v>
      </c>
    </row>
    <row r="117" spans="1:72" x14ac:dyDescent="0.25">
      <c r="B117" s="243" t="str">
        <f t="shared" si="106"/>
        <v>Low-Income</v>
      </c>
      <c r="C117" s="243" t="str">
        <f t="shared" si="106"/>
        <v>Rates</v>
      </c>
      <c r="D117" s="244" t="str">
        <f>D116</f>
        <v>Rates before DSM (No EE Scenario)</v>
      </c>
      <c r="E117" s="84" t="s">
        <v>26</v>
      </c>
      <c r="F117" s="84" t="s">
        <v>182</v>
      </c>
      <c r="G117" s="506">
        <f>IF(G$8=0,0,INDEX('R&amp;B Inputs'!$I$78:$V$78,MATCH($B117,'R&amp;B Inputs'!$I$4:$V$4,0))*(1+INDEX('R&amp;B Inputs'!$I$48:$V$48,MATCH($B117,'R&amp;B Inputs'!$I$4:$V$4,0)))^(G$7-Year1))</f>
        <v>0</v>
      </c>
      <c r="H117" s="506">
        <f>IF(H$8=0,0,INDEX('R&amp;B Inputs'!$I$78:$V$78,MATCH($B117,'R&amp;B Inputs'!$I$4:$V$4,0))*(1+INDEX('R&amp;B Inputs'!$I$48:$V$48,MATCH($B117,'R&amp;B Inputs'!$I$4:$V$4,0)))^(H$7-Year1))</f>
        <v>0</v>
      </c>
      <c r="I117" s="506">
        <f>IF(I$8=0,0,INDEX('R&amp;B Inputs'!$I$78:$V$78,MATCH($B117,'R&amp;B Inputs'!$I$4:$V$4,0))*(1+INDEX('R&amp;B Inputs'!$I$48:$V$48,MATCH($B117,'R&amp;B Inputs'!$I$4:$V$4,0)))^(I$7-Year1))</f>
        <v>0.2228</v>
      </c>
      <c r="J117" s="506">
        <f>IF(J$8=0,0,INDEX('R&amp;B Inputs'!$I$78:$V$78,MATCH($B117,'R&amp;B Inputs'!$I$4:$V$4,0))*(1+INDEX('R&amp;B Inputs'!$I$48:$V$48,MATCH($B117,'R&amp;B Inputs'!$I$4:$V$4,0)))^(J$7-Year1))</f>
        <v>0.2228</v>
      </c>
      <c r="K117" s="506">
        <f>IF(K$8=0,0,INDEX('R&amp;B Inputs'!$I$78:$V$78,MATCH($B117,'R&amp;B Inputs'!$I$4:$V$4,0))*(1+INDEX('R&amp;B Inputs'!$I$48:$V$48,MATCH($B117,'R&amp;B Inputs'!$I$4:$V$4,0)))^(K$7-Year1))</f>
        <v>0.2228</v>
      </c>
      <c r="L117" s="506">
        <f>IF(L$8=0,0,INDEX('R&amp;B Inputs'!$I$78:$V$78,MATCH($B117,'R&amp;B Inputs'!$I$4:$V$4,0))*(1+INDEX('R&amp;B Inputs'!$I$48:$V$48,MATCH($B117,'R&amp;B Inputs'!$I$4:$V$4,0)))^(L$7-Year1))</f>
        <v>0.2228</v>
      </c>
      <c r="M117" s="506">
        <f>IF(M$8=0,0,INDEX('R&amp;B Inputs'!$I$78:$V$78,MATCH($B117,'R&amp;B Inputs'!$I$4:$V$4,0))*(1+INDEX('R&amp;B Inputs'!$I$48:$V$48,MATCH($B117,'R&amp;B Inputs'!$I$4:$V$4,0)))^(M$7-Year1))</f>
        <v>0.2228</v>
      </c>
      <c r="N117" s="506">
        <f>IF(N$8=0,0,INDEX('R&amp;B Inputs'!$I$78:$V$78,MATCH($B117,'R&amp;B Inputs'!$I$4:$V$4,0))*(1+INDEX('R&amp;B Inputs'!$I$48:$V$48,MATCH($B117,'R&amp;B Inputs'!$I$4:$V$4,0)))^(N$7-Year1))</f>
        <v>0.2228</v>
      </c>
      <c r="O117" s="506">
        <f>IF(O$8=0,0,INDEX('R&amp;B Inputs'!$I$78:$V$78,MATCH($B117,'R&amp;B Inputs'!$I$4:$V$4,0))*(1+INDEX('R&amp;B Inputs'!$I$48:$V$48,MATCH($B117,'R&amp;B Inputs'!$I$4:$V$4,0)))^(O$7-Year1))</f>
        <v>0.2228</v>
      </c>
      <c r="P117" s="506">
        <f>IF(P$8=0,0,INDEX('R&amp;B Inputs'!$I$78:$V$78,MATCH($B117,'R&amp;B Inputs'!$I$4:$V$4,0))*(1+INDEX('R&amp;B Inputs'!$I$48:$V$48,MATCH($B117,'R&amp;B Inputs'!$I$4:$V$4,0)))^(P$7-Year1))</f>
        <v>0.2228</v>
      </c>
      <c r="Q117" s="506">
        <f>IF(Q$8=0,0,INDEX('R&amp;B Inputs'!$I$78:$V$78,MATCH($B117,'R&amp;B Inputs'!$I$4:$V$4,0))*(1+INDEX('R&amp;B Inputs'!$I$48:$V$48,MATCH($B117,'R&amp;B Inputs'!$I$4:$V$4,0)))^(Q$7-Year1))</f>
        <v>0.2228</v>
      </c>
      <c r="R117" s="506">
        <f>IF(R$8=0,0,INDEX('R&amp;B Inputs'!$I$78:$V$78,MATCH($B117,'R&amp;B Inputs'!$I$4:$V$4,0))*(1+INDEX('R&amp;B Inputs'!$I$48:$V$48,MATCH($B117,'R&amp;B Inputs'!$I$4:$V$4,0)))^(R$7-Year1))</f>
        <v>0.2228</v>
      </c>
      <c r="S117" s="506">
        <f>IF(S$8=0,0,INDEX('R&amp;B Inputs'!$I$78:$V$78,MATCH($B117,'R&amp;B Inputs'!$I$4:$V$4,0))*(1+INDEX('R&amp;B Inputs'!$I$48:$V$48,MATCH($B117,'R&amp;B Inputs'!$I$4:$V$4,0)))^(S$7-Year1))</f>
        <v>0.2228</v>
      </c>
      <c r="T117" s="506">
        <f>IF(T$8=0,0,INDEX('R&amp;B Inputs'!$I$78:$V$78,MATCH($B117,'R&amp;B Inputs'!$I$4:$V$4,0))*(1+INDEX('R&amp;B Inputs'!$I$48:$V$48,MATCH($B117,'R&amp;B Inputs'!$I$4:$V$4,0)))^(T$7-Year1))</f>
        <v>0.2228</v>
      </c>
      <c r="U117" s="506">
        <f>IF(U$8=0,0,INDEX('R&amp;B Inputs'!$I$78:$V$78,MATCH($B117,'R&amp;B Inputs'!$I$4:$V$4,0))*(1+INDEX('R&amp;B Inputs'!$I$48:$V$48,MATCH($B117,'R&amp;B Inputs'!$I$4:$V$4,0)))^(U$7-Year1))</f>
        <v>0.2228</v>
      </c>
      <c r="V117" s="506">
        <f>IF(V$8=0,0,INDEX('R&amp;B Inputs'!$I$78:$V$78,MATCH($B117,'R&amp;B Inputs'!$I$4:$V$4,0))*(1+INDEX('R&amp;B Inputs'!$I$48:$V$48,MATCH($B117,'R&amp;B Inputs'!$I$4:$V$4,0)))^(V$7-Year1))</f>
        <v>0.2228</v>
      </c>
      <c r="W117" s="506">
        <f>IF(W$8=0,0,INDEX('R&amp;B Inputs'!$I$78:$V$78,MATCH($B117,'R&amp;B Inputs'!$I$4:$V$4,0))*(1+INDEX('R&amp;B Inputs'!$I$48:$V$48,MATCH($B117,'R&amp;B Inputs'!$I$4:$V$4,0)))^(W$7-Year1))</f>
        <v>0.2228</v>
      </c>
      <c r="X117" s="506">
        <f>IF(X$8=0,0,INDEX('R&amp;B Inputs'!$I$78:$V$78,MATCH($B117,'R&amp;B Inputs'!$I$4:$V$4,0))*(1+INDEX('R&amp;B Inputs'!$I$48:$V$48,MATCH($B117,'R&amp;B Inputs'!$I$4:$V$4,0)))^(X$7-Year1))</f>
        <v>0.2228</v>
      </c>
      <c r="Y117" s="506">
        <f>IF(Y$8=0,0,INDEX('R&amp;B Inputs'!$I$78:$V$78,MATCH($B117,'R&amp;B Inputs'!$I$4:$V$4,0))*(1+INDEX('R&amp;B Inputs'!$I$48:$V$48,MATCH($B117,'R&amp;B Inputs'!$I$4:$V$4,0)))^(Y$7-Year1))</f>
        <v>0.2228</v>
      </c>
      <c r="Z117" s="506">
        <f>IF(Z$8=0,0,INDEX('R&amp;B Inputs'!$I$78:$V$78,MATCH($B117,'R&amp;B Inputs'!$I$4:$V$4,0))*(1+INDEX('R&amp;B Inputs'!$I$48:$V$48,MATCH($B117,'R&amp;B Inputs'!$I$4:$V$4,0)))^(Z$7-Year1))</f>
        <v>0.2228</v>
      </c>
      <c r="AA117" s="506">
        <f>IF(AA$8=0,0,INDEX('R&amp;B Inputs'!$I$78:$V$78,MATCH($B117,'R&amp;B Inputs'!$I$4:$V$4,0))*(1+INDEX('R&amp;B Inputs'!$I$48:$V$48,MATCH($B117,'R&amp;B Inputs'!$I$4:$V$4,0)))^(AA$7-Year1))</f>
        <v>0.2228</v>
      </c>
      <c r="AB117" s="506">
        <f>IF(AB$8=0,0,INDEX('R&amp;B Inputs'!$I$78:$V$78,MATCH($B117,'R&amp;B Inputs'!$I$4:$V$4,0))*(1+INDEX('R&amp;B Inputs'!$I$48:$V$48,MATCH($B117,'R&amp;B Inputs'!$I$4:$V$4,0)))^(AB$7-Year1))</f>
        <v>0.2228</v>
      </c>
      <c r="AC117" s="506">
        <f>IF(AC$8=0,0,INDEX('R&amp;B Inputs'!$I$78:$V$78,MATCH($B117,'R&amp;B Inputs'!$I$4:$V$4,0))*(1+INDEX('R&amp;B Inputs'!$I$48:$V$48,MATCH($B117,'R&amp;B Inputs'!$I$4:$V$4,0)))^(AC$7-Year1))</f>
        <v>0.2228</v>
      </c>
      <c r="AD117" s="506">
        <f>IF(AD$8=0,0,INDEX('R&amp;B Inputs'!$I$78:$V$78,MATCH($B117,'R&amp;B Inputs'!$I$4:$V$4,0))*(1+INDEX('R&amp;B Inputs'!$I$48:$V$48,MATCH($B117,'R&amp;B Inputs'!$I$4:$V$4,0)))^(AD$7-Year1))</f>
        <v>0.2228</v>
      </c>
      <c r="AE117" s="506">
        <f>IF(AE$8=0,0,INDEX('R&amp;B Inputs'!$I$78:$V$78,MATCH($B117,'R&amp;B Inputs'!$I$4:$V$4,0))*(1+INDEX('R&amp;B Inputs'!$I$48:$V$48,MATCH($B117,'R&amp;B Inputs'!$I$4:$V$4,0)))^(AE$7-Year1))</f>
        <v>0.2228</v>
      </c>
      <c r="AF117" s="506">
        <f>IF(AF$8=0,0,INDEX('R&amp;B Inputs'!$I$78:$V$78,MATCH($B117,'R&amp;B Inputs'!$I$4:$V$4,0))*(1+INDEX('R&amp;B Inputs'!$I$48:$V$48,MATCH($B117,'R&amp;B Inputs'!$I$4:$V$4,0)))^(AF$7-Year1))</f>
        <v>0.2228</v>
      </c>
      <c r="AG117" s="506">
        <f>IF(AG$8=0,0,INDEX('R&amp;B Inputs'!$I$78:$V$78,MATCH($B117,'R&amp;B Inputs'!$I$4:$V$4,0))*(1+INDEX('R&amp;B Inputs'!$I$48:$V$48,MATCH($B117,'R&amp;B Inputs'!$I$4:$V$4,0)))^(AG$7-Year1))</f>
        <v>0.2228</v>
      </c>
      <c r="AH117" s="506"/>
      <c r="AI117" s="506"/>
      <c r="AJ117" s="506">
        <f>IF($C$4=Year1,-PMT(Lookups!$E$17,25,NPV(Lookups!$E$17,G117:AE117),0,1),IF($C$4=Year2,-PMT(Lookups!$F$17,25,NPV(Lookups!$F$17,H117:AF117),0,1),IF($C$4=Year3,-PMT(Lookups!$G$17,25,NPV(Lookups!$G$17,I117:AG117),0,1),-PMT(Lookups!$G$17,27,NPV(Lookups!$G$17,G117:AG117),0,1))))</f>
        <v>0.21969266828087164</v>
      </c>
      <c r="AK117" s="507"/>
      <c r="AL117" s="507"/>
      <c r="AM117" s="508">
        <f>IF(AM$8=0,0,INDEX('R&amp;B Inputs'!$I$78:$V$78,MATCH($B117,'R&amp;B Inputs'!$I$4:$V$4,0))*(1+INDEX('R&amp;B Inputs'!$I$48:$V$48,MATCH($B117,'R&amp;B Inputs'!$I$4:$V$4,0)))^(AM$7-Year1))</f>
        <v>0</v>
      </c>
      <c r="AN117" s="508">
        <f>IF(AN$8=0,0,INDEX('R&amp;B Inputs'!$I$78:$V$78,MATCH($B117,'R&amp;B Inputs'!$I$4:$V$4,0))*(1+INDEX('R&amp;B Inputs'!$I$48:$V$48,MATCH($B117,'R&amp;B Inputs'!$I$4:$V$4,0)))^(AN$7-Year1))</f>
        <v>0</v>
      </c>
      <c r="AO117" s="508">
        <f>IF(AO$8=0,0,INDEX('R&amp;B Inputs'!$I$78:$V$78,MATCH($B117,'R&amp;B Inputs'!$I$4:$V$4,0))*(1+INDEX('R&amp;B Inputs'!$I$48:$V$48,MATCH($B117,'R&amp;B Inputs'!$I$4:$V$4,0)))^(AO$7-Year1))</f>
        <v>0.2228</v>
      </c>
      <c r="AP117" s="508">
        <f>IF(AP$8=0,0,INDEX('R&amp;B Inputs'!$I$78:$V$78,MATCH($B117,'R&amp;B Inputs'!$I$4:$V$4,0))*(1+INDEX('R&amp;B Inputs'!$I$48:$V$48,MATCH($B117,'R&amp;B Inputs'!$I$4:$V$4,0)))^(AP$7-Year1))</f>
        <v>0.2228</v>
      </c>
      <c r="AQ117" s="508">
        <f>IF(AQ$8=0,0,INDEX('R&amp;B Inputs'!$I$78:$V$78,MATCH($B117,'R&amp;B Inputs'!$I$4:$V$4,0))*(1+INDEX('R&amp;B Inputs'!$I$48:$V$48,MATCH($B117,'R&amp;B Inputs'!$I$4:$V$4,0)))^(AQ$7-Year1))</f>
        <v>0.2228</v>
      </c>
      <c r="AR117" s="508">
        <f>IF(AR$8=0,0,INDEX('R&amp;B Inputs'!$I$78:$V$78,MATCH($B117,'R&amp;B Inputs'!$I$4:$V$4,0))*(1+INDEX('R&amp;B Inputs'!$I$48:$V$48,MATCH($B117,'R&amp;B Inputs'!$I$4:$V$4,0)))^(AR$7-Year1))</f>
        <v>0.2228</v>
      </c>
      <c r="AS117" s="508">
        <f>IF(AS$8=0,0,INDEX('R&amp;B Inputs'!$I$78:$V$78,MATCH($B117,'R&amp;B Inputs'!$I$4:$V$4,0))*(1+INDEX('R&amp;B Inputs'!$I$48:$V$48,MATCH($B117,'R&amp;B Inputs'!$I$4:$V$4,0)))^(AS$7-Year1))</f>
        <v>0.2228</v>
      </c>
      <c r="AT117" s="508">
        <f>IF(AT$8=0,0,INDEX('R&amp;B Inputs'!$I$78:$V$78,MATCH($B117,'R&amp;B Inputs'!$I$4:$V$4,0))*(1+INDEX('R&amp;B Inputs'!$I$48:$V$48,MATCH($B117,'R&amp;B Inputs'!$I$4:$V$4,0)))^(AT$7-Year1))</f>
        <v>0.2228</v>
      </c>
      <c r="AU117" s="508">
        <f>IF(AU$8=0,0,INDEX('R&amp;B Inputs'!$I$78:$V$78,MATCH($B117,'R&amp;B Inputs'!$I$4:$V$4,0))*(1+INDEX('R&amp;B Inputs'!$I$48:$V$48,MATCH($B117,'R&amp;B Inputs'!$I$4:$V$4,0)))^(AU$7-Year1))</f>
        <v>0.2228</v>
      </c>
      <c r="AV117" s="508">
        <f>IF(AV$8=0,0,INDEX('R&amp;B Inputs'!$I$78:$V$78,MATCH($B117,'R&amp;B Inputs'!$I$4:$V$4,0))*(1+INDEX('R&amp;B Inputs'!$I$48:$V$48,MATCH($B117,'R&amp;B Inputs'!$I$4:$V$4,0)))^(AV$7-Year1))</f>
        <v>0.2228</v>
      </c>
      <c r="AW117" s="508">
        <f>IF(AW$8=0,0,INDEX('R&amp;B Inputs'!$I$78:$V$78,MATCH($B117,'R&amp;B Inputs'!$I$4:$V$4,0))*(1+INDEX('R&amp;B Inputs'!$I$48:$V$48,MATCH($B117,'R&amp;B Inputs'!$I$4:$V$4,0)))^(AW$7-Year1))</f>
        <v>0.2228</v>
      </c>
      <c r="AX117" s="508">
        <f>IF(AX$8=0,0,INDEX('R&amp;B Inputs'!$I$78:$V$78,MATCH($B117,'R&amp;B Inputs'!$I$4:$V$4,0))*(1+INDEX('R&amp;B Inputs'!$I$48:$V$48,MATCH($B117,'R&amp;B Inputs'!$I$4:$V$4,0)))^(AX$7-Year1))</f>
        <v>0.2228</v>
      </c>
      <c r="AY117" s="508">
        <f>IF(AY$8=0,0,INDEX('R&amp;B Inputs'!$I$78:$V$78,MATCH($B117,'R&amp;B Inputs'!$I$4:$V$4,0))*(1+INDEX('R&amp;B Inputs'!$I$48:$V$48,MATCH($B117,'R&amp;B Inputs'!$I$4:$V$4,0)))^(AY$7-Year1))</f>
        <v>0.2228</v>
      </c>
      <c r="AZ117" s="508">
        <f>IF(AZ$8=0,0,INDEX('R&amp;B Inputs'!$I$78:$V$78,MATCH($B117,'R&amp;B Inputs'!$I$4:$V$4,0))*(1+INDEX('R&amp;B Inputs'!$I$48:$V$48,MATCH($B117,'R&amp;B Inputs'!$I$4:$V$4,0)))^(AZ$7-Year1))</f>
        <v>0.2228</v>
      </c>
      <c r="BA117" s="508">
        <f>IF(BA$8=0,0,INDEX('R&amp;B Inputs'!$I$78:$V$78,MATCH($B117,'R&amp;B Inputs'!$I$4:$V$4,0))*(1+INDEX('R&amp;B Inputs'!$I$48:$V$48,MATCH($B117,'R&amp;B Inputs'!$I$4:$V$4,0)))^(BA$7-Year1))</f>
        <v>0.2228</v>
      </c>
      <c r="BB117" s="508">
        <f>IF(BB$8=0,0,INDEX('R&amp;B Inputs'!$I$78:$V$78,MATCH($B117,'R&amp;B Inputs'!$I$4:$V$4,0))*(1+INDEX('R&amp;B Inputs'!$I$48:$V$48,MATCH($B117,'R&amp;B Inputs'!$I$4:$V$4,0)))^(BB$7-Year1))</f>
        <v>0.2228</v>
      </c>
      <c r="BC117" s="508">
        <f>IF(BC$8=0,0,INDEX('R&amp;B Inputs'!$I$78:$V$78,MATCH($B117,'R&amp;B Inputs'!$I$4:$V$4,0))*(1+INDEX('R&amp;B Inputs'!$I$48:$V$48,MATCH($B117,'R&amp;B Inputs'!$I$4:$V$4,0)))^(BC$7-Year1))</f>
        <v>0.2228</v>
      </c>
      <c r="BD117" s="508">
        <f>IF(BD$8=0,0,INDEX('R&amp;B Inputs'!$I$78:$V$78,MATCH($B117,'R&amp;B Inputs'!$I$4:$V$4,0))*(1+INDEX('R&amp;B Inputs'!$I$48:$V$48,MATCH($B117,'R&amp;B Inputs'!$I$4:$V$4,0)))^(BD$7-Year1))</f>
        <v>0.2228</v>
      </c>
      <c r="BE117" s="508">
        <f>IF(BE$8=0,0,INDEX('R&amp;B Inputs'!$I$78:$V$78,MATCH($B117,'R&amp;B Inputs'!$I$4:$V$4,0))*(1+INDEX('R&amp;B Inputs'!$I$48:$V$48,MATCH($B117,'R&amp;B Inputs'!$I$4:$V$4,0)))^(BE$7-Year1))</f>
        <v>0.2228</v>
      </c>
      <c r="BF117" s="508">
        <f>IF(BF$8=0,0,INDEX('R&amp;B Inputs'!$I$78:$V$78,MATCH($B117,'R&amp;B Inputs'!$I$4:$V$4,0))*(1+INDEX('R&amp;B Inputs'!$I$48:$V$48,MATCH($B117,'R&amp;B Inputs'!$I$4:$V$4,0)))^(BF$7-Year1))</f>
        <v>0.2228</v>
      </c>
      <c r="BG117" s="508">
        <f>IF(BG$8=0,0,INDEX('R&amp;B Inputs'!$I$78:$V$78,MATCH($B117,'R&amp;B Inputs'!$I$4:$V$4,0))*(1+INDEX('R&amp;B Inputs'!$I$48:$V$48,MATCH($B117,'R&amp;B Inputs'!$I$4:$V$4,0)))^(BG$7-Year1))</f>
        <v>0.2228</v>
      </c>
      <c r="BH117" s="508">
        <f>IF(BH$8=0,0,INDEX('R&amp;B Inputs'!$I$78:$V$78,MATCH($B117,'R&amp;B Inputs'!$I$4:$V$4,0))*(1+INDEX('R&amp;B Inputs'!$I$48:$V$48,MATCH($B117,'R&amp;B Inputs'!$I$4:$V$4,0)))^(BH$7-Year1))</f>
        <v>0.2228</v>
      </c>
      <c r="BI117" s="508">
        <f>IF(BI$8=0,0,INDEX('R&amp;B Inputs'!$I$78:$V$78,MATCH($B117,'R&amp;B Inputs'!$I$4:$V$4,0))*(1+INDEX('R&amp;B Inputs'!$I$48:$V$48,MATCH($B117,'R&amp;B Inputs'!$I$4:$V$4,0)))^(BI$7-Year1))</f>
        <v>0.2228</v>
      </c>
      <c r="BJ117" s="508">
        <f>IF(BJ$8=0,0,INDEX('R&amp;B Inputs'!$I$78:$V$78,MATCH($B117,'R&amp;B Inputs'!$I$4:$V$4,0))*(1+INDEX('R&amp;B Inputs'!$I$48:$V$48,MATCH($B117,'R&amp;B Inputs'!$I$4:$V$4,0)))^(BJ$7-Year1))</f>
        <v>0.2228</v>
      </c>
      <c r="BK117" s="508">
        <f>IF(BK$8=0,0,INDEX('R&amp;B Inputs'!$I$78:$V$78,MATCH($B117,'R&amp;B Inputs'!$I$4:$V$4,0))*(1+INDEX('R&amp;B Inputs'!$I$48:$V$48,MATCH($B117,'R&amp;B Inputs'!$I$4:$V$4,0)))^(BK$7-Year1))</f>
        <v>0.2228</v>
      </c>
      <c r="BL117" s="508">
        <f>IF(BL$8=0,0,INDEX('R&amp;B Inputs'!$I$78:$V$78,MATCH($B117,'R&amp;B Inputs'!$I$4:$V$4,0))*(1+INDEX('R&amp;B Inputs'!$I$48:$V$48,MATCH($B117,'R&amp;B Inputs'!$I$4:$V$4,0)))^(BL$7-Year1))</f>
        <v>0.2228</v>
      </c>
      <c r="BM117" s="508">
        <f>IF(BM$8=0,0,INDEX('R&amp;B Inputs'!$I$78:$V$78,MATCH($B117,'R&amp;B Inputs'!$I$4:$V$4,0))*(1+INDEX('R&amp;B Inputs'!$I$48:$V$48,MATCH($B117,'R&amp;B Inputs'!$I$4:$V$4,0)))^(BM$7-Year1))</f>
        <v>0.2228</v>
      </c>
      <c r="BN117" s="508"/>
      <c r="BO117" s="508"/>
      <c r="BP117" s="508">
        <f>IF($C$4=Year1,-PMT(Lookups!$E$17,25,NPV(Lookups!$E$17,AM117:BK117),0,1),IF($C$4=Year2,-PMT(Lookups!$F$17,25,NPV(Lookups!$F$17,AN117:BL117),0,1),IF($C$4=Year3,-PMT(Lookups!$G$17,25,NPV(Lookups!$G$17,AO117:BM117),0,1),-PMT(Lookups!$G$17,27,NPV(Lookups!$G$17,AM117:BM117),0,1))))</f>
        <v>0.21969266828087164</v>
      </c>
      <c r="BS117" s="76" t="str">
        <f t="shared" ref="BS117:BS119" si="107">E117&amp;" charge from the R&amp;B Inputs tab, escalated annually by the growth rate included on the R&amp;B Inputs tab."</f>
        <v>Distribution charge from the R&amp;B Inputs tab, escalated annually by the growth rate included on the R&amp;B Inputs tab.</v>
      </c>
      <c r="BT117" s="51" t="s">
        <v>17</v>
      </c>
    </row>
    <row r="118" spans="1:72" x14ac:dyDescent="0.25">
      <c r="B118" s="243" t="str">
        <f t="shared" si="106"/>
        <v>Low-Income</v>
      </c>
      <c r="C118" s="243" t="str">
        <f t="shared" si="106"/>
        <v>Rates</v>
      </c>
      <c r="D118" s="244" t="str">
        <f>D117</f>
        <v>Rates before DSM (No EE Scenario)</v>
      </c>
      <c r="E118" s="84" t="s">
        <v>407</v>
      </c>
      <c r="F118" s="84" t="s">
        <v>182</v>
      </c>
      <c r="G118" s="506">
        <f>IF(G$8=0,0,INDEX('R&amp;B Inputs'!$I$82:$V$82,MATCH($B118,'R&amp;B Inputs'!$I$4:$V$4,0))*(1+INDEX('R&amp;B Inputs'!$I$62:$V$62,MATCH($B118,'R&amp;B Inputs'!$I$4:$V$4,0)))^(G$7-Year1))</f>
        <v>0</v>
      </c>
      <c r="H118" s="506">
        <f>IF(H$8=0,0,INDEX('R&amp;B Inputs'!$I$82:$V$82,MATCH($B118,'R&amp;B Inputs'!$I$4:$V$4,0))*(1+INDEX('R&amp;B Inputs'!$I$62:$V$62,MATCH($B118,'R&amp;B Inputs'!$I$4:$V$4,0)))^(H$7-Year1))</f>
        <v>0</v>
      </c>
      <c r="I118" s="506">
        <f>IF(I$8=0,0,INDEX('R&amp;B Inputs'!$I$82:$V$82,MATCH($B118,'R&amp;B Inputs'!$I$4:$V$4,0))*(1+INDEX('R&amp;B Inputs'!$I$62:$V$62,MATCH($B118,'R&amp;B Inputs'!$I$4:$V$4,0)))^(I$7-Year1))</f>
        <v>-3.3000000000000002E-2</v>
      </c>
      <c r="J118" s="506">
        <f>IF(J$8=0,0,INDEX('R&amp;B Inputs'!$I$82:$V$82,MATCH($B118,'R&amp;B Inputs'!$I$4:$V$4,0))*(1+INDEX('R&amp;B Inputs'!$I$62:$V$62,MATCH($B118,'R&amp;B Inputs'!$I$4:$V$4,0)))^(J$7-Year1))</f>
        <v>-3.3000000000000002E-2</v>
      </c>
      <c r="K118" s="506">
        <f>IF(K$8=0,0,INDEX('R&amp;B Inputs'!$I$82:$V$82,MATCH($B118,'R&amp;B Inputs'!$I$4:$V$4,0))*(1+INDEX('R&amp;B Inputs'!$I$62:$V$62,MATCH($B118,'R&amp;B Inputs'!$I$4:$V$4,0)))^(K$7-Year1))</f>
        <v>-3.3000000000000002E-2</v>
      </c>
      <c r="L118" s="506">
        <f>IF(L$8=0,0,INDEX('R&amp;B Inputs'!$I$82:$V$82,MATCH($B118,'R&amp;B Inputs'!$I$4:$V$4,0))*(1+INDEX('R&amp;B Inputs'!$I$62:$V$62,MATCH($B118,'R&amp;B Inputs'!$I$4:$V$4,0)))^(L$7-Year1))</f>
        <v>-3.3000000000000002E-2</v>
      </c>
      <c r="M118" s="506">
        <f>IF(M$8=0,0,INDEX('R&amp;B Inputs'!$I$82:$V$82,MATCH($B118,'R&amp;B Inputs'!$I$4:$V$4,0))*(1+INDEX('R&amp;B Inputs'!$I$62:$V$62,MATCH($B118,'R&amp;B Inputs'!$I$4:$V$4,0)))^(M$7-Year1))</f>
        <v>-3.3000000000000002E-2</v>
      </c>
      <c r="N118" s="506">
        <f>IF(N$8=0,0,INDEX('R&amp;B Inputs'!$I$82:$V$82,MATCH($B118,'R&amp;B Inputs'!$I$4:$V$4,0))*(1+INDEX('R&amp;B Inputs'!$I$62:$V$62,MATCH($B118,'R&amp;B Inputs'!$I$4:$V$4,0)))^(N$7-Year1))</f>
        <v>-3.3000000000000002E-2</v>
      </c>
      <c r="O118" s="506">
        <f>IF(O$8=0,0,INDEX('R&amp;B Inputs'!$I$82:$V$82,MATCH($B118,'R&amp;B Inputs'!$I$4:$V$4,0))*(1+INDEX('R&amp;B Inputs'!$I$62:$V$62,MATCH($B118,'R&amp;B Inputs'!$I$4:$V$4,0)))^(O$7-Year1))</f>
        <v>-3.3000000000000002E-2</v>
      </c>
      <c r="P118" s="506">
        <f>IF(P$8=0,0,INDEX('R&amp;B Inputs'!$I$82:$V$82,MATCH($B118,'R&amp;B Inputs'!$I$4:$V$4,0))*(1+INDEX('R&amp;B Inputs'!$I$62:$V$62,MATCH($B118,'R&amp;B Inputs'!$I$4:$V$4,0)))^(P$7-Year1))</f>
        <v>-3.3000000000000002E-2</v>
      </c>
      <c r="Q118" s="506">
        <f>IF(Q$8=0,0,INDEX('R&amp;B Inputs'!$I$82:$V$82,MATCH($B118,'R&amp;B Inputs'!$I$4:$V$4,0))*(1+INDEX('R&amp;B Inputs'!$I$62:$V$62,MATCH($B118,'R&amp;B Inputs'!$I$4:$V$4,0)))^(Q$7-Year1))</f>
        <v>-3.3000000000000002E-2</v>
      </c>
      <c r="R118" s="506">
        <f>IF(R$8=0,0,INDEX('R&amp;B Inputs'!$I$82:$V$82,MATCH($B118,'R&amp;B Inputs'!$I$4:$V$4,0))*(1+INDEX('R&amp;B Inputs'!$I$62:$V$62,MATCH($B118,'R&amp;B Inputs'!$I$4:$V$4,0)))^(R$7-Year1))</f>
        <v>-3.3000000000000002E-2</v>
      </c>
      <c r="S118" s="506">
        <f>IF(S$8=0,0,INDEX('R&amp;B Inputs'!$I$82:$V$82,MATCH($B118,'R&amp;B Inputs'!$I$4:$V$4,0))*(1+INDEX('R&amp;B Inputs'!$I$62:$V$62,MATCH($B118,'R&amp;B Inputs'!$I$4:$V$4,0)))^(S$7-Year1))</f>
        <v>-3.3000000000000002E-2</v>
      </c>
      <c r="T118" s="506">
        <f>IF(T$8=0,0,INDEX('R&amp;B Inputs'!$I$82:$V$82,MATCH($B118,'R&amp;B Inputs'!$I$4:$V$4,0))*(1+INDEX('R&amp;B Inputs'!$I$62:$V$62,MATCH($B118,'R&amp;B Inputs'!$I$4:$V$4,0)))^(T$7-Year1))</f>
        <v>-3.3000000000000002E-2</v>
      </c>
      <c r="U118" s="506">
        <f>IF(U$8=0,0,INDEX('R&amp;B Inputs'!$I$82:$V$82,MATCH($B118,'R&amp;B Inputs'!$I$4:$V$4,0))*(1+INDEX('R&amp;B Inputs'!$I$62:$V$62,MATCH($B118,'R&amp;B Inputs'!$I$4:$V$4,0)))^(U$7-Year1))</f>
        <v>-3.3000000000000002E-2</v>
      </c>
      <c r="V118" s="506">
        <f>IF(V$8=0,0,INDEX('R&amp;B Inputs'!$I$82:$V$82,MATCH($B118,'R&amp;B Inputs'!$I$4:$V$4,0))*(1+INDEX('R&amp;B Inputs'!$I$62:$V$62,MATCH($B118,'R&amp;B Inputs'!$I$4:$V$4,0)))^(V$7-Year1))</f>
        <v>-3.3000000000000002E-2</v>
      </c>
      <c r="W118" s="506">
        <f>IF(W$8=0,0,INDEX('R&amp;B Inputs'!$I$82:$V$82,MATCH($B118,'R&amp;B Inputs'!$I$4:$V$4,0))*(1+INDEX('R&amp;B Inputs'!$I$62:$V$62,MATCH($B118,'R&amp;B Inputs'!$I$4:$V$4,0)))^(W$7-Year1))</f>
        <v>-3.3000000000000002E-2</v>
      </c>
      <c r="X118" s="506">
        <f>IF(X$8=0,0,INDEX('R&amp;B Inputs'!$I$82:$V$82,MATCH($B118,'R&amp;B Inputs'!$I$4:$V$4,0))*(1+INDEX('R&amp;B Inputs'!$I$62:$V$62,MATCH($B118,'R&amp;B Inputs'!$I$4:$V$4,0)))^(X$7-Year1))</f>
        <v>-3.3000000000000002E-2</v>
      </c>
      <c r="Y118" s="506">
        <f>IF(Y$8=0,0,INDEX('R&amp;B Inputs'!$I$82:$V$82,MATCH($B118,'R&amp;B Inputs'!$I$4:$V$4,0))*(1+INDEX('R&amp;B Inputs'!$I$62:$V$62,MATCH($B118,'R&amp;B Inputs'!$I$4:$V$4,0)))^(Y$7-Year1))</f>
        <v>-3.3000000000000002E-2</v>
      </c>
      <c r="Z118" s="506">
        <f>IF(Z$8=0,0,INDEX('R&amp;B Inputs'!$I$82:$V$82,MATCH($B118,'R&amp;B Inputs'!$I$4:$V$4,0))*(1+INDEX('R&amp;B Inputs'!$I$62:$V$62,MATCH($B118,'R&amp;B Inputs'!$I$4:$V$4,0)))^(Z$7-Year1))</f>
        <v>-3.3000000000000002E-2</v>
      </c>
      <c r="AA118" s="506">
        <f>IF(AA$8=0,0,INDEX('R&amp;B Inputs'!$I$82:$V$82,MATCH($B118,'R&amp;B Inputs'!$I$4:$V$4,0))*(1+INDEX('R&amp;B Inputs'!$I$62:$V$62,MATCH($B118,'R&amp;B Inputs'!$I$4:$V$4,0)))^(AA$7-Year1))</f>
        <v>-3.3000000000000002E-2</v>
      </c>
      <c r="AB118" s="506">
        <f>IF(AB$8=0,0,INDEX('R&amp;B Inputs'!$I$82:$V$82,MATCH($B118,'R&amp;B Inputs'!$I$4:$V$4,0))*(1+INDEX('R&amp;B Inputs'!$I$62:$V$62,MATCH($B118,'R&amp;B Inputs'!$I$4:$V$4,0)))^(AB$7-Year1))</f>
        <v>-3.3000000000000002E-2</v>
      </c>
      <c r="AC118" s="506">
        <f>IF(AC$8=0,0,INDEX('R&amp;B Inputs'!$I$82:$V$82,MATCH($B118,'R&amp;B Inputs'!$I$4:$V$4,0))*(1+INDEX('R&amp;B Inputs'!$I$62:$V$62,MATCH($B118,'R&amp;B Inputs'!$I$4:$V$4,0)))^(AC$7-Year1))</f>
        <v>-3.3000000000000002E-2</v>
      </c>
      <c r="AD118" s="506">
        <f>IF(AD$8=0,0,INDEX('R&amp;B Inputs'!$I$82:$V$82,MATCH($B118,'R&amp;B Inputs'!$I$4:$V$4,0))*(1+INDEX('R&amp;B Inputs'!$I$62:$V$62,MATCH($B118,'R&amp;B Inputs'!$I$4:$V$4,0)))^(AD$7-Year1))</f>
        <v>-3.3000000000000002E-2</v>
      </c>
      <c r="AE118" s="506">
        <f>IF(AE$8=0,0,INDEX('R&amp;B Inputs'!$I$82:$V$82,MATCH($B118,'R&amp;B Inputs'!$I$4:$V$4,0))*(1+INDEX('R&amp;B Inputs'!$I$62:$V$62,MATCH($B118,'R&amp;B Inputs'!$I$4:$V$4,0)))^(AE$7-Year1))</f>
        <v>-3.3000000000000002E-2</v>
      </c>
      <c r="AF118" s="506">
        <f>IF(AF$8=0,0,INDEX('R&amp;B Inputs'!$I$82:$V$82,MATCH($B118,'R&amp;B Inputs'!$I$4:$V$4,0))*(1+INDEX('R&amp;B Inputs'!$I$62:$V$62,MATCH($B118,'R&amp;B Inputs'!$I$4:$V$4,0)))^(AF$7-Year1))</f>
        <v>-3.3000000000000002E-2</v>
      </c>
      <c r="AG118" s="506">
        <f>IF(AG$8=0,0,INDEX('R&amp;B Inputs'!$I$82:$V$82,MATCH($B118,'R&amp;B Inputs'!$I$4:$V$4,0))*(1+INDEX('R&amp;B Inputs'!$I$62:$V$62,MATCH($B118,'R&amp;B Inputs'!$I$4:$V$4,0)))^(AG$7-Year1))</f>
        <v>-3.3000000000000002E-2</v>
      </c>
      <c r="AH118" s="506"/>
      <c r="AI118" s="506"/>
      <c r="AJ118" s="506">
        <f>IF($C$4=Year1,-PMT(Lookups!$E$17,25,NPV(Lookups!$E$17,G118:AE118),0,1),IF($C$4=Year2,-PMT(Lookups!$F$17,25,NPV(Lookups!$F$17,H118:AF118),0,1),IF($C$4=Year3,-PMT(Lookups!$G$17,25,NPV(Lookups!$G$17,I118:AG118),0,1),-PMT(Lookups!$G$17,27,NPV(Lookups!$G$17,G118:AG118),0,1))))</f>
        <v>-3.2539757869249397E-2</v>
      </c>
      <c r="AK118" s="507"/>
      <c r="AL118" s="507"/>
      <c r="AM118" s="508">
        <f>IF(AM$8=0,0,INDEX('R&amp;B Inputs'!$I$82:$V$82,MATCH($B118,'R&amp;B Inputs'!$I$4:$V$4,0))*(1+INDEX('R&amp;B Inputs'!$I$62:$V$62,MATCH($B118,'R&amp;B Inputs'!$I$4:$V$4,0)))^(AM$7-Year1))</f>
        <v>0</v>
      </c>
      <c r="AN118" s="508">
        <f>IF(AN$8=0,0,INDEX('R&amp;B Inputs'!$I$82:$V$82,MATCH($B118,'R&amp;B Inputs'!$I$4:$V$4,0))*(1+INDEX('R&amp;B Inputs'!$I$62:$V$62,MATCH($B118,'R&amp;B Inputs'!$I$4:$V$4,0)))^(AN$7-Year1))</f>
        <v>0</v>
      </c>
      <c r="AO118" s="508">
        <f>IF(AO$8=0,0,INDEX('R&amp;B Inputs'!$I$82:$V$82,MATCH($B118,'R&amp;B Inputs'!$I$4:$V$4,0))*(1+INDEX('R&amp;B Inputs'!$I$62:$V$62,MATCH($B118,'R&amp;B Inputs'!$I$4:$V$4,0)))^(AO$7-Year1))</f>
        <v>-3.3000000000000002E-2</v>
      </c>
      <c r="AP118" s="508">
        <f>IF(AP$8=0,0,INDEX('R&amp;B Inputs'!$I$82:$V$82,MATCH($B118,'R&amp;B Inputs'!$I$4:$V$4,0))*(1+INDEX('R&amp;B Inputs'!$I$62:$V$62,MATCH($B118,'R&amp;B Inputs'!$I$4:$V$4,0)))^(AP$7-Year1))</f>
        <v>-3.3000000000000002E-2</v>
      </c>
      <c r="AQ118" s="508">
        <f>IF(AQ$8=0,0,INDEX('R&amp;B Inputs'!$I$82:$V$82,MATCH($B118,'R&amp;B Inputs'!$I$4:$V$4,0))*(1+INDEX('R&amp;B Inputs'!$I$62:$V$62,MATCH($B118,'R&amp;B Inputs'!$I$4:$V$4,0)))^(AQ$7-Year1))</f>
        <v>-3.3000000000000002E-2</v>
      </c>
      <c r="AR118" s="508">
        <f>IF(AR$8=0,0,INDEX('R&amp;B Inputs'!$I$82:$V$82,MATCH($B118,'R&amp;B Inputs'!$I$4:$V$4,0))*(1+INDEX('R&amp;B Inputs'!$I$62:$V$62,MATCH($B118,'R&amp;B Inputs'!$I$4:$V$4,0)))^(AR$7-Year1))</f>
        <v>-3.3000000000000002E-2</v>
      </c>
      <c r="AS118" s="508">
        <f>IF(AS$8=0,0,INDEX('R&amp;B Inputs'!$I$82:$V$82,MATCH($B118,'R&amp;B Inputs'!$I$4:$V$4,0))*(1+INDEX('R&amp;B Inputs'!$I$62:$V$62,MATCH($B118,'R&amp;B Inputs'!$I$4:$V$4,0)))^(AS$7-Year1))</f>
        <v>-3.3000000000000002E-2</v>
      </c>
      <c r="AT118" s="508">
        <f>IF(AT$8=0,0,INDEX('R&amp;B Inputs'!$I$82:$V$82,MATCH($B118,'R&amp;B Inputs'!$I$4:$V$4,0))*(1+INDEX('R&amp;B Inputs'!$I$62:$V$62,MATCH($B118,'R&amp;B Inputs'!$I$4:$V$4,0)))^(AT$7-Year1))</f>
        <v>-3.3000000000000002E-2</v>
      </c>
      <c r="AU118" s="508">
        <f>IF(AU$8=0,0,INDEX('R&amp;B Inputs'!$I$82:$V$82,MATCH($B118,'R&amp;B Inputs'!$I$4:$V$4,0))*(1+INDEX('R&amp;B Inputs'!$I$62:$V$62,MATCH($B118,'R&amp;B Inputs'!$I$4:$V$4,0)))^(AU$7-Year1))</f>
        <v>-3.3000000000000002E-2</v>
      </c>
      <c r="AV118" s="508">
        <f>IF(AV$8=0,0,INDEX('R&amp;B Inputs'!$I$82:$V$82,MATCH($B118,'R&amp;B Inputs'!$I$4:$V$4,0))*(1+INDEX('R&amp;B Inputs'!$I$62:$V$62,MATCH($B118,'R&amp;B Inputs'!$I$4:$V$4,0)))^(AV$7-Year1))</f>
        <v>-3.3000000000000002E-2</v>
      </c>
      <c r="AW118" s="508">
        <f>IF(AW$8=0,0,INDEX('R&amp;B Inputs'!$I$82:$V$82,MATCH($B118,'R&amp;B Inputs'!$I$4:$V$4,0))*(1+INDEX('R&amp;B Inputs'!$I$62:$V$62,MATCH($B118,'R&amp;B Inputs'!$I$4:$V$4,0)))^(AW$7-Year1))</f>
        <v>-3.3000000000000002E-2</v>
      </c>
      <c r="AX118" s="508">
        <f>IF(AX$8=0,0,INDEX('R&amp;B Inputs'!$I$82:$V$82,MATCH($B118,'R&amp;B Inputs'!$I$4:$V$4,0))*(1+INDEX('R&amp;B Inputs'!$I$62:$V$62,MATCH($B118,'R&amp;B Inputs'!$I$4:$V$4,0)))^(AX$7-Year1))</f>
        <v>-3.3000000000000002E-2</v>
      </c>
      <c r="AY118" s="508">
        <f>IF(AY$8=0,0,INDEX('R&amp;B Inputs'!$I$82:$V$82,MATCH($B118,'R&amp;B Inputs'!$I$4:$V$4,0))*(1+INDEX('R&amp;B Inputs'!$I$62:$V$62,MATCH($B118,'R&amp;B Inputs'!$I$4:$V$4,0)))^(AY$7-Year1))</f>
        <v>-3.3000000000000002E-2</v>
      </c>
      <c r="AZ118" s="508">
        <f>IF(AZ$8=0,0,INDEX('R&amp;B Inputs'!$I$82:$V$82,MATCH($B118,'R&amp;B Inputs'!$I$4:$V$4,0))*(1+INDEX('R&amp;B Inputs'!$I$62:$V$62,MATCH($B118,'R&amp;B Inputs'!$I$4:$V$4,0)))^(AZ$7-Year1))</f>
        <v>-3.3000000000000002E-2</v>
      </c>
      <c r="BA118" s="508">
        <f>IF(BA$8=0,0,INDEX('R&amp;B Inputs'!$I$82:$V$82,MATCH($B118,'R&amp;B Inputs'!$I$4:$V$4,0))*(1+INDEX('R&amp;B Inputs'!$I$62:$V$62,MATCH($B118,'R&amp;B Inputs'!$I$4:$V$4,0)))^(BA$7-Year1))</f>
        <v>-3.3000000000000002E-2</v>
      </c>
      <c r="BB118" s="508">
        <f>IF(BB$8=0,0,INDEX('R&amp;B Inputs'!$I$82:$V$82,MATCH($B118,'R&amp;B Inputs'!$I$4:$V$4,0))*(1+INDEX('R&amp;B Inputs'!$I$62:$V$62,MATCH($B118,'R&amp;B Inputs'!$I$4:$V$4,0)))^(BB$7-Year1))</f>
        <v>-3.3000000000000002E-2</v>
      </c>
      <c r="BC118" s="508">
        <f>IF(BC$8=0,0,INDEX('R&amp;B Inputs'!$I$82:$V$82,MATCH($B118,'R&amp;B Inputs'!$I$4:$V$4,0))*(1+INDEX('R&amp;B Inputs'!$I$62:$V$62,MATCH($B118,'R&amp;B Inputs'!$I$4:$V$4,0)))^(BC$7-Year1))</f>
        <v>-3.3000000000000002E-2</v>
      </c>
      <c r="BD118" s="508">
        <f>IF(BD$8=0,0,INDEX('R&amp;B Inputs'!$I$82:$V$82,MATCH($B118,'R&amp;B Inputs'!$I$4:$V$4,0))*(1+INDEX('R&amp;B Inputs'!$I$62:$V$62,MATCH($B118,'R&amp;B Inputs'!$I$4:$V$4,0)))^(BD$7-Year1))</f>
        <v>-3.3000000000000002E-2</v>
      </c>
      <c r="BE118" s="508">
        <f>IF(BE$8=0,0,INDEX('R&amp;B Inputs'!$I$82:$V$82,MATCH($B118,'R&amp;B Inputs'!$I$4:$V$4,0))*(1+INDEX('R&amp;B Inputs'!$I$62:$V$62,MATCH($B118,'R&amp;B Inputs'!$I$4:$V$4,0)))^(BE$7-Year1))</f>
        <v>-3.3000000000000002E-2</v>
      </c>
      <c r="BF118" s="508">
        <f>IF(BF$8=0,0,INDEX('R&amp;B Inputs'!$I$82:$V$82,MATCH($B118,'R&amp;B Inputs'!$I$4:$V$4,0))*(1+INDEX('R&amp;B Inputs'!$I$62:$V$62,MATCH($B118,'R&amp;B Inputs'!$I$4:$V$4,0)))^(BF$7-Year1))</f>
        <v>-3.3000000000000002E-2</v>
      </c>
      <c r="BG118" s="508">
        <f>IF(BG$8=0,0,INDEX('R&amp;B Inputs'!$I$82:$V$82,MATCH($B118,'R&amp;B Inputs'!$I$4:$V$4,0))*(1+INDEX('R&amp;B Inputs'!$I$62:$V$62,MATCH($B118,'R&amp;B Inputs'!$I$4:$V$4,0)))^(BG$7-Year1))</f>
        <v>-3.3000000000000002E-2</v>
      </c>
      <c r="BH118" s="508">
        <f>IF(BH$8=0,0,INDEX('R&amp;B Inputs'!$I$82:$V$82,MATCH($B118,'R&amp;B Inputs'!$I$4:$V$4,0))*(1+INDEX('R&amp;B Inputs'!$I$62:$V$62,MATCH($B118,'R&amp;B Inputs'!$I$4:$V$4,0)))^(BH$7-Year1))</f>
        <v>-3.3000000000000002E-2</v>
      </c>
      <c r="BI118" s="508">
        <f>IF(BI$8=0,0,INDEX('R&amp;B Inputs'!$I$82:$V$82,MATCH($B118,'R&amp;B Inputs'!$I$4:$V$4,0))*(1+INDEX('R&amp;B Inputs'!$I$62:$V$62,MATCH($B118,'R&amp;B Inputs'!$I$4:$V$4,0)))^(BI$7-Year1))</f>
        <v>-3.3000000000000002E-2</v>
      </c>
      <c r="BJ118" s="508">
        <f>IF(BJ$8=0,0,INDEX('R&amp;B Inputs'!$I$82:$V$82,MATCH($B118,'R&amp;B Inputs'!$I$4:$V$4,0))*(1+INDEX('R&amp;B Inputs'!$I$62:$V$62,MATCH($B118,'R&amp;B Inputs'!$I$4:$V$4,0)))^(BJ$7-Year1))</f>
        <v>-3.3000000000000002E-2</v>
      </c>
      <c r="BK118" s="508">
        <f>IF(BK$8=0,0,INDEX('R&amp;B Inputs'!$I$82:$V$82,MATCH($B118,'R&amp;B Inputs'!$I$4:$V$4,0))*(1+INDEX('R&amp;B Inputs'!$I$62:$V$62,MATCH($B118,'R&amp;B Inputs'!$I$4:$V$4,0)))^(BK$7-Year1))</f>
        <v>-3.3000000000000002E-2</v>
      </c>
      <c r="BL118" s="508">
        <f>IF(BL$8=0,0,INDEX('R&amp;B Inputs'!$I$82:$V$82,MATCH($B118,'R&amp;B Inputs'!$I$4:$V$4,0))*(1+INDEX('R&amp;B Inputs'!$I$62:$V$62,MATCH($B118,'R&amp;B Inputs'!$I$4:$V$4,0)))^(BL$7-Year1))</f>
        <v>-3.3000000000000002E-2</v>
      </c>
      <c r="BM118" s="508">
        <f>IF(BM$8=0,0,INDEX('R&amp;B Inputs'!$I$82:$V$82,MATCH($B118,'R&amp;B Inputs'!$I$4:$V$4,0))*(1+INDEX('R&amp;B Inputs'!$I$62:$V$62,MATCH($B118,'R&amp;B Inputs'!$I$4:$V$4,0)))^(BM$7-Year1))</f>
        <v>-3.3000000000000002E-2</v>
      </c>
      <c r="BN118" s="508"/>
      <c r="BO118" s="508"/>
      <c r="BP118" s="508">
        <f>IF($C$4=Year1,-PMT(Lookups!$E$17,25,NPV(Lookups!$E$17,AM118:BK118),0,1),IF($C$4=Year2,-PMT(Lookups!$F$17,25,NPV(Lookups!$F$17,AN118:BL118),0,1),IF($C$4=Year3,-PMT(Lookups!$G$17,25,NPV(Lookups!$G$17,AO118:BM118),0,1),-PMT(Lookups!$G$17,27,NPV(Lookups!$G$17,AM118:BM118),0,1))))</f>
        <v>-3.2539757869249397E-2</v>
      </c>
      <c r="BS118" s="76" t="str">
        <f t="shared" si="107"/>
        <v>LDAC, Non-EE charge from the R&amp;B Inputs tab, escalated annually by the growth rate included on the R&amp;B Inputs tab.</v>
      </c>
      <c r="BT118" s="51" t="s">
        <v>17</v>
      </c>
    </row>
    <row r="119" spans="1:72" x14ac:dyDescent="0.25">
      <c r="B119" s="243" t="str">
        <f>B117</f>
        <v>Low-Income</v>
      </c>
      <c r="C119" s="243" t="str">
        <f>C117</f>
        <v>Rates</v>
      </c>
      <c r="D119" s="244" t="str">
        <f>D117</f>
        <v>Rates before DSM (No EE Scenario)</v>
      </c>
      <c r="E119" s="84" t="s">
        <v>197</v>
      </c>
      <c r="F119" s="84" t="s">
        <v>182</v>
      </c>
      <c r="G119" s="506">
        <f>IF(G$8=0,0,INDEX('R&amp;B Inputs'!$I$86:$V$86,MATCH($B119,'R&amp;B Inputs'!$I$4:$V$4,0))*(1+INDEX('R&amp;B Inputs'!$I$66:$V$66,MATCH($B119,'R&amp;B Inputs'!$I$4:$V$4,0)))^(G$7-Year1))</f>
        <v>0</v>
      </c>
      <c r="H119" s="506">
        <f>IF(H$8=0,0,INDEX('R&amp;B Inputs'!$I$86:$V$86,MATCH($B119,'R&amp;B Inputs'!$I$4:$V$4,0))*(1+INDEX('R&amp;B Inputs'!$I$66:$V$66,MATCH($B119,'R&amp;B Inputs'!$I$4:$V$4,0)))^(H$7-Year1))</f>
        <v>0</v>
      </c>
      <c r="I119" s="506">
        <f>IF(I$8=0,0,INDEX('R&amp;B Inputs'!$I$86:$V$86,MATCH($B119,'R&amp;B Inputs'!$I$4:$V$4,0))*(1+INDEX('R&amp;B Inputs'!$I$66:$V$66,MATCH($B119,'R&amp;B Inputs'!$I$4:$V$4,0)))^(I$7-Year1))</f>
        <v>0.62029999999999996</v>
      </c>
      <c r="J119" s="506">
        <f>IF(J$8=0,0,INDEX('R&amp;B Inputs'!$I$86:$V$86,MATCH($B119,'R&amp;B Inputs'!$I$4:$V$4,0))*(1+INDEX('R&amp;B Inputs'!$I$66:$V$66,MATCH($B119,'R&amp;B Inputs'!$I$4:$V$4,0)))^(J$7-Year1))</f>
        <v>0.62029999999999996</v>
      </c>
      <c r="K119" s="506">
        <f>IF(K$8=0,0,INDEX('R&amp;B Inputs'!$I$86:$V$86,MATCH($B119,'R&amp;B Inputs'!$I$4:$V$4,0))*(1+INDEX('R&amp;B Inputs'!$I$66:$V$66,MATCH($B119,'R&amp;B Inputs'!$I$4:$V$4,0)))^(K$7-Year1))</f>
        <v>0.62029999999999996</v>
      </c>
      <c r="L119" s="506">
        <f>IF(L$8=0,0,INDEX('R&amp;B Inputs'!$I$86:$V$86,MATCH($B119,'R&amp;B Inputs'!$I$4:$V$4,0))*(1+INDEX('R&amp;B Inputs'!$I$66:$V$66,MATCH($B119,'R&amp;B Inputs'!$I$4:$V$4,0)))^(L$7-Year1))</f>
        <v>0.62029999999999996</v>
      </c>
      <c r="M119" s="506">
        <f>IF(M$8=0,0,INDEX('R&amp;B Inputs'!$I$86:$V$86,MATCH($B119,'R&amp;B Inputs'!$I$4:$V$4,0))*(1+INDEX('R&amp;B Inputs'!$I$66:$V$66,MATCH($B119,'R&amp;B Inputs'!$I$4:$V$4,0)))^(M$7-Year1))</f>
        <v>0.62029999999999996</v>
      </c>
      <c r="N119" s="506">
        <f>IF(N$8=0,0,INDEX('R&amp;B Inputs'!$I$86:$V$86,MATCH($B119,'R&amp;B Inputs'!$I$4:$V$4,0))*(1+INDEX('R&amp;B Inputs'!$I$66:$V$66,MATCH($B119,'R&amp;B Inputs'!$I$4:$V$4,0)))^(N$7-Year1))</f>
        <v>0.62029999999999996</v>
      </c>
      <c r="O119" s="506">
        <f>IF(O$8=0,0,INDEX('R&amp;B Inputs'!$I$86:$V$86,MATCH($B119,'R&amp;B Inputs'!$I$4:$V$4,0))*(1+INDEX('R&amp;B Inputs'!$I$66:$V$66,MATCH($B119,'R&amp;B Inputs'!$I$4:$V$4,0)))^(O$7-Year1))</f>
        <v>0.62029999999999996</v>
      </c>
      <c r="P119" s="506">
        <f>IF(P$8=0,0,INDEX('R&amp;B Inputs'!$I$86:$V$86,MATCH($B119,'R&amp;B Inputs'!$I$4:$V$4,0))*(1+INDEX('R&amp;B Inputs'!$I$66:$V$66,MATCH($B119,'R&amp;B Inputs'!$I$4:$V$4,0)))^(P$7-Year1))</f>
        <v>0.62029999999999996</v>
      </c>
      <c r="Q119" s="506">
        <f>IF(Q$8=0,0,INDEX('R&amp;B Inputs'!$I$86:$V$86,MATCH($B119,'R&amp;B Inputs'!$I$4:$V$4,0))*(1+INDEX('R&amp;B Inputs'!$I$66:$V$66,MATCH($B119,'R&amp;B Inputs'!$I$4:$V$4,0)))^(Q$7-Year1))</f>
        <v>0.62029999999999996</v>
      </c>
      <c r="R119" s="506">
        <f>IF(R$8=0,0,INDEX('R&amp;B Inputs'!$I$86:$V$86,MATCH($B119,'R&amp;B Inputs'!$I$4:$V$4,0))*(1+INDEX('R&amp;B Inputs'!$I$66:$V$66,MATCH($B119,'R&amp;B Inputs'!$I$4:$V$4,0)))^(R$7-Year1))</f>
        <v>0.62029999999999996</v>
      </c>
      <c r="S119" s="506">
        <f>IF(S$8=0,0,INDEX('R&amp;B Inputs'!$I$86:$V$86,MATCH($B119,'R&amp;B Inputs'!$I$4:$V$4,0))*(1+INDEX('R&amp;B Inputs'!$I$66:$V$66,MATCH($B119,'R&amp;B Inputs'!$I$4:$V$4,0)))^(S$7-Year1))</f>
        <v>0.62029999999999996</v>
      </c>
      <c r="T119" s="506">
        <f>IF(T$8=0,0,INDEX('R&amp;B Inputs'!$I$86:$V$86,MATCH($B119,'R&amp;B Inputs'!$I$4:$V$4,0))*(1+INDEX('R&amp;B Inputs'!$I$66:$V$66,MATCH($B119,'R&amp;B Inputs'!$I$4:$V$4,0)))^(T$7-Year1))</f>
        <v>0.62029999999999996</v>
      </c>
      <c r="U119" s="506">
        <f>IF(U$8=0,0,INDEX('R&amp;B Inputs'!$I$86:$V$86,MATCH($B119,'R&amp;B Inputs'!$I$4:$V$4,0))*(1+INDEX('R&amp;B Inputs'!$I$66:$V$66,MATCH($B119,'R&amp;B Inputs'!$I$4:$V$4,0)))^(U$7-Year1))</f>
        <v>0.62029999999999996</v>
      </c>
      <c r="V119" s="506">
        <f>IF(V$8=0,0,INDEX('R&amp;B Inputs'!$I$86:$V$86,MATCH($B119,'R&amp;B Inputs'!$I$4:$V$4,0))*(1+INDEX('R&amp;B Inputs'!$I$66:$V$66,MATCH($B119,'R&amp;B Inputs'!$I$4:$V$4,0)))^(V$7-Year1))</f>
        <v>0.62029999999999996</v>
      </c>
      <c r="W119" s="506">
        <f>IF(W$8=0,0,INDEX('R&amp;B Inputs'!$I$86:$V$86,MATCH($B119,'R&amp;B Inputs'!$I$4:$V$4,0))*(1+INDEX('R&amp;B Inputs'!$I$66:$V$66,MATCH($B119,'R&amp;B Inputs'!$I$4:$V$4,0)))^(W$7-Year1))</f>
        <v>0.62029999999999996</v>
      </c>
      <c r="X119" s="506">
        <f>IF(X$8=0,0,INDEX('R&amp;B Inputs'!$I$86:$V$86,MATCH($B119,'R&amp;B Inputs'!$I$4:$V$4,0))*(1+INDEX('R&amp;B Inputs'!$I$66:$V$66,MATCH($B119,'R&amp;B Inputs'!$I$4:$V$4,0)))^(X$7-Year1))</f>
        <v>0.62029999999999996</v>
      </c>
      <c r="Y119" s="506">
        <f>IF(Y$8=0,0,INDEX('R&amp;B Inputs'!$I$86:$V$86,MATCH($B119,'R&amp;B Inputs'!$I$4:$V$4,0))*(1+INDEX('R&amp;B Inputs'!$I$66:$V$66,MATCH($B119,'R&amp;B Inputs'!$I$4:$V$4,0)))^(Y$7-Year1))</f>
        <v>0.62029999999999996</v>
      </c>
      <c r="Z119" s="506">
        <f>IF(Z$8=0,0,INDEX('R&amp;B Inputs'!$I$86:$V$86,MATCH($B119,'R&amp;B Inputs'!$I$4:$V$4,0))*(1+INDEX('R&amp;B Inputs'!$I$66:$V$66,MATCH($B119,'R&amp;B Inputs'!$I$4:$V$4,0)))^(Z$7-Year1))</f>
        <v>0.62029999999999996</v>
      </c>
      <c r="AA119" s="506">
        <f>IF(AA$8=0,0,INDEX('R&amp;B Inputs'!$I$86:$V$86,MATCH($B119,'R&amp;B Inputs'!$I$4:$V$4,0))*(1+INDEX('R&amp;B Inputs'!$I$66:$V$66,MATCH($B119,'R&amp;B Inputs'!$I$4:$V$4,0)))^(AA$7-Year1))</f>
        <v>0.62029999999999996</v>
      </c>
      <c r="AB119" s="506">
        <f>IF(AB$8=0,0,INDEX('R&amp;B Inputs'!$I$86:$V$86,MATCH($B119,'R&amp;B Inputs'!$I$4:$V$4,0))*(1+INDEX('R&amp;B Inputs'!$I$66:$V$66,MATCH($B119,'R&amp;B Inputs'!$I$4:$V$4,0)))^(AB$7-Year1))</f>
        <v>0.62029999999999996</v>
      </c>
      <c r="AC119" s="506">
        <f>IF(AC$8=0,0,INDEX('R&amp;B Inputs'!$I$86:$V$86,MATCH($B119,'R&amp;B Inputs'!$I$4:$V$4,0))*(1+INDEX('R&amp;B Inputs'!$I$66:$V$66,MATCH($B119,'R&amp;B Inputs'!$I$4:$V$4,0)))^(AC$7-Year1))</f>
        <v>0.62029999999999996</v>
      </c>
      <c r="AD119" s="506">
        <f>IF(AD$8=0,0,INDEX('R&amp;B Inputs'!$I$86:$V$86,MATCH($B119,'R&amp;B Inputs'!$I$4:$V$4,0))*(1+INDEX('R&amp;B Inputs'!$I$66:$V$66,MATCH($B119,'R&amp;B Inputs'!$I$4:$V$4,0)))^(AD$7-Year1))</f>
        <v>0.62029999999999996</v>
      </c>
      <c r="AE119" s="506">
        <f>IF(AE$8=0,0,INDEX('R&amp;B Inputs'!$I$86:$V$86,MATCH($B119,'R&amp;B Inputs'!$I$4:$V$4,0))*(1+INDEX('R&amp;B Inputs'!$I$66:$V$66,MATCH($B119,'R&amp;B Inputs'!$I$4:$V$4,0)))^(AE$7-Year1))</f>
        <v>0.62029999999999996</v>
      </c>
      <c r="AF119" s="506">
        <f>IF(AF$8=0,0,INDEX('R&amp;B Inputs'!$I$86:$V$86,MATCH($B119,'R&amp;B Inputs'!$I$4:$V$4,0))*(1+INDEX('R&amp;B Inputs'!$I$66:$V$66,MATCH($B119,'R&amp;B Inputs'!$I$4:$V$4,0)))^(AF$7-Year1))</f>
        <v>0.62029999999999996</v>
      </c>
      <c r="AG119" s="506">
        <f>IF(AG$8=0,0,INDEX('R&amp;B Inputs'!$I$86:$V$86,MATCH($B119,'R&amp;B Inputs'!$I$4:$V$4,0))*(1+INDEX('R&amp;B Inputs'!$I$66:$V$66,MATCH($B119,'R&amp;B Inputs'!$I$4:$V$4,0)))^(AG$7-Year1))</f>
        <v>0.62029999999999996</v>
      </c>
      <c r="AH119" s="506"/>
      <c r="AI119" s="506"/>
      <c r="AJ119" s="506">
        <f>IF($C$4=Year1,-PMT(Lookups!$E$17,25,NPV(Lookups!$E$17,G119:AE119),0,1),IF($C$4=Year2,-PMT(Lookups!$F$17,25,NPV(Lookups!$F$17,H119:AF119),0,1),IF($C$4=Year3,-PMT(Lookups!$G$17,25,NPV(Lookups!$G$17,I119:AG119),0,1),-PMT(Lookups!$G$17,27,NPV(Lookups!$G$17,G119:AG119),0,1))))</f>
        <v>0.61164884261501185</v>
      </c>
      <c r="AK119" s="507"/>
      <c r="AL119" s="507"/>
      <c r="AM119" s="508">
        <f>IF(AM$8=0,0,INDEX('R&amp;B Inputs'!$I$86:$V$86,MATCH($B119,'R&amp;B Inputs'!$I$4:$V$4,0))*(1+INDEX('R&amp;B Inputs'!$I$66:$V$66,MATCH($B119,'R&amp;B Inputs'!$I$4:$V$4,0)))^(AM$7-Year1))</f>
        <v>0</v>
      </c>
      <c r="AN119" s="508">
        <f>IF(AN$8=0,0,INDEX('R&amp;B Inputs'!$I$86:$V$86,MATCH($B119,'R&amp;B Inputs'!$I$4:$V$4,0))*(1+INDEX('R&amp;B Inputs'!$I$66:$V$66,MATCH($B119,'R&amp;B Inputs'!$I$4:$V$4,0)))^(AN$7-Year1))</f>
        <v>0</v>
      </c>
      <c r="AO119" s="508">
        <f>IF(AO$8=0,0,INDEX('R&amp;B Inputs'!$I$86:$V$86,MATCH($B119,'R&amp;B Inputs'!$I$4:$V$4,0))*(1+INDEX('R&amp;B Inputs'!$I$66:$V$66,MATCH($B119,'R&amp;B Inputs'!$I$4:$V$4,0)))^(AO$7-Year1))</f>
        <v>0.62029999999999996</v>
      </c>
      <c r="AP119" s="508">
        <f>IF(AP$8=0,0,INDEX('R&amp;B Inputs'!$I$86:$V$86,MATCH($B119,'R&amp;B Inputs'!$I$4:$V$4,0))*(1+INDEX('R&amp;B Inputs'!$I$66:$V$66,MATCH($B119,'R&amp;B Inputs'!$I$4:$V$4,0)))^(AP$7-Year1))</f>
        <v>0.62029999999999996</v>
      </c>
      <c r="AQ119" s="508">
        <f>IF(AQ$8=0,0,INDEX('R&amp;B Inputs'!$I$86:$V$86,MATCH($B119,'R&amp;B Inputs'!$I$4:$V$4,0))*(1+INDEX('R&amp;B Inputs'!$I$66:$V$66,MATCH($B119,'R&amp;B Inputs'!$I$4:$V$4,0)))^(AQ$7-Year1))</f>
        <v>0.62029999999999996</v>
      </c>
      <c r="AR119" s="508">
        <f>IF(AR$8=0,0,INDEX('R&amp;B Inputs'!$I$86:$V$86,MATCH($B119,'R&amp;B Inputs'!$I$4:$V$4,0))*(1+INDEX('R&amp;B Inputs'!$I$66:$V$66,MATCH($B119,'R&amp;B Inputs'!$I$4:$V$4,0)))^(AR$7-Year1))</f>
        <v>0.62029999999999996</v>
      </c>
      <c r="AS119" s="508">
        <f>IF(AS$8=0,0,INDEX('R&amp;B Inputs'!$I$86:$V$86,MATCH($B119,'R&amp;B Inputs'!$I$4:$V$4,0))*(1+INDEX('R&amp;B Inputs'!$I$66:$V$66,MATCH($B119,'R&amp;B Inputs'!$I$4:$V$4,0)))^(AS$7-Year1))</f>
        <v>0.62029999999999996</v>
      </c>
      <c r="AT119" s="508">
        <f>IF(AT$8=0,0,INDEX('R&amp;B Inputs'!$I$86:$V$86,MATCH($B119,'R&amp;B Inputs'!$I$4:$V$4,0))*(1+INDEX('R&amp;B Inputs'!$I$66:$V$66,MATCH($B119,'R&amp;B Inputs'!$I$4:$V$4,0)))^(AT$7-Year1))</f>
        <v>0.62029999999999996</v>
      </c>
      <c r="AU119" s="508">
        <f>IF(AU$8=0,0,INDEX('R&amp;B Inputs'!$I$86:$V$86,MATCH($B119,'R&amp;B Inputs'!$I$4:$V$4,0))*(1+INDEX('R&amp;B Inputs'!$I$66:$V$66,MATCH($B119,'R&amp;B Inputs'!$I$4:$V$4,0)))^(AU$7-Year1))</f>
        <v>0.62029999999999996</v>
      </c>
      <c r="AV119" s="508">
        <f>IF(AV$8=0,0,INDEX('R&amp;B Inputs'!$I$86:$V$86,MATCH($B119,'R&amp;B Inputs'!$I$4:$V$4,0))*(1+INDEX('R&amp;B Inputs'!$I$66:$V$66,MATCH($B119,'R&amp;B Inputs'!$I$4:$V$4,0)))^(AV$7-Year1))</f>
        <v>0.62029999999999996</v>
      </c>
      <c r="AW119" s="508">
        <f>IF(AW$8=0,0,INDEX('R&amp;B Inputs'!$I$86:$V$86,MATCH($B119,'R&amp;B Inputs'!$I$4:$V$4,0))*(1+INDEX('R&amp;B Inputs'!$I$66:$V$66,MATCH($B119,'R&amp;B Inputs'!$I$4:$V$4,0)))^(AW$7-Year1))</f>
        <v>0.62029999999999996</v>
      </c>
      <c r="AX119" s="508">
        <f>IF(AX$8=0,0,INDEX('R&amp;B Inputs'!$I$86:$V$86,MATCH($B119,'R&amp;B Inputs'!$I$4:$V$4,0))*(1+INDEX('R&amp;B Inputs'!$I$66:$V$66,MATCH($B119,'R&amp;B Inputs'!$I$4:$V$4,0)))^(AX$7-Year1))</f>
        <v>0.62029999999999996</v>
      </c>
      <c r="AY119" s="508">
        <f>IF(AY$8=0,0,INDEX('R&amp;B Inputs'!$I$86:$V$86,MATCH($B119,'R&amp;B Inputs'!$I$4:$V$4,0))*(1+INDEX('R&amp;B Inputs'!$I$66:$V$66,MATCH($B119,'R&amp;B Inputs'!$I$4:$V$4,0)))^(AY$7-Year1))</f>
        <v>0.62029999999999996</v>
      </c>
      <c r="AZ119" s="508">
        <f>IF(AZ$8=0,0,INDEX('R&amp;B Inputs'!$I$86:$V$86,MATCH($B119,'R&amp;B Inputs'!$I$4:$V$4,0))*(1+INDEX('R&amp;B Inputs'!$I$66:$V$66,MATCH($B119,'R&amp;B Inputs'!$I$4:$V$4,0)))^(AZ$7-Year1))</f>
        <v>0.62029999999999996</v>
      </c>
      <c r="BA119" s="508">
        <f>IF(BA$8=0,0,INDEX('R&amp;B Inputs'!$I$86:$V$86,MATCH($B119,'R&amp;B Inputs'!$I$4:$V$4,0))*(1+INDEX('R&amp;B Inputs'!$I$66:$V$66,MATCH($B119,'R&amp;B Inputs'!$I$4:$V$4,0)))^(BA$7-Year1))</f>
        <v>0.62029999999999996</v>
      </c>
      <c r="BB119" s="508">
        <f>IF(BB$8=0,0,INDEX('R&amp;B Inputs'!$I$86:$V$86,MATCH($B119,'R&amp;B Inputs'!$I$4:$V$4,0))*(1+INDEX('R&amp;B Inputs'!$I$66:$V$66,MATCH($B119,'R&amp;B Inputs'!$I$4:$V$4,0)))^(BB$7-Year1))</f>
        <v>0.62029999999999996</v>
      </c>
      <c r="BC119" s="508">
        <f>IF(BC$8=0,0,INDEX('R&amp;B Inputs'!$I$86:$V$86,MATCH($B119,'R&amp;B Inputs'!$I$4:$V$4,0))*(1+INDEX('R&amp;B Inputs'!$I$66:$V$66,MATCH($B119,'R&amp;B Inputs'!$I$4:$V$4,0)))^(BC$7-Year1))</f>
        <v>0.62029999999999996</v>
      </c>
      <c r="BD119" s="508">
        <f>IF(BD$8=0,0,INDEX('R&amp;B Inputs'!$I$86:$V$86,MATCH($B119,'R&amp;B Inputs'!$I$4:$V$4,0))*(1+INDEX('R&amp;B Inputs'!$I$66:$V$66,MATCH($B119,'R&amp;B Inputs'!$I$4:$V$4,0)))^(BD$7-Year1))</f>
        <v>0.62029999999999996</v>
      </c>
      <c r="BE119" s="508">
        <f>IF(BE$8=0,0,INDEX('R&amp;B Inputs'!$I$86:$V$86,MATCH($B119,'R&amp;B Inputs'!$I$4:$V$4,0))*(1+INDEX('R&amp;B Inputs'!$I$66:$V$66,MATCH($B119,'R&amp;B Inputs'!$I$4:$V$4,0)))^(BE$7-Year1))</f>
        <v>0.62029999999999996</v>
      </c>
      <c r="BF119" s="508">
        <f>IF(BF$8=0,0,INDEX('R&amp;B Inputs'!$I$86:$V$86,MATCH($B119,'R&amp;B Inputs'!$I$4:$V$4,0))*(1+INDEX('R&amp;B Inputs'!$I$66:$V$66,MATCH($B119,'R&amp;B Inputs'!$I$4:$V$4,0)))^(BF$7-Year1))</f>
        <v>0.62029999999999996</v>
      </c>
      <c r="BG119" s="508">
        <f>IF(BG$8=0,0,INDEX('R&amp;B Inputs'!$I$86:$V$86,MATCH($B119,'R&amp;B Inputs'!$I$4:$V$4,0))*(1+INDEX('R&amp;B Inputs'!$I$66:$V$66,MATCH($B119,'R&amp;B Inputs'!$I$4:$V$4,0)))^(BG$7-Year1))</f>
        <v>0.62029999999999996</v>
      </c>
      <c r="BH119" s="508">
        <f>IF(BH$8=0,0,INDEX('R&amp;B Inputs'!$I$86:$V$86,MATCH($B119,'R&amp;B Inputs'!$I$4:$V$4,0))*(1+INDEX('R&amp;B Inputs'!$I$66:$V$66,MATCH($B119,'R&amp;B Inputs'!$I$4:$V$4,0)))^(BH$7-Year1))</f>
        <v>0.62029999999999996</v>
      </c>
      <c r="BI119" s="508">
        <f>IF(BI$8=0,0,INDEX('R&amp;B Inputs'!$I$86:$V$86,MATCH($B119,'R&amp;B Inputs'!$I$4:$V$4,0))*(1+INDEX('R&amp;B Inputs'!$I$66:$V$66,MATCH($B119,'R&amp;B Inputs'!$I$4:$V$4,0)))^(BI$7-Year1))</f>
        <v>0.62029999999999996</v>
      </c>
      <c r="BJ119" s="508">
        <f>IF(BJ$8=0,0,INDEX('R&amp;B Inputs'!$I$86:$V$86,MATCH($B119,'R&amp;B Inputs'!$I$4:$V$4,0))*(1+INDEX('R&amp;B Inputs'!$I$66:$V$66,MATCH($B119,'R&amp;B Inputs'!$I$4:$V$4,0)))^(BJ$7-Year1))</f>
        <v>0.62029999999999996</v>
      </c>
      <c r="BK119" s="508">
        <f>IF(BK$8=0,0,INDEX('R&amp;B Inputs'!$I$86:$V$86,MATCH($B119,'R&amp;B Inputs'!$I$4:$V$4,0))*(1+INDEX('R&amp;B Inputs'!$I$66:$V$66,MATCH($B119,'R&amp;B Inputs'!$I$4:$V$4,0)))^(BK$7-Year1))</f>
        <v>0.62029999999999996</v>
      </c>
      <c r="BL119" s="508">
        <f>IF(BL$8=0,0,INDEX('R&amp;B Inputs'!$I$86:$V$86,MATCH($B119,'R&amp;B Inputs'!$I$4:$V$4,0))*(1+INDEX('R&amp;B Inputs'!$I$66:$V$66,MATCH($B119,'R&amp;B Inputs'!$I$4:$V$4,0)))^(BL$7-Year1))</f>
        <v>0.62029999999999996</v>
      </c>
      <c r="BM119" s="508">
        <f>IF(BM$8=0,0,INDEX('R&amp;B Inputs'!$I$86:$V$86,MATCH($B119,'R&amp;B Inputs'!$I$4:$V$4,0))*(1+INDEX('R&amp;B Inputs'!$I$66:$V$66,MATCH($B119,'R&amp;B Inputs'!$I$4:$V$4,0)))^(BM$7-Year1))</f>
        <v>0.62029999999999996</v>
      </c>
      <c r="BN119" s="508"/>
      <c r="BO119" s="508"/>
      <c r="BP119" s="508">
        <f>IF($C$4=Year1,-PMT(Lookups!$E$17,25,NPV(Lookups!$E$17,AM119:BK119),0,1),IF($C$4=Year2,-PMT(Lookups!$F$17,25,NPV(Lookups!$F$17,AN119:BL119),0,1),IF($C$4=Year3,-PMT(Lookups!$G$17,25,NPV(Lookups!$G$17,AO119:BM119),0,1),-PMT(Lookups!$G$17,27,NPV(Lookups!$G$17,AM119:BM119),0,1))))</f>
        <v>0.61164884261501185</v>
      </c>
      <c r="BS119" s="76" t="str">
        <f t="shared" si="107"/>
        <v>Cost of Gas charge from the R&amp;B Inputs tab, escalated annually by the growth rate included on the R&amp;B Inputs tab.</v>
      </c>
      <c r="BT119" s="51" t="s">
        <v>17</v>
      </c>
    </row>
    <row r="120" spans="1:72" x14ac:dyDescent="0.25">
      <c r="B120" s="243" t="str">
        <f>B121</f>
        <v>Low-Income</v>
      </c>
      <c r="C120" s="243" t="str">
        <f>C121</f>
        <v>Rates</v>
      </c>
      <c r="D120" s="244" t="str">
        <f>D121</f>
        <v>Rates before DSM (No EE Scenario)</v>
      </c>
      <c r="E120" s="86" t="s">
        <v>75</v>
      </c>
      <c r="F120" s="84" t="s">
        <v>182</v>
      </c>
      <c r="G120" s="506">
        <f>IF(G$8=0,0,INDEX('R&amp;B Inputs'!$H$73:$U$73,MATCH($B119,'R&amp;B Inputs'!$H$4:$U$4,0))*(1+INDEX('R&amp;B Inputs'!$H$46:$U$46,MATCH($B119,'R&amp;B Inputs'!$H$4:$U$4,0)))^(G$7-Year1))</f>
        <v>0</v>
      </c>
      <c r="H120" s="506">
        <f>IF(H$8=0,0,INDEX('R&amp;B Inputs'!$H$73:$U$73,MATCH($B119,'R&amp;B Inputs'!$H$4:$U$4,0))*(1+INDEX('R&amp;B Inputs'!$H$46:$U$46,MATCH($B119,'R&amp;B Inputs'!$H$4:$U$4,0)))^(H$7-Year1))</f>
        <v>0</v>
      </c>
      <c r="I120" s="506">
        <f>IF(I$8=0,0,INDEX('R&amp;B Inputs'!$H$73:$U$73,MATCH($B119,'R&amp;B Inputs'!$H$4:$U$4,0))*(1+INDEX('R&amp;B Inputs'!$H$46:$U$46,MATCH($B119,'R&amp;B Inputs'!$H$4:$U$4,0)))^(I$7-Year1))</f>
        <v>9.0952917202036049E-2</v>
      </c>
      <c r="J120" s="506">
        <f>IF(J$8=0,0,INDEX('R&amp;B Inputs'!$H$73:$U$73,MATCH($B119,'R&amp;B Inputs'!$H$4:$U$4,0))*(1+INDEX('R&amp;B Inputs'!$H$46:$U$46,MATCH($B119,'R&amp;B Inputs'!$H$4:$U$4,0)))^(J$7-Year1))</f>
        <v>9.0952917202036049E-2</v>
      </c>
      <c r="K120" s="506">
        <f>IF(K$8=0,0,INDEX('R&amp;B Inputs'!$H$73:$U$73,MATCH($B119,'R&amp;B Inputs'!$H$4:$U$4,0))*(1+INDEX('R&amp;B Inputs'!$H$46:$U$46,MATCH($B119,'R&amp;B Inputs'!$H$4:$U$4,0)))^(K$7-Year1))</f>
        <v>9.0952917202036049E-2</v>
      </c>
      <c r="L120" s="506">
        <f>IF(L$8=0,0,INDEX('R&amp;B Inputs'!$H$73:$U$73,MATCH($B119,'R&amp;B Inputs'!$H$4:$U$4,0))*(1+INDEX('R&amp;B Inputs'!$H$46:$U$46,MATCH($B119,'R&amp;B Inputs'!$H$4:$U$4,0)))^(L$7-Year1))</f>
        <v>9.0952917202036049E-2</v>
      </c>
      <c r="M120" s="506">
        <f>IF(M$8=0,0,INDEX('R&amp;B Inputs'!$H$73:$U$73,MATCH($B119,'R&amp;B Inputs'!$H$4:$U$4,0))*(1+INDEX('R&amp;B Inputs'!$H$46:$U$46,MATCH($B119,'R&amp;B Inputs'!$H$4:$U$4,0)))^(M$7-Year1))</f>
        <v>9.0952917202036049E-2</v>
      </c>
      <c r="N120" s="506">
        <f>IF(N$8=0,0,INDEX('R&amp;B Inputs'!$H$73:$U$73,MATCH($B119,'R&amp;B Inputs'!$H$4:$U$4,0))*(1+INDEX('R&amp;B Inputs'!$H$46:$U$46,MATCH($B119,'R&amp;B Inputs'!$H$4:$U$4,0)))^(N$7-Year1))</f>
        <v>9.0952917202036049E-2</v>
      </c>
      <c r="O120" s="506">
        <f>IF(O$8=0,0,INDEX('R&amp;B Inputs'!$H$73:$U$73,MATCH($B119,'R&amp;B Inputs'!$H$4:$U$4,0))*(1+INDEX('R&amp;B Inputs'!$H$46:$U$46,MATCH($B119,'R&amp;B Inputs'!$H$4:$U$4,0)))^(O$7-Year1))</f>
        <v>9.0952917202036049E-2</v>
      </c>
      <c r="P120" s="506">
        <f>IF(P$8=0,0,INDEX('R&amp;B Inputs'!$H$73:$U$73,MATCH($B119,'R&amp;B Inputs'!$H$4:$U$4,0))*(1+INDEX('R&amp;B Inputs'!$H$46:$U$46,MATCH($B119,'R&amp;B Inputs'!$H$4:$U$4,0)))^(P$7-Year1))</f>
        <v>9.0952917202036049E-2</v>
      </c>
      <c r="Q120" s="506">
        <f>IF(Q$8=0,0,INDEX('R&amp;B Inputs'!$H$73:$U$73,MATCH($B119,'R&amp;B Inputs'!$H$4:$U$4,0))*(1+INDEX('R&amp;B Inputs'!$H$46:$U$46,MATCH($B119,'R&amp;B Inputs'!$H$4:$U$4,0)))^(Q$7-Year1))</f>
        <v>9.0952917202036049E-2</v>
      </c>
      <c r="R120" s="506">
        <f>IF(R$8=0,0,INDEX('R&amp;B Inputs'!$H$73:$U$73,MATCH($B119,'R&amp;B Inputs'!$H$4:$U$4,0))*(1+INDEX('R&amp;B Inputs'!$H$46:$U$46,MATCH($B119,'R&amp;B Inputs'!$H$4:$U$4,0)))^(R$7-Year1))</f>
        <v>9.0952917202036049E-2</v>
      </c>
      <c r="S120" s="506">
        <f>IF(S$8=0,0,INDEX('R&amp;B Inputs'!$H$73:$U$73,MATCH($B119,'R&amp;B Inputs'!$H$4:$U$4,0))*(1+INDEX('R&amp;B Inputs'!$H$46:$U$46,MATCH($B119,'R&amp;B Inputs'!$H$4:$U$4,0)))^(S$7-Year1))</f>
        <v>9.0952917202036049E-2</v>
      </c>
      <c r="T120" s="506">
        <f>IF(T$8=0,0,INDEX('R&amp;B Inputs'!$H$73:$U$73,MATCH($B119,'R&amp;B Inputs'!$H$4:$U$4,0))*(1+INDEX('R&amp;B Inputs'!$H$46:$U$46,MATCH($B119,'R&amp;B Inputs'!$H$4:$U$4,0)))^(T$7-Year1))</f>
        <v>9.0952917202036049E-2</v>
      </c>
      <c r="U120" s="506">
        <f>IF(U$8=0,0,INDEX('R&amp;B Inputs'!$H$73:$U$73,MATCH($B119,'R&amp;B Inputs'!$H$4:$U$4,0))*(1+INDEX('R&amp;B Inputs'!$H$46:$U$46,MATCH($B119,'R&amp;B Inputs'!$H$4:$U$4,0)))^(U$7-Year1))</f>
        <v>9.0952917202036049E-2</v>
      </c>
      <c r="V120" s="506">
        <f>IF(V$8=0,0,INDEX('R&amp;B Inputs'!$H$73:$U$73,MATCH($B119,'R&amp;B Inputs'!$H$4:$U$4,0))*(1+INDEX('R&amp;B Inputs'!$H$46:$U$46,MATCH($B119,'R&amp;B Inputs'!$H$4:$U$4,0)))^(V$7-Year1))</f>
        <v>9.0952917202036049E-2</v>
      </c>
      <c r="W120" s="506">
        <f>IF(W$8=0,0,INDEX('R&amp;B Inputs'!$H$73:$U$73,MATCH($B119,'R&amp;B Inputs'!$H$4:$U$4,0))*(1+INDEX('R&amp;B Inputs'!$H$46:$U$46,MATCH($B119,'R&amp;B Inputs'!$H$4:$U$4,0)))^(W$7-Year1))</f>
        <v>9.0952917202036049E-2</v>
      </c>
      <c r="X120" s="506">
        <f>IF(X$8=0,0,INDEX('R&amp;B Inputs'!$H$73:$U$73,MATCH($B119,'R&amp;B Inputs'!$H$4:$U$4,0))*(1+INDEX('R&amp;B Inputs'!$H$46:$U$46,MATCH($B119,'R&amp;B Inputs'!$H$4:$U$4,0)))^(X$7-Year1))</f>
        <v>9.0952917202036049E-2</v>
      </c>
      <c r="Y120" s="506">
        <f>IF(Y$8=0,0,INDEX('R&amp;B Inputs'!$H$73:$U$73,MATCH($B119,'R&amp;B Inputs'!$H$4:$U$4,0))*(1+INDEX('R&amp;B Inputs'!$H$46:$U$46,MATCH($B119,'R&amp;B Inputs'!$H$4:$U$4,0)))^(Y$7-Year1))</f>
        <v>9.0952917202036049E-2</v>
      </c>
      <c r="Z120" s="506">
        <f>IF(Z$8=0,0,INDEX('R&amp;B Inputs'!$H$73:$U$73,MATCH($B119,'R&amp;B Inputs'!$H$4:$U$4,0))*(1+INDEX('R&amp;B Inputs'!$H$46:$U$46,MATCH($B119,'R&amp;B Inputs'!$H$4:$U$4,0)))^(Z$7-Year1))</f>
        <v>9.0952917202036049E-2</v>
      </c>
      <c r="AA120" s="506">
        <f>IF(AA$8=0,0,INDEX('R&amp;B Inputs'!$H$73:$U$73,MATCH($B119,'R&amp;B Inputs'!$H$4:$U$4,0))*(1+INDEX('R&amp;B Inputs'!$H$46:$U$46,MATCH($B119,'R&amp;B Inputs'!$H$4:$U$4,0)))^(AA$7-Year1))</f>
        <v>9.0952917202036049E-2</v>
      </c>
      <c r="AB120" s="506">
        <f>IF(AB$8=0,0,INDEX('R&amp;B Inputs'!$H$73:$U$73,MATCH($B119,'R&amp;B Inputs'!$H$4:$U$4,0))*(1+INDEX('R&amp;B Inputs'!$H$46:$U$46,MATCH($B119,'R&amp;B Inputs'!$H$4:$U$4,0)))^(AB$7-Year1))</f>
        <v>9.0952917202036049E-2</v>
      </c>
      <c r="AC120" s="506">
        <f>IF(AC$8=0,0,INDEX('R&amp;B Inputs'!$H$73:$U$73,MATCH($B119,'R&amp;B Inputs'!$H$4:$U$4,0))*(1+INDEX('R&amp;B Inputs'!$H$46:$U$46,MATCH($B119,'R&amp;B Inputs'!$H$4:$U$4,0)))^(AC$7-Year1))</f>
        <v>9.0952917202036049E-2</v>
      </c>
      <c r="AD120" s="506">
        <f>IF(AD$8=0,0,INDEX('R&amp;B Inputs'!$H$73:$U$73,MATCH($B119,'R&amp;B Inputs'!$H$4:$U$4,0))*(1+INDEX('R&amp;B Inputs'!$H$46:$U$46,MATCH($B119,'R&amp;B Inputs'!$H$4:$U$4,0)))^(AD$7-Year1))</f>
        <v>9.0952917202036049E-2</v>
      </c>
      <c r="AE120" s="506">
        <f>IF(AE$8=0,0,INDEX('R&amp;B Inputs'!$H$73:$U$73,MATCH($B119,'R&amp;B Inputs'!$H$4:$U$4,0))*(1+INDEX('R&amp;B Inputs'!$H$46:$U$46,MATCH($B119,'R&amp;B Inputs'!$H$4:$U$4,0)))^(AE$7-Year1))</f>
        <v>9.0952917202036049E-2</v>
      </c>
      <c r="AF120" s="506">
        <f>IF(AF$8=0,0,INDEX('R&amp;B Inputs'!$H$73:$U$73,MATCH($B119,'R&amp;B Inputs'!$H$4:$U$4,0))*(1+INDEX('R&amp;B Inputs'!$H$46:$U$46,MATCH($B119,'R&amp;B Inputs'!$H$4:$U$4,0)))^(AF$7-Year1))</f>
        <v>9.0952917202036049E-2</v>
      </c>
      <c r="AG120" s="506">
        <f>IF(AG$8=0,0,INDEX('R&amp;B Inputs'!$H$73:$U$73,MATCH($B119,'R&amp;B Inputs'!$H$4:$U$4,0))*(1+INDEX('R&amp;B Inputs'!$H$46:$U$46,MATCH($B119,'R&amp;B Inputs'!$H$4:$U$4,0)))^(AG$7-Year1))</f>
        <v>9.0952917202036049E-2</v>
      </c>
      <c r="AH120" s="506"/>
      <c r="AI120" s="506"/>
      <c r="AJ120" s="506">
        <f>IF($C$4=Year1,-PMT(Lookups!$E$17,25,NPV(Lookups!$E$17,G120:AE120),0,1),IF($C$4=Year2,-PMT(Lookups!$F$17,25,NPV(Lookups!$F$17,H120:AF120),0,1),IF($C$4=Year3,-PMT(Lookups!$G$17,25,NPV(Lookups!$G$17,I120:AG120),0,1),-PMT(Lookups!$G$17,27,NPV(Lookups!$G$17,G120:AG120),0,1))))</f>
        <v>8.9684421310792128E-2</v>
      </c>
      <c r="AK120" s="507"/>
      <c r="AL120" s="507"/>
      <c r="AM120" s="508">
        <f>IF(AM$8=0,0,INDEX('R&amp;B Inputs'!$H$73:$U$73,MATCH($B119,'R&amp;B Inputs'!$H$4:$U$4,0))*(1+INDEX('R&amp;B Inputs'!$H$46:$U$46,MATCH($B119,'R&amp;B Inputs'!$H$4:$U$4,0)))^(AM$7-Year1))</f>
        <v>0</v>
      </c>
      <c r="AN120" s="508">
        <f>IF(AN$8=0,0,INDEX('R&amp;B Inputs'!$H$73:$U$73,MATCH($B119,'R&amp;B Inputs'!$H$4:$U$4,0))*(1+INDEX('R&amp;B Inputs'!$H$46:$U$46,MATCH($B119,'R&amp;B Inputs'!$H$4:$U$4,0)))^(AN$7-Year1))</f>
        <v>0</v>
      </c>
      <c r="AO120" s="508">
        <f>IF(AO$8=0,0,INDEX('R&amp;B Inputs'!$H$73:$U$73,MATCH($B119,'R&amp;B Inputs'!$H$4:$U$4,0))*(1+INDEX('R&amp;B Inputs'!$H$46:$U$46,MATCH($B119,'R&amp;B Inputs'!$H$4:$U$4,0)))^(AO$7-Year1))</f>
        <v>9.0952917202036049E-2</v>
      </c>
      <c r="AP120" s="508">
        <f>IF(AP$8=0,0,INDEX('R&amp;B Inputs'!$H$73:$U$73,MATCH($B119,'R&amp;B Inputs'!$H$4:$U$4,0))*(1+INDEX('R&amp;B Inputs'!$H$46:$U$46,MATCH($B119,'R&amp;B Inputs'!$H$4:$U$4,0)))^(AP$7-Year1))</f>
        <v>9.0952917202036049E-2</v>
      </c>
      <c r="AQ120" s="508">
        <f>IF(AQ$8=0,0,INDEX('R&amp;B Inputs'!$H$73:$U$73,MATCH($B119,'R&amp;B Inputs'!$H$4:$U$4,0))*(1+INDEX('R&amp;B Inputs'!$H$46:$U$46,MATCH($B119,'R&amp;B Inputs'!$H$4:$U$4,0)))^(AQ$7-Year1))</f>
        <v>9.0952917202036049E-2</v>
      </c>
      <c r="AR120" s="508">
        <f>IF(AR$8=0,0,INDEX('R&amp;B Inputs'!$H$73:$U$73,MATCH($B119,'R&amp;B Inputs'!$H$4:$U$4,0))*(1+INDEX('R&amp;B Inputs'!$H$46:$U$46,MATCH($B119,'R&amp;B Inputs'!$H$4:$U$4,0)))^(AR$7-Year1))</f>
        <v>9.0952917202036049E-2</v>
      </c>
      <c r="AS120" s="508">
        <f>IF(AS$8=0,0,INDEX('R&amp;B Inputs'!$H$73:$U$73,MATCH($B119,'R&amp;B Inputs'!$H$4:$U$4,0))*(1+INDEX('R&amp;B Inputs'!$H$46:$U$46,MATCH($B119,'R&amp;B Inputs'!$H$4:$U$4,0)))^(AS$7-Year1))</f>
        <v>9.0952917202036049E-2</v>
      </c>
      <c r="AT120" s="508">
        <f>IF(AT$8=0,0,INDEX('R&amp;B Inputs'!$H$73:$U$73,MATCH($B119,'R&amp;B Inputs'!$H$4:$U$4,0))*(1+INDEX('R&amp;B Inputs'!$H$46:$U$46,MATCH($B119,'R&amp;B Inputs'!$H$4:$U$4,0)))^(AT$7-Year1))</f>
        <v>9.0952917202036049E-2</v>
      </c>
      <c r="AU120" s="508">
        <f>IF(AU$8=0,0,INDEX('R&amp;B Inputs'!$H$73:$U$73,MATCH($B119,'R&amp;B Inputs'!$H$4:$U$4,0))*(1+INDEX('R&amp;B Inputs'!$H$46:$U$46,MATCH($B119,'R&amp;B Inputs'!$H$4:$U$4,0)))^(AU$7-Year1))</f>
        <v>9.0952917202036049E-2</v>
      </c>
      <c r="AV120" s="508">
        <f>IF(AV$8=0,0,INDEX('R&amp;B Inputs'!$H$73:$U$73,MATCH($B119,'R&amp;B Inputs'!$H$4:$U$4,0))*(1+INDEX('R&amp;B Inputs'!$H$46:$U$46,MATCH($B119,'R&amp;B Inputs'!$H$4:$U$4,0)))^(AV$7-Year1))</f>
        <v>9.0952917202036049E-2</v>
      </c>
      <c r="AW120" s="508">
        <f>IF(AW$8=0,0,INDEX('R&amp;B Inputs'!$H$73:$U$73,MATCH($B119,'R&amp;B Inputs'!$H$4:$U$4,0))*(1+INDEX('R&amp;B Inputs'!$H$46:$U$46,MATCH($B119,'R&amp;B Inputs'!$H$4:$U$4,0)))^(AW$7-Year1))</f>
        <v>9.0952917202036049E-2</v>
      </c>
      <c r="AX120" s="508">
        <f>IF(AX$8=0,0,INDEX('R&amp;B Inputs'!$H$73:$U$73,MATCH($B119,'R&amp;B Inputs'!$H$4:$U$4,0))*(1+INDEX('R&amp;B Inputs'!$H$46:$U$46,MATCH($B119,'R&amp;B Inputs'!$H$4:$U$4,0)))^(AX$7-Year1))</f>
        <v>9.0952917202036049E-2</v>
      </c>
      <c r="AY120" s="508">
        <f>IF(AY$8=0,0,INDEX('R&amp;B Inputs'!$H$73:$U$73,MATCH($B119,'R&amp;B Inputs'!$H$4:$U$4,0))*(1+INDEX('R&amp;B Inputs'!$H$46:$U$46,MATCH($B119,'R&amp;B Inputs'!$H$4:$U$4,0)))^(AY$7-Year1))</f>
        <v>9.0952917202036049E-2</v>
      </c>
      <c r="AZ120" s="508">
        <f>IF(AZ$8=0,0,INDEX('R&amp;B Inputs'!$H$73:$U$73,MATCH($B119,'R&amp;B Inputs'!$H$4:$U$4,0))*(1+INDEX('R&amp;B Inputs'!$H$46:$U$46,MATCH($B119,'R&amp;B Inputs'!$H$4:$U$4,0)))^(AZ$7-Year1))</f>
        <v>9.0952917202036049E-2</v>
      </c>
      <c r="BA120" s="508">
        <f>IF(BA$8=0,0,INDEX('R&amp;B Inputs'!$H$73:$U$73,MATCH($B119,'R&amp;B Inputs'!$H$4:$U$4,0))*(1+INDEX('R&amp;B Inputs'!$H$46:$U$46,MATCH($B119,'R&amp;B Inputs'!$H$4:$U$4,0)))^(BA$7-Year1))</f>
        <v>9.0952917202036049E-2</v>
      </c>
      <c r="BB120" s="508">
        <f>IF(BB$8=0,0,INDEX('R&amp;B Inputs'!$H$73:$U$73,MATCH($B119,'R&amp;B Inputs'!$H$4:$U$4,0))*(1+INDEX('R&amp;B Inputs'!$H$46:$U$46,MATCH($B119,'R&amp;B Inputs'!$H$4:$U$4,0)))^(BB$7-Year1))</f>
        <v>9.0952917202036049E-2</v>
      </c>
      <c r="BC120" s="508">
        <f>IF(BC$8=0,0,INDEX('R&amp;B Inputs'!$H$73:$U$73,MATCH($B119,'R&amp;B Inputs'!$H$4:$U$4,0))*(1+INDEX('R&amp;B Inputs'!$H$46:$U$46,MATCH($B119,'R&amp;B Inputs'!$H$4:$U$4,0)))^(BC$7-Year1))</f>
        <v>9.0952917202036049E-2</v>
      </c>
      <c r="BD120" s="508">
        <f>IF(BD$8=0,0,INDEX('R&amp;B Inputs'!$H$73:$U$73,MATCH($B119,'R&amp;B Inputs'!$H$4:$U$4,0))*(1+INDEX('R&amp;B Inputs'!$H$46:$U$46,MATCH($B119,'R&amp;B Inputs'!$H$4:$U$4,0)))^(BD$7-Year1))</f>
        <v>9.0952917202036049E-2</v>
      </c>
      <c r="BE120" s="508">
        <f>IF(BE$8=0,0,INDEX('R&amp;B Inputs'!$H$73:$U$73,MATCH($B119,'R&amp;B Inputs'!$H$4:$U$4,0))*(1+INDEX('R&amp;B Inputs'!$H$46:$U$46,MATCH($B119,'R&amp;B Inputs'!$H$4:$U$4,0)))^(BE$7-Year1))</f>
        <v>9.0952917202036049E-2</v>
      </c>
      <c r="BF120" s="508">
        <f>IF(BF$8=0,0,INDEX('R&amp;B Inputs'!$H$73:$U$73,MATCH($B119,'R&amp;B Inputs'!$H$4:$U$4,0))*(1+INDEX('R&amp;B Inputs'!$H$46:$U$46,MATCH($B119,'R&amp;B Inputs'!$H$4:$U$4,0)))^(BF$7-Year1))</f>
        <v>9.0952917202036049E-2</v>
      </c>
      <c r="BG120" s="508">
        <f>IF(BG$8=0,0,INDEX('R&amp;B Inputs'!$H$73:$U$73,MATCH($B119,'R&amp;B Inputs'!$H$4:$U$4,0))*(1+INDEX('R&amp;B Inputs'!$H$46:$U$46,MATCH($B119,'R&amp;B Inputs'!$H$4:$U$4,0)))^(BG$7-Year1))</f>
        <v>9.0952917202036049E-2</v>
      </c>
      <c r="BH120" s="508">
        <f>IF(BH$8=0,0,INDEX('R&amp;B Inputs'!$H$73:$U$73,MATCH($B119,'R&amp;B Inputs'!$H$4:$U$4,0))*(1+INDEX('R&amp;B Inputs'!$H$46:$U$46,MATCH($B119,'R&amp;B Inputs'!$H$4:$U$4,0)))^(BH$7-Year1))</f>
        <v>9.0952917202036049E-2</v>
      </c>
      <c r="BI120" s="508">
        <f>IF(BI$8=0,0,INDEX('R&amp;B Inputs'!$H$73:$U$73,MATCH($B119,'R&amp;B Inputs'!$H$4:$U$4,0))*(1+INDEX('R&amp;B Inputs'!$H$46:$U$46,MATCH($B119,'R&amp;B Inputs'!$H$4:$U$4,0)))^(BI$7-Year1))</f>
        <v>9.0952917202036049E-2</v>
      </c>
      <c r="BJ120" s="508">
        <f>IF(BJ$8=0,0,INDEX('R&amp;B Inputs'!$H$73:$U$73,MATCH($B119,'R&amp;B Inputs'!$H$4:$U$4,0))*(1+INDEX('R&amp;B Inputs'!$H$46:$U$46,MATCH($B119,'R&amp;B Inputs'!$H$4:$U$4,0)))^(BJ$7-Year1))</f>
        <v>9.0952917202036049E-2</v>
      </c>
      <c r="BK120" s="508">
        <f>IF(BK$8=0,0,INDEX('R&amp;B Inputs'!$H$73:$U$73,MATCH($B119,'R&amp;B Inputs'!$H$4:$U$4,0))*(1+INDEX('R&amp;B Inputs'!$H$46:$U$46,MATCH($B119,'R&amp;B Inputs'!$H$4:$U$4,0)))^(BK$7-Year1))</f>
        <v>9.0952917202036049E-2</v>
      </c>
      <c r="BL120" s="508">
        <f>IF(BL$8=0,0,INDEX('R&amp;B Inputs'!$H$73:$U$73,MATCH($B119,'R&amp;B Inputs'!$H$4:$U$4,0))*(1+INDEX('R&amp;B Inputs'!$H$46:$U$46,MATCH($B119,'R&amp;B Inputs'!$H$4:$U$4,0)))^(BL$7-Year1))</f>
        <v>9.0952917202036049E-2</v>
      </c>
      <c r="BM120" s="508">
        <f>IF(BM$8=0,0,INDEX('R&amp;B Inputs'!$H$73:$U$73,MATCH($B119,'R&amp;B Inputs'!$H$4:$U$4,0))*(1+INDEX('R&amp;B Inputs'!$H$46:$U$46,MATCH($B119,'R&amp;B Inputs'!$H$4:$U$4,0)))^(BM$7-Year1))</f>
        <v>9.0952917202036049E-2</v>
      </c>
      <c r="BN120" s="508"/>
      <c r="BO120" s="508"/>
      <c r="BP120" s="508">
        <f>IF($C$4=Year1,-PMT(Lookups!$E$17,25,NPV(Lookups!$E$17,AM120:BK120),0,1),IF($C$4=Year2,-PMT(Lookups!$F$17,25,NPV(Lookups!$F$17,AN120:BL120),0,1),IF($C$4=Year3,-PMT(Lookups!$G$17,25,NPV(Lookups!$G$17,AO120:BM120),0,1),-PMT(Lookups!$G$17,27,NPV(Lookups!$G$17,AM120:BM120),0,1))))</f>
        <v>8.9684421310792128E-2</v>
      </c>
      <c r="BS120" s="84" t="str">
        <f>E120&amp;" charge from the R&amp;B Inputs tab, escalated annually by the growth rate included on the R&amp;B Inputs tab."</f>
        <v>Customer Charge charge from the R&amp;B Inputs tab, escalated annually by the growth rate included on the R&amp;B Inputs tab.</v>
      </c>
      <c r="BT120" s="51" t="s">
        <v>17</v>
      </c>
    </row>
    <row r="121" spans="1:72" x14ac:dyDescent="0.25">
      <c r="B121" s="243" t="str">
        <f>B119</f>
        <v>Low-Income</v>
      </c>
      <c r="C121" s="243" t="str">
        <f>C119</f>
        <v>Rates</v>
      </c>
      <c r="D121" s="244" t="str">
        <f>D119</f>
        <v>Rates before DSM (No EE Scenario)</v>
      </c>
      <c r="E121" s="84" t="s">
        <v>76</v>
      </c>
      <c r="F121" s="84" t="s">
        <v>182</v>
      </c>
      <c r="G121" s="506">
        <f>SUM(G117:G120)</f>
        <v>0</v>
      </c>
      <c r="H121" s="506">
        <f>SUM(H117:H120)</f>
        <v>0</v>
      </c>
      <c r="I121" s="506">
        <f t="shared" ref="I121:AG121" si="108">SUM(I117:I120)</f>
        <v>0.90105291720203595</v>
      </c>
      <c r="J121" s="506">
        <f t="shared" si="108"/>
        <v>0.90105291720203595</v>
      </c>
      <c r="K121" s="506">
        <f t="shared" si="108"/>
        <v>0.90105291720203595</v>
      </c>
      <c r="L121" s="506">
        <f t="shared" si="108"/>
        <v>0.90105291720203595</v>
      </c>
      <c r="M121" s="506">
        <f t="shared" si="108"/>
        <v>0.90105291720203595</v>
      </c>
      <c r="N121" s="506">
        <f t="shared" si="108"/>
        <v>0.90105291720203595</v>
      </c>
      <c r="O121" s="506">
        <f t="shared" si="108"/>
        <v>0.90105291720203595</v>
      </c>
      <c r="P121" s="506">
        <f t="shared" si="108"/>
        <v>0.90105291720203595</v>
      </c>
      <c r="Q121" s="506">
        <f t="shared" si="108"/>
        <v>0.90105291720203595</v>
      </c>
      <c r="R121" s="506">
        <f t="shared" si="108"/>
        <v>0.90105291720203595</v>
      </c>
      <c r="S121" s="506">
        <f t="shared" si="108"/>
        <v>0.90105291720203595</v>
      </c>
      <c r="T121" s="506">
        <f t="shared" si="108"/>
        <v>0.90105291720203595</v>
      </c>
      <c r="U121" s="506">
        <f t="shared" si="108"/>
        <v>0.90105291720203595</v>
      </c>
      <c r="V121" s="506">
        <f t="shared" si="108"/>
        <v>0.90105291720203595</v>
      </c>
      <c r="W121" s="506">
        <f t="shared" si="108"/>
        <v>0.90105291720203595</v>
      </c>
      <c r="X121" s="506">
        <f t="shared" si="108"/>
        <v>0.90105291720203595</v>
      </c>
      <c r="Y121" s="506">
        <f t="shared" si="108"/>
        <v>0.90105291720203595</v>
      </c>
      <c r="Z121" s="506">
        <f t="shared" si="108"/>
        <v>0.90105291720203595</v>
      </c>
      <c r="AA121" s="506">
        <f t="shared" si="108"/>
        <v>0.90105291720203595</v>
      </c>
      <c r="AB121" s="506">
        <f t="shared" si="108"/>
        <v>0.90105291720203595</v>
      </c>
      <c r="AC121" s="506">
        <f t="shared" si="108"/>
        <v>0.90105291720203595</v>
      </c>
      <c r="AD121" s="506">
        <f t="shared" si="108"/>
        <v>0.90105291720203595</v>
      </c>
      <c r="AE121" s="506">
        <f t="shared" si="108"/>
        <v>0.90105291720203595</v>
      </c>
      <c r="AF121" s="506">
        <f t="shared" si="108"/>
        <v>0.90105291720203595</v>
      </c>
      <c r="AG121" s="506">
        <f t="shared" si="108"/>
        <v>0.90105291720203595</v>
      </c>
      <c r="AH121" s="506"/>
      <c r="AI121" s="506"/>
      <c r="AJ121" s="506">
        <f>IF($C$4=Year1,-PMT(Lookups!$E$17,25,NPV(Lookups!$E$17,G121:AE121),0,1),IF($C$4=Year2,-PMT(Lookups!$F$17,25,NPV(Lookups!$F$17,H121:AF121),0,1),IF($C$4=Year3,-PMT(Lookups!$G$17,25,NPV(Lookups!$G$17,I121:AG121),0,1),-PMT(Lookups!$G$17,27,NPV(Lookups!$G$17,G121:AG121),0,1))))</f>
        <v>0.88848617433742627</v>
      </c>
      <c r="AK121" s="507"/>
      <c r="AL121" s="507"/>
      <c r="AM121" s="508">
        <f>SUM(AM117:AM120)</f>
        <v>0</v>
      </c>
      <c r="AN121" s="508">
        <f t="shared" ref="AN121:BM121" si="109">SUM(AN117:AN120)</f>
        <v>0</v>
      </c>
      <c r="AO121" s="508">
        <f t="shared" si="109"/>
        <v>0.90105291720203595</v>
      </c>
      <c r="AP121" s="508">
        <f t="shared" si="109"/>
        <v>0.90105291720203595</v>
      </c>
      <c r="AQ121" s="508">
        <f t="shared" si="109"/>
        <v>0.90105291720203595</v>
      </c>
      <c r="AR121" s="508">
        <f t="shared" si="109"/>
        <v>0.90105291720203595</v>
      </c>
      <c r="AS121" s="508">
        <f t="shared" si="109"/>
        <v>0.90105291720203595</v>
      </c>
      <c r="AT121" s="508">
        <f t="shared" si="109"/>
        <v>0.90105291720203595</v>
      </c>
      <c r="AU121" s="508">
        <f t="shared" si="109"/>
        <v>0.90105291720203595</v>
      </c>
      <c r="AV121" s="508">
        <f t="shared" si="109"/>
        <v>0.90105291720203595</v>
      </c>
      <c r="AW121" s="508">
        <f t="shared" si="109"/>
        <v>0.90105291720203595</v>
      </c>
      <c r="AX121" s="508">
        <f t="shared" si="109"/>
        <v>0.90105291720203595</v>
      </c>
      <c r="AY121" s="508">
        <f t="shared" si="109"/>
        <v>0.90105291720203595</v>
      </c>
      <c r="AZ121" s="508">
        <f t="shared" si="109"/>
        <v>0.90105291720203595</v>
      </c>
      <c r="BA121" s="508">
        <f t="shared" si="109"/>
        <v>0.90105291720203595</v>
      </c>
      <c r="BB121" s="508">
        <f t="shared" si="109"/>
        <v>0.90105291720203595</v>
      </c>
      <c r="BC121" s="508">
        <f t="shared" si="109"/>
        <v>0.90105291720203595</v>
      </c>
      <c r="BD121" s="508">
        <f t="shared" si="109"/>
        <v>0.90105291720203595</v>
      </c>
      <c r="BE121" s="508">
        <f t="shared" si="109"/>
        <v>0.90105291720203595</v>
      </c>
      <c r="BF121" s="508">
        <f t="shared" si="109"/>
        <v>0.90105291720203595</v>
      </c>
      <c r="BG121" s="508">
        <f t="shared" si="109"/>
        <v>0.90105291720203595</v>
      </c>
      <c r="BH121" s="508">
        <f t="shared" si="109"/>
        <v>0.90105291720203595</v>
      </c>
      <c r="BI121" s="508">
        <f t="shared" si="109"/>
        <v>0.90105291720203595</v>
      </c>
      <c r="BJ121" s="508">
        <f t="shared" si="109"/>
        <v>0.90105291720203595</v>
      </c>
      <c r="BK121" s="508">
        <f t="shared" si="109"/>
        <v>0.90105291720203595</v>
      </c>
      <c r="BL121" s="508">
        <f t="shared" si="109"/>
        <v>0.90105291720203595</v>
      </c>
      <c r="BM121" s="508">
        <f t="shared" si="109"/>
        <v>0.90105291720203595</v>
      </c>
      <c r="BN121" s="508"/>
      <c r="BO121" s="508"/>
      <c r="BP121" s="508">
        <f>IF($C$4=Year1,-PMT(Lookups!$E$17,25,NPV(Lookups!$E$17,AM121:BK121),0,1),IF($C$4=Year2,-PMT(Lookups!$F$17,25,NPV(Lookups!$F$17,AN121:BL121),0,1),IF($C$4=Year3,-PMT(Lookups!$G$17,25,NPV(Lookups!$G$17,AO121:BM121),0,1),-PMT(Lookups!$G$17,27,NPV(Lookups!$G$17,AM121:BM121),0,1))))</f>
        <v>0.88848617433742627</v>
      </c>
      <c r="BS121" s="84" t="s">
        <v>94</v>
      </c>
      <c r="BT121" s="51" t="s">
        <v>17</v>
      </c>
    </row>
    <row r="122" spans="1:72" x14ac:dyDescent="0.25">
      <c r="B122" s="243" t="str">
        <f>B120</f>
        <v>Low-Income</v>
      </c>
      <c r="C122" s="243" t="str">
        <f>C120</f>
        <v>Rates</v>
      </c>
      <c r="D122" s="114" t="s">
        <v>24</v>
      </c>
      <c r="E122" s="86"/>
      <c r="F122" s="8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89"/>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S122" s="84"/>
      <c r="BT122" s="51" t="s">
        <v>17</v>
      </c>
    </row>
    <row r="123" spans="1:72" x14ac:dyDescent="0.25">
      <c r="B123" s="243" t="str">
        <f t="shared" ref="B123:D124" si="110">B122</f>
        <v>Low-Income</v>
      </c>
      <c r="C123" s="243" t="str">
        <f t="shared" si="110"/>
        <v>Rates</v>
      </c>
      <c r="D123" s="244" t="str">
        <f t="shared" si="110"/>
        <v>Avoided Costs</v>
      </c>
      <c r="E123" s="84" t="s">
        <v>45</v>
      </c>
      <c r="F123" s="84" t="s">
        <v>182</v>
      </c>
      <c r="G123" s="506">
        <f ca="1">IFERROR(-G104/G96,0)</f>
        <v>0</v>
      </c>
      <c r="H123" s="506">
        <f t="shared" ref="H123:AG123" ca="1" si="111">IFERROR(-H104/H96,0)</f>
        <v>0</v>
      </c>
      <c r="I123" s="506">
        <f t="shared" ca="1" si="111"/>
        <v>-1.5162516722535239E-2</v>
      </c>
      <c r="J123" s="506">
        <f t="shared" ca="1" si="111"/>
        <v>-1.5162516722535239E-2</v>
      </c>
      <c r="K123" s="506">
        <f t="shared" ca="1" si="111"/>
        <v>-1.5162516722535239E-2</v>
      </c>
      <c r="L123" s="506">
        <f t="shared" ca="1" si="111"/>
        <v>-1.5162516722535239E-2</v>
      </c>
      <c r="M123" s="506">
        <f t="shared" ca="1" si="111"/>
        <v>-1.5162516722535239E-2</v>
      </c>
      <c r="N123" s="506">
        <f t="shared" ca="1" si="111"/>
        <v>-1.5162516722535239E-2</v>
      </c>
      <c r="O123" s="506">
        <f t="shared" ca="1" si="111"/>
        <v>-1.5162516722535239E-2</v>
      </c>
      <c r="P123" s="506">
        <f t="shared" ca="1" si="111"/>
        <v>-1.5162516722535239E-2</v>
      </c>
      <c r="Q123" s="506">
        <f t="shared" ca="1" si="111"/>
        <v>-1.5162516722535239E-2</v>
      </c>
      <c r="R123" s="506">
        <f t="shared" ca="1" si="111"/>
        <v>-1.5162516722535239E-2</v>
      </c>
      <c r="S123" s="506">
        <f t="shared" ca="1" si="111"/>
        <v>-1.5162516722535239E-2</v>
      </c>
      <c r="T123" s="506">
        <f t="shared" ca="1" si="111"/>
        <v>-1.5162516722535239E-2</v>
      </c>
      <c r="U123" s="506">
        <f t="shared" ca="1" si="111"/>
        <v>-1.5162516722535239E-2</v>
      </c>
      <c r="V123" s="506">
        <f t="shared" ca="1" si="111"/>
        <v>-1.5162516722535239E-2</v>
      </c>
      <c r="W123" s="506">
        <f t="shared" ca="1" si="111"/>
        <v>-1.5162516722535239E-2</v>
      </c>
      <c r="X123" s="506">
        <f t="shared" ca="1" si="111"/>
        <v>-1.5162516722535239E-2</v>
      </c>
      <c r="Y123" s="506">
        <f t="shared" ca="1" si="111"/>
        <v>-1.5162516722535239E-2</v>
      </c>
      <c r="Z123" s="506">
        <f t="shared" ca="1" si="111"/>
        <v>-1.5162516722535239E-2</v>
      </c>
      <c r="AA123" s="506">
        <f t="shared" ca="1" si="111"/>
        <v>-1.5162516722535239E-2</v>
      </c>
      <c r="AB123" s="506">
        <f t="shared" ca="1" si="111"/>
        <v>-1.5162516722535239E-2</v>
      </c>
      <c r="AC123" s="506">
        <f t="shared" ca="1" si="111"/>
        <v>0</v>
      </c>
      <c r="AD123" s="506">
        <f t="shared" ca="1" si="111"/>
        <v>0</v>
      </c>
      <c r="AE123" s="506">
        <f t="shared" ca="1" si="111"/>
        <v>0</v>
      </c>
      <c r="AF123" s="506">
        <f t="shared" ca="1" si="111"/>
        <v>0</v>
      </c>
      <c r="AG123" s="506">
        <f t="shared" ca="1" si="111"/>
        <v>0</v>
      </c>
      <c r="AH123" s="506"/>
      <c r="AI123" s="506"/>
      <c r="AJ123" s="506">
        <f ca="1">IF($C$4=Year1,-PMT(Lookups!$E$17,25,NPV(Lookups!$E$17,G123:AE123),0,1),IF($C$4=Year2,-PMT(Lookups!$F$17,25,NPV(Lookups!$F$17,H123:AF123),0,1),IF($C$4=Year3,-PMT(Lookups!$G$17,25,NPV(Lookups!$G$17,I123:AG123),0,1),-PMT(Lookups!$G$17,27,NPV(Lookups!$G$17,G123:AG123),0,1))))</f>
        <v>-1.236542139337422E-2</v>
      </c>
      <c r="AK123" s="507"/>
      <c r="AL123" s="507"/>
      <c r="AM123" s="508">
        <f ca="1">IFERROR(-AM104/AM96,0)</f>
        <v>0</v>
      </c>
      <c r="AN123" s="508">
        <f t="shared" ref="AN123:BM123" ca="1" si="112">IFERROR(-AN104/AN96,0)</f>
        <v>0</v>
      </c>
      <c r="AO123" s="508">
        <f t="shared" ca="1" si="112"/>
        <v>-1.7379308109007886E-2</v>
      </c>
      <c r="AP123" s="508">
        <f t="shared" ca="1" si="112"/>
        <v>-1.7379308109007886E-2</v>
      </c>
      <c r="AQ123" s="508">
        <f t="shared" ca="1" si="112"/>
        <v>-1.7379308109007886E-2</v>
      </c>
      <c r="AR123" s="508">
        <f t="shared" ca="1" si="112"/>
        <v>-1.7379308109007886E-2</v>
      </c>
      <c r="AS123" s="508">
        <f t="shared" ca="1" si="112"/>
        <v>-1.7379308109007886E-2</v>
      </c>
      <c r="AT123" s="508">
        <f t="shared" ca="1" si="112"/>
        <v>-1.7379308109007886E-2</v>
      </c>
      <c r="AU123" s="508">
        <f t="shared" ca="1" si="112"/>
        <v>-1.7379308109007886E-2</v>
      </c>
      <c r="AV123" s="508">
        <f t="shared" ca="1" si="112"/>
        <v>-1.7379308109007886E-2</v>
      </c>
      <c r="AW123" s="508">
        <f t="shared" ca="1" si="112"/>
        <v>-1.7379308109007886E-2</v>
      </c>
      <c r="AX123" s="508">
        <f t="shared" ca="1" si="112"/>
        <v>-1.7379308109007886E-2</v>
      </c>
      <c r="AY123" s="508">
        <f t="shared" ca="1" si="112"/>
        <v>-1.7379308109007886E-2</v>
      </c>
      <c r="AZ123" s="508">
        <f t="shared" ca="1" si="112"/>
        <v>-1.7379308109007886E-2</v>
      </c>
      <c r="BA123" s="508">
        <f t="shared" ca="1" si="112"/>
        <v>-1.7379308109007886E-2</v>
      </c>
      <c r="BB123" s="508">
        <f t="shared" ca="1" si="112"/>
        <v>-1.7379308109007886E-2</v>
      </c>
      <c r="BC123" s="508">
        <f t="shared" ca="1" si="112"/>
        <v>-1.7379308109007886E-2</v>
      </c>
      <c r="BD123" s="508">
        <f t="shared" ca="1" si="112"/>
        <v>-1.7379308109007886E-2</v>
      </c>
      <c r="BE123" s="508">
        <f t="shared" ca="1" si="112"/>
        <v>-1.7379308109007886E-2</v>
      </c>
      <c r="BF123" s="508">
        <f t="shared" ca="1" si="112"/>
        <v>-1.7379308109007886E-2</v>
      </c>
      <c r="BG123" s="508">
        <f t="shared" ca="1" si="112"/>
        <v>-1.7379308109007886E-2</v>
      </c>
      <c r="BH123" s="508">
        <f t="shared" ca="1" si="112"/>
        <v>-1.7379308109007886E-2</v>
      </c>
      <c r="BI123" s="508">
        <f t="shared" ca="1" si="112"/>
        <v>0</v>
      </c>
      <c r="BJ123" s="508">
        <f t="shared" ca="1" si="112"/>
        <v>0</v>
      </c>
      <c r="BK123" s="508">
        <f t="shared" ca="1" si="112"/>
        <v>0</v>
      </c>
      <c r="BL123" s="508">
        <f t="shared" ca="1" si="112"/>
        <v>0</v>
      </c>
      <c r="BM123" s="508">
        <f t="shared" ca="1" si="112"/>
        <v>0</v>
      </c>
      <c r="BN123" s="508"/>
      <c r="BO123" s="508"/>
      <c r="BP123" s="508">
        <f ca="1">IF($C$4=Year1,-PMT(Lookups!$E$17,25,NPV(Lookups!$E$17,AM123:BK123),0,1),IF($C$4=Year2,-PMT(Lookups!$F$17,25,NPV(Lookups!$F$17,AN123:BL123),0,1),IF($C$4=Year3,-PMT(Lookups!$G$17,25,NPV(Lookups!$G$17,AO123:BM123),0,1),-PMT(Lookups!$G$17,27,NPV(Lookups!$G$17,AM123:BM123),0,1))))</f>
        <v>-1.4173271642547978E-2</v>
      </c>
      <c r="BS123" s="84" t="str">
        <f t="shared" ref="BS123:BS125" si="113">"Avoided "&amp;E123&amp;" avoided costs divided by After Scenario sales."</f>
        <v>Avoided Gas avoided costs divided by After Scenario sales.</v>
      </c>
      <c r="BT123" s="51" t="s">
        <v>17</v>
      </c>
    </row>
    <row r="124" spans="1:72" x14ac:dyDescent="0.25">
      <c r="B124" s="243" t="str">
        <f t="shared" si="110"/>
        <v>Low-Income</v>
      </c>
      <c r="C124" s="243" t="str">
        <f t="shared" si="110"/>
        <v>Rates</v>
      </c>
      <c r="D124" s="244" t="str">
        <f t="shared" si="110"/>
        <v>Avoided Costs</v>
      </c>
      <c r="E124" s="86" t="s">
        <v>412</v>
      </c>
      <c r="F124" s="84" t="s">
        <v>182</v>
      </c>
      <c r="G124" s="506">
        <f ca="1">IFERROR(-G105/G96,0)</f>
        <v>0</v>
      </c>
      <c r="H124" s="506">
        <f t="shared" ref="H124:AG124" ca="1" si="114">IFERROR(-H105/H96,0)</f>
        <v>0</v>
      </c>
      <c r="I124" s="506">
        <f t="shared" ca="1" si="114"/>
        <v>-9.6782021633203669E-4</v>
      </c>
      <c r="J124" s="506">
        <f t="shared" ca="1" si="114"/>
        <v>-9.6782021633203669E-4</v>
      </c>
      <c r="K124" s="506">
        <f t="shared" ca="1" si="114"/>
        <v>-9.6782021633203669E-4</v>
      </c>
      <c r="L124" s="506">
        <f t="shared" ca="1" si="114"/>
        <v>-9.6782021633203669E-4</v>
      </c>
      <c r="M124" s="506">
        <f t="shared" ca="1" si="114"/>
        <v>-9.6782021633203669E-4</v>
      </c>
      <c r="N124" s="506">
        <f t="shared" ca="1" si="114"/>
        <v>-9.6782021633203669E-4</v>
      </c>
      <c r="O124" s="506">
        <f t="shared" ca="1" si="114"/>
        <v>-9.6782021633203669E-4</v>
      </c>
      <c r="P124" s="506">
        <f t="shared" ca="1" si="114"/>
        <v>-9.6782021633203669E-4</v>
      </c>
      <c r="Q124" s="506">
        <f t="shared" ca="1" si="114"/>
        <v>-9.6782021633203669E-4</v>
      </c>
      <c r="R124" s="506">
        <f t="shared" ca="1" si="114"/>
        <v>-9.6782021633203669E-4</v>
      </c>
      <c r="S124" s="506">
        <f t="shared" ca="1" si="114"/>
        <v>-9.6782021633203669E-4</v>
      </c>
      <c r="T124" s="506">
        <f t="shared" ca="1" si="114"/>
        <v>-9.6782021633203669E-4</v>
      </c>
      <c r="U124" s="506">
        <f t="shared" ca="1" si="114"/>
        <v>-9.6782021633203669E-4</v>
      </c>
      <c r="V124" s="506">
        <f t="shared" ca="1" si="114"/>
        <v>-9.6782021633203669E-4</v>
      </c>
      <c r="W124" s="506">
        <f t="shared" ca="1" si="114"/>
        <v>-9.6782021633203669E-4</v>
      </c>
      <c r="X124" s="506">
        <f t="shared" ca="1" si="114"/>
        <v>-9.6782021633203669E-4</v>
      </c>
      <c r="Y124" s="506">
        <f t="shared" ca="1" si="114"/>
        <v>-9.6782021633203669E-4</v>
      </c>
      <c r="Z124" s="506">
        <f t="shared" ca="1" si="114"/>
        <v>-9.6782021633203669E-4</v>
      </c>
      <c r="AA124" s="506">
        <f t="shared" ca="1" si="114"/>
        <v>-9.6782021633203669E-4</v>
      </c>
      <c r="AB124" s="506">
        <f t="shared" ca="1" si="114"/>
        <v>-9.6782021633203669E-4</v>
      </c>
      <c r="AC124" s="506">
        <f t="shared" ca="1" si="114"/>
        <v>0</v>
      </c>
      <c r="AD124" s="506">
        <f t="shared" ca="1" si="114"/>
        <v>0</v>
      </c>
      <c r="AE124" s="506">
        <f t="shared" ca="1" si="114"/>
        <v>0</v>
      </c>
      <c r="AF124" s="506">
        <f t="shared" ca="1" si="114"/>
        <v>0</v>
      </c>
      <c r="AG124" s="506">
        <f t="shared" ca="1" si="114"/>
        <v>0</v>
      </c>
      <c r="AH124" s="506"/>
      <c r="AI124" s="506"/>
      <c r="AJ124" s="506">
        <f ca="1">IF($C$4=Year1,-PMT(Lookups!$E$17,25,NPV(Lookups!$E$17,G124:AE124),0,1),IF($C$4=Year2,-PMT(Lookups!$F$17,25,NPV(Lookups!$F$17,H124:AF124),0,1),IF($C$4=Year3,-PMT(Lookups!$G$17,25,NPV(Lookups!$G$17,I124:AG124),0,1),-PMT(Lookups!$G$17,27,NPV(Lookups!$G$17,G124:AG124),0,1))))</f>
        <v>-7.8928221659835458E-4</v>
      </c>
      <c r="AK124" s="507"/>
      <c r="AL124" s="507"/>
      <c r="AM124" s="508">
        <f ca="1">IFERROR(-AM105/AM96,0)</f>
        <v>0</v>
      </c>
      <c r="AN124" s="508">
        <f t="shared" ref="AN124:BM124" ca="1" si="115">IFERROR(-AN105/AN96,0)</f>
        <v>0</v>
      </c>
      <c r="AO124" s="508">
        <f t="shared" ca="1" si="115"/>
        <v>-1.109317538872844E-3</v>
      </c>
      <c r="AP124" s="508">
        <f t="shared" ca="1" si="115"/>
        <v>-1.109317538872844E-3</v>
      </c>
      <c r="AQ124" s="508">
        <f t="shared" ca="1" si="115"/>
        <v>-1.109317538872844E-3</v>
      </c>
      <c r="AR124" s="508">
        <f t="shared" ca="1" si="115"/>
        <v>-1.109317538872844E-3</v>
      </c>
      <c r="AS124" s="508">
        <f t="shared" ca="1" si="115"/>
        <v>-1.109317538872844E-3</v>
      </c>
      <c r="AT124" s="508">
        <f t="shared" ca="1" si="115"/>
        <v>-1.109317538872844E-3</v>
      </c>
      <c r="AU124" s="508">
        <f t="shared" ca="1" si="115"/>
        <v>-1.109317538872844E-3</v>
      </c>
      <c r="AV124" s="508">
        <f t="shared" ca="1" si="115"/>
        <v>-1.109317538872844E-3</v>
      </c>
      <c r="AW124" s="508">
        <f t="shared" ca="1" si="115"/>
        <v>-1.109317538872844E-3</v>
      </c>
      <c r="AX124" s="508">
        <f t="shared" ca="1" si="115"/>
        <v>-1.109317538872844E-3</v>
      </c>
      <c r="AY124" s="508">
        <f t="shared" ca="1" si="115"/>
        <v>-1.109317538872844E-3</v>
      </c>
      <c r="AZ124" s="508">
        <f t="shared" ca="1" si="115"/>
        <v>-1.109317538872844E-3</v>
      </c>
      <c r="BA124" s="508">
        <f t="shared" ca="1" si="115"/>
        <v>-1.109317538872844E-3</v>
      </c>
      <c r="BB124" s="508">
        <f t="shared" ca="1" si="115"/>
        <v>-1.109317538872844E-3</v>
      </c>
      <c r="BC124" s="508">
        <f t="shared" ca="1" si="115"/>
        <v>-1.109317538872844E-3</v>
      </c>
      <c r="BD124" s="508">
        <f t="shared" ca="1" si="115"/>
        <v>-1.109317538872844E-3</v>
      </c>
      <c r="BE124" s="508">
        <f t="shared" ca="1" si="115"/>
        <v>-1.109317538872844E-3</v>
      </c>
      <c r="BF124" s="508">
        <f t="shared" ca="1" si="115"/>
        <v>-1.109317538872844E-3</v>
      </c>
      <c r="BG124" s="508">
        <f t="shared" ca="1" si="115"/>
        <v>-1.109317538872844E-3</v>
      </c>
      <c r="BH124" s="508">
        <f t="shared" ca="1" si="115"/>
        <v>-1.109317538872844E-3</v>
      </c>
      <c r="BI124" s="508">
        <f t="shared" ca="1" si="115"/>
        <v>0</v>
      </c>
      <c r="BJ124" s="508">
        <f t="shared" ca="1" si="115"/>
        <v>0</v>
      </c>
      <c r="BK124" s="508">
        <f t="shared" ca="1" si="115"/>
        <v>0</v>
      </c>
      <c r="BL124" s="508">
        <f t="shared" ca="1" si="115"/>
        <v>0</v>
      </c>
      <c r="BM124" s="508">
        <f t="shared" ca="1" si="115"/>
        <v>0</v>
      </c>
      <c r="BN124" s="508"/>
      <c r="BO124" s="508"/>
      <c r="BP124" s="508">
        <f ca="1">IF($C$4=Year1,-PMT(Lookups!$E$17,25,NPV(Lookups!$E$17,AM124:BK124),0,1),IF($C$4=Year2,-PMT(Lookups!$F$17,25,NPV(Lookups!$F$17,AN124:BL124),0,1),IF($C$4=Year3,-PMT(Lookups!$G$17,25,NPV(Lookups!$G$17,AO124:BM124),0,1),-PMT(Lookups!$G$17,27,NPV(Lookups!$G$17,AM124:BM124),0,1))))</f>
        <v>-9.0467691335412625E-4</v>
      </c>
      <c r="BS124" s="84" t="str">
        <f t="shared" si="113"/>
        <v>Avoided Gas, Retail Margin avoided costs divided by After Scenario sales.</v>
      </c>
      <c r="BT124" s="51"/>
    </row>
    <row r="125" spans="1:72" x14ac:dyDescent="0.25">
      <c r="B125" s="243" t="str">
        <f t="shared" ref="B125:D125" si="116">B123</f>
        <v>Low-Income</v>
      </c>
      <c r="C125" s="243" t="str">
        <f t="shared" si="116"/>
        <v>Rates</v>
      </c>
      <c r="D125" s="244" t="str">
        <f t="shared" si="116"/>
        <v>Avoided Costs</v>
      </c>
      <c r="E125" s="86" t="s">
        <v>175</v>
      </c>
      <c r="F125" s="84" t="s">
        <v>182</v>
      </c>
      <c r="G125" s="506">
        <f ca="1">IFERROR(-G106/G96,0)</f>
        <v>0</v>
      </c>
      <c r="H125" s="506">
        <f t="shared" ref="H125:AG125" ca="1" si="117">IFERROR(-H106/H96,0)</f>
        <v>0</v>
      </c>
      <c r="I125" s="506">
        <f t="shared" ca="1" si="117"/>
        <v>-5.1682762071674762E-4</v>
      </c>
      <c r="J125" s="506">
        <f t="shared" ca="1" si="117"/>
        <v>-5.1682762071674762E-4</v>
      </c>
      <c r="K125" s="506">
        <f t="shared" ca="1" si="117"/>
        <v>-5.1682762071674762E-4</v>
      </c>
      <c r="L125" s="506">
        <f t="shared" ca="1" si="117"/>
        <v>-5.1682762071674762E-4</v>
      </c>
      <c r="M125" s="506">
        <f t="shared" ca="1" si="117"/>
        <v>-5.1682762071674762E-4</v>
      </c>
      <c r="N125" s="506">
        <f t="shared" ca="1" si="117"/>
        <v>-5.1682762071674762E-4</v>
      </c>
      <c r="O125" s="506">
        <f t="shared" ca="1" si="117"/>
        <v>-5.1682762071674762E-4</v>
      </c>
      <c r="P125" s="506">
        <f t="shared" ca="1" si="117"/>
        <v>-5.1682762071674762E-4</v>
      </c>
      <c r="Q125" s="506">
        <f t="shared" ca="1" si="117"/>
        <v>-5.1682762071674762E-4</v>
      </c>
      <c r="R125" s="506">
        <f t="shared" ca="1" si="117"/>
        <v>-5.1682762071674762E-4</v>
      </c>
      <c r="S125" s="506">
        <f t="shared" ca="1" si="117"/>
        <v>-5.1682762071674762E-4</v>
      </c>
      <c r="T125" s="506">
        <f t="shared" ca="1" si="117"/>
        <v>-5.1682762071674762E-4</v>
      </c>
      <c r="U125" s="506">
        <f t="shared" ca="1" si="117"/>
        <v>-5.1682762071674762E-4</v>
      </c>
      <c r="V125" s="506">
        <f t="shared" ca="1" si="117"/>
        <v>-5.1682762071674762E-4</v>
      </c>
      <c r="W125" s="506">
        <f t="shared" ca="1" si="117"/>
        <v>-5.1682762071674762E-4</v>
      </c>
      <c r="X125" s="506">
        <f t="shared" ca="1" si="117"/>
        <v>-5.1682762071674762E-4</v>
      </c>
      <c r="Y125" s="506">
        <f t="shared" ca="1" si="117"/>
        <v>-5.1682762071674762E-4</v>
      </c>
      <c r="Z125" s="506">
        <f t="shared" ca="1" si="117"/>
        <v>-5.1682762071674762E-4</v>
      </c>
      <c r="AA125" s="506">
        <f t="shared" ca="1" si="117"/>
        <v>-5.1682762071674762E-4</v>
      </c>
      <c r="AB125" s="506">
        <f t="shared" ca="1" si="117"/>
        <v>-5.1682762071674762E-4</v>
      </c>
      <c r="AC125" s="506">
        <f t="shared" ca="1" si="117"/>
        <v>0</v>
      </c>
      <c r="AD125" s="506">
        <f t="shared" ca="1" si="117"/>
        <v>0</v>
      </c>
      <c r="AE125" s="506">
        <f t="shared" ca="1" si="117"/>
        <v>0</v>
      </c>
      <c r="AF125" s="506">
        <f t="shared" ca="1" si="117"/>
        <v>0</v>
      </c>
      <c r="AG125" s="506">
        <f t="shared" ca="1" si="117"/>
        <v>0</v>
      </c>
      <c r="AH125" s="506"/>
      <c r="AI125" s="506"/>
      <c r="AJ125" s="506">
        <f ca="1">IF($C$4=Year1,-PMT(Lookups!$E$17,25,NPV(Lookups!$E$17,G125:AE125),0,1),IF($C$4=Year2,-PMT(Lookups!$F$17,25,NPV(Lookups!$F$17,H125:AF125),0,1),IF($C$4=Year3,-PMT(Lookups!$G$17,25,NPV(Lookups!$G$17,I125:AG125),0,1),-PMT(Lookups!$G$17,27,NPV(Lookups!$G$17,G125:AG125),0,1))))</f>
        <v>-4.2148618430865622E-4</v>
      </c>
      <c r="AK125" s="507"/>
      <c r="AL125" s="507"/>
      <c r="AM125" s="508">
        <f ca="1">IFERROR(-AM106/AM96,0)</f>
        <v>0</v>
      </c>
      <c r="AN125" s="508">
        <f t="shared" ref="AN125:BM125" ca="1" si="118">IFERROR(-AN106/AN96,0)</f>
        <v>0</v>
      </c>
      <c r="AO125" s="508">
        <f t="shared" ca="1" si="118"/>
        <v>-5.9238889058121848E-4</v>
      </c>
      <c r="AP125" s="508">
        <f t="shared" ca="1" si="118"/>
        <v>-5.9238889058121848E-4</v>
      </c>
      <c r="AQ125" s="508">
        <f t="shared" ca="1" si="118"/>
        <v>-5.9238889058121848E-4</v>
      </c>
      <c r="AR125" s="508">
        <f t="shared" ca="1" si="118"/>
        <v>-5.9238889058121848E-4</v>
      </c>
      <c r="AS125" s="508">
        <f t="shared" ca="1" si="118"/>
        <v>-5.9238889058121848E-4</v>
      </c>
      <c r="AT125" s="508">
        <f t="shared" ca="1" si="118"/>
        <v>-5.9238889058121848E-4</v>
      </c>
      <c r="AU125" s="508">
        <f t="shared" ca="1" si="118"/>
        <v>-5.9238889058121848E-4</v>
      </c>
      <c r="AV125" s="508">
        <f t="shared" ca="1" si="118"/>
        <v>-5.9238889058121848E-4</v>
      </c>
      <c r="AW125" s="508">
        <f t="shared" ca="1" si="118"/>
        <v>-5.9238889058121848E-4</v>
      </c>
      <c r="AX125" s="508">
        <f t="shared" ca="1" si="118"/>
        <v>-5.9238889058121848E-4</v>
      </c>
      <c r="AY125" s="508">
        <f t="shared" ca="1" si="118"/>
        <v>-5.9238889058121848E-4</v>
      </c>
      <c r="AZ125" s="508">
        <f t="shared" ca="1" si="118"/>
        <v>-5.9238889058121848E-4</v>
      </c>
      <c r="BA125" s="508">
        <f t="shared" ca="1" si="118"/>
        <v>-5.9238889058121848E-4</v>
      </c>
      <c r="BB125" s="508">
        <f t="shared" ca="1" si="118"/>
        <v>-5.9238889058121848E-4</v>
      </c>
      <c r="BC125" s="508">
        <f t="shared" ca="1" si="118"/>
        <v>-5.9238889058121848E-4</v>
      </c>
      <c r="BD125" s="508">
        <f t="shared" ca="1" si="118"/>
        <v>-5.9238889058121848E-4</v>
      </c>
      <c r="BE125" s="508">
        <f t="shared" ca="1" si="118"/>
        <v>-5.9238889058121848E-4</v>
      </c>
      <c r="BF125" s="508">
        <f t="shared" ca="1" si="118"/>
        <v>-5.9238889058121848E-4</v>
      </c>
      <c r="BG125" s="508">
        <f t="shared" ca="1" si="118"/>
        <v>-5.9238889058121848E-4</v>
      </c>
      <c r="BH125" s="508">
        <f t="shared" ca="1" si="118"/>
        <v>-5.9238889058121848E-4</v>
      </c>
      <c r="BI125" s="508">
        <f t="shared" ca="1" si="118"/>
        <v>0</v>
      </c>
      <c r="BJ125" s="508">
        <f t="shared" ca="1" si="118"/>
        <v>0</v>
      </c>
      <c r="BK125" s="508">
        <f t="shared" ca="1" si="118"/>
        <v>0</v>
      </c>
      <c r="BL125" s="508">
        <f t="shared" ca="1" si="118"/>
        <v>0</v>
      </c>
      <c r="BM125" s="508">
        <f t="shared" ca="1" si="118"/>
        <v>0</v>
      </c>
      <c r="BN125" s="508"/>
      <c r="BO125" s="508"/>
      <c r="BP125" s="508">
        <f ca="1">IF($C$4=Year1,-PMT(Lookups!$E$17,25,NPV(Lookups!$E$17,AM125:BK125),0,1),IF($C$4=Year2,-PMT(Lookups!$F$17,25,NPV(Lookups!$F$17,AN125:BL125),0,1),IF($C$4=Year3,-PMT(Lookups!$G$17,25,NPV(Lookups!$G$17,AO125:BM125),0,1),-PMT(Lookups!$G$17,27,NPV(Lookups!$G$17,AM125:BM125),0,1))))</f>
        <v>-4.8310833846621648E-4</v>
      </c>
      <c r="BS125" s="84" t="str">
        <f t="shared" si="113"/>
        <v>Avoided Gas DRIPE avoided costs divided by After Scenario sales.</v>
      </c>
      <c r="BT125" s="51" t="s">
        <v>17</v>
      </c>
    </row>
    <row r="126" spans="1:72" x14ac:dyDescent="0.25">
      <c r="B126" s="243" t="str">
        <f t="shared" ref="B126:D134" si="119">B125</f>
        <v>Low-Income</v>
      </c>
      <c r="C126" s="243" t="str">
        <f t="shared" si="119"/>
        <v>Rates</v>
      </c>
      <c r="D126" s="244" t="str">
        <f t="shared" si="119"/>
        <v>Avoided Costs</v>
      </c>
      <c r="E126" s="86" t="s">
        <v>76</v>
      </c>
      <c r="F126" s="84" t="s">
        <v>182</v>
      </c>
      <c r="G126" s="506">
        <f ca="1">SUM(G123:G125)</f>
        <v>0</v>
      </c>
      <c r="H126" s="506">
        <f ca="1">SUM(H123:H125)</f>
        <v>0</v>
      </c>
      <c r="I126" s="506">
        <f t="shared" ref="I126:AG126" ca="1" si="120">SUM(I123:I125)</f>
        <v>-1.664716455958402E-2</v>
      </c>
      <c r="J126" s="506">
        <f t="shared" ca="1" si="120"/>
        <v>-1.664716455958402E-2</v>
      </c>
      <c r="K126" s="506">
        <f t="shared" ca="1" si="120"/>
        <v>-1.664716455958402E-2</v>
      </c>
      <c r="L126" s="506">
        <f t="shared" ca="1" si="120"/>
        <v>-1.664716455958402E-2</v>
      </c>
      <c r="M126" s="506">
        <f t="shared" ca="1" si="120"/>
        <v>-1.664716455958402E-2</v>
      </c>
      <c r="N126" s="506">
        <f t="shared" ca="1" si="120"/>
        <v>-1.664716455958402E-2</v>
      </c>
      <c r="O126" s="506">
        <f t="shared" ca="1" si="120"/>
        <v>-1.664716455958402E-2</v>
      </c>
      <c r="P126" s="506">
        <f t="shared" ca="1" si="120"/>
        <v>-1.664716455958402E-2</v>
      </c>
      <c r="Q126" s="506">
        <f t="shared" ca="1" si="120"/>
        <v>-1.664716455958402E-2</v>
      </c>
      <c r="R126" s="506">
        <f t="shared" ca="1" si="120"/>
        <v>-1.664716455958402E-2</v>
      </c>
      <c r="S126" s="506">
        <f t="shared" ca="1" si="120"/>
        <v>-1.664716455958402E-2</v>
      </c>
      <c r="T126" s="506">
        <f t="shared" ca="1" si="120"/>
        <v>-1.664716455958402E-2</v>
      </c>
      <c r="U126" s="506">
        <f t="shared" ca="1" si="120"/>
        <v>-1.664716455958402E-2</v>
      </c>
      <c r="V126" s="506">
        <f t="shared" ca="1" si="120"/>
        <v>-1.664716455958402E-2</v>
      </c>
      <c r="W126" s="506">
        <f t="shared" ca="1" si="120"/>
        <v>-1.664716455958402E-2</v>
      </c>
      <c r="X126" s="506">
        <f t="shared" ca="1" si="120"/>
        <v>-1.664716455958402E-2</v>
      </c>
      <c r="Y126" s="506">
        <f t="shared" ca="1" si="120"/>
        <v>-1.664716455958402E-2</v>
      </c>
      <c r="Z126" s="506">
        <f t="shared" ca="1" si="120"/>
        <v>-1.664716455958402E-2</v>
      </c>
      <c r="AA126" s="506">
        <f t="shared" ca="1" si="120"/>
        <v>-1.664716455958402E-2</v>
      </c>
      <c r="AB126" s="506">
        <f t="shared" ca="1" si="120"/>
        <v>-1.664716455958402E-2</v>
      </c>
      <c r="AC126" s="506">
        <f t="shared" ca="1" si="120"/>
        <v>0</v>
      </c>
      <c r="AD126" s="506">
        <f t="shared" ca="1" si="120"/>
        <v>0</v>
      </c>
      <c r="AE126" s="506">
        <f t="shared" ca="1" si="120"/>
        <v>0</v>
      </c>
      <c r="AF126" s="506">
        <f t="shared" ca="1" si="120"/>
        <v>0</v>
      </c>
      <c r="AG126" s="506">
        <f t="shared" ca="1" si="120"/>
        <v>0</v>
      </c>
      <c r="AH126" s="506"/>
      <c r="AI126" s="506"/>
      <c r="AJ126" s="506">
        <f ca="1">IF($C$4=Year1,-PMT(Lookups!$E$17,25,NPV(Lookups!$E$17,G126:AE126),0,1),IF($C$4=Year2,-PMT(Lookups!$F$17,25,NPV(Lookups!$F$17,H126:AF126),0,1),IF($C$4=Year3,-PMT(Lookups!$G$17,25,NPV(Lookups!$G$17,I126:AG126),0,1),-PMT(Lookups!$G$17,27,NPV(Lookups!$G$17,G126:AG126),0,1))))</f>
        <v>-1.3576189794281228E-2</v>
      </c>
      <c r="AK126" s="507"/>
      <c r="AL126" s="507"/>
      <c r="AM126" s="508">
        <f ca="1">SUM(AM123:AM125)</f>
        <v>0</v>
      </c>
      <c r="AN126" s="508">
        <f t="shared" ref="AN126:BM126" ca="1" si="121">SUM(AN123:AN125)</f>
        <v>0</v>
      </c>
      <c r="AO126" s="508">
        <f t="shared" ca="1" si="121"/>
        <v>-1.9081014538461949E-2</v>
      </c>
      <c r="AP126" s="508">
        <f t="shared" ca="1" si="121"/>
        <v>-1.9081014538461949E-2</v>
      </c>
      <c r="AQ126" s="508">
        <f t="shared" ca="1" si="121"/>
        <v>-1.9081014538461949E-2</v>
      </c>
      <c r="AR126" s="508">
        <f t="shared" ca="1" si="121"/>
        <v>-1.9081014538461949E-2</v>
      </c>
      <c r="AS126" s="508">
        <f t="shared" ca="1" si="121"/>
        <v>-1.9081014538461949E-2</v>
      </c>
      <c r="AT126" s="508">
        <f t="shared" ca="1" si="121"/>
        <v>-1.9081014538461949E-2</v>
      </c>
      <c r="AU126" s="508">
        <f t="shared" ca="1" si="121"/>
        <v>-1.9081014538461949E-2</v>
      </c>
      <c r="AV126" s="508">
        <f t="shared" ca="1" si="121"/>
        <v>-1.9081014538461949E-2</v>
      </c>
      <c r="AW126" s="508">
        <f t="shared" ca="1" si="121"/>
        <v>-1.9081014538461949E-2</v>
      </c>
      <c r="AX126" s="508">
        <f t="shared" ca="1" si="121"/>
        <v>-1.9081014538461949E-2</v>
      </c>
      <c r="AY126" s="508">
        <f t="shared" ca="1" si="121"/>
        <v>-1.9081014538461949E-2</v>
      </c>
      <c r="AZ126" s="508">
        <f t="shared" ca="1" si="121"/>
        <v>-1.9081014538461949E-2</v>
      </c>
      <c r="BA126" s="508">
        <f t="shared" ca="1" si="121"/>
        <v>-1.9081014538461949E-2</v>
      </c>
      <c r="BB126" s="508">
        <f t="shared" ca="1" si="121"/>
        <v>-1.9081014538461949E-2</v>
      </c>
      <c r="BC126" s="508">
        <f t="shared" ca="1" si="121"/>
        <v>-1.9081014538461949E-2</v>
      </c>
      <c r="BD126" s="508">
        <f t="shared" ca="1" si="121"/>
        <v>-1.9081014538461949E-2</v>
      </c>
      <c r="BE126" s="508">
        <f t="shared" ca="1" si="121"/>
        <v>-1.9081014538461949E-2</v>
      </c>
      <c r="BF126" s="508">
        <f t="shared" ca="1" si="121"/>
        <v>-1.9081014538461949E-2</v>
      </c>
      <c r="BG126" s="508">
        <f t="shared" ca="1" si="121"/>
        <v>-1.9081014538461949E-2</v>
      </c>
      <c r="BH126" s="508">
        <f t="shared" ca="1" si="121"/>
        <v>-1.9081014538461949E-2</v>
      </c>
      <c r="BI126" s="508">
        <f t="shared" ca="1" si="121"/>
        <v>0</v>
      </c>
      <c r="BJ126" s="508">
        <f t="shared" ca="1" si="121"/>
        <v>0</v>
      </c>
      <c r="BK126" s="508">
        <f t="shared" ca="1" si="121"/>
        <v>0</v>
      </c>
      <c r="BL126" s="508">
        <f t="shared" ca="1" si="121"/>
        <v>0</v>
      </c>
      <c r="BM126" s="508">
        <f t="shared" ca="1" si="121"/>
        <v>0</v>
      </c>
      <c r="BN126" s="508"/>
      <c r="BO126" s="508"/>
      <c r="BP126" s="508">
        <f ca="1">IF($C$4=Year1,-PMT(Lookups!$E$17,25,NPV(Lookups!$E$17,AM126:BK126),0,1),IF($C$4=Year2,-PMT(Lookups!$F$17,25,NPV(Lookups!$F$17,AN126:BL126),0,1),IF($C$4=Year3,-PMT(Lookups!$G$17,25,NPV(Lookups!$G$17,AO126:BM126),0,1),-PMT(Lookups!$G$17,27,NPV(Lookups!$G$17,AM126:BM126),0,1))))</f>
        <v>-1.5561056894368316E-2</v>
      </c>
      <c r="BS126" s="84" t="s">
        <v>232</v>
      </c>
      <c r="BT126" s="51" t="s">
        <v>17</v>
      </c>
    </row>
    <row r="127" spans="1:72" x14ac:dyDescent="0.25">
      <c r="B127" s="243" t="str">
        <f t="shared" si="119"/>
        <v>Low-Income</v>
      </c>
      <c r="C127" s="243" t="str">
        <f t="shared" si="119"/>
        <v>Rates</v>
      </c>
      <c r="D127" s="114" t="s">
        <v>165</v>
      </c>
      <c r="E127" s="86"/>
      <c r="F127" s="86"/>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S127" s="84"/>
      <c r="BT127" s="51" t="s">
        <v>17</v>
      </c>
    </row>
    <row r="128" spans="1:72" x14ac:dyDescent="0.25">
      <c r="A128" s="246"/>
      <c r="B128" s="243" t="str">
        <f t="shared" si="119"/>
        <v>Low-Income</v>
      </c>
      <c r="C128" s="243" t="str">
        <f t="shared" si="119"/>
        <v>Rates</v>
      </c>
      <c r="D128" s="244" t="str">
        <f t="shared" si="119"/>
        <v>Increased Costs and Cost Shifting</v>
      </c>
      <c r="E128" s="84" t="s">
        <v>406</v>
      </c>
      <c r="F128" s="84" t="s">
        <v>182</v>
      </c>
      <c r="G128" s="509">
        <f ca="1">IF($C$4=Lookups!$D$40,SUM(INDIRECT("'Yr1'!"&amp;ADDRESS(ROW(G128),COLUMN(G128))),INDIRECT("'Yr2'!"&amp;ADDRESS(ROW(G128),COLUMN(G128))),INDIRECT("'Yr3'!"&amp;ADDRESS(ROW(G128),COLUMN(G128)))),
IF($C$4=G$7,SUMIFS('EE Inputs'!$L$9:$L$32,'EE Inputs'!$C$9:$C$32,$G$6,'EE Inputs'!$D$9:$D$32,$C$4,'EE Inputs'!$E$9:$E$32,$B128),0))</f>
        <v>0</v>
      </c>
      <c r="H128" s="509">
        <f ca="1">IF($C$4=Lookups!$D$40,SUM(INDIRECT("'Yr1'!"&amp;ADDRESS(ROW(H128),COLUMN(H128))),INDIRECT("'Yr2'!"&amp;ADDRESS(ROW(H128),COLUMN(H128))),INDIRECT("'Yr3'!"&amp;ADDRESS(ROW(H128),COLUMN(H128)))),
IF($C$4=H$7,SUMIFS('EE Inputs'!$L$9:$L$32,'EE Inputs'!$C$9:$C$32,$G$6,'EE Inputs'!$D$9:$D$32,$C$4,'EE Inputs'!$E$9:$E$32,$B128),0))</f>
        <v>0</v>
      </c>
      <c r="I128" s="509">
        <f ca="1">IF($C$4=Lookups!$D$40,SUM(INDIRECT("'Yr1'!"&amp;ADDRESS(ROW(I128),COLUMN(I128))),INDIRECT("'Yr2'!"&amp;ADDRESS(ROW(I128),COLUMN(I128))),INDIRECT("'Yr3'!"&amp;ADDRESS(ROW(I128),COLUMN(I128)))),
IF($C$4=I$7,SUMIFS('EE Inputs'!$L$9:$L$32,'EE Inputs'!$C$9:$C$32,$G$6,'EE Inputs'!$D$9:$D$32,$C$4,'EE Inputs'!$E$9:$E$32,$B128),0))</f>
        <v>6.8785811560470811E-2</v>
      </c>
      <c r="J128" s="509">
        <f ca="1">IF($C$4=Lookups!$D$40,SUM(INDIRECT("'Yr1'!"&amp;ADDRESS(ROW(J128),COLUMN(J128))),INDIRECT("'Yr2'!"&amp;ADDRESS(ROW(J128),COLUMN(J128))),INDIRECT("'Yr3'!"&amp;ADDRESS(ROW(J128),COLUMN(J128)))),
IF($C$4=J$7,SUMIFS('EE Inputs'!$L$9:$L$32,'EE Inputs'!$C$9:$C$32,$G$6,'EE Inputs'!$D$9:$D$32,$C$4,'EE Inputs'!$E$9:$E$32,$B128),0))</f>
        <v>0</v>
      </c>
      <c r="K128" s="509">
        <f ca="1">IF($C$4=Lookups!$D$40,SUM(INDIRECT("'Yr1'!"&amp;ADDRESS(ROW(K128),COLUMN(K128))),INDIRECT("'Yr2'!"&amp;ADDRESS(ROW(K128),COLUMN(K128))),INDIRECT("'Yr3'!"&amp;ADDRESS(ROW(K128),COLUMN(K128)))),
IF($C$4=K$7,SUMIFS('EE Inputs'!$L$9:$L$32,'EE Inputs'!$C$9:$C$32,$G$6,'EE Inputs'!$D$9:$D$32,$C$4,'EE Inputs'!$E$9:$E$32,$B128),0))</f>
        <v>0</v>
      </c>
      <c r="L128" s="509">
        <f ca="1">IF($C$4=Lookups!$D$40,SUM(INDIRECT("'Yr1'!"&amp;ADDRESS(ROW(L128),COLUMN(L128))),INDIRECT("'Yr2'!"&amp;ADDRESS(ROW(L128),COLUMN(L128))),INDIRECT("'Yr3'!"&amp;ADDRESS(ROW(L128),COLUMN(L128)))),
IF($C$4=L$7,SUMIFS('EE Inputs'!$L$9:$L$32,'EE Inputs'!$C$9:$C$32,$G$6,'EE Inputs'!$D$9:$D$32,$C$4,'EE Inputs'!$E$9:$E$32,$B128),0))</f>
        <v>0</v>
      </c>
      <c r="M128" s="509">
        <f ca="1">IF($C$4=Lookups!$D$40,SUM(INDIRECT("'Yr1'!"&amp;ADDRESS(ROW(M128),COLUMN(M128))),INDIRECT("'Yr2'!"&amp;ADDRESS(ROW(M128),COLUMN(M128))),INDIRECT("'Yr3'!"&amp;ADDRESS(ROW(M128),COLUMN(M128)))),
IF($C$4=M$7,SUMIFS('EE Inputs'!$L$9:$L$32,'EE Inputs'!$C$9:$C$32,$G$6,'EE Inputs'!$D$9:$D$32,$C$4,'EE Inputs'!$E$9:$E$32,$B128),0))</f>
        <v>0</v>
      </c>
      <c r="N128" s="509">
        <f ca="1">IF($C$4=Lookups!$D$40,SUM(INDIRECT("'Yr1'!"&amp;ADDRESS(ROW(N128),COLUMN(N128))),INDIRECT("'Yr2'!"&amp;ADDRESS(ROW(N128),COLUMN(N128))),INDIRECT("'Yr3'!"&amp;ADDRESS(ROW(N128),COLUMN(N128)))),
IF($C$4=N$7,SUMIFS('EE Inputs'!$L$9:$L$32,'EE Inputs'!$C$9:$C$32,$G$6,'EE Inputs'!$D$9:$D$32,$C$4,'EE Inputs'!$E$9:$E$32,$B128),0))</f>
        <v>0</v>
      </c>
      <c r="O128" s="509">
        <f ca="1">IF($C$4=Lookups!$D$40,SUM(INDIRECT("'Yr1'!"&amp;ADDRESS(ROW(O128),COLUMN(O128))),INDIRECT("'Yr2'!"&amp;ADDRESS(ROW(O128),COLUMN(O128))),INDIRECT("'Yr3'!"&amp;ADDRESS(ROW(O128),COLUMN(O128)))),
IF($C$4=O$7,SUMIFS('EE Inputs'!$L$9:$L$32,'EE Inputs'!$C$9:$C$32,$G$6,'EE Inputs'!$D$9:$D$32,$C$4,'EE Inputs'!$E$9:$E$32,$B128),0))</f>
        <v>0</v>
      </c>
      <c r="P128" s="509">
        <f ca="1">IF($C$4=Lookups!$D$40,SUM(INDIRECT("'Yr1'!"&amp;ADDRESS(ROW(P128),COLUMN(P128))),INDIRECT("'Yr2'!"&amp;ADDRESS(ROW(P128),COLUMN(P128))),INDIRECT("'Yr3'!"&amp;ADDRESS(ROW(P128),COLUMN(P128)))),
IF($C$4=P$7,SUMIFS('EE Inputs'!$L$9:$L$32,'EE Inputs'!$C$9:$C$32,$G$6,'EE Inputs'!$D$9:$D$32,$C$4,'EE Inputs'!$E$9:$E$32,$B128),0))</f>
        <v>0</v>
      </c>
      <c r="Q128" s="509">
        <f ca="1">IF($C$4=Lookups!$D$40,SUM(INDIRECT("'Yr1'!"&amp;ADDRESS(ROW(Q128),COLUMN(Q128))),INDIRECT("'Yr2'!"&amp;ADDRESS(ROW(Q128),COLUMN(Q128))),INDIRECT("'Yr3'!"&amp;ADDRESS(ROW(Q128),COLUMN(Q128)))),
IF($C$4=Q$7,SUMIFS('EE Inputs'!$L$9:$L$32,'EE Inputs'!$C$9:$C$32,$G$6,'EE Inputs'!$D$9:$D$32,$C$4,'EE Inputs'!$E$9:$E$32,$B128),0))</f>
        <v>0</v>
      </c>
      <c r="R128" s="509">
        <f ca="1">IF($C$4=Lookups!$D$40,SUM(INDIRECT("'Yr1'!"&amp;ADDRESS(ROW(R128),COLUMN(R128))),INDIRECT("'Yr2'!"&amp;ADDRESS(ROW(R128),COLUMN(R128))),INDIRECT("'Yr3'!"&amp;ADDRESS(ROW(R128),COLUMN(R128)))),
IF($C$4=R$7,SUMIFS('EE Inputs'!$L$9:$L$32,'EE Inputs'!$C$9:$C$32,$G$6,'EE Inputs'!$D$9:$D$32,$C$4,'EE Inputs'!$E$9:$E$32,$B128),0))</f>
        <v>0</v>
      </c>
      <c r="S128" s="509">
        <f ca="1">IF($C$4=Lookups!$D$40,SUM(INDIRECT("'Yr1'!"&amp;ADDRESS(ROW(S128),COLUMN(S128))),INDIRECT("'Yr2'!"&amp;ADDRESS(ROW(S128),COLUMN(S128))),INDIRECT("'Yr3'!"&amp;ADDRESS(ROW(S128),COLUMN(S128)))),
IF($C$4=S$7,SUMIFS('EE Inputs'!$L$9:$L$32,'EE Inputs'!$C$9:$C$32,$G$6,'EE Inputs'!$D$9:$D$32,$C$4,'EE Inputs'!$E$9:$E$32,$B128),0))</f>
        <v>0</v>
      </c>
      <c r="T128" s="509">
        <f ca="1">IF($C$4=Lookups!$D$40,SUM(INDIRECT("'Yr1'!"&amp;ADDRESS(ROW(T128),COLUMN(T128))),INDIRECT("'Yr2'!"&amp;ADDRESS(ROW(T128),COLUMN(T128))),INDIRECT("'Yr3'!"&amp;ADDRESS(ROW(T128),COLUMN(T128)))),
IF($C$4=T$7,SUMIFS('EE Inputs'!$L$9:$L$32,'EE Inputs'!$C$9:$C$32,$G$6,'EE Inputs'!$D$9:$D$32,$C$4,'EE Inputs'!$E$9:$E$32,$B128),0))</f>
        <v>0</v>
      </c>
      <c r="U128" s="509">
        <f ca="1">IF($C$4=Lookups!$D$40,SUM(INDIRECT("'Yr1'!"&amp;ADDRESS(ROW(U128),COLUMN(U128))),INDIRECT("'Yr2'!"&amp;ADDRESS(ROW(U128),COLUMN(U128))),INDIRECT("'Yr3'!"&amp;ADDRESS(ROW(U128),COLUMN(U128)))),
IF($C$4=U$7,SUMIFS('EE Inputs'!$L$9:$L$32,'EE Inputs'!$C$9:$C$32,$G$6,'EE Inputs'!$D$9:$D$32,$C$4,'EE Inputs'!$E$9:$E$32,$B128),0))</f>
        <v>0</v>
      </c>
      <c r="V128" s="509">
        <f ca="1">IF($C$4=Lookups!$D$40,SUM(INDIRECT("'Yr1'!"&amp;ADDRESS(ROW(V128),COLUMN(V128))),INDIRECT("'Yr2'!"&amp;ADDRESS(ROW(V128),COLUMN(V128))),INDIRECT("'Yr3'!"&amp;ADDRESS(ROW(V128),COLUMN(V128)))),
IF($C$4=V$7,SUMIFS('EE Inputs'!$L$9:$L$32,'EE Inputs'!$C$9:$C$32,$G$6,'EE Inputs'!$D$9:$D$32,$C$4,'EE Inputs'!$E$9:$E$32,$B128),0))</f>
        <v>0</v>
      </c>
      <c r="W128" s="509">
        <f ca="1">IF($C$4=Lookups!$D$40,SUM(INDIRECT("'Yr1'!"&amp;ADDRESS(ROW(W128),COLUMN(W128))),INDIRECT("'Yr2'!"&amp;ADDRESS(ROW(W128),COLUMN(W128))),INDIRECT("'Yr3'!"&amp;ADDRESS(ROW(W128),COLUMN(W128)))),
IF($C$4=W$7,SUMIFS('EE Inputs'!$L$9:$L$32,'EE Inputs'!$C$9:$C$32,$G$6,'EE Inputs'!$D$9:$D$32,$C$4,'EE Inputs'!$E$9:$E$32,$B128),0))</f>
        <v>0</v>
      </c>
      <c r="X128" s="509">
        <f ca="1">IF($C$4=Lookups!$D$40,SUM(INDIRECT("'Yr1'!"&amp;ADDRESS(ROW(X128),COLUMN(X128))),INDIRECT("'Yr2'!"&amp;ADDRESS(ROW(X128),COLUMN(X128))),INDIRECT("'Yr3'!"&amp;ADDRESS(ROW(X128),COLUMN(X128)))),
IF($C$4=X$7,SUMIFS('EE Inputs'!$L$9:$L$32,'EE Inputs'!$C$9:$C$32,$G$6,'EE Inputs'!$D$9:$D$32,$C$4,'EE Inputs'!$E$9:$E$32,$B128),0))</f>
        <v>0</v>
      </c>
      <c r="Y128" s="509">
        <f ca="1">IF($C$4=Lookups!$D$40,SUM(INDIRECT("'Yr1'!"&amp;ADDRESS(ROW(Y128),COLUMN(Y128))),INDIRECT("'Yr2'!"&amp;ADDRESS(ROW(Y128),COLUMN(Y128))),INDIRECT("'Yr3'!"&amp;ADDRESS(ROW(Y128),COLUMN(Y128)))),
IF($C$4=Y$7,SUMIFS('EE Inputs'!$L$9:$L$32,'EE Inputs'!$C$9:$C$32,$G$6,'EE Inputs'!$D$9:$D$32,$C$4,'EE Inputs'!$E$9:$E$32,$B128),0))</f>
        <v>0</v>
      </c>
      <c r="Z128" s="509">
        <f ca="1">IF($C$4=Lookups!$D$40,SUM(INDIRECT("'Yr1'!"&amp;ADDRESS(ROW(Z128),COLUMN(Z128))),INDIRECT("'Yr2'!"&amp;ADDRESS(ROW(Z128),COLUMN(Z128))),INDIRECT("'Yr3'!"&amp;ADDRESS(ROW(Z128),COLUMN(Z128)))),
IF($C$4=Z$7,SUMIFS('EE Inputs'!$L$9:$L$32,'EE Inputs'!$C$9:$C$32,$G$6,'EE Inputs'!$D$9:$D$32,$C$4,'EE Inputs'!$E$9:$E$32,$B128),0))</f>
        <v>0</v>
      </c>
      <c r="AA128" s="509">
        <f ca="1">IF($C$4=Lookups!$D$40,SUM(INDIRECT("'Yr1'!"&amp;ADDRESS(ROW(AA128),COLUMN(AA128))),INDIRECT("'Yr2'!"&amp;ADDRESS(ROW(AA128),COLUMN(AA128))),INDIRECT("'Yr3'!"&amp;ADDRESS(ROW(AA128),COLUMN(AA128)))),
IF($C$4=AA$7,SUMIFS('EE Inputs'!$L$9:$L$32,'EE Inputs'!$C$9:$C$32,$G$6,'EE Inputs'!$D$9:$D$32,$C$4,'EE Inputs'!$E$9:$E$32,$B128),0))</f>
        <v>0</v>
      </c>
      <c r="AB128" s="509">
        <f ca="1">IF($C$4=Lookups!$D$40,SUM(INDIRECT("'Yr1'!"&amp;ADDRESS(ROW(AB128),COLUMN(AB128))),INDIRECT("'Yr2'!"&amp;ADDRESS(ROW(AB128),COLUMN(AB128))),INDIRECT("'Yr3'!"&amp;ADDRESS(ROW(AB128),COLUMN(AB128)))),
IF($C$4=AB$7,SUMIFS('EE Inputs'!$L$9:$L$32,'EE Inputs'!$C$9:$C$32,$G$6,'EE Inputs'!$D$9:$D$32,$C$4,'EE Inputs'!$E$9:$E$32,$B128),0))</f>
        <v>0</v>
      </c>
      <c r="AC128" s="509">
        <f ca="1">IF($C$4=Lookups!$D$40,SUM(INDIRECT("'Yr1'!"&amp;ADDRESS(ROW(AC128),COLUMN(AC128))),INDIRECT("'Yr2'!"&amp;ADDRESS(ROW(AC128),COLUMN(AC128))),INDIRECT("'Yr3'!"&amp;ADDRESS(ROW(AC128),COLUMN(AC128)))),
IF($C$4=AC$7,SUMIFS('EE Inputs'!$L$9:$L$32,'EE Inputs'!$C$9:$C$32,$G$6,'EE Inputs'!$D$9:$D$32,$C$4,'EE Inputs'!$E$9:$E$32,$B128),0))</f>
        <v>0</v>
      </c>
      <c r="AD128" s="509">
        <f ca="1">IF($C$4=Lookups!$D$40,SUM(INDIRECT("'Yr1'!"&amp;ADDRESS(ROW(AD128),COLUMN(AD128))),INDIRECT("'Yr2'!"&amp;ADDRESS(ROW(AD128),COLUMN(AD128))),INDIRECT("'Yr3'!"&amp;ADDRESS(ROW(AD128),COLUMN(AD128)))),
IF($C$4=AD$7,SUMIFS('EE Inputs'!$L$9:$L$32,'EE Inputs'!$C$9:$C$32,$G$6,'EE Inputs'!$D$9:$D$32,$C$4,'EE Inputs'!$E$9:$E$32,$B128),0))</f>
        <v>0</v>
      </c>
      <c r="AE128" s="509">
        <f ca="1">IF($C$4=Lookups!$D$40,SUM(INDIRECT("'Yr1'!"&amp;ADDRESS(ROW(AE128),COLUMN(AE128))),INDIRECT("'Yr2'!"&amp;ADDRESS(ROW(AE128),COLUMN(AE128))),INDIRECT("'Yr3'!"&amp;ADDRESS(ROW(AE128),COLUMN(AE128)))),
IF($C$4=AE$7,SUMIFS('EE Inputs'!$L$9:$L$32,'EE Inputs'!$C$9:$C$32,$G$6,'EE Inputs'!$D$9:$D$32,$C$4,'EE Inputs'!$E$9:$E$32,$B128),0))</f>
        <v>0</v>
      </c>
      <c r="AF128" s="509">
        <f ca="1">IF($C$4=Lookups!$D$40,SUM(INDIRECT("'Yr1'!"&amp;ADDRESS(ROW(AF128),COLUMN(AF128))),INDIRECT("'Yr2'!"&amp;ADDRESS(ROW(AF128),COLUMN(AF128))),INDIRECT("'Yr3'!"&amp;ADDRESS(ROW(AF128),COLUMN(AF128)))),
IF($C$4=AF$7,SUMIFS('EE Inputs'!$L$9:$L$32,'EE Inputs'!$C$9:$C$32,$G$6,'EE Inputs'!$D$9:$D$32,$C$4,'EE Inputs'!$E$9:$E$32,$B128),0))</f>
        <v>0</v>
      </c>
      <c r="AG128" s="509">
        <f ca="1">IF($C$4=Lookups!$D$40,SUM(INDIRECT("'Yr1'!"&amp;ADDRESS(ROW(AG128),COLUMN(AG128))),INDIRECT("'Yr2'!"&amp;ADDRESS(ROW(AG128),COLUMN(AG128))),INDIRECT("'Yr3'!"&amp;ADDRESS(ROW(AG128),COLUMN(AG128)))),
IF($C$4=AG$7,SUMIFS('EE Inputs'!$L$9:$L$32,'EE Inputs'!$C$9:$C$32,$G$6,'EE Inputs'!$D$9:$D$32,$C$4,'EE Inputs'!$E$9:$E$32,$B128),0))</f>
        <v>0</v>
      </c>
      <c r="AH128" s="509"/>
      <c r="AI128" s="509"/>
      <c r="AJ128" s="509">
        <f ca="1">IF($C$4=Year1,-PMT(Lookups!$E$17,25,NPV(Lookups!$E$17,G128:AE128),0,1),IF($C$4=Year2,-PMT(Lookups!$F$17,25,NPV(Lookups!$F$17,H128:AF128),0,1),IF($C$4=Year3,-PMT(Lookups!$G$17,25,NPV(Lookups!$G$17,I128:AG128),0,1),-PMT(Lookups!$G$17,27,NPV(Lookups!$G$17,G128:AG128),0,1))))</f>
        <v>3.1946965494973152E-3</v>
      </c>
      <c r="AK128" s="507"/>
      <c r="AL128" s="507"/>
      <c r="AM128" s="508">
        <f ca="1">IF($C$4=Lookups!$D$40,SUM(INDIRECT("'Yr1'!"&amp;ADDRESS(ROW(AM128),COLUMN(AM128))),INDIRECT("'Yr2'!"&amp;ADDRESS(ROW(AM128),COLUMN(AM128))),INDIRECT("'Yr3'!"&amp;ADDRESS(ROW(AM128),COLUMN(AM128)))),
IF($C$4=AM$7,SUMIFS('EE Inputs'!$L$9:$L$32,'EE Inputs'!$C$9:$C$32,$AM$6,'EE Inputs'!$D$9:$D$32,$C$4,'EE Inputs'!$E$9:$E$32,$B128),0))</f>
        <v>0</v>
      </c>
      <c r="AN128" s="508">
        <f ca="1">IF($C$4=Lookups!$D$40,SUM(INDIRECT("'Yr1'!"&amp;ADDRESS(ROW(AN128),COLUMN(AN128))),INDIRECT("'Yr2'!"&amp;ADDRESS(ROW(AN128),COLUMN(AN128))),INDIRECT("'Yr3'!"&amp;ADDRESS(ROW(AN128),COLUMN(AN128)))),
IF($C$4=AN$7,SUMIFS('EE Inputs'!$L$9:$L$32,'EE Inputs'!$C$9:$C$32,$AM$6,'EE Inputs'!$D$9:$D$32,$C$4,'EE Inputs'!$E$9:$E$32,$B128),0))</f>
        <v>0</v>
      </c>
      <c r="AO128" s="508">
        <f ca="1">IF($C$4=Lookups!$D$40,SUM(INDIRECT("'Yr1'!"&amp;ADDRESS(ROW(AO128),COLUMN(AO128))),INDIRECT("'Yr2'!"&amp;ADDRESS(ROW(AO128),COLUMN(AO128))),INDIRECT("'Yr3'!"&amp;ADDRESS(ROW(AO128),COLUMN(AO128)))),
IF($C$4=AO$7,SUMIFS('EE Inputs'!$L$9:$L$32,'EE Inputs'!$C$9:$C$32,$AM$6,'EE Inputs'!$D$9:$D$32,$C$4,'EE Inputs'!$E$9:$E$32,$B128),0))</f>
        <v>8.254297387256497E-2</v>
      </c>
      <c r="AP128" s="508">
        <f ca="1">IF($C$4=Lookups!$D$40,SUM(INDIRECT("'Yr1'!"&amp;ADDRESS(ROW(AP128),COLUMN(AP128))),INDIRECT("'Yr2'!"&amp;ADDRESS(ROW(AP128),COLUMN(AP128))),INDIRECT("'Yr3'!"&amp;ADDRESS(ROW(AP128),COLUMN(AP128)))),
IF($C$4=AP$7,SUMIFS('EE Inputs'!$L$9:$L$32,'EE Inputs'!$C$9:$C$32,$AM$6,'EE Inputs'!$D$9:$D$32,$C$4,'EE Inputs'!$E$9:$E$32,$B128),0))</f>
        <v>0</v>
      </c>
      <c r="AQ128" s="508">
        <f ca="1">IF($C$4=Lookups!$D$40,SUM(INDIRECT("'Yr1'!"&amp;ADDRESS(ROW(AQ128),COLUMN(AQ128))),INDIRECT("'Yr2'!"&amp;ADDRESS(ROW(AQ128),COLUMN(AQ128))),INDIRECT("'Yr3'!"&amp;ADDRESS(ROW(AQ128),COLUMN(AQ128)))),
IF($C$4=AQ$7,SUMIFS('EE Inputs'!$L$9:$L$32,'EE Inputs'!$C$9:$C$32,$AM$6,'EE Inputs'!$D$9:$D$32,$C$4,'EE Inputs'!$E$9:$E$32,$B128),0))</f>
        <v>0</v>
      </c>
      <c r="AR128" s="508">
        <f ca="1">IF($C$4=Lookups!$D$40,SUM(INDIRECT("'Yr1'!"&amp;ADDRESS(ROW(AR128),COLUMN(AR128))),INDIRECT("'Yr2'!"&amp;ADDRESS(ROW(AR128),COLUMN(AR128))),INDIRECT("'Yr3'!"&amp;ADDRESS(ROW(AR128),COLUMN(AR128)))),
IF($C$4=AR$7,SUMIFS('EE Inputs'!$L$9:$L$32,'EE Inputs'!$C$9:$C$32,$AM$6,'EE Inputs'!$D$9:$D$32,$C$4,'EE Inputs'!$E$9:$E$32,$B128),0))</f>
        <v>0</v>
      </c>
      <c r="AS128" s="508">
        <f ca="1">IF($C$4=Lookups!$D$40,SUM(INDIRECT("'Yr1'!"&amp;ADDRESS(ROW(AS128),COLUMN(AS128))),INDIRECT("'Yr2'!"&amp;ADDRESS(ROW(AS128),COLUMN(AS128))),INDIRECT("'Yr3'!"&amp;ADDRESS(ROW(AS128),COLUMN(AS128)))),
IF($C$4=AS$7,SUMIFS('EE Inputs'!$L$9:$L$32,'EE Inputs'!$C$9:$C$32,$AM$6,'EE Inputs'!$D$9:$D$32,$C$4,'EE Inputs'!$E$9:$E$32,$B128),0))</f>
        <v>0</v>
      </c>
      <c r="AT128" s="508">
        <f ca="1">IF($C$4=Lookups!$D$40,SUM(INDIRECT("'Yr1'!"&amp;ADDRESS(ROW(AT128),COLUMN(AT128))),INDIRECT("'Yr2'!"&amp;ADDRESS(ROW(AT128),COLUMN(AT128))),INDIRECT("'Yr3'!"&amp;ADDRESS(ROW(AT128),COLUMN(AT128)))),
IF($C$4=AT$7,SUMIFS('EE Inputs'!$L$9:$L$32,'EE Inputs'!$C$9:$C$32,$AM$6,'EE Inputs'!$D$9:$D$32,$C$4,'EE Inputs'!$E$9:$E$32,$B128),0))</f>
        <v>0</v>
      </c>
      <c r="AU128" s="508">
        <f ca="1">IF($C$4=Lookups!$D$40,SUM(INDIRECT("'Yr1'!"&amp;ADDRESS(ROW(AU128),COLUMN(AU128))),INDIRECT("'Yr2'!"&amp;ADDRESS(ROW(AU128),COLUMN(AU128))),INDIRECT("'Yr3'!"&amp;ADDRESS(ROW(AU128),COLUMN(AU128)))),
IF($C$4=AU$7,SUMIFS('EE Inputs'!$L$9:$L$32,'EE Inputs'!$C$9:$C$32,$AM$6,'EE Inputs'!$D$9:$D$32,$C$4,'EE Inputs'!$E$9:$E$32,$B128),0))</f>
        <v>0</v>
      </c>
      <c r="AV128" s="508">
        <f ca="1">IF($C$4=Lookups!$D$40,SUM(INDIRECT("'Yr1'!"&amp;ADDRESS(ROW(AV128),COLUMN(AV128))),INDIRECT("'Yr2'!"&amp;ADDRESS(ROW(AV128),COLUMN(AV128))),INDIRECT("'Yr3'!"&amp;ADDRESS(ROW(AV128),COLUMN(AV128)))),
IF($C$4=AV$7,SUMIFS('EE Inputs'!$L$9:$L$32,'EE Inputs'!$C$9:$C$32,$AM$6,'EE Inputs'!$D$9:$D$32,$C$4,'EE Inputs'!$E$9:$E$32,$B128),0))</f>
        <v>0</v>
      </c>
      <c r="AW128" s="508">
        <f ca="1">IF($C$4=Lookups!$D$40,SUM(INDIRECT("'Yr1'!"&amp;ADDRESS(ROW(AW128),COLUMN(AW128))),INDIRECT("'Yr2'!"&amp;ADDRESS(ROW(AW128),COLUMN(AW128))),INDIRECT("'Yr3'!"&amp;ADDRESS(ROW(AW128),COLUMN(AW128)))),
IF($C$4=AW$7,SUMIFS('EE Inputs'!$L$9:$L$32,'EE Inputs'!$C$9:$C$32,$AM$6,'EE Inputs'!$D$9:$D$32,$C$4,'EE Inputs'!$E$9:$E$32,$B128),0))</f>
        <v>0</v>
      </c>
      <c r="AX128" s="508">
        <f ca="1">IF($C$4=Lookups!$D$40,SUM(INDIRECT("'Yr1'!"&amp;ADDRESS(ROW(AX128),COLUMN(AX128))),INDIRECT("'Yr2'!"&amp;ADDRESS(ROW(AX128),COLUMN(AX128))),INDIRECT("'Yr3'!"&amp;ADDRESS(ROW(AX128),COLUMN(AX128)))),
IF($C$4=AX$7,SUMIFS('EE Inputs'!$L$9:$L$32,'EE Inputs'!$C$9:$C$32,$AM$6,'EE Inputs'!$D$9:$D$32,$C$4,'EE Inputs'!$E$9:$E$32,$B128),0))</f>
        <v>0</v>
      </c>
      <c r="AY128" s="508">
        <f ca="1">IF($C$4=Lookups!$D$40,SUM(INDIRECT("'Yr1'!"&amp;ADDRESS(ROW(AY128),COLUMN(AY128))),INDIRECT("'Yr2'!"&amp;ADDRESS(ROW(AY128),COLUMN(AY128))),INDIRECT("'Yr3'!"&amp;ADDRESS(ROW(AY128),COLUMN(AY128)))),
IF($C$4=AY$7,SUMIFS('EE Inputs'!$L$9:$L$32,'EE Inputs'!$C$9:$C$32,$AM$6,'EE Inputs'!$D$9:$D$32,$C$4,'EE Inputs'!$E$9:$E$32,$B128),0))</f>
        <v>0</v>
      </c>
      <c r="AZ128" s="508">
        <f ca="1">IF($C$4=Lookups!$D$40,SUM(INDIRECT("'Yr1'!"&amp;ADDRESS(ROW(AZ128),COLUMN(AZ128))),INDIRECT("'Yr2'!"&amp;ADDRESS(ROW(AZ128),COLUMN(AZ128))),INDIRECT("'Yr3'!"&amp;ADDRESS(ROW(AZ128),COLUMN(AZ128)))),
IF($C$4=AZ$7,SUMIFS('EE Inputs'!$L$9:$L$32,'EE Inputs'!$C$9:$C$32,$AM$6,'EE Inputs'!$D$9:$D$32,$C$4,'EE Inputs'!$E$9:$E$32,$B128),0))</f>
        <v>0</v>
      </c>
      <c r="BA128" s="508">
        <f ca="1">IF($C$4=Lookups!$D$40,SUM(INDIRECT("'Yr1'!"&amp;ADDRESS(ROW(BA128),COLUMN(BA128))),INDIRECT("'Yr2'!"&amp;ADDRESS(ROW(BA128),COLUMN(BA128))),INDIRECT("'Yr3'!"&amp;ADDRESS(ROW(BA128),COLUMN(BA128)))),
IF($C$4=BA$7,SUMIFS('EE Inputs'!$L$9:$L$32,'EE Inputs'!$C$9:$C$32,$AM$6,'EE Inputs'!$D$9:$D$32,$C$4,'EE Inputs'!$E$9:$E$32,$B128),0))</f>
        <v>0</v>
      </c>
      <c r="BB128" s="508">
        <f ca="1">IF($C$4=Lookups!$D$40,SUM(INDIRECT("'Yr1'!"&amp;ADDRESS(ROW(BB128),COLUMN(BB128))),INDIRECT("'Yr2'!"&amp;ADDRESS(ROW(BB128),COLUMN(BB128))),INDIRECT("'Yr3'!"&amp;ADDRESS(ROW(BB128),COLUMN(BB128)))),
IF($C$4=BB$7,SUMIFS('EE Inputs'!$L$9:$L$32,'EE Inputs'!$C$9:$C$32,$AM$6,'EE Inputs'!$D$9:$D$32,$C$4,'EE Inputs'!$E$9:$E$32,$B128),0))</f>
        <v>0</v>
      </c>
      <c r="BC128" s="508">
        <f ca="1">IF($C$4=Lookups!$D$40,SUM(INDIRECT("'Yr1'!"&amp;ADDRESS(ROW(BC128),COLUMN(BC128))),INDIRECT("'Yr2'!"&amp;ADDRESS(ROW(BC128),COLUMN(BC128))),INDIRECT("'Yr3'!"&amp;ADDRESS(ROW(BC128),COLUMN(BC128)))),
IF($C$4=BC$7,SUMIFS('EE Inputs'!$L$9:$L$32,'EE Inputs'!$C$9:$C$32,$AM$6,'EE Inputs'!$D$9:$D$32,$C$4,'EE Inputs'!$E$9:$E$32,$B128),0))</f>
        <v>0</v>
      </c>
      <c r="BD128" s="508">
        <f ca="1">IF($C$4=Lookups!$D$40,SUM(INDIRECT("'Yr1'!"&amp;ADDRESS(ROW(BD128),COLUMN(BD128))),INDIRECT("'Yr2'!"&amp;ADDRESS(ROW(BD128),COLUMN(BD128))),INDIRECT("'Yr3'!"&amp;ADDRESS(ROW(BD128),COLUMN(BD128)))),
IF($C$4=BD$7,SUMIFS('EE Inputs'!$L$9:$L$32,'EE Inputs'!$C$9:$C$32,$AM$6,'EE Inputs'!$D$9:$D$32,$C$4,'EE Inputs'!$E$9:$E$32,$B128),0))</f>
        <v>0</v>
      </c>
      <c r="BE128" s="508">
        <f ca="1">IF($C$4=Lookups!$D$40,SUM(INDIRECT("'Yr1'!"&amp;ADDRESS(ROW(BE128),COLUMN(BE128))),INDIRECT("'Yr2'!"&amp;ADDRESS(ROW(BE128),COLUMN(BE128))),INDIRECT("'Yr3'!"&amp;ADDRESS(ROW(BE128),COLUMN(BE128)))),
IF($C$4=BE$7,SUMIFS('EE Inputs'!$L$9:$L$32,'EE Inputs'!$C$9:$C$32,$AM$6,'EE Inputs'!$D$9:$D$32,$C$4,'EE Inputs'!$E$9:$E$32,$B128),0))</f>
        <v>0</v>
      </c>
      <c r="BF128" s="508">
        <f ca="1">IF($C$4=Lookups!$D$40,SUM(INDIRECT("'Yr1'!"&amp;ADDRESS(ROW(BF128),COLUMN(BF128))),INDIRECT("'Yr2'!"&amp;ADDRESS(ROW(BF128),COLUMN(BF128))),INDIRECT("'Yr3'!"&amp;ADDRESS(ROW(BF128),COLUMN(BF128)))),
IF($C$4=BF$7,SUMIFS('EE Inputs'!$L$9:$L$32,'EE Inputs'!$C$9:$C$32,$AM$6,'EE Inputs'!$D$9:$D$32,$C$4,'EE Inputs'!$E$9:$E$32,$B128),0))</f>
        <v>0</v>
      </c>
      <c r="BG128" s="508">
        <f ca="1">IF($C$4=Lookups!$D$40,SUM(INDIRECT("'Yr1'!"&amp;ADDRESS(ROW(BG128),COLUMN(BG128))),INDIRECT("'Yr2'!"&amp;ADDRESS(ROW(BG128),COLUMN(BG128))),INDIRECT("'Yr3'!"&amp;ADDRESS(ROW(BG128),COLUMN(BG128)))),
IF($C$4=BG$7,SUMIFS('EE Inputs'!$L$9:$L$32,'EE Inputs'!$C$9:$C$32,$AM$6,'EE Inputs'!$D$9:$D$32,$C$4,'EE Inputs'!$E$9:$E$32,$B128),0))</f>
        <v>0</v>
      </c>
      <c r="BH128" s="508">
        <f ca="1">IF($C$4=Lookups!$D$40,SUM(INDIRECT("'Yr1'!"&amp;ADDRESS(ROW(BH128),COLUMN(BH128))),INDIRECT("'Yr2'!"&amp;ADDRESS(ROW(BH128),COLUMN(BH128))),INDIRECT("'Yr3'!"&amp;ADDRESS(ROW(BH128),COLUMN(BH128)))),
IF($C$4=BH$7,SUMIFS('EE Inputs'!$L$9:$L$32,'EE Inputs'!$C$9:$C$32,$AM$6,'EE Inputs'!$D$9:$D$32,$C$4,'EE Inputs'!$E$9:$E$32,$B128),0))</f>
        <v>0</v>
      </c>
      <c r="BI128" s="508">
        <f ca="1">IF($C$4=Lookups!$D$40,SUM(INDIRECT("'Yr1'!"&amp;ADDRESS(ROW(BI128),COLUMN(BI128))),INDIRECT("'Yr2'!"&amp;ADDRESS(ROW(BI128),COLUMN(BI128))),INDIRECT("'Yr3'!"&amp;ADDRESS(ROW(BI128),COLUMN(BI128)))),
IF($C$4=BI$7,SUMIFS('EE Inputs'!$L$9:$L$32,'EE Inputs'!$C$9:$C$32,$AM$6,'EE Inputs'!$D$9:$D$32,$C$4,'EE Inputs'!$E$9:$E$32,$B128),0))</f>
        <v>0</v>
      </c>
      <c r="BJ128" s="508">
        <f ca="1">IF($C$4=Lookups!$D$40,SUM(INDIRECT("'Yr1'!"&amp;ADDRESS(ROW(BJ128),COLUMN(BJ128))),INDIRECT("'Yr2'!"&amp;ADDRESS(ROW(BJ128),COLUMN(BJ128))),INDIRECT("'Yr3'!"&amp;ADDRESS(ROW(BJ128),COLUMN(BJ128)))),
IF($C$4=BJ$7,SUMIFS('EE Inputs'!$L$9:$L$32,'EE Inputs'!$C$9:$C$32,$AM$6,'EE Inputs'!$D$9:$D$32,$C$4,'EE Inputs'!$E$9:$E$32,$B128),0))</f>
        <v>0</v>
      </c>
      <c r="BK128" s="508">
        <f ca="1">IF($C$4=Lookups!$D$40,SUM(INDIRECT("'Yr1'!"&amp;ADDRESS(ROW(BK128),COLUMN(BK128))),INDIRECT("'Yr2'!"&amp;ADDRESS(ROW(BK128),COLUMN(BK128))),INDIRECT("'Yr3'!"&amp;ADDRESS(ROW(BK128),COLUMN(BK128)))),
IF($C$4=BK$7,SUMIFS('EE Inputs'!$L$9:$L$32,'EE Inputs'!$C$9:$C$32,$AM$6,'EE Inputs'!$D$9:$D$32,$C$4,'EE Inputs'!$E$9:$E$32,$B128),0))</f>
        <v>0</v>
      </c>
      <c r="BL128" s="508">
        <f ca="1">IF($C$4=Lookups!$D$40,SUM(INDIRECT("'Yr1'!"&amp;ADDRESS(ROW(BL128),COLUMN(BL128))),INDIRECT("'Yr2'!"&amp;ADDRESS(ROW(BL128),COLUMN(BL128))),INDIRECT("'Yr3'!"&amp;ADDRESS(ROW(BL128),COLUMN(BL128)))),
IF($C$4=BL$7,SUMIFS('EE Inputs'!$L$9:$L$32,'EE Inputs'!$C$9:$C$32,$AM$6,'EE Inputs'!$D$9:$D$32,$C$4,'EE Inputs'!$E$9:$E$32,$B128),0))</f>
        <v>0</v>
      </c>
      <c r="BM128" s="508">
        <f ca="1">IF($C$4=Lookups!$D$40,SUM(INDIRECT("'Yr1'!"&amp;ADDRESS(ROW(BM128),COLUMN(BM128))),INDIRECT("'Yr2'!"&amp;ADDRESS(ROW(BM128),COLUMN(BM128))),INDIRECT("'Yr3'!"&amp;ADDRESS(ROW(BM128),COLUMN(BM128)))),
IF($C$4=BM$7,SUMIFS('EE Inputs'!$L$9:$L$32,'EE Inputs'!$C$9:$C$32,$AM$6,'EE Inputs'!$D$9:$D$32,$C$4,'EE Inputs'!$E$9:$E$32,$B128),0))</f>
        <v>0</v>
      </c>
      <c r="BN128" s="508"/>
      <c r="BO128" s="508"/>
      <c r="BP128" s="508">
        <f ca="1">IF($C$4=Year1,-PMT(Lookups!$E$17,25,NPV(Lookups!$E$17,AM128:BK128),0,1),IF($C$4=Year2,-PMT(Lookups!$F$17,25,NPV(Lookups!$F$17,AN128:BL128),0,1),IF($C$4=Year3,-PMT(Lookups!$G$17,25,NPV(Lookups!$G$17,AO128:BM128),0,1),-PMT(Lookups!$G$17,27,NPV(Lookups!$G$17,AM128:BM128),0,1))))</f>
        <v>3.8336358593967774E-3</v>
      </c>
      <c r="BS128" s="86" t="s">
        <v>402</v>
      </c>
      <c r="BT128" s="51" t="s">
        <v>17</v>
      </c>
    </row>
    <row r="129" spans="1:72" x14ac:dyDescent="0.25">
      <c r="A129" s="246"/>
      <c r="B129" s="243" t="str">
        <f t="shared" si="119"/>
        <v>Low-Income</v>
      </c>
      <c r="C129" s="243" t="str">
        <f t="shared" si="119"/>
        <v>Rates</v>
      </c>
      <c r="D129" s="244" t="str">
        <f t="shared" si="119"/>
        <v>Increased Costs and Cost Shifting</v>
      </c>
      <c r="E129" s="86" t="s">
        <v>198</v>
      </c>
      <c r="F129" s="84" t="s">
        <v>182</v>
      </c>
      <c r="G129" s="506">
        <f ca="1">IFERROR((G111/G96)-(G111/G94),0)</f>
        <v>0</v>
      </c>
      <c r="H129" s="506">
        <f t="shared" ref="H129:AG129" ca="1" si="122">IFERROR((H111/H96)-(H111/H94),0)</f>
        <v>0</v>
      </c>
      <c r="I129" s="506">
        <f t="shared" ca="1" si="122"/>
        <v>4.5319641111828401E-3</v>
      </c>
      <c r="J129" s="506">
        <f t="shared" ca="1" si="122"/>
        <v>4.5319641111828401E-3</v>
      </c>
      <c r="K129" s="506">
        <f t="shared" ca="1" si="122"/>
        <v>4.5319641111828401E-3</v>
      </c>
      <c r="L129" s="506">
        <f t="shared" ca="1" si="122"/>
        <v>4.5319641111828401E-3</v>
      </c>
      <c r="M129" s="506">
        <f t="shared" ca="1" si="122"/>
        <v>4.5319641111828401E-3</v>
      </c>
      <c r="N129" s="506">
        <f t="shared" ca="1" si="122"/>
        <v>4.5319641111828401E-3</v>
      </c>
      <c r="O129" s="506">
        <f t="shared" ca="1" si="122"/>
        <v>4.5319641111828401E-3</v>
      </c>
      <c r="P129" s="506">
        <f t="shared" ca="1" si="122"/>
        <v>4.5319641111828401E-3</v>
      </c>
      <c r="Q129" s="506">
        <f t="shared" ca="1" si="122"/>
        <v>4.5319641111828401E-3</v>
      </c>
      <c r="R129" s="506">
        <f t="shared" ca="1" si="122"/>
        <v>4.5319641111828401E-3</v>
      </c>
      <c r="S129" s="506">
        <f t="shared" ca="1" si="122"/>
        <v>4.5319641111828401E-3</v>
      </c>
      <c r="T129" s="506">
        <f t="shared" ca="1" si="122"/>
        <v>4.5319641111828401E-3</v>
      </c>
      <c r="U129" s="506">
        <f t="shared" ca="1" si="122"/>
        <v>4.5319641111828401E-3</v>
      </c>
      <c r="V129" s="506">
        <f t="shared" ca="1" si="122"/>
        <v>4.5319641111828401E-3</v>
      </c>
      <c r="W129" s="506">
        <f t="shared" ca="1" si="122"/>
        <v>4.5319641111828401E-3</v>
      </c>
      <c r="X129" s="506">
        <f t="shared" ca="1" si="122"/>
        <v>4.5319641111828401E-3</v>
      </c>
      <c r="Y129" s="506">
        <f t="shared" ca="1" si="122"/>
        <v>4.5319641111828401E-3</v>
      </c>
      <c r="Z129" s="506">
        <f t="shared" ca="1" si="122"/>
        <v>4.5319641111828401E-3</v>
      </c>
      <c r="AA129" s="506">
        <f t="shared" ca="1" si="122"/>
        <v>4.5319641111828401E-3</v>
      </c>
      <c r="AB129" s="506">
        <f t="shared" ca="1" si="122"/>
        <v>4.5319641111828401E-3</v>
      </c>
      <c r="AC129" s="506">
        <f t="shared" ca="1" si="122"/>
        <v>0</v>
      </c>
      <c r="AD129" s="506">
        <f t="shared" ca="1" si="122"/>
        <v>0</v>
      </c>
      <c r="AE129" s="506">
        <f t="shared" ca="1" si="122"/>
        <v>0</v>
      </c>
      <c r="AF129" s="506">
        <f t="shared" ca="1" si="122"/>
        <v>0</v>
      </c>
      <c r="AG129" s="506">
        <f t="shared" ca="1" si="122"/>
        <v>0</v>
      </c>
      <c r="AH129" s="506"/>
      <c r="AI129" s="506"/>
      <c r="AJ129" s="506">
        <f ca="1">IF($C$4=Year1,-PMT(Lookups!$E$17,25,NPV(Lookups!$E$17,G129:AE129),0,1),IF($C$4=Year2,-PMT(Lookups!$F$17,25,NPV(Lookups!$F$17,H129:AF129),0,1),IF($C$4=Year3,-PMT(Lookups!$G$17,25,NPV(Lookups!$G$17,I129:AG129),0,1),-PMT(Lookups!$G$17,27,NPV(Lookups!$G$17,G129:AG129),0,1))))</f>
        <v>3.695933003729899E-3</v>
      </c>
      <c r="AK129" s="507"/>
      <c r="AL129" s="507"/>
      <c r="AM129" s="508">
        <f ca="1">IFERROR((AM111/AM96)-(AM111/AM94),0)</f>
        <v>0</v>
      </c>
      <c r="AN129" s="508">
        <f t="shared" ref="AN129:BM129" ca="1" si="123">IFERROR((AN111/AN96)-(AN111/AN94),0)</f>
        <v>0</v>
      </c>
      <c r="AO129" s="508">
        <f t="shared" ca="1" si="123"/>
        <v>5.1913741775079236E-3</v>
      </c>
      <c r="AP129" s="508">
        <f t="shared" ca="1" si="123"/>
        <v>5.1913741775079236E-3</v>
      </c>
      <c r="AQ129" s="508">
        <f t="shared" ca="1" si="123"/>
        <v>5.1913741775079236E-3</v>
      </c>
      <c r="AR129" s="508">
        <f t="shared" ca="1" si="123"/>
        <v>5.1913741775079236E-3</v>
      </c>
      <c r="AS129" s="508">
        <f t="shared" ca="1" si="123"/>
        <v>5.1913741775079236E-3</v>
      </c>
      <c r="AT129" s="508">
        <f t="shared" ca="1" si="123"/>
        <v>5.1913741775079236E-3</v>
      </c>
      <c r="AU129" s="508">
        <f t="shared" ca="1" si="123"/>
        <v>5.1913741775079236E-3</v>
      </c>
      <c r="AV129" s="508">
        <f t="shared" ca="1" si="123"/>
        <v>5.1913741775079236E-3</v>
      </c>
      <c r="AW129" s="508">
        <f t="shared" ca="1" si="123"/>
        <v>5.1913741775079236E-3</v>
      </c>
      <c r="AX129" s="508">
        <f t="shared" ca="1" si="123"/>
        <v>5.1913741775079236E-3</v>
      </c>
      <c r="AY129" s="508">
        <f t="shared" ca="1" si="123"/>
        <v>5.1913741775079236E-3</v>
      </c>
      <c r="AZ129" s="508">
        <f t="shared" ca="1" si="123"/>
        <v>5.1913741775079236E-3</v>
      </c>
      <c r="BA129" s="508">
        <f t="shared" ca="1" si="123"/>
        <v>5.1913741775079236E-3</v>
      </c>
      <c r="BB129" s="508">
        <f t="shared" ca="1" si="123"/>
        <v>5.1913741775079236E-3</v>
      </c>
      <c r="BC129" s="508">
        <f t="shared" ca="1" si="123"/>
        <v>5.1913741775079236E-3</v>
      </c>
      <c r="BD129" s="508">
        <f t="shared" ca="1" si="123"/>
        <v>5.1913741775079236E-3</v>
      </c>
      <c r="BE129" s="508">
        <f t="shared" ca="1" si="123"/>
        <v>5.1913741775079236E-3</v>
      </c>
      <c r="BF129" s="508">
        <f t="shared" ca="1" si="123"/>
        <v>5.1913741775079236E-3</v>
      </c>
      <c r="BG129" s="508">
        <f t="shared" ca="1" si="123"/>
        <v>5.1913741775079236E-3</v>
      </c>
      <c r="BH129" s="508">
        <f t="shared" ca="1" si="123"/>
        <v>5.1913741775079236E-3</v>
      </c>
      <c r="BI129" s="508">
        <f t="shared" ca="1" si="123"/>
        <v>0</v>
      </c>
      <c r="BJ129" s="508">
        <f t="shared" ca="1" si="123"/>
        <v>0</v>
      </c>
      <c r="BK129" s="508">
        <f t="shared" ca="1" si="123"/>
        <v>0</v>
      </c>
      <c r="BL129" s="508">
        <f t="shared" ca="1" si="123"/>
        <v>0</v>
      </c>
      <c r="BM129" s="508">
        <f t="shared" ca="1" si="123"/>
        <v>0</v>
      </c>
      <c r="BN129" s="508"/>
      <c r="BO129" s="508"/>
      <c r="BP129" s="508">
        <f ca="1">IF($C$4=Year1,-PMT(Lookups!$E$17,25,NPV(Lookups!$E$17,AM129:BK129),0,1),IF($C$4=Year2,-PMT(Lookups!$F$17,25,NPV(Lookups!$F$17,AN129:BL129),0,1),IF($C$4=Year3,-PMT(Lookups!$G$17,25,NPV(Lookups!$G$17,AO129:BM129),0,1),-PMT(Lookups!$G$17,27,NPV(Lookups!$G$17,AM129:BM129),0,1))))</f>
        <v>4.2336988304955718E-3</v>
      </c>
      <c r="BS129" s="84" t="s">
        <v>103</v>
      </c>
      <c r="BT129" s="51" t="s">
        <v>17</v>
      </c>
    </row>
    <row r="130" spans="1:72" x14ac:dyDescent="0.25">
      <c r="B130" s="243" t="str">
        <f t="shared" si="119"/>
        <v>Low-Income</v>
      </c>
      <c r="C130" s="243" t="str">
        <f t="shared" si="119"/>
        <v>Rates</v>
      </c>
      <c r="D130" s="114" t="s">
        <v>110</v>
      </c>
      <c r="E130" s="86"/>
      <c r="F130" s="86"/>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49"/>
      <c r="AI130" s="238"/>
      <c r="AJ130" s="49"/>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S130" s="84"/>
      <c r="BT130" s="51" t="s">
        <v>17</v>
      </c>
    </row>
    <row r="131" spans="1:72" x14ac:dyDescent="0.25">
      <c r="B131" s="243" t="str">
        <f t="shared" si="119"/>
        <v>Low-Income</v>
      </c>
      <c r="C131" s="243" t="str">
        <f t="shared" si="119"/>
        <v>Rates</v>
      </c>
      <c r="D131" s="244" t="str">
        <f>D130</f>
        <v>Rates after DSM Scenario</v>
      </c>
      <c r="E131" s="86" t="s">
        <v>26</v>
      </c>
      <c r="F131" s="84" t="s">
        <v>182</v>
      </c>
      <c r="G131" s="506">
        <f ca="1">IFERROR(G111/G96,0)</f>
        <v>0</v>
      </c>
      <c r="H131" s="506">
        <f t="shared" ref="H131:AG131" ca="1" si="124">IFERROR(H111/H96,0)</f>
        <v>0</v>
      </c>
      <c r="I131" s="506">
        <f t="shared" ca="1" si="124"/>
        <v>0.2263835186554895</v>
      </c>
      <c r="J131" s="506">
        <f t="shared" ca="1" si="124"/>
        <v>0.2263835186554895</v>
      </c>
      <c r="K131" s="506">
        <f t="shared" ca="1" si="124"/>
        <v>0.2263835186554895</v>
      </c>
      <c r="L131" s="506">
        <f t="shared" ca="1" si="124"/>
        <v>0.2263835186554895</v>
      </c>
      <c r="M131" s="506">
        <f t="shared" ca="1" si="124"/>
        <v>0.2263835186554895</v>
      </c>
      <c r="N131" s="506">
        <f t="shared" ca="1" si="124"/>
        <v>0.2263835186554895</v>
      </c>
      <c r="O131" s="506">
        <f t="shared" ca="1" si="124"/>
        <v>0.2263835186554895</v>
      </c>
      <c r="P131" s="506">
        <f t="shared" ca="1" si="124"/>
        <v>0.2263835186554895</v>
      </c>
      <c r="Q131" s="506">
        <f t="shared" ca="1" si="124"/>
        <v>0.2263835186554895</v>
      </c>
      <c r="R131" s="506">
        <f t="shared" ca="1" si="124"/>
        <v>0.2263835186554895</v>
      </c>
      <c r="S131" s="506">
        <f t="shared" ca="1" si="124"/>
        <v>0.2263835186554895</v>
      </c>
      <c r="T131" s="506">
        <f t="shared" ca="1" si="124"/>
        <v>0.2263835186554895</v>
      </c>
      <c r="U131" s="506">
        <f t="shared" ca="1" si="124"/>
        <v>0.2263835186554895</v>
      </c>
      <c r="V131" s="506">
        <f t="shared" ca="1" si="124"/>
        <v>0.2263835186554895</v>
      </c>
      <c r="W131" s="506">
        <f t="shared" ca="1" si="124"/>
        <v>0.2263835186554895</v>
      </c>
      <c r="X131" s="506">
        <f t="shared" ca="1" si="124"/>
        <v>0.2263835186554895</v>
      </c>
      <c r="Y131" s="506">
        <f t="shared" ca="1" si="124"/>
        <v>0.2263835186554895</v>
      </c>
      <c r="Z131" s="506">
        <f t="shared" ca="1" si="124"/>
        <v>0.2263835186554895</v>
      </c>
      <c r="AA131" s="506">
        <f t="shared" ca="1" si="124"/>
        <v>0.2263835186554895</v>
      </c>
      <c r="AB131" s="506">
        <f t="shared" ca="1" si="124"/>
        <v>0.2263835186554895</v>
      </c>
      <c r="AC131" s="506">
        <f t="shared" ca="1" si="124"/>
        <v>0.2228</v>
      </c>
      <c r="AD131" s="506">
        <f t="shared" ca="1" si="124"/>
        <v>0.2228</v>
      </c>
      <c r="AE131" s="506">
        <f t="shared" ca="1" si="124"/>
        <v>0.2228</v>
      </c>
      <c r="AF131" s="506">
        <f t="shared" ca="1" si="124"/>
        <v>0.2228</v>
      </c>
      <c r="AG131" s="506">
        <f t="shared" ca="1" si="124"/>
        <v>0.2228</v>
      </c>
      <c r="AH131" s="509"/>
      <c r="AI131" s="506"/>
      <c r="AJ131" s="509">
        <f ca="1">IF($C$4=Year1,-PMT(Lookups!$E$17,25,NPV(Lookups!$E$17,G131:AE131),0,1),IF($C$4=Year2,-PMT(Lookups!$F$17,25,NPV(Lookups!$F$17,H131:AF131),0,1),IF($C$4=Year3,-PMT(Lookups!$G$17,25,NPV(Lookups!$G$17,I131:AG131),0,1),-PMT(Lookups!$G$17,27,NPV(Lookups!$G$17,G131:AG131),0,1))))</f>
        <v>0.2226151196823786</v>
      </c>
      <c r="AK131" s="507"/>
      <c r="AL131" s="507"/>
      <c r="AM131" s="508">
        <f ca="1">IFERROR(AM111/AM96,0)</f>
        <v>0</v>
      </c>
      <c r="AN131" s="508">
        <f t="shared" ref="AN131:BM131" ca="1" si="125">IFERROR(AN111/AN96,0)</f>
        <v>0</v>
      </c>
      <c r="AO131" s="508">
        <f t="shared" ca="1" si="125"/>
        <v>0.22690743651385839</v>
      </c>
      <c r="AP131" s="508">
        <f t="shared" ca="1" si="125"/>
        <v>0.22690743651385839</v>
      </c>
      <c r="AQ131" s="508">
        <f t="shared" ca="1" si="125"/>
        <v>0.22690743651385839</v>
      </c>
      <c r="AR131" s="508">
        <f t="shared" ca="1" si="125"/>
        <v>0.22690743651385839</v>
      </c>
      <c r="AS131" s="508">
        <f t="shared" ca="1" si="125"/>
        <v>0.22690743651385839</v>
      </c>
      <c r="AT131" s="508">
        <f t="shared" ca="1" si="125"/>
        <v>0.22690743651385839</v>
      </c>
      <c r="AU131" s="508">
        <f t="shared" ca="1" si="125"/>
        <v>0.22690743651385839</v>
      </c>
      <c r="AV131" s="508">
        <f t="shared" ca="1" si="125"/>
        <v>0.22690743651385839</v>
      </c>
      <c r="AW131" s="508">
        <f t="shared" ca="1" si="125"/>
        <v>0.22690743651385839</v>
      </c>
      <c r="AX131" s="508">
        <f t="shared" ca="1" si="125"/>
        <v>0.22690743651385839</v>
      </c>
      <c r="AY131" s="508">
        <f t="shared" ca="1" si="125"/>
        <v>0.22690743651385839</v>
      </c>
      <c r="AZ131" s="508">
        <f t="shared" ca="1" si="125"/>
        <v>0.22690743651385839</v>
      </c>
      <c r="BA131" s="508">
        <f t="shared" ca="1" si="125"/>
        <v>0.22690743651385839</v>
      </c>
      <c r="BB131" s="508">
        <f t="shared" ca="1" si="125"/>
        <v>0.22690743651385839</v>
      </c>
      <c r="BC131" s="508">
        <f t="shared" ca="1" si="125"/>
        <v>0.22690743651385839</v>
      </c>
      <c r="BD131" s="508">
        <f t="shared" ca="1" si="125"/>
        <v>0.22690743651385839</v>
      </c>
      <c r="BE131" s="508">
        <f t="shared" ca="1" si="125"/>
        <v>0.22690743651385839</v>
      </c>
      <c r="BF131" s="508">
        <f t="shared" ca="1" si="125"/>
        <v>0.22690743651385839</v>
      </c>
      <c r="BG131" s="508">
        <f t="shared" ca="1" si="125"/>
        <v>0.22690743651385839</v>
      </c>
      <c r="BH131" s="508">
        <f t="shared" ca="1" si="125"/>
        <v>0.22690743651385839</v>
      </c>
      <c r="BI131" s="508">
        <f t="shared" ca="1" si="125"/>
        <v>0.2228</v>
      </c>
      <c r="BJ131" s="508">
        <f t="shared" ca="1" si="125"/>
        <v>0.2228</v>
      </c>
      <c r="BK131" s="508">
        <f t="shared" ca="1" si="125"/>
        <v>0.2228</v>
      </c>
      <c r="BL131" s="508">
        <f t="shared" ca="1" si="125"/>
        <v>0.2228</v>
      </c>
      <c r="BM131" s="508">
        <f t="shared" ca="1" si="125"/>
        <v>0.2228</v>
      </c>
      <c r="BN131" s="508"/>
      <c r="BO131" s="508"/>
      <c r="BP131" s="508">
        <f ca="1">IF($C$4=Year1,-PMT(Lookups!$E$17,25,NPV(Lookups!$E$17,AM131:BK131),0,1),IF($C$4=Year2,-PMT(Lookups!$F$17,25,NPV(Lookups!$F$17,AN131:BL131),0,1),IF($C$4=Year3,-PMT(Lookups!$G$17,25,NPV(Lookups!$G$17,AO131:BM131),0,1),-PMT(Lookups!$G$17,27,NPV(Lookups!$G$17,AM131:BM131),0,1))))</f>
        <v>0.22304238813739816</v>
      </c>
      <c r="BS131" s="84" t="s">
        <v>238</v>
      </c>
      <c r="BT131" s="51" t="s">
        <v>17</v>
      </c>
    </row>
    <row r="132" spans="1:72" x14ac:dyDescent="0.25">
      <c r="B132" s="243" t="str">
        <f t="shared" si="119"/>
        <v>Low-Income</v>
      </c>
      <c r="C132" s="243" t="str">
        <f t="shared" si="119"/>
        <v>Rates</v>
      </c>
      <c r="D132" s="244" t="str">
        <f>D131</f>
        <v>Rates after DSM Scenario</v>
      </c>
      <c r="E132" s="84" t="s">
        <v>407</v>
      </c>
      <c r="F132" s="84" t="s">
        <v>182</v>
      </c>
      <c r="G132" s="506">
        <f ca="1">IFERROR(G112/G96,0)</f>
        <v>0</v>
      </c>
      <c r="H132" s="506">
        <f t="shared" ref="H132:AG132" ca="1" si="126">IFERROR(H112/H96,0)</f>
        <v>0</v>
      </c>
      <c r="I132" s="506">
        <f t="shared" ca="1" si="126"/>
        <v>-3.3674121107585782E-2</v>
      </c>
      <c r="J132" s="506">
        <f t="shared" ca="1" si="126"/>
        <v>-3.3674121107585782E-2</v>
      </c>
      <c r="K132" s="506">
        <f t="shared" ca="1" si="126"/>
        <v>-3.3674121107585782E-2</v>
      </c>
      <c r="L132" s="506">
        <f t="shared" ca="1" si="126"/>
        <v>-3.3674121107585782E-2</v>
      </c>
      <c r="M132" s="506">
        <f t="shared" ca="1" si="126"/>
        <v>-3.3674121107585782E-2</v>
      </c>
      <c r="N132" s="506">
        <f t="shared" ca="1" si="126"/>
        <v>-3.3674121107585782E-2</v>
      </c>
      <c r="O132" s="506">
        <f t="shared" ca="1" si="126"/>
        <v>-3.3674121107585782E-2</v>
      </c>
      <c r="P132" s="506">
        <f t="shared" ca="1" si="126"/>
        <v>-3.3674121107585782E-2</v>
      </c>
      <c r="Q132" s="506">
        <f t="shared" ca="1" si="126"/>
        <v>-3.3674121107585782E-2</v>
      </c>
      <c r="R132" s="506">
        <f t="shared" ca="1" si="126"/>
        <v>-3.3674121107585782E-2</v>
      </c>
      <c r="S132" s="506">
        <f t="shared" ca="1" si="126"/>
        <v>-3.3674121107585782E-2</v>
      </c>
      <c r="T132" s="506">
        <f t="shared" ca="1" si="126"/>
        <v>-3.3674121107585782E-2</v>
      </c>
      <c r="U132" s="506">
        <f t="shared" ca="1" si="126"/>
        <v>-3.3674121107585782E-2</v>
      </c>
      <c r="V132" s="506">
        <f t="shared" ca="1" si="126"/>
        <v>-3.3674121107585782E-2</v>
      </c>
      <c r="W132" s="506">
        <f t="shared" ca="1" si="126"/>
        <v>-3.3674121107585782E-2</v>
      </c>
      <c r="X132" s="506">
        <f t="shared" ca="1" si="126"/>
        <v>-3.3674121107585782E-2</v>
      </c>
      <c r="Y132" s="506">
        <f t="shared" ca="1" si="126"/>
        <v>-3.3674121107585782E-2</v>
      </c>
      <c r="Z132" s="506">
        <f t="shared" ca="1" si="126"/>
        <v>-3.3674121107585782E-2</v>
      </c>
      <c r="AA132" s="506">
        <f t="shared" ca="1" si="126"/>
        <v>-3.3674121107585782E-2</v>
      </c>
      <c r="AB132" s="506">
        <f t="shared" ca="1" si="126"/>
        <v>-3.3674121107585782E-2</v>
      </c>
      <c r="AC132" s="506">
        <f t="shared" ca="1" si="126"/>
        <v>-3.3000000000000002E-2</v>
      </c>
      <c r="AD132" s="506">
        <f t="shared" ca="1" si="126"/>
        <v>-3.3000000000000002E-2</v>
      </c>
      <c r="AE132" s="506">
        <f t="shared" ca="1" si="126"/>
        <v>-3.3000000000000002E-2</v>
      </c>
      <c r="AF132" s="506">
        <f t="shared" ca="1" si="126"/>
        <v>-3.3000000000000002E-2</v>
      </c>
      <c r="AG132" s="506">
        <f t="shared" ca="1" si="126"/>
        <v>-3.3000000000000002E-2</v>
      </c>
      <c r="AH132" s="509"/>
      <c r="AI132" s="506"/>
      <c r="AJ132" s="509">
        <f ca="1">IF($C$4=Year1,-PMT(Lookups!$E$17,25,NPV(Lookups!$E$17,G132:AE132),0,1),IF($C$4=Year2,-PMT(Lookups!$F$17,25,NPV(Lookups!$F$17,H132:AF132),0,1),IF($C$4=Year3,-PMT(Lookups!$G$17,25,NPV(Lookups!$G$17,I132:AG132),0,1),-PMT(Lookups!$G$17,27,NPV(Lookups!$G$17,G132:AG132),0,1))))</f>
        <v>-3.3089520927586345E-2</v>
      </c>
      <c r="AK132" s="507"/>
      <c r="AL132" s="507"/>
      <c r="AM132" s="508">
        <f ca="1">IFERROR(AM112/AM96,0)</f>
        <v>0</v>
      </c>
      <c r="AN132" s="508">
        <f t="shared" ref="AN132:BM132" ca="1" si="127">IFERROR(AN112/AN96,0)</f>
        <v>0</v>
      </c>
      <c r="AO132" s="508">
        <f t="shared" ca="1" si="127"/>
        <v>-3.377267901140095E-2</v>
      </c>
      <c r="AP132" s="508">
        <f t="shared" ca="1" si="127"/>
        <v>-3.377267901140095E-2</v>
      </c>
      <c r="AQ132" s="508">
        <f t="shared" ca="1" si="127"/>
        <v>-3.377267901140095E-2</v>
      </c>
      <c r="AR132" s="508">
        <f t="shared" ca="1" si="127"/>
        <v>-3.377267901140095E-2</v>
      </c>
      <c r="AS132" s="508">
        <f t="shared" ca="1" si="127"/>
        <v>-3.377267901140095E-2</v>
      </c>
      <c r="AT132" s="508">
        <f t="shared" ca="1" si="127"/>
        <v>-3.377267901140095E-2</v>
      </c>
      <c r="AU132" s="508">
        <f t="shared" ca="1" si="127"/>
        <v>-3.377267901140095E-2</v>
      </c>
      <c r="AV132" s="508">
        <f t="shared" ca="1" si="127"/>
        <v>-3.377267901140095E-2</v>
      </c>
      <c r="AW132" s="508">
        <f t="shared" ca="1" si="127"/>
        <v>-3.377267901140095E-2</v>
      </c>
      <c r="AX132" s="508">
        <f t="shared" ca="1" si="127"/>
        <v>-3.377267901140095E-2</v>
      </c>
      <c r="AY132" s="508">
        <f t="shared" ca="1" si="127"/>
        <v>-3.377267901140095E-2</v>
      </c>
      <c r="AZ132" s="508">
        <f t="shared" ca="1" si="127"/>
        <v>-3.377267901140095E-2</v>
      </c>
      <c r="BA132" s="508">
        <f t="shared" ca="1" si="127"/>
        <v>-3.377267901140095E-2</v>
      </c>
      <c r="BB132" s="508">
        <f t="shared" ca="1" si="127"/>
        <v>-3.377267901140095E-2</v>
      </c>
      <c r="BC132" s="508">
        <f t="shared" ca="1" si="127"/>
        <v>-3.377267901140095E-2</v>
      </c>
      <c r="BD132" s="508">
        <f t="shared" ca="1" si="127"/>
        <v>-3.377267901140095E-2</v>
      </c>
      <c r="BE132" s="508">
        <f t="shared" ca="1" si="127"/>
        <v>-3.377267901140095E-2</v>
      </c>
      <c r="BF132" s="508">
        <f t="shared" ca="1" si="127"/>
        <v>-3.377267901140095E-2</v>
      </c>
      <c r="BG132" s="508">
        <f t="shared" ca="1" si="127"/>
        <v>-3.377267901140095E-2</v>
      </c>
      <c r="BH132" s="508">
        <f t="shared" ca="1" si="127"/>
        <v>-3.377267901140095E-2</v>
      </c>
      <c r="BI132" s="508">
        <f t="shared" ca="1" si="127"/>
        <v>-3.3000000000000002E-2</v>
      </c>
      <c r="BJ132" s="508">
        <f t="shared" ca="1" si="127"/>
        <v>-3.3000000000000002E-2</v>
      </c>
      <c r="BK132" s="508">
        <f t="shared" ca="1" si="127"/>
        <v>-3.3000000000000002E-2</v>
      </c>
      <c r="BL132" s="508">
        <f t="shared" ca="1" si="127"/>
        <v>-3.3000000000000002E-2</v>
      </c>
      <c r="BM132" s="508">
        <f t="shared" ca="1" si="127"/>
        <v>-3.3000000000000002E-2</v>
      </c>
      <c r="BN132" s="508"/>
      <c r="BO132" s="508"/>
      <c r="BP132" s="508">
        <f ca="1">IF($C$4=Year1,-PMT(Lookups!$E$17,25,NPV(Lookups!$E$17,AM132:BK132),0,1),IF($C$4=Year2,-PMT(Lookups!$F$17,25,NPV(Lookups!$F$17,AN132:BL132),0,1),IF($C$4=Year3,-PMT(Lookups!$G$17,25,NPV(Lookups!$G$17,AO132:BM132),0,1),-PMT(Lookups!$G$17,27,NPV(Lookups!$G$17,AM132:BM132),0,1))))</f>
        <v>-3.3169897426727213E-2</v>
      </c>
      <c r="BS132" s="84" t="s">
        <v>237</v>
      </c>
      <c r="BT132" s="51" t="s">
        <v>17</v>
      </c>
    </row>
    <row r="133" spans="1:72" x14ac:dyDescent="0.25">
      <c r="B133" s="243" t="str">
        <f t="shared" si="119"/>
        <v>Low-Income</v>
      </c>
      <c r="C133" s="243" t="str">
        <f t="shared" si="119"/>
        <v>Rates</v>
      </c>
      <c r="D133" s="244" t="str">
        <f t="shared" si="119"/>
        <v>Rates after DSM Scenario</v>
      </c>
      <c r="E133" s="84" t="s">
        <v>197</v>
      </c>
      <c r="F133" s="84" t="s">
        <v>182</v>
      </c>
      <c r="G133" s="506">
        <f ca="1">IFERROR(G119+G125,0)</f>
        <v>0</v>
      </c>
      <c r="H133" s="506">
        <f t="shared" ref="H133:AG133" ca="1" si="128">IFERROR(H119+H125,0)</f>
        <v>0</v>
      </c>
      <c r="I133" s="506">
        <f t="shared" ca="1" si="128"/>
        <v>0.61978317237928326</v>
      </c>
      <c r="J133" s="506">
        <f t="shared" ca="1" si="128"/>
        <v>0.61978317237928326</v>
      </c>
      <c r="K133" s="506">
        <f t="shared" ca="1" si="128"/>
        <v>0.61978317237928326</v>
      </c>
      <c r="L133" s="506">
        <f t="shared" ca="1" si="128"/>
        <v>0.61978317237928326</v>
      </c>
      <c r="M133" s="506">
        <f t="shared" ca="1" si="128"/>
        <v>0.61978317237928326</v>
      </c>
      <c r="N133" s="506">
        <f t="shared" ca="1" si="128"/>
        <v>0.61978317237928326</v>
      </c>
      <c r="O133" s="506">
        <f t="shared" ca="1" si="128"/>
        <v>0.61978317237928326</v>
      </c>
      <c r="P133" s="506">
        <f t="shared" ca="1" si="128"/>
        <v>0.61978317237928326</v>
      </c>
      <c r="Q133" s="506">
        <f t="shared" ca="1" si="128"/>
        <v>0.61978317237928326</v>
      </c>
      <c r="R133" s="506">
        <f t="shared" ca="1" si="128"/>
        <v>0.61978317237928326</v>
      </c>
      <c r="S133" s="506">
        <f t="shared" ca="1" si="128"/>
        <v>0.61978317237928326</v>
      </c>
      <c r="T133" s="506">
        <f t="shared" ca="1" si="128"/>
        <v>0.61978317237928326</v>
      </c>
      <c r="U133" s="506">
        <f t="shared" ca="1" si="128"/>
        <v>0.61978317237928326</v>
      </c>
      <c r="V133" s="506">
        <f t="shared" ca="1" si="128"/>
        <v>0.61978317237928326</v>
      </c>
      <c r="W133" s="506">
        <f t="shared" ca="1" si="128"/>
        <v>0.61978317237928326</v>
      </c>
      <c r="X133" s="506">
        <f t="shared" ca="1" si="128"/>
        <v>0.61978317237928326</v>
      </c>
      <c r="Y133" s="506">
        <f t="shared" ca="1" si="128"/>
        <v>0.61978317237928326</v>
      </c>
      <c r="Z133" s="506">
        <f t="shared" ca="1" si="128"/>
        <v>0.61978317237928326</v>
      </c>
      <c r="AA133" s="506">
        <f t="shared" ca="1" si="128"/>
        <v>0.61978317237928326</v>
      </c>
      <c r="AB133" s="506">
        <f t="shared" ca="1" si="128"/>
        <v>0.61978317237928326</v>
      </c>
      <c r="AC133" s="506">
        <f t="shared" ca="1" si="128"/>
        <v>0.62029999999999996</v>
      </c>
      <c r="AD133" s="506">
        <f t="shared" ca="1" si="128"/>
        <v>0.62029999999999996</v>
      </c>
      <c r="AE133" s="506">
        <f t="shared" ca="1" si="128"/>
        <v>0.62029999999999996</v>
      </c>
      <c r="AF133" s="506">
        <f t="shared" ca="1" si="128"/>
        <v>0.62029999999999996</v>
      </c>
      <c r="AG133" s="506">
        <f t="shared" ca="1" si="128"/>
        <v>0.62029999999999996</v>
      </c>
      <c r="AH133" s="509"/>
      <c r="AI133" s="506"/>
      <c r="AJ133" s="509">
        <f ca="1">IF($C$4=Year1,-PMT(Lookups!$E$17,25,NPV(Lookups!$E$17,G133:AE133),0,1),IF($C$4=Year2,-PMT(Lookups!$F$17,25,NPV(Lookups!$F$17,H133:AF133),0,1),IF($C$4=Year3,-PMT(Lookups!$G$17,25,NPV(Lookups!$G$17,I133:AG133),0,1),-PMT(Lookups!$G$17,27,NPV(Lookups!$G$17,G133:AG133),0,1))))</f>
        <v>0.61122735643070347</v>
      </c>
      <c r="AK133" s="507"/>
      <c r="AL133" s="507"/>
      <c r="AM133" s="508">
        <f ca="1">IFERROR(AM119+AM125,0)</f>
        <v>0</v>
      </c>
      <c r="AN133" s="508">
        <f t="shared" ref="AN133:BM133" ca="1" si="129">IFERROR(AN119+AN125,0)</f>
        <v>0</v>
      </c>
      <c r="AO133" s="508">
        <f t="shared" ca="1" si="129"/>
        <v>0.61970761110941874</v>
      </c>
      <c r="AP133" s="508">
        <f t="shared" ca="1" si="129"/>
        <v>0.61970761110941874</v>
      </c>
      <c r="AQ133" s="508">
        <f t="shared" ca="1" si="129"/>
        <v>0.61970761110941874</v>
      </c>
      <c r="AR133" s="508">
        <f t="shared" ca="1" si="129"/>
        <v>0.61970761110941874</v>
      </c>
      <c r="AS133" s="508">
        <f t="shared" ca="1" si="129"/>
        <v>0.61970761110941874</v>
      </c>
      <c r="AT133" s="508">
        <f t="shared" ca="1" si="129"/>
        <v>0.61970761110941874</v>
      </c>
      <c r="AU133" s="508">
        <f t="shared" ca="1" si="129"/>
        <v>0.61970761110941874</v>
      </c>
      <c r="AV133" s="508">
        <f t="shared" ca="1" si="129"/>
        <v>0.61970761110941874</v>
      </c>
      <c r="AW133" s="508">
        <f t="shared" ca="1" si="129"/>
        <v>0.61970761110941874</v>
      </c>
      <c r="AX133" s="508">
        <f t="shared" ca="1" si="129"/>
        <v>0.61970761110941874</v>
      </c>
      <c r="AY133" s="508">
        <f t="shared" ca="1" si="129"/>
        <v>0.61970761110941874</v>
      </c>
      <c r="AZ133" s="508">
        <f t="shared" ca="1" si="129"/>
        <v>0.61970761110941874</v>
      </c>
      <c r="BA133" s="508">
        <f t="shared" ca="1" si="129"/>
        <v>0.61970761110941874</v>
      </c>
      <c r="BB133" s="508">
        <f t="shared" ca="1" si="129"/>
        <v>0.61970761110941874</v>
      </c>
      <c r="BC133" s="508">
        <f t="shared" ca="1" si="129"/>
        <v>0.61970761110941874</v>
      </c>
      <c r="BD133" s="508">
        <f t="shared" ca="1" si="129"/>
        <v>0.61970761110941874</v>
      </c>
      <c r="BE133" s="508">
        <f t="shared" ca="1" si="129"/>
        <v>0.61970761110941874</v>
      </c>
      <c r="BF133" s="508">
        <f t="shared" ca="1" si="129"/>
        <v>0.61970761110941874</v>
      </c>
      <c r="BG133" s="508">
        <f t="shared" ca="1" si="129"/>
        <v>0.61970761110941874</v>
      </c>
      <c r="BH133" s="508">
        <f t="shared" ca="1" si="129"/>
        <v>0.61970761110941874</v>
      </c>
      <c r="BI133" s="508">
        <f t="shared" ca="1" si="129"/>
        <v>0.62029999999999996</v>
      </c>
      <c r="BJ133" s="508">
        <f t="shared" ca="1" si="129"/>
        <v>0.62029999999999996</v>
      </c>
      <c r="BK133" s="508">
        <f t="shared" ca="1" si="129"/>
        <v>0.62029999999999996</v>
      </c>
      <c r="BL133" s="508">
        <f t="shared" ca="1" si="129"/>
        <v>0.62029999999999996</v>
      </c>
      <c r="BM133" s="508">
        <f t="shared" ca="1" si="129"/>
        <v>0.62029999999999996</v>
      </c>
      <c r="BN133" s="508"/>
      <c r="BO133" s="508"/>
      <c r="BP133" s="508">
        <f ca="1">IF($C$4=Year1,-PMT(Lookups!$E$17,25,NPV(Lookups!$E$17,AM133:BK133),0,1),IF($C$4=Year2,-PMT(Lookups!$F$17,25,NPV(Lookups!$F$17,AN133:BL133),0,1),IF($C$4=Year3,-PMT(Lookups!$G$17,25,NPV(Lookups!$G$17,AO133:BM133),0,1),-PMT(Lookups!$G$17,27,NPV(Lookups!$G$17,AM133:BM133),0,1))))</f>
        <v>0.61116573427654586</v>
      </c>
      <c r="BS133" s="86" t="s">
        <v>236</v>
      </c>
      <c r="BT133" s="51" t="s">
        <v>17</v>
      </c>
    </row>
    <row r="134" spans="1:72" x14ac:dyDescent="0.25">
      <c r="B134" s="243" t="str">
        <f t="shared" si="119"/>
        <v>Low-Income</v>
      </c>
      <c r="C134" s="243" t="str">
        <f t="shared" si="119"/>
        <v>Rates</v>
      </c>
      <c r="D134" s="244" t="str">
        <f t="shared" si="119"/>
        <v>Rates after DSM Scenario</v>
      </c>
      <c r="E134" s="84" t="s">
        <v>406</v>
      </c>
      <c r="F134" s="84" t="s">
        <v>182</v>
      </c>
      <c r="G134" s="509">
        <f ca="1">G128</f>
        <v>0</v>
      </c>
      <c r="H134" s="509">
        <f t="shared" ref="H134:AG134" ca="1" si="130">H128</f>
        <v>0</v>
      </c>
      <c r="I134" s="509">
        <f t="shared" ca="1" si="130"/>
        <v>6.8785811560470811E-2</v>
      </c>
      <c r="J134" s="509">
        <f t="shared" ca="1" si="130"/>
        <v>0</v>
      </c>
      <c r="K134" s="509">
        <f t="shared" ca="1" si="130"/>
        <v>0</v>
      </c>
      <c r="L134" s="509">
        <f t="shared" ca="1" si="130"/>
        <v>0</v>
      </c>
      <c r="M134" s="509">
        <f t="shared" ca="1" si="130"/>
        <v>0</v>
      </c>
      <c r="N134" s="509">
        <f t="shared" ca="1" si="130"/>
        <v>0</v>
      </c>
      <c r="O134" s="509">
        <f t="shared" ca="1" si="130"/>
        <v>0</v>
      </c>
      <c r="P134" s="509">
        <f t="shared" ca="1" si="130"/>
        <v>0</v>
      </c>
      <c r="Q134" s="509">
        <f t="shared" ca="1" si="130"/>
        <v>0</v>
      </c>
      <c r="R134" s="509">
        <f t="shared" ca="1" si="130"/>
        <v>0</v>
      </c>
      <c r="S134" s="509">
        <f t="shared" ca="1" si="130"/>
        <v>0</v>
      </c>
      <c r="T134" s="509">
        <f t="shared" ca="1" si="130"/>
        <v>0</v>
      </c>
      <c r="U134" s="509">
        <f t="shared" ca="1" si="130"/>
        <v>0</v>
      </c>
      <c r="V134" s="509">
        <f t="shared" ca="1" si="130"/>
        <v>0</v>
      </c>
      <c r="W134" s="509">
        <f t="shared" ca="1" si="130"/>
        <v>0</v>
      </c>
      <c r="X134" s="509">
        <f t="shared" ca="1" si="130"/>
        <v>0</v>
      </c>
      <c r="Y134" s="509">
        <f t="shared" ca="1" si="130"/>
        <v>0</v>
      </c>
      <c r="Z134" s="509">
        <f t="shared" ca="1" si="130"/>
        <v>0</v>
      </c>
      <c r="AA134" s="509">
        <f t="shared" ca="1" si="130"/>
        <v>0</v>
      </c>
      <c r="AB134" s="509">
        <f t="shared" ca="1" si="130"/>
        <v>0</v>
      </c>
      <c r="AC134" s="509">
        <f t="shared" ca="1" si="130"/>
        <v>0</v>
      </c>
      <c r="AD134" s="509">
        <f t="shared" ca="1" si="130"/>
        <v>0</v>
      </c>
      <c r="AE134" s="509">
        <f t="shared" ca="1" si="130"/>
        <v>0</v>
      </c>
      <c r="AF134" s="509">
        <f t="shared" ca="1" si="130"/>
        <v>0</v>
      </c>
      <c r="AG134" s="509">
        <f t="shared" ca="1" si="130"/>
        <v>0</v>
      </c>
      <c r="AH134" s="509"/>
      <c r="AI134" s="509"/>
      <c r="AJ134" s="509">
        <f ca="1">IF($C$4=Year1,-PMT(Lookups!$E$17,25,NPV(Lookups!$E$17,G134:AE134),0,1),IF($C$4=Year2,-PMT(Lookups!$F$17,25,NPV(Lookups!$F$17,H134:AF134),0,1),IF($C$4=Year3,-PMT(Lookups!$G$17,25,NPV(Lookups!$G$17,I134:AG134),0,1),-PMT(Lookups!$G$17,27,NPV(Lookups!$G$17,G134:AG134),0,1))))</f>
        <v>3.1946965494973152E-3</v>
      </c>
      <c r="AK134" s="507"/>
      <c r="AL134" s="507"/>
      <c r="AM134" s="508">
        <f ca="1">AM128</f>
        <v>0</v>
      </c>
      <c r="AN134" s="508">
        <f t="shared" ref="AN134:BM134" ca="1" si="131">AN128</f>
        <v>0</v>
      </c>
      <c r="AO134" s="508">
        <f t="shared" ca="1" si="131"/>
        <v>8.254297387256497E-2</v>
      </c>
      <c r="AP134" s="508">
        <f t="shared" ca="1" si="131"/>
        <v>0</v>
      </c>
      <c r="AQ134" s="508">
        <f t="shared" ca="1" si="131"/>
        <v>0</v>
      </c>
      <c r="AR134" s="508">
        <f t="shared" ca="1" si="131"/>
        <v>0</v>
      </c>
      <c r="AS134" s="508">
        <f t="shared" ca="1" si="131"/>
        <v>0</v>
      </c>
      <c r="AT134" s="508">
        <f t="shared" ca="1" si="131"/>
        <v>0</v>
      </c>
      <c r="AU134" s="508">
        <f t="shared" ca="1" si="131"/>
        <v>0</v>
      </c>
      <c r="AV134" s="508">
        <f t="shared" ca="1" si="131"/>
        <v>0</v>
      </c>
      <c r="AW134" s="508">
        <f t="shared" ca="1" si="131"/>
        <v>0</v>
      </c>
      <c r="AX134" s="508">
        <f t="shared" ca="1" si="131"/>
        <v>0</v>
      </c>
      <c r="AY134" s="508">
        <f t="shared" ca="1" si="131"/>
        <v>0</v>
      </c>
      <c r="AZ134" s="508">
        <f t="shared" ca="1" si="131"/>
        <v>0</v>
      </c>
      <c r="BA134" s="508">
        <f t="shared" ca="1" si="131"/>
        <v>0</v>
      </c>
      <c r="BB134" s="508">
        <f t="shared" ca="1" si="131"/>
        <v>0</v>
      </c>
      <c r="BC134" s="508">
        <f t="shared" ca="1" si="131"/>
        <v>0</v>
      </c>
      <c r="BD134" s="508">
        <f t="shared" ca="1" si="131"/>
        <v>0</v>
      </c>
      <c r="BE134" s="508">
        <f t="shared" ca="1" si="131"/>
        <v>0</v>
      </c>
      <c r="BF134" s="508">
        <f t="shared" ca="1" si="131"/>
        <v>0</v>
      </c>
      <c r="BG134" s="508">
        <f t="shared" ca="1" si="131"/>
        <v>0</v>
      </c>
      <c r="BH134" s="508">
        <f t="shared" ca="1" si="131"/>
        <v>0</v>
      </c>
      <c r="BI134" s="508">
        <f t="shared" ca="1" si="131"/>
        <v>0</v>
      </c>
      <c r="BJ134" s="508">
        <f t="shared" ca="1" si="131"/>
        <v>0</v>
      </c>
      <c r="BK134" s="508">
        <f t="shared" ca="1" si="131"/>
        <v>0</v>
      </c>
      <c r="BL134" s="508">
        <f t="shared" ca="1" si="131"/>
        <v>0</v>
      </c>
      <c r="BM134" s="508">
        <f t="shared" ca="1" si="131"/>
        <v>0</v>
      </c>
      <c r="BN134" s="508"/>
      <c r="BO134" s="508"/>
      <c r="BP134" s="508">
        <f ca="1">IF($C$4=Year1,-PMT(Lookups!$E$17,25,NPV(Lookups!$E$17,AM134:BK134),0,1),IF($C$4=Year2,-PMT(Lookups!$F$17,25,NPV(Lookups!$F$17,AN134:BL134),0,1),IF($C$4=Year3,-PMT(Lookups!$G$17,25,NPV(Lookups!$G$17,AO134:BM134),0,1),-PMT(Lookups!$G$17,27,NPV(Lookups!$G$17,AM134:BM134),0,1))))</f>
        <v>3.8336358593967774E-3</v>
      </c>
      <c r="BS134" s="84" t="s">
        <v>403</v>
      </c>
      <c r="BT134" s="51" t="s">
        <v>17</v>
      </c>
    </row>
    <row r="135" spans="1:72" x14ac:dyDescent="0.25">
      <c r="B135" s="243" t="str">
        <f>B136</f>
        <v>Low-Income</v>
      </c>
      <c r="C135" s="243" t="str">
        <f>C136</f>
        <v>Rates</v>
      </c>
      <c r="D135" s="244" t="str">
        <f>D136</f>
        <v>Rates after DSM Scenario</v>
      </c>
      <c r="E135" s="86" t="s">
        <v>75</v>
      </c>
      <c r="F135" s="84" t="s">
        <v>182</v>
      </c>
      <c r="G135" s="506">
        <f>G120</f>
        <v>0</v>
      </c>
      <c r="H135" s="506">
        <f t="shared" ref="H135:AG135" si="132">H120</f>
        <v>0</v>
      </c>
      <c r="I135" s="506">
        <f t="shared" si="132"/>
        <v>9.0952917202036049E-2</v>
      </c>
      <c r="J135" s="506">
        <f t="shared" si="132"/>
        <v>9.0952917202036049E-2</v>
      </c>
      <c r="K135" s="506">
        <f t="shared" si="132"/>
        <v>9.0952917202036049E-2</v>
      </c>
      <c r="L135" s="506">
        <f t="shared" si="132"/>
        <v>9.0952917202036049E-2</v>
      </c>
      <c r="M135" s="506">
        <f t="shared" si="132"/>
        <v>9.0952917202036049E-2</v>
      </c>
      <c r="N135" s="506">
        <f t="shared" si="132"/>
        <v>9.0952917202036049E-2</v>
      </c>
      <c r="O135" s="506">
        <f t="shared" si="132"/>
        <v>9.0952917202036049E-2</v>
      </c>
      <c r="P135" s="506">
        <f t="shared" si="132"/>
        <v>9.0952917202036049E-2</v>
      </c>
      <c r="Q135" s="506">
        <f t="shared" si="132"/>
        <v>9.0952917202036049E-2</v>
      </c>
      <c r="R135" s="506">
        <f t="shared" si="132"/>
        <v>9.0952917202036049E-2</v>
      </c>
      <c r="S135" s="506">
        <f t="shared" si="132"/>
        <v>9.0952917202036049E-2</v>
      </c>
      <c r="T135" s="506">
        <f t="shared" si="132"/>
        <v>9.0952917202036049E-2</v>
      </c>
      <c r="U135" s="506">
        <f t="shared" si="132"/>
        <v>9.0952917202036049E-2</v>
      </c>
      <c r="V135" s="506">
        <f t="shared" si="132"/>
        <v>9.0952917202036049E-2</v>
      </c>
      <c r="W135" s="506">
        <f t="shared" si="132"/>
        <v>9.0952917202036049E-2</v>
      </c>
      <c r="X135" s="506">
        <f t="shared" si="132"/>
        <v>9.0952917202036049E-2</v>
      </c>
      <c r="Y135" s="506">
        <f t="shared" si="132"/>
        <v>9.0952917202036049E-2</v>
      </c>
      <c r="Z135" s="506">
        <f t="shared" si="132"/>
        <v>9.0952917202036049E-2</v>
      </c>
      <c r="AA135" s="506">
        <f t="shared" si="132"/>
        <v>9.0952917202036049E-2</v>
      </c>
      <c r="AB135" s="506">
        <f t="shared" si="132"/>
        <v>9.0952917202036049E-2</v>
      </c>
      <c r="AC135" s="506">
        <f t="shared" si="132"/>
        <v>9.0952917202036049E-2</v>
      </c>
      <c r="AD135" s="506">
        <f t="shared" si="132"/>
        <v>9.0952917202036049E-2</v>
      </c>
      <c r="AE135" s="506">
        <f t="shared" si="132"/>
        <v>9.0952917202036049E-2</v>
      </c>
      <c r="AF135" s="506">
        <f t="shared" si="132"/>
        <v>9.0952917202036049E-2</v>
      </c>
      <c r="AG135" s="506">
        <f t="shared" si="132"/>
        <v>9.0952917202036049E-2</v>
      </c>
      <c r="AH135" s="506"/>
      <c r="AI135" s="506"/>
      <c r="AJ135" s="506">
        <f>IF($C$4=Year1,-PMT(Lookups!$E$17,25,NPV(Lookups!$E$17,G135:AE135),0,1),IF($C$4=Year2,-PMT(Lookups!$F$17,25,NPV(Lookups!$F$17,H135:AF135),0,1),IF($C$4=Year3,-PMT(Lookups!$G$17,25,NPV(Lookups!$G$17,I135:AG135),0,1),-PMT(Lookups!$G$17,27,NPV(Lookups!$G$17,G135:AG135),0,1))))</f>
        <v>8.9684421310792128E-2</v>
      </c>
      <c r="AK135" s="507"/>
      <c r="AL135" s="507"/>
      <c r="AM135" s="508">
        <f>AM120</f>
        <v>0</v>
      </c>
      <c r="AN135" s="508">
        <f t="shared" ref="AN135:BM135" si="133">AN120</f>
        <v>0</v>
      </c>
      <c r="AO135" s="508">
        <f t="shared" si="133"/>
        <v>9.0952917202036049E-2</v>
      </c>
      <c r="AP135" s="508">
        <f t="shared" si="133"/>
        <v>9.0952917202036049E-2</v>
      </c>
      <c r="AQ135" s="508">
        <f t="shared" si="133"/>
        <v>9.0952917202036049E-2</v>
      </c>
      <c r="AR135" s="508">
        <f t="shared" si="133"/>
        <v>9.0952917202036049E-2</v>
      </c>
      <c r="AS135" s="508">
        <f t="shared" si="133"/>
        <v>9.0952917202036049E-2</v>
      </c>
      <c r="AT135" s="508">
        <f t="shared" si="133"/>
        <v>9.0952917202036049E-2</v>
      </c>
      <c r="AU135" s="508">
        <f t="shared" si="133"/>
        <v>9.0952917202036049E-2</v>
      </c>
      <c r="AV135" s="508">
        <f t="shared" si="133"/>
        <v>9.0952917202036049E-2</v>
      </c>
      <c r="AW135" s="508">
        <f t="shared" si="133"/>
        <v>9.0952917202036049E-2</v>
      </c>
      <c r="AX135" s="508">
        <f t="shared" si="133"/>
        <v>9.0952917202036049E-2</v>
      </c>
      <c r="AY135" s="508">
        <f t="shared" si="133"/>
        <v>9.0952917202036049E-2</v>
      </c>
      <c r="AZ135" s="508">
        <f t="shared" si="133"/>
        <v>9.0952917202036049E-2</v>
      </c>
      <c r="BA135" s="508">
        <f t="shared" si="133"/>
        <v>9.0952917202036049E-2</v>
      </c>
      <c r="BB135" s="508">
        <f t="shared" si="133"/>
        <v>9.0952917202036049E-2</v>
      </c>
      <c r="BC135" s="508">
        <f t="shared" si="133"/>
        <v>9.0952917202036049E-2</v>
      </c>
      <c r="BD135" s="508">
        <f t="shared" si="133"/>
        <v>9.0952917202036049E-2</v>
      </c>
      <c r="BE135" s="508">
        <f t="shared" si="133"/>
        <v>9.0952917202036049E-2</v>
      </c>
      <c r="BF135" s="508">
        <f t="shared" si="133"/>
        <v>9.0952917202036049E-2</v>
      </c>
      <c r="BG135" s="508">
        <f t="shared" si="133"/>
        <v>9.0952917202036049E-2</v>
      </c>
      <c r="BH135" s="508">
        <f t="shared" si="133"/>
        <v>9.0952917202036049E-2</v>
      </c>
      <c r="BI135" s="508">
        <f t="shared" si="133"/>
        <v>9.0952917202036049E-2</v>
      </c>
      <c r="BJ135" s="508">
        <f t="shared" si="133"/>
        <v>9.0952917202036049E-2</v>
      </c>
      <c r="BK135" s="508">
        <f t="shared" si="133"/>
        <v>9.0952917202036049E-2</v>
      </c>
      <c r="BL135" s="508">
        <f t="shared" si="133"/>
        <v>9.0952917202036049E-2</v>
      </c>
      <c r="BM135" s="508">
        <f t="shared" si="133"/>
        <v>9.0952917202036049E-2</v>
      </c>
      <c r="BN135" s="508"/>
      <c r="BO135" s="508"/>
      <c r="BP135" s="508">
        <f>IF($C$4=Year1,-PMT(Lookups!$E$17,25,NPV(Lookups!$E$17,AM135:BK135),0,1),IF($C$4=Year2,-PMT(Lookups!$F$17,25,NPV(Lookups!$F$17,AN135:BL135),0,1),IF($C$4=Year3,-PMT(Lookups!$G$17,25,NPV(Lookups!$G$17,AO135:BM135),0,1),-PMT(Lookups!$G$17,27,NPV(Lookups!$G$17,AM135:BM135),0,1))))</f>
        <v>8.9684421310792128E-2</v>
      </c>
      <c r="BS135" s="84" t="s">
        <v>171</v>
      </c>
      <c r="BT135" s="51" t="s">
        <v>17</v>
      </c>
    </row>
    <row r="136" spans="1:72" x14ac:dyDescent="0.25">
      <c r="B136" s="243" t="str">
        <f>B134</f>
        <v>Low-Income</v>
      </c>
      <c r="C136" s="243" t="str">
        <f>C134</f>
        <v>Rates</v>
      </c>
      <c r="D136" s="244" t="str">
        <f>D134</f>
        <v>Rates after DSM Scenario</v>
      </c>
      <c r="E136" s="84" t="s">
        <v>76</v>
      </c>
      <c r="F136" s="84" t="s">
        <v>182</v>
      </c>
      <c r="G136" s="506">
        <f ca="1">SUM(G131:G135)</f>
        <v>0</v>
      </c>
      <c r="H136" s="506">
        <f ca="1">SUM(H131:H135)</f>
        <v>0</v>
      </c>
      <c r="I136" s="506">
        <f t="shared" ref="I136:AG136" ca="1" si="134">SUM(I131:I135)</f>
        <v>0.97223129868969382</v>
      </c>
      <c r="J136" s="506">
        <f t="shared" ca="1" si="134"/>
        <v>0.90344548712922301</v>
      </c>
      <c r="K136" s="506">
        <f t="shared" ca="1" si="134"/>
        <v>0.90344548712922301</v>
      </c>
      <c r="L136" s="506">
        <f t="shared" ca="1" si="134"/>
        <v>0.90344548712922301</v>
      </c>
      <c r="M136" s="506">
        <f t="shared" ca="1" si="134"/>
        <v>0.90344548712922301</v>
      </c>
      <c r="N136" s="506">
        <f t="shared" ca="1" si="134"/>
        <v>0.90344548712922301</v>
      </c>
      <c r="O136" s="506">
        <f t="shared" ca="1" si="134"/>
        <v>0.90344548712922301</v>
      </c>
      <c r="P136" s="506">
        <f t="shared" ca="1" si="134"/>
        <v>0.90344548712922301</v>
      </c>
      <c r="Q136" s="506">
        <f t="shared" ca="1" si="134"/>
        <v>0.90344548712922301</v>
      </c>
      <c r="R136" s="506">
        <f t="shared" ca="1" si="134"/>
        <v>0.90344548712922301</v>
      </c>
      <c r="S136" s="506">
        <f t="shared" ca="1" si="134"/>
        <v>0.90344548712922301</v>
      </c>
      <c r="T136" s="506">
        <f t="shared" ca="1" si="134"/>
        <v>0.90344548712922301</v>
      </c>
      <c r="U136" s="506">
        <f t="shared" ca="1" si="134"/>
        <v>0.90344548712922301</v>
      </c>
      <c r="V136" s="506">
        <f t="shared" ca="1" si="134"/>
        <v>0.90344548712922301</v>
      </c>
      <c r="W136" s="506">
        <f t="shared" ca="1" si="134"/>
        <v>0.90344548712922301</v>
      </c>
      <c r="X136" s="506">
        <f t="shared" ca="1" si="134"/>
        <v>0.90344548712922301</v>
      </c>
      <c r="Y136" s="506">
        <f t="shared" ca="1" si="134"/>
        <v>0.90344548712922301</v>
      </c>
      <c r="Z136" s="506">
        <f t="shared" ca="1" si="134"/>
        <v>0.90344548712922301</v>
      </c>
      <c r="AA136" s="506">
        <f t="shared" ca="1" si="134"/>
        <v>0.90344548712922301</v>
      </c>
      <c r="AB136" s="506">
        <f t="shared" ca="1" si="134"/>
        <v>0.90344548712922301</v>
      </c>
      <c r="AC136" s="506">
        <f t="shared" ca="1" si="134"/>
        <v>0.90105291720203595</v>
      </c>
      <c r="AD136" s="506">
        <f t="shared" ca="1" si="134"/>
        <v>0.90105291720203595</v>
      </c>
      <c r="AE136" s="506">
        <f t="shared" ca="1" si="134"/>
        <v>0.90105291720203595</v>
      </c>
      <c r="AF136" s="506">
        <f t="shared" ca="1" si="134"/>
        <v>0.90105291720203595</v>
      </c>
      <c r="AG136" s="506">
        <f t="shared" ca="1" si="134"/>
        <v>0.90105291720203595</v>
      </c>
      <c r="AH136" s="506"/>
      <c r="AI136" s="506"/>
      <c r="AJ136" s="506">
        <f ca="1">IF($C$4=Year1,-PMT(Lookups!$E$17,25,NPV(Lookups!$E$17,G136:AE136),0,1),IF($C$4=Year2,-PMT(Lookups!$F$17,25,NPV(Lookups!$F$17,H136:AF136),0,1),IF($C$4=Year3,-PMT(Lookups!$G$17,25,NPV(Lookups!$G$17,I136:AG136),0,1),-PMT(Lookups!$G$17,27,NPV(Lookups!$G$17,G136:AG136),0,1))))</f>
        <v>0.89363207304578485</v>
      </c>
      <c r="AK136" s="507"/>
      <c r="AL136" s="507"/>
      <c r="AM136" s="508">
        <f ca="1">SUM(AM131:AM135)</f>
        <v>0</v>
      </c>
      <c r="AN136" s="508">
        <f t="shared" ref="AN136:BM136" ca="1" si="135">SUM(AN131:AN135)</f>
        <v>0</v>
      </c>
      <c r="AO136" s="508">
        <f t="shared" ca="1" si="135"/>
        <v>0.98633825968647715</v>
      </c>
      <c r="AP136" s="508">
        <f t="shared" ca="1" si="135"/>
        <v>0.90379528581391222</v>
      </c>
      <c r="AQ136" s="508">
        <f t="shared" ca="1" si="135"/>
        <v>0.90379528581391222</v>
      </c>
      <c r="AR136" s="508">
        <f t="shared" ca="1" si="135"/>
        <v>0.90379528581391222</v>
      </c>
      <c r="AS136" s="508">
        <f t="shared" ca="1" si="135"/>
        <v>0.90379528581391222</v>
      </c>
      <c r="AT136" s="508">
        <f t="shared" ca="1" si="135"/>
        <v>0.90379528581391222</v>
      </c>
      <c r="AU136" s="508">
        <f t="shared" ca="1" si="135"/>
        <v>0.90379528581391222</v>
      </c>
      <c r="AV136" s="508">
        <f t="shared" ca="1" si="135"/>
        <v>0.90379528581391222</v>
      </c>
      <c r="AW136" s="508">
        <f t="shared" ca="1" si="135"/>
        <v>0.90379528581391222</v>
      </c>
      <c r="AX136" s="508">
        <f t="shared" ca="1" si="135"/>
        <v>0.90379528581391222</v>
      </c>
      <c r="AY136" s="508">
        <f t="shared" ca="1" si="135"/>
        <v>0.90379528581391222</v>
      </c>
      <c r="AZ136" s="508">
        <f t="shared" ca="1" si="135"/>
        <v>0.90379528581391222</v>
      </c>
      <c r="BA136" s="508">
        <f t="shared" ca="1" si="135"/>
        <v>0.90379528581391222</v>
      </c>
      <c r="BB136" s="508">
        <f t="shared" ca="1" si="135"/>
        <v>0.90379528581391222</v>
      </c>
      <c r="BC136" s="508">
        <f t="shared" ca="1" si="135"/>
        <v>0.90379528581391222</v>
      </c>
      <c r="BD136" s="508">
        <f t="shared" ca="1" si="135"/>
        <v>0.90379528581391222</v>
      </c>
      <c r="BE136" s="508">
        <f t="shared" ca="1" si="135"/>
        <v>0.90379528581391222</v>
      </c>
      <c r="BF136" s="508">
        <f t="shared" ca="1" si="135"/>
        <v>0.90379528581391222</v>
      </c>
      <c r="BG136" s="508">
        <f t="shared" ca="1" si="135"/>
        <v>0.90379528581391222</v>
      </c>
      <c r="BH136" s="508">
        <f t="shared" ca="1" si="135"/>
        <v>0.90379528581391222</v>
      </c>
      <c r="BI136" s="508">
        <f t="shared" ca="1" si="135"/>
        <v>0.90105291720203595</v>
      </c>
      <c r="BJ136" s="508">
        <f t="shared" ca="1" si="135"/>
        <v>0.90105291720203595</v>
      </c>
      <c r="BK136" s="508">
        <f t="shared" ca="1" si="135"/>
        <v>0.90105291720203595</v>
      </c>
      <c r="BL136" s="508">
        <f t="shared" ca="1" si="135"/>
        <v>0.90105291720203595</v>
      </c>
      <c r="BM136" s="508">
        <f t="shared" ca="1" si="135"/>
        <v>0.90105291720203595</v>
      </c>
      <c r="BN136" s="508"/>
      <c r="BO136" s="508"/>
      <c r="BP136" s="508">
        <f ca="1">IF($C$4=Year1,-PMT(Lookups!$E$17,25,NPV(Lookups!$E$17,AM136:BK136),0,1),IF($C$4=Year2,-PMT(Lookups!$F$17,25,NPV(Lookups!$F$17,AN136:BL136),0,1),IF($C$4=Year3,-PMT(Lookups!$G$17,25,NPV(Lookups!$G$17,AO136:BM136),0,1),-PMT(Lookups!$G$17,27,NPV(Lookups!$G$17,AM136:BM136),0,1))))</f>
        <v>0.89455628215740546</v>
      </c>
      <c r="BS136" s="84" t="s">
        <v>235</v>
      </c>
      <c r="BT136" s="51" t="s">
        <v>17</v>
      </c>
    </row>
    <row r="137" spans="1:72" x14ac:dyDescent="0.25">
      <c r="B137" s="243" t="str">
        <f>B135</f>
        <v>Low-Income</v>
      </c>
      <c r="C137" s="243" t="str">
        <f>C135</f>
        <v>Rates</v>
      </c>
      <c r="D137" s="114" t="s">
        <v>114</v>
      </c>
      <c r="E137" s="84"/>
      <c r="F137" s="84"/>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49"/>
      <c r="AI137" s="109"/>
      <c r="AJ137" s="49"/>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S137" s="84"/>
      <c r="BT137" s="51" t="s">
        <v>17</v>
      </c>
    </row>
    <row r="138" spans="1:72" x14ac:dyDescent="0.25">
      <c r="B138" s="243" t="str">
        <f t="shared" ref="B138:D153" si="136">B137</f>
        <v>Low-Income</v>
      </c>
      <c r="C138" s="243" t="str">
        <f t="shared" si="136"/>
        <v>Rates</v>
      </c>
      <c r="D138" s="244" t="str">
        <f t="shared" si="136"/>
        <v>Change in Rates after DSM Scenario</v>
      </c>
      <c r="E138" s="84" t="s">
        <v>76</v>
      </c>
      <c r="F138" s="84" t="s">
        <v>182</v>
      </c>
      <c r="G138" s="510">
        <f ca="1">G136-G121</f>
        <v>0</v>
      </c>
      <c r="H138" s="510">
        <f t="shared" ref="H138:AG138" ca="1" si="137">H136-H121</f>
        <v>0</v>
      </c>
      <c r="I138" s="510">
        <f t="shared" ca="1" si="137"/>
        <v>7.1178381487657871E-2</v>
      </c>
      <c r="J138" s="510">
        <f t="shared" ca="1" si="137"/>
        <v>2.3925699271870604E-3</v>
      </c>
      <c r="K138" s="510">
        <f t="shared" ca="1" si="137"/>
        <v>2.3925699271870604E-3</v>
      </c>
      <c r="L138" s="510">
        <f t="shared" ca="1" si="137"/>
        <v>2.3925699271870604E-3</v>
      </c>
      <c r="M138" s="510">
        <f t="shared" ca="1" si="137"/>
        <v>2.3925699271870604E-3</v>
      </c>
      <c r="N138" s="510">
        <f t="shared" ca="1" si="137"/>
        <v>2.3925699271870604E-3</v>
      </c>
      <c r="O138" s="510">
        <f t="shared" ca="1" si="137"/>
        <v>2.3925699271870604E-3</v>
      </c>
      <c r="P138" s="510">
        <f t="shared" ca="1" si="137"/>
        <v>2.3925699271870604E-3</v>
      </c>
      <c r="Q138" s="510">
        <f t="shared" ca="1" si="137"/>
        <v>2.3925699271870604E-3</v>
      </c>
      <c r="R138" s="510">
        <f t="shared" ca="1" si="137"/>
        <v>2.3925699271870604E-3</v>
      </c>
      <c r="S138" s="510">
        <f t="shared" ca="1" si="137"/>
        <v>2.3925699271870604E-3</v>
      </c>
      <c r="T138" s="510">
        <f t="shared" ca="1" si="137"/>
        <v>2.3925699271870604E-3</v>
      </c>
      <c r="U138" s="510">
        <f t="shared" ca="1" si="137"/>
        <v>2.3925699271870604E-3</v>
      </c>
      <c r="V138" s="510">
        <f t="shared" ca="1" si="137"/>
        <v>2.3925699271870604E-3</v>
      </c>
      <c r="W138" s="510">
        <f t="shared" ca="1" si="137"/>
        <v>2.3925699271870604E-3</v>
      </c>
      <c r="X138" s="510">
        <f t="shared" ca="1" si="137"/>
        <v>2.3925699271870604E-3</v>
      </c>
      <c r="Y138" s="510">
        <f t="shared" ca="1" si="137"/>
        <v>2.3925699271870604E-3</v>
      </c>
      <c r="Z138" s="510">
        <f t="shared" ca="1" si="137"/>
        <v>2.3925699271870604E-3</v>
      </c>
      <c r="AA138" s="510">
        <f t="shared" ca="1" si="137"/>
        <v>2.3925699271870604E-3</v>
      </c>
      <c r="AB138" s="510">
        <f t="shared" ca="1" si="137"/>
        <v>2.3925699271870604E-3</v>
      </c>
      <c r="AC138" s="510">
        <f t="shared" ca="1" si="137"/>
        <v>0</v>
      </c>
      <c r="AD138" s="510">
        <f t="shared" ca="1" si="137"/>
        <v>0</v>
      </c>
      <c r="AE138" s="510">
        <f t="shared" ca="1" si="137"/>
        <v>0</v>
      </c>
      <c r="AF138" s="510">
        <f t="shared" ca="1" si="137"/>
        <v>0</v>
      </c>
      <c r="AG138" s="510">
        <f t="shared" ca="1" si="137"/>
        <v>0</v>
      </c>
      <c r="AH138" s="510"/>
      <c r="AI138" s="510"/>
      <c r="AJ138" s="510">
        <f ca="1">IF($C$4=Year1,-PMT(Lookups!$E$17,25,NPV(Lookups!$E$17,G138:AE138),0,1),IF($C$4=Year2,-PMT(Lookups!$F$17,25,NPV(Lookups!$F$17,H138:AF138),0,1),IF($C$4=Year3,-PMT(Lookups!$G$17,25,NPV(Lookups!$G$17,I138:AG138),0,1),-PMT(Lookups!$G$17,27,NPV(Lookups!$G$17,G138:AG138),0,1))))</f>
        <v>5.1458987083587045E-3</v>
      </c>
      <c r="AK138" s="507"/>
      <c r="AL138" s="507"/>
      <c r="AM138" s="508">
        <f ca="1">AM136-AM121</f>
        <v>0</v>
      </c>
      <c r="AN138" s="508">
        <f t="shared" ref="AN138:BM138" ca="1" si="138">AN136-AN121</f>
        <v>0</v>
      </c>
      <c r="AO138" s="508">
        <f t="shared" ca="1" si="138"/>
        <v>8.5285342484441196E-2</v>
      </c>
      <c r="AP138" s="508">
        <f t="shared" ca="1" si="138"/>
        <v>2.7423686118762669E-3</v>
      </c>
      <c r="AQ138" s="508">
        <f t="shared" ca="1" si="138"/>
        <v>2.7423686118762669E-3</v>
      </c>
      <c r="AR138" s="508">
        <f t="shared" ca="1" si="138"/>
        <v>2.7423686118762669E-3</v>
      </c>
      <c r="AS138" s="508">
        <f t="shared" ca="1" si="138"/>
        <v>2.7423686118762669E-3</v>
      </c>
      <c r="AT138" s="508">
        <f t="shared" ca="1" si="138"/>
        <v>2.7423686118762669E-3</v>
      </c>
      <c r="AU138" s="508">
        <f t="shared" ca="1" si="138"/>
        <v>2.7423686118762669E-3</v>
      </c>
      <c r="AV138" s="508">
        <f t="shared" ca="1" si="138"/>
        <v>2.7423686118762669E-3</v>
      </c>
      <c r="AW138" s="508">
        <f t="shared" ca="1" si="138"/>
        <v>2.7423686118762669E-3</v>
      </c>
      <c r="AX138" s="508">
        <f t="shared" ca="1" si="138"/>
        <v>2.7423686118762669E-3</v>
      </c>
      <c r="AY138" s="508">
        <f t="shared" ca="1" si="138"/>
        <v>2.7423686118762669E-3</v>
      </c>
      <c r="AZ138" s="508">
        <f t="shared" ca="1" si="138"/>
        <v>2.7423686118762669E-3</v>
      </c>
      <c r="BA138" s="508">
        <f t="shared" ca="1" si="138"/>
        <v>2.7423686118762669E-3</v>
      </c>
      <c r="BB138" s="508">
        <f t="shared" ca="1" si="138"/>
        <v>2.7423686118762669E-3</v>
      </c>
      <c r="BC138" s="508">
        <f t="shared" ca="1" si="138"/>
        <v>2.7423686118762669E-3</v>
      </c>
      <c r="BD138" s="508">
        <f t="shared" ca="1" si="138"/>
        <v>2.7423686118762669E-3</v>
      </c>
      <c r="BE138" s="508">
        <f t="shared" ca="1" si="138"/>
        <v>2.7423686118762669E-3</v>
      </c>
      <c r="BF138" s="508">
        <f t="shared" ca="1" si="138"/>
        <v>2.7423686118762669E-3</v>
      </c>
      <c r="BG138" s="508">
        <f t="shared" ca="1" si="138"/>
        <v>2.7423686118762669E-3</v>
      </c>
      <c r="BH138" s="508">
        <f t="shared" ca="1" si="138"/>
        <v>2.7423686118762669E-3</v>
      </c>
      <c r="BI138" s="508">
        <f t="shared" ca="1" si="138"/>
        <v>0</v>
      </c>
      <c r="BJ138" s="508">
        <f t="shared" ca="1" si="138"/>
        <v>0</v>
      </c>
      <c r="BK138" s="508">
        <f t="shared" ca="1" si="138"/>
        <v>0</v>
      </c>
      <c r="BL138" s="508">
        <f t="shared" ca="1" si="138"/>
        <v>0</v>
      </c>
      <c r="BM138" s="508">
        <f t="shared" ca="1" si="138"/>
        <v>0</v>
      </c>
      <c r="BN138" s="508"/>
      <c r="BO138" s="508"/>
      <c r="BP138" s="508">
        <f ca="1">IF($C$4=Year1,-PMT(Lookups!$E$17,25,NPV(Lookups!$E$17,AM138:BK138),0,1),IF($C$4=Year2,-PMT(Lookups!$F$17,25,NPV(Lookups!$F$17,AN138:BL138),0,1),IF($C$4=Year3,-PMT(Lookups!$G$17,25,NPV(Lookups!$G$17,AO138:BM138),0,1),-PMT(Lookups!$G$17,27,NPV(Lookups!$G$17,AM138:BM138),0,1))))</f>
        <v>6.0701078199792398E-3</v>
      </c>
      <c r="BS138" s="84" t="s">
        <v>233</v>
      </c>
      <c r="BT138" s="51" t="s">
        <v>17</v>
      </c>
    </row>
    <row r="139" spans="1:72" x14ac:dyDescent="0.25">
      <c r="B139" s="243" t="str">
        <f t="shared" si="136"/>
        <v>Low-Income</v>
      </c>
      <c r="C139" s="243" t="str">
        <f t="shared" si="136"/>
        <v>Rates</v>
      </c>
      <c r="D139" s="244" t="str">
        <f t="shared" si="136"/>
        <v>Change in Rates after DSM Scenario</v>
      </c>
      <c r="E139" s="84" t="s">
        <v>76</v>
      </c>
      <c r="F139" s="84" t="s">
        <v>16</v>
      </c>
      <c r="G139" s="224">
        <f ca="1">IFERROR(G136/G121-1,0)</f>
        <v>0</v>
      </c>
      <c r="H139" s="224">
        <f t="shared" ref="H139:AG139" ca="1" si="139">IFERROR(H136/H121-1,0)</f>
        <v>0</v>
      </c>
      <c r="I139" s="224">
        <f t="shared" ca="1" si="139"/>
        <v>7.8994674040546053E-2</v>
      </c>
      <c r="J139" s="224">
        <f t="shared" ca="1" si="139"/>
        <v>2.6553045681452225E-3</v>
      </c>
      <c r="K139" s="224">
        <f t="shared" ca="1" si="139"/>
        <v>2.6553045681452225E-3</v>
      </c>
      <c r="L139" s="224">
        <f t="shared" ca="1" si="139"/>
        <v>2.6553045681452225E-3</v>
      </c>
      <c r="M139" s="224">
        <f t="shared" ca="1" si="139"/>
        <v>2.6553045681452225E-3</v>
      </c>
      <c r="N139" s="224">
        <f t="shared" ca="1" si="139"/>
        <v>2.6553045681452225E-3</v>
      </c>
      <c r="O139" s="224">
        <f t="shared" ca="1" si="139"/>
        <v>2.6553045681452225E-3</v>
      </c>
      <c r="P139" s="224">
        <f t="shared" ca="1" si="139"/>
        <v>2.6553045681452225E-3</v>
      </c>
      <c r="Q139" s="224">
        <f t="shared" ca="1" si="139"/>
        <v>2.6553045681452225E-3</v>
      </c>
      <c r="R139" s="224">
        <f t="shared" ca="1" si="139"/>
        <v>2.6553045681452225E-3</v>
      </c>
      <c r="S139" s="224">
        <f t="shared" ca="1" si="139"/>
        <v>2.6553045681452225E-3</v>
      </c>
      <c r="T139" s="224">
        <f t="shared" ca="1" si="139"/>
        <v>2.6553045681452225E-3</v>
      </c>
      <c r="U139" s="224">
        <f t="shared" ca="1" si="139"/>
        <v>2.6553045681452225E-3</v>
      </c>
      <c r="V139" s="224">
        <f t="shared" ca="1" si="139"/>
        <v>2.6553045681452225E-3</v>
      </c>
      <c r="W139" s="224">
        <f t="shared" ca="1" si="139"/>
        <v>2.6553045681452225E-3</v>
      </c>
      <c r="X139" s="224">
        <f t="shared" ca="1" si="139"/>
        <v>2.6553045681452225E-3</v>
      </c>
      <c r="Y139" s="224">
        <f t="shared" ca="1" si="139"/>
        <v>2.6553045681452225E-3</v>
      </c>
      <c r="Z139" s="224">
        <f t="shared" ca="1" si="139"/>
        <v>2.6553045681452225E-3</v>
      </c>
      <c r="AA139" s="224">
        <f t="shared" ca="1" si="139"/>
        <v>2.6553045681452225E-3</v>
      </c>
      <c r="AB139" s="224">
        <f t="shared" ca="1" si="139"/>
        <v>2.6553045681452225E-3</v>
      </c>
      <c r="AC139" s="224">
        <f t="shared" ca="1" si="139"/>
        <v>0</v>
      </c>
      <c r="AD139" s="224">
        <f t="shared" ca="1" si="139"/>
        <v>0</v>
      </c>
      <c r="AE139" s="224">
        <f t="shared" ca="1" si="139"/>
        <v>0</v>
      </c>
      <c r="AF139" s="224">
        <f t="shared" ca="1" si="139"/>
        <v>0</v>
      </c>
      <c r="AG139" s="224">
        <f t="shared" ca="1" si="139"/>
        <v>0</v>
      </c>
      <c r="AH139" s="224"/>
      <c r="AI139" s="224"/>
      <c r="AJ139" s="224">
        <f ca="1">IFERROR(AJ136/AJ121-1,0)</f>
        <v>5.7917600261996327E-3</v>
      </c>
      <c r="AK139" s="212"/>
      <c r="AL139" s="212"/>
      <c r="AM139" s="504">
        <f ca="1">IFERROR(AM136/AM121-1,0)</f>
        <v>0</v>
      </c>
      <c r="AN139" s="504">
        <f t="shared" ref="AN139:BM139" ca="1" si="140">IFERROR(AN136/AN121-1,0)</f>
        <v>0</v>
      </c>
      <c r="AO139" s="504">
        <f t="shared" ca="1" si="140"/>
        <v>9.4650758969041071E-2</v>
      </c>
      <c r="AP139" s="504">
        <f t="shared" ca="1" si="140"/>
        <v>3.0435156021602072E-3</v>
      </c>
      <c r="AQ139" s="504">
        <f t="shared" ca="1" si="140"/>
        <v>3.0435156021602072E-3</v>
      </c>
      <c r="AR139" s="504">
        <f t="shared" ca="1" si="140"/>
        <v>3.0435156021602072E-3</v>
      </c>
      <c r="AS139" s="504">
        <f t="shared" ca="1" si="140"/>
        <v>3.0435156021602072E-3</v>
      </c>
      <c r="AT139" s="504">
        <f t="shared" ca="1" si="140"/>
        <v>3.0435156021602072E-3</v>
      </c>
      <c r="AU139" s="504">
        <f t="shared" ca="1" si="140"/>
        <v>3.0435156021602072E-3</v>
      </c>
      <c r="AV139" s="504">
        <f t="shared" ca="1" si="140"/>
        <v>3.0435156021602072E-3</v>
      </c>
      <c r="AW139" s="504">
        <f t="shared" ca="1" si="140"/>
        <v>3.0435156021602072E-3</v>
      </c>
      <c r="AX139" s="504">
        <f t="shared" ca="1" si="140"/>
        <v>3.0435156021602072E-3</v>
      </c>
      <c r="AY139" s="504">
        <f t="shared" ca="1" si="140"/>
        <v>3.0435156021602072E-3</v>
      </c>
      <c r="AZ139" s="504">
        <f t="shared" ca="1" si="140"/>
        <v>3.0435156021602072E-3</v>
      </c>
      <c r="BA139" s="504">
        <f t="shared" ca="1" si="140"/>
        <v>3.0435156021602072E-3</v>
      </c>
      <c r="BB139" s="504">
        <f t="shared" ca="1" si="140"/>
        <v>3.0435156021602072E-3</v>
      </c>
      <c r="BC139" s="504">
        <f t="shared" ca="1" si="140"/>
        <v>3.0435156021602072E-3</v>
      </c>
      <c r="BD139" s="504">
        <f t="shared" ca="1" si="140"/>
        <v>3.0435156021602072E-3</v>
      </c>
      <c r="BE139" s="504">
        <f t="shared" ca="1" si="140"/>
        <v>3.0435156021602072E-3</v>
      </c>
      <c r="BF139" s="504">
        <f t="shared" ca="1" si="140"/>
        <v>3.0435156021602072E-3</v>
      </c>
      <c r="BG139" s="504">
        <f t="shared" ca="1" si="140"/>
        <v>3.0435156021602072E-3</v>
      </c>
      <c r="BH139" s="504">
        <f t="shared" ca="1" si="140"/>
        <v>3.0435156021602072E-3</v>
      </c>
      <c r="BI139" s="504">
        <f t="shared" ca="1" si="140"/>
        <v>0</v>
      </c>
      <c r="BJ139" s="504">
        <f t="shared" ca="1" si="140"/>
        <v>0</v>
      </c>
      <c r="BK139" s="504">
        <f t="shared" ca="1" si="140"/>
        <v>0</v>
      </c>
      <c r="BL139" s="504">
        <f t="shared" ca="1" si="140"/>
        <v>0</v>
      </c>
      <c r="BM139" s="504">
        <f t="shared" ca="1" si="140"/>
        <v>0</v>
      </c>
      <c r="BN139" s="504"/>
      <c r="BO139" s="504"/>
      <c r="BP139" s="504">
        <f ca="1">IFERROR(BP136/BP121-1,0)</f>
        <v>6.8319665463627555E-3</v>
      </c>
      <c r="BS139" s="84" t="s">
        <v>234</v>
      </c>
      <c r="BT139" s="51" t="s">
        <v>17</v>
      </c>
    </row>
    <row r="140" spans="1:72" x14ac:dyDescent="0.25">
      <c r="B140" s="243" t="str">
        <f t="shared" si="136"/>
        <v>Low-Income</v>
      </c>
      <c r="C140" s="243" t="str">
        <f t="shared" si="136"/>
        <v>Rates</v>
      </c>
      <c r="D140" s="85"/>
      <c r="E140" s="84" t="s">
        <v>17</v>
      </c>
      <c r="F140" s="84"/>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S140" s="84"/>
      <c r="BT140" s="51" t="s">
        <v>17</v>
      </c>
    </row>
    <row r="141" spans="1:72" s="5" customFormat="1" ht="15.75" x14ac:dyDescent="0.25">
      <c r="A141" s="52"/>
      <c r="B141" s="241" t="str">
        <f t="shared" si="136"/>
        <v>Low-Income</v>
      </c>
      <c r="C141" s="63" t="s">
        <v>51</v>
      </c>
      <c r="D141" s="61"/>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2"/>
      <c r="BO141" s="62"/>
      <c r="BP141" s="62"/>
      <c r="BS141" s="62"/>
      <c r="BT141" s="51" t="s">
        <v>17</v>
      </c>
    </row>
    <row r="142" spans="1:72" x14ac:dyDescent="0.25">
      <c r="B142" s="243" t="str">
        <f t="shared" si="136"/>
        <v>Low-Income</v>
      </c>
      <c r="C142" s="243" t="str">
        <f>C141</f>
        <v>Bills</v>
      </c>
      <c r="D142" s="114" t="str">
        <f>"Bills before DSM ("&amp;Lookups!$D$22&amp;" Scenario, Non-Participant)"</f>
        <v>Bills before DSM (No EE Scenario, Non-Participant)</v>
      </c>
      <c r="E142" s="86"/>
      <c r="F142" s="84"/>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149"/>
      <c r="BS142" s="84"/>
      <c r="BT142" s="51" t="s">
        <v>17</v>
      </c>
    </row>
    <row r="143" spans="1:72" x14ac:dyDescent="0.25">
      <c r="B143" s="243" t="str">
        <f t="shared" si="136"/>
        <v>Low-Income</v>
      </c>
      <c r="C143" s="243" t="str">
        <f t="shared" si="136"/>
        <v>Bills</v>
      </c>
      <c r="D143" s="244" t="str">
        <f>D142</f>
        <v>Bills before DSM (No EE Scenario, Non-Participant)</v>
      </c>
      <c r="E143" s="86" t="s">
        <v>75</v>
      </c>
      <c r="F143" s="84" t="s">
        <v>31</v>
      </c>
      <c r="G143" s="659">
        <f>IF(G$8=0,0,INDEX('R&amp;B Inputs'!$H$45:$U$45,MATCH($B143,'R&amp;B Inputs'!$H$4:$U$4,0))*(1+INDEX('R&amp;B Inputs'!$H$46:$U$46,MATCH($B143,'R&amp;B Inputs'!$H$4:$U$4,0)))^(G$7-Year1)*12)</f>
        <v>0</v>
      </c>
      <c r="H143" s="659">
        <f>IF(H$8=0,0,INDEX('R&amp;B Inputs'!$H$45:$U$45,MATCH($B143,'R&amp;B Inputs'!$H$4:$U$4,0))*(1+INDEX('R&amp;B Inputs'!$H$46:$U$46,MATCH($B143,'R&amp;B Inputs'!$H$4:$U$4,0)))^(H$7-Year1)*12)</f>
        <v>0</v>
      </c>
      <c r="I143" s="659">
        <f>IF(I$8=0,0,INDEX('R&amp;B Inputs'!$H$45:$U$45,MATCH($B143,'R&amp;B Inputs'!$H$4:$U$4,0))*(1+INDEX('R&amp;B Inputs'!$H$46:$U$46,MATCH($B143,'R&amp;B Inputs'!$H$4:$U$4,0)))^(I$7-Year1)*12)</f>
        <v>72.960000000000008</v>
      </c>
      <c r="J143" s="659">
        <f>IF(J$8=0,0,INDEX('R&amp;B Inputs'!$H$45:$U$45,MATCH($B143,'R&amp;B Inputs'!$H$4:$U$4,0))*(1+INDEX('R&amp;B Inputs'!$H$46:$U$46,MATCH($B143,'R&amp;B Inputs'!$H$4:$U$4,0)))^(J$7-Year1)*12)</f>
        <v>72.960000000000008</v>
      </c>
      <c r="K143" s="659">
        <f>IF(K$8=0,0,INDEX('R&amp;B Inputs'!$H$45:$U$45,MATCH($B143,'R&amp;B Inputs'!$H$4:$U$4,0))*(1+INDEX('R&amp;B Inputs'!$H$46:$U$46,MATCH($B143,'R&amp;B Inputs'!$H$4:$U$4,0)))^(K$7-Year1)*12)</f>
        <v>72.960000000000008</v>
      </c>
      <c r="L143" s="659">
        <f>IF(L$8=0,0,INDEX('R&amp;B Inputs'!$H$45:$U$45,MATCH($B143,'R&amp;B Inputs'!$H$4:$U$4,0))*(1+INDEX('R&amp;B Inputs'!$H$46:$U$46,MATCH($B143,'R&amp;B Inputs'!$H$4:$U$4,0)))^(L$7-Year1)*12)</f>
        <v>72.960000000000008</v>
      </c>
      <c r="M143" s="659">
        <f>IF(M$8=0,0,INDEX('R&amp;B Inputs'!$H$45:$U$45,MATCH($B143,'R&amp;B Inputs'!$H$4:$U$4,0))*(1+INDEX('R&amp;B Inputs'!$H$46:$U$46,MATCH($B143,'R&amp;B Inputs'!$H$4:$U$4,0)))^(M$7-Year1)*12)</f>
        <v>72.960000000000008</v>
      </c>
      <c r="N143" s="659">
        <f>IF(N$8=0,0,INDEX('R&amp;B Inputs'!$H$45:$U$45,MATCH($B143,'R&amp;B Inputs'!$H$4:$U$4,0))*(1+INDEX('R&amp;B Inputs'!$H$46:$U$46,MATCH($B143,'R&amp;B Inputs'!$H$4:$U$4,0)))^(N$7-Year1)*12)</f>
        <v>72.960000000000008</v>
      </c>
      <c r="O143" s="659">
        <f>IF(O$8=0,0,INDEX('R&amp;B Inputs'!$H$45:$U$45,MATCH($B143,'R&amp;B Inputs'!$H$4:$U$4,0))*(1+INDEX('R&amp;B Inputs'!$H$46:$U$46,MATCH($B143,'R&amp;B Inputs'!$H$4:$U$4,0)))^(O$7-Year1)*12)</f>
        <v>72.960000000000008</v>
      </c>
      <c r="P143" s="659">
        <f>IF(P$8=0,0,INDEX('R&amp;B Inputs'!$H$45:$U$45,MATCH($B143,'R&amp;B Inputs'!$H$4:$U$4,0))*(1+INDEX('R&amp;B Inputs'!$H$46:$U$46,MATCH($B143,'R&amp;B Inputs'!$H$4:$U$4,0)))^(P$7-Year1)*12)</f>
        <v>72.960000000000008</v>
      </c>
      <c r="Q143" s="659">
        <f>IF(Q$8=0,0,INDEX('R&amp;B Inputs'!$H$45:$U$45,MATCH($B143,'R&amp;B Inputs'!$H$4:$U$4,0))*(1+INDEX('R&amp;B Inputs'!$H$46:$U$46,MATCH($B143,'R&amp;B Inputs'!$H$4:$U$4,0)))^(Q$7-Year1)*12)</f>
        <v>72.960000000000008</v>
      </c>
      <c r="R143" s="659">
        <f>IF(R$8=0,0,INDEX('R&amp;B Inputs'!$H$45:$U$45,MATCH($B143,'R&amp;B Inputs'!$H$4:$U$4,0))*(1+INDEX('R&amp;B Inputs'!$H$46:$U$46,MATCH($B143,'R&amp;B Inputs'!$H$4:$U$4,0)))^(R$7-Year1)*12)</f>
        <v>72.960000000000008</v>
      </c>
      <c r="S143" s="659">
        <f>IF(S$8=0,0,INDEX('R&amp;B Inputs'!$H$45:$U$45,MATCH($B143,'R&amp;B Inputs'!$H$4:$U$4,0))*(1+INDEX('R&amp;B Inputs'!$H$46:$U$46,MATCH($B143,'R&amp;B Inputs'!$H$4:$U$4,0)))^(S$7-Year1)*12)</f>
        <v>72.960000000000008</v>
      </c>
      <c r="T143" s="659">
        <f>IF(T$8=0,0,INDEX('R&amp;B Inputs'!$H$45:$U$45,MATCH($B143,'R&amp;B Inputs'!$H$4:$U$4,0))*(1+INDEX('R&amp;B Inputs'!$H$46:$U$46,MATCH($B143,'R&amp;B Inputs'!$H$4:$U$4,0)))^(T$7-Year1)*12)</f>
        <v>72.960000000000008</v>
      </c>
      <c r="U143" s="659">
        <f>IF(U$8=0,0,INDEX('R&amp;B Inputs'!$H$45:$U$45,MATCH($B143,'R&amp;B Inputs'!$H$4:$U$4,0))*(1+INDEX('R&amp;B Inputs'!$H$46:$U$46,MATCH($B143,'R&amp;B Inputs'!$H$4:$U$4,0)))^(U$7-Year1)*12)</f>
        <v>72.960000000000008</v>
      </c>
      <c r="V143" s="659">
        <f>IF(V$8=0,0,INDEX('R&amp;B Inputs'!$H$45:$U$45,MATCH($B143,'R&amp;B Inputs'!$H$4:$U$4,0))*(1+INDEX('R&amp;B Inputs'!$H$46:$U$46,MATCH($B143,'R&amp;B Inputs'!$H$4:$U$4,0)))^(V$7-Year1)*12)</f>
        <v>72.960000000000008</v>
      </c>
      <c r="W143" s="659">
        <f>IF(W$8=0,0,INDEX('R&amp;B Inputs'!$H$45:$U$45,MATCH($B143,'R&amp;B Inputs'!$H$4:$U$4,0))*(1+INDEX('R&amp;B Inputs'!$H$46:$U$46,MATCH($B143,'R&amp;B Inputs'!$H$4:$U$4,0)))^(W$7-Year1)*12)</f>
        <v>72.960000000000008</v>
      </c>
      <c r="X143" s="659">
        <f>IF(X$8=0,0,INDEX('R&amp;B Inputs'!$H$45:$U$45,MATCH($B143,'R&amp;B Inputs'!$H$4:$U$4,0))*(1+INDEX('R&amp;B Inputs'!$H$46:$U$46,MATCH($B143,'R&amp;B Inputs'!$H$4:$U$4,0)))^(X$7-Year1)*12)</f>
        <v>72.960000000000008</v>
      </c>
      <c r="Y143" s="659">
        <f>IF(Y$8=0,0,INDEX('R&amp;B Inputs'!$H$45:$U$45,MATCH($B143,'R&amp;B Inputs'!$H$4:$U$4,0))*(1+INDEX('R&amp;B Inputs'!$H$46:$U$46,MATCH($B143,'R&amp;B Inputs'!$H$4:$U$4,0)))^(Y$7-Year1)*12)</f>
        <v>72.960000000000008</v>
      </c>
      <c r="Z143" s="659">
        <f>IF(Z$8=0,0,INDEX('R&amp;B Inputs'!$H$45:$U$45,MATCH($B143,'R&amp;B Inputs'!$H$4:$U$4,0))*(1+INDEX('R&amp;B Inputs'!$H$46:$U$46,MATCH($B143,'R&amp;B Inputs'!$H$4:$U$4,0)))^(Z$7-Year1)*12)</f>
        <v>72.960000000000008</v>
      </c>
      <c r="AA143" s="659">
        <f>IF(AA$8=0,0,INDEX('R&amp;B Inputs'!$H$45:$U$45,MATCH($B143,'R&amp;B Inputs'!$H$4:$U$4,0))*(1+INDEX('R&amp;B Inputs'!$H$46:$U$46,MATCH($B143,'R&amp;B Inputs'!$H$4:$U$4,0)))^(AA$7-Year1)*12)</f>
        <v>72.960000000000008</v>
      </c>
      <c r="AB143" s="659">
        <f>IF(AB$8=0,0,INDEX('R&amp;B Inputs'!$H$45:$U$45,MATCH($B143,'R&amp;B Inputs'!$H$4:$U$4,0))*(1+INDEX('R&amp;B Inputs'!$H$46:$U$46,MATCH($B143,'R&amp;B Inputs'!$H$4:$U$4,0)))^(AB$7-Year1)*12)</f>
        <v>72.960000000000008</v>
      </c>
      <c r="AC143" s="659">
        <f>IF(AC$8=0,0,INDEX('R&amp;B Inputs'!$H$45:$U$45,MATCH($B143,'R&amp;B Inputs'!$H$4:$U$4,0))*(1+INDEX('R&amp;B Inputs'!$H$46:$U$46,MATCH($B143,'R&amp;B Inputs'!$H$4:$U$4,0)))^(AC$7-Year1)*12)</f>
        <v>72.960000000000008</v>
      </c>
      <c r="AD143" s="659">
        <f>IF(AD$8=0,0,INDEX('R&amp;B Inputs'!$H$45:$U$45,MATCH($B143,'R&amp;B Inputs'!$H$4:$U$4,0))*(1+INDEX('R&amp;B Inputs'!$H$46:$U$46,MATCH($B143,'R&amp;B Inputs'!$H$4:$U$4,0)))^(AD$7-Year1)*12)</f>
        <v>72.960000000000008</v>
      </c>
      <c r="AE143" s="659">
        <f>IF(AE$8=0,0,INDEX('R&amp;B Inputs'!$H$45:$U$45,MATCH($B143,'R&amp;B Inputs'!$H$4:$U$4,0))*(1+INDEX('R&amp;B Inputs'!$H$46:$U$46,MATCH($B143,'R&amp;B Inputs'!$H$4:$U$4,0)))^(AE$7-Year1)*12)</f>
        <v>72.960000000000008</v>
      </c>
      <c r="AF143" s="659">
        <f>IF(AF$8=0,0,INDEX('R&amp;B Inputs'!$H$45:$U$45,MATCH($B143,'R&amp;B Inputs'!$H$4:$U$4,0))*(1+INDEX('R&amp;B Inputs'!$H$46:$U$46,MATCH($B143,'R&amp;B Inputs'!$H$4:$U$4,0)))^(AF$7-Year1)*12)</f>
        <v>72.960000000000008</v>
      </c>
      <c r="AG143" s="659">
        <f>IF(AG$8=0,0,INDEX('R&amp;B Inputs'!$H$45:$U$45,MATCH($B143,'R&amp;B Inputs'!$H$4:$U$4,0))*(1+INDEX('R&amp;B Inputs'!$H$46:$U$46,MATCH($B143,'R&amp;B Inputs'!$H$4:$U$4,0)))^(AG$7-Year1)*12)</f>
        <v>72.960000000000008</v>
      </c>
      <c r="AH143" s="49"/>
      <c r="AI143" s="49"/>
      <c r="AJ143" s="103">
        <f>IF($C$4=Year1,-PMT(Lookups!$E$17,25,NPV(Lookups!$E$17,G143:AE143),0,1),IF($C$4=Year2,-PMT(Lookups!$F$17,25,NPV(Lookups!$F$17,H143:AF143),0,1),IF($C$4=Year3,-PMT(Lookups!$G$17,25,NPV(Lookups!$G$17,I143:AG143),0,1),-PMT(Lookups!$G$17,27,NPV(Lookups!$G$17,G143:AG143),0,1))))</f>
        <v>71.942446489104128</v>
      </c>
      <c r="AM143" s="705">
        <f>IF(AM$8=0,0,INDEX('R&amp;B Inputs'!$H$45:$U$45,MATCH($B143,'R&amp;B Inputs'!$H$4:$U$4,0))*(1+INDEX('R&amp;B Inputs'!$H$46:$U$46,MATCH($B143,'R&amp;B Inputs'!$H$4:$U$4,0)))^(AM$7-Year1)*12)</f>
        <v>0</v>
      </c>
      <c r="AN143" s="705">
        <f>IF(AN$8=0,0,INDEX('R&amp;B Inputs'!$H$45:$U$45,MATCH($B143,'R&amp;B Inputs'!$H$4:$U$4,0))*(1+INDEX('R&amp;B Inputs'!$H$46:$U$46,MATCH($B143,'R&amp;B Inputs'!$H$4:$U$4,0)))^(AN$7-Year1)*12)</f>
        <v>0</v>
      </c>
      <c r="AO143" s="705">
        <f>IF(AO$8=0,0,INDEX('R&amp;B Inputs'!$H$45:$U$45,MATCH($B143,'R&amp;B Inputs'!$H$4:$U$4,0))*(1+INDEX('R&amp;B Inputs'!$H$46:$U$46,MATCH($B143,'R&amp;B Inputs'!$H$4:$U$4,0)))^(AO$7-Year1)*12)</f>
        <v>72.960000000000008</v>
      </c>
      <c r="AP143" s="705">
        <f>IF(AP$8=0,0,INDEX('R&amp;B Inputs'!$H$45:$U$45,MATCH($B143,'R&amp;B Inputs'!$H$4:$U$4,0))*(1+INDEX('R&amp;B Inputs'!$H$46:$U$46,MATCH($B143,'R&amp;B Inputs'!$H$4:$U$4,0)))^(AP$7-Year1)*12)</f>
        <v>72.960000000000008</v>
      </c>
      <c r="AQ143" s="705">
        <f>IF(AQ$8=0,0,INDEX('R&amp;B Inputs'!$H$45:$U$45,MATCH($B143,'R&amp;B Inputs'!$H$4:$U$4,0))*(1+INDEX('R&amp;B Inputs'!$H$46:$U$46,MATCH($B143,'R&amp;B Inputs'!$H$4:$U$4,0)))^(AQ$7-Year1)*12)</f>
        <v>72.960000000000008</v>
      </c>
      <c r="AR143" s="705">
        <f>IF(AR$8=0,0,INDEX('R&amp;B Inputs'!$H$45:$U$45,MATCH($B143,'R&amp;B Inputs'!$H$4:$U$4,0))*(1+INDEX('R&amp;B Inputs'!$H$46:$U$46,MATCH($B143,'R&amp;B Inputs'!$H$4:$U$4,0)))^(AR$7-Year1)*12)</f>
        <v>72.960000000000008</v>
      </c>
      <c r="AS143" s="705">
        <f>IF(AS$8=0,0,INDEX('R&amp;B Inputs'!$H$45:$U$45,MATCH($B143,'R&amp;B Inputs'!$H$4:$U$4,0))*(1+INDEX('R&amp;B Inputs'!$H$46:$U$46,MATCH($B143,'R&amp;B Inputs'!$H$4:$U$4,0)))^(AS$7-Year1)*12)</f>
        <v>72.960000000000008</v>
      </c>
      <c r="AT143" s="705">
        <f>IF(AT$8=0,0,INDEX('R&amp;B Inputs'!$H$45:$U$45,MATCH($B143,'R&amp;B Inputs'!$H$4:$U$4,0))*(1+INDEX('R&amp;B Inputs'!$H$46:$U$46,MATCH($B143,'R&amp;B Inputs'!$H$4:$U$4,0)))^(AT$7-Year1)*12)</f>
        <v>72.960000000000008</v>
      </c>
      <c r="AU143" s="705">
        <f>IF(AU$8=0,0,INDEX('R&amp;B Inputs'!$H$45:$U$45,MATCH($B143,'R&amp;B Inputs'!$H$4:$U$4,0))*(1+INDEX('R&amp;B Inputs'!$H$46:$U$46,MATCH($B143,'R&amp;B Inputs'!$H$4:$U$4,0)))^(AU$7-Year1)*12)</f>
        <v>72.960000000000008</v>
      </c>
      <c r="AV143" s="705">
        <f>IF(AV$8=0,0,INDEX('R&amp;B Inputs'!$H$45:$U$45,MATCH($B143,'R&amp;B Inputs'!$H$4:$U$4,0))*(1+INDEX('R&amp;B Inputs'!$H$46:$U$46,MATCH($B143,'R&amp;B Inputs'!$H$4:$U$4,0)))^(AV$7-Year1)*12)</f>
        <v>72.960000000000008</v>
      </c>
      <c r="AW143" s="705">
        <f>IF(AW$8=0,0,INDEX('R&amp;B Inputs'!$H$45:$U$45,MATCH($B143,'R&amp;B Inputs'!$H$4:$U$4,0))*(1+INDEX('R&amp;B Inputs'!$H$46:$U$46,MATCH($B143,'R&amp;B Inputs'!$H$4:$U$4,0)))^(AW$7-Year1)*12)</f>
        <v>72.960000000000008</v>
      </c>
      <c r="AX143" s="705">
        <f>IF(AX$8=0,0,INDEX('R&amp;B Inputs'!$H$45:$U$45,MATCH($B143,'R&amp;B Inputs'!$H$4:$U$4,0))*(1+INDEX('R&amp;B Inputs'!$H$46:$U$46,MATCH($B143,'R&amp;B Inputs'!$H$4:$U$4,0)))^(AX$7-Year1)*12)</f>
        <v>72.960000000000008</v>
      </c>
      <c r="AY143" s="705">
        <f>IF(AY$8=0,0,INDEX('R&amp;B Inputs'!$H$45:$U$45,MATCH($B143,'R&amp;B Inputs'!$H$4:$U$4,0))*(1+INDEX('R&amp;B Inputs'!$H$46:$U$46,MATCH($B143,'R&amp;B Inputs'!$H$4:$U$4,0)))^(AY$7-Year1)*12)</f>
        <v>72.960000000000008</v>
      </c>
      <c r="AZ143" s="705">
        <f>IF(AZ$8=0,0,INDEX('R&amp;B Inputs'!$H$45:$U$45,MATCH($B143,'R&amp;B Inputs'!$H$4:$U$4,0))*(1+INDEX('R&amp;B Inputs'!$H$46:$U$46,MATCH($B143,'R&amp;B Inputs'!$H$4:$U$4,0)))^(AZ$7-Year1)*12)</f>
        <v>72.960000000000008</v>
      </c>
      <c r="BA143" s="705">
        <f>IF(BA$8=0,0,INDEX('R&amp;B Inputs'!$H$45:$U$45,MATCH($B143,'R&amp;B Inputs'!$H$4:$U$4,0))*(1+INDEX('R&amp;B Inputs'!$H$46:$U$46,MATCH($B143,'R&amp;B Inputs'!$H$4:$U$4,0)))^(BA$7-Year1)*12)</f>
        <v>72.960000000000008</v>
      </c>
      <c r="BB143" s="705">
        <f>IF(BB$8=0,0,INDEX('R&amp;B Inputs'!$H$45:$U$45,MATCH($B143,'R&amp;B Inputs'!$H$4:$U$4,0))*(1+INDEX('R&amp;B Inputs'!$H$46:$U$46,MATCH($B143,'R&amp;B Inputs'!$H$4:$U$4,0)))^(BB$7-Year1)*12)</f>
        <v>72.960000000000008</v>
      </c>
      <c r="BC143" s="705">
        <f>IF(BC$8=0,0,INDEX('R&amp;B Inputs'!$H$45:$U$45,MATCH($B143,'R&amp;B Inputs'!$H$4:$U$4,0))*(1+INDEX('R&amp;B Inputs'!$H$46:$U$46,MATCH($B143,'R&amp;B Inputs'!$H$4:$U$4,0)))^(BC$7-Year1)*12)</f>
        <v>72.960000000000008</v>
      </c>
      <c r="BD143" s="705">
        <f>IF(BD$8=0,0,INDEX('R&amp;B Inputs'!$H$45:$U$45,MATCH($B143,'R&amp;B Inputs'!$H$4:$U$4,0))*(1+INDEX('R&amp;B Inputs'!$H$46:$U$46,MATCH($B143,'R&amp;B Inputs'!$H$4:$U$4,0)))^(BD$7-Year1)*12)</f>
        <v>72.960000000000008</v>
      </c>
      <c r="BE143" s="705">
        <f>IF(BE$8=0,0,INDEX('R&amp;B Inputs'!$H$45:$U$45,MATCH($B143,'R&amp;B Inputs'!$H$4:$U$4,0))*(1+INDEX('R&amp;B Inputs'!$H$46:$U$46,MATCH($B143,'R&amp;B Inputs'!$H$4:$U$4,0)))^(BE$7-Year1)*12)</f>
        <v>72.960000000000008</v>
      </c>
      <c r="BF143" s="705">
        <f>IF(BF$8=0,0,INDEX('R&amp;B Inputs'!$H$45:$U$45,MATCH($B143,'R&amp;B Inputs'!$H$4:$U$4,0))*(1+INDEX('R&amp;B Inputs'!$H$46:$U$46,MATCH($B143,'R&amp;B Inputs'!$H$4:$U$4,0)))^(BF$7-Year1)*12)</f>
        <v>72.960000000000008</v>
      </c>
      <c r="BG143" s="705">
        <f>IF(BG$8=0,0,INDEX('R&amp;B Inputs'!$H$45:$U$45,MATCH($B143,'R&amp;B Inputs'!$H$4:$U$4,0))*(1+INDEX('R&amp;B Inputs'!$H$46:$U$46,MATCH($B143,'R&amp;B Inputs'!$H$4:$U$4,0)))^(BG$7-Year1)*12)</f>
        <v>72.960000000000008</v>
      </c>
      <c r="BH143" s="705">
        <f>IF(BH$8=0,0,INDEX('R&amp;B Inputs'!$H$45:$U$45,MATCH($B143,'R&amp;B Inputs'!$H$4:$U$4,0))*(1+INDEX('R&amp;B Inputs'!$H$46:$U$46,MATCH($B143,'R&amp;B Inputs'!$H$4:$U$4,0)))^(BH$7-Year1)*12)</f>
        <v>72.960000000000008</v>
      </c>
      <c r="BI143" s="705">
        <f>IF(BI$8=0,0,INDEX('R&amp;B Inputs'!$H$45:$U$45,MATCH($B143,'R&amp;B Inputs'!$H$4:$U$4,0))*(1+INDEX('R&amp;B Inputs'!$H$46:$U$46,MATCH($B143,'R&amp;B Inputs'!$H$4:$U$4,0)))^(BI$7-Year1)*12)</f>
        <v>72.960000000000008</v>
      </c>
      <c r="BJ143" s="705">
        <f>IF(BJ$8=0,0,INDEX('R&amp;B Inputs'!$H$45:$U$45,MATCH($B143,'R&amp;B Inputs'!$H$4:$U$4,0))*(1+INDEX('R&amp;B Inputs'!$H$46:$U$46,MATCH($B143,'R&amp;B Inputs'!$H$4:$U$4,0)))^(BJ$7-Year1)*12)</f>
        <v>72.960000000000008</v>
      </c>
      <c r="BK143" s="705">
        <f>IF(BK$8=0,0,INDEX('R&amp;B Inputs'!$H$45:$U$45,MATCH($B143,'R&amp;B Inputs'!$H$4:$U$4,0))*(1+INDEX('R&amp;B Inputs'!$H$46:$U$46,MATCH($B143,'R&amp;B Inputs'!$H$4:$U$4,0)))^(BK$7-Year1)*12)</f>
        <v>72.960000000000008</v>
      </c>
      <c r="BL143" s="705">
        <f>IF(BL$8=0,0,INDEX('R&amp;B Inputs'!$H$45:$U$45,MATCH($B143,'R&amp;B Inputs'!$H$4:$U$4,0))*(1+INDEX('R&amp;B Inputs'!$H$46:$U$46,MATCH($B143,'R&amp;B Inputs'!$H$4:$U$4,0)))^(BL$7-Year1)*12)</f>
        <v>72.960000000000008</v>
      </c>
      <c r="BM143" s="705">
        <f>IF(BM$8=0,0,INDEX('R&amp;B Inputs'!$H$45:$U$45,MATCH($B143,'R&amp;B Inputs'!$H$4:$U$4,0))*(1+INDEX('R&amp;B Inputs'!$H$46:$U$46,MATCH($B143,'R&amp;B Inputs'!$H$4:$U$4,0)))^(BM$7-Year1)*12)</f>
        <v>72.960000000000008</v>
      </c>
      <c r="BN143" s="74"/>
      <c r="BO143" s="74"/>
      <c r="BP143" s="149">
        <f>IF($C$4=Year1,-PMT(Lookups!$E$17,25,NPV(Lookups!$E$17,AM143:BK143),0,1),IF($C$4=Year2,-PMT(Lookups!$F$17,25,NPV(Lookups!$F$17,AN143:BL143),0,1),IF($C$4=Year3,-PMT(Lookups!$G$17,25,NPV(Lookups!$G$17,AO143:BM143),0,1),-PMT(Lookups!$G$17,27,NPV(Lookups!$G$17,AM143:BM143),0,1))))</f>
        <v>71.942446489104128</v>
      </c>
      <c r="BS143" s="84" t="str">
        <f t="shared" ref="BS143" si="141">E143&amp;" charge from the R&amp;B Inputs tab, escalated annually by the growth rate included on the R&amp;B Inputs tab."</f>
        <v>Customer Charge charge from the R&amp;B Inputs tab, escalated annually by the growth rate included on the R&amp;B Inputs tab.</v>
      </c>
      <c r="BT143" s="51" t="s">
        <v>17</v>
      </c>
    </row>
    <row r="144" spans="1:72" x14ac:dyDescent="0.25">
      <c r="B144" s="243" t="str">
        <f t="shared" si="136"/>
        <v>Low-Income</v>
      </c>
      <c r="C144" s="243" t="str">
        <f t="shared" si="136"/>
        <v>Bills</v>
      </c>
      <c r="D144" s="244" t="str">
        <f>D143</f>
        <v>Bills before DSM (No EE Scenario, Non-Participant)</v>
      </c>
      <c r="E144" s="84" t="s">
        <v>309</v>
      </c>
      <c r="F144" s="84" t="s">
        <v>195</v>
      </c>
      <c r="G144" s="64">
        <f>IF(G$8=0,0,INDEX('R&amp;B Inputs'!$I$27:$V$27,MATCH($B144,'R&amp;B Inputs'!$I$4:$V$4,0))+INDEX('R&amp;B Inputs'!$I$28:$V$28,MATCH($B144,'R&amp;B Inputs'!$I$4:$V$4,0)))</f>
        <v>0</v>
      </c>
      <c r="H144" s="64">
        <f>IF(H$8=0,0,INDEX('R&amp;B Inputs'!$I$27:$V$27,MATCH($B144,'R&amp;B Inputs'!$I$4:$V$4,0))+INDEX('R&amp;B Inputs'!$I$28:$V$28,MATCH($B144,'R&amp;B Inputs'!$I$4:$V$4,0)))</f>
        <v>0</v>
      </c>
      <c r="I144" s="64">
        <f>IF(I$8=0,0,INDEX('R&amp;B Inputs'!$I$27:$V$27,MATCH($B144,'R&amp;B Inputs'!$I$4:$V$4,0))+INDEX('R&amp;B Inputs'!$I$28:$V$28,MATCH($B144,'R&amp;B Inputs'!$I$4:$V$4,0)))</f>
        <v>666</v>
      </c>
      <c r="J144" s="64">
        <f>IF(J$8=0,0,INDEX('R&amp;B Inputs'!$I$27:$V$27,MATCH($B144,'R&amp;B Inputs'!$I$4:$V$4,0))+INDEX('R&amp;B Inputs'!$I$28:$V$28,MATCH($B144,'R&amp;B Inputs'!$I$4:$V$4,0)))</f>
        <v>666</v>
      </c>
      <c r="K144" s="64">
        <f>IF(K$8=0,0,INDEX('R&amp;B Inputs'!$I$27:$V$27,MATCH($B144,'R&amp;B Inputs'!$I$4:$V$4,0))+INDEX('R&amp;B Inputs'!$I$28:$V$28,MATCH($B144,'R&amp;B Inputs'!$I$4:$V$4,0)))</f>
        <v>666</v>
      </c>
      <c r="L144" s="64">
        <f>IF(L$8=0,0,INDEX('R&amp;B Inputs'!$I$27:$V$27,MATCH($B144,'R&amp;B Inputs'!$I$4:$V$4,0))+INDEX('R&amp;B Inputs'!$I$28:$V$28,MATCH($B144,'R&amp;B Inputs'!$I$4:$V$4,0)))</f>
        <v>666</v>
      </c>
      <c r="M144" s="64">
        <f>IF(M$8=0,0,INDEX('R&amp;B Inputs'!$I$27:$V$27,MATCH($B144,'R&amp;B Inputs'!$I$4:$V$4,0))+INDEX('R&amp;B Inputs'!$I$28:$V$28,MATCH($B144,'R&amp;B Inputs'!$I$4:$V$4,0)))</f>
        <v>666</v>
      </c>
      <c r="N144" s="64">
        <f>IF(N$8=0,0,INDEX('R&amp;B Inputs'!$I$27:$V$27,MATCH($B144,'R&amp;B Inputs'!$I$4:$V$4,0))+INDEX('R&amp;B Inputs'!$I$28:$V$28,MATCH($B144,'R&amp;B Inputs'!$I$4:$V$4,0)))</f>
        <v>666</v>
      </c>
      <c r="O144" s="64">
        <f>IF(O$8=0,0,INDEX('R&amp;B Inputs'!$I$27:$V$27,MATCH($B144,'R&amp;B Inputs'!$I$4:$V$4,0))+INDEX('R&amp;B Inputs'!$I$28:$V$28,MATCH($B144,'R&amp;B Inputs'!$I$4:$V$4,0)))</f>
        <v>666</v>
      </c>
      <c r="P144" s="64">
        <f>IF(P$8=0,0,INDEX('R&amp;B Inputs'!$I$27:$V$27,MATCH($B144,'R&amp;B Inputs'!$I$4:$V$4,0))+INDEX('R&amp;B Inputs'!$I$28:$V$28,MATCH($B144,'R&amp;B Inputs'!$I$4:$V$4,0)))</f>
        <v>666</v>
      </c>
      <c r="Q144" s="64">
        <f>IF(Q$8=0,0,INDEX('R&amp;B Inputs'!$I$27:$V$27,MATCH($B144,'R&amp;B Inputs'!$I$4:$V$4,0))+INDEX('R&amp;B Inputs'!$I$28:$V$28,MATCH($B144,'R&amp;B Inputs'!$I$4:$V$4,0)))</f>
        <v>666</v>
      </c>
      <c r="R144" s="64">
        <f>IF(R$8=0,0,INDEX('R&amp;B Inputs'!$I$27:$V$27,MATCH($B144,'R&amp;B Inputs'!$I$4:$V$4,0))+INDEX('R&amp;B Inputs'!$I$28:$V$28,MATCH($B144,'R&amp;B Inputs'!$I$4:$V$4,0)))</f>
        <v>666</v>
      </c>
      <c r="S144" s="64">
        <f>IF(S$8=0,0,INDEX('R&amp;B Inputs'!$I$27:$V$27,MATCH($B144,'R&amp;B Inputs'!$I$4:$V$4,0))+INDEX('R&amp;B Inputs'!$I$28:$V$28,MATCH($B144,'R&amp;B Inputs'!$I$4:$V$4,0)))</f>
        <v>666</v>
      </c>
      <c r="T144" s="64">
        <f>IF(T$8=0,0,INDEX('R&amp;B Inputs'!$I$27:$V$27,MATCH($B144,'R&amp;B Inputs'!$I$4:$V$4,0))+INDEX('R&amp;B Inputs'!$I$28:$V$28,MATCH($B144,'R&amp;B Inputs'!$I$4:$V$4,0)))</f>
        <v>666</v>
      </c>
      <c r="U144" s="64">
        <f>IF(U$8=0,0,INDEX('R&amp;B Inputs'!$I$27:$V$27,MATCH($B144,'R&amp;B Inputs'!$I$4:$V$4,0))+INDEX('R&amp;B Inputs'!$I$28:$V$28,MATCH($B144,'R&amp;B Inputs'!$I$4:$V$4,0)))</f>
        <v>666</v>
      </c>
      <c r="V144" s="64">
        <f>IF(V$8=0,0,INDEX('R&amp;B Inputs'!$I$27:$V$27,MATCH($B144,'R&amp;B Inputs'!$I$4:$V$4,0))+INDEX('R&amp;B Inputs'!$I$28:$V$28,MATCH($B144,'R&amp;B Inputs'!$I$4:$V$4,0)))</f>
        <v>666</v>
      </c>
      <c r="W144" s="64">
        <f>IF(W$8=0,0,INDEX('R&amp;B Inputs'!$I$27:$V$27,MATCH($B144,'R&amp;B Inputs'!$I$4:$V$4,0))+INDEX('R&amp;B Inputs'!$I$28:$V$28,MATCH($B144,'R&amp;B Inputs'!$I$4:$V$4,0)))</f>
        <v>666</v>
      </c>
      <c r="X144" s="64">
        <f>IF(X$8=0,0,INDEX('R&amp;B Inputs'!$I$27:$V$27,MATCH($B144,'R&amp;B Inputs'!$I$4:$V$4,0))+INDEX('R&amp;B Inputs'!$I$28:$V$28,MATCH($B144,'R&amp;B Inputs'!$I$4:$V$4,0)))</f>
        <v>666</v>
      </c>
      <c r="Y144" s="64">
        <f>IF(Y$8=0,0,INDEX('R&amp;B Inputs'!$I$27:$V$27,MATCH($B144,'R&amp;B Inputs'!$I$4:$V$4,0))+INDEX('R&amp;B Inputs'!$I$28:$V$28,MATCH($B144,'R&amp;B Inputs'!$I$4:$V$4,0)))</f>
        <v>666</v>
      </c>
      <c r="Z144" s="64">
        <f>IF(Z$8=0,0,INDEX('R&amp;B Inputs'!$I$27:$V$27,MATCH($B144,'R&amp;B Inputs'!$I$4:$V$4,0))+INDEX('R&amp;B Inputs'!$I$28:$V$28,MATCH($B144,'R&amp;B Inputs'!$I$4:$V$4,0)))</f>
        <v>666</v>
      </c>
      <c r="AA144" s="64">
        <f>IF(AA$8=0,0,INDEX('R&amp;B Inputs'!$I$27:$V$27,MATCH($B144,'R&amp;B Inputs'!$I$4:$V$4,0))+INDEX('R&amp;B Inputs'!$I$28:$V$28,MATCH($B144,'R&amp;B Inputs'!$I$4:$V$4,0)))</f>
        <v>666</v>
      </c>
      <c r="AB144" s="64">
        <f>IF(AB$8=0,0,INDEX('R&amp;B Inputs'!$I$27:$V$27,MATCH($B144,'R&amp;B Inputs'!$I$4:$V$4,0))+INDEX('R&amp;B Inputs'!$I$28:$V$28,MATCH($B144,'R&amp;B Inputs'!$I$4:$V$4,0)))</f>
        <v>666</v>
      </c>
      <c r="AC144" s="64">
        <f>IF(AC$8=0,0,INDEX('R&amp;B Inputs'!$I$27:$V$27,MATCH($B144,'R&amp;B Inputs'!$I$4:$V$4,0))+INDEX('R&amp;B Inputs'!$I$28:$V$28,MATCH($B144,'R&amp;B Inputs'!$I$4:$V$4,0)))</f>
        <v>666</v>
      </c>
      <c r="AD144" s="64">
        <f>IF(AD$8=0,0,INDEX('R&amp;B Inputs'!$I$27:$V$27,MATCH($B144,'R&amp;B Inputs'!$I$4:$V$4,0))+INDEX('R&amp;B Inputs'!$I$28:$V$28,MATCH($B144,'R&amp;B Inputs'!$I$4:$V$4,0)))</f>
        <v>666</v>
      </c>
      <c r="AE144" s="64">
        <f>IF(AE$8=0,0,INDEX('R&amp;B Inputs'!$I$27:$V$27,MATCH($B144,'R&amp;B Inputs'!$I$4:$V$4,0))+INDEX('R&amp;B Inputs'!$I$28:$V$28,MATCH($B144,'R&amp;B Inputs'!$I$4:$V$4,0)))</f>
        <v>666</v>
      </c>
      <c r="AF144" s="64">
        <f>IF(AF$8=0,0,INDEX('R&amp;B Inputs'!$I$27:$V$27,MATCH($B144,'R&amp;B Inputs'!$I$4:$V$4,0))+INDEX('R&amp;B Inputs'!$I$28:$V$28,MATCH($B144,'R&amp;B Inputs'!$I$4:$V$4,0)))</f>
        <v>666</v>
      </c>
      <c r="AG144" s="64">
        <f>IF(AG$8=0,0,INDEX('R&amp;B Inputs'!$I$27:$V$27,MATCH($B144,'R&amp;B Inputs'!$I$4:$V$4,0))+INDEX('R&amp;B Inputs'!$I$28:$V$28,MATCH($B144,'R&amp;B Inputs'!$I$4:$V$4,0)))</f>
        <v>666</v>
      </c>
      <c r="AH144" s="64"/>
      <c r="AI144" s="64"/>
      <c r="AJ144" s="103"/>
      <c r="AM144" s="71">
        <f>IF(AM$8=0,0,INDEX('R&amp;B Inputs'!$I$27:$V$27,MATCH($B144,'R&amp;B Inputs'!$I$4:$V$4,0))+INDEX('R&amp;B Inputs'!$I$28:$V$28,MATCH($B144,'R&amp;B Inputs'!$I$4:$V$4,0)))</f>
        <v>0</v>
      </c>
      <c r="AN144" s="71">
        <f>IF(AN$8=0,0,INDEX('R&amp;B Inputs'!$I$27:$V$27,MATCH($B144,'R&amp;B Inputs'!$I$4:$V$4,0))+INDEX('R&amp;B Inputs'!$I$28:$V$28,MATCH($B144,'R&amp;B Inputs'!$I$4:$V$4,0)))</f>
        <v>0</v>
      </c>
      <c r="AO144" s="71">
        <f>IF(AO$8=0,0,INDEX('R&amp;B Inputs'!$I$27:$V$27,MATCH($B144,'R&amp;B Inputs'!$I$4:$V$4,0))+INDEX('R&amp;B Inputs'!$I$28:$V$28,MATCH($B144,'R&amp;B Inputs'!$I$4:$V$4,0)))</f>
        <v>666</v>
      </c>
      <c r="AP144" s="71">
        <f>IF(AP$8=0,0,INDEX('R&amp;B Inputs'!$I$27:$V$27,MATCH($B144,'R&amp;B Inputs'!$I$4:$V$4,0))+INDEX('R&amp;B Inputs'!$I$28:$V$28,MATCH($B144,'R&amp;B Inputs'!$I$4:$V$4,0)))</f>
        <v>666</v>
      </c>
      <c r="AQ144" s="71">
        <f>IF(AQ$8=0,0,INDEX('R&amp;B Inputs'!$I$27:$V$27,MATCH($B144,'R&amp;B Inputs'!$I$4:$V$4,0))+INDEX('R&amp;B Inputs'!$I$28:$V$28,MATCH($B144,'R&amp;B Inputs'!$I$4:$V$4,0)))</f>
        <v>666</v>
      </c>
      <c r="AR144" s="71">
        <f>IF(AR$8=0,0,INDEX('R&amp;B Inputs'!$I$27:$V$27,MATCH($B144,'R&amp;B Inputs'!$I$4:$V$4,0))+INDEX('R&amp;B Inputs'!$I$28:$V$28,MATCH($B144,'R&amp;B Inputs'!$I$4:$V$4,0)))</f>
        <v>666</v>
      </c>
      <c r="AS144" s="71">
        <f>IF(AS$8=0,0,INDEX('R&amp;B Inputs'!$I$27:$V$27,MATCH($B144,'R&amp;B Inputs'!$I$4:$V$4,0))+INDEX('R&amp;B Inputs'!$I$28:$V$28,MATCH($B144,'R&amp;B Inputs'!$I$4:$V$4,0)))</f>
        <v>666</v>
      </c>
      <c r="AT144" s="71">
        <f>IF(AT$8=0,0,INDEX('R&amp;B Inputs'!$I$27:$V$27,MATCH($B144,'R&amp;B Inputs'!$I$4:$V$4,0))+INDEX('R&amp;B Inputs'!$I$28:$V$28,MATCH($B144,'R&amp;B Inputs'!$I$4:$V$4,0)))</f>
        <v>666</v>
      </c>
      <c r="AU144" s="71">
        <f>IF(AU$8=0,0,INDEX('R&amp;B Inputs'!$I$27:$V$27,MATCH($B144,'R&amp;B Inputs'!$I$4:$V$4,0))+INDEX('R&amp;B Inputs'!$I$28:$V$28,MATCH($B144,'R&amp;B Inputs'!$I$4:$V$4,0)))</f>
        <v>666</v>
      </c>
      <c r="AV144" s="71">
        <f>IF(AV$8=0,0,INDEX('R&amp;B Inputs'!$I$27:$V$27,MATCH($B144,'R&amp;B Inputs'!$I$4:$V$4,0))+INDEX('R&amp;B Inputs'!$I$28:$V$28,MATCH($B144,'R&amp;B Inputs'!$I$4:$V$4,0)))</f>
        <v>666</v>
      </c>
      <c r="AW144" s="71">
        <f>IF(AW$8=0,0,INDEX('R&amp;B Inputs'!$I$27:$V$27,MATCH($B144,'R&amp;B Inputs'!$I$4:$V$4,0))+INDEX('R&amp;B Inputs'!$I$28:$V$28,MATCH($B144,'R&amp;B Inputs'!$I$4:$V$4,0)))</f>
        <v>666</v>
      </c>
      <c r="AX144" s="71">
        <f>IF(AX$8=0,0,INDEX('R&amp;B Inputs'!$I$27:$V$27,MATCH($B144,'R&amp;B Inputs'!$I$4:$V$4,0))+INDEX('R&amp;B Inputs'!$I$28:$V$28,MATCH($B144,'R&amp;B Inputs'!$I$4:$V$4,0)))</f>
        <v>666</v>
      </c>
      <c r="AY144" s="71">
        <f>IF(AY$8=0,0,INDEX('R&amp;B Inputs'!$I$27:$V$27,MATCH($B144,'R&amp;B Inputs'!$I$4:$V$4,0))+INDEX('R&amp;B Inputs'!$I$28:$V$28,MATCH($B144,'R&amp;B Inputs'!$I$4:$V$4,0)))</f>
        <v>666</v>
      </c>
      <c r="AZ144" s="71">
        <f>IF(AZ$8=0,0,INDEX('R&amp;B Inputs'!$I$27:$V$27,MATCH($B144,'R&amp;B Inputs'!$I$4:$V$4,0))+INDEX('R&amp;B Inputs'!$I$28:$V$28,MATCH($B144,'R&amp;B Inputs'!$I$4:$V$4,0)))</f>
        <v>666</v>
      </c>
      <c r="BA144" s="71">
        <f>IF(BA$8=0,0,INDEX('R&amp;B Inputs'!$I$27:$V$27,MATCH($B144,'R&amp;B Inputs'!$I$4:$V$4,0))+INDEX('R&amp;B Inputs'!$I$28:$V$28,MATCH($B144,'R&amp;B Inputs'!$I$4:$V$4,0)))</f>
        <v>666</v>
      </c>
      <c r="BB144" s="71">
        <f>IF(BB$8=0,0,INDEX('R&amp;B Inputs'!$I$27:$V$27,MATCH($B144,'R&amp;B Inputs'!$I$4:$V$4,0))+INDEX('R&amp;B Inputs'!$I$28:$V$28,MATCH($B144,'R&amp;B Inputs'!$I$4:$V$4,0)))</f>
        <v>666</v>
      </c>
      <c r="BC144" s="71">
        <f>IF(BC$8=0,0,INDEX('R&amp;B Inputs'!$I$27:$V$27,MATCH($B144,'R&amp;B Inputs'!$I$4:$V$4,0))+INDEX('R&amp;B Inputs'!$I$28:$V$28,MATCH($B144,'R&amp;B Inputs'!$I$4:$V$4,0)))</f>
        <v>666</v>
      </c>
      <c r="BD144" s="71">
        <f>IF(BD$8=0,0,INDEX('R&amp;B Inputs'!$I$27:$V$27,MATCH($B144,'R&amp;B Inputs'!$I$4:$V$4,0))+INDEX('R&amp;B Inputs'!$I$28:$V$28,MATCH($B144,'R&amp;B Inputs'!$I$4:$V$4,0)))</f>
        <v>666</v>
      </c>
      <c r="BE144" s="71">
        <f>IF(BE$8=0,0,INDEX('R&amp;B Inputs'!$I$27:$V$27,MATCH($B144,'R&amp;B Inputs'!$I$4:$V$4,0))+INDEX('R&amp;B Inputs'!$I$28:$V$28,MATCH($B144,'R&amp;B Inputs'!$I$4:$V$4,0)))</f>
        <v>666</v>
      </c>
      <c r="BF144" s="71">
        <f>IF(BF$8=0,0,INDEX('R&amp;B Inputs'!$I$27:$V$27,MATCH($B144,'R&amp;B Inputs'!$I$4:$V$4,0))+INDEX('R&amp;B Inputs'!$I$28:$V$28,MATCH($B144,'R&amp;B Inputs'!$I$4:$V$4,0)))</f>
        <v>666</v>
      </c>
      <c r="BG144" s="71">
        <f>IF(BG$8=0,0,INDEX('R&amp;B Inputs'!$I$27:$V$27,MATCH($B144,'R&amp;B Inputs'!$I$4:$V$4,0))+INDEX('R&amp;B Inputs'!$I$28:$V$28,MATCH($B144,'R&amp;B Inputs'!$I$4:$V$4,0)))</f>
        <v>666</v>
      </c>
      <c r="BH144" s="71">
        <f>IF(BH$8=0,0,INDEX('R&amp;B Inputs'!$I$27:$V$27,MATCH($B144,'R&amp;B Inputs'!$I$4:$V$4,0))+INDEX('R&amp;B Inputs'!$I$28:$V$28,MATCH($B144,'R&amp;B Inputs'!$I$4:$V$4,0)))</f>
        <v>666</v>
      </c>
      <c r="BI144" s="71">
        <f>IF(BI$8=0,0,INDEX('R&amp;B Inputs'!$I$27:$V$27,MATCH($B144,'R&amp;B Inputs'!$I$4:$V$4,0))+INDEX('R&amp;B Inputs'!$I$28:$V$28,MATCH($B144,'R&amp;B Inputs'!$I$4:$V$4,0)))</f>
        <v>666</v>
      </c>
      <c r="BJ144" s="71">
        <f>IF(BJ$8=0,0,INDEX('R&amp;B Inputs'!$I$27:$V$27,MATCH($B144,'R&amp;B Inputs'!$I$4:$V$4,0))+INDEX('R&amp;B Inputs'!$I$28:$V$28,MATCH($B144,'R&amp;B Inputs'!$I$4:$V$4,0)))</f>
        <v>666</v>
      </c>
      <c r="BK144" s="71">
        <f>IF(BK$8=0,0,INDEX('R&amp;B Inputs'!$I$27:$V$27,MATCH($B144,'R&amp;B Inputs'!$I$4:$V$4,0))+INDEX('R&amp;B Inputs'!$I$28:$V$28,MATCH($B144,'R&amp;B Inputs'!$I$4:$V$4,0)))</f>
        <v>666</v>
      </c>
      <c r="BL144" s="71">
        <f>IF(BL$8=0,0,INDEX('R&amp;B Inputs'!$I$27:$V$27,MATCH($B144,'R&amp;B Inputs'!$I$4:$V$4,0))+INDEX('R&amp;B Inputs'!$I$28:$V$28,MATCH($B144,'R&amp;B Inputs'!$I$4:$V$4,0)))</f>
        <v>666</v>
      </c>
      <c r="BM144" s="71">
        <f>IF(BM$8=0,0,INDEX('R&amp;B Inputs'!$I$27:$V$27,MATCH($B144,'R&amp;B Inputs'!$I$4:$V$4,0))+INDEX('R&amp;B Inputs'!$I$28:$V$28,MATCH($B144,'R&amp;B Inputs'!$I$4:$V$4,0)))</f>
        <v>666</v>
      </c>
      <c r="BN144" s="71"/>
      <c r="BO144" s="71"/>
      <c r="BP144" s="149"/>
      <c r="BS144" s="76" t="s">
        <v>96</v>
      </c>
      <c r="BT144" s="51" t="s">
        <v>17</v>
      </c>
    </row>
    <row r="145" spans="1:72" x14ac:dyDescent="0.25">
      <c r="B145" s="243" t="str">
        <f t="shared" si="136"/>
        <v>Low-Income</v>
      </c>
      <c r="C145" s="243" t="str">
        <f t="shared" si="136"/>
        <v>Bills</v>
      </c>
      <c r="D145" s="244" t="str">
        <f>D144</f>
        <v>Bills before DSM (No EE Scenario, Non-Participant)</v>
      </c>
      <c r="E145" s="84" t="s">
        <v>77</v>
      </c>
      <c r="F145" s="84" t="s">
        <v>32</v>
      </c>
      <c r="G145" s="103">
        <f>G143+G144*(G121-G120)</f>
        <v>0</v>
      </c>
      <c r="H145" s="103">
        <f>H143+H144*(H121-H120)</f>
        <v>0</v>
      </c>
      <c r="I145" s="103">
        <f t="shared" ref="I145:AG145" si="142">I143+I144*(I121-I120)</f>
        <v>612.48659999999995</v>
      </c>
      <c r="J145" s="103">
        <f t="shared" si="142"/>
        <v>612.48659999999995</v>
      </c>
      <c r="K145" s="103">
        <f t="shared" si="142"/>
        <v>612.48659999999995</v>
      </c>
      <c r="L145" s="103">
        <f t="shared" si="142"/>
        <v>612.48659999999995</v>
      </c>
      <c r="M145" s="103">
        <f t="shared" si="142"/>
        <v>612.48659999999995</v>
      </c>
      <c r="N145" s="103">
        <f t="shared" si="142"/>
        <v>612.48659999999995</v>
      </c>
      <c r="O145" s="103">
        <f t="shared" si="142"/>
        <v>612.48659999999995</v>
      </c>
      <c r="P145" s="103">
        <f t="shared" si="142"/>
        <v>612.48659999999995</v>
      </c>
      <c r="Q145" s="103">
        <f t="shared" si="142"/>
        <v>612.48659999999995</v>
      </c>
      <c r="R145" s="103">
        <f t="shared" si="142"/>
        <v>612.48659999999995</v>
      </c>
      <c r="S145" s="103">
        <f t="shared" si="142"/>
        <v>612.48659999999995</v>
      </c>
      <c r="T145" s="103">
        <f t="shared" si="142"/>
        <v>612.48659999999995</v>
      </c>
      <c r="U145" s="103">
        <f t="shared" si="142"/>
        <v>612.48659999999995</v>
      </c>
      <c r="V145" s="103">
        <f t="shared" si="142"/>
        <v>612.48659999999995</v>
      </c>
      <c r="W145" s="103">
        <f t="shared" si="142"/>
        <v>612.48659999999995</v>
      </c>
      <c r="X145" s="103">
        <f t="shared" si="142"/>
        <v>612.48659999999995</v>
      </c>
      <c r="Y145" s="103">
        <f t="shared" si="142"/>
        <v>612.48659999999995</v>
      </c>
      <c r="Z145" s="103">
        <f t="shared" si="142"/>
        <v>612.48659999999995</v>
      </c>
      <c r="AA145" s="103">
        <f t="shared" si="142"/>
        <v>612.48659999999995</v>
      </c>
      <c r="AB145" s="103">
        <f t="shared" si="142"/>
        <v>612.48659999999995</v>
      </c>
      <c r="AC145" s="103">
        <f t="shared" si="142"/>
        <v>612.48659999999995</v>
      </c>
      <c r="AD145" s="103">
        <f t="shared" si="142"/>
        <v>612.48659999999995</v>
      </c>
      <c r="AE145" s="103">
        <f t="shared" si="142"/>
        <v>612.48659999999995</v>
      </c>
      <c r="AF145" s="103">
        <f t="shared" si="142"/>
        <v>612.48659999999995</v>
      </c>
      <c r="AG145" s="103">
        <f t="shared" si="142"/>
        <v>612.48659999999995</v>
      </c>
      <c r="AH145" s="103"/>
      <c r="AI145" s="103"/>
      <c r="AJ145" s="103">
        <f>IF($C$4=Year1,-PMT(Lookups!$E$17,25,NPV(Lookups!$E$17,G145:AE145),0,1),IF($C$4=Year2,-PMT(Lookups!$F$17,25,NPV(Lookups!$F$17,H145:AF145),0,1),IF($C$4=Year3,-PMT(Lookups!$G$17,25,NPV(Lookups!$G$17,I145:AG145),0,1),-PMT(Lookups!$G$17,27,NPV(Lookups!$G$17,G145:AG145),0,1))))</f>
        <v>603.94441400484254</v>
      </c>
      <c r="AM145" s="149">
        <f>AM143+AM144*(AM121-AM120)</f>
        <v>0</v>
      </c>
      <c r="AN145" s="149">
        <f t="shared" ref="AN145:BM145" si="143">AN143+AN144*(AN121-AN120)</f>
        <v>0</v>
      </c>
      <c r="AO145" s="149">
        <f t="shared" si="143"/>
        <v>612.48659999999995</v>
      </c>
      <c r="AP145" s="149">
        <f t="shared" si="143"/>
        <v>612.48659999999995</v>
      </c>
      <c r="AQ145" s="149">
        <f t="shared" si="143"/>
        <v>612.48659999999995</v>
      </c>
      <c r="AR145" s="149">
        <f t="shared" si="143"/>
        <v>612.48659999999995</v>
      </c>
      <c r="AS145" s="149">
        <f t="shared" si="143"/>
        <v>612.48659999999995</v>
      </c>
      <c r="AT145" s="149">
        <f t="shared" si="143"/>
        <v>612.48659999999995</v>
      </c>
      <c r="AU145" s="149">
        <f t="shared" si="143"/>
        <v>612.48659999999995</v>
      </c>
      <c r="AV145" s="149">
        <f t="shared" si="143"/>
        <v>612.48659999999995</v>
      </c>
      <c r="AW145" s="149">
        <f t="shared" si="143"/>
        <v>612.48659999999995</v>
      </c>
      <c r="AX145" s="149">
        <f t="shared" si="143"/>
        <v>612.48659999999995</v>
      </c>
      <c r="AY145" s="149">
        <f t="shared" si="143"/>
        <v>612.48659999999995</v>
      </c>
      <c r="AZ145" s="149">
        <f t="shared" si="143"/>
        <v>612.48659999999995</v>
      </c>
      <c r="BA145" s="149">
        <f t="shared" si="143"/>
        <v>612.48659999999995</v>
      </c>
      <c r="BB145" s="149">
        <f t="shared" si="143"/>
        <v>612.48659999999995</v>
      </c>
      <c r="BC145" s="149">
        <f t="shared" si="143"/>
        <v>612.48659999999995</v>
      </c>
      <c r="BD145" s="149">
        <f t="shared" si="143"/>
        <v>612.48659999999995</v>
      </c>
      <c r="BE145" s="149">
        <f t="shared" si="143"/>
        <v>612.48659999999995</v>
      </c>
      <c r="BF145" s="149">
        <f t="shared" si="143"/>
        <v>612.48659999999995</v>
      </c>
      <c r="BG145" s="149">
        <f t="shared" si="143"/>
        <v>612.48659999999995</v>
      </c>
      <c r="BH145" s="149">
        <f t="shared" si="143"/>
        <v>612.48659999999995</v>
      </c>
      <c r="BI145" s="149">
        <f t="shared" si="143"/>
        <v>612.48659999999995</v>
      </c>
      <c r="BJ145" s="149">
        <f t="shared" si="143"/>
        <v>612.48659999999995</v>
      </c>
      <c r="BK145" s="149">
        <f t="shared" si="143"/>
        <v>612.48659999999995</v>
      </c>
      <c r="BL145" s="149">
        <f t="shared" si="143"/>
        <v>612.48659999999995</v>
      </c>
      <c r="BM145" s="149">
        <f t="shared" si="143"/>
        <v>612.48659999999995</v>
      </c>
      <c r="BN145" s="149"/>
      <c r="BO145" s="149"/>
      <c r="BP145" s="149">
        <f>IF($C$4=Year1,-PMT(Lookups!$E$17,25,NPV(Lookups!$E$17,AM145:BK145),0,1),IF($C$4=Year2,-PMT(Lookups!$F$17,25,NPV(Lookups!$F$17,AN145:BL145),0,1),IF($C$4=Year3,-PMT(Lookups!$G$17,25,NPV(Lookups!$G$17,AO145:BM145),0,1),-PMT(Lookups!$G$17,27,NPV(Lookups!$G$17,AM145:BM145),0,1))))</f>
        <v>603.94441400484254</v>
      </c>
      <c r="BS145" s="84" t="s">
        <v>97</v>
      </c>
      <c r="BT145" s="51" t="s">
        <v>17</v>
      </c>
    </row>
    <row r="146" spans="1:72" x14ac:dyDescent="0.25">
      <c r="B146" s="243" t="str">
        <f t="shared" si="136"/>
        <v>Low-Income</v>
      </c>
      <c r="C146" s="243" t="str">
        <f t="shared" si="136"/>
        <v>Bills</v>
      </c>
      <c r="D146" s="114" t="s">
        <v>347</v>
      </c>
      <c r="E146" s="84"/>
      <c r="F146" s="84"/>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S146" s="84"/>
      <c r="BT146" s="51" t="s">
        <v>17</v>
      </c>
    </row>
    <row r="147" spans="1:72" x14ac:dyDescent="0.25">
      <c r="B147" s="243" t="str">
        <f t="shared" si="136"/>
        <v>Low-Income</v>
      </c>
      <c r="C147" s="243" t="str">
        <f t="shared" si="136"/>
        <v>Bills</v>
      </c>
      <c r="D147" s="244" t="str">
        <f>D146</f>
        <v>Annual Savings from DSM Scenario</v>
      </c>
      <c r="E147" s="84" t="s">
        <v>78</v>
      </c>
      <c r="F147" s="84" t="s">
        <v>195</v>
      </c>
      <c r="G147" s="65">
        <f t="shared" ref="G147:AG147" ca="1" si="144">IFERROR(G95/G90,0)</f>
        <v>0</v>
      </c>
      <c r="H147" s="65">
        <f t="shared" ca="1" si="144"/>
        <v>0</v>
      </c>
      <c r="I147" s="65">
        <f t="shared" ca="1" si="144"/>
        <v>16.058680161923427</v>
      </c>
      <c r="J147" s="65">
        <f t="shared" ca="1" si="144"/>
        <v>16.058680161923427</v>
      </c>
      <c r="K147" s="65">
        <f t="shared" ca="1" si="144"/>
        <v>16.058680161923427</v>
      </c>
      <c r="L147" s="65">
        <f t="shared" ca="1" si="144"/>
        <v>16.058680161923427</v>
      </c>
      <c r="M147" s="65">
        <f t="shared" ca="1" si="144"/>
        <v>16.058680161923427</v>
      </c>
      <c r="N147" s="65">
        <f t="shared" ca="1" si="144"/>
        <v>16.058680161923427</v>
      </c>
      <c r="O147" s="65">
        <f t="shared" ca="1" si="144"/>
        <v>16.058680161923427</v>
      </c>
      <c r="P147" s="65">
        <f t="shared" ca="1" si="144"/>
        <v>16.058680161923427</v>
      </c>
      <c r="Q147" s="65">
        <f t="shared" ca="1" si="144"/>
        <v>16.058680161923427</v>
      </c>
      <c r="R147" s="65">
        <f t="shared" ca="1" si="144"/>
        <v>16.058680161923427</v>
      </c>
      <c r="S147" s="65">
        <f t="shared" ca="1" si="144"/>
        <v>16.058680161923427</v>
      </c>
      <c r="T147" s="65">
        <f t="shared" ca="1" si="144"/>
        <v>16.058680161923427</v>
      </c>
      <c r="U147" s="65">
        <f t="shared" ca="1" si="144"/>
        <v>16.058680161923427</v>
      </c>
      <c r="V147" s="65">
        <f t="shared" ca="1" si="144"/>
        <v>16.058680161923427</v>
      </c>
      <c r="W147" s="65">
        <f t="shared" ca="1" si="144"/>
        <v>16.058680161923427</v>
      </c>
      <c r="X147" s="65">
        <f t="shared" ca="1" si="144"/>
        <v>16.058680161923427</v>
      </c>
      <c r="Y147" s="65">
        <f t="shared" ca="1" si="144"/>
        <v>16.058680161923427</v>
      </c>
      <c r="Z147" s="65">
        <f t="shared" ca="1" si="144"/>
        <v>16.058680161923427</v>
      </c>
      <c r="AA147" s="65">
        <f t="shared" ca="1" si="144"/>
        <v>16.058680161923427</v>
      </c>
      <c r="AB147" s="65">
        <f t="shared" ca="1" si="144"/>
        <v>16.058680161923427</v>
      </c>
      <c r="AC147" s="65">
        <f t="shared" ca="1" si="144"/>
        <v>0</v>
      </c>
      <c r="AD147" s="65">
        <f t="shared" ca="1" si="144"/>
        <v>0</v>
      </c>
      <c r="AE147" s="65">
        <f t="shared" ca="1" si="144"/>
        <v>0</v>
      </c>
      <c r="AF147" s="65">
        <f t="shared" ca="1" si="144"/>
        <v>0</v>
      </c>
      <c r="AG147" s="65">
        <f t="shared" ca="1" si="144"/>
        <v>0</v>
      </c>
      <c r="AH147" s="65"/>
      <c r="AI147" s="65"/>
      <c r="AJ147" s="65"/>
      <c r="AM147" s="645">
        <f ca="1">IFERROR(AM95/AM90,0)</f>
        <v>0</v>
      </c>
      <c r="AN147" s="645">
        <f t="shared" ref="AN147:BM147" ca="1" si="145">IFERROR(AN95/AN90,0)</f>
        <v>0</v>
      </c>
      <c r="AO147" s="645">
        <f t="shared" ca="1" si="145"/>
        <v>18.352777327912488</v>
      </c>
      <c r="AP147" s="645">
        <f t="shared" ca="1" si="145"/>
        <v>18.352777327912488</v>
      </c>
      <c r="AQ147" s="645">
        <f t="shared" ca="1" si="145"/>
        <v>18.352777327912488</v>
      </c>
      <c r="AR147" s="645">
        <f t="shared" ca="1" si="145"/>
        <v>18.352777327912488</v>
      </c>
      <c r="AS147" s="645">
        <f t="shared" ca="1" si="145"/>
        <v>18.352777327912488</v>
      </c>
      <c r="AT147" s="645">
        <f t="shared" ca="1" si="145"/>
        <v>18.352777327912488</v>
      </c>
      <c r="AU147" s="645">
        <f t="shared" ca="1" si="145"/>
        <v>18.352777327912488</v>
      </c>
      <c r="AV147" s="645">
        <f t="shared" ca="1" si="145"/>
        <v>18.352777327912488</v>
      </c>
      <c r="AW147" s="645">
        <f t="shared" ca="1" si="145"/>
        <v>18.352777327912488</v>
      </c>
      <c r="AX147" s="645">
        <f t="shared" ca="1" si="145"/>
        <v>18.352777327912488</v>
      </c>
      <c r="AY147" s="645">
        <f t="shared" ca="1" si="145"/>
        <v>18.352777327912488</v>
      </c>
      <c r="AZ147" s="645">
        <f t="shared" ca="1" si="145"/>
        <v>18.352777327912488</v>
      </c>
      <c r="BA147" s="645">
        <f t="shared" ca="1" si="145"/>
        <v>18.352777327912488</v>
      </c>
      <c r="BB147" s="645">
        <f t="shared" ca="1" si="145"/>
        <v>18.352777327912488</v>
      </c>
      <c r="BC147" s="645">
        <f t="shared" ca="1" si="145"/>
        <v>18.352777327912488</v>
      </c>
      <c r="BD147" s="645">
        <f t="shared" ca="1" si="145"/>
        <v>18.352777327912488</v>
      </c>
      <c r="BE147" s="645">
        <f t="shared" ca="1" si="145"/>
        <v>18.352777327912488</v>
      </c>
      <c r="BF147" s="645">
        <f t="shared" ca="1" si="145"/>
        <v>18.352777327912488</v>
      </c>
      <c r="BG147" s="645">
        <f t="shared" ca="1" si="145"/>
        <v>18.352777327912488</v>
      </c>
      <c r="BH147" s="645">
        <f t="shared" ca="1" si="145"/>
        <v>18.352777327912488</v>
      </c>
      <c r="BI147" s="645">
        <f t="shared" ca="1" si="145"/>
        <v>0</v>
      </c>
      <c r="BJ147" s="645">
        <f t="shared" ca="1" si="145"/>
        <v>0</v>
      </c>
      <c r="BK147" s="645">
        <f t="shared" ca="1" si="145"/>
        <v>0</v>
      </c>
      <c r="BL147" s="645">
        <f t="shared" ca="1" si="145"/>
        <v>0</v>
      </c>
      <c r="BM147" s="645">
        <f t="shared" ca="1" si="145"/>
        <v>0</v>
      </c>
      <c r="BN147" s="71"/>
      <c r="BO147" s="71"/>
      <c r="BP147" s="71"/>
      <c r="BS147" s="84" t="s">
        <v>104</v>
      </c>
      <c r="BT147" s="51" t="s">
        <v>17</v>
      </c>
    </row>
    <row r="148" spans="1:72" x14ac:dyDescent="0.25">
      <c r="A148" s="246"/>
      <c r="B148" s="243" t="str">
        <f t="shared" si="136"/>
        <v>Low-Income</v>
      </c>
      <c r="C148" s="243" t="str">
        <f t="shared" si="136"/>
        <v>Bills</v>
      </c>
      <c r="D148" s="244" t="str">
        <f>D147</f>
        <v>Annual Savings from DSM Scenario</v>
      </c>
      <c r="E148" s="84" t="str">
        <f>'EE Inputs'!$N$15&amp;" Participant"</f>
        <v>Low Savings Participant</v>
      </c>
      <c r="F148" s="84" t="s">
        <v>195</v>
      </c>
      <c r="G148" s="64" cm="1">
        <f t="array" aca="1" ref="G148" ca="1">IF($C$4=Lookups!$D$40,INDIRECT("'Yr1'!"&amp;ADDRESS(ROW(G148),COLUMN(G148))),
IF(G91=0,0,SUMIFS('EE Inputs'!$S$9:$S$32,'EE Inputs'!$C$9:$C$32,$G$6,'EE Inputs'!$D$9:$D$32,$C$4,'EE Inputs'!$E$9:$E$32,$B148)))</f>
        <v>0</v>
      </c>
      <c r="H148" s="64" cm="1">
        <f t="array" aca="1" ref="H148" ca="1">IF($C$4=Lookups!$D$40,INDIRECT("'Yr1'!"&amp;ADDRESS(ROW(H148),COLUMN(H148))),
IF(H91=0,0,SUMIFS('EE Inputs'!$S$9:$S$32,'EE Inputs'!$C$9:$C$32,$G$6,'EE Inputs'!$D$9:$D$32,$C$4,'EE Inputs'!$E$9:$E$32,$B148)))</f>
        <v>0</v>
      </c>
      <c r="I148" s="64" cm="1">
        <f t="array" aca="1" ref="I148" ca="1">IF($C$4=Lookups!$D$40,INDIRECT("'Yr1'!"&amp;ADDRESS(ROW(I148),COLUMN(I148))),
IF(I91=0,0,SUMIFS('EE Inputs'!$S$9:$S$32,'EE Inputs'!$C$9:$C$32,$G$6,'EE Inputs'!$D$9:$D$32,$C$4,'EE Inputs'!$E$9:$E$32,$B148)))</f>
        <v>6.66</v>
      </c>
      <c r="J148" s="64" cm="1">
        <f t="array" aca="1" ref="J148" ca="1">IF($C$4=Lookups!$D$40,INDIRECT("'Yr1'!"&amp;ADDRESS(ROW(J148),COLUMN(J148))),
IF(J91=0,0,SUMIFS('EE Inputs'!$S$9:$S$32,'EE Inputs'!$C$9:$C$32,$G$6,'EE Inputs'!$D$9:$D$32,$C$4,'EE Inputs'!$E$9:$E$32,$B148)))</f>
        <v>6.66</v>
      </c>
      <c r="K148" s="64" cm="1">
        <f t="array" aca="1" ref="K148" ca="1">IF($C$4=Lookups!$D$40,INDIRECT("'Yr1'!"&amp;ADDRESS(ROW(K148),COLUMN(K148))),
IF(K91=0,0,SUMIFS('EE Inputs'!$S$9:$S$32,'EE Inputs'!$C$9:$C$32,$G$6,'EE Inputs'!$D$9:$D$32,$C$4,'EE Inputs'!$E$9:$E$32,$B148)))</f>
        <v>6.66</v>
      </c>
      <c r="L148" s="64" cm="1">
        <f t="array" aca="1" ref="L148" ca="1">IF($C$4=Lookups!$D$40,INDIRECT("'Yr1'!"&amp;ADDRESS(ROW(L148),COLUMN(L148))),
IF(L91=0,0,SUMIFS('EE Inputs'!$S$9:$S$32,'EE Inputs'!$C$9:$C$32,$G$6,'EE Inputs'!$D$9:$D$32,$C$4,'EE Inputs'!$E$9:$E$32,$B148)))</f>
        <v>6.66</v>
      </c>
      <c r="M148" s="64" cm="1">
        <f t="array" aca="1" ref="M148" ca="1">IF($C$4=Lookups!$D$40,INDIRECT("'Yr1'!"&amp;ADDRESS(ROW(M148),COLUMN(M148))),
IF(M91=0,0,SUMIFS('EE Inputs'!$S$9:$S$32,'EE Inputs'!$C$9:$C$32,$G$6,'EE Inputs'!$D$9:$D$32,$C$4,'EE Inputs'!$E$9:$E$32,$B148)))</f>
        <v>6.66</v>
      </c>
      <c r="N148" s="64" cm="1">
        <f t="array" aca="1" ref="N148" ca="1">IF($C$4=Lookups!$D$40,INDIRECT("'Yr1'!"&amp;ADDRESS(ROW(N148),COLUMN(N148))),
IF(N91=0,0,SUMIFS('EE Inputs'!$S$9:$S$32,'EE Inputs'!$C$9:$C$32,$G$6,'EE Inputs'!$D$9:$D$32,$C$4,'EE Inputs'!$E$9:$E$32,$B148)))</f>
        <v>6.66</v>
      </c>
      <c r="O148" s="64" cm="1">
        <f t="array" aca="1" ref="O148" ca="1">IF($C$4=Lookups!$D$40,INDIRECT("'Yr1'!"&amp;ADDRESS(ROW(O148),COLUMN(O148))),
IF(O91=0,0,SUMIFS('EE Inputs'!$S$9:$S$32,'EE Inputs'!$C$9:$C$32,$G$6,'EE Inputs'!$D$9:$D$32,$C$4,'EE Inputs'!$E$9:$E$32,$B148)))</f>
        <v>6.66</v>
      </c>
      <c r="P148" s="64" cm="1">
        <f t="array" aca="1" ref="P148" ca="1">IF($C$4=Lookups!$D$40,INDIRECT("'Yr1'!"&amp;ADDRESS(ROW(P148),COLUMN(P148))),
IF(P91=0,0,SUMIFS('EE Inputs'!$S$9:$S$32,'EE Inputs'!$C$9:$C$32,$G$6,'EE Inputs'!$D$9:$D$32,$C$4,'EE Inputs'!$E$9:$E$32,$B148)))</f>
        <v>6.66</v>
      </c>
      <c r="Q148" s="64" cm="1">
        <f t="array" aca="1" ref="Q148" ca="1">IF($C$4=Lookups!$D$40,INDIRECT("'Yr1'!"&amp;ADDRESS(ROW(Q148),COLUMN(Q148))),
IF(Q91=0,0,SUMIFS('EE Inputs'!$S$9:$S$32,'EE Inputs'!$C$9:$C$32,$G$6,'EE Inputs'!$D$9:$D$32,$C$4,'EE Inputs'!$E$9:$E$32,$B148)))</f>
        <v>6.66</v>
      </c>
      <c r="R148" s="64" cm="1">
        <f t="array" aca="1" ref="R148" ca="1">IF($C$4=Lookups!$D$40,INDIRECT("'Yr1'!"&amp;ADDRESS(ROW(R148),COLUMN(R148))),
IF(R91=0,0,SUMIFS('EE Inputs'!$S$9:$S$32,'EE Inputs'!$C$9:$C$32,$G$6,'EE Inputs'!$D$9:$D$32,$C$4,'EE Inputs'!$E$9:$E$32,$B148)))</f>
        <v>6.66</v>
      </c>
      <c r="S148" s="64" cm="1">
        <f t="array" aca="1" ref="S148" ca="1">IF($C$4=Lookups!$D$40,INDIRECT("'Yr1'!"&amp;ADDRESS(ROW(S148),COLUMN(S148))),
IF(S91=0,0,SUMIFS('EE Inputs'!$S$9:$S$32,'EE Inputs'!$C$9:$C$32,$G$6,'EE Inputs'!$D$9:$D$32,$C$4,'EE Inputs'!$E$9:$E$32,$B148)))</f>
        <v>6.66</v>
      </c>
      <c r="T148" s="64" cm="1">
        <f t="array" aca="1" ref="T148" ca="1">IF($C$4=Lookups!$D$40,INDIRECT("'Yr1'!"&amp;ADDRESS(ROW(T148),COLUMN(T148))),
IF(T91=0,0,SUMIFS('EE Inputs'!$S$9:$S$32,'EE Inputs'!$C$9:$C$32,$G$6,'EE Inputs'!$D$9:$D$32,$C$4,'EE Inputs'!$E$9:$E$32,$B148)))</f>
        <v>6.66</v>
      </c>
      <c r="U148" s="64" cm="1">
        <f t="array" aca="1" ref="U148" ca="1">IF($C$4=Lookups!$D$40,INDIRECT("'Yr1'!"&amp;ADDRESS(ROW(U148),COLUMN(U148))),
IF(U91=0,0,SUMIFS('EE Inputs'!$S$9:$S$32,'EE Inputs'!$C$9:$C$32,$G$6,'EE Inputs'!$D$9:$D$32,$C$4,'EE Inputs'!$E$9:$E$32,$B148)))</f>
        <v>6.66</v>
      </c>
      <c r="V148" s="64" cm="1">
        <f t="array" aca="1" ref="V148" ca="1">IF($C$4=Lookups!$D$40,INDIRECT("'Yr1'!"&amp;ADDRESS(ROW(V148),COLUMN(V148))),
IF(V91=0,0,SUMIFS('EE Inputs'!$S$9:$S$32,'EE Inputs'!$C$9:$C$32,$G$6,'EE Inputs'!$D$9:$D$32,$C$4,'EE Inputs'!$E$9:$E$32,$B148)))</f>
        <v>6.66</v>
      </c>
      <c r="W148" s="64" cm="1">
        <f t="array" aca="1" ref="W148" ca="1">IF($C$4=Lookups!$D$40,INDIRECT("'Yr1'!"&amp;ADDRESS(ROW(W148),COLUMN(W148))),
IF(W91=0,0,SUMIFS('EE Inputs'!$S$9:$S$32,'EE Inputs'!$C$9:$C$32,$G$6,'EE Inputs'!$D$9:$D$32,$C$4,'EE Inputs'!$E$9:$E$32,$B148)))</f>
        <v>6.66</v>
      </c>
      <c r="X148" s="64" cm="1">
        <f t="array" aca="1" ref="X148" ca="1">IF($C$4=Lookups!$D$40,INDIRECT("'Yr1'!"&amp;ADDRESS(ROW(X148),COLUMN(X148))),
IF(X91=0,0,SUMIFS('EE Inputs'!$S$9:$S$32,'EE Inputs'!$C$9:$C$32,$G$6,'EE Inputs'!$D$9:$D$32,$C$4,'EE Inputs'!$E$9:$E$32,$B148)))</f>
        <v>6.66</v>
      </c>
      <c r="Y148" s="64" cm="1">
        <f t="array" aca="1" ref="Y148" ca="1">IF($C$4=Lookups!$D$40,INDIRECT("'Yr1'!"&amp;ADDRESS(ROW(Y148),COLUMN(Y148))),
IF(Y91=0,0,SUMIFS('EE Inputs'!$S$9:$S$32,'EE Inputs'!$C$9:$C$32,$G$6,'EE Inputs'!$D$9:$D$32,$C$4,'EE Inputs'!$E$9:$E$32,$B148)))</f>
        <v>6.66</v>
      </c>
      <c r="Z148" s="64" cm="1">
        <f t="array" aca="1" ref="Z148" ca="1">IF($C$4=Lookups!$D$40,INDIRECT("'Yr1'!"&amp;ADDRESS(ROW(Z148),COLUMN(Z148))),
IF(Z91=0,0,SUMIFS('EE Inputs'!$S$9:$S$32,'EE Inputs'!$C$9:$C$32,$G$6,'EE Inputs'!$D$9:$D$32,$C$4,'EE Inputs'!$E$9:$E$32,$B148)))</f>
        <v>6.66</v>
      </c>
      <c r="AA148" s="64" cm="1">
        <f t="array" aca="1" ref="AA148" ca="1">IF($C$4=Lookups!$D$40,INDIRECT("'Yr1'!"&amp;ADDRESS(ROW(AA148),COLUMN(AA148))),
IF(AA91=0,0,SUMIFS('EE Inputs'!$S$9:$S$32,'EE Inputs'!$C$9:$C$32,$G$6,'EE Inputs'!$D$9:$D$32,$C$4,'EE Inputs'!$E$9:$E$32,$B148)))</f>
        <v>6.66</v>
      </c>
      <c r="AB148" s="64" cm="1">
        <f t="array" aca="1" ref="AB148" ca="1">IF($C$4=Lookups!$D$40,INDIRECT("'Yr1'!"&amp;ADDRESS(ROW(AB148),COLUMN(AB148))),
IF(AB91=0,0,SUMIFS('EE Inputs'!$S$9:$S$32,'EE Inputs'!$C$9:$C$32,$G$6,'EE Inputs'!$D$9:$D$32,$C$4,'EE Inputs'!$E$9:$E$32,$B148)))</f>
        <v>6.66</v>
      </c>
      <c r="AC148" s="64" cm="1">
        <f t="array" aca="1" ref="AC148" ca="1">IF($C$4=Lookups!$D$40,INDIRECT("'Yr1'!"&amp;ADDRESS(ROW(AC148),COLUMN(AC148))),
IF(AC91=0,0,SUMIFS('EE Inputs'!$S$9:$S$32,'EE Inputs'!$C$9:$C$32,$G$6,'EE Inputs'!$D$9:$D$32,$C$4,'EE Inputs'!$E$9:$E$32,$B148)))</f>
        <v>0</v>
      </c>
      <c r="AD148" s="64" cm="1">
        <f t="array" aca="1" ref="AD148" ca="1">IF($C$4=Lookups!$D$40,INDIRECT("'Yr1'!"&amp;ADDRESS(ROW(AD148),COLUMN(AD148))),
IF(AD91=0,0,SUMIFS('EE Inputs'!$S$9:$S$32,'EE Inputs'!$C$9:$C$32,$G$6,'EE Inputs'!$D$9:$D$32,$C$4,'EE Inputs'!$E$9:$E$32,$B148)))</f>
        <v>0</v>
      </c>
      <c r="AE148" s="64" cm="1">
        <f t="array" aca="1" ref="AE148" ca="1">IF($C$4=Lookups!$D$40,INDIRECT("'Yr1'!"&amp;ADDRESS(ROW(AE148),COLUMN(AE148))),
IF(AE91=0,0,SUMIFS('EE Inputs'!$S$9:$S$32,'EE Inputs'!$C$9:$C$32,$G$6,'EE Inputs'!$D$9:$D$32,$C$4,'EE Inputs'!$E$9:$E$32,$B148)))</f>
        <v>0</v>
      </c>
      <c r="AF148" s="64" cm="1">
        <f t="array" aca="1" ref="AF148" ca="1">IF($C$4=Lookups!$D$40,INDIRECT("'Yr1'!"&amp;ADDRESS(ROW(AF148),COLUMN(AF148))),
IF(AF91=0,0,SUMIFS('EE Inputs'!$S$9:$S$32,'EE Inputs'!$C$9:$C$32,$G$6,'EE Inputs'!$D$9:$D$32,$C$4,'EE Inputs'!$E$9:$E$32,$B148)))</f>
        <v>0</v>
      </c>
      <c r="AG148" s="64" cm="1">
        <f t="array" aca="1" ref="AG148" ca="1">IF($C$4=Lookups!$D$40,INDIRECT("'Yr1'!"&amp;ADDRESS(ROW(AG148),COLUMN(AG148))),
IF(AG91=0,0,SUMIFS('EE Inputs'!$S$9:$S$32,'EE Inputs'!$C$9:$C$32,$G$6,'EE Inputs'!$D$9:$D$32,$C$4,'EE Inputs'!$E$9:$E$32,$B148)))</f>
        <v>0</v>
      </c>
      <c r="AH148" s="64"/>
      <c r="AI148" s="64"/>
      <c r="AJ148" s="64"/>
      <c r="AM148" s="645" cm="1">
        <f t="array" aca="1" ref="AM148" ca="1">IF($C$4=Lookups!$D$40,INDIRECT("'Yr1'!"&amp;ADDRESS(ROW(AM148),COLUMN(AM148))),
IF(AM91=0,0,SUMIFS('EE Inputs'!$S$9:$S$32,'EE Inputs'!$C$9:$C$32,$AM$6,'EE Inputs'!$D$9:$D$32,$C$4,'EE Inputs'!$E$9:$E$32,$B148)))</f>
        <v>0</v>
      </c>
      <c r="AN148" s="645" cm="1">
        <f t="array" aca="1" ref="AN148" ca="1">IF($C$4=Lookups!$D$40,INDIRECT("'Yr1'!"&amp;ADDRESS(ROW(AN148),COLUMN(AN148))),
IF(AN91=0,0,SUMIFS('EE Inputs'!$S$9:$S$32,'EE Inputs'!$C$9:$C$32,$AM$6,'EE Inputs'!$D$9:$D$32,$C$4,'EE Inputs'!$E$9:$E$32,$B148)))</f>
        <v>0</v>
      </c>
      <c r="AO148" s="645" cm="1">
        <f t="array" aca="1" ref="AO148" ca="1">IF($C$4=Lookups!$D$40,INDIRECT("'Yr1'!"&amp;ADDRESS(ROW(AO148),COLUMN(AO148))),
IF(AO91=0,0,SUMIFS('EE Inputs'!$S$9:$S$32,'EE Inputs'!$C$9:$C$32,$AM$6,'EE Inputs'!$D$9:$D$32,$C$4,'EE Inputs'!$E$9:$E$32,$B148)))</f>
        <v>7.992</v>
      </c>
      <c r="AP148" s="645" cm="1">
        <f t="array" aca="1" ref="AP148" ca="1">IF($C$4=Lookups!$D$40,INDIRECT("'Yr1'!"&amp;ADDRESS(ROW(AP148),COLUMN(AP148))),
IF(AP91=0,0,SUMIFS('EE Inputs'!$S$9:$S$32,'EE Inputs'!$C$9:$C$32,$AM$6,'EE Inputs'!$D$9:$D$32,$C$4,'EE Inputs'!$E$9:$E$32,$B148)))</f>
        <v>7.992</v>
      </c>
      <c r="AQ148" s="645" cm="1">
        <f t="array" aca="1" ref="AQ148" ca="1">IF($C$4=Lookups!$D$40,INDIRECT("'Yr1'!"&amp;ADDRESS(ROW(AQ148),COLUMN(AQ148))),
IF(AQ91=0,0,SUMIFS('EE Inputs'!$S$9:$S$32,'EE Inputs'!$C$9:$C$32,$AM$6,'EE Inputs'!$D$9:$D$32,$C$4,'EE Inputs'!$E$9:$E$32,$B148)))</f>
        <v>7.992</v>
      </c>
      <c r="AR148" s="645" cm="1">
        <f t="array" aca="1" ref="AR148" ca="1">IF($C$4=Lookups!$D$40,INDIRECT("'Yr1'!"&amp;ADDRESS(ROW(AR148),COLUMN(AR148))),
IF(AR91=0,0,SUMIFS('EE Inputs'!$S$9:$S$32,'EE Inputs'!$C$9:$C$32,$AM$6,'EE Inputs'!$D$9:$D$32,$C$4,'EE Inputs'!$E$9:$E$32,$B148)))</f>
        <v>7.992</v>
      </c>
      <c r="AS148" s="645" cm="1">
        <f t="array" aca="1" ref="AS148" ca="1">IF($C$4=Lookups!$D$40,INDIRECT("'Yr1'!"&amp;ADDRESS(ROW(AS148),COLUMN(AS148))),
IF(AS91=0,0,SUMIFS('EE Inputs'!$S$9:$S$32,'EE Inputs'!$C$9:$C$32,$AM$6,'EE Inputs'!$D$9:$D$32,$C$4,'EE Inputs'!$E$9:$E$32,$B148)))</f>
        <v>7.992</v>
      </c>
      <c r="AT148" s="645" cm="1">
        <f t="array" aca="1" ref="AT148" ca="1">IF($C$4=Lookups!$D$40,INDIRECT("'Yr1'!"&amp;ADDRESS(ROW(AT148),COLUMN(AT148))),
IF(AT91=0,0,SUMIFS('EE Inputs'!$S$9:$S$32,'EE Inputs'!$C$9:$C$32,$AM$6,'EE Inputs'!$D$9:$D$32,$C$4,'EE Inputs'!$E$9:$E$32,$B148)))</f>
        <v>7.992</v>
      </c>
      <c r="AU148" s="645" cm="1">
        <f t="array" aca="1" ref="AU148" ca="1">IF($C$4=Lookups!$D$40,INDIRECT("'Yr1'!"&amp;ADDRESS(ROW(AU148),COLUMN(AU148))),
IF(AU91=0,0,SUMIFS('EE Inputs'!$S$9:$S$32,'EE Inputs'!$C$9:$C$32,$AM$6,'EE Inputs'!$D$9:$D$32,$C$4,'EE Inputs'!$E$9:$E$32,$B148)))</f>
        <v>7.992</v>
      </c>
      <c r="AV148" s="645" cm="1">
        <f t="array" aca="1" ref="AV148" ca="1">IF($C$4=Lookups!$D$40,INDIRECT("'Yr1'!"&amp;ADDRESS(ROW(AV148),COLUMN(AV148))),
IF(AV91=0,0,SUMIFS('EE Inputs'!$S$9:$S$32,'EE Inputs'!$C$9:$C$32,$AM$6,'EE Inputs'!$D$9:$D$32,$C$4,'EE Inputs'!$E$9:$E$32,$B148)))</f>
        <v>7.992</v>
      </c>
      <c r="AW148" s="645" cm="1">
        <f t="array" aca="1" ref="AW148" ca="1">IF($C$4=Lookups!$D$40,INDIRECT("'Yr1'!"&amp;ADDRESS(ROW(AW148),COLUMN(AW148))),
IF(AW91=0,0,SUMIFS('EE Inputs'!$S$9:$S$32,'EE Inputs'!$C$9:$C$32,$AM$6,'EE Inputs'!$D$9:$D$32,$C$4,'EE Inputs'!$E$9:$E$32,$B148)))</f>
        <v>7.992</v>
      </c>
      <c r="AX148" s="645" cm="1">
        <f t="array" aca="1" ref="AX148" ca="1">IF($C$4=Lookups!$D$40,INDIRECT("'Yr1'!"&amp;ADDRESS(ROW(AX148),COLUMN(AX148))),
IF(AX91=0,0,SUMIFS('EE Inputs'!$S$9:$S$32,'EE Inputs'!$C$9:$C$32,$AM$6,'EE Inputs'!$D$9:$D$32,$C$4,'EE Inputs'!$E$9:$E$32,$B148)))</f>
        <v>7.992</v>
      </c>
      <c r="AY148" s="645" cm="1">
        <f t="array" aca="1" ref="AY148" ca="1">IF($C$4=Lookups!$D$40,INDIRECT("'Yr1'!"&amp;ADDRESS(ROW(AY148),COLUMN(AY148))),
IF(AY91=0,0,SUMIFS('EE Inputs'!$S$9:$S$32,'EE Inputs'!$C$9:$C$32,$AM$6,'EE Inputs'!$D$9:$D$32,$C$4,'EE Inputs'!$E$9:$E$32,$B148)))</f>
        <v>7.992</v>
      </c>
      <c r="AZ148" s="645" cm="1">
        <f t="array" aca="1" ref="AZ148" ca="1">IF($C$4=Lookups!$D$40,INDIRECT("'Yr1'!"&amp;ADDRESS(ROW(AZ148),COLUMN(AZ148))),
IF(AZ91=0,0,SUMIFS('EE Inputs'!$S$9:$S$32,'EE Inputs'!$C$9:$C$32,$AM$6,'EE Inputs'!$D$9:$D$32,$C$4,'EE Inputs'!$E$9:$E$32,$B148)))</f>
        <v>7.992</v>
      </c>
      <c r="BA148" s="645" cm="1">
        <f t="array" aca="1" ref="BA148" ca="1">IF($C$4=Lookups!$D$40,INDIRECT("'Yr1'!"&amp;ADDRESS(ROW(BA148),COLUMN(BA148))),
IF(BA91=0,0,SUMIFS('EE Inputs'!$S$9:$S$32,'EE Inputs'!$C$9:$C$32,$AM$6,'EE Inputs'!$D$9:$D$32,$C$4,'EE Inputs'!$E$9:$E$32,$B148)))</f>
        <v>7.992</v>
      </c>
      <c r="BB148" s="645" cm="1">
        <f t="array" aca="1" ref="BB148" ca="1">IF($C$4=Lookups!$D$40,INDIRECT("'Yr1'!"&amp;ADDRESS(ROW(BB148),COLUMN(BB148))),
IF(BB91=0,0,SUMIFS('EE Inputs'!$S$9:$S$32,'EE Inputs'!$C$9:$C$32,$AM$6,'EE Inputs'!$D$9:$D$32,$C$4,'EE Inputs'!$E$9:$E$32,$B148)))</f>
        <v>7.992</v>
      </c>
      <c r="BC148" s="645" cm="1">
        <f t="array" aca="1" ref="BC148" ca="1">IF($C$4=Lookups!$D$40,INDIRECT("'Yr1'!"&amp;ADDRESS(ROW(BC148),COLUMN(BC148))),
IF(BC91=0,0,SUMIFS('EE Inputs'!$S$9:$S$32,'EE Inputs'!$C$9:$C$32,$AM$6,'EE Inputs'!$D$9:$D$32,$C$4,'EE Inputs'!$E$9:$E$32,$B148)))</f>
        <v>7.992</v>
      </c>
      <c r="BD148" s="645" cm="1">
        <f t="array" aca="1" ref="BD148" ca="1">IF($C$4=Lookups!$D$40,INDIRECT("'Yr1'!"&amp;ADDRESS(ROW(BD148),COLUMN(BD148))),
IF(BD91=0,0,SUMIFS('EE Inputs'!$S$9:$S$32,'EE Inputs'!$C$9:$C$32,$AM$6,'EE Inputs'!$D$9:$D$32,$C$4,'EE Inputs'!$E$9:$E$32,$B148)))</f>
        <v>7.992</v>
      </c>
      <c r="BE148" s="645" cm="1">
        <f t="array" aca="1" ref="BE148" ca="1">IF($C$4=Lookups!$D$40,INDIRECT("'Yr1'!"&amp;ADDRESS(ROW(BE148),COLUMN(BE148))),
IF(BE91=0,0,SUMIFS('EE Inputs'!$S$9:$S$32,'EE Inputs'!$C$9:$C$32,$AM$6,'EE Inputs'!$D$9:$D$32,$C$4,'EE Inputs'!$E$9:$E$32,$B148)))</f>
        <v>7.992</v>
      </c>
      <c r="BF148" s="645" cm="1">
        <f t="array" aca="1" ref="BF148" ca="1">IF($C$4=Lookups!$D$40,INDIRECT("'Yr1'!"&amp;ADDRESS(ROW(BF148),COLUMN(BF148))),
IF(BF91=0,0,SUMIFS('EE Inputs'!$S$9:$S$32,'EE Inputs'!$C$9:$C$32,$AM$6,'EE Inputs'!$D$9:$D$32,$C$4,'EE Inputs'!$E$9:$E$32,$B148)))</f>
        <v>7.992</v>
      </c>
      <c r="BG148" s="645" cm="1">
        <f t="array" aca="1" ref="BG148" ca="1">IF($C$4=Lookups!$D$40,INDIRECT("'Yr1'!"&amp;ADDRESS(ROW(BG148),COLUMN(BG148))),
IF(BG91=0,0,SUMIFS('EE Inputs'!$S$9:$S$32,'EE Inputs'!$C$9:$C$32,$AM$6,'EE Inputs'!$D$9:$D$32,$C$4,'EE Inputs'!$E$9:$E$32,$B148)))</f>
        <v>7.992</v>
      </c>
      <c r="BH148" s="645" cm="1">
        <f t="array" aca="1" ref="BH148" ca="1">IF($C$4=Lookups!$D$40,INDIRECT("'Yr1'!"&amp;ADDRESS(ROW(BH148),COLUMN(BH148))),
IF(BH91=0,0,SUMIFS('EE Inputs'!$S$9:$S$32,'EE Inputs'!$C$9:$C$32,$AM$6,'EE Inputs'!$D$9:$D$32,$C$4,'EE Inputs'!$E$9:$E$32,$B148)))</f>
        <v>7.992</v>
      </c>
      <c r="BI148" s="645" cm="1">
        <f t="array" aca="1" ref="BI148" ca="1">IF($C$4=Lookups!$D$40,INDIRECT("'Yr1'!"&amp;ADDRESS(ROW(BI148),COLUMN(BI148))),
IF(BI91=0,0,SUMIFS('EE Inputs'!$S$9:$S$32,'EE Inputs'!$C$9:$C$32,$AM$6,'EE Inputs'!$D$9:$D$32,$C$4,'EE Inputs'!$E$9:$E$32,$B148)))</f>
        <v>0</v>
      </c>
      <c r="BJ148" s="645" cm="1">
        <f t="array" aca="1" ref="BJ148" ca="1">IF($C$4=Lookups!$D$40,INDIRECT("'Yr1'!"&amp;ADDRESS(ROW(BJ148),COLUMN(BJ148))),
IF(BJ91=0,0,SUMIFS('EE Inputs'!$S$9:$S$32,'EE Inputs'!$C$9:$C$32,$AM$6,'EE Inputs'!$D$9:$D$32,$C$4,'EE Inputs'!$E$9:$E$32,$B148)))</f>
        <v>0</v>
      </c>
      <c r="BK148" s="645" cm="1">
        <f t="array" aca="1" ref="BK148" ca="1">IF($C$4=Lookups!$D$40,INDIRECT("'Yr1'!"&amp;ADDRESS(ROW(BK148),COLUMN(BK148))),
IF(BK91=0,0,SUMIFS('EE Inputs'!$S$9:$S$32,'EE Inputs'!$C$9:$C$32,$AM$6,'EE Inputs'!$D$9:$D$32,$C$4,'EE Inputs'!$E$9:$E$32,$B148)))</f>
        <v>0</v>
      </c>
      <c r="BL148" s="645" cm="1">
        <f t="array" aca="1" ref="BL148" ca="1">IF($C$4=Lookups!$D$40,INDIRECT("'Yr1'!"&amp;ADDRESS(ROW(BL148),COLUMN(BL148))),
IF(BL91=0,0,SUMIFS('EE Inputs'!$S$9:$S$32,'EE Inputs'!$C$9:$C$32,$AM$6,'EE Inputs'!$D$9:$D$32,$C$4,'EE Inputs'!$E$9:$E$32,$B148)))</f>
        <v>0</v>
      </c>
      <c r="BM148" s="645" cm="1">
        <f t="array" aca="1" ref="BM148" ca="1">IF($C$4=Lookups!$D$40,INDIRECT("'Yr1'!"&amp;ADDRESS(ROW(BM148),COLUMN(BM148))),
IF(BM91=0,0,SUMIFS('EE Inputs'!$S$9:$S$32,'EE Inputs'!$C$9:$C$32,$AM$6,'EE Inputs'!$D$9:$D$32,$C$4,'EE Inputs'!$E$9:$E$32,$B148)))</f>
        <v>0</v>
      </c>
      <c r="BN148" s="71"/>
      <c r="BO148" s="71"/>
      <c r="BP148" s="71"/>
      <c r="BS148" s="76" t="s">
        <v>96</v>
      </c>
      <c r="BT148" s="51" t="s">
        <v>17</v>
      </c>
    </row>
    <row r="149" spans="1:72" x14ac:dyDescent="0.25">
      <c r="A149" s="246"/>
      <c r="B149" s="243" t="str">
        <f t="shared" si="136"/>
        <v>Low-Income</v>
      </c>
      <c r="C149" s="243" t="str">
        <f t="shared" si="136"/>
        <v>Bills</v>
      </c>
      <c r="D149" s="244" t="str">
        <f t="shared" si="136"/>
        <v>Annual Savings from DSM Scenario</v>
      </c>
      <c r="E149" s="84" t="str">
        <f>'EE Inputs'!$N$16&amp;" Participant"</f>
        <v>High Savings Participant</v>
      </c>
      <c r="F149" s="84" t="s">
        <v>195</v>
      </c>
      <c r="G149" s="704" cm="1">
        <f t="array" aca="1" ref="G149" ca="1">IF($C$4=Lookups!$D$40,INDIRECT("'Yr1'!"&amp;ADDRESS(ROW(G149),COLUMN(G149))),
IF(G91=0,0,SUMIFS('EE Inputs'!$T$9:$T$32,'EE Inputs'!$C$9:$C$32,$G$6,'EE Inputs'!$D$9:$D$32,$C$4,'EE Inputs'!$E$9:$E$32,$B149)))</f>
        <v>0</v>
      </c>
      <c r="H149" s="704" cm="1">
        <f t="array" aca="1" ref="H149" ca="1">IF($C$4=Lookups!$D$40,INDIRECT("'Yr1'!"&amp;ADDRESS(ROW(H149),COLUMN(H149))),
IF(H91=0,0,SUMIFS('EE Inputs'!$T$9:$T$32,'EE Inputs'!$C$9:$C$32,$G$6,'EE Inputs'!$D$9:$D$32,$C$4,'EE Inputs'!$E$9:$E$32,$B149)))</f>
        <v>0</v>
      </c>
      <c r="I149" s="704" cm="1">
        <f t="array" aca="1" ref="I149" ca="1">IF($C$4=Lookups!$D$40,INDIRECT("'Yr1'!"&amp;ADDRESS(ROW(I149),COLUMN(I149))),
IF(I91=0,0,SUMIFS('EE Inputs'!$T$9:$T$32,'EE Inputs'!$C$9:$C$32,$G$6,'EE Inputs'!$D$9:$D$32,$C$4,'EE Inputs'!$E$9:$E$32,$B149)))</f>
        <v>46.620000000000005</v>
      </c>
      <c r="J149" s="704" cm="1">
        <f t="array" aca="1" ref="J149" ca="1">IF($C$4=Lookups!$D$40,INDIRECT("'Yr1'!"&amp;ADDRESS(ROW(J149),COLUMN(J149))),
IF(J91=0,0,SUMIFS('EE Inputs'!$T$9:$T$32,'EE Inputs'!$C$9:$C$32,$G$6,'EE Inputs'!$D$9:$D$32,$C$4,'EE Inputs'!$E$9:$E$32,$B149)))</f>
        <v>46.620000000000005</v>
      </c>
      <c r="K149" s="704" cm="1">
        <f t="array" aca="1" ref="K149" ca="1">IF($C$4=Lookups!$D$40,INDIRECT("'Yr1'!"&amp;ADDRESS(ROW(K149),COLUMN(K149))),
IF(K91=0,0,SUMIFS('EE Inputs'!$T$9:$T$32,'EE Inputs'!$C$9:$C$32,$G$6,'EE Inputs'!$D$9:$D$32,$C$4,'EE Inputs'!$E$9:$E$32,$B149)))</f>
        <v>46.620000000000005</v>
      </c>
      <c r="L149" s="704" cm="1">
        <f t="array" aca="1" ref="L149" ca="1">IF($C$4=Lookups!$D$40,INDIRECT("'Yr1'!"&amp;ADDRESS(ROW(L149),COLUMN(L149))),
IF(L91=0,0,SUMIFS('EE Inputs'!$T$9:$T$32,'EE Inputs'!$C$9:$C$32,$G$6,'EE Inputs'!$D$9:$D$32,$C$4,'EE Inputs'!$E$9:$E$32,$B149)))</f>
        <v>46.620000000000005</v>
      </c>
      <c r="M149" s="704" cm="1">
        <f t="array" aca="1" ref="M149" ca="1">IF($C$4=Lookups!$D$40,INDIRECT("'Yr1'!"&amp;ADDRESS(ROW(M149),COLUMN(M149))),
IF(M91=0,0,SUMIFS('EE Inputs'!$T$9:$T$32,'EE Inputs'!$C$9:$C$32,$G$6,'EE Inputs'!$D$9:$D$32,$C$4,'EE Inputs'!$E$9:$E$32,$B149)))</f>
        <v>46.620000000000005</v>
      </c>
      <c r="N149" s="704" cm="1">
        <f t="array" aca="1" ref="N149" ca="1">IF($C$4=Lookups!$D$40,INDIRECT("'Yr1'!"&amp;ADDRESS(ROW(N149),COLUMN(N149))),
IF(N91=0,0,SUMIFS('EE Inputs'!$T$9:$T$32,'EE Inputs'!$C$9:$C$32,$G$6,'EE Inputs'!$D$9:$D$32,$C$4,'EE Inputs'!$E$9:$E$32,$B149)))</f>
        <v>46.620000000000005</v>
      </c>
      <c r="O149" s="704" cm="1">
        <f t="array" aca="1" ref="O149" ca="1">IF($C$4=Lookups!$D$40,INDIRECT("'Yr1'!"&amp;ADDRESS(ROW(O149),COLUMN(O149))),
IF(O91=0,0,SUMIFS('EE Inputs'!$T$9:$T$32,'EE Inputs'!$C$9:$C$32,$G$6,'EE Inputs'!$D$9:$D$32,$C$4,'EE Inputs'!$E$9:$E$32,$B149)))</f>
        <v>46.620000000000005</v>
      </c>
      <c r="P149" s="704" cm="1">
        <f t="array" aca="1" ref="P149" ca="1">IF($C$4=Lookups!$D$40,INDIRECT("'Yr1'!"&amp;ADDRESS(ROW(P149),COLUMN(P149))),
IF(P91=0,0,SUMIFS('EE Inputs'!$T$9:$T$32,'EE Inputs'!$C$9:$C$32,$G$6,'EE Inputs'!$D$9:$D$32,$C$4,'EE Inputs'!$E$9:$E$32,$B149)))</f>
        <v>46.620000000000005</v>
      </c>
      <c r="Q149" s="704" cm="1">
        <f t="array" aca="1" ref="Q149" ca="1">IF($C$4=Lookups!$D$40,INDIRECT("'Yr1'!"&amp;ADDRESS(ROW(Q149),COLUMN(Q149))),
IF(Q91=0,0,SUMIFS('EE Inputs'!$T$9:$T$32,'EE Inputs'!$C$9:$C$32,$G$6,'EE Inputs'!$D$9:$D$32,$C$4,'EE Inputs'!$E$9:$E$32,$B149)))</f>
        <v>46.620000000000005</v>
      </c>
      <c r="R149" s="704" cm="1">
        <f t="array" aca="1" ref="R149" ca="1">IF($C$4=Lookups!$D$40,INDIRECT("'Yr1'!"&amp;ADDRESS(ROW(R149),COLUMN(R149))),
IF(R91=0,0,SUMIFS('EE Inputs'!$T$9:$T$32,'EE Inputs'!$C$9:$C$32,$G$6,'EE Inputs'!$D$9:$D$32,$C$4,'EE Inputs'!$E$9:$E$32,$B149)))</f>
        <v>46.620000000000005</v>
      </c>
      <c r="S149" s="704" cm="1">
        <f t="array" aca="1" ref="S149" ca="1">IF($C$4=Lookups!$D$40,INDIRECT("'Yr1'!"&amp;ADDRESS(ROW(S149),COLUMN(S149))),
IF(S91=0,0,SUMIFS('EE Inputs'!$T$9:$T$32,'EE Inputs'!$C$9:$C$32,$G$6,'EE Inputs'!$D$9:$D$32,$C$4,'EE Inputs'!$E$9:$E$32,$B149)))</f>
        <v>46.620000000000005</v>
      </c>
      <c r="T149" s="704" cm="1">
        <f t="array" aca="1" ref="T149" ca="1">IF($C$4=Lookups!$D$40,INDIRECT("'Yr1'!"&amp;ADDRESS(ROW(T149),COLUMN(T149))),
IF(T91=0,0,SUMIFS('EE Inputs'!$T$9:$T$32,'EE Inputs'!$C$9:$C$32,$G$6,'EE Inputs'!$D$9:$D$32,$C$4,'EE Inputs'!$E$9:$E$32,$B149)))</f>
        <v>46.620000000000005</v>
      </c>
      <c r="U149" s="704" cm="1">
        <f t="array" aca="1" ref="U149" ca="1">IF($C$4=Lookups!$D$40,INDIRECT("'Yr1'!"&amp;ADDRESS(ROW(U149),COLUMN(U149))),
IF(U91=0,0,SUMIFS('EE Inputs'!$T$9:$T$32,'EE Inputs'!$C$9:$C$32,$G$6,'EE Inputs'!$D$9:$D$32,$C$4,'EE Inputs'!$E$9:$E$32,$B149)))</f>
        <v>46.620000000000005</v>
      </c>
      <c r="V149" s="704" cm="1">
        <f t="array" aca="1" ref="V149" ca="1">IF($C$4=Lookups!$D$40,INDIRECT("'Yr1'!"&amp;ADDRESS(ROW(V149),COLUMN(V149))),
IF(V91=0,0,SUMIFS('EE Inputs'!$T$9:$T$32,'EE Inputs'!$C$9:$C$32,$G$6,'EE Inputs'!$D$9:$D$32,$C$4,'EE Inputs'!$E$9:$E$32,$B149)))</f>
        <v>46.620000000000005</v>
      </c>
      <c r="W149" s="704" cm="1">
        <f t="array" aca="1" ref="W149" ca="1">IF($C$4=Lookups!$D$40,INDIRECT("'Yr1'!"&amp;ADDRESS(ROW(W149),COLUMN(W149))),
IF(W91=0,0,SUMIFS('EE Inputs'!$T$9:$T$32,'EE Inputs'!$C$9:$C$32,$G$6,'EE Inputs'!$D$9:$D$32,$C$4,'EE Inputs'!$E$9:$E$32,$B149)))</f>
        <v>46.620000000000005</v>
      </c>
      <c r="X149" s="704" cm="1">
        <f t="array" aca="1" ref="X149" ca="1">IF($C$4=Lookups!$D$40,INDIRECT("'Yr1'!"&amp;ADDRESS(ROW(X149),COLUMN(X149))),
IF(X91=0,0,SUMIFS('EE Inputs'!$T$9:$T$32,'EE Inputs'!$C$9:$C$32,$G$6,'EE Inputs'!$D$9:$D$32,$C$4,'EE Inputs'!$E$9:$E$32,$B149)))</f>
        <v>46.620000000000005</v>
      </c>
      <c r="Y149" s="704" cm="1">
        <f t="array" aca="1" ref="Y149" ca="1">IF($C$4=Lookups!$D$40,INDIRECT("'Yr1'!"&amp;ADDRESS(ROW(Y149),COLUMN(Y149))),
IF(Y91=0,0,SUMIFS('EE Inputs'!$T$9:$T$32,'EE Inputs'!$C$9:$C$32,$G$6,'EE Inputs'!$D$9:$D$32,$C$4,'EE Inputs'!$E$9:$E$32,$B149)))</f>
        <v>46.620000000000005</v>
      </c>
      <c r="Z149" s="704" cm="1">
        <f t="array" aca="1" ref="Z149" ca="1">IF($C$4=Lookups!$D$40,INDIRECT("'Yr1'!"&amp;ADDRESS(ROW(Z149),COLUMN(Z149))),
IF(Z91=0,0,SUMIFS('EE Inputs'!$T$9:$T$32,'EE Inputs'!$C$9:$C$32,$G$6,'EE Inputs'!$D$9:$D$32,$C$4,'EE Inputs'!$E$9:$E$32,$B149)))</f>
        <v>46.620000000000005</v>
      </c>
      <c r="AA149" s="704" cm="1">
        <f t="array" aca="1" ref="AA149" ca="1">IF($C$4=Lookups!$D$40,INDIRECT("'Yr1'!"&amp;ADDRESS(ROW(AA149),COLUMN(AA149))),
IF(AA91=0,0,SUMIFS('EE Inputs'!$T$9:$T$32,'EE Inputs'!$C$9:$C$32,$G$6,'EE Inputs'!$D$9:$D$32,$C$4,'EE Inputs'!$E$9:$E$32,$B149)))</f>
        <v>46.620000000000005</v>
      </c>
      <c r="AB149" s="704" cm="1">
        <f t="array" aca="1" ref="AB149" ca="1">IF($C$4=Lookups!$D$40,INDIRECT("'Yr1'!"&amp;ADDRESS(ROW(AB149),COLUMN(AB149))),
IF(AB91=0,0,SUMIFS('EE Inputs'!$T$9:$T$32,'EE Inputs'!$C$9:$C$32,$G$6,'EE Inputs'!$D$9:$D$32,$C$4,'EE Inputs'!$E$9:$E$32,$B149)))</f>
        <v>46.620000000000005</v>
      </c>
      <c r="AC149" s="704" cm="1">
        <f t="array" aca="1" ref="AC149" ca="1">IF($C$4=Lookups!$D$40,INDIRECT("'Yr1'!"&amp;ADDRESS(ROW(AC149),COLUMN(AC149))),
IF(AC91=0,0,SUMIFS('EE Inputs'!$T$9:$T$32,'EE Inputs'!$C$9:$C$32,$G$6,'EE Inputs'!$D$9:$D$32,$C$4,'EE Inputs'!$E$9:$E$32,$B149)))</f>
        <v>0</v>
      </c>
      <c r="AD149" s="704" cm="1">
        <f t="array" aca="1" ref="AD149" ca="1">IF($C$4=Lookups!$D$40,INDIRECT("'Yr1'!"&amp;ADDRESS(ROW(AD149),COLUMN(AD149))),
IF(AD91=0,0,SUMIFS('EE Inputs'!$T$9:$T$32,'EE Inputs'!$C$9:$C$32,$G$6,'EE Inputs'!$D$9:$D$32,$C$4,'EE Inputs'!$E$9:$E$32,$B149)))</f>
        <v>0</v>
      </c>
      <c r="AE149" s="704" cm="1">
        <f t="array" aca="1" ref="AE149" ca="1">IF($C$4=Lookups!$D$40,INDIRECT("'Yr1'!"&amp;ADDRESS(ROW(AE149),COLUMN(AE149))),
IF(AE91=0,0,SUMIFS('EE Inputs'!$T$9:$T$32,'EE Inputs'!$C$9:$C$32,$G$6,'EE Inputs'!$D$9:$D$32,$C$4,'EE Inputs'!$E$9:$E$32,$B149)))</f>
        <v>0</v>
      </c>
      <c r="AF149" s="704" cm="1">
        <f t="array" aca="1" ref="AF149" ca="1">IF($C$4=Lookups!$D$40,INDIRECT("'Yr1'!"&amp;ADDRESS(ROW(AF149),COLUMN(AF149))),
IF(AF91=0,0,SUMIFS('EE Inputs'!$T$9:$T$32,'EE Inputs'!$C$9:$C$32,$G$6,'EE Inputs'!$D$9:$D$32,$C$4,'EE Inputs'!$E$9:$E$32,$B149)))</f>
        <v>0</v>
      </c>
      <c r="AG149" s="704" cm="1">
        <f t="array" aca="1" ref="AG149" ca="1">IF($C$4=Lookups!$D$40,INDIRECT("'Yr1'!"&amp;ADDRESS(ROW(AG149),COLUMN(AG149))),
IF(AG91=0,0,SUMIFS('EE Inputs'!$T$9:$T$32,'EE Inputs'!$C$9:$C$32,$G$6,'EE Inputs'!$D$9:$D$32,$C$4,'EE Inputs'!$E$9:$E$32,$B149)))</f>
        <v>0</v>
      </c>
      <c r="AH149" s="64"/>
      <c r="AI149" s="64"/>
      <c r="AJ149" s="64"/>
      <c r="AM149" s="645" cm="1">
        <f t="array" aca="1" ref="AM149" ca="1">IF($C$4=Lookups!$D$40,INDIRECT("'Yr1'!"&amp;ADDRESS(ROW(AM149),COLUMN(AM149))),
IF(AM91=0,0,SUMIFS('EE Inputs'!$T$9:$T$32,'EE Inputs'!$C$9:$C$32,$AM$6,'EE Inputs'!$D$9:$D$32,$C$4,'EE Inputs'!$E$9:$E$32,$B149)))</f>
        <v>0</v>
      </c>
      <c r="AN149" s="645" cm="1">
        <f t="array" aca="1" ref="AN149" ca="1">IF($C$4=Lookups!$D$40,INDIRECT("'Yr1'!"&amp;ADDRESS(ROW(AN149),COLUMN(AN149))),
IF(AN91=0,0,SUMIFS('EE Inputs'!$T$9:$T$32,'EE Inputs'!$C$9:$C$32,$AM$6,'EE Inputs'!$D$9:$D$32,$C$4,'EE Inputs'!$E$9:$E$32,$B149)))</f>
        <v>0</v>
      </c>
      <c r="AO149" s="645" cm="1">
        <f t="array" aca="1" ref="AO149" ca="1">IF($C$4=Lookups!$D$40,INDIRECT("'Yr1'!"&amp;ADDRESS(ROW(AO149),COLUMN(AO149))),
IF(AO91=0,0,SUMIFS('EE Inputs'!$T$9:$T$32,'EE Inputs'!$C$9:$C$32,$AM$6,'EE Inputs'!$D$9:$D$32,$C$4,'EE Inputs'!$E$9:$E$32,$B149)))</f>
        <v>55.944000000000003</v>
      </c>
      <c r="AP149" s="645" cm="1">
        <f t="array" aca="1" ref="AP149" ca="1">IF($C$4=Lookups!$D$40,INDIRECT("'Yr1'!"&amp;ADDRESS(ROW(AP149),COLUMN(AP149))),
IF(AP91=0,0,SUMIFS('EE Inputs'!$T$9:$T$32,'EE Inputs'!$C$9:$C$32,$AM$6,'EE Inputs'!$D$9:$D$32,$C$4,'EE Inputs'!$E$9:$E$32,$B149)))</f>
        <v>55.944000000000003</v>
      </c>
      <c r="AQ149" s="645" cm="1">
        <f t="array" aca="1" ref="AQ149" ca="1">IF($C$4=Lookups!$D$40,INDIRECT("'Yr1'!"&amp;ADDRESS(ROW(AQ149),COLUMN(AQ149))),
IF(AQ91=0,0,SUMIFS('EE Inputs'!$T$9:$T$32,'EE Inputs'!$C$9:$C$32,$AM$6,'EE Inputs'!$D$9:$D$32,$C$4,'EE Inputs'!$E$9:$E$32,$B149)))</f>
        <v>55.944000000000003</v>
      </c>
      <c r="AR149" s="645" cm="1">
        <f t="array" aca="1" ref="AR149" ca="1">IF($C$4=Lookups!$D$40,INDIRECT("'Yr1'!"&amp;ADDRESS(ROW(AR149),COLUMN(AR149))),
IF(AR91=0,0,SUMIFS('EE Inputs'!$T$9:$T$32,'EE Inputs'!$C$9:$C$32,$AM$6,'EE Inputs'!$D$9:$D$32,$C$4,'EE Inputs'!$E$9:$E$32,$B149)))</f>
        <v>55.944000000000003</v>
      </c>
      <c r="AS149" s="645" cm="1">
        <f t="array" aca="1" ref="AS149" ca="1">IF($C$4=Lookups!$D$40,INDIRECT("'Yr1'!"&amp;ADDRESS(ROW(AS149),COLUMN(AS149))),
IF(AS91=0,0,SUMIFS('EE Inputs'!$T$9:$T$32,'EE Inputs'!$C$9:$C$32,$AM$6,'EE Inputs'!$D$9:$D$32,$C$4,'EE Inputs'!$E$9:$E$32,$B149)))</f>
        <v>55.944000000000003</v>
      </c>
      <c r="AT149" s="645" cm="1">
        <f t="array" aca="1" ref="AT149" ca="1">IF($C$4=Lookups!$D$40,INDIRECT("'Yr1'!"&amp;ADDRESS(ROW(AT149),COLUMN(AT149))),
IF(AT91=0,0,SUMIFS('EE Inputs'!$T$9:$T$32,'EE Inputs'!$C$9:$C$32,$AM$6,'EE Inputs'!$D$9:$D$32,$C$4,'EE Inputs'!$E$9:$E$32,$B149)))</f>
        <v>55.944000000000003</v>
      </c>
      <c r="AU149" s="645" cm="1">
        <f t="array" aca="1" ref="AU149" ca="1">IF($C$4=Lookups!$D$40,INDIRECT("'Yr1'!"&amp;ADDRESS(ROW(AU149),COLUMN(AU149))),
IF(AU91=0,0,SUMIFS('EE Inputs'!$T$9:$T$32,'EE Inputs'!$C$9:$C$32,$AM$6,'EE Inputs'!$D$9:$D$32,$C$4,'EE Inputs'!$E$9:$E$32,$B149)))</f>
        <v>55.944000000000003</v>
      </c>
      <c r="AV149" s="645" cm="1">
        <f t="array" aca="1" ref="AV149" ca="1">IF($C$4=Lookups!$D$40,INDIRECT("'Yr1'!"&amp;ADDRESS(ROW(AV149),COLUMN(AV149))),
IF(AV91=0,0,SUMIFS('EE Inputs'!$T$9:$T$32,'EE Inputs'!$C$9:$C$32,$AM$6,'EE Inputs'!$D$9:$D$32,$C$4,'EE Inputs'!$E$9:$E$32,$B149)))</f>
        <v>55.944000000000003</v>
      </c>
      <c r="AW149" s="645" cm="1">
        <f t="array" aca="1" ref="AW149" ca="1">IF($C$4=Lookups!$D$40,INDIRECT("'Yr1'!"&amp;ADDRESS(ROW(AW149),COLUMN(AW149))),
IF(AW91=0,0,SUMIFS('EE Inputs'!$T$9:$T$32,'EE Inputs'!$C$9:$C$32,$AM$6,'EE Inputs'!$D$9:$D$32,$C$4,'EE Inputs'!$E$9:$E$32,$B149)))</f>
        <v>55.944000000000003</v>
      </c>
      <c r="AX149" s="645" cm="1">
        <f t="array" aca="1" ref="AX149" ca="1">IF($C$4=Lookups!$D$40,INDIRECT("'Yr1'!"&amp;ADDRESS(ROW(AX149),COLUMN(AX149))),
IF(AX91=0,0,SUMIFS('EE Inputs'!$T$9:$T$32,'EE Inputs'!$C$9:$C$32,$AM$6,'EE Inputs'!$D$9:$D$32,$C$4,'EE Inputs'!$E$9:$E$32,$B149)))</f>
        <v>55.944000000000003</v>
      </c>
      <c r="AY149" s="645" cm="1">
        <f t="array" aca="1" ref="AY149" ca="1">IF($C$4=Lookups!$D$40,INDIRECT("'Yr1'!"&amp;ADDRESS(ROW(AY149),COLUMN(AY149))),
IF(AY91=0,0,SUMIFS('EE Inputs'!$T$9:$T$32,'EE Inputs'!$C$9:$C$32,$AM$6,'EE Inputs'!$D$9:$D$32,$C$4,'EE Inputs'!$E$9:$E$32,$B149)))</f>
        <v>55.944000000000003</v>
      </c>
      <c r="AZ149" s="645" cm="1">
        <f t="array" aca="1" ref="AZ149" ca="1">IF($C$4=Lookups!$D$40,INDIRECT("'Yr1'!"&amp;ADDRESS(ROW(AZ149),COLUMN(AZ149))),
IF(AZ91=0,0,SUMIFS('EE Inputs'!$T$9:$T$32,'EE Inputs'!$C$9:$C$32,$AM$6,'EE Inputs'!$D$9:$D$32,$C$4,'EE Inputs'!$E$9:$E$32,$B149)))</f>
        <v>55.944000000000003</v>
      </c>
      <c r="BA149" s="645" cm="1">
        <f t="array" aca="1" ref="BA149" ca="1">IF($C$4=Lookups!$D$40,INDIRECT("'Yr1'!"&amp;ADDRESS(ROW(BA149),COLUMN(BA149))),
IF(BA91=0,0,SUMIFS('EE Inputs'!$T$9:$T$32,'EE Inputs'!$C$9:$C$32,$AM$6,'EE Inputs'!$D$9:$D$32,$C$4,'EE Inputs'!$E$9:$E$32,$B149)))</f>
        <v>55.944000000000003</v>
      </c>
      <c r="BB149" s="645" cm="1">
        <f t="array" aca="1" ref="BB149" ca="1">IF($C$4=Lookups!$D$40,INDIRECT("'Yr1'!"&amp;ADDRESS(ROW(BB149),COLUMN(BB149))),
IF(BB91=0,0,SUMIFS('EE Inputs'!$T$9:$T$32,'EE Inputs'!$C$9:$C$32,$AM$6,'EE Inputs'!$D$9:$D$32,$C$4,'EE Inputs'!$E$9:$E$32,$B149)))</f>
        <v>55.944000000000003</v>
      </c>
      <c r="BC149" s="645" cm="1">
        <f t="array" aca="1" ref="BC149" ca="1">IF($C$4=Lookups!$D$40,INDIRECT("'Yr1'!"&amp;ADDRESS(ROW(BC149),COLUMN(BC149))),
IF(BC91=0,0,SUMIFS('EE Inputs'!$T$9:$T$32,'EE Inputs'!$C$9:$C$32,$AM$6,'EE Inputs'!$D$9:$D$32,$C$4,'EE Inputs'!$E$9:$E$32,$B149)))</f>
        <v>55.944000000000003</v>
      </c>
      <c r="BD149" s="645" cm="1">
        <f t="array" aca="1" ref="BD149" ca="1">IF($C$4=Lookups!$D$40,INDIRECT("'Yr1'!"&amp;ADDRESS(ROW(BD149),COLUMN(BD149))),
IF(BD91=0,0,SUMIFS('EE Inputs'!$T$9:$T$32,'EE Inputs'!$C$9:$C$32,$AM$6,'EE Inputs'!$D$9:$D$32,$C$4,'EE Inputs'!$E$9:$E$32,$B149)))</f>
        <v>55.944000000000003</v>
      </c>
      <c r="BE149" s="645" cm="1">
        <f t="array" aca="1" ref="BE149" ca="1">IF($C$4=Lookups!$D$40,INDIRECT("'Yr1'!"&amp;ADDRESS(ROW(BE149),COLUMN(BE149))),
IF(BE91=0,0,SUMIFS('EE Inputs'!$T$9:$T$32,'EE Inputs'!$C$9:$C$32,$AM$6,'EE Inputs'!$D$9:$D$32,$C$4,'EE Inputs'!$E$9:$E$32,$B149)))</f>
        <v>55.944000000000003</v>
      </c>
      <c r="BF149" s="645" cm="1">
        <f t="array" aca="1" ref="BF149" ca="1">IF($C$4=Lookups!$D$40,INDIRECT("'Yr1'!"&amp;ADDRESS(ROW(BF149),COLUMN(BF149))),
IF(BF91=0,0,SUMIFS('EE Inputs'!$T$9:$T$32,'EE Inputs'!$C$9:$C$32,$AM$6,'EE Inputs'!$D$9:$D$32,$C$4,'EE Inputs'!$E$9:$E$32,$B149)))</f>
        <v>55.944000000000003</v>
      </c>
      <c r="BG149" s="645" cm="1">
        <f t="array" aca="1" ref="BG149" ca="1">IF($C$4=Lookups!$D$40,INDIRECT("'Yr1'!"&amp;ADDRESS(ROW(BG149),COLUMN(BG149))),
IF(BG91=0,0,SUMIFS('EE Inputs'!$T$9:$T$32,'EE Inputs'!$C$9:$C$32,$AM$6,'EE Inputs'!$D$9:$D$32,$C$4,'EE Inputs'!$E$9:$E$32,$B149)))</f>
        <v>55.944000000000003</v>
      </c>
      <c r="BH149" s="645" cm="1">
        <f t="array" aca="1" ref="BH149" ca="1">IF($C$4=Lookups!$D$40,INDIRECT("'Yr1'!"&amp;ADDRESS(ROW(BH149),COLUMN(BH149))),
IF(BH91=0,0,SUMIFS('EE Inputs'!$T$9:$T$32,'EE Inputs'!$C$9:$C$32,$AM$6,'EE Inputs'!$D$9:$D$32,$C$4,'EE Inputs'!$E$9:$E$32,$B149)))</f>
        <v>55.944000000000003</v>
      </c>
      <c r="BI149" s="645" cm="1">
        <f t="array" aca="1" ref="BI149" ca="1">IF($C$4=Lookups!$D$40,INDIRECT("'Yr1'!"&amp;ADDRESS(ROW(BI149),COLUMN(BI149))),
IF(BI91=0,0,SUMIFS('EE Inputs'!$T$9:$T$32,'EE Inputs'!$C$9:$C$32,$AM$6,'EE Inputs'!$D$9:$D$32,$C$4,'EE Inputs'!$E$9:$E$32,$B149)))</f>
        <v>0</v>
      </c>
      <c r="BJ149" s="645" cm="1">
        <f t="array" aca="1" ref="BJ149" ca="1">IF($C$4=Lookups!$D$40,INDIRECT("'Yr1'!"&amp;ADDRESS(ROW(BJ149),COLUMN(BJ149))),
IF(BJ91=0,0,SUMIFS('EE Inputs'!$T$9:$T$32,'EE Inputs'!$C$9:$C$32,$AM$6,'EE Inputs'!$D$9:$D$32,$C$4,'EE Inputs'!$E$9:$E$32,$B149)))</f>
        <v>0</v>
      </c>
      <c r="BK149" s="645" cm="1">
        <f t="array" aca="1" ref="BK149" ca="1">IF($C$4=Lookups!$D$40,INDIRECT("'Yr1'!"&amp;ADDRESS(ROW(BK149),COLUMN(BK149))),
IF(BK91=0,0,SUMIFS('EE Inputs'!$T$9:$T$32,'EE Inputs'!$C$9:$C$32,$AM$6,'EE Inputs'!$D$9:$D$32,$C$4,'EE Inputs'!$E$9:$E$32,$B149)))</f>
        <v>0</v>
      </c>
      <c r="BL149" s="645" cm="1">
        <f t="array" aca="1" ref="BL149" ca="1">IF($C$4=Lookups!$D$40,INDIRECT("'Yr1'!"&amp;ADDRESS(ROW(BL149),COLUMN(BL149))),
IF(BL91=0,0,SUMIFS('EE Inputs'!$T$9:$T$32,'EE Inputs'!$C$9:$C$32,$AM$6,'EE Inputs'!$D$9:$D$32,$C$4,'EE Inputs'!$E$9:$E$32,$B149)))</f>
        <v>0</v>
      </c>
      <c r="BM149" s="645" cm="1">
        <f t="array" aca="1" ref="BM149" ca="1">IF($C$4=Lookups!$D$40,INDIRECT("'Yr1'!"&amp;ADDRESS(ROW(BM149),COLUMN(BM149))),
IF(BM91=0,0,SUMIFS('EE Inputs'!$T$9:$T$32,'EE Inputs'!$C$9:$C$32,$AM$6,'EE Inputs'!$D$9:$D$32,$C$4,'EE Inputs'!$E$9:$E$32,$B149)))</f>
        <v>0</v>
      </c>
      <c r="BN149" s="71"/>
      <c r="BO149" s="71"/>
      <c r="BP149" s="71"/>
      <c r="BS149" s="76" t="s">
        <v>96</v>
      </c>
      <c r="BT149" s="51" t="s">
        <v>17</v>
      </c>
    </row>
    <row r="150" spans="1:72" x14ac:dyDescent="0.25">
      <c r="B150" s="243" t="str">
        <f t="shared" si="136"/>
        <v>Low-Income</v>
      </c>
      <c r="C150" s="243" t="str">
        <f t="shared" si="136"/>
        <v>Bills</v>
      </c>
      <c r="D150" s="114" t="s">
        <v>111</v>
      </c>
      <c r="E150" s="84"/>
      <c r="F150" s="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49"/>
      <c r="AI150" s="184"/>
      <c r="AJ150" s="49"/>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S150" s="84"/>
      <c r="BT150" s="51" t="s">
        <v>17</v>
      </c>
    </row>
    <row r="151" spans="1:72" x14ac:dyDescent="0.25">
      <c r="B151" s="243" t="str">
        <f t="shared" si="136"/>
        <v>Low-Income</v>
      </c>
      <c r="C151" s="243" t="str">
        <f t="shared" si="136"/>
        <v>Bills</v>
      </c>
      <c r="D151" s="244" t="str">
        <f t="shared" si="136"/>
        <v>Bills after DSM Scenario</v>
      </c>
      <c r="E151" s="84" t="s">
        <v>348</v>
      </c>
      <c r="F151" s="84" t="s">
        <v>32</v>
      </c>
      <c r="G151" s="103">
        <f ca="1">G143+G144*(G136-G135)</f>
        <v>0</v>
      </c>
      <c r="H151" s="103">
        <f ca="1">H143+H144*(H136-H135)</f>
        <v>0</v>
      </c>
      <c r="I151" s="103">
        <f t="shared" ref="I151:AG151" ca="1" si="146">I143+I144*(I136-I135)</f>
        <v>659.89140207078015</v>
      </c>
      <c r="J151" s="103">
        <f t="shared" ca="1" si="146"/>
        <v>614.0800515715066</v>
      </c>
      <c r="K151" s="103">
        <f t="shared" ca="1" si="146"/>
        <v>614.0800515715066</v>
      </c>
      <c r="L151" s="103">
        <f t="shared" ca="1" si="146"/>
        <v>614.0800515715066</v>
      </c>
      <c r="M151" s="103">
        <f t="shared" ca="1" si="146"/>
        <v>614.0800515715066</v>
      </c>
      <c r="N151" s="103">
        <f t="shared" ca="1" si="146"/>
        <v>614.0800515715066</v>
      </c>
      <c r="O151" s="103">
        <f t="shared" ca="1" si="146"/>
        <v>614.0800515715066</v>
      </c>
      <c r="P151" s="103">
        <f t="shared" ca="1" si="146"/>
        <v>614.0800515715066</v>
      </c>
      <c r="Q151" s="103">
        <f t="shared" ca="1" si="146"/>
        <v>614.0800515715066</v>
      </c>
      <c r="R151" s="103">
        <f t="shared" ca="1" si="146"/>
        <v>614.0800515715066</v>
      </c>
      <c r="S151" s="103">
        <f t="shared" ca="1" si="146"/>
        <v>614.0800515715066</v>
      </c>
      <c r="T151" s="103">
        <f t="shared" ca="1" si="146"/>
        <v>614.0800515715066</v>
      </c>
      <c r="U151" s="103">
        <f t="shared" ca="1" si="146"/>
        <v>614.0800515715066</v>
      </c>
      <c r="V151" s="103">
        <f t="shared" ca="1" si="146"/>
        <v>614.0800515715066</v>
      </c>
      <c r="W151" s="103">
        <f t="shared" ca="1" si="146"/>
        <v>614.0800515715066</v>
      </c>
      <c r="X151" s="103">
        <f t="shared" ca="1" si="146"/>
        <v>614.0800515715066</v>
      </c>
      <c r="Y151" s="103">
        <f t="shared" ca="1" si="146"/>
        <v>614.0800515715066</v>
      </c>
      <c r="Z151" s="103">
        <f t="shared" ca="1" si="146"/>
        <v>614.0800515715066</v>
      </c>
      <c r="AA151" s="103">
        <f t="shared" ca="1" si="146"/>
        <v>614.0800515715066</v>
      </c>
      <c r="AB151" s="103">
        <f t="shared" ca="1" si="146"/>
        <v>614.0800515715066</v>
      </c>
      <c r="AC151" s="103">
        <f t="shared" ca="1" si="146"/>
        <v>612.48659999999995</v>
      </c>
      <c r="AD151" s="103">
        <f t="shared" ca="1" si="146"/>
        <v>612.48659999999995</v>
      </c>
      <c r="AE151" s="103">
        <f t="shared" ca="1" si="146"/>
        <v>612.48659999999995</v>
      </c>
      <c r="AF151" s="103">
        <f t="shared" ca="1" si="146"/>
        <v>612.48659999999995</v>
      </c>
      <c r="AG151" s="103">
        <f t="shared" ca="1" si="146"/>
        <v>612.48659999999995</v>
      </c>
      <c r="AH151" s="103"/>
      <c r="AI151" s="103"/>
      <c r="AJ151" s="103">
        <f ca="1">IF($C$4=Year1,-PMT(Lookups!$E$17,25,NPV(Lookups!$E$17,G151:AE151),0,1),IF($C$4=Year2,-PMT(Lookups!$F$17,25,NPV(Lookups!$F$17,H151:AF151),0,1),IF($C$4=Year3,-PMT(Lookups!$G$17,25,NPV(Lookups!$G$17,I151:AG151),0,1),-PMT(Lookups!$G$17,27,NPV(Lookups!$G$17,G151:AG151),0,1))))</f>
        <v>607.3715825446094</v>
      </c>
      <c r="AM151" s="149">
        <f ca="1">AM143+AM144*(AM136-AM135)</f>
        <v>0</v>
      </c>
      <c r="AN151" s="149">
        <f t="shared" ref="AN151:BM151" ca="1" si="147">AN143+AN144*(AN136-AN135)</f>
        <v>0</v>
      </c>
      <c r="AO151" s="149">
        <f t="shared" ca="1" si="147"/>
        <v>669.28663809463785</v>
      </c>
      <c r="AP151" s="149">
        <f t="shared" ca="1" si="147"/>
        <v>614.3130174955096</v>
      </c>
      <c r="AQ151" s="149">
        <f t="shared" ca="1" si="147"/>
        <v>614.3130174955096</v>
      </c>
      <c r="AR151" s="149">
        <f t="shared" ca="1" si="147"/>
        <v>614.3130174955096</v>
      </c>
      <c r="AS151" s="149">
        <f t="shared" ca="1" si="147"/>
        <v>614.3130174955096</v>
      </c>
      <c r="AT151" s="149">
        <f t="shared" ca="1" si="147"/>
        <v>614.3130174955096</v>
      </c>
      <c r="AU151" s="149">
        <f t="shared" ca="1" si="147"/>
        <v>614.3130174955096</v>
      </c>
      <c r="AV151" s="149">
        <f t="shared" ca="1" si="147"/>
        <v>614.3130174955096</v>
      </c>
      <c r="AW151" s="149">
        <f t="shared" ca="1" si="147"/>
        <v>614.3130174955096</v>
      </c>
      <c r="AX151" s="149">
        <f t="shared" ca="1" si="147"/>
        <v>614.3130174955096</v>
      </c>
      <c r="AY151" s="149">
        <f t="shared" ca="1" si="147"/>
        <v>614.3130174955096</v>
      </c>
      <c r="AZ151" s="149">
        <f t="shared" ca="1" si="147"/>
        <v>614.3130174955096</v>
      </c>
      <c r="BA151" s="149">
        <f t="shared" ca="1" si="147"/>
        <v>614.3130174955096</v>
      </c>
      <c r="BB151" s="149">
        <f t="shared" ca="1" si="147"/>
        <v>614.3130174955096</v>
      </c>
      <c r="BC151" s="149">
        <f t="shared" ca="1" si="147"/>
        <v>614.3130174955096</v>
      </c>
      <c r="BD151" s="149">
        <f t="shared" ca="1" si="147"/>
        <v>614.3130174955096</v>
      </c>
      <c r="BE151" s="149">
        <f t="shared" ca="1" si="147"/>
        <v>614.3130174955096</v>
      </c>
      <c r="BF151" s="149">
        <f t="shared" ca="1" si="147"/>
        <v>614.3130174955096</v>
      </c>
      <c r="BG151" s="149">
        <f t="shared" ca="1" si="147"/>
        <v>614.3130174955096</v>
      </c>
      <c r="BH151" s="149">
        <f t="shared" ca="1" si="147"/>
        <v>614.3130174955096</v>
      </c>
      <c r="BI151" s="149">
        <f t="shared" ca="1" si="147"/>
        <v>612.48659999999995</v>
      </c>
      <c r="BJ151" s="149">
        <f t="shared" ca="1" si="147"/>
        <v>612.48659999999995</v>
      </c>
      <c r="BK151" s="149">
        <f t="shared" ca="1" si="147"/>
        <v>612.48659999999995</v>
      </c>
      <c r="BL151" s="149">
        <f t="shared" ca="1" si="147"/>
        <v>612.48659999999995</v>
      </c>
      <c r="BM151" s="149">
        <f t="shared" ca="1" si="147"/>
        <v>612.48659999999995</v>
      </c>
      <c r="BN151" s="149"/>
      <c r="BO151" s="149"/>
      <c r="BP151" s="149">
        <f ca="1">IF($C$4=Year1,-PMT(Lookups!$E$17,25,NPV(Lookups!$E$17,AM151:BK151),0,1),IF($C$4=Year2,-PMT(Lookups!$F$17,25,NPV(Lookups!$F$17,AN151:BL151),0,1),IF($C$4=Year3,-PMT(Lookups!$G$17,25,NPV(Lookups!$G$17,AO151:BM151),0,1),-PMT(Lookups!$G$17,27,NPV(Lookups!$G$17,AM151:BM151),0,1))))</f>
        <v>607.9871058129487</v>
      </c>
      <c r="BS151" s="84" t="s">
        <v>239</v>
      </c>
      <c r="BT151" s="51" t="s">
        <v>17</v>
      </c>
    </row>
    <row r="152" spans="1:72" x14ac:dyDescent="0.25">
      <c r="B152" s="243" t="str">
        <f t="shared" si="136"/>
        <v>Low-Income</v>
      </c>
      <c r="C152" s="243" t="str">
        <f t="shared" si="136"/>
        <v>Bills</v>
      </c>
      <c r="D152" s="244" t="str">
        <f t="shared" si="136"/>
        <v>Bills after DSM Scenario</v>
      </c>
      <c r="E152" s="84" t="s">
        <v>349</v>
      </c>
      <c r="F152" s="84" t="s">
        <v>32</v>
      </c>
      <c r="G152" s="103">
        <f ca="1">G143+(G144-G147)*(G136-G135)</f>
        <v>0</v>
      </c>
      <c r="H152" s="103">
        <f ca="1">H143+(H144-H147)*(H136-H135)</f>
        <v>0</v>
      </c>
      <c r="I152" s="103">
        <f t="shared" ref="I152:AG152" ca="1" si="148">I143+(I144-I147)*(I136-I135)</f>
        <v>645.73923440885221</v>
      </c>
      <c r="J152" s="103">
        <f t="shared" ca="1" si="148"/>
        <v>601.03249325710669</v>
      </c>
      <c r="K152" s="103">
        <f t="shared" ca="1" si="148"/>
        <v>601.03249325710669</v>
      </c>
      <c r="L152" s="103">
        <f t="shared" ca="1" si="148"/>
        <v>601.03249325710669</v>
      </c>
      <c r="M152" s="103">
        <f t="shared" ca="1" si="148"/>
        <v>601.03249325710669</v>
      </c>
      <c r="N152" s="103">
        <f t="shared" ca="1" si="148"/>
        <v>601.03249325710669</v>
      </c>
      <c r="O152" s="103">
        <f t="shared" ca="1" si="148"/>
        <v>601.03249325710669</v>
      </c>
      <c r="P152" s="103">
        <f t="shared" ca="1" si="148"/>
        <v>601.03249325710669</v>
      </c>
      <c r="Q152" s="103">
        <f t="shared" ca="1" si="148"/>
        <v>601.03249325710669</v>
      </c>
      <c r="R152" s="103">
        <f t="shared" ca="1" si="148"/>
        <v>601.03249325710669</v>
      </c>
      <c r="S152" s="103">
        <f t="shared" ca="1" si="148"/>
        <v>601.03249325710669</v>
      </c>
      <c r="T152" s="103">
        <f t="shared" ca="1" si="148"/>
        <v>601.03249325710669</v>
      </c>
      <c r="U152" s="103">
        <f t="shared" ca="1" si="148"/>
        <v>601.03249325710669</v>
      </c>
      <c r="V152" s="103">
        <f t="shared" ca="1" si="148"/>
        <v>601.03249325710669</v>
      </c>
      <c r="W152" s="103">
        <f t="shared" ca="1" si="148"/>
        <v>601.03249325710669</v>
      </c>
      <c r="X152" s="103">
        <f t="shared" ca="1" si="148"/>
        <v>601.03249325710669</v>
      </c>
      <c r="Y152" s="103">
        <f t="shared" ca="1" si="148"/>
        <v>601.03249325710669</v>
      </c>
      <c r="Z152" s="103">
        <f t="shared" ca="1" si="148"/>
        <v>601.03249325710669</v>
      </c>
      <c r="AA152" s="103">
        <f t="shared" ca="1" si="148"/>
        <v>601.03249325710669</v>
      </c>
      <c r="AB152" s="103">
        <f t="shared" ca="1" si="148"/>
        <v>601.03249325710669</v>
      </c>
      <c r="AC152" s="103">
        <f t="shared" ca="1" si="148"/>
        <v>612.48659999999995</v>
      </c>
      <c r="AD152" s="103">
        <f t="shared" ca="1" si="148"/>
        <v>612.48659999999995</v>
      </c>
      <c r="AE152" s="103">
        <f t="shared" ca="1" si="148"/>
        <v>612.48659999999995</v>
      </c>
      <c r="AF152" s="103">
        <f t="shared" ca="1" si="148"/>
        <v>612.48659999999995</v>
      </c>
      <c r="AG152" s="103">
        <f t="shared" ca="1" si="148"/>
        <v>612.48659999999995</v>
      </c>
      <c r="AH152" s="103"/>
      <c r="AI152" s="103"/>
      <c r="AJ152" s="103">
        <f ca="1">IF($C$4=Year1,-PMT(Lookups!$E$17,25,NPV(Lookups!$E$17,G152:AE152),0,1),IF($C$4=Year2,-PMT(Lookups!$F$17,25,NPV(Lookups!$F$17,H152:AF152),0,1),IF($C$4=Year3,-PMT(Lookups!$G$17,25,NPV(Lookups!$G$17,I152:AG152),0,1),-PMT(Lookups!$G$17,27,NPV(Lookups!$G$17,G152:AG152),0,1))))</f>
        <v>596.67966138386805</v>
      </c>
      <c r="AM152" s="149">
        <f ca="1">AM143+(AM144-AM147)*(AM136-AM135)</f>
        <v>0</v>
      </c>
      <c r="AN152" s="149">
        <f t="shared" ref="AN152:BM152" ca="1" si="149">AN143+(AN144-AN147)*(AN136-AN135)</f>
        <v>0</v>
      </c>
      <c r="AO152" s="149">
        <f t="shared" ca="1" si="149"/>
        <v>652.85383028134424</v>
      </c>
      <c r="AP152" s="149">
        <f t="shared" ca="1" si="149"/>
        <v>599.39510250168291</v>
      </c>
      <c r="AQ152" s="149">
        <f t="shared" ca="1" si="149"/>
        <v>599.39510250168291</v>
      </c>
      <c r="AR152" s="149">
        <f t="shared" ca="1" si="149"/>
        <v>599.39510250168291</v>
      </c>
      <c r="AS152" s="149">
        <f t="shared" ca="1" si="149"/>
        <v>599.39510250168291</v>
      </c>
      <c r="AT152" s="149">
        <f t="shared" ca="1" si="149"/>
        <v>599.39510250168291</v>
      </c>
      <c r="AU152" s="149">
        <f t="shared" ca="1" si="149"/>
        <v>599.39510250168291</v>
      </c>
      <c r="AV152" s="149">
        <f t="shared" ca="1" si="149"/>
        <v>599.39510250168291</v>
      </c>
      <c r="AW152" s="149">
        <f t="shared" ca="1" si="149"/>
        <v>599.39510250168291</v>
      </c>
      <c r="AX152" s="149">
        <f t="shared" ca="1" si="149"/>
        <v>599.39510250168291</v>
      </c>
      <c r="AY152" s="149">
        <f t="shared" ca="1" si="149"/>
        <v>599.39510250168291</v>
      </c>
      <c r="AZ152" s="149">
        <f t="shared" ca="1" si="149"/>
        <v>599.39510250168291</v>
      </c>
      <c r="BA152" s="149">
        <f t="shared" ca="1" si="149"/>
        <v>599.39510250168291</v>
      </c>
      <c r="BB152" s="149">
        <f t="shared" ca="1" si="149"/>
        <v>599.39510250168291</v>
      </c>
      <c r="BC152" s="149">
        <f t="shared" ca="1" si="149"/>
        <v>599.39510250168291</v>
      </c>
      <c r="BD152" s="149">
        <f t="shared" ca="1" si="149"/>
        <v>599.39510250168291</v>
      </c>
      <c r="BE152" s="149">
        <f t="shared" ca="1" si="149"/>
        <v>599.39510250168291</v>
      </c>
      <c r="BF152" s="149">
        <f t="shared" ca="1" si="149"/>
        <v>599.39510250168291</v>
      </c>
      <c r="BG152" s="149">
        <f t="shared" ca="1" si="149"/>
        <v>599.39510250168291</v>
      </c>
      <c r="BH152" s="149">
        <f t="shared" ca="1" si="149"/>
        <v>599.39510250168291</v>
      </c>
      <c r="BI152" s="149">
        <f t="shared" ca="1" si="149"/>
        <v>612.48659999999995</v>
      </c>
      <c r="BJ152" s="149">
        <f t="shared" ca="1" si="149"/>
        <v>612.48659999999995</v>
      </c>
      <c r="BK152" s="149">
        <f t="shared" ca="1" si="149"/>
        <v>612.48659999999995</v>
      </c>
      <c r="BL152" s="149">
        <f t="shared" ca="1" si="149"/>
        <v>612.48659999999995</v>
      </c>
      <c r="BM152" s="149">
        <f t="shared" ca="1" si="149"/>
        <v>612.48659999999995</v>
      </c>
      <c r="BN152" s="149"/>
      <c r="BO152" s="149"/>
      <c r="BP152" s="149">
        <f ca="1">IF($C$4=Year1,-PMT(Lookups!$E$17,25,NPV(Lookups!$E$17,AM152:BK152),0,1),IF($C$4=Year2,-PMT(Lookups!$F$17,25,NPV(Lookups!$F$17,AN152:BL152),0,1),IF($C$4=Year3,-PMT(Lookups!$G$17,25,NPV(Lookups!$G$17,AO152:BM152),0,1),-PMT(Lookups!$G$17,27,NPV(Lookups!$G$17,AM152:BM152),0,1))))</f>
        <v>595.75080553949999</v>
      </c>
      <c r="BS152" s="84" t="s">
        <v>240</v>
      </c>
      <c r="BT152" s="51" t="s">
        <v>17</v>
      </c>
    </row>
    <row r="153" spans="1:72" x14ac:dyDescent="0.25">
      <c r="B153" s="243" t="str">
        <f t="shared" si="136"/>
        <v>Low-Income</v>
      </c>
      <c r="C153" s="243" t="str">
        <f t="shared" si="136"/>
        <v>Bills</v>
      </c>
      <c r="D153" s="244" t="str">
        <f t="shared" si="136"/>
        <v>Bills after DSM Scenario</v>
      </c>
      <c r="E153" s="84" t="str">
        <f>'EE Inputs'!$N$15&amp;" Participant Annual Bill"</f>
        <v>Low Savings Participant Annual Bill</v>
      </c>
      <c r="F153" s="84" t="s">
        <v>32</v>
      </c>
      <c r="G153" s="103">
        <f ca="1">G143+(G144-G148)*(G136-G135)</f>
        <v>0</v>
      </c>
      <c r="H153" s="103">
        <f ca="1">H143+(H144-H148)*(H136-H135)</f>
        <v>0</v>
      </c>
      <c r="I153" s="103">
        <f t="shared" ref="I153:AG153" ca="1" si="150">I143+(I144-I148)*(I136-I135)</f>
        <v>654.0220880500724</v>
      </c>
      <c r="J153" s="103">
        <f t="shared" ca="1" si="150"/>
        <v>608.66885105579149</v>
      </c>
      <c r="K153" s="103">
        <f t="shared" ca="1" si="150"/>
        <v>608.66885105579149</v>
      </c>
      <c r="L153" s="103">
        <f t="shared" ca="1" si="150"/>
        <v>608.66885105579149</v>
      </c>
      <c r="M153" s="103">
        <f t="shared" ca="1" si="150"/>
        <v>608.66885105579149</v>
      </c>
      <c r="N153" s="103">
        <f t="shared" ca="1" si="150"/>
        <v>608.66885105579149</v>
      </c>
      <c r="O153" s="103">
        <f t="shared" ca="1" si="150"/>
        <v>608.66885105579149</v>
      </c>
      <c r="P153" s="103">
        <f t="shared" ca="1" si="150"/>
        <v>608.66885105579149</v>
      </c>
      <c r="Q153" s="103">
        <f t="shared" ca="1" si="150"/>
        <v>608.66885105579149</v>
      </c>
      <c r="R153" s="103">
        <f t="shared" ca="1" si="150"/>
        <v>608.66885105579149</v>
      </c>
      <c r="S153" s="103">
        <f t="shared" ca="1" si="150"/>
        <v>608.66885105579149</v>
      </c>
      <c r="T153" s="103">
        <f t="shared" ca="1" si="150"/>
        <v>608.66885105579149</v>
      </c>
      <c r="U153" s="103">
        <f t="shared" ca="1" si="150"/>
        <v>608.66885105579149</v>
      </c>
      <c r="V153" s="103">
        <f t="shared" ca="1" si="150"/>
        <v>608.66885105579149</v>
      </c>
      <c r="W153" s="103">
        <f t="shared" ca="1" si="150"/>
        <v>608.66885105579149</v>
      </c>
      <c r="X153" s="103">
        <f t="shared" ca="1" si="150"/>
        <v>608.66885105579149</v>
      </c>
      <c r="Y153" s="103">
        <f t="shared" ca="1" si="150"/>
        <v>608.66885105579149</v>
      </c>
      <c r="Z153" s="103">
        <f t="shared" ca="1" si="150"/>
        <v>608.66885105579149</v>
      </c>
      <c r="AA153" s="103">
        <f t="shared" ca="1" si="150"/>
        <v>608.66885105579149</v>
      </c>
      <c r="AB153" s="103">
        <f t="shared" ca="1" si="150"/>
        <v>608.66885105579149</v>
      </c>
      <c r="AC153" s="103">
        <f t="shared" ca="1" si="150"/>
        <v>612.48659999999995</v>
      </c>
      <c r="AD153" s="103">
        <f t="shared" ca="1" si="150"/>
        <v>612.48659999999995</v>
      </c>
      <c r="AE153" s="103">
        <f t="shared" ca="1" si="150"/>
        <v>612.48659999999995</v>
      </c>
      <c r="AF153" s="103">
        <f t="shared" ca="1" si="150"/>
        <v>612.48659999999995</v>
      </c>
      <c r="AG153" s="103">
        <f t="shared" ca="1" si="150"/>
        <v>612.48659999999995</v>
      </c>
      <c r="AH153" s="103"/>
      <c r="AI153" s="103"/>
      <c r="AJ153" s="103">
        <f ca="1">IF($C$4=Year1,-PMT(Lookups!$E$17,25,NPV(Lookups!$E$17,G153:AE153),0,1),IF($C$4=Year2,-PMT(Lookups!$F$17,25,NPV(Lookups!$F$17,H153:AF153),0,1),IF($C$4=Year3,-PMT(Lookups!$G$17,25,NPV(Lookups!$G$17,I153:AG153),0,1),-PMT(Lookups!$G$17,27,NPV(Lookups!$G$17,G153:AG153),0,1))))</f>
        <v>602.93733301647092</v>
      </c>
      <c r="AM153" s="149">
        <f ca="1">AM143+(AM144-AM148)*(AM136-AM135)</f>
        <v>0</v>
      </c>
      <c r="AN153" s="149">
        <f t="shared" ref="AN153:BM153" ca="1" si="151">AN143+(AN144-AN148)*(AN136-AN135)</f>
        <v>0</v>
      </c>
      <c r="AO153" s="149">
        <f t="shared" ca="1" si="151"/>
        <v>662.1307184375022</v>
      </c>
      <c r="AP153" s="149">
        <f t="shared" ca="1" si="151"/>
        <v>607.81678128556348</v>
      </c>
      <c r="AQ153" s="149">
        <f t="shared" ca="1" si="151"/>
        <v>607.81678128556348</v>
      </c>
      <c r="AR153" s="149">
        <f t="shared" ca="1" si="151"/>
        <v>607.81678128556348</v>
      </c>
      <c r="AS153" s="149">
        <f t="shared" ca="1" si="151"/>
        <v>607.81678128556348</v>
      </c>
      <c r="AT153" s="149">
        <f t="shared" ca="1" si="151"/>
        <v>607.81678128556348</v>
      </c>
      <c r="AU153" s="149">
        <f t="shared" ca="1" si="151"/>
        <v>607.81678128556348</v>
      </c>
      <c r="AV153" s="149">
        <f t="shared" ca="1" si="151"/>
        <v>607.81678128556348</v>
      </c>
      <c r="AW153" s="149">
        <f t="shared" ca="1" si="151"/>
        <v>607.81678128556348</v>
      </c>
      <c r="AX153" s="149">
        <f t="shared" ca="1" si="151"/>
        <v>607.81678128556348</v>
      </c>
      <c r="AY153" s="149">
        <f t="shared" ca="1" si="151"/>
        <v>607.81678128556348</v>
      </c>
      <c r="AZ153" s="149">
        <f t="shared" ca="1" si="151"/>
        <v>607.81678128556348</v>
      </c>
      <c r="BA153" s="149">
        <f t="shared" ca="1" si="151"/>
        <v>607.81678128556348</v>
      </c>
      <c r="BB153" s="149">
        <f t="shared" ca="1" si="151"/>
        <v>607.81678128556348</v>
      </c>
      <c r="BC153" s="149">
        <f t="shared" ca="1" si="151"/>
        <v>607.81678128556348</v>
      </c>
      <c r="BD153" s="149">
        <f t="shared" ca="1" si="151"/>
        <v>607.81678128556348</v>
      </c>
      <c r="BE153" s="149">
        <f t="shared" ca="1" si="151"/>
        <v>607.81678128556348</v>
      </c>
      <c r="BF153" s="149">
        <f t="shared" ca="1" si="151"/>
        <v>607.81678128556348</v>
      </c>
      <c r="BG153" s="149">
        <f t="shared" ca="1" si="151"/>
        <v>607.81678128556348</v>
      </c>
      <c r="BH153" s="149">
        <f t="shared" ca="1" si="151"/>
        <v>607.81678128556348</v>
      </c>
      <c r="BI153" s="149">
        <f t="shared" ca="1" si="151"/>
        <v>612.48659999999995</v>
      </c>
      <c r="BJ153" s="149">
        <f t="shared" ca="1" si="151"/>
        <v>612.48659999999995</v>
      </c>
      <c r="BK153" s="149">
        <f t="shared" ca="1" si="151"/>
        <v>612.48659999999995</v>
      </c>
      <c r="BL153" s="149">
        <f t="shared" ca="1" si="151"/>
        <v>612.48659999999995</v>
      </c>
      <c r="BM153" s="149">
        <f t="shared" ca="1" si="151"/>
        <v>612.48659999999995</v>
      </c>
      <c r="BN153" s="149"/>
      <c r="BO153" s="149"/>
      <c r="BP153" s="149">
        <f ca="1">IF($C$4=Year1,-PMT(Lookups!$E$17,25,NPV(Lookups!$E$17,AM153:BK153),0,1),IF($C$4=Year2,-PMT(Lookups!$F$17,25,NPV(Lookups!$F$17,AN153:BL153),0,1),IF($C$4=Year3,-PMT(Lookups!$G$17,25,NPV(Lookups!$G$17,AO153:BM153),0,1),-PMT(Lookups!$G$17,27,NPV(Lookups!$G$17,AM153:BM153),0,1))))</f>
        <v>602.65862009996238</v>
      </c>
      <c r="BS153" s="84" t="s">
        <v>240</v>
      </c>
      <c r="BT153" s="51" t="s">
        <v>17</v>
      </c>
    </row>
    <row r="154" spans="1:72" x14ac:dyDescent="0.25">
      <c r="B154" s="243" t="str">
        <f t="shared" ref="B154:D164" si="152">B153</f>
        <v>Low-Income</v>
      </c>
      <c r="C154" s="243" t="str">
        <f t="shared" si="152"/>
        <v>Bills</v>
      </c>
      <c r="D154" s="244" t="str">
        <f t="shared" si="152"/>
        <v>Bills after DSM Scenario</v>
      </c>
      <c r="E154" s="84" t="str">
        <f>'EE Inputs'!$N$16&amp;" Participant Annual Bill"</f>
        <v>High Savings Participant Annual Bill</v>
      </c>
      <c r="F154" s="84" t="s">
        <v>32</v>
      </c>
      <c r="G154" s="103">
        <f ca="1">G143+(G144-G149)*(G136-G135)</f>
        <v>0</v>
      </c>
      <c r="H154" s="103">
        <f ca="1">H143+(H144-H149)*(H136-H135)</f>
        <v>0</v>
      </c>
      <c r="I154" s="103">
        <f t="shared" ref="I154:AG154" ca="1" si="153">I143+(I144-I149)*(I136-I135)</f>
        <v>618.80620392582557</v>
      </c>
      <c r="J154" s="103">
        <f t="shared" ca="1" si="153"/>
        <v>576.20164796150107</v>
      </c>
      <c r="K154" s="103">
        <f t="shared" ca="1" si="153"/>
        <v>576.20164796150107</v>
      </c>
      <c r="L154" s="103">
        <f t="shared" ca="1" si="153"/>
        <v>576.20164796150107</v>
      </c>
      <c r="M154" s="103">
        <f t="shared" ca="1" si="153"/>
        <v>576.20164796150107</v>
      </c>
      <c r="N154" s="103">
        <f t="shared" ca="1" si="153"/>
        <v>576.20164796150107</v>
      </c>
      <c r="O154" s="103">
        <f t="shared" ca="1" si="153"/>
        <v>576.20164796150107</v>
      </c>
      <c r="P154" s="103">
        <f t="shared" ca="1" si="153"/>
        <v>576.20164796150107</v>
      </c>
      <c r="Q154" s="103">
        <f t="shared" ca="1" si="153"/>
        <v>576.20164796150107</v>
      </c>
      <c r="R154" s="103">
        <f t="shared" ca="1" si="153"/>
        <v>576.20164796150107</v>
      </c>
      <c r="S154" s="103">
        <f t="shared" ca="1" si="153"/>
        <v>576.20164796150107</v>
      </c>
      <c r="T154" s="103">
        <f t="shared" ca="1" si="153"/>
        <v>576.20164796150107</v>
      </c>
      <c r="U154" s="103">
        <f t="shared" ca="1" si="153"/>
        <v>576.20164796150107</v>
      </c>
      <c r="V154" s="103">
        <f t="shared" ca="1" si="153"/>
        <v>576.20164796150107</v>
      </c>
      <c r="W154" s="103">
        <f t="shared" ca="1" si="153"/>
        <v>576.20164796150107</v>
      </c>
      <c r="X154" s="103">
        <f t="shared" ca="1" si="153"/>
        <v>576.20164796150107</v>
      </c>
      <c r="Y154" s="103">
        <f t="shared" ca="1" si="153"/>
        <v>576.20164796150107</v>
      </c>
      <c r="Z154" s="103">
        <f t="shared" ca="1" si="153"/>
        <v>576.20164796150107</v>
      </c>
      <c r="AA154" s="103">
        <f t="shared" ca="1" si="153"/>
        <v>576.20164796150107</v>
      </c>
      <c r="AB154" s="103">
        <f t="shared" ca="1" si="153"/>
        <v>576.20164796150107</v>
      </c>
      <c r="AC154" s="103">
        <f t="shared" ca="1" si="153"/>
        <v>612.48659999999995</v>
      </c>
      <c r="AD154" s="103">
        <f t="shared" ca="1" si="153"/>
        <v>612.48659999999995</v>
      </c>
      <c r="AE154" s="103">
        <f t="shared" ca="1" si="153"/>
        <v>612.48659999999995</v>
      </c>
      <c r="AF154" s="103">
        <f t="shared" ca="1" si="153"/>
        <v>612.48659999999995</v>
      </c>
      <c r="AG154" s="103">
        <f t="shared" ca="1" si="153"/>
        <v>612.48659999999995</v>
      </c>
      <c r="AH154" s="103"/>
      <c r="AI154" s="103"/>
      <c r="AJ154" s="103">
        <f ca="1">IF($C$4=Year1,-PMT(Lookups!$E$17,25,NPV(Lookups!$E$17,G154:AE154),0,1),IF($C$4=Year2,-PMT(Lookups!$F$17,25,NPV(Lookups!$F$17,H154:AF154),0,1),IF($C$4=Year3,-PMT(Lookups!$G$17,25,NPV(Lookups!$G$17,I154:AG154),0,1),-PMT(Lookups!$G$17,27,NPV(Lookups!$G$17,G154:AG154),0,1))))</f>
        <v>576.3318358476389</v>
      </c>
      <c r="AM154" s="149">
        <f ca="1">AM143+(AM144-AM149)*(AM136-AM135)</f>
        <v>0</v>
      </c>
      <c r="AN154" s="149">
        <f t="shared" ref="AN154:BM154" ca="1" si="154">AN143+(AN144-AN149)*(AN136-AN135)</f>
        <v>0</v>
      </c>
      <c r="AO154" s="149">
        <f t="shared" ca="1" si="154"/>
        <v>619.19520049468827</v>
      </c>
      <c r="AP154" s="149">
        <f t="shared" ca="1" si="154"/>
        <v>568.83936402588677</v>
      </c>
      <c r="AQ154" s="149">
        <f t="shared" ca="1" si="154"/>
        <v>568.83936402588677</v>
      </c>
      <c r="AR154" s="149">
        <f t="shared" ca="1" si="154"/>
        <v>568.83936402588677</v>
      </c>
      <c r="AS154" s="149">
        <f t="shared" ca="1" si="154"/>
        <v>568.83936402588677</v>
      </c>
      <c r="AT154" s="149">
        <f t="shared" ca="1" si="154"/>
        <v>568.83936402588677</v>
      </c>
      <c r="AU154" s="149">
        <f t="shared" ca="1" si="154"/>
        <v>568.83936402588677</v>
      </c>
      <c r="AV154" s="149">
        <f t="shared" ca="1" si="154"/>
        <v>568.83936402588677</v>
      </c>
      <c r="AW154" s="149">
        <f t="shared" ca="1" si="154"/>
        <v>568.83936402588677</v>
      </c>
      <c r="AX154" s="149">
        <f t="shared" ca="1" si="154"/>
        <v>568.83936402588677</v>
      </c>
      <c r="AY154" s="149">
        <f t="shared" ca="1" si="154"/>
        <v>568.83936402588677</v>
      </c>
      <c r="AZ154" s="149">
        <f t="shared" ca="1" si="154"/>
        <v>568.83936402588677</v>
      </c>
      <c r="BA154" s="149">
        <f t="shared" ca="1" si="154"/>
        <v>568.83936402588677</v>
      </c>
      <c r="BB154" s="149">
        <f t="shared" ca="1" si="154"/>
        <v>568.83936402588677</v>
      </c>
      <c r="BC154" s="149">
        <f t="shared" ca="1" si="154"/>
        <v>568.83936402588677</v>
      </c>
      <c r="BD154" s="149">
        <f t="shared" ca="1" si="154"/>
        <v>568.83936402588677</v>
      </c>
      <c r="BE154" s="149">
        <f t="shared" ca="1" si="154"/>
        <v>568.83936402588677</v>
      </c>
      <c r="BF154" s="149">
        <f t="shared" ca="1" si="154"/>
        <v>568.83936402588677</v>
      </c>
      <c r="BG154" s="149">
        <f t="shared" ca="1" si="154"/>
        <v>568.83936402588677</v>
      </c>
      <c r="BH154" s="149">
        <f t="shared" ca="1" si="154"/>
        <v>568.83936402588677</v>
      </c>
      <c r="BI154" s="149">
        <f t="shared" ca="1" si="154"/>
        <v>612.48659999999995</v>
      </c>
      <c r="BJ154" s="149">
        <f t="shared" ca="1" si="154"/>
        <v>612.48659999999995</v>
      </c>
      <c r="BK154" s="149">
        <f t="shared" ca="1" si="154"/>
        <v>612.48659999999995</v>
      </c>
      <c r="BL154" s="149">
        <f t="shared" ca="1" si="154"/>
        <v>612.48659999999995</v>
      </c>
      <c r="BM154" s="149">
        <f t="shared" ca="1" si="154"/>
        <v>612.48659999999995</v>
      </c>
      <c r="BN154" s="149"/>
      <c r="BO154" s="149"/>
      <c r="BP154" s="149">
        <f ca="1">IF($C$4=Year1,-PMT(Lookups!$E$17,25,NPV(Lookups!$E$17,AM154:BK154),0,1),IF($C$4=Year2,-PMT(Lookups!$F$17,25,NPV(Lookups!$F$17,AN154:BL154),0,1),IF($C$4=Year3,-PMT(Lookups!$G$17,25,NPV(Lookups!$G$17,AO154:BM154),0,1),-PMT(Lookups!$G$17,27,NPV(Lookups!$G$17,AM154:BM154),0,1))))</f>
        <v>570.68770582204354</v>
      </c>
      <c r="BS154" s="84" t="s">
        <v>240</v>
      </c>
      <c r="BT154" s="51" t="s">
        <v>17</v>
      </c>
    </row>
    <row r="155" spans="1:72" x14ac:dyDescent="0.25">
      <c r="B155" s="243" t="str">
        <f t="shared" si="152"/>
        <v>Low-Income</v>
      </c>
      <c r="C155" s="243" t="str">
        <f t="shared" si="152"/>
        <v>Bills</v>
      </c>
      <c r="D155" s="114" t="s">
        <v>115</v>
      </c>
      <c r="E155" s="84"/>
      <c r="F155" s="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49"/>
      <c r="AI155" s="184"/>
      <c r="AJ155" s="49"/>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S155" s="84"/>
      <c r="BT155" s="51" t="s">
        <v>17</v>
      </c>
    </row>
    <row r="156" spans="1:72" x14ac:dyDescent="0.25">
      <c r="B156" s="243" t="str">
        <f t="shared" si="152"/>
        <v>Low-Income</v>
      </c>
      <c r="C156" s="243" t="str">
        <f t="shared" si="152"/>
        <v>Bills</v>
      </c>
      <c r="D156" s="244" t="str">
        <f t="shared" si="152"/>
        <v>Change in Bills</v>
      </c>
      <c r="E156" s="84" t="s">
        <v>348</v>
      </c>
      <c r="F156" s="84" t="s">
        <v>32</v>
      </c>
      <c r="G156" s="103">
        <f ca="1">G151-G145</f>
        <v>0</v>
      </c>
      <c r="H156" s="103">
        <f t="shared" ref="H156:AG156" ca="1" si="155">H151-H145</f>
        <v>0</v>
      </c>
      <c r="I156" s="103">
        <f t="shared" ca="1" si="155"/>
        <v>47.404802070780192</v>
      </c>
      <c r="J156" s="103">
        <f t="shared" ca="1" si="155"/>
        <v>1.5934515715066482</v>
      </c>
      <c r="K156" s="103">
        <f t="shared" ca="1" si="155"/>
        <v>1.5934515715066482</v>
      </c>
      <c r="L156" s="103">
        <f t="shared" ca="1" si="155"/>
        <v>1.5934515715066482</v>
      </c>
      <c r="M156" s="103">
        <f t="shared" ca="1" si="155"/>
        <v>1.5934515715066482</v>
      </c>
      <c r="N156" s="103">
        <f t="shared" ca="1" si="155"/>
        <v>1.5934515715066482</v>
      </c>
      <c r="O156" s="103">
        <f t="shared" ca="1" si="155"/>
        <v>1.5934515715066482</v>
      </c>
      <c r="P156" s="103">
        <f t="shared" ca="1" si="155"/>
        <v>1.5934515715066482</v>
      </c>
      <c r="Q156" s="103">
        <f t="shared" ca="1" si="155"/>
        <v>1.5934515715066482</v>
      </c>
      <c r="R156" s="103">
        <f t="shared" ca="1" si="155"/>
        <v>1.5934515715066482</v>
      </c>
      <c r="S156" s="103">
        <f t="shared" ca="1" si="155"/>
        <v>1.5934515715066482</v>
      </c>
      <c r="T156" s="103">
        <f t="shared" ca="1" si="155"/>
        <v>1.5934515715066482</v>
      </c>
      <c r="U156" s="103">
        <f t="shared" ca="1" si="155"/>
        <v>1.5934515715066482</v>
      </c>
      <c r="V156" s="103">
        <f t="shared" ca="1" si="155"/>
        <v>1.5934515715066482</v>
      </c>
      <c r="W156" s="103">
        <f t="shared" ca="1" si="155"/>
        <v>1.5934515715066482</v>
      </c>
      <c r="X156" s="103">
        <f t="shared" ca="1" si="155"/>
        <v>1.5934515715066482</v>
      </c>
      <c r="Y156" s="103">
        <f t="shared" ca="1" si="155"/>
        <v>1.5934515715066482</v>
      </c>
      <c r="Z156" s="103">
        <f t="shared" ca="1" si="155"/>
        <v>1.5934515715066482</v>
      </c>
      <c r="AA156" s="103">
        <f t="shared" ca="1" si="155"/>
        <v>1.5934515715066482</v>
      </c>
      <c r="AB156" s="103">
        <f t="shared" ca="1" si="155"/>
        <v>1.5934515715066482</v>
      </c>
      <c r="AC156" s="103">
        <f t="shared" ca="1" si="155"/>
        <v>0</v>
      </c>
      <c r="AD156" s="103">
        <f t="shared" ca="1" si="155"/>
        <v>0</v>
      </c>
      <c r="AE156" s="103">
        <f t="shared" ca="1" si="155"/>
        <v>0</v>
      </c>
      <c r="AF156" s="103">
        <f t="shared" ca="1" si="155"/>
        <v>0</v>
      </c>
      <c r="AG156" s="103">
        <f t="shared" ca="1" si="155"/>
        <v>0</v>
      </c>
      <c r="AH156" s="103"/>
      <c r="AI156" s="103">
        <f ca="1">NPV(Lookups!$E$17,G156:AG156)</f>
        <v>70.746644596932484</v>
      </c>
      <c r="AJ156" s="103">
        <f ca="1">IF($C$4=Year1,-PMT(Lookups!$E$17,25,NPV(Lookups!$E$17,G156:AE156),0,1),IF($C$4=Year2,-PMT(Lookups!$F$17,25,NPV(Lookups!$F$17,H156:AF156),0,1),IF($C$4=Year3,-PMT(Lookups!$G$17,25,NPV(Lookups!$G$17,I156:AG156),0,1),-PMT(Lookups!$G$17,27,NPV(Lookups!$G$17,G156:AG156),0,1))))</f>
        <v>3.4271685397669507</v>
      </c>
      <c r="AM156" s="149">
        <f ca="1">AM151-AM145</f>
        <v>0</v>
      </c>
      <c r="AN156" s="149">
        <f t="shared" ref="AN156:BM156" ca="1" si="156">AN151-AN145</f>
        <v>0</v>
      </c>
      <c r="AO156" s="149">
        <f t="shared" ca="1" si="156"/>
        <v>56.800038094637898</v>
      </c>
      <c r="AP156" s="149">
        <f t="shared" ca="1" si="156"/>
        <v>1.8264174955096451</v>
      </c>
      <c r="AQ156" s="149">
        <f t="shared" ca="1" si="156"/>
        <v>1.8264174955096451</v>
      </c>
      <c r="AR156" s="149">
        <f t="shared" ca="1" si="156"/>
        <v>1.8264174955096451</v>
      </c>
      <c r="AS156" s="149">
        <f t="shared" ca="1" si="156"/>
        <v>1.8264174955096451</v>
      </c>
      <c r="AT156" s="149">
        <f t="shared" ca="1" si="156"/>
        <v>1.8264174955096451</v>
      </c>
      <c r="AU156" s="149">
        <f t="shared" ca="1" si="156"/>
        <v>1.8264174955096451</v>
      </c>
      <c r="AV156" s="149">
        <f t="shared" ca="1" si="156"/>
        <v>1.8264174955096451</v>
      </c>
      <c r="AW156" s="149">
        <f t="shared" ca="1" si="156"/>
        <v>1.8264174955096451</v>
      </c>
      <c r="AX156" s="149">
        <f t="shared" ca="1" si="156"/>
        <v>1.8264174955096451</v>
      </c>
      <c r="AY156" s="149">
        <f t="shared" ca="1" si="156"/>
        <v>1.8264174955096451</v>
      </c>
      <c r="AZ156" s="149">
        <f t="shared" ca="1" si="156"/>
        <v>1.8264174955096451</v>
      </c>
      <c r="BA156" s="149">
        <f t="shared" ca="1" si="156"/>
        <v>1.8264174955096451</v>
      </c>
      <c r="BB156" s="149">
        <f t="shared" ca="1" si="156"/>
        <v>1.8264174955096451</v>
      </c>
      <c r="BC156" s="149">
        <f t="shared" ca="1" si="156"/>
        <v>1.8264174955096451</v>
      </c>
      <c r="BD156" s="149">
        <f t="shared" ca="1" si="156"/>
        <v>1.8264174955096451</v>
      </c>
      <c r="BE156" s="149">
        <f t="shared" ca="1" si="156"/>
        <v>1.8264174955096451</v>
      </c>
      <c r="BF156" s="149">
        <f t="shared" ca="1" si="156"/>
        <v>1.8264174955096451</v>
      </c>
      <c r="BG156" s="149">
        <f t="shared" ca="1" si="156"/>
        <v>1.8264174955096451</v>
      </c>
      <c r="BH156" s="149">
        <f t="shared" ca="1" si="156"/>
        <v>1.8264174955096451</v>
      </c>
      <c r="BI156" s="149">
        <f t="shared" ca="1" si="156"/>
        <v>0</v>
      </c>
      <c r="BJ156" s="149">
        <f t="shared" ca="1" si="156"/>
        <v>0</v>
      </c>
      <c r="BK156" s="149">
        <f t="shared" ca="1" si="156"/>
        <v>0</v>
      </c>
      <c r="BL156" s="149">
        <f t="shared" ca="1" si="156"/>
        <v>0</v>
      </c>
      <c r="BM156" s="149">
        <f t="shared" ca="1" si="156"/>
        <v>0</v>
      </c>
      <c r="BN156" s="149"/>
      <c r="BO156" s="149">
        <f ca="1">NPV(Lookups!$E$17,AM156:BM156)</f>
        <v>83.452820380543471</v>
      </c>
      <c r="BP156" s="149">
        <f ca="1">IF($C$4=Year1,-PMT(Lookups!$E$17,25,NPV(Lookups!$E$17,AM156:BK156),0,1),IF($C$4=Year2,-PMT(Lookups!$F$17,25,NPV(Lookups!$F$17,AN156:BL156),0,1),IF($C$4=Year3,-PMT(Lookups!$G$17,25,NPV(Lookups!$G$17,AO156:BM156),0,1),-PMT(Lookups!$G$17,27,NPV(Lookups!$G$17,AM156:BM156),0,1))))</f>
        <v>4.0426918081062162</v>
      </c>
      <c r="BS156" s="84" t="s">
        <v>241</v>
      </c>
      <c r="BT156" s="51" t="s">
        <v>17</v>
      </c>
    </row>
    <row r="157" spans="1:72" x14ac:dyDescent="0.25">
      <c r="B157" s="243" t="str">
        <f t="shared" si="152"/>
        <v>Low-Income</v>
      </c>
      <c r="C157" s="243" t="str">
        <f t="shared" si="152"/>
        <v>Bills</v>
      </c>
      <c r="D157" s="244" t="str">
        <f t="shared" si="152"/>
        <v>Change in Bills</v>
      </c>
      <c r="E157" s="84" t="s">
        <v>348</v>
      </c>
      <c r="F157" s="84" t="s">
        <v>16</v>
      </c>
      <c r="G157" s="223">
        <f ca="1">IFERROR(G151/G145-1,0)</f>
        <v>0</v>
      </c>
      <c r="H157" s="223">
        <f t="shared" ref="H157:AG157" ca="1" si="157">IFERROR(H151/H145-1,0)</f>
        <v>0</v>
      </c>
      <c r="I157" s="223">
        <f t="shared" ca="1" si="157"/>
        <v>7.739728848072791E-2</v>
      </c>
      <c r="J157" s="223">
        <f t="shared" ca="1" si="157"/>
        <v>2.6016105029997849E-3</v>
      </c>
      <c r="K157" s="223">
        <f t="shared" ca="1" si="157"/>
        <v>2.6016105029997849E-3</v>
      </c>
      <c r="L157" s="223">
        <f t="shared" ca="1" si="157"/>
        <v>2.6016105029997849E-3</v>
      </c>
      <c r="M157" s="223">
        <f t="shared" ca="1" si="157"/>
        <v>2.6016105029997849E-3</v>
      </c>
      <c r="N157" s="223">
        <f t="shared" ca="1" si="157"/>
        <v>2.6016105029997849E-3</v>
      </c>
      <c r="O157" s="223">
        <f t="shared" ca="1" si="157"/>
        <v>2.6016105029997849E-3</v>
      </c>
      <c r="P157" s="223">
        <f t="shared" ca="1" si="157"/>
        <v>2.6016105029997849E-3</v>
      </c>
      <c r="Q157" s="223">
        <f t="shared" ca="1" si="157"/>
        <v>2.6016105029997849E-3</v>
      </c>
      <c r="R157" s="223">
        <f t="shared" ca="1" si="157"/>
        <v>2.6016105029997849E-3</v>
      </c>
      <c r="S157" s="224">
        <f t="shared" ca="1" si="157"/>
        <v>2.6016105029997849E-3</v>
      </c>
      <c r="T157" s="224">
        <f t="shared" ca="1" si="157"/>
        <v>2.6016105029997849E-3</v>
      </c>
      <c r="U157" s="224">
        <f t="shared" ca="1" si="157"/>
        <v>2.6016105029997849E-3</v>
      </c>
      <c r="V157" s="224">
        <f t="shared" ca="1" si="157"/>
        <v>2.6016105029997849E-3</v>
      </c>
      <c r="W157" s="224">
        <f t="shared" ca="1" si="157"/>
        <v>2.6016105029997849E-3</v>
      </c>
      <c r="X157" s="224">
        <f t="shared" ca="1" si="157"/>
        <v>2.6016105029997849E-3</v>
      </c>
      <c r="Y157" s="224">
        <f t="shared" ca="1" si="157"/>
        <v>2.6016105029997849E-3</v>
      </c>
      <c r="Z157" s="224">
        <f t="shared" ca="1" si="157"/>
        <v>2.6016105029997849E-3</v>
      </c>
      <c r="AA157" s="224">
        <f t="shared" ca="1" si="157"/>
        <v>2.6016105029997849E-3</v>
      </c>
      <c r="AB157" s="224">
        <f t="shared" ca="1" si="157"/>
        <v>2.6016105029997849E-3</v>
      </c>
      <c r="AC157" s="224">
        <f t="shared" ca="1" si="157"/>
        <v>0</v>
      </c>
      <c r="AD157" s="224">
        <f t="shared" ca="1" si="157"/>
        <v>0</v>
      </c>
      <c r="AE157" s="224">
        <f t="shared" ca="1" si="157"/>
        <v>0</v>
      </c>
      <c r="AF157" s="224">
        <f t="shared" ca="1" si="157"/>
        <v>0</v>
      </c>
      <c r="AG157" s="224">
        <f t="shared" ca="1" si="157"/>
        <v>0</v>
      </c>
      <c r="AH157" s="224"/>
      <c r="AI157" s="224"/>
      <c r="AJ157" s="224">
        <f t="shared" ref="AJ157" ca="1" si="158">IFERROR(AJ151/AJ145-1,0)</f>
        <v>5.6746423351128339E-3</v>
      </c>
      <c r="AK157" s="212"/>
      <c r="AL157" s="212"/>
      <c r="AM157" s="504">
        <f ca="1">IFERROR(AM151/AM145-1,0)</f>
        <v>0</v>
      </c>
      <c r="AN157" s="504">
        <f t="shared" ref="AN157:BM157" ca="1" si="159">IFERROR(AN151/AN145-1,0)</f>
        <v>0</v>
      </c>
      <c r="AO157" s="504">
        <f t="shared" ca="1" si="159"/>
        <v>9.2736784926621851E-2</v>
      </c>
      <c r="AP157" s="504">
        <f t="shared" ca="1" si="159"/>
        <v>2.9819713533483228E-3</v>
      </c>
      <c r="AQ157" s="504">
        <f t="shared" ca="1" si="159"/>
        <v>2.9819713533483228E-3</v>
      </c>
      <c r="AR157" s="504">
        <f t="shared" ca="1" si="159"/>
        <v>2.9819713533483228E-3</v>
      </c>
      <c r="AS157" s="504">
        <f t="shared" ca="1" si="159"/>
        <v>2.9819713533483228E-3</v>
      </c>
      <c r="AT157" s="504">
        <f t="shared" ca="1" si="159"/>
        <v>2.9819713533483228E-3</v>
      </c>
      <c r="AU157" s="504">
        <f t="shared" ca="1" si="159"/>
        <v>2.9819713533483228E-3</v>
      </c>
      <c r="AV157" s="504">
        <f t="shared" ca="1" si="159"/>
        <v>2.9819713533483228E-3</v>
      </c>
      <c r="AW157" s="504">
        <f t="shared" ca="1" si="159"/>
        <v>2.9819713533483228E-3</v>
      </c>
      <c r="AX157" s="504">
        <f t="shared" ca="1" si="159"/>
        <v>2.9819713533483228E-3</v>
      </c>
      <c r="AY157" s="504">
        <f t="shared" ca="1" si="159"/>
        <v>2.9819713533483228E-3</v>
      </c>
      <c r="AZ157" s="504">
        <f t="shared" ca="1" si="159"/>
        <v>2.9819713533483228E-3</v>
      </c>
      <c r="BA157" s="504">
        <f t="shared" ca="1" si="159"/>
        <v>2.9819713533483228E-3</v>
      </c>
      <c r="BB157" s="504">
        <f t="shared" ca="1" si="159"/>
        <v>2.9819713533483228E-3</v>
      </c>
      <c r="BC157" s="504">
        <f t="shared" ca="1" si="159"/>
        <v>2.9819713533483228E-3</v>
      </c>
      <c r="BD157" s="504">
        <f t="shared" ca="1" si="159"/>
        <v>2.9819713533483228E-3</v>
      </c>
      <c r="BE157" s="504">
        <f t="shared" ca="1" si="159"/>
        <v>2.9819713533483228E-3</v>
      </c>
      <c r="BF157" s="504">
        <f t="shared" ca="1" si="159"/>
        <v>2.9819713533483228E-3</v>
      </c>
      <c r="BG157" s="504">
        <f t="shared" ca="1" si="159"/>
        <v>2.9819713533483228E-3</v>
      </c>
      <c r="BH157" s="504">
        <f t="shared" ca="1" si="159"/>
        <v>2.9819713533483228E-3</v>
      </c>
      <c r="BI157" s="504">
        <f t="shared" ca="1" si="159"/>
        <v>0</v>
      </c>
      <c r="BJ157" s="504">
        <f t="shared" ca="1" si="159"/>
        <v>0</v>
      </c>
      <c r="BK157" s="504">
        <f t="shared" ca="1" si="159"/>
        <v>0</v>
      </c>
      <c r="BL157" s="504">
        <f t="shared" ca="1" si="159"/>
        <v>0</v>
      </c>
      <c r="BM157" s="504">
        <f t="shared" ca="1" si="159"/>
        <v>0</v>
      </c>
      <c r="BN157" s="504"/>
      <c r="BO157" s="504"/>
      <c r="BP157" s="504">
        <f t="shared" ref="BP157" ca="1" si="160">IFERROR(BP151/BP145-1,0)</f>
        <v>6.693814388146313E-3</v>
      </c>
      <c r="BS157" s="84" t="s">
        <v>242</v>
      </c>
      <c r="BT157" s="51" t="s">
        <v>17</v>
      </c>
    </row>
    <row r="158" spans="1:72" x14ac:dyDescent="0.25">
      <c r="B158" s="243" t="str">
        <f t="shared" si="152"/>
        <v>Low-Income</v>
      </c>
      <c r="C158" s="243" t="str">
        <f t="shared" si="152"/>
        <v>Bills</v>
      </c>
      <c r="D158" s="244" t="str">
        <f t="shared" si="152"/>
        <v>Change in Bills</v>
      </c>
      <c r="E158" s="84" t="s">
        <v>349</v>
      </c>
      <c r="F158" s="84" t="s">
        <v>32</v>
      </c>
      <c r="G158" s="103">
        <f ca="1">G152-G145</f>
        <v>0</v>
      </c>
      <c r="H158" s="103">
        <f t="shared" ref="H158:AG158" ca="1" si="161">H152-H145</f>
        <v>0</v>
      </c>
      <c r="I158" s="103">
        <f t="shared" ca="1" si="161"/>
        <v>33.252634408852259</v>
      </c>
      <c r="J158" s="103">
        <f t="shared" ca="1" si="161"/>
        <v>-11.454106742893259</v>
      </c>
      <c r="K158" s="103">
        <f t="shared" ca="1" si="161"/>
        <v>-11.454106742893259</v>
      </c>
      <c r="L158" s="103">
        <f t="shared" ca="1" si="161"/>
        <v>-11.454106742893259</v>
      </c>
      <c r="M158" s="103">
        <f t="shared" ca="1" si="161"/>
        <v>-11.454106742893259</v>
      </c>
      <c r="N158" s="103">
        <f t="shared" ca="1" si="161"/>
        <v>-11.454106742893259</v>
      </c>
      <c r="O158" s="103">
        <f t="shared" ca="1" si="161"/>
        <v>-11.454106742893259</v>
      </c>
      <c r="P158" s="103">
        <f t="shared" ca="1" si="161"/>
        <v>-11.454106742893259</v>
      </c>
      <c r="Q158" s="103">
        <f t="shared" ca="1" si="161"/>
        <v>-11.454106742893259</v>
      </c>
      <c r="R158" s="103">
        <f t="shared" ca="1" si="161"/>
        <v>-11.454106742893259</v>
      </c>
      <c r="S158" s="103">
        <f t="shared" ca="1" si="161"/>
        <v>-11.454106742893259</v>
      </c>
      <c r="T158" s="103">
        <f t="shared" ca="1" si="161"/>
        <v>-11.454106742893259</v>
      </c>
      <c r="U158" s="103">
        <f t="shared" ca="1" si="161"/>
        <v>-11.454106742893259</v>
      </c>
      <c r="V158" s="103">
        <f t="shared" ca="1" si="161"/>
        <v>-11.454106742893259</v>
      </c>
      <c r="W158" s="103">
        <f t="shared" ca="1" si="161"/>
        <v>-11.454106742893259</v>
      </c>
      <c r="X158" s="103">
        <f t="shared" ca="1" si="161"/>
        <v>-11.454106742893259</v>
      </c>
      <c r="Y158" s="103">
        <f t="shared" ca="1" si="161"/>
        <v>-11.454106742893259</v>
      </c>
      <c r="Z158" s="103">
        <f t="shared" ca="1" si="161"/>
        <v>-11.454106742893259</v>
      </c>
      <c r="AA158" s="103">
        <f t="shared" ca="1" si="161"/>
        <v>-11.454106742893259</v>
      </c>
      <c r="AB158" s="103">
        <f t="shared" ca="1" si="161"/>
        <v>-11.454106742893259</v>
      </c>
      <c r="AC158" s="103">
        <f t="shared" ca="1" si="161"/>
        <v>0</v>
      </c>
      <c r="AD158" s="103">
        <f t="shared" ca="1" si="161"/>
        <v>0</v>
      </c>
      <c r="AE158" s="103">
        <f t="shared" ca="1" si="161"/>
        <v>0</v>
      </c>
      <c r="AF158" s="103">
        <f t="shared" ca="1" si="161"/>
        <v>0</v>
      </c>
      <c r="AG158" s="103">
        <f t="shared" ca="1" si="161"/>
        <v>0</v>
      </c>
      <c r="AH158" s="103"/>
      <c r="AI158" s="103">
        <f ca="1">NPV(Lookups!$E$17,G158:AG158)</f>
        <v>-149.96544984498189</v>
      </c>
      <c r="AJ158" s="103">
        <f ca="1">IF($C$4=Year1,-PMT(Lookups!$E$17,25,NPV(Lookups!$E$17,G158:AE158),0,1),IF($C$4=Year2,-PMT(Lookups!$F$17,25,NPV(Lookups!$F$17,H158:AF158),0,1),IF($C$4=Year3,-PMT(Lookups!$G$17,25,NPV(Lookups!$G$17,I158:AG158),0,1),-PMT(Lookups!$G$17,27,NPV(Lookups!$G$17,G158:AG158),0,1))))</f>
        <v>-7.264752620974555</v>
      </c>
      <c r="AM158" s="149">
        <f ca="1">AM152-AM145</f>
        <v>0</v>
      </c>
      <c r="AN158" s="149">
        <f t="shared" ref="AN158:BM158" ca="1" si="162">AN152-AN145</f>
        <v>0</v>
      </c>
      <c r="AO158" s="149">
        <f t="shared" ca="1" si="162"/>
        <v>40.367230281344291</v>
      </c>
      <c r="AP158" s="149">
        <f t="shared" ca="1" si="162"/>
        <v>-13.09149749831704</v>
      </c>
      <c r="AQ158" s="149">
        <f t="shared" ca="1" si="162"/>
        <v>-13.09149749831704</v>
      </c>
      <c r="AR158" s="149">
        <f t="shared" ca="1" si="162"/>
        <v>-13.09149749831704</v>
      </c>
      <c r="AS158" s="149">
        <f t="shared" ca="1" si="162"/>
        <v>-13.09149749831704</v>
      </c>
      <c r="AT158" s="149">
        <f t="shared" ca="1" si="162"/>
        <v>-13.09149749831704</v>
      </c>
      <c r="AU158" s="149">
        <f t="shared" ca="1" si="162"/>
        <v>-13.09149749831704</v>
      </c>
      <c r="AV158" s="149">
        <f t="shared" ca="1" si="162"/>
        <v>-13.09149749831704</v>
      </c>
      <c r="AW158" s="149">
        <f t="shared" ca="1" si="162"/>
        <v>-13.09149749831704</v>
      </c>
      <c r="AX158" s="149">
        <f t="shared" ca="1" si="162"/>
        <v>-13.09149749831704</v>
      </c>
      <c r="AY158" s="149">
        <f t="shared" ca="1" si="162"/>
        <v>-13.09149749831704</v>
      </c>
      <c r="AZ158" s="149">
        <f t="shared" ca="1" si="162"/>
        <v>-13.09149749831704</v>
      </c>
      <c r="BA158" s="149">
        <f t="shared" ca="1" si="162"/>
        <v>-13.09149749831704</v>
      </c>
      <c r="BB158" s="149">
        <f t="shared" ca="1" si="162"/>
        <v>-13.09149749831704</v>
      </c>
      <c r="BC158" s="149">
        <f t="shared" ca="1" si="162"/>
        <v>-13.09149749831704</v>
      </c>
      <c r="BD158" s="149">
        <f t="shared" ca="1" si="162"/>
        <v>-13.09149749831704</v>
      </c>
      <c r="BE158" s="149">
        <f t="shared" ca="1" si="162"/>
        <v>-13.09149749831704</v>
      </c>
      <c r="BF158" s="149">
        <f t="shared" ca="1" si="162"/>
        <v>-13.09149749831704</v>
      </c>
      <c r="BG158" s="149">
        <f t="shared" ca="1" si="162"/>
        <v>-13.09149749831704</v>
      </c>
      <c r="BH158" s="149">
        <f t="shared" ca="1" si="162"/>
        <v>-13.09149749831704</v>
      </c>
      <c r="BI158" s="149">
        <f t="shared" ca="1" si="162"/>
        <v>0</v>
      </c>
      <c r="BJ158" s="149">
        <f t="shared" ca="1" si="162"/>
        <v>0</v>
      </c>
      <c r="BK158" s="149">
        <f t="shared" ca="1" si="162"/>
        <v>0</v>
      </c>
      <c r="BL158" s="149">
        <f t="shared" ca="1" si="162"/>
        <v>0</v>
      </c>
      <c r="BM158" s="149">
        <f t="shared" ca="1" si="162"/>
        <v>0</v>
      </c>
      <c r="BN158" s="149"/>
      <c r="BO158" s="149">
        <f ca="1">NPV(Lookups!$E$17,AM158:BM158)</f>
        <v>-169.13971383018955</v>
      </c>
      <c r="BP158" s="149">
        <f ca="1">IF($C$4=Year1,-PMT(Lookups!$E$17,25,NPV(Lookups!$E$17,AM158:BK158),0,1),IF($C$4=Year2,-PMT(Lookups!$F$17,25,NPV(Lookups!$F$17,AN158:BL158),0,1),IF($C$4=Year3,-PMT(Lookups!$G$17,25,NPV(Lookups!$G$17,AO158:BM158),0,1),-PMT(Lookups!$G$17,27,NPV(Lookups!$G$17,AM158:BM158),0,1))))</f>
        <v>-8.1936084653426029</v>
      </c>
      <c r="BS158" s="84" t="s">
        <v>241</v>
      </c>
      <c r="BT158" s="51" t="s">
        <v>17</v>
      </c>
    </row>
    <row r="159" spans="1:72" x14ac:dyDescent="0.25">
      <c r="B159" s="243" t="str">
        <f t="shared" si="152"/>
        <v>Low-Income</v>
      </c>
      <c r="C159" s="243" t="str">
        <f t="shared" si="152"/>
        <v>Bills</v>
      </c>
      <c r="D159" s="244" t="str">
        <f t="shared" si="152"/>
        <v>Change in Bills</v>
      </c>
      <c r="E159" s="84" t="s">
        <v>349</v>
      </c>
      <c r="F159" s="84" t="s">
        <v>16</v>
      </c>
      <c r="G159" s="223">
        <f ca="1">IFERROR(G152/G145-1,0)</f>
        <v>0</v>
      </c>
      <c r="H159" s="223">
        <f t="shared" ref="H159:AG159" ca="1" si="163">IFERROR(H152/H145-1,0)</f>
        <v>0</v>
      </c>
      <c r="I159" s="223">
        <f t="shared" ca="1" si="163"/>
        <v>5.429120311995761E-2</v>
      </c>
      <c r="J159" s="223">
        <f t="shared" ca="1" si="163"/>
        <v>-1.8700991569273961E-2</v>
      </c>
      <c r="K159" s="223">
        <f t="shared" ca="1" si="163"/>
        <v>-1.8700991569273961E-2</v>
      </c>
      <c r="L159" s="223">
        <f t="shared" ca="1" si="163"/>
        <v>-1.8700991569273961E-2</v>
      </c>
      <c r="M159" s="223">
        <f t="shared" ca="1" si="163"/>
        <v>-1.8700991569273961E-2</v>
      </c>
      <c r="N159" s="223">
        <f t="shared" ca="1" si="163"/>
        <v>-1.8700991569273961E-2</v>
      </c>
      <c r="O159" s="223">
        <f t="shared" ca="1" si="163"/>
        <v>-1.8700991569273961E-2</v>
      </c>
      <c r="P159" s="223">
        <f t="shared" ca="1" si="163"/>
        <v>-1.8700991569273961E-2</v>
      </c>
      <c r="Q159" s="223">
        <f t="shared" ca="1" si="163"/>
        <v>-1.8700991569273961E-2</v>
      </c>
      <c r="R159" s="223">
        <f t="shared" ca="1" si="163"/>
        <v>-1.8700991569273961E-2</v>
      </c>
      <c r="S159" s="224">
        <f t="shared" ca="1" si="163"/>
        <v>-1.8700991569273961E-2</v>
      </c>
      <c r="T159" s="224">
        <f t="shared" ca="1" si="163"/>
        <v>-1.8700991569273961E-2</v>
      </c>
      <c r="U159" s="224">
        <f t="shared" ca="1" si="163"/>
        <v>-1.8700991569273961E-2</v>
      </c>
      <c r="V159" s="224">
        <f t="shared" ca="1" si="163"/>
        <v>-1.8700991569273961E-2</v>
      </c>
      <c r="W159" s="224">
        <f t="shared" ca="1" si="163"/>
        <v>-1.8700991569273961E-2</v>
      </c>
      <c r="X159" s="224">
        <f t="shared" ca="1" si="163"/>
        <v>-1.8700991569273961E-2</v>
      </c>
      <c r="Y159" s="224">
        <f t="shared" ca="1" si="163"/>
        <v>-1.8700991569273961E-2</v>
      </c>
      <c r="Z159" s="224">
        <f t="shared" ca="1" si="163"/>
        <v>-1.8700991569273961E-2</v>
      </c>
      <c r="AA159" s="224">
        <f t="shared" ca="1" si="163"/>
        <v>-1.8700991569273961E-2</v>
      </c>
      <c r="AB159" s="224">
        <f t="shared" ca="1" si="163"/>
        <v>-1.8700991569273961E-2</v>
      </c>
      <c r="AC159" s="224">
        <f t="shared" ca="1" si="163"/>
        <v>0</v>
      </c>
      <c r="AD159" s="224">
        <f t="shared" ca="1" si="163"/>
        <v>0</v>
      </c>
      <c r="AE159" s="224">
        <f t="shared" ca="1" si="163"/>
        <v>0</v>
      </c>
      <c r="AF159" s="224">
        <f t="shared" ca="1" si="163"/>
        <v>0</v>
      </c>
      <c r="AG159" s="224">
        <f t="shared" ca="1" si="163"/>
        <v>0</v>
      </c>
      <c r="AH159" s="224"/>
      <c r="AI159" s="224"/>
      <c r="AJ159" s="224">
        <f t="shared" ref="AJ159" ca="1" si="164">IFERROR(AJ152/AJ145-1,0)</f>
        <v>-1.2028843139389012E-2</v>
      </c>
      <c r="AK159" s="212"/>
      <c r="AL159" s="212"/>
      <c r="AM159" s="504">
        <f ca="1">IFERROR(AM152/AM145-1,0)</f>
        <v>0</v>
      </c>
      <c r="AN159" s="504">
        <f t="shared" ref="AN159:BM159" ca="1" si="165">IFERROR(AN152/AN145-1,0)</f>
        <v>0</v>
      </c>
      <c r="AO159" s="504">
        <f t="shared" ca="1" si="165"/>
        <v>6.5907123978458104E-2</v>
      </c>
      <c r="AP159" s="504">
        <f t="shared" ca="1" si="165"/>
        <v>-2.1374341084877679E-2</v>
      </c>
      <c r="AQ159" s="504">
        <f t="shared" ca="1" si="165"/>
        <v>-2.1374341084877679E-2</v>
      </c>
      <c r="AR159" s="504">
        <f t="shared" ca="1" si="165"/>
        <v>-2.1374341084877679E-2</v>
      </c>
      <c r="AS159" s="504">
        <f t="shared" ca="1" si="165"/>
        <v>-2.1374341084877679E-2</v>
      </c>
      <c r="AT159" s="504">
        <f t="shared" ca="1" si="165"/>
        <v>-2.1374341084877679E-2</v>
      </c>
      <c r="AU159" s="504">
        <f t="shared" ca="1" si="165"/>
        <v>-2.1374341084877679E-2</v>
      </c>
      <c r="AV159" s="504">
        <f t="shared" ca="1" si="165"/>
        <v>-2.1374341084877679E-2</v>
      </c>
      <c r="AW159" s="504">
        <f t="shared" ca="1" si="165"/>
        <v>-2.1374341084877679E-2</v>
      </c>
      <c r="AX159" s="504">
        <f t="shared" ca="1" si="165"/>
        <v>-2.1374341084877679E-2</v>
      </c>
      <c r="AY159" s="504">
        <f t="shared" ca="1" si="165"/>
        <v>-2.1374341084877679E-2</v>
      </c>
      <c r="AZ159" s="504">
        <f t="shared" ca="1" si="165"/>
        <v>-2.1374341084877679E-2</v>
      </c>
      <c r="BA159" s="504">
        <f t="shared" ca="1" si="165"/>
        <v>-2.1374341084877679E-2</v>
      </c>
      <c r="BB159" s="504">
        <f t="shared" ca="1" si="165"/>
        <v>-2.1374341084877679E-2</v>
      </c>
      <c r="BC159" s="504">
        <f t="shared" ca="1" si="165"/>
        <v>-2.1374341084877679E-2</v>
      </c>
      <c r="BD159" s="504">
        <f t="shared" ca="1" si="165"/>
        <v>-2.1374341084877679E-2</v>
      </c>
      <c r="BE159" s="504">
        <f t="shared" ca="1" si="165"/>
        <v>-2.1374341084877679E-2</v>
      </c>
      <c r="BF159" s="504">
        <f t="shared" ca="1" si="165"/>
        <v>-2.1374341084877679E-2</v>
      </c>
      <c r="BG159" s="504">
        <f t="shared" ca="1" si="165"/>
        <v>-2.1374341084877679E-2</v>
      </c>
      <c r="BH159" s="504">
        <f t="shared" ca="1" si="165"/>
        <v>-2.1374341084877679E-2</v>
      </c>
      <c r="BI159" s="504">
        <f t="shared" ca="1" si="165"/>
        <v>0</v>
      </c>
      <c r="BJ159" s="504">
        <f t="shared" ca="1" si="165"/>
        <v>0</v>
      </c>
      <c r="BK159" s="504">
        <f t="shared" ca="1" si="165"/>
        <v>0</v>
      </c>
      <c r="BL159" s="504">
        <f t="shared" ca="1" si="165"/>
        <v>0</v>
      </c>
      <c r="BM159" s="504">
        <f t="shared" ca="1" si="165"/>
        <v>0</v>
      </c>
      <c r="BN159" s="504"/>
      <c r="BO159" s="504"/>
      <c r="BP159" s="504">
        <f t="shared" ref="BP159" ca="1" si="166">IFERROR(BP152/BP145-1,0)</f>
        <v>-1.3566825481519995E-2</v>
      </c>
      <c r="BS159" s="84" t="s">
        <v>242</v>
      </c>
      <c r="BT159" s="51" t="s">
        <v>17</v>
      </c>
    </row>
    <row r="160" spans="1:72" x14ac:dyDescent="0.25">
      <c r="B160" s="243" t="str">
        <f t="shared" si="152"/>
        <v>Low-Income</v>
      </c>
      <c r="C160" s="243" t="str">
        <f t="shared" si="152"/>
        <v>Bills</v>
      </c>
      <c r="D160" s="244" t="str">
        <f t="shared" si="152"/>
        <v>Change in Bills</v>
      </c>
      <c r="E160" s="84" t="str">
        <f>'EE Inputs'!$N$15&amp;" Participant Annual Bill"</f>
        <v>Low Savings Participant Annual Bill</v>
      </c>
      <c r="F160" s="84" t="s">
        <v>32</v>
      </c>
      <c r="G160" s="103">
        <f ca="1">G153-G145</f>
        <v>0</v>
      </c>
      <c r="H160" s="103">
        <f t="shared" ref="H160:AG160" ca="1" si="167">H153-H145</f>
        <v>0</v>
      </c>
      <c r="I160" s="103">
        <f t="shared" ca="1" si="167"/>
        <v>41.535488050072445</v>
      </c>
      <c r="J160" s="103">
        <f t="shared" ca="1" si="167"/>
        <v>-3.8177489442084607</v>
      </c>
      <c r="K160" s="103">
        <f t="shared" ca="1" si="167"/>
        <v>-3.8177489442084607</v>
      </c>
      <c r="L160" s="103">
        <f t="shared" ca="1" si="167"/>
        <v>-3.8177489442084607</v>
      </c>
      <c r="M160" s="103">
        <f t="shared" ca="1" si="167"/>
        <v>-3.8177489442084607</v>
      </c>
      <c r="N160" s="103">
        <f t="shared" ca="1" si="167"/>
        <v>-3.8177489442084607</v>
      </c>
      <c r="O160" s="103">
        <f t="shared" ca="1" si="167"/>
        <v>-3.8177489442084607</v>
      </c>
      <c r="P160" s="103">
        <f t="shared" ca="1" si="167"/>
        <v>-3.8177489442084607</v>
      </c>
      <c r="Q160" s="103">
        <f t="shared" ca="1" si="167"/>
        <v>-3.8177489442084607</v>
      </c>
      <c r="R160" s="103">
        <f t="shared" ca="1" si="167"/>
        <v>-3.8177489442084607</v>
      </c>
      <c r="S160" s="103">
        <f t="shared" ca="1" si="167"/>
        <v>-3.8177489442084607</v>
      </c>
      <c r="T160" s="103">
        <f t="shared" ca="1" si="167"/>
        <v>-3.8177489442084607</v>
      </c>
      <c r="U160" s="103">
        <f t="shared" ca="1" si="167"/>
        <v>-3.8177489442084607</v>
      </c>
      <c r="V160" s="103">
        <f t="shared" ca="1" si="167"/>
        <v>-3.8177489442084607</v>
      </c>
      <c r="W160" s="103">
        <f t="shared" ca="1" si="167"/>
        <v>-3.8177489442084607</v>
      </c>
      <c r="X160" s="103">
        <f t="shared" ca="1" si="167"/>
        <v>-3.8177489442084607</v>
      </c>
      <c r="Y160" s="103">
        <f t="shared" ca="1" si="167"/>
        <v>-3.8177489442084607</v>
      </c>
      <c r="Z160" s="103">
        <f t="shared" ca="1" si="167"/>
        <v>-3.8177489442084607</v>
      </c>
      <c r="AA160" s="103">
        <f t="shared" ca="1" si="167"/>
        <v>-3.8177489442084607</v>
      </c>
      <c r="AB160" s="103">
        <f t="shared" ca="1" si="167"/>
        <v>-3.8177489442084607</v>
      </c>
      <c r="AC160" s="103">
        <f t="shared" ca="1" si="167"/>
        <v>0</v>
      </c>
      <c r="AD160" s="103">
        <f t="shared" ca="1" si="167"/>
        <v>0</v>
      </c>
      <c r="AE160" s="103">
        <f t="shared" ca="1" si="167"/>
        <v>0</v>
      </c>
      <c r="AF160" s="103">
        <f t="shared" ca="1" si="167"/>
        <v>0</v>
      </c>
      <c r="AG160" s="103">
        <f t="shared" ca="1" si="167"/>
        <v>0</v>
      </c>
      <c r="AH160" s="103"/>
      <c r="AI160" s="103">
        <f ca="1">NPV(Lookups!$E$17,G160:AG160)</f>
        <v>-20.789056603999633</v>
      </c>
      <c r="AJ160" s="103">
        <f ca="1">IF($C$4=Year1,-PMT(Lookups!$E$17,25,NPV(Lookups!$E$17,G160:AE160),0,1),IF($C$4=Year2,-PMT(Lookups!$F$17,25,NPV(Lookups!$F$17,H160:AF160),0,1),IF($C$4=Year3,-PMT(Lookups!$G$17,25,NPV(Lookups!$G$17,I160:AG160),0,1),-PMT(Lookups!$G$17,27,NPV(Lookups!$G$17,G160:AG160),0,1))))</f>
        <v>-1.007080988371724</v>
      </c>
      <c r="AM160" s="149">
        <f ca="1">AM153-AM145</f>
        <v>0</v>
      </c>
      <c r="AN160" s="149">
        <f t="shared" ref="AN160:BM160" ca="1" si="168">AN153-AN145</f>
        <v>0</v>
      </c>
      <c r="AO160" s="149">
        <f t="shared" ca="1" si="168"/>
        <v>49.644118437502243</v>
      </c>
      <c r="AP160" s="149">
        <f t="shared" ca="1" si="168"/>
        <v>-4.6698187144364738</v>
      </c>
      <c r="AQ160" s="149">
        <f t="shared" ca="1" si="168"/>
        <v>-4.6698187144364738</v>
      </c>
      <c r="AR160" s="149">
        <f t="shared" ca="1" si="168"/>
        <v>-4.6698187144364738</v>
      </c>
      <c r="AS160" s="149">
        <f t="shared" ca="1" si="168"/>
        <v>-4.6698187144364738</v>
      </c>
      <c r="AT160" s="149">
        <f t="shared" ca="1" si="168"/>
        <v>-4.6698187144364738</v>
      </c>
      <c r="AU160" s="149">
        <f t="shared" ca="1" si="168"/>
        <v>-4.6698187144364738</v>
      </c>
      <c r="AV160" s="149">
        <f t="shared" ca="1" si="168"/>
        <v>-4.6698187144364738</v>
      </c>
      <c r="AW160" s="149">
        <f t="shared" ca="1" si="168"/>
        <v>-4.6698187144364738</v>
      </c>
      <c r="AX160" s="149">
        <f t="shared" ca="1" si="168"/>
        <v>-4.6698187144364738</v>
      </c>
      <c r="AY160" s="149">
        <f t="shared" ca="1" si="168"/>
        <v>-4.6698187144364738</v>
      </c>
      <c r="AZ160" s="149">
        <f t="shared" ca="1" si="168"/>
        <v>-4.6698187144364738</v>
      </c>
      <c r="BA160" s="149">
        <f t="shared" ca="1" si="168"/>
        <v>-4.6698187144364738</v>
      </c>
      <c r="BB160" s="149">
        <f t="shared" ca="1" si="168"/>
        <v>-4.6698187144364738</v>
      </c>
      <c r="BC160" s="149">
        <f t="shared" ca="1" si="168"/>
        <v>-4.6698187144364738</v>
      </c>
      <c r="BD160" s="149">
        <f t="shared" ca="1" si="168"/>
        <v>-4.6698187144364738</v>
      </c>
      <c r="BE160" s="149">
        <f t="shared" ca="1" si="168"/>
        <v>-4.6698187144364738</v>
      </c>
      <c r="BF160" s="149">
        <f t="shared" ca="1" si="168"/>
        <v>-4.6698187144364738</v>
      </c>
      <c r="BG160" s="149">
        <f t="shared" ca="1" si="168"/>
        <v>-4.6698187144364738</v>
      </c>
      <c r="BH160" s="149">
        <f t="shared" ca="1" si="168"/>
        <v>-4.6698187144364738</v>
      </c>
      <c r="BI160" s="149">
        <f t="shared" ca="1" si="168"/>
        <v>0</v>
      </c>
      <c r="BJ160" s="149">
        <f t="shared" ca="1" si="168"/>
        <v>0</v>
      </c>
      <c r="BK160" s="149">
        <f t="shared" ca="1" si="168"/>
        <v>0</v>
      </c>
      <c r="BL160" s="149">
        <f t="shared" ca="1" si="168"/>
        <v>0</v>
      </c>
      <c r="BM160" s="149">
        <f t="shared" ca="1" si="168"/>
        <v>0</v>
      </c>
      <c r="BN160" s="149"/>
      <c r="BO160" s="149">
        <f ca="1">NPV(Lookups!$E$17,AM160:BM160)</f>
        <v>-26.542495169977709</v>
      </c>
      <c r="BP160" s="149">
        <f ca="1">IF($C$4=Year1,-PMT(Lookups!$E$17,25,NPV(Lookups!$E$17,AM160:BK160),0,1),IF($C$4=Year2,-PMT(Lookups!$F$17,25,NPV(Lookups!$F$17,AN160:BL160),0,1),IF($C$4=Year3,-PMT(Lookups!$G$17,25,NPV(Lookups!$G$17,AO160:BM160),0,1),-PMT(Lookups!$G$17,27,NPV(Lookups!$G$17,AM160:BM160),0,1))))</f>
        <v>-1.285793904880232</v>
      </c>
      <c r="BS160" s="84" t="s">
        <v>241</v>
      </c>
      <c r="BT160" s="51" t="s">
        <v>17</v>
      </c>
    </row>
    <row r="161" spans="1:72" x14ac:dyDescent="0.25">
      <c r="B161" s="243" t="str">
        <f t="shared" si="152"/>
        <v>Low-Income</v>
      </c>
      <c r="C161" s="243" t="str">
        <f t="shared" si="152"/>
        <v>Bills</v>
      </c>
      <c r="D161" s="244" t="str">
        <f t="shared" si="152"/>
        <v>Change in Bills</v>
      </c>
      <c r="E161" s="84" t="str">
        <f>'EE Inputs'!$N$15&amp;" Participant Annual Bill"</f>
        <v>Low Savings Participant Annual Bill</v>
      </c>
      <c r="F161" s="84" t="s">
        <v>16</v>
      </c>
      <c r="G161" s="223">
        <f ca="1">IFERROR(G153/G145-1,0)</f>
        <v>0</v>
      </c>
      <c r="H161" s="223">
        <f t="shared" ref="H161:AG161" ca="1" si="169">IFERROR(H153/H145-1,0)</f>
        <v>0</v>
      </c>
      <c r="I161" s="223">
        <f t="shared" ca="1" si="169"/>
        <v>6.7814525330141873E-2</v>
      </c>
      <c r="J161" s="223">
        <f t="shared" ca="1" si="169"/>
        <v>-6.233195867809127E-3</v>
      </c>
      <c r="K161" s="223">
        <f t="shared" ca="1" si="169"/>
        <v>-6.233195867809127E-3</v>
      </c>
      <c r="L161" s="223">
        <f t="shared" ca="1" si="169"/>
        <v>-6.233195867809127E-3</v>
      </c>
      <c r="M161" s="223">
        <f t="shared" ca="1" si="169"/>
        <v>-6.233195867809127E-3</v>
      </c>
      <c r="N161" s="223">
        <f t="shared" ca="1" si="169"/>
        <v>-6.233195867809127E-3</v>
      </c>
      <c r="O161" s="223">
        <f t="shared" ca="1" si="169"/>
        <v>-6.233195867809127E-3</v>
      </c>
      <c r="P161" s="223">
        <f t="shared" ca="1" si="169"/>
        <v>-6.233195867809127E-3</v>
      </c>
      <c r="Q161" s="223">
        <f t="shared" ca="1" si="169"/>
        <v>-6.233195867809127E-3</v>
      </c>
      <c r="R161" s="223">
        <f t="shared" ca="1" si="169"/>
        <v>-6.233195867809127E-3</v>
      </c>
      <c r="S161" s="224">
        <f t="shared" ca="1" si="169"/>
        <v>-6.233195867809127E-3</v>
      </c>
      <c r="T161" s="224">
        <f t="shared" ca="1" si="169"/>
        <v>-6.233195867809127E-3</v>
      </c>
      <c r="U161" s="224">
        <f t="shared" ca="1" si="169"/>
        <v>-6.233195867809127E-3</v>
      </c>
      <c r="V161" s="224">
        <f t="shared" ca="1" si="169"/>
        <v>-6.233195867809127E-3</v>
      </c>
      <c r="W161" s="224">
        <f t="shared" ca="1" si="169"/>
        <v>-6.233195867809127E-3</v>
      </c>
      <c r="X161" s="224">
        <f t="shared" ca="1" si="169"/>
        <v>-6.233195867809127E-3</v>
      </c>
      <c r="Y161" s="224">
        <f t="shared" ca="1" si="169"/>
        <v>-6.233195867809127E-3</v>
      </c>
      <c r="Z161" s="224">
        <f t="shared" ca="1" si="169"/>
        <v>-6.233195867809127E-3</v>
      </c>
      <c r="AA161" s="224">
        <f t="shared" ca="1" si="169"/>
        <v>-6.233195867809127E-3</v>
      </c>
      <c r="AB161" s="224">
        <f t="shared" ca="1" si="169"/>
        <v>-6.233195867809127E-3</v>
      </c>
      <c r="AC161" s="224">
        <f t="shared" ca="1" si="169"/>
        <v>0</v>
      </c>
      <c r="AD161" s="224">
        <f t="shared" ca="1" si="169"/>
        <v>0</v>
      </c>
      <c r="AE161" s="224">
        <f t="shared" ca="1" si="169"/>
        <v>0</v>
      </c>
      <c r="AF161" s="224">
        <f t="shared" ca="1" si="169"/>
        <v>0</v>
      </c>
      <c r="AG161" s="224">
        <f t="shared" ca="1" si="169"/>
        <v>0</v>
      </c>
      <c r="AH161" s="224"/>
      <c r="AI161" s="224"/>
      <c r="AJ161" s="224">
        <f t="shared" ref="AJ161" ca="1" si="170">IFERROR(AJ153/AJ145-1,0)</f>
        <v>-1.6675060899951077E-3</v>
      </c>
      <c r="AK161" s="212"/>
      <c r="AL161" s="212"/>
      <c r="AM161" s="504">
        <f ca="1">IFERROR(AM153/AM145-1,0)</f>
        <v>0</v>
      </c>
      <c r="AN161" s="504">
        <f t="shared" ref="AN161:BM161" ca="1" si="171">IFERROR(AN153/AN145-1,0)</f>
        <v>0</v>
      </c>
      <c r="AO161" s="504">
        <f t="shared" ca="1" si="171"/>
        <v>8.105339518856769E-2</v>
      </c>
      <c r="AP161" s="504">
        <f t="shared" ca="1" si="171"/>
        <v>-7.6243606218265869E-3</v>
      </c>
      <c r="AQ161" s="504">
        <f t="shared" ca="1" si="171"/>
        <v>-7.6243606218265869E-3</v>
      </c>
      <c r="AR161" s="504">
        <f t="shared" ca="1" si="171"/>
        <v>-7.6243606218265869E-3</v>
      </c>
      <c r="AS161" s="504">
        <f t="shared" ca="1" si="171"/>
        <v>-7.6243606218265869E-3</v>
      </c>
      <c r="AT161" s="504">
        <f t="shared" ca="1" si="171"/>
        <v>-7.6243606218265869E-3</v>
      </c>
      <c r="AU161" s="504">
        <f t="shared" ca="1" si="171"/>
        <v>-7.6243606218265869E-3</v>
      </c>
      <c r="AV161" s="504">
        <f t="shared" ca="1" si="171"/>
        <v>-7.6243606218265869E-3</v>
      </c>
      <c r="AW161" s="504">
        <f t="shared" ca="1" si="171"/>
        <v>-7.6243606218265869E-3</v>
      </c>
      <c r="AX161" s="504">
        <f t="shared" ca="1" si="171"/>
        <v>-7.6243606218265869E-3</v>
      </c>
      <c r="AY161" s="504">
        <f t="shared" ca="1" si="171"/>
        <v>-7.6243606218265869E-3</v>
      </c>
      <c r="AZ161" s="504">
        <f t="shared" ca="1" si="171"/>
        <v>-7.6243606218265869E-3</v>
      </c>
      <c r="BA161" s="504">
        <f t="shared" ca="1" si="171"/>
        <v>-7.6243606218265869E-3</v>
      </c>
      <c r="BB161" s="504">
        <f t="shared" ca="1" si="171"/>
        <v>-7.6243606218265869E-3</v>
      </c>
      <c r="BC161" s="504">
        <f t="shared" ca="1" si="171"/>
        <v>-7.6243606218265869E-3</v>
      </c>
      <c r="BD161" s="504">
        <f t="shared" ca="1" si="171"/>
        <v>-7.6243606218265869E-3</v>
      </c>
      <c r="BE161" s="504">
        <f t="shared" ca="1" si="171"/>
        <v>-7.6243606218265869E-3</v>
      </c>
      <c r="BF161" s="504">
        <f t="shared" ca="1" si="171"/>
        <v>-7.6243606218265869E-3</v>
      </c>
      <c r="BG161" s="504">
        <f t="shared" ca="1" si="171"/>
        <v>-7.6243606218265869E-3</v>
      </c>
      <c r="BH161" s="504">
        <f t="shared" ca="1" si="171"/>
        <v>-7.6243606218265869E-3</v>
      </c>
      <c r="BI161" s="504">
        <f t="shared" ca="1" si="171"/>
        <v>0</v>
      </c>
      <c r="BJ161" s="504">
        <f t="shared" ca="1" si="171"/>
        <v>0</v>
      </c>
      <c r="BK161" s="504">
        <f t="shared" ca="1" si="171"/>
        <v>0</v>
      </c>
      <c r="BL161" s="504">
        <f t="shared" ca="1" si="171"/>
        <v>0</v>
      </c>
      <c r="BM161" s="504">
        <f t="shared" ca="1" si="171"/>
        <v>0</v>
      </c>
      <c r="BN161" s="504"/>
      <c r="BO161" s="504"/>
      <c r="BP161" s="504">
        <f t="shared" ref="BP161" ca="1" si="172">IFERROR(BP153/BP145-1,0)</f>
        <v>-2.1289937866200148E-3</v>
      </c>
      <c r="BS161" s="84" t="s">
        <v>242</v>
      </c>
      <c r="BT161" s="51" t="s">
        <v>17</v>
      </c>
    </row>
    <row r="162" spans="1:72" x14ac:dyDescent="0.25">
      <c r="B162" s="243" t="str">
        <f t="shared" si="152"/>
        <v>Low-Income</v>
      </c>
      <c r="C162" s="243" t="str">
        <f t="shared" si="152"/>
        <v>Bills</v>
      </c>
      <c r="D162" s="244" t="str">
        <f t="shared" si="152"/>
        <v>Change in Bills</v>
      </c>
      <c r="E162" s="84" t="str">
        <f>'EE Inputs'!$N$16&amp;" Participant Annual Bill"</f>
        <v>High Savings Participant Annual Bill</v>
      </c>
      <c r="F162" s="84" t="s">
        <v>32</v>
      </c>
      <c r="G162" s="103">
        <f ca="1">G154-G145</f>
        <v>0</v>
      </c>
      <c r="H162" s="103">
        <f t="shared" ref="H162:AG162" ca="1" si="173">H154-H145</f>
        <v>0</v>
      </c>
      <c r="I162" s="103">
        <f t="shared" ca="1" si="173"/>
        <v>6.3196039258256178</v>
      </c>
      <c r="J162" s="103">
        <f t="shared" ca="1" si="173"/>
        <v>-36.284952038498886</v>
      </c>
      <c r="K162" s="103">
        <f t="shared" ca="1" si="173"/>
        <v>-36.284952038498886</v>
      </c>
      <c r="L162" s="103">
        <f t="shared" ca="1" si="173"/>
        <v>-36.284952038498886</v>
      </c>
      <c r="M162" s="103">
        <f t="shared" ca="1" si="173"/>
        <v>-36.284952038498886</v>
      </c>
      <c r="N162" s="103">
        <f t="shared" ca="1" si="173"/>
        <v>-36.284952038498886</v>
      </c>
      <c r="O162" s="103">
        <f t="shared" ca="1" si="173"/>
        <v>-36.284952038498886</v>
      </c>
      <c r="P162" s="103">
        <f t="shared" ca="1" si="173"/>
        <v>-36.284952038498886</v>
      </c>
      <c r="Q162" s="103">
        <f t="shared" ca="1" si="173"/>
        <v>-36.284952038498886</v>
      </c>
      <c r="R162" s="103">
        <f t="shared" ca="1" si="173"/>
        <v>-36.284952038498886</v>
      </c>
      <c r="S162" s="103">
        <f t="shared" ca="1" si="173"/>
        <v>-36.284952038498886</v>
      </c>
      <c r="T162" s="103">
        <f t="shared" ca="1" si="173"/>
        <v>-36.284952038498886</v>
      </c>
      <c r="U162" s="103">
        <f t="shared" ca="1" si="173"/>
        <v>-36.284952038498886</v>
      </c>
      <c r="V162" s="103">
        <f t="shared" ca="1" si="173"/>
        <v>-36.284952038498886</v>
      </c>
      <c r="W162" s="103">
        <f t="shared" ca="1" si="173"/>
        <v>-36.284952038498886</v>
      </c>
      <c r="X162" s="103">
        <f t="shared" ca="1" si="173"/>
        <v>-36.284952038498886</v>
      </c>
      <c r="Y162" s="103">
        <f t="shared" ca="1" si="173"/>
        <v>-36.284952038498886</v>
      </c>
      <c r="Z162" s="103">
        <f t="shared" ca="1" si="173"/>
        <v>-36.284952038498886</v>
      </c>
      <c r="AA162" s="103">
        <f t="shared" ca="1" si="173"/>
        <v>-36.284952038498886</v>
      </c>
      <c r="AB162" s="103">
        <f t="shared" ca="1" si="173"/>
        <v>-36.284952038498886</v>
      </c>
      <c r="AC162" s="103">
        <f t="shared" ca="1" si="173"/>
        <v>0</v>
      </c>
      <c r="AD162" s="103">
        <f t="shared" ca="1" si="173"/>
        <v>0</v>
      </c>
      <c r="AE162" s="103">
        <f t="shared" ca="1" si="173"/>
        <v>0</v>
      </c>
      <c r="AF162" s="103">
        <f t="shared" ca="1" si="173"/>
        <v>0</v>
      </c>
      <c r="AG162" s="103">
        <f t="shared" ca="1" si="173"/>
        <v>0</v>
      </c>
      <c r="AH162" s="103"/>
      <c r="AI162" s="103">
        <f ca="1">NPV(Lookups!$E$17,G162:AG162)</f>
        <v>-570.00326380958893</v>
      </c>
      <c r="AJ162" s="103">
        <f ca="1">IF($C$4=Year1,-PMT(Lookups!$E$17,25,NPV(Lookups!$E$17,G162:AE162),0,1),IF($C$4=Year2,-PMT(Lookups!$F$17,25,NPV(Lookups!$F$17,H162:AF162),0,1),IF($C$4=Year3,-PMT(Lookups!$G$17,25,NPV(Lookups!$G$17,I162:AG162),0,1),-PMT(Lookups!$G$17,27,NPV(Lookups!$G$17,G162:AG162),0,1))))</f>
        <v>-27.612578157203618</v>
      </c>
      <c r="AM162" s="149">
        <f ca="1">AM154-AM145</f>
        <v>0</v>
      </c>
      <c r="AN162" s="149">
        <f t="shared" ref="AN162:BM162" ca="1" si="174">AN154-AN145</f>
        <v>0</v>
      </c>
      <c r="AO162" s="149">
        <f t="shared" ca="1" si="174"/>
        <v>6.7086004946883122</v>
      </c>
      <c r="AP162" s="149">
        <f t="shared" ca="1" si="174"/>
        <v>-43.647235974113187</v>
      </c>
      <c r="AQ162" s="149">
        <f t="shared" ca="1" si="174"/>
        <v>-43.647235974113187</v>
      </c>
      <c r="AR162" s="149">
        <f t="shared" ca="1" si="174"/>
        <v>-43.647235974113187</v>
      </c>
      <c r="AS162" s="149">
        <f t="shared" ca="1" si="174"/>
        <v>-43.647235974113187</v>
      </c>
      <c r="AT162" s="149">
        <f t="shared" ca="1" si="174"/>
        <v>-43.647235974113187</v>
      </c>
      <c r="AU162" s="149">
        <f t="shared" ca="1" si="174"/>
        <v>-43.647235974113187</v>
      </c>
      <c r="AV162" s="149">
        <f t="shared" ca="1" si="174"/>
        <v>-43.647235974113187</v>
      </c>
      <c r="AW162" s="149">
        <f t="shared" ca="1" si="174"/>
        <v>-43.647235974113187</v>
      </c>
      <c r="AX162" s="149">
        <f t="shared" ca="1" si="174"/>
        <v>-43.647235974113187</v>
      </c>
      <c r="AY162" s="149">
        <f t="shared" ca="1" si="174"/>
        <v>-43.647235974113187</v>
      </c>
      <c r="AZ162" s="149">
        <f t="shared" ca="1" si="174"/>
        <v>-43.647235974113187</v>
      </c>
      <c r="BA162" s="149">
        <f t="shared" ca="1" si="174"/>
        <v>-43.647235974113187</v>
      </c>
      <c r="BB162" s="149">
        <f t="shared" ca="1" si="174"/>
        <v>-43.647235974113187</v>
      </c>
      <c r="BC162" s="149">
        <f t="shared" ca="1" si="174"/>
        <v>-43.647235974113187</v>
      </c>
      <c r="BD162" s="149">
        <f t="shared" ca="1" si="174"/>
        <v>-43.647235974113187</v>
      </c>
      <c r="BE162" s="149">
        <f t="shared" ca="1" si="174"/>
        <v>-43.647235974113187</v>
      </c>
      <c r="BF162" s="149">
        <f t="shared" ca="1" si="174"/>
        <v>-43.647235974113187</v>
      </c>
      <c r="BG162" s="149">
        <f t="shared" ca="1" si="174"/>
        <v>-43.647235974113187</v>
      </c>
      <c r="BH162" s="149">
        <f t="shared" ca="1" si="174"/>
        <v>-43.647235974113187</v>
      </c>
      <c r="BI162" s="149">
        <f t="shared" ca="1" si="174"/>
        <v>0</v>
      </c>
      <c r="BJ162" s="149">
        <f t="shared" ca="1" si="174"/>
        <v>0</v>
      </c>
      <c r="BK162" s="149">
        <f t="shared" ca="1" si="174"/>
        <v>0</v>
      </c>
      <c r="BL162" s="149">
        <f t="shared" ca="1" si="174"/>
        <v>0</v>
      </c>
      <c r="BM162" s="149">
        <f t="shared" ca="1" si="174"/>
        <v>0</v>
      </c>
      <c r="BN162" s="149"/>
      <c r="BO162" s="149">
        <f ca="1">NPV(Lookups!$E$17,AM162:BM162)</f>
        <v>-686.51438847310465</v>
      </c>
      <c r="BP162" s="149">
        <f ca="1">IF($C$4=Year1,-PMT(Lookups!$E$17,25,NPV(Lookups!$E$17,AM162:BK162),0,1),IF($C$4=Year2,-PMT(Lookups!$F$17,25,NPV(Lookups!$F$17,AN162:BL162),0,1),IF($C$4=Year3,-PMT(Lookups!$G$17,25,NPV(Lookups!$G$17,AO162:BM162),0,1),-PMT(Lookups!$G$17,27,NPV(Lookups!$G$17,AM162:BM162),0,1))))</f>
        <v>-33.256708182798917</v>
      </c>
      <c r="BS162" s="84" t="s">
        <v>241</v>
      </c>
      <c r="BT162" s="51" t="s">
        <v>17</v>
      </c>
    </row>
    <row r="163" spans="1:72" x14ac:dyDescent="0.25">
      <c r="B163" s="243" t="str">
        <f t="shared" si="152"/>
        <v>Low-Income</v>
      </c>
      <c r="C163" s="243" t="str">
        <f t="shared" si="152"/>
        <v>Bills</v>
      </c>
      <c r="D163" s="244" t="str">
        <f t="shared" si="152"/>
        <v>Change in Bills</v>
      </c>
      <c r="E163" s="84" t="str">
        <f>'EE Inputs'!$N$16&amp;" Participant Annual Bill"</f>
        <v>High Savings Participant Annual Bill</v>
      </c>
      <c r="F163" s="84" t="s">
        <v>16</v>
      </c>
      <c r="G163" s="223">
        <f ca="1">IFERROR(G154/G145-1,0)</f>
        <v>0</v>
      </c>
      <c r="H163" s="223">
        <f t="shared" ref="H163:AG163" ca="1" si="175">IFERROR(H154/H145-1,0)</f>
        <v>0</v>
      </c>
      <c r="I163" s="223">
        <f t="shared" ca="1" si="175"/>
        <v>1.031794642662498E-2</v>
      </c>
      <c r="J163" s="223">
        <f t="shared" ca="1" si="175"/>
        <v>-5.9242034092662377E-2</v>
      </c>
      <c r="K163" s="223">
        <f t="shared" ca="1" si="175"/>
        <v>-5.9242034092662377E-2</v>
      </c>
      <c r="L163" s="223">
        <f t="shared" ca="1" si="175"/>
        <v>-5.9242034092662377E-2</v>
      </c>
      <c r="M163" s="223">
        <f t="shared" ca="1" si="175"/>
        <v>-5.9242034092662377E-2</v>
      </c>
      <c r="N163" s="223">
        <f t="shared" ca="1" si="175"/>
        <v>-5.9242034092662377E-2</v>
      </c>
      <c r="O163" s="223">
        <f t="shared" ca="1" si="175"/>
        <v>-5.9242034092662377E-2</v>
      </c>
      <c r="P163" s="223">
        <f t="shared" ca="1" si="175"/>
        <v>-5.9242034092662377E-2</v>
      </c>
      <c r="Q163" s="223">
        <f t="shared" ca="1" si="175"/>
        <v>-5.9242034092662377E-2</v>
      </c>
      <c r="R163" s="223">
        <f t="shared" ca="1" si="175"/>
        <v>-5.9242034092662377E-2</v>
      </c>
      <c r="S163" s="224">
        <f t="shared" ca="1" si="175"/>
        <v>-5.9242034092662377E-2</v>
      </c>
      <c r="T163" s="224">
        <f t="shared" ca="1" si="175"/>
        <v>-5.9242034092662377E-2</v>
      </c>
      <c r="U163" s="224">
        <f t="shared" ca="1" si="175"/>
        <v>-5.9242034092662377E-2</v>
      </c>
      <c r="V163" s="224">
        <f t="shared" ca="1" si="175"/>
        <v>-5.9242034092662377E-2</v>
      </c>
      <c r="W163" s="224">
        <f t="shared" ca="1" si="175"/>
        <v>-5.9242034092662377E-2</v>
      </c>
      <c r="X163" s="224">
        <f t="shared" ca="1" si="175"/>
        <v>-5.9242034092662377E-2</v>
      </c>
      <c r="Y163" s="224">
        <f t="shared" ca="1" si="175"/>
        <v>-5.9242034092662377E-2</v>
      </c>
      <c r="Z163" s="224">
        <f t="shared" ca="1" si="175"/>
        <v>-5.9242034092662377E-2</v>
      </c>
      <c r="AA163" s="224">
        <f t="shared" ca="1" si="175"/>
        <v>-5.9242034092662377E-2</v>
      </c>
      <c r="AB163" s="224">
        <f t="shared" ca="1" si="175"/>
        <v>-5.9242034092662377E-2</v>
      </c>
      <c r="AC163" s="224">
        <f t="shared" ca="1" si="175"/>
        <v>0</v>
      </c>
      <c r="AD163" s="224">
        <f t="shared" ca="1" si="175"/>
        <v>0</v>
      </c>
      <c r="AE163" s="224">
        <f t="shared" ca="1" si="175"/>
        <v>0</v>
      </c>
      <c r="AF163" s="224">
        <f t="shared" ca="1" si="175"/>
        <v>0</v>
      </c>
      <c r="AG163" s="224">
        <f t="shared" ca="1" si="175"/>
        <v>0</v>
      </c>
      <c r="AH163" s="224"/>
      <c r="AI163" s="224"/>
      <c r="AJ163" s="224">
        <f t="shared" ref="AJ163" ca="1" si="176">IFERROR(AJ154/AJ145-1,0)</f>
        <v>-4.5720396640645533E-2</v>
      </c>
      <c r="AK163" s="212"/>
      <c r="AL163" s="212"/>
      <c r="AM163" s="504">
        <f ca="1">IFERROR(AM154/AM145-1,0)</f>
        <v>0</v>
      </c>
      <c r="AN163" s="504">
        <f t="shared" ref="AN163:BM163" ca="1" si="177">IFERROR(AN154/AN145-1,0)</f>
        <v>0</v>
      </c>
      <c r="AO163" s="504">
        <f t="shared" ca="1" si="177"/>
        <v>1.0953056760243163E-2</v>
      </c>
      <c r="AP163" s="504">
        <f t="shared" ca="1" si="177"/>
        <v>-7.1262352472875601E-2</v>
      </c>
      <c r="AQ163" s="504">
        <f t="shared" ca="1" si="177"/>
        <v>-7.1262352472875601E-2</v>
      </c>
      <c r="AR163" s="504">
        <f t="shared" ca="1" si="177"/>
        <v>-7.1262352472875601E-2</v>
      </c>
      <c r="AS163" s="504">
        <f t="shared" ca="1" si="177"/>
        <v>-7.1262352472875601E-2</v>
      </c>
      <c r="AT163" s="504">
        <f t="shared" ca="1" si="177"/>
        <v>-7.1262352472875601E-2</v>
      </c>
      <c r="AU163" s="504">
        <f t="shared" ca="1" si="177"/>
        <v>-7.1262352472875601E-2</v>
      </c>
      <c r="AV163" s="504">
        <f t="shared" ca="1" si="177"/>
        <v>-7.1262352472875601E-2</v>
      </c>
      <c r="AW163" s="504">
        <f t="shared" ca="1" si="177"/>
        <v>-7.1262352472875601E-2</v>
      </c>
      <c r="AX163" s="504">
        <f t="shared" ca="1" si="177"/>
        <v>-7.1262352472875601E-2</v>
      </c>
      <c r="AY163" s="504">
        <f t="shared" ca="1" si="177"/>
        <v>-7.1262352472875601E-2</v>
      </c>
      <c r="AZ163" s="504">
        <f t="shared" ca="1" si="177"/>
        <v>-7.1262352472875601E-2</v>
      </c>
      <c r="BA163" s="504">
        <f t="shared" ca="1" si="177"/>
        <v>-7.1262352472875601E-2</v>
      </c>
      <c r="BB163" s="504">
        <f t="shared" ca="1" si="177"/>
        <v>-7.1262352472875601E-2</v>
      </c>
      <c r="BC163" s="504">
        <f t="shared" ca="1" si="177"/>
        <v>-7.1262352472875601E-2</v>
      </c>
      <c r="BD163" s="504">
        <f t="shared" ca="1" si="177"/>
        <v>-7.1262352472875601E-2</v>
      </c>
      <c r="BE163" s="504">
        <f t="shared" ca="1" si="177"/>
        <v>-7.1262352472875601E-2</v>
      </c>
      <c r="BF163" s="504">
        <f t="shared" ca="1" si="177"/>
        <v>-7.1262352472875601E-2</v>
      </c>
      <c r="BG163" s="504">
        <f t="shared" ca="1" si="177"/>
        <v>-7.1262352472875601E-2</v>
      </c>
      <c r="BH163" s="504">
        <f t="shared" ca="1" si="177"/>
        <v>-7.1262352472875601E-2</v>
      </c>
      <c r="BI163" s="504">
        <f t="shared" ca="1" si="177"/>
        <v>0</v>
      </c>
      <c r="BJ163" s="504">
        <f t="shared" ca="1" si="177"/>
        <v>0</v>
      </c>
      <c r="BK163" s="504">
        <f t="shared" ca="1" si="177"/>
        <v>0</v>
      </c>
      <c r="BL163" s="504">
        <f t="shared" ca="1" si="177"/>
        <v>0</v>
      </c>
      <c r="BM163" s="504">
        <f t="shared" ca="1" si="177"/>
        <v>0</v>
      </c>
      <c r="BN163" s="504"/>
      <c r="BO163" s="504"/>
      <c r="BP163" s="504">
        <f t="shared" ref="BP163" ca="1" si="178">IFERROR(BP154/BP145-1,0)</f>
        <v>-5.506584283521887E-2</v>
      </c>
      <c r="BS163" s="84" t="s">
        <v>242</v>
      </c>
      <c r="BT163" s="51" t="s">
        <v>17</v>
      </c>
    </row>
    <row r="164" spans="1:72" x14ac:dyDescent="0.25">
      <c r="B164" s="243" t="str">
        <f t="shared" si="152"/>
        <v>Low-Income</v>
      </c>
      <c r="C164" s="243" t="str">
        <f t="shared" si="152"/>
        <v>Bills</v>
      </c>
      <c r="D164" s="244" t="str">
        <f t="shared" si="152"/>
        <v>Change in Bills</v>
      </c>
      <c r="E164" s="84" t="s">
        <v>17</v>
      </c>
      <c r="F164" s="84"/>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S164" s="84"/>
      <c r="BT164" s="51" t="s">
        <v>17</v>
      </c>
    </row>
    <row r="165" spans="1:72" x14ac:dyDescent="0.25">
      <c r="B165" t="s">
        <v>17</v>
      </c>
      <c r="AM165" s="725"/>
      <c r="AN165" s="725"/>
      <c r="BT165" s="51" t="s">
        <v>17</v>
      </c>
    </row>
    <row r="166" spans="1:72" x14ac:dyDescent="0.25">
      <c r="B166" t="s">
        <v>17</v>
      </c>
      <c r="AM166" s="725"/>
      <c r="AN166" s="725"/>
      <c r="BT166" s="51" t="s">
        <v>17</v>
      </c>
    </row>
    <row r="167" spans="1:72" s="51" customFormat="1" ht="23.25" x14ac:dyDescent="0.25">
      <c r="A167" s="52"/>
      <c r="B167" s="195" t="str">
        <f>Lookups!$D$28</f>
        <v>Small C&amp;I</v>
      </c>
      <c r="C167" s="196"/>
      <c r="D167" s="196"/>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51" t="s">
        <v>17</v>
      </c>
    </row>
    <row r="168" spans="1:72" s="5" customFormat="1" ht="15.75" x14ac:dyDescent="0.25">
      <c r="A168" s="52"/>
      <c r="B168" s="241" t="str">
        <f>B167</f>
        <v>Small C&amp;I</v>
      </c>
      <c r="C168" s="63" t="s">
        <v>3</v>
      </c>
      <c r="D168" s="61"/>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M168" s="63"/>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S168" s="62"/>
      <c r="BT168" s="51" t="s">
        <v>17</v>
      </c>
    </row>
    <row r="169" spans="1:72" s="5" customFormat="1" x14ac:dyDescent="0.25">
      <c r="A169" s="52"/>
      <c r="B169" s="242" t="str">
        <f t="shared" ref="B169:C180" si="179">B168</f>
        <v>Small C&amp;I</v>
      </c>
      <c r="C169" s="242" t="str">
        <f>C168</f>
        <v>Customers</v>
      </c>
      <c r="D169" s="244" t="s">
        <v>3</v>
      </c>
      <c r="E169" s="77" t="s">
        <v>3</v>
      </c>
      <c r="F169" s="76" t="s">
        <v>48</v>
      </c>
      <c r="G169" s="64">
        <f>IF(G$8=0,0,INDEX('Multi-Year Inputs'!$E$12:$AE$15,MATCH($B169,'Multi-Year Inputs'!$D$12:$D$15,0),MATCH(G$7,'Multi-Year Inputs'!$E$4:$AE$4,0)))</f>
        <v>0</v>
      </c>
      <c r="H169" s="64">
        <f>IF(H$8=0,0,INDEX('Multi-Year Inputs'!$E$12:$AE$15,MATCH($B169,'Multi-Year Inputs'!$D$12:$D$15,0),MATCH(H$7,'Multi-Year Inputs'!$E$4:$AE$4,0)))</f>
        <v>0</v>
      </c>
      <c r="I169" s="64">
        <f>IF(I$8=0,0,INDEX('Multi-Year Inputs'!$E$12:$AE$15,MATCH($B169,'Multi-Year Inputs'!$D$12:$D$15,0),MATCH(I$7,'Multi-Year Inputs'!$E$4:$AE$4,0)))</f>
        <v>8983.683460097729</v>
      </c>
      <c r="J169" s="64">
        <f>IF(J$8=0,0,INDEX('Multi-Year Inputs'!$E$12:$AE$15,MATCH($B169,'Multi-Year Inputs'!$D$12:$D$15,0),MATCH(J$7,'Multi-Year Inputs'!$E$4:$AE$4,0)))</f>
        <v>8983.683460097729</v>
      </c>
      <c r="K169" s="64">
        <f>IF(K$8=0,0,INDEX('Multi-Year Inputs'!$E$12:$AE$15,MATCH($B169,'Multi-Year Inputs'!$D$12:$D$15,0),MATCH(K$7,'Multi-Year Inputs'!$E$4:$AE$4,0)))</f>
        <v>8983.683460097729</v>
      </c>
      <c r="L169" s="64">
        <f>IF(L$8=0,0,INDEX('Multi-Year Inputs'!$E$12:$AE$15,MATCH($B169,'Multi-Year Inputs'!$D$12:$D$15,0),MATCH(L$7,'Multi-Year Inputs'!$E$4:$AE$4,0)))</f>
        <v>8983.683460097729</v>
      </c>
      <c r="M169" s="64">
        <f>IF(M$8=0,0,INDEX('Multi-Year Inputs'!$E$12:$AE$15,MATCH($B169,'Multi-Year Inputs'!$D$12:$D$15,0),MATCH(M$7,'Multi-Year Inputs'!$E$4:$AE$4,0)))</f>
        <v>8983.683460097729</v>
      </c>
      <c r="N169" s="64">
        <f>IF(N$8=0,0,INDEX('Multi-Year Inputs'!$E$12:$AE$15,MATCH($B169,'Multi-Year Inputs'!$D$12:$D$15,0),MATCH(N$7,'Multi-Year Inputs'!$E$4:$AE$4,0)))</f>
        <v>8983.683460097729</v>
      </c>
      <c r="O169" s="64">
        <f>IF(O$8=0,0,INDEX('Multi-Year Inputs'!$E$12:$AE$15,MATCH($B169,'Multi-Year Inputs'!$D$12:$D$15,0),MATCH(O$7,'Multi-Year Inputs'!$E$4:$AE$4,0)))</f>
        <v>8983.683460097729</v>
      </c>
      <c r="P169" s="64">
        <f>IF(P$8=0,0,INDEX('Multi-Year Inputs'!$E$12:$AE$15,MATCH($B169,'Multi-Year Inputs'!$D$12:$D$15,0),MATCH(P$7,'Multi-Year Inputs'!$E$4:$AE$4,0)))</f>
        <v>8983.683460097729</v>
      </c>
      <c r="Q169" s="64">
        <f>IF(Q$8=0,0,INDEX('Multi-Year Inputs'!$E$12:$AE$15,MATCH($B169,'Multi-Year Inputs'!$D$12:$D$15,0),MATCH(Q$7,'Multi-Year Inputs'!$E$4:$AE$4,0)))</f>
        <v>8983.683460097729</v>
      </c>
      <c r="R169" s="64">
        <f>IF(R$8=0,0,INDEX('Multi-Year Inputs'!$E$12:$AE$15,MATCH($B169,'Multi-Year Inputs'!$D$12:$D$15,0),MATCH(R$7,'Multi-Year Inputs'!$E$4:$AE$4,0)))</f>
        <v>8983.683460097729</v>
      </c>
      <c r="S169" s="64">
        <f>IF(S$8=0,0,INDEX('Multi-Year Inputs'!$E$12:$AE$15,MATCH($B169,'Multi-Year Inputs'!$D$12:$D$15,0),MATCH(S$7,'Multi-Year Inputs'!$E$4:$AE$4,0)))</f>
        <v>8983.683460097729</v>
      </c>
      <c r="T169" s="64">
        <f>IF(T$8=0,0,INDEX('Multi-Year Inputs'!$E$12:$AE$15,MATCH($B169,'Multi-Year Inputs'!$D$12:$D$15,0),MATCH(T$7,'Multi-Year Inputs'!$E$4:$AE$4,0)))</f>
        <v>8983.683460097729</v>
      </c>
      <c r="U169" s="64">
        <f>IF(U$8=0,0,INDEX('Multi-Year Inputs'!$E$12:$AE$15,MATCH($B169,'Multi-Year Inputs'!$D$12:$D$15,0),MATCH(U$7,'Multi-Year Inputs'!$E$4:$AE$4,0)))</f>
        <v>8983.683460097729</v>
      </c>
      <c r="V169" s="64">
        <f>IF(V$8=0,0,INDEX('Multi-Year Inputs'!$E$12:$AE$15,MATCH($B169,'Multi-Year Inputs'!$D$12:$D$15,0),MATCH(V$7,'Multi-Year Inputs'!$E$4:$AE$4,0)))</f>
        <v>8983.683460097729</v>
      </c>
      <c r="W169" s="64">
        <f>IF(W$8=0,0,INDEX('Multi-Year Inputs'!$E$12:$AE$15,MATCH($B169,'Multi-Year Inputs'!$D$12:$D$15,0),MATCH(W$7,'Multi-Year Inputs'!$E$4:$AE$4,0)))</f>
        <v>8983.683460097729</v>
      </c>
      <c r="X169" s="64">
        <f>IF(X$8=0,0,INDEX('Multi-Year Inputs'!$E$12:$AE$15,MATCH($B169,'Multi-Year Inputs'!$D$12:$D$15,0),MATCH(X$7,'Multi-Year Inputs'!$E$4:$AE$4,0)))</f>
        <v>8983.683460097729</v>
      </c>
      <c r="Y169" s="64">
        <f>IF(Y$8=0,0,INDEX('Multi-Year Inputs'!$E$12:$AE$15,MATCH($B169,'Multi-Year Inputs'!$D$12:$D$15,0),MATCH(Y$7,'Multi-Year Inputs'!$E$4:$AE$4,0)))</f>
        <v>8983.683460097729</v>
      </c>
      <c r="Z169" s="64">
        <f>IF(Z$8=0,0,INDEX('Multi-Year Inputs'!$E$12:$AE$15,MATCH($B169,'Multi-Year Inputs'!$D$12:$D$15,0),MATCH(Z$7,'Multi-Year Inputs'!$E$4:$AE$4,0)))</f>
        <v>8983.683460097729</v>
      </c>
      <c r="AA169" s="64">
        <f>IF(AA$8=0,0,INDEX('Multi-Year Inputs'!$E$12:$AE$15,MATCH($B169,'Multi-Year Inputs'!$D$12:$D$15,0),MATCH(AA$7,'Multi-Year Inputs'!$E$4:$AE$4,0)))</f>
        <v>8983.683460097729</v>
      </c>
      <c r="AB169" s="64">
        <f>IF(AB$8=0,0,INDEX('Multi-Year Inputs'!$E$12:$AE$15,MATCH($B169,'Multi-Year Inputs'!$D$12:$D$15,0),MATCH(AB$7,'Multi-Year Inputs'!$E$4:$AE$4,0)))</f>
        <v>8983.683460097729</v>
      </c>
      <c r="AC169" s="64">
        <f>IF(AC$8=0,0,INDEX('Multi-Year Inputs'!$E$12:$AE$15,MATCH($B169,'Multi-Year Inputs'!$D$12:$D$15,0),MATCH(AC$7,'Multi-Year Inputs'!$E$4:$AE$4,0)))</f>
        <v>8983.683460097729</v>
      </c>
      <c r="AD169" s="64">
        <f>IF(AD$8=0,0,INDEX('Multi-Year Inputs'!$E$12:$AE$15,MATCH($B169,'Multi-Year Inputs'!$D$12:$D$15,0),MATCH(AD$7,'Multi-Year Inputs'!$E$4:$AE$4,0)))</f>
        <v>8983.683460097729</v>
      </c>
      <c r="AE169" s="64">
        <f>IF(AE$8=0,0,INDEX('Multi-Year Inputs'!$E$12:$AE$15,MATCH($B169,'Multi-Year Inputs'!$D$12:$D$15,0),MATCH(AE$7,'Multi-Year Inputs'!$E$4:$AE$4,0)))</f>
        <v>8983.683460097729</v>
      </c>
      <c r="AF169" s="64">
        <f>IF(AF$8=0,0,INDEX('Multi-Year Inputs'!$E$12:$AE$15,MATCH($B169,'Multi-Year Inputs'!$D$12:$D$15,0),MATCH(AF$7,'Multi-Year Inputs'!$E$4:$AE$4,0)))</f>
        <v>8983.683460097729</v>
      </c>
      <c r="AG169" s="64">
        <f>IF(AG$8=0,0,INDEX('Multi-Year Inputs'!$E$12:$AE$15,MATCH($B169,'Multi-Year Inputs'!$D$12:$D$15,0),MATCH(AG$7,'Multi-Year Inputs'!$E$4:$AE$4,0)))</f>
        <v>8983.683460097729</v>
      </c>
      <c r="AH169" s="64"/>
      <c r="AI169" s="64"/>
      <c r="AJ169" s="64"/>
      <c r="AM169" s="71">
        <f>IF(AM$8=0,0,INDEX('Multi-Year Inputs'!$E$12:$AE$15,MATCH($B169,'Multi-Year Inputs'!$D$12:$D$15,0),MATCH(AM$7,'Multi-Year Inputs'!$E$4:$AE$4,0)))</f>
        <v>0</v>
      </c>
      <c r="AN169" s="71">
        <f>IF(AN$8=0,0,INDEX('Multi-Year Inputs'!$E$12:$AE$15,MATCH($B169,'Multi-Year Inputs'!$D$12:$D$15,0),MATCH(AN$7,'Multi-Year Inputs'!$E$4:$AE$4,0)))</f>
        <v>0</v>
      </c>
      <c r="AO169" s="71">
        <f>IF(AO$8=0,0,INDEX('Multi-Year Inputs'!$E$12:$AE$15,MATCH($B169,'Multi-Year Inputs'!$D$12:$D$15,0),MATCH(AO$7,'Multi-Year Inputs'!$E$4:$AE$4,0)))</f>
        <v>8983.683460097729</v>
      </c>
      <c r="AP169" s="71">
        <f>IF(AP$8=0,0,INDEX('Multi-Year Inputs'!$E$12:$AE$15,MATCH($B169,'Multi-Year Inputs'!$D$12:$D$15,0),MATCH(AP$7,'Multi-Year Inputs'!$E$4:$AE$4,0)))</f>
        <v>8983.683460097729</v>
      </c>
      <c r="AQ169" s="71">
        <f>IF(AQ$8=0,0,INDEX('Multi-Year Inputs'!$E$12:$AE$15,MATCH($B169,'Multi-Year Inputs'!$D$12:$D$15,0),MATCH(AQ$7,'Multi-Year Inputs'!$E$4:$AE$4,0)))</f>
        <v>8983.683460097729</v>
      </c>
      <c r="AR169" s="71">
        <f>IF(AR$8=0,0,INDEX('Multi-Year Inputs'!$E$12:$AE$15,MATCH($B169,'Multi-Year Inputs'!$D$12:$D$15,0),MATCH(AR$7,'Multi-Year Inputs'!$E$4:$AE$4,0)))</f>
        <v>8983.683460097729</v>
      </c>
      <c r="AS169" s="71">
        <f>IF(AS$8=0,0,INDEX('Multi-Year Inputs'!$E$12:$AE$15,MATCH($B169,'Multi-Year Inputs'!$D$12:$D$15,0),MATCH(AS$7,'Multi-Year Inputs'!$E$4:$AE$4,0)))</f>
        <v>8983.683460097729</v>
      </c>
      <c r="AT169" s="71">
        <f>IF(AT$8=0,0,INDEX('Multi-Year Inputs'!$E$12:$AE$15,MATCH($B169,'Multi-Year Inputs'!$D$12:$D$15,0),MATCH(AT$7,'Multi-Year Inputs'!$E$4:$AE$4,0)))</f>
        <v>8983.683460097729</v>
      </c>
      <c r="AU169" s="71">
        <f>IF(AU$8=0,0,INDEX('Multi-Year Inputs'!$E$12:$AE$15,MATCH($B169,'Multi-Year Inputs'!$D$12:$D$15,0),MATCH(AU$7,'Multi-Year Inputs'!$E$4:$AE$4,0)))</f>
        <v>8983.683460097729</v>
      </c>
      <c r="AV169" s="71">
        <f>IF(AV$8=0,0,INDEX('Multi-Year Inputs'!$E$12:$AE$15,MATCH($B169,'Multi-Year Inputs'!$D$12:$D$15,0),MATCH(AV$7,'Multi-Year Inputs'!$E$4:$AE$4,0)))</f>
        <v>8983.683460097729</v>
      </c>
      <c r="AW169" s="71">
        <f>IF(AW$8=0,0,INDEX('Multi-Year Inputs'!$E$12:$AE$15,MATCH($B169,'Multi-Year Inputs'!$D$12:$D$15,0),MATCH(AW$7,'Multi-Year Inputs'!$E$4:$AE$4,0)))</f>
        <v>8983.683460097729</v>
      </c>
      <c r="AX169" s="71">
        <f>IF(AX$8=0,0,INDEX('Multi-Year Inputs'!$E$12:$AE$15,MATCH($B169,'Multi-Year Inputs'!$D$12:$D$15,0),MATCH(AX$7,'Multi-Year Inputs'!$E$4:$AE$4,0)))</f>
        <v>8983.683460097729</v>
      </c>
      <c r="AY169" s="71">
        <f>IF(AY$8=0,0,INDEX('Multi-Year Inputs'!$E$12:$AE$15,MATCH($B169,'Multi-Year Inputs'!$D$12:$D$15,0),MATCH(AY$7,'Multi-Year Inputs'!$E$4:$AE$4,0)))</f>
        <v>8983.683460097729</v>
      </c>
      <c r="AZ169" s="71">
        <f>IF(AZ$8=0,0,INDEX('Multi-Year Inputs'!$E$12:$AE$15,MATCH($B169,'Multi-Year Inputs'!$D$12:$D$15,0),MATCH(AZ$7,'Multi-Year Inputs'!$E$4:$AE$4,0)))</f>
        <v>8983.683460097729</v>
      </c>
      <c r="BA169" s="71">
        <f>IF(BA$8=0,0,INDEX('Multi-Year Inputs'!$E$12:$AE$15,MATCH($B169,'Multi-Year Inputs'!$D$12:$D$15,0),MATCH(BA$7,'Multi-Year Inputs'!$E$4:$AE$4,0)))</f>
        <v>8983.683460097729</v>
      </c>
      <c r="BB169" s="71">
        <f>IF(BB$8=0,0,INDEX('Multi-Year Inputs'!$E$12:$AE$15,MATCH($B169,'Multi-Year Inputs'!$D$12:$D$15,0),MATCH(BB$7,'Multi-Year Inputs'!$E$4:$AE$4,0)))</f>
        <v>8983.683460097729</v>
      </c>
      <c r="BC169" s="71">
        <f>IF(BC$8=0,0,INDEX('Multi-Year Inputs'!$E$12:$AE$15,MATCH($B169,'Multi-Year Inputs'!$D$12:$D$15,0),MATCH(BC$7,'Multi-Year Inputs'!$E$4:$AE$4,0)))</f>
        <v>8983.683460097729</v>
      </c>
      <c r="BD169" s="71">
        <f>IF(BD$8=0,0,INDEX('Multi-Year Inputs'!$E$12:$AE$15,MATCH($B169,'Multi-Year Inputs'!$D$12:$D$15,0),MATCH(BD$7,'Multi-Year Inputs'!$E$4:$AE$4,0)))</f>
        <v>8983.683460097729</v>
      </c>
      <c r="BE169" s="71">
        <f>IF(BE$8=0,0,INDEX('Multi-Year Inputs'!$E$12:$AE$15,MATCH($B169,'Multi-Year Inputs'!$D$12:$D$15,0),MATCH(BE$7,'Multi-Year Inputs'!$E$4:$AE$4,0)))</f>
        <v>8983.683460097729</v>
      </c>
      <c r="BF169" s="71">
        <f>IF(BF$8=0,0,INDEX('Multi-Year Inputs'!$E$12:$AE$15,MATCH($B169,'Multi-Year Inputs'!$D$12:$D$15,0),MATCH(BF$7,'Multi-Year Inputs'!$E$4:$AE$4,0)))</f>
        <v>8983.683460097729</v>
      </c>
      <c r="BG169" s="71">
        <f>IF(BG$8=0,0,INDEX('Multi-Year Inputs'!$E$12:$AE$15,MATCH($B169,'Multi-Year Inputs'!$D$12:$D$15,0),MATCH(BG$7,'Multi-Year Inputs'!$E$4:$AE$4,0)))</f>
        <v>8983.683460097729</v>
      </c>
      <c r="BH169" s="71">
        <f>IF(BH$8=0,0,INDEX('Multi-Year Inputs'!$E$12:$AE$15,MATCH($B169,'Multi-Year Inputs'!$D$12:$D$15,0),MATCH(BH$7,'Multi-Year Inputs'!$E$4:$AE$4,0)))</f>
        <v>8983.683460097729</v>
      </c>
      <c r="BI169" s="71">
        <f>IF(BI$8=0,0,INDEX('Multi-Year Inputs'!$E$12:$AE$15,MATCH($B169,'Multi-Year Inputs'!$D$12:$D$15,0),MATCH(BI$7,'Multi-Year Inputs'!$E$4:$AE$4,0)))</f>
        <v>8983.683460097729</v>
      </c>
      <c r="BJ169" s="71">
        <f>IF(BJ$8=0,0,INDEX('Multi-Year Inputs'!$E$12:$AE$15,MATCH($B169,'Multi-Year Inputs'!$D$12:$D$15,0),MATCH(BJ$7,'Multi-Year Inputs'!$E$4:$AE$4,0)))</f>
        <v>8983.683460097729</v>
      </c>
      <c r="BK169" s="71">
        <f>IF(BK$8=0,0,INDEX('Multi-Year Inputs'!$E$12:$AE$15,MATCH($B169,'Multi-Year Inputs'!$D$12:$D$15,0),MATCH(BK$7,'Multi-Year Inputs'!$E$4:$AE$4,0)))</f>
        <v>8983.683460097729</v>
      </c>
      <c r="BL169" s="71">
        <f>IF(BL$8=0,0,INDEX('Multi-Year Inputs'!$E$12:$AE$15,MATCH($B169,'Multi-Year Inputs'!$D$12:$D$15,0),MATCH(BL$7,'Multi-Year Inputs'!$E$4:$AE$4,0)))</f>
        <v>8983.683460097729</v>
      </c>
      <c r="BM169" s="71">
        <f>IF(BM$8=0,0,INDEX('Multi-Year Inputs'!$E$12:$AE$15,MATCH($B169,'Multi-Year Inputs'!$D$12:$D$15,0),MATCH(BM$7,'Multi-Year Inputs'!$E$4:$AE$4,0)))</f>
        <v>8983.683460097729</v>
      </c>
      <c r="BN169" s="72"/>
      <c r="BO169" s="72"/>
      <c r="BP169" s="72"/>
      <c r="BS169" s="76" t="s">
        <v>89</v>
      </c>
      <c r="BT169" s="51" t="s">
        <v>17</v>
      </c>
    </row>
    <row r="170" spans="1:72" s="5" customFormat="1" x14ac:dyDescent="0.25">
      <c r="A170" s="52"/>
      <c r="B170" s="242" t="str">
        <f t="shared" si="179"/>
        <v>Small C&amp;I</v>
      </c>
      <c r="C170" s="242" t="str">
        <f>C169</f>
        <v>Customers</v>
      </c>
      <c r="D170" s="244" t="s">
        <v>40</v>
      </c>
      <c r="E170" s="77" t="s">
        <v>40</v>
      </c>
      <c r="F170" s="76" t="s">
        <v>2</v>
      </c>
      <c r="G170" s="65">
        <f ca="1">IF($C$4=Lookups!$D$40,IF(SUM(INDIRECT("'Yr1'!"&amp;ADDRESS(ROW(G170),COLUMN(G170))),INDIRECT("'Yr2'!"&amp;ADDRESS(ROW(G170),COLUMN(G170))),INDIRECT("'Yr3'!"&amp;ADDRESS(ROW(G170),COLUMN(G170))))&gt;0,"3 Yr. total",0),
IF(G$7&lt;$C$4,0,IF(G$8&lt;=SUMIFS('EE Inputs'!$V$9:$V$32,'EE Inputs'!$C$9:$C$32,$G$6,'EE Inputs'!$D$9:$D$32,$C$4,'EE Inputs'!$E$9:$E$32,$B170),SUMIFS('EE Inputs'!$V$9:$V$32,'EE Inputs'!$C$9:$C$32,$G$6,'EE Inputs'!$D$9:$D$32,$C$4,'EE Inputs'!$E$9:$E$32,$B170),0)))</f>
        <v>0</v>
      </c>
      <c r="H170" s="65">
        <f ca="1">IF($C$4=Lookups!$D$40,IF(SUM(INDIRECT("'Yr1'!"&amp;ADDRESS(ROW(H170),COLUMN(H170))),INDIRECT("'Yr2'!"&amp;ADDRESS(ROW(H170),COLUMN(H170))),INDIRECT("'Yr3'!"&amp;ADDRESS(ROW(H170),COLUMN(H170))))&gt;0,"3 Yr. total",0),
IF(H$7&lt;$C$4,0,IF(H$8&lt;=SUMIFS('EE Inputs'!$V$9:$V$32,'EE Inputs'!$C$9:$C$32,$G$6,'EE Inputs'!$D$9:$D$32,$C$4,'EE Inputs'!$E$9:$E$32,$B170),SUMIFS('EE Inputs'!$V$9:$V$32,'EE Inputs'!$C$9:$C$32,$G$6,'EE Inputs'!$D$9:$D$32,$C$4,'EE Inputs'!$E$9:$E$32,$B170),0)))</f>
        <v>0</v>
      </c>
      <c r="I170" s="65">
        <f ca="1">IF($C$4=Lookups!$D$40,IF(SUM(INDIRECT("'Yr1'!"&amp;ADDRESS(ROW(I170),COLUMN(I170))),INDIRECT("'Yr2'!"&amp;ADDRESS(ROW(I170),COLUMN(I170))),INDIRECT("'Yr3'!"&amp;ADDRESS(ROW(I170),COLUMN(I170))))&gt;0,"3 Yr. total",0),
IF(I$7&lt;$C$4,0,IF(I$8&lt;=SUMIFS('EE Inputs'!$V$9:$V$32,'EE Inputs'!$C$9:$C$32,$G$6,'EE Inputs'!$D$9:$D$32,$C$4,'EE Inputs'!$E$9:$E$32,$B170),SUMIFS('EE Inputs'!$V$9:$V$32,'EE Inputs'!$C$9:$C$32,$G$6,'EE Inputs'!$D$9:$D$32,$C$4,'EE Inputs'!$E$9:$E$32,$B170),0)))</f>
        <v>16</v>
      </c>
      <c r="J170" s="65">
        <f ca="1">IF($C$4=Lookups!$D$40,IF(SUM(INDIRECT("'Yr1'!"&amp;ADDRESS(ROW(J170),COLUMN(J170))),INDIRECT("'Yr2'!"&amp;ADDRESS(ROW(J170),COLUMN(J170))),INDIRECT("'Yr3'!"&amp;ADDRESS(ROW(J170),COLUMN(J170))))&gt;0,"3 Yr. total",0),
IF(J$7&lt;$C$4,0,IF(J$8&lt;=SUMIFS('EE Inputs'!$V$9:$V$32,'EE Inputs'!$C$9:$C$32,$G$6,'EE Inputs'!$D$9:$D$32,$C$4,'EE Inputs'!$E$9:$E$32,$B170),SUMIFS('EE Inputs'!$V$9:$V$32,'EE Inputs'!$C$9:$C$32,$G$6,'EE Inputs'!$D$9:$D$32,$C$4,'EE Inputs'!$E$9:$E$32,$B170),0)))</f>
        <v>16</v>
      </c>
      <c r="K170" s="65">
        <f ca="1">IF($C$4=Lookups!$D$40,IF(SUM(INDIRECT("'Yr1'!"&amp;ADDRESS(ROW(K170),COLUMN(K170))),INDIRECT("'Yr2'!"&amp;ADDRESS(ROW(K170),COLUMN(K170))),INDIRECT("'Yr3'!"&amp;ADDRESS(ROW(K170),COLUMN(K170))))&gt;0,"3 Yr. total",0),
IF(K$7&lt;$C$4,0,IF(K$8&lt;=SUMIFS('EE Inputs'!$V$9:$V$32,'EE Inputs'!$C$9:$C$32,$G$6,'EE Inputs'!$D$9:$D$32,$C$4,'EE Inputs'!$E$9:$E$32,$B170),SUMIFS('EE Inputs'!$V$9:$V$32,'EE Inputs'!$C$9:$C$32,$G$6,'EE Inputs'!$D$9:$D$32,$C$4,'EE Inputs'!$E$9:$E$32,$B170),0)))</f>
        <v>16</v>
      </c>
      <c r="L170" s="65">
        <f ca="1">IF($C$4=Lookups!$D$40,IF(SUM(INDIRECT("'Yr1'!"&amp;ADDRESS(ROW(L170),COLUMN(L170))),INDIRECT("'Yr2'!"&amp;ADDRESS(ROW(L170),COLUMN(L170))),INDIRECT("'Yr3'!"&amp;ADDRESS(ROW(L170),COLUMN(L170))))&gt;0,"3 Yr. total",0),
IF(L$7&lt;$C$4,0,IF(L$8&lt;=SUMIFS('EE Inputs'!$V$9:$V$32,'EE Inputs'!$C$9:$C$32,$G$6,'EE Inputs'!$D$9:$D$32,$C$4,'EE Inputs'!$E$9:$E$32,$B170),SUMIFS('EE Inputs'!$V$9:$V$32,'EE Inputs'!$C$9:$C$32,$G$6,'EE Inputs'!$D$9:$D$32,$C$4,'EE Inputs'!$E$9:$E$32,$B170),0)))</f>
        <v>16</v>
      </c>
      <c r="M170" s="65">
        <f ca="1">IF($C$4=Lookups!$D$40,IF(SUM(INDIRECT("'Yr1'!"&amp;ADDRESS(ROW(M170),COLUMN(M170))),INDIRECT("'Yr2'!"&amp;ADDRESS(ROW(M170),COLUMN(M170))),INDIRECT("'Yr3'!"&amp;ADDRESS(ROW(M170),COLUMN(M170))))&gt;0,"3 Yr. total",0),
IF(M$7&lt;$C$4,0,IF(M$8&lt;=SUMIFS('EE Inputs'!$V$9:$V$32,'EE Inputs'!$C$9:$C$32,$G$6,'EE Inputs'!$D$9:$D$32,$C$4,'EE Inputs'!$E$9:$E$32,$B170),SUMIFS('EE Inputs'!$V$9:$V$32,'EE Inputs'!$C$9:$C$32,$G$6,'EE Inputs'!$D$9:$D$32,$C$4,'EE Inputs'!$E$9:$E$32,$B170),0)))</f>
        <v>16</v>
      </c>
      <c r="N170" s="65">
        <f ca="1">IF($C$4=Lookups!$D$40,IF(SUM(INDIRECT("'Yr1'!"&amp;ADDRESS(ROW(N170),COLUMN(N170))),INDIRECT("'Yr2'!"&amp;ADDRESS(ROW(N170),COLUMN(N170))),INDIRECT("'Yr3'!"&amp;ADDRESS(ROW(N170),COLUMN(N170))))&gt;0,"3 Yr. total",0),
IF(N$7&lt;$C$4,0,IF(N$8&lt;=SUMIFS('EE Inputs'!$V$9:$V$32,'EE Inputs'!$C$9:$C$32,$G$6,'EE Inputs'!$D$9:$D$32,$C$4,'EE Inputs'!$E$9:$E$32,$B170),SUMIFS('EE Inputs'!$V$9:$V$32,'EE Inputs'!$C$9:$C$32,$G$6,'EE Inputs'!$D$9:$D$32,$C$4,'EE Inputs'!$E$9:$E$32,$B170),0)))</f>
        <v>16</v>
      </c>
      <c r="O170" s="65">
        <f ca="1">IF($C$4=Lookups!$D$40,IF(SUM(INDIRECT("'Yr1'!"&amp;ADDRESS(ROW(O170),COLUMN(O170))),INDIRECT("'Yr2'!"&amp;ADDRESS(ROW(O170),COLUMN(O170))),INDIRECT("'Yr3'!"&amp;ADDRESS(ROW(O170),COLUMN(O170))))&gt;0,"3 Yr. total",0),
IF(O$7&lt;$C$4,0,IF(O$8&lt;=SUMIFS('EE Inputs'!$V$9:$V$32,'EE Inputs'!$C$9:$C$32,$G$6,'EE Inputs'!$D$9:$D$32,$C$4,'EE Inputs'!$E$9:$E$32,$B170),SUMIFS('EE Inputs'!$V$9:$V$32,'EE Inputs'!$C$9:$C$32,$G$6,'EE Inputs'!$D$9:$D$32,$C$4,'EE Inputs'!$E$9:$E$32,$B170),0)))</f>
        <v>16</v>
      </c>
      <c r="P170" s="65">
        <f ca="1">IF($C$4=Lookups!$D$40,IF(SUM(INDIRECT("'Yr1'!"&amp;ADDRESS(ROW(P170),COLUMN(P170))),INDIRECT("'Yr2'!"&amp;ADDRESS(ROW(P170),COLUMN(P170))),INDIRECT("'Yr3'!"&amp;ADDRESS(ROW(P170),COLUMN(P170))))&gt;0,"3 Yr. total",0),
IF(P$7&lt;$C$4,0,IF(P$8&lt;=SUMIFS('EE Inputs'!$V$9:$V$32,'EE Inputs'!$C$9:$C$32,$G$6,'EE Inputs'!$D$9:$D$32,$C$4,'EE Inputs'!$E$9:$E$32,$B170),SUMIFS('EE Inputs'!$V$9:$V$32,'EE Inputs'!$C$9:$C$32,$G$6,'EE Inputs'!$D$9:$D$32,$C$4,'EE Inputs'!$E$9:$E$32,$B170),0)))</f>
        <v>16</v>
      </c>
      <c r="Q170" s="65">
        <f ca="1">IF($C$4=Lookups!$D$40,IF(SUM(INDIRECT("'Yr1'!"&amp;ADDRESS(ROW(Q170),COLUMN(Q170))),INDIRECT("'Yr2'!"&amp;ADDRESS(ROW(Q170),COLUMN(Q170))),INDIRECT("'Yr3'!"&amp;ADDRESS(ROW(Q170),COLUMN(Q170))))&gt;0,"3 Yr. total",0),
IF(Q$7&lt;$C$4,0,IF(Q$8&lt;=SUMIFS('EE Inputs'!$V$9:$V$32,'EE Inputs'!$C$9:$C$32,$G$6,'EE Inputs'!$D$9:$D$32,$C$4,'EE Inputs'!$E$9:$E$32,$B170),SUMIFS('EE Inputs'!$V$9:$V$32,'EE Inputs'!$C$9:$C$32,$G$6,'EE Inputs'!$D$9:$D$32,$C$4,'EE Inputs'!$E$9:$E$32,$B170),0)))</f>
        <v>16</v>
      </c>
      <c r="R170" s="65">
        <f ca="1">IF($C$4=Lookups!$D$40,IF(SUM(INDIRECT("'Yr1'!"&amp;ADDRESS(ROW(R170),COLUMN(R170))),INDIRECT("'Yr2'!"&amp;ADDRESS(ROW(R170),COLUMN(R170))),INDIRECT("'Yr3'!"&amp;ADDRESS(ROW(R170),COLUMN(R170))))&gt;0,"3 Yr. total",0),
IF(R$7&lt;$C$4,0,IF(R$8&lt;=SUMIFS('EE Inputs'!$V$9:$V$32,'EE Inputs'!$C$9:$C$32,$G$6,'EE Inputs'!$D$9:$D$32,$C$4,'EE Inputs'!$E$9:$E$32,$B170),SUMIFS('EE Inputs'!$V$9:$V$32,'EE Inputs'!$C$9:$C$32,$G$6,'EE Inputs'!$D$9:$D$32,$C$4,'EE Inputs'!$E$9:$E$32,$B170),0)))</f>
        <v>16</v>
      </c>
      <c r="S170" s="65">
        <f ca="1">IF($C$4=Lookups!$D$40,IF(SUM(INDIRECT("'Yr1'!"&amp;ADDRESS(ROW(S170),COLUMN(S170))),INDIRECT("'Yr2'!"&amp;ADDRESS(ROW(S170),COLUMN(S170))),INDIRECT("'Yr3'!"&amp;ADDRESS(ROW(S170),COLUMN(S170))))&gt;0,"3 Yr. total",0),
IF(S$7&lt;$C$4,0,IF(S$8&lt;=SUMIFS('EE Inputs'!$V$9:$V$32,'EE Inputs'!$C$9:$C$32,$G$6,'EE Inputs'!$D$9:$D$32,$C$4,'EE Inputs'!$E$9:$E$32,$B170),SUMIFS('EE Inputs'!$V$9:$V$32,'EE Inputs'!$C$9:$C$32,$G$6,'EE Inputs'!$D$9:$D$32,$C$4,'EE Inputs'!$E$9:$E$32,$B170),0)))</f>
        <v>16</v>
      </c>
      <c r="T170" s="65">
        <f ca="1">IF($C$4=Lookups!$D$40,IF(SUM(INDIRECT("'Yr1'!"&amp;ADDRESS(ROW(T170),COLUMN(T170))),INDIRECT("'Yr2'!"&amp;ADDRESS(ROW(T170),COLUMN(T170))),INDIRECT("'Yr3'!"&amp;ADDRESS(ROW(T170),COLUMN(T170))))&gt;0,"3 Yr. total",0),
IF(T$7&lt;$C$4,0,IF(T$8&lt;=SUMIFS('EE Inputs'!$V$9:$V$32,'EE Inputs'!$C$9:$C$32,$G$6,'EE Inputs'!$D$9:$D$32,$C$4,'EE Inputs'!$E$9:$E$32,$B170),SUMIFS('EE Inputs'!$V$9:$V$32,'EE Inputs'!$C$9:$C$32,$G$6,'EE Inputs'!$D$9:$D$32,$C$4,'EE Inputs'!$E$9:$E$32,$B170),0)))</f>
        <v>16</v>
      </c>
      <c r="U170" s="65">
        <f ca="1">IF($C$4=Lookups!$D$40,IF(SUM(INDIRECT("'Yr1'!"&amp;ADDRESS(ROW(U170),COLUMN(U170))),INDIRECT("'Yr2'!"&amp;ADDRESS(ROW(U170),COLUMN(U170))),INDIRECT("'Yr3'!"&amp;ADDRESS(ROW(U170),COLUMN(U170))))&gt;0,"3 Yr. total",0),
IF(U$7&lt;$C$4,0,IF(U$8&lt;=SUMIFS('EE Inputs'!$V$9:$V$32,'EE Inputs'!$C$9:$C$32,$G$6,'EE Inputs'!$D$9:$D$32,$C$4,'EE Inputs'!$E$9:$E$32,$B170),SUMIFS('EE Inputs'!$V$9:$V$32,'EE Inputs'!$C$9:$C$32,$G$6,'EE Inputs'!$D$9:$D$32,$C$4,'EE Inputs'!$E$9:$E$32,$B170),0)))</f>
        <v>16</v>
      </c>
      <c r="V170" s="65">
        <f ca="1">IF($C$4=Lookups!$D$40,IF(SUM(INDIRECT("'Yr1'!"&amp;ADDRESS(ROW(V170),COLUMN(V170))),INDIRECT("'Yr2'!"&amp;ADDRESS(ROW(V170),COLUMN(V170))),INDIRECT("'Yr3'!"&amp;ADDRESS(ROW(V170),COLUMN(V170))))&gt;0,"3 Yr. total",0),
IF(V$7&lt;$C$4,0,IF(V$8&lt;=SUMIFS('EE Inputs'!$V$9:$V$32,'EE Inputs'!$C$9:$C$32,$G$6,'EE Inputs'!$D$9:$D$32,$C$4,'EE Inputs'!$E$9:$E$32,$B170),SUMIFS('EE Inputs'!$V$9:$V$32,'EE Inputs'!$C$9:$C$32,$G$6,'EE Inputs'!$D$9:$D$32,$C$4,'EE Inputs'!$E$9:$E$32,$B170),0)))</f>
        <v>16</v>
      </c>
      <c r="W170" s="65">
        <f ca="1">IF($C$4=Lookups!$D$40,IF(SUM(INDIRECT("'Yr1'!"&amp;ADDRESS(ROW(W170),COLUMN(W170))),INDIRECT("'Yr2'!"&amp;ADDRESS(ROW(W170),COLUMN(W170))),INDIRECT("'Yr3'!"&amp;ADDRESS(ROW(W170),COLUMN(W170))))&gt;0,"3 Yr. total",0),
IF(W$7&lt;$C$4,0,IF(W$8&lt;=SUMIFS('EE Inputs'!$V$9:$V$32,'EE Inputs'!$C$9:$C$32,$G$6,'EE Inputs'!$D$9:$D$32,$C$4,'EE Inputs'!$E$9:$E$32,$B170),SUMIFS('EE Inputs'!$V$9:$V$32,'EE Inputs'!$C$9:$C$32,$G$6,'EE Inputs'!$D$9:$D$32,$C$4,'EE Inputs'!$E$9:$E$32,$B170),0)))</f>
        <v>16</v>
      </c>
      <c r="X170" s="65">
        <f ca="1">IF($C$4=Lookups!$D$40,IF(SUM(INDIRECT("'Yr1'!"&amp;ADDRESS(ROW(X170),COLUMN(X170))),INDIRECT("'Yr2'!"&amp;ADDRESS(ROW(X170),COLUMN(X170))),INDIRECT("'Yr3'!"&amp;ADDRESS(ROW(X170),COLUMN(X170))))&gt;0,"3 Yr. total",0),
IF(X$7&lt;$C$4,0,IF(X$8&lt;=SUMIFS('EE Inputs'!$V$9:$V$32,'EE Inputs'!$C$9:$C$32,$G$6,'EE Inputs'!$D$9:$D$32,$C$4,'EE Inputs'!$E$9:$E$32,$B170),SUMIFS('EE Inputs'!$V$9:$V$32,'EE Inputs'!$C$9:$C$32,$G$6,'EE Inputs'!$D$9:$D$32,$C$4,'EE Inputs'!$E$9:$E$32,$B170),0)))</f>
        <v>16</v>
      </c>
      <c r="Y170" s="65">
        <f ca="1">IF($C$4=Lookups!$D$40,IF(SUM(INDIRECT("'Yr1'!"&amp;ADDRESS(ROW(Y170),COLUMN(Y170))),INDIRECT("'Yr2'!"&amp;ADDRESS(ROW(Y170),COLUMN(Y170))),INDIRECT("'Yr3'!"&amp;ADDRESS(ROW(Y170),COLUMN(Y170))))&gt;0,"3 Yr. total",0),
IF(Y$7&lt;$C$4,0,IF(Y$8&lt;=SUMIFS('EE Inputs'!$V$9:$V$32,'EE Inputs'!$C$9:$C$32,$G$6,'EE Inputs'!$D$9:$D$32,$C$4,'EE Inputs'!$E$9:$E$32,$B170),SUMIFS('EE Inputs'!$V$9:$V$32,'EE Inputs'!$C$9:$C$32,$G$6,'EE Inputs'!$D$9:$D$32,$C$4,'EE Inputs'!$E$9:$E$32,$B170),0)))</f>
        <v>0</v>
      </c>
      <c r="Z170" s="65">
        <f ca="1">IF($C$4=Lookups!$D$40,IF(SUM(INDIRECT("'Yr1'!"&amp;ADDRESS(ROW(Z170),COLUMN(Z170))),INDIRECT("'Yr2'!"&amp;ADDRESS(ROW(Z170),COLUMN(Z170))),INDIRECT("'Yr3'!"&amp;ADDRESS(ROW(Z170),COLUMN(Z170))))&gt;0,"3 Yr. total",0),
IF(Z$7&lt;$C$4,0,IF(Z$8&lt;=SUMIFS('EE Inputs'!$V$9:$V$32,'EE Inputs'!$C$9:$C$32,$G$6,'EE Inputs'!$D$9:$D$32,$C$4,'EE Inputs'!$E$9:$E$32,$B170),SUMIFS('EE Inputs'!$V$9:$V$32,'EE Inputs'!$C$9:$C$32,$G$6,'EE Inputs'!$D$9:$D$32,$C$4,'EE Inputs'!$E$9:$E$32,$B170),0)))</f>
        <v>0</v>
      </c>
      <c r="AA170" s="65">
        <f ca="1">IF($C$4=Lookups!$D$40,IF(SUM(INDIRECT("'Yr1'!"&amp;ADDRESS(ROW(AA170),COLUMN(AA170))),INDIRECT("'Yr2'!"&amp;ADDRESS(ROW(AA170),COLUMN(AA170))),INDIRECT("'Yr3'!"&amp;ADDRESS(ROW(AA170),COLUMN(AA170))))&gt;0,"3 Yr. total",0),
IF(AA$7&lt;$C$4,0,IF(AA$8&lt;=SUMIFS('EE Inputs'!$V$9:$V$32,'EE Inputs'!$C$9:$C$32,$G$6,'EE Inputs'!$D$9:$D$32,$C$4,'EE Inputs'!$E$9:$E$32,$B170),SUMIFS('EE Inputs'!$V$9:$V$32,'EE Inputs'!$C$9:$C$32,$G$6,'EE Inputs'!$D$9:$D$32,$C$4,'EE Inputs'!$E$9:$E$32,$B170),0)))</f>
        <v>0</v>
      </c>
      <c r="AB170" s="65">
        <f ca="1">IF($C$4=Lookups!$D$40,IF(SUM(INDIRECT("'Yr1'!"&amp;ADDRESS(ROW(AB170),COLUMN(AB170))),INDIRECT("'Yr2'!"&amp;ADDRESS(ROW(AB170),COLUMN(AB170))),INDIRECT("'Yr3'!"&amp;ADDRESS(ROW(AB170),COLUMN(AB170))))&gt;0,"3 Yr. total",0),
IF(AB$7&lt;$C$4,0,IF(AB$8&lt;=SUMIFS('EE Inputs'!$V$9:$V$32,'EE Inputs'!$C$9:$C$32,$G$6,'EE Inputs'!$D$9:$D$32,$C$4,'EE Inputs'!$E$9:$E$32,$B170),SUMIFS('EE Inputs'!$V$9:$V$32,'EE Inputs'!$C$9:$C$32,$G$6,'EE Inputs'!$D$9:$D$32,$C$4,'EE Inputs'!$E$9:$E$32,$B170),0)))</f>
        <v>0</v>
      </c>
      <c r="AC170" s="65">
        <f ca="1">IF($C$4=Lookups!$D$40,IF(SUM(INDIRECT("'Yr1'!"&amp;ADDRESS(ROW(AC170),COLUMN(AC170))),INDIRECT("'Yr2'!"&amp;ADDRESS(ROW(AC170),COLUMN(AC170))),INDIRECT("'Yr3'!"&amp;ADDRESS(ROW(AC170),COLUMN(AC170))))&gt;0,"3 Yr. total",0),
IF(AC$7&lt;$C$4,0,IF(AC$8&lt;=SUMIFS('EE Inputs'!$V$9:$V$32,'EE Inputs'!$C$9:$C$32,$G$6,'EE Inputs'!$D$9:$D$32,$C$4,'EE Inputs'!$E$9:$E$32,$B170),SUMIFS('EE Inputs'!$V$9:$V$32,'EE Inputs'!$C$9:$C$32,$G$6,'EE Inputs'!$D$9:$D$32,$C$4,'EE Inputs'!$E$9:$E$32,$B170),0)))</f>
        <v>0</v>
      </c>
      <c r="AD170" s="65">
        <f ca="1">IF($C$4=Lookups!$D$40,IF(SUM(INDIRECT("'Yr1'!"&amp;ADDRESS(ROW(AD170),COLUMN(AD170))),INDIRECT("'Yr2'!"&amp;ADDRESS(ROW(AD170),COLUMN(AD170))),INDIRECT("'Yr3'!"&amp;ADDRESS(ROW(AD170),COLUMN(AD170))))&gt;0,"3 Yr. total",0),
IF(AD$7&lt;$C$4,0,IF(AD$8&lt;=SUMIFS('EE Inputs'!$V$9:$V$32,'EE Inputs'!$C$9:$C$32,$G$6,'EE Inputs'!$D$9:$D$32,$C$4,'EE Inputs'!$E$9:$E$32,$B170),SUMIFS('EE Inputs'!$V$9:$V$32,'EE Inputs'!$C$9:$C$32,$G$6,'EE Inputs'!$D$9:$D$32,$C$4,'EE Inputs'!$E$9:$E$32,$B170),0)))</f>
        <v>0</v>
      </c>
      <c r="AE170" s="65">
        <f ca="1">IF($C$4=Lookups!$D$40,IF(SUM(INDIRECT("'Yr1'!"&amp;ADDRESS(ROW(AE170),COLUMN(AE170))),INDIRECT("'Yr2'!"&amp;ADDRESS(ROW(AE170),COLUMN(AE170))),INDIRECT("'Yr3'!"&amp;ADDRESS(ROW(AE170),COLUMN(AE170))))&gt;0,"3 Yr. total",0),
IF(AE$7&lt;$C$4,0,IF(AE$8&lt;=SUMIFS('EE Inputs'!$V$9:$V$32,'EE Inputs'!$C$9:$C$32,$G$6,'EE Inputs'!$D$9:$D$32,$C$4,'EE Inputs'!$E$9:$E$32,$B170),SUMIFS('EE Inputs'!$V$9:$V$32,'EE Inputs'!$C$9:$C$32,$G$6,'EE Inputs'!$D$9:$D$32,$C$4,'EE Inputs'!$E$9:$E$32,$B170),0)))</f>
        <v>0</v>
      </c>
      <c r="AF170" s="65">
        <f ca="1">IF($C$4=Lookups!$D$40,IF(SUM(INDIRECT("'Yr1'!"&amp;ADDRESS(ROW(AF170),COLUMN(AF170))),INDIRECT("'Yr2'!"&amp;ADDRESS(ROW(AF170),COLUMN(AF170))),INDIRECT("'Yr3'!"&amp;ADDRESS(ROW(AF170),COLUMN(AF170))))&gt;0,"3 Yr. total",0),
IF(AF$7&lt;$C$4,0,IF(AF$8&lt;=SUMIFS('EE Inputs'!$V$9:$V$32,'EE Inputs'!$C$9:$C$32,$G$6,'EE Inputs'!$D$9:$D$32,$C$4,'EE Inputs'!$E$9:$E$32,$B170),SUMIFS('EE Inputs'!$V$9:$V$32,'EE Inputs'!$C$9:$C$32,$G$6,'EE Inputs'!$D$9:$D$32,$C$4,'EE Inputs'!$E$9:$E$32,$B170),0)))</f>
        <v>0</v>
      </c>
      <c r="AG170" s="65">
        <f ca="1">IF($C$4=Lookups!$D$40,IF(SUM(INDIRECT("'Yr1'!"&amp;ADDRESS(ROW(AG170),COLUMN(AG170))),INDIRECT("'Yr2'!"&amp;ADDRESS(ROW(AG170),COLUMN(AG170))),INDIRECT("'Yr3'!"&amp;ADDRESS(ROW(AG170),COLUMN(AG170))))&gt;0,"3 Yr. total",0),
IF(AG$7&lt;$C$4,0,IF(AG$8&lt;=SUMIFS('EE Inputs'!$V$9:$V$32,'EE Inputs'!$C$9:$C$32,$G$6,'EE Inputs'!$D$9:$D$32,$C$4,'EE Inputs'!$E$9:$E$32,$B170),SUMIFS('EE Inputs'!$V$9:$V$32,'EE Inputs'!$C$9:$C$32,$G$6,'EE Inputs'!$D$9:$D$32,$C$4,'EE Inputs'!$E$9:$E$32,$B170),0)))</f>
        <v>0</v>
      </c>
      <c r="AH170" s="65"/>
      <c r="AI170" s="65"/>
      <c r="AJ170" s="65"/>
      <c r="AM170" s="72">
        <f ca="1">IF($C$4=Lookups!$D$40,IF(SUM(INDIRECT("'Yr1'!"&amp;ADDRESS(ROW(AM170),COLUMN(AM170))),INDIRECT("'Yr2'!"&amp;ADDRESS(ROW(AM170),COLUMN(AM170))),INDIRECT("'Yr3'!"&amp;ADDRESS(ROW(AM170),COLUMN(AM170))))&gt;0,"3 Yr. total",0),
IF(AM$7&lt;$C$4,0,IF(AM$8&lt;=SUMIFS('EE Inputs'!$V$9:$V$32,'EE Inputs'!$C$9:$C$32,$AM$6,'EE Inputs'!$D$9:$D$32,$C$4,'EE Inputs'!$E$9:$E$32,$B170),SUMIFS('EE Inputs'!$V$9:$V$32,'EE Inputs'!$C$9:$C$32,$AM$6,'EE Inputs'!$D$9:$D$32,$C$4,'EE Inputs'!$E$9:$E$32,$B170),0)))</f>
        <v>0</v>
      </c>
      <c r="AN170" s="72">
        <f ca="1">IF($C$4=Lookups!$D$40,IF(SUM(INDIRECT("'Yr1'!"&amp;ADDRESS(ROW(AN170),COLUMN(AN170))),INDIRECT("'Yr2'!"&amp;ADDRESS(ROW(AN170),COLUMN(AN170))),INDIRECT("'Yr3'!"&amp;ADDRESS(ROW(AN170),COLUMN(AN170))))&gt;0,"3 Yr. total",0),
IF(AN$7&lt;$C$4,0,IF(AN$8&lt;=SUMIFS('EE Inputs'!$V$9:$V$32,'EE Inputs'!$C$9:$C$32,$AM$6,'EE Inputs'!$D$9:$D$32,$C$4,'EE Inputs'!$E$9:$E$32,$B170),SUMIFS('EE Inputs'!$V$9:$V$32,'EE Inputs'!$C$9:$C$32,$AM$6,'EE Inputs'!$D$9:$D$32,$C$4,'EE Inputs'!$E$9:$E$32,$B170),0)))</f>
        <v>0</v>
      </c>
      <c r="AO170" s="72">
        <f ca="1">IF($C$4=Lookups!$D$40,IF(SUM(INDIRECT("'Yr1'!"&amp;ADDRESS(ROW(AO170),COLUMN(AO170))),INDIRECT("'Yr2'!"&amp;ADDRESS(ROW(AO170),COLUMN(AO170))),INDIRECT("'Yr3'!"&amp;ADDRESS(ROW(AO170),COLUMN(AO170))))&gt;0,"3 Yr. total",0),
IF(AO$7&lt;$C$4,0,IF(AO$8&lt;=SUMIFS('EE Inputs'!$V$9:$V$32,'EE Inputs'!$C$9:$C$32,$AM$6,'EE Inputs'!$D$9:$D$32,$C$4,'EE Inputs'!$E$9:$E$32,$B170),SUMIFS('EE Inputs'!$V$9:$V$32,'EE Inputs'!$C$9:$C$32,$AM$6,'EE Inputs'!$D$9:$D$32,$C$4,'EE Inputs'!$E$9:$E$32,$B170),0)))</f>
        <v>16</v>
      </c>
      <c r="AP170" s="72">
        <f ca="1">IF($C$4=Lookups!$D$40,IF(SUM(INDIRECT("'Yr1'!"&amp;ADDRESS(ROW(AP170),COLUMN(AP170))),INDIRECT("'Yr2'!"&amp;ADDRESS(ROW(AP170),COLUMN(AP170))),INDIRECT("'Yr3'!"&amp;ADDRESS(ROW(AP170),COLUMN(AP170))))&gt;0,"3 Yr. total",0),
IF(AP$7&lt;$C$4,0,IF(AP$8&lt;=SUMIFS('EE Inputs'!$V$9:$V$32,'EE Inputs'!$C$9:$C$32,$AM$6,'EE Inputs'!$D$9:$D$32,$C$4,'EE Inputs'!$E$9:$E$32,$B170),SUMIFS('EE Inputs'!$V$9:$V$32,'EE Inputs'!$C$9:$C$32,$AM$6,'EE Inputs'!$D$9:$D$32,$C$4,'EE Inputs'!$E$9:$E$32,$B170),0)))</f>
        <v>16</v>
      </c>
      <c r="AQ170" s="72">
        <f ca="1">IF($C$4=Lookups!$D$40,IF(SUM(INDIRECT("'Yr1'!"&amp;ADDRESS(ROW(AQ170),COLUMN(AQ170))),INDIRECT("'Yr2'!"&amp;ADDRESS(ROW(AQ170),COLUMN(AQ170))),INDIRECT("'Yr3'!"&amp;ADDRESS(ROW(AQ170),COLUMN(AQ170))))&gt;0,"3 Yr. total",0),
IF(AQ$7&lt;$C$4,0,IF(AQ$8&lt;=SUMIFS('EE Inputs'!$V$9:$V$32,'EE Inputs'!$C$9:$C$32,$AM$6,'EE Inputs'!$D$9:$D$32,$C$4,'EE Inputs'!$E$9:$E$32,$B170),SUMIFS('EE Inputs'!$V$9:$V$32,'EE Inputs'!$C$9:$C$32,$AM$6,'EE Inputs'!$D$9:$D$32,$C$4,'EE Inputs'!$E$9:$E$32,$B170),0)))</f>
        <v>16</v>
      </c>
      <c r="AR170" s="72">
        <f ca="1">IF($C$4=Lookups!$D$40,IF(SUM(INDIRECT("'Yr1'!"&amp;ADDRESS(ROW(AR170),COLUMN(AR170))),INDIRECT("'Yr2'!"&amp;ADDRESS(ROW(AR170),COLUMN(AR170))),INDIRECT("'Yr3'!"&amp;ADDRESS(ROW(AR170),COLUMN(AR170))))&gt;0,"3 Yr. total",0),
IF(AR$7&lt;$C$4,0,IF(AR$8&lt;=SUMIFS('EE Inputs'!$V$9:$V$32,'EE Inputs'!$C$9:$C$32,$AM$6,'EE Inputs'!$D$9:$D$32,$C$4,'EE Inputs'!$E$9:$E$32,$B170),SUMIFS('EE Inputs'!$V$9:$V$32,'EE Inputs'!$C$9:$C$32,$AM$6,'EE Inputs'!$D$9:$D$32,$C$4,'EE Inputs'!$E$9:$E$32,$B170),0)))</f>
        <v>16</v>
      </c>
      <c r="AS170" s="72">
        <f ca="1">IF($C$4=Lookups!$D$40,IF(SUM(INDIRECT("'Yr1'!"&amp;ADDRESS(ROW(AS170),COLUMN(AS170))),INDIRECT("'Yr2'!"&amp;ADDRESS(ROW(AS170),COLUMN(AS170))),INDIRECT("'Yr3'!"&amp;ADDRESS(ROW(AS170),COLUMN(AS170))))&gt;0,"3 Yr. total",0),
IF(AS$7&lt;$C$4,0,IF(AS$8&lt;=SUMIFS('EE Inputs'!$V$9:$V$32,'EE Inputs'!$C$9:$C$32,$AM$6,'EE Inputs'!$D$9:$D$32,$C$4,'EE Inputs'!$E$9:$E$32,$B170),SUMIFS('EE Inputs'!$V$9:$V$32,'EE Inputs'!$C$9:$C$32,$AM$6,'EE Inputs'!$D$9:$D$32,$C$4,'EE Inputs'!$E$9:$E$32,$B170),0)))</f>
        <v>16</v>
      </c>
      <c r="AT170" s="72">
        <f ca="1">IF($C$4=Lookups!$D$40,IF(SUM(INDIRECT("'Yr1'!"&amp;ADDRESS(ROW(AT170),COLUMN(AT170))),INDIRECT("'Yr2'!"&amp;ADDRESS(ROW(AT170),COLUMN(AT170))),INDIRECT("'Yr3'!"&amp;ADDRESS(ROW(AT170),COLUMN(AT170))))&gt;0,"3 Yr. total",0),
IF(AT$7&lt;$C$4,0,IF(AT$8&lt;=SUMIFS('EE Inputs'!$V$9:$V$32,'EE Inputs'!$C$9:$C$32,$AM$6,'EE Inputs'!$D$9:$D$32,$C$4,'EE Inputs'!$E$9:$E$32,$B170),SUMIFS('EE Inputs'!$V$9:$V$32,'EE Inputs'!$C$9:$C$32,$AM$6,'EE Inputs'!$D$9:$D$32,$C$4,'EE Inputs'!$E$9:$E$32,$B170),0)))</f>
        <v>16</v>
      </c>
      <c r="AU170" s="72">
        <f ca="1">IF($C$4=Lookups!$D$40,IF(SUM(INDIRECT("'Yr1'!"&amp;ADDRESS(ROW(AU170),COLUMN(AU170))),INDIRECT("'Yr2'!"&amp;ADDRESS(ROW(AU170),COLUMN(AU170))),INDIRECT("'Yr3'!"&amp;ADDRESS(ROW(AU170),COLUMN(AU170))))&gt;0,"3 Yr. total",0),
IF(AU$7&lt;$C$4,0,IF(AU$8&lt;=SUMIFS('EE Inputs'!$V$9:$V$32,'EE Inputs'!$C$9:$C$32,$AM$6,'EE Inputs'!$D$9:$D$32,$C$4,'EE Inputs'!$E$9:$E$32,$B170),SUMIFS('EE Inputs'!$V$9:$V$32,'EE Inputs'!$C$9:$C$32,$AM$6,'EE Inputs'!$D$9:$D$32,$C$4,'EE Inputs'!$E$9:$E$32,$B170),0)))</f>
        <v>16</v>
      </c>
      <c r="AV170" s="72">
        <f ca="1">IF($C$4=Lookups!$D$40,IF(SUM(INDIRECT("'Yr1'!"&amp;ADDRESS(ROW(AV170),COLUMN(AV170))),INDIRECT("'Yr2'!"&amp;ADDRESS(ROW(AV170),COLUMN(AV170))),INDIRECT("'Yr3'!"&amp;ADDRESS(ROW(AV170),COLUMN(AV170))))&gt;0,"3 Yr. total",0),
IF(AV$7&lt;$C$4,0,IF(AV$8&lt;=SUMIFS('EE Inputs'!$V$9:$V$32,'EE Inputs'!$C$9:$C$32,$AM$6,'EE Inputs'!$D$9:$D$32,$C$4,'EE Inputs'!$E$9:$E$32,$B170),SUMIFS('EE Inputs'!$V$9:$V$32,'EE Inputs'!$C$9:$C$32,$AM$6,'EE Inputs'!$D$9:$D$32,$C$4,'EE Inputs'!$E$9:$E$32,$B170),0)))</f>
        <v>16</v>
      </c>
      <c r="AW170" s="72">
        <f ca="1">IF($C$4=Lookups!$D$40,IF(SUM(INDIRECT("'Yr1'!"&amp;ADDRESS(ROW(AW170),COLUMN(AW170))),INDIRECT("'Yr2'!"&amp;ADDRESS(ROW(AW170),COLUMN(AW170))),INDIRECT("'Yr3'!"&amp;ADDRESS(ROW(AW170),COLUMN(AW170))))&gt;0,"3 Yr. total",0),
IF(AW$7&lt;$C$4,0,IF(AW$8&lt;=SUMIFS('EE Inputs'!$V$9:$V$32,'EE Inputs'!$C$9:$C$32,$AM$6,'EE Inputs'!$D$9:$D$32,$C$4,'EE Inputs'!$E$9:$E$32,$B170),SUMIFS('EE Inputs'!$V$9:$V$32,'EE Inputs'!$C$9:$C$32,$AM$6,'EE Inputs'!$D$9:$D$32,$C$4,'EE Inputs'!$E$9:$E$32,$B170),0)))</f>
        <v>16</v>
      </c>
      <c r="AX170" s="72">
        <f ca="1">IF($C$4=Lookups!$D$40,IF(SUM(INDIRECT("'Yr1'!"&amp;ADDRESS(ROW(AX170),COLUMN(AX170))),INDIRECT("'Yr2'!"&amp;ADDRESS(ROW(AX170),COLUMN(AX170))),INDIRECT("'Yr3'!"&amp;ADDRESS(ROW(AX170),COLUMN(AX170))))&gt;0,"3 Yr. total",0),
IF(AX$7&lt;$C$4,0,IF(AX$8&lt;=SUMIFS('EE Inputs'!$V$9:$V$32,'EE Inputs'!$C$9:$C$32,$AM$6,'EE Inputs'!$D$9:$D$32,$C$4,'EE Inputs'!$E$9:$E$32,$B170),SUMIFS('EE Inputs'!$V$9:$V$32,'EE Inputs'!$C$9:$C$32,$AM$6,'EE Inputs'!$D$9:$D$32,$C$4,'EE Inputs'!$E$9:$E$32,$B170),0)))</f>
        <v>16</v>
      </c>
      <c r="AY170" s="72">
        <f ca="1">IF($C$4=Lookups!$D$40,IF(SUM(INDIRECT("'Yr1'!"&amp;ADDRESS(ROW(AY170),COLUMN(AY170))),INDIRECT("'Yr2'!"&amp;ADDRESS(ROW(AY170),COLUMN(AY170))),INDIRECT("'Yr3'!"&amp;ADDRESS(ROW(AY170),COLUMN(AY170))))&gt;0,"3 Yr. total",0),
IF(AY$7&lt;$C$4,0,IF(AY$8&lt;=SUMIFS('EE Inputs'!$V$9:$V$32,'EE Inputs'!$C$9:$C$32,$AM$6,'EE Inputs'!$D$9:$D$32,$C$4,'EE Inputs'!$E$9:$E$32,$B170),SUMIFS('EE Inputs'!$V$9:$V$32,'EE Inputs'!$C$9:$C$32,$AM$6,'EE Inputs'!$D$9:$D$32,$C$4,'EE Inputs'!$E$9:$E$32,$B170),0)))</f>
        <v>16</v>
      </c>
      <c r="AZ170" s="72">
        <f ca="1">IF($C$4=Lookups!$D$40,IF(SUM(INDIRECT("'Yr1'!"&amp;ADDRESS(ROW(AZ170),COLUMN(AZ170))),INDIRECT("'Yr2'!"&amp;ADDRESS(ROW(AZ170),COLUMN(AZ170))),INDIRECT("'Yr3'!"&amp;ADDRESS(ROW(AZ170),COLUMN(AZ170))))&gt;0,"3 Yr. total",0),
IF(AZ$7&lt;$C$4,0,IF(AZ$8&lt;=SUMIFS('EE Inputs'!$V$9:$V$32,'EE Inputs'!$C$9:$C$32,$AM$6,'EE Inputs'!$D$9:$D$32,$C$4,'EE Inputs'!$E$9:$E$32,$B170),SUMIFS('EE Inputs'!$V$9:$V$32,'EE Inputs'!$C$9:$C$32,$AM$6,'EE Inputs'!$D$9:$D$32,$C$4,'EE Inputs'!$E$9:$E$32,$B170),0)))</f>
        <v>16</v>
      </c>
      <c r="BA170" s="72">
        <f ca="1">IF($C$4=Lookups!$D$40,IF(SUM(INDIRECT("'Yr1'!"&amp;ADDRESS(ROW(BA170),COLUMN(BA170))),INDIRECT("'Yr2'!"&amp;ADDRESS(ROW(BA170),COLUMN(BA170))),INDIRECT("'Yr3'!"&amp;ADDRESS(ROW(BA170),COLUMN(BA170))))&gt;0,"3 Yr. total",0),
IF(BA$7&lt;$C$4,0,IF(BA$8&lt;=SUMIFS('EE Inputs'!$V$9:$V$32,'EE Inputs'!$C$9:$C$32,$AM$6,'EE Inputs'!$D$9:$D$32,$C$4,'EE Inputs'!$E$9:$E$32,$B170),SUMIFS('EE Inputs'!$V$9:$V$32,'EE Inputs'!$C$9:$C$32,$AM$6,'EE Inputs'!$D$9:$D$32,$C$4,'EE Inputs'!$E$9:$E$32,$B170),0)))</f>
        <v>16</v>
      </c>
      <c r="BB170" s="72">
        <f ca="1">IF($C$4=Lookups!$D$40,IF(SUM(INDIRECT("'Yr1'!"&amp;ADDRESS(ROW(BB170),COLUMN(BB170))),INDIRECT("'Yr2'!"&amp;ADDRESS(ROW(BB170),COLUMN(BB170))),INDIRECT("'Yr3'!"&amp;ADDRESS(ROW(BB170),COLUMN(BB170))))&gt;0,"3 Yr. total",0),
IF(BB$7&lt;$C$4,0,IF(BB$8&lt;=SUMIFS('EE Inputs'!$V$9:$V$32,'EE Inputs'!$C$9:$C$32,$AM$6,'EE Inputs'!$D$9:$D$32,$C$4,'EE Inputs'!$E$9:$E$32,$B170),SUMIFS('EE Inputs'!$V$9:$V$32,'EE Inputs'!$C$9:$C$32,$AM$6,'EE Inputs'!$D$9:$D$32,$C$4,'EE Inputs'!$E$9:$E$32,$B170),0)))</f>
        <v>16</v>
      </c>
      <c r="BC170" s="72">
        <f ca="1">IF($C$4=Lookups!$D$40,IF(SUM(INDIRECT("'Yr1'!"&amp;ADDRESS(ROW(BC170),COLUMN(BC170))),INDIRECT("'Yr2'!"&amp;ADDRESS(ROW(BC170),COLUMN(BC170))),INDIRECT("'Yr3'!"&amp;ADDRESS(ROW(BC170),COLUMN(BC170))))&gt;0,"3 Yr. total",0),
IF(BC$7&lt;$C$4,0,IF(BC$8&lt;=SUMIFS('EE Inputs'!$V$9:$V$32,'EE Inputs'!$C$9:$C$32,$AM$6,'EE Inputs'!$D$9:$D$32,$C$4,'EE Inputs'!$E$9:$E$32,$B170),SUMIFS('EE Inputs'!$V$9:$V$32,'EE Inputs'!$C$9:$C$32,$AM$6,'EE Inputs'!$D$9:$D$32,$C$4,'EE Inputs'!$E$9:$E$32,$B170),0)))</f>
        <v>16</v>
      </c>
      <c r="BD170" s="72">
        <f ca="1">IF($C$4=Lookups!$D$40,IF(SUM(INDIRECT("'Yr1'!"&amp;ADDRESS(ROW(BD170),COLUMN(BD170))),INDIRECT("'Yr2'!"&amp;ADDRESS(ROW(BD170),COLUMN(BD170))),INDIRECT("'Yr3'!"&amp;ADDRESS(ROW(BD170),COLUMN(BD170))))&gt;0,"3 Yr. total",0),
IF(BD$7&lt;$C$4,0,IF(BD$8&lt;=SUMIFS('EE Inputs'!$V$9:$V$32,'EE Inputs'!$C$9:$C$32,$AM$6,'EE Inputs'!$D$9:$D$32,$C$4,'EE Inputs'!$E$9:$E$32,$B170),SUMIFS('EE Inputs'!$V$9:$V$32,'EE Inputs'!$C$9:$C$32,$AM$6,'EE Inputs'!$D$9:$D$32,$C$4,'EE Inputs'!$E$9:$E$32,$B170),0)))</f>
        <v>16</v>
      </c>
      <c r="BE170" s="72">
        <f ca="1">IF($C$4=Lookups!$D$40,IF(SUM(INDIRECT("'Yr1'!"&amp;ADDRESS(ROW(BE170),COLUMN(BE170))),INDIRECT("'Yr2'!"&amp;ADDRESS(ROW(BE170),COLUMN(BE170))),INDIRECT("'Yr3'!"&amp;ADDRESS(ROW(BE170),COLUMN(BE170))))&gt;0,"3 Yr. total",0),
IF(BE$7&lt;$C$4,0,IF(BE$8&lt;=SUMIFS('EE Inputs'!$V$9:$V$32,'EE Inputs'!$C$9:$C$32,$AM$6,'EE Inputs'!$D$9:$D$32,$C$4,'EE Inputs'!$E$9:$E$32,$B170),SUMIFS('EE Inputs'!$V$9:$V$32,'EE Inputs'!$C$9:$C$32,$AM$6,'EE Inputs'!$D$9:$D$32,$C$4,'EE Inputs'!$E$9:$E$32,$B170),0)))</f>
        <v>0</v>
      </c>
      <c r="BF170" s="72">
        <f ca="1">IF($C$4=Lookups!$D$40,IF(SUM(INDIRECT("'Yr1'!"&amp;ADDRESS(ROW(BF170),COLUMN(BF170))),INDIRECT("'Yr2'!"&amp;ADDRESS(ROW(BF170),COLUMN(BF170))),INDIRECT("'Yr3'!"&amp;ADDRESS(ROW(BF170),COLUMN(BF170))))&gt;0,"3 Yr. total",0),
IF(BF$7&lt;$C$4,0,IF(BF$8&lt;=SUMIFS('EE Inputs'!$V$9:$V$32,'EE Inputs'!$C$9:$C$32,$AM$6,'EE Inputs'!$D$9:$D$32,$C$4,'EE Inputs'!$E$9:$E$32,$B170),SUMIFS('EE Inputs'!$V$9:$V$32,'EE Inputs'!$C$9:$C$32,$AM$6,'EE Inputs'!$D$9:$D$32,$C$4,'EE Inputs'!$E$9:$E$32,$B170),0)))</f>
        <v>0</v>
      </c>
      <c r="BG170" s="72">
        <f ca="1">IF($C$4=Lookups!$D$40,IF(SUM(INDIRECT("'Yr1'!"&amp;ADDRESS(ROW(BG170),COLUMN(BG170))),INDIRECT("'Yr2'!"&amp;ADDRESS(ROW(BG170),COLUMN(BG170))),INDIRECT("'Yr3'!"&amp;ADDRESS(ROW(BG170),COLUMN(BG170))))&gt;0,"3 Yr. total",0),
IF(BG$7&lt;$C$4,0,IF(BG$8&lt;=SUMIFS('EE Inputs'!$V$9:$V$32,'EE Inputs'!$C$9:$C$32,$AM$6,'EE Inputs'!$D$9:$D$32,$C$4,'EE Inputs'!$E$9:$E$32,$B170),SUMIFS('EE Inputs'!$V$9:$V$32,'EE Inputs'!$C$9:$C$32,$AM$6,'EE Inputs'!$D$9:$D$32,$C$4,'EE Inputs'!$E$9:$E$32,$B170),0)))</f>
        <v>0</v>
      </c>
      <c r="BH170" s="72">
        <f ca="1">IF($C$4=Lookups!$D$40,IF(SUM(INDIRECT("'Yr1'!"&amp;ADDRESS(ROW(BH170),COLUMN(BH170))),INDIRECT("'Yr2'!"&amp;ADDRESS(ROW(BH170),COLUMN(BH170))),INDIRECT("'Yr3'!"&amp;ADDRESS(ROW(BH170),COLUMN(BH170))))&gt;0,"3 Yr. total",0),
IF(BH$7&lt;$C$4,0,IF(BH$8&lt;=SUMIFS('EE Inputs'!$V$9:$V$32,'EE Inputs'!$C$9:$C$32,$AM$6,'EE Inputs'!$D$9:$D$32,$C$4,'EE Inputs'!$E$9:$E$32,$B170),SUMIFS('EE Inputs'!$V$9:$V$32,'EE Inputs'!$C$9:$C$32,$AM$6,'EE Inputs'!$D$9:$D$32,$C$4,'EE Inputs'!$E$9:$E$32,$B170),0)))</f>
        <v>0</v>
      </c>
      <c r="BI170" s="72">
        <f ca="1">IF($C$4=Lookups!$D$40,IF(SUM(INDIRECT("'Yr1'!"&amp;ADDRESS(ROW(BI170),COLUMN(BI170))),INDIRECT("'Yr2'!"&amp;ADDRESS(ROW(BI170),COLUMN(BI170))),INDIRECT("'Yr3'!"&amp;ADDRESS(ROW(BI170),COLUMN(BI170))))&gt;0,"3 Yr. total",0),
IF(BI$7&lt;$C$4,0,IF(BI$8&lt;=SUMIFS('EE Inputs'!$V$9:$V$32,'EE Inputs'!$C$9:$C$32,$AM$6,'EE Inputs'!$D$9:$D$32,$C$4,'EE Inputs'!$E$9:$E$32,$B170),SUMIFS('EE Inputs'!$V$9:$V$32,'EE Inputs'!$C$9:$C$32,$AM$6,'EE Inputs'!$D$9:$D$32,$C$4,'EE Inputs'!$E$9:$E$32,$B170),0)))</f>
        <v>0</v>
      </c>
      <c r="BJ170" s="72">
        <f ca="1">IF($C$4=Lookups!$D$40,IF(SUM(INDIRECT("'Yr1'!"&amp;ADDRESS(ROW(BJ170),COLUMN(BJ170))),INDIRECT("'Yr2'!"&amp;ADDRESS(ROW(BJ170),COLUMN(BJ170))),INDIRECT("'Yr3'!"&amp;ADDRESS(ROW(BJ170),COLUMN(BJ170))))&gt;0,"3 Yr. total",0),
IF(BJ$7&lt;$C$4,0,IF(BJ$8&lt;=SUMIFS('EE Inputs'!$V$9:$V$32,'EE Inputs'!$C$9:$C$32,$AM$6,'EE Inputs'!$D$9:$D$32,$C$4,'EE Inputs'!$E$9:$E$32,$B170),SUMIFS('EE Inputs'!$V$9:$V$32,'EE Inputs'!$C$9:$C$32,$AM$6,'EE Inputs'!$D$9:$D$32,$C$4,'EE Inputs'!$E$9:$E$32,$B170),0)))</f>
        <v>0</v>
      </c>
      <c r="BK170" s="72">
        <f ca="1">IF($C$4=Lookups!$D$40,IF(SUM(INDIRECT("'Yr1'!"&amp;ADDRESS(ROW(BK170),COLUMN(BK170))),INDIRECT("'Yr2'!"&amp;ADDRESS(ROW(BK170),COLUMN(BK170))),INDIRECT("'Yr3'!"&amp;ADDRESS(ROW(BK170),COLUMN(BK170))))&gt;0,"3 Yr. total",0),
IF(BK$7&lt;$C$4,0,IF(BK$8&lt;=SUMIFS('EE Inputs'!$V$9:$V$32,'EE Inputs'!$C$9:$C$32,$AM$6,'EE Inputs'!$D$9:$D$32,$C$4,'EE Inputs'!$E$9:$E$32,$B170),SUMIFS('EE Inputs'!$V$9:$V$32,'EE Inputs'!$C$9:$C$32,$AM$6,'EE Inputs'!$D$9:$D$32,$C$4,'EE Inputs'!$E$9:$E$32,$B170),0)))</f>
        <v>0</v>
      </c>
      <c r="BL170" s="72">
        <f ca="1">IF($C$4=Lookups!$D$40,IF(SUM(INDIRECT("'Yr1'!"&amp;ADDRESS(ROW(BL170),COLUMN(BL170))),INDIRECT("'Yr2'!"&amp;ADDRESS(ROW(BL170),COLUMN(BL170))),INDIRECT("'Yr3'!"&amp;ADDRESS(ROW(BL170),COLUMN(BL170))))&gt;0,"3 Yr. total",0),
IF(BL$7&lt;$C$4,0,IF(BL$8&lt;=SUMIFS('EE Inputs'!$V$9:$V$32,'EE Inputs'!$C$9:$C$32,$AM$6,'EE Inputs'!$D$9:$D$32,$C$4,'EE Inputs'!$E$9:$E$32,$B170),SUMIFS('EE Inputs'!$V$9:$V$32,'EE Inputs'!$C$9:$C$32,$AM$6,'EE Inputs'!$D$9:$D$32,$C$4,'EE Inputs'!$E$9:$E$32,$B170),0)))</f>
        <v>0</v>
      </c>
      <c r="BM170" s="72">
        <f ca="1">IF($C$4=Lookups!$D$40,IF(SUM(INDIRECT("'Yr1'!"&amp;ADDRESS(ROW(BM170),COLUMN(BM170))),INDIRECT("'Yr2'!"&amp;ADDRESS(ROW(BM170),COLUMN(BM170))),INDIRECT("'Yr3'!"&amp;ADDRESS(ROW(BM170),COLUMN(BM170))))&gt;0,"3 Yr. total",0),
IF(BM$7&lt;$C$4,0,IF(BM$8&lt;=SUMIFS('EE Inputs'!$V$9:$V$32,'EE Inputs'!$C$9:$C$32,$AM$6,'EE Inputs'!$D$9:$D$32,$C$4,'EE Inputs'!$E$9:$E$32,$B170),SUMIFS('EE Inputs'!$V$9:$V$32,'EE Inputs'!$C$9:$C$32,$AM$6,'EE Inputs'!$D$9:$D$32,$C$4,'EE Inputs'!$E$9:$E$32,$B170),0)))</f>
        <v>0</v>
      </c>
      <c r="BN170" s="72"/>
      <c r="BO170" s="72"/>
      <c r="BP170" s="72"/>
      <c r="BS170" s="76" t="s">
        <v>90</v>
      </c>
      <c r="BT170" s="51" t="s">
        <v>17</v>
      </c>
    </row>
    <row r="171" spans="1:72" s="5" customFormat="1" x14ac:dyDescent="0.25">
      <c r="A171" s="52"/>
      <c r="B171" s="242" t="str">
        <f t="shared" si="179"/>
        <v>Small C&amp;I</v>
      </c>
      <c r="C171" s="242" t="str">
        <f>C170</f>
        <v>Customers</v>
      </c>
      <c r="D171" s="77" t="s">
        <v>17</v>
      </c>
      <c r="E171" s="76"/>
      <c r="F171" s="76"/>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S171" s="76"/>
      <c r="BT171" s="51" t="s">
        <v>17</v>
      </c>
    </row>
    <row r="172" spans="1:72" s="5" customFormat="1" ht="15.75" x14ac:dyDescent="0.25">
      <c r="A172" s="52"/>
      <c r="B172" s="241" t="str">
        <f t="shared" si="179"/>
        <v>Small C&amp;I</v>
      </c>
      <c r="C172" s="63" t="s">
        <v>4</v>
      </c>
      <c r="D172" s="61"/>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2"/>
      <c r="BO172" s="62"/>
      <c r="BP172" s="62"/>
      <c r="BS172" s="62"/>
      <c r="BT172" s="51" t="s">
        <v>17</v>
      </c>
    </row>
    <row r="173" spans="1:72" x14ac:dyDescent="0.25">
      <c r="B173" s="243" t="str">
        <f t="shared" si="179"/>
        <v>Small C&amp;I</v>
      </c>
      <c r="C173" s="243" t="str">
        <f>C172</f>
        <v>Sales</v>
      </c>
      <c r="D173" s="244" t="str">
        <f>"Sales before DSM ("&amp;Lookups!$D$22&amp;" Scenario)"</f>
        <v>Sales before DSM (No EE Scenario)</v>
      </c>
      <c r="E173" s="85" t="str">
        <f>"Sales before DSM ("&amp;Lookups!$D$22&amp;" Scenario)"</f>
        <v>Sales before DSM (No EE Scenario)</v>
      </c>
      <c r="F173" s="84" t="s">
        <v>195</v>
      </c>
      <c r="G173" s="64">
        <f>IF(G$8=0,0,INDEX('Multi-Year Inputs'!$E$41:$AE$44,MATCH($B173,'Multi-Year Inputs'!$D$41:$D$44,0),MATCH(G$7,'Multi-Year Inputs'!$E$4:$AE$4,0)))</f>
        <v>0</v>
      </c>
      <c r="H173" s="64">
        <f>IF(H$8=0,0,INDEX('Multi-Year Inputs'!$E$41:$AE$44,MATCH($B173,'Multi-Year Inputs'!$D$41:$D$44,0),MATCH(H$7,'Multi-Year Inputs'!$E$4:$AE$4,0)))</f>
        <v>0</v>
      </c>
      <c r="I173" s="64">
        <f>IF(I$8=0,0,INDEX('Multi-Year Inputs'!$E$41:$AE$44,MATCH($B173,'Multi-Year Inputs'!$D$41:$D$44,0),MATCH(I$7,'Multi-Year Inputs'!$E$4:$AE$4,0)))</f>
        <v>21353625.848446414</v>
      </c>
      <c r="J173" s="64">
        <f>IF(J$8=0,0,INDEX('Multi-Year Inputs'!$E$41:$AE$44,MATCH($B173,'Multi-Year Inputs'!$D$41:$D$44,0),MATCH(J$7,'Multi-Year Inputs'!$E$4:$AE$4,0)))</f>
        <v>21353625.848446414</v>
      </c>
      <c r="K173" s="64">
        <f>IF(K$8=0,0,INDEX('Multi-Year Inputs'!$E$41:$AE$44,MATCH($B173,'Multi-Year Inputs'!$D$41:$D$44,0),MATCH(K$7,'Multi-Year Inputs'!$E$4:$AE$4,0)))</f>
        <v>21353625.848446414</v>
      </c>
      <c r="L173" s="64">
        <f>IF(L$8=0,0,INDEX('Multi-Year Inputs'!$E$41:$AE$44,MATCH($B173,'Multi-Year Inputs'!$D$41:$D$44,0),MATCH(L$7,'Multi-Year Inputs'!$E$4:$AE$4,0)))</f>
        <v>21353625.848446414</v>
      </c>
      <c r="M173" s="64">
        <f>IF(M$8=0,0,INDEX('Multi-Year Inputs'!$E$41:$AE$44,MATCH($B173,'Multi-Year Inputs'!$D$41:$D$44,0),MATCH(M$7,'Multi-Year Inputs'!$E$4:$AE$4,0)))</f>
        <v>21353625.848446414</v>
      </c>
      <c r="N173" s="64">
        <f>IF(N$8=0,0,INDEX('Multi-Year Inputs'!$E$41:$AE$44,MATCH($B173,'Multi-Year Inputs'!$D$41:$D$44,0),MATCH(N$7,'Multi-Year Inputs'!$E$4:$AE$4,0)))</f>
        <v>21353625.848446414</v>
      </c>
      <c r="O173" s="64">
        <f>IF(O$8=0,0,INDEX('Multi-Year Inputs'!$E$41:$AE$44,MATCH($B173,'Multi-Year Inputs'!$D$41:$D$44,0),MATCH(O$7,'Multi-Year Inputs'!$E$4:$AE$4,0)))</f>
        <v>21353625.848446414</v>
      </c>
      <c r="P173" s="64">
        <f>IF(P$8=0,0,INDEX('Multi-Year Inputs'!$E$41:$AE$44,MATCH($B173,'Multi-Year Inputs'!$D$41:$D$44,0),MATCH(P$7,'Multi-Year Inputs'!$E$4:$AE$4,0)))</f>
        <v>21353625.848446414</v>
      </c>
      <c r="Q173" s="64">
        <f>IF(Q$8=0,0,INDEX('Multi-Year Inputs'!$E$41:$AE$44,MATCH($B173,'Multi-Year Inputs'!$D$41:$D$44,0),MATCH(Q$7,'Multi-Year Inputs'!$E$4:$AE$4,0)))</f>
        <v>21353625.848446414</v>
      </c>
      <c r="R173" s="64">
        <f>IF(R$8=0,0,INDEX('Multi-Year Inputs'!$E$41:$AE$44,MATCH($B173,'Multi-Year Inputs'!$D$41:$D$44,0),MATCH(R$7,'Multi-Year Inputs'!$E$4:$AE$4,0)))</f>
        <v>21353625.848446414</v>
      </c>
      <c r="S173" s="64">
        <f>IF(S$8=0,0,INDEX('Multi-Year Inputs'!$E$41:$AE$44,MATCH($B173,'Multi-Year Inputs'!$D$41:$D$44,0),MATCH(S$7,'Multi-Year Inputs'!$E$4:$AE$4,0)))</f>
        <v>21353625.848446414</v>
      </c>
      <c r="T173" s="64">
        <f>IF(T$8=0,0,INDEX('Multi-Year Inputs'!$E$41:$AE$44,MATCH($B173,'Multi-Year Inputs'!$D$41:$D$44,0),MATCH(T$7,'Multi-Year Inputs'!$E$4:$AE$4,0)))</f>
        <v>21353625.848446414</v>
      </c>
      <c r="U173" s="64">
        <f>IF(U$8=0,0,INDEX('Multi-Year Inputs'!$E$41:$AE$44,MATCH($B173,'Multi-Year Inputs'!$D$41:$D$44,0),MATCH(U$7,'Multi-Year Inputs'!$E$4:$AE$4,0)))</f>
        <v>21353625.848446414</v>
      </c>
      <c r="V173" s="64">
        <f>IF(V$8=0,0,INDEX('Multi-Year Inputs'!$E$41:$AE$44,MATCH($B173,'Multi-Year Inputs'!$D$41:$D$44,0),MATCH(V$7,'Multi-Year Inputs'!$E$4:$AE$4,0)))</f>
        <v>21353625.848446414</v>
      </c>
      <c r="W173" s="64">
        <f>IF(W$8=0,0,INDEX('Multi-Year Inputs'!$E$41:$AE$44,MATCH($B173,'Multi-Year Inputs'!$D$41:$D$44,0),MATCH(W$7,'Multi-Year Inputs'!$E$4:$AE$4,0)))</f>
        <v>21353625.848446414</v>
      </c>
      <c r="X173" s="64">
        <f>IF(X$8=0,0,INDEX('Multi-Year Inputs'!$E$41:$AE$44,MATCH($B173,'Multi-Year Inputs'!$D$41:$D$44,0),MATCH(X$7,'Multi-Year Inputs'!$E$4:$AE$4,0)))</f>
        <v>21353625.848446414</v>
      </c>
      <c r="Y173" s="64">
        <f>IF(Y$8=0,0,INDEX('Multi-Year Inputs'!$E$41:$AE$44,MATCH($B173,'Multi-Year Inputs'!$D$41:$D$44,0),MATCH(Y$7,'Multi-Year Inputs'!$E$4:$AE$4,0)))</f>
        <v>21353625.848446414</v>
      </c>
      <c r="Z173" s="64">
        <f>IF(Z$8=0,0,INDEX('Multi-Year Inputs'!$E$41:$AE$44,MATCH($B173,'Multi-Year Inputs'!$D$41:$D$44,0),MATCH(Z$7,'Multi-Year Inputs'!$E$4:$AE$4,0)))</f>
        <v>21353625.848446414</v>
      </c>
      <c r="AA173" s="64">
        <f>IF(AA$8=0,0,INDEX('Multi-Year Inputs'!$E$41:$AE$44,MATCH($B173,'Multi-Year Inputs'!$D$41:$D$44,0),MATCH(AA$7,'Multi-Year Inputs'!$E$4:$AE$4,0)))</f>
        <v>21353625.848446414</v>
      </c>
      <c r="AB173" s="64">
        <f>IF(AB$8=0,0,INDEX('Multi-Year Inputs'!$E$41:$AE$44,MATCH($B173,'Multi-Year Inputs'!$D$41:$D$44,0),MATCH(AB$7,'Multi-Year Inputs'!$E$4:$AE$4,0)))</f>
        <v>21353625.848446414</v>
      </c>
      <c r="AC173" s="64">
        <f>IF(AC$8=0,0,INDEX('Multi-Year Inputs'!$E$41:$AE$44,MATCH($B173,'Multi-Year Inputs'!$D$41:$D$44,0),MATCH(AC$7,'Multi-Year Inputs'!$E$4:$AE$4,0)))</f>
        <v>21353625.848446414</v>
      </c>
      <c r="AD173" s="64">
        <f>IF(AD$8=0,0,INDEX('Multi-Year Inputs'!$E$41:$AE$44,MATCH($B173,'Multi-Year Inputs'!$D$41:$D$44,0),MATCH(AD$7,'Multi-Year Inputs'!$E$4:$AE$4,0)))</f>
        <v>21353625.848446414</v>
      </c>
      <c r="AE173" s="64">
        <f>IF(AE$8=0,0,INDEX('Multi-Year Inputs'!$E$41:$AE$44,MATCH($B173,'Multi-Year Inputs'!$D$41:$D$44,0),MATCH(AE$7,'Multi-Year Inputs'!$E$4:$AE$4,0)))</f>
        <v>21353625.848446414</v>
      </c>
      <c r="AF173" s="64">
        <f>IF(AF$8=0,0,INDEX('Multi-Year Inputs'!$E$41:$AE$44,MATCH($B173,'Multi-Year Inputs'!$D$41:$D$44,0),MATCH(AF$7,'Multi-Year Inputs'!$E$4:$AE$4,0)))</f>
        <v>21353625.848446414</v>
      </c>
      <c r="AG173" s="64">
        <f>IF(AG$8=0,0,INDEX('Multi-Year Inputs'!$E$41:$AE$44,MATCH($B173,'Multi-Year Inputs'!$D$41:$D$44,0),MATCH(AG$7,'Multi-Year Inputs'!$E$4:$AE$4,0)))</f>
        <v>21353625.848446414</v>
      </c>
      <c r="AH173" s="64"/>
      <c r="AI173" s="64">
        <f t="shared" ref="AI173:AI175" si="180">SUM(G173:AG173)</f>
        <v>533840646.2111606</v>
      </c>
      <c r="AJ173" s="64"/>
      <c r="AM173" s="71">
        <f>IF(AM$8=0,0,INDEX('Multi-Year Inputs'!$E$41:$AE$44,MATCH($B173,'Multi-Year Inputs'!$D$41:$D$44,0),MATCH(AM$7,'Multi-Year Inputs'!$E$4:$AE$4,0)))</f>
        <v>0</v>
      </c>
      <c r="AN173" s="71">
        <f>IF(AN$8=0,0,INDEX('Multi-Year Inputs'!$E$41:$AE$44,MATCH($B173,'Multi-Year Inputs'!$D$41:$D$44,0),MATCH(AN$7,'Multi-Year Inputs'!$E$4:$AE$4,0)))</f>
        <v>0</v>
      </c>
      <c r="AO173" s="71">
        <f>IF(AO$8=0,0,INDEX('Multi-Year Inputs'!$E$41:$AE$44,MATCH($B173,'Multi-Year Inputs'!$D$41:$D$44,0),MATCH(AO$7,'Multi-Year Inputs'!$E$4:$AE$4,0)))</f>
        <v>21353625.848446414</v>
      </c>
      <c r="AP173" s="71">
        <f>IF(AP$8=0,0,INDEX('Multi-Year Inputs'!$E$41:$AE$44,MATCH($B173,'Multi-Year Inputs'!$D$41:$D$44,0),MATCH(AP$7,'Multi-Year Inputs'!$E$4:$AE$4,0)))</f>
        <v>21353625.848446414</v>
      </c>
      <c r="AQ173" s="71">
        <f>IF(AQ$8=0,0,INDEX('Multi-Year Inputs'!$E$41:$AE$44,MATCH($B173,'Multi-Year Inputs'!$D$41:$D$44,0),MATCH(AQ$7,'Multi-Year Inputs'!$E$4:$AE$4,0)))</f>
        <v>21353625.848446414</v>
      </c>
      <c r="AR173" s="71">
        <f>IF(AR$8=0,0,INDEX('Multi-Year Inputs'!$E$41:$AE$44,MATCH($B173,'Multi-Year Inputs'!$D$41:$D$44,0),MATCH(AR$7,'Multi-Year Inputs'!$E$4:$AE$4,0)))</f>
        <v>21353625.848446414</v>
      </c>
      <c r="AS173" s="71">
        <f>IF(AS$8=0,0,INDEX('Multi-Year Inputs'!$E$41:$AE$44,MATCH($B173,'Multi-Year Inputs'!$D$41:$D$44,0),MATCH(AS$7,'Multi-Year Inputs'!$E$4:$AE$4,0)))</f>
        <v>21353625.848446414</v>
      </c>
      <c r="AT173" s="71">
        <f>IF(AT$8=0,0,INDEX('Multi-Year Inputs'!$E$41:$AE$44,MATCH($B173,'Multi-Year Inputs'!$D$41:$D$44,0),MATCH(AT$7,'Multi-Year Inputs'!$E$4:$AE$4,0)))</f>
        <v>21353625.848446414</v>
      </c>
      <c r="AU173" s="71">
        <f>IF(AU$8=0,0,INDEX('Multi-Year Inputs'!$E$41:$AE$44,MATCH($B173,'Multi-Year Inputs'!$D$41:$D$44,0),MATCH(AU$7,'Multi-Year Inputs'!$E$4:$AE$4,0)))</f>
        <v>21353625.848446414</v>
      </c>
      <c r="AV173" s="71">
        <f>IF(AV$8=0,0,INDEX('Multi-Year Inputs'!$E$41:$AE$44,MATCH($B173,'Multi-Year Inputs'!$D$41:$D$44,0),MATCH(AV$7,'Multi-Year Inputs'!$E$4:$AE$4,0)))</f>
        <v>21353625.848446414</v>
      </c>
      <c r="AW173" s="71">
        <f>IF(AW$8=0,0,INDEX('Multi-Year Inputs'!$E$41:$AE$44,MATCH($B173,'Multi-Year Inputs'!$D$41:$D$44,0),MATCH(AW$7,'Multi-Year Inputs'!$E$4:$AE$4,0)))</f>
        <v>21353625.848446414</v>
      </c>
      <c r="AX173" s="71">
        <f>IF(AX$8=0,0,INDEX('Multi-Year Inputs'!$E$41:$AE$44,MATCH($B173,'Multi-Year Inputs'!$D$41:$D$44,0),MATCH(AX$7,'Multi-Year Inputs'!$E$4:$AE$4,0)))</f>
        <v>21353625.848446414</v>
      </c>
      <c r="AY173" s="71">
        <f>IF(AY$8=0,0,INDEX('Multi-Year Inputs'!$E$41:$AE$44,MATCH($B173,'Multi-Year Inputs'!$D$41:$D$44,0),MATCH(AY$7,'Multi-Year Inputs'!$E$4:$AE$4,0)))</f>
        <v>21353625.848446414</v>
      </c>
      <c r="AZ173" s="71">
        <f>IF(AZ$8=0,0,INDEX('Multi-Year Inputs'!$E$41:$AE$44,MATCH($B173,'Multi-Year Inputs'!$D$41:$D$44,0),MATCH(AZ$7,'Multi-Year Inputs'!$E$4:$AE$4,0)))</f>
        <v>21353625.848446414</v>
      </c>
      <c r="BA173" s="71">
        <f>IF(BA$8=0,0,INDEX('Multi-Year Inputs'!$E$41:$AE$44,MATCH($B173,'Multi-Year Inputs'!$D$41:$D$44,0),MATCH(BA$7,'Multi-Year Inputs'!$E$4:$AE$4,0)))</f>
        <v>21353625.848446414</v>
      </c>
      <c r="BB173" s="71">
        <f>IF(BB$8=0,0,INDEX('Multi-Year Inputs'!$E$41:$AE$44,MATCH($B173,'Multi-Year Inputs'!$D$41:$D$44,0),MATCH(BB$7,'Multi-Year Inputs'!$E$4:$AE$4,0)))</f>
        <v>21353625.848446414</v>
      </c>
      <c r="BC173" s="71">
        <f>IF(BC$8=0,0,INDEX('Multi-Year Inputs'!$E$41:$AE$44,MATCH($B173,'Multi-Year Inputs'!$D$41:$D$44,0),MATCH(BC$7,'Multi-Year Inputs'!$E$4:$AE$4,0)))</f>
        <v>21353625.848446414</v>
      </c>
      <c r="BD173" s="71">
        <f>IF(BD$8=0,0,INDEX('Multi-Year Inputs'!$E$41:$AE$44,MATCH($B173,'Multi-Year Inputs'!$D$41:$D$44,0),MATCH(BD$7,'Multi-Year Inputs'!$E$4:$AE$4,0)))</f>
        <v>21353625.848446414</v>
      </c>
      <c r="BE173" s="71">
        <f>IF(BE$8=0,0,INDEX('Multi-Year Inputs'!$E$41:$AE$44,MATCH($B173,'Multi-Year Inputs'!$D$41:$D$44,0),MATCH(BE$7,'Multi-Year Inputs'!$E$4:$AE$4,0)))</f>
        <v>21353625.848446414</v>
      </c>
      <c r="BF173" s="71">
        <f>IF(BF$8=0,0,INDEX('Multi-Year Inputs'!$E$41:$AE$44,MATCH($B173,'Multi-Year Inputs'!$D$41:$D$44,0),MATCH(BF$7,'Multi-Year Inputs'!$E$4:$AE$4,0)))</f>
        <v>21353625.848446414</v>
      </c>
      <c r="BG173" s="71">
        <f>IF(BG$8=0,0,INDEX('Multi-Year Inputs'!$E$41:$AE$44,MATCH($B173,'Multi-Year Inputs'!$D$41:$D$44,0),MATCH(BG$7,'Multi-Year Inputs'!$E$4:$AE$4,0)))</f>
        <v>21353625.848446414</v>
      </c>
      <c r="BH173" s="71">
        <f>IF(BH$8=0,0,INDEX('Multi-Year Inputs'!$E$41:$AE$44,MATCH($B173,'Multi-Year Inputs'!$D$41:$D$44,0),MATCH(BH$7,'Multi-Year Inputs'!$E$4:$AE$4,0)))</f>
        <v>21353625.848446414</v>
      </c>
      <c r="BI173" s="71">
        <f>IF(BI$8=0,0,INDEX('Multi-Year Inputs'!$E$41:$AE$44,MATCH($B173,'Multi-Year Inputs'!$D$41:$D$44,0),MATCH(BI$7,'Multi-Year Inputs'!$E$4:$AE$4,0)))</f>
        <v>21353625.848446414</v>
      </c>
      <c r="BJ173" s="71">
        <f>IF(BJ$8=0,0,INDEX('Multi-Year Inputs'!$E$41:$AE$44,MATCH($B173,'Multi-Year Inputs'!$D$41:$D$44,0),MATCH(BJ$7,'Multi-Year Inputs'!$E$4:$AE$4,0)))</f>
        <v>21353625.848446414</v>
      </c>
      <c r="BK173" s="71">
        <f>IF(BK$8=0,0,INDEX('Multi-Year Inputs'!$E$41:$AE$44,MATCH($B173,'Multi-Year Inputs'!$D$41:$D$44,0),MATCH(BK$7,'Multi-Year Inputs'!$E$4:$AE$4,0)))</f>
        <v>21353625.848446414</v>
      </c>
      <c r="BL173" s="71">
        <f>IF(BL$8=0,0,INDEX('Multi-Year Inputs'!$E$41:$AE$44,MATCH($B173,'Multi-Year Inputs'!$D$41:$D$44,0),MATCH(BL$7,'Multi-Year Inputs'!$E$4:$AE$4,0)))</f>
        <v>21353625.848446414</v>
      </c>
      <c r="BM173" s="71">
        <f>IF(BM$8=0,0,INDEX('Multi-Year Inputs'!$E$41:$AE$44,MATCH($B173,'Multi-Year Inputs'!$D$41:$D$44,0),MATCH(BM$7,'Multi-Year Inputs'!$E$4:$AE$4,0)))</f>
        <v>21353625.848446414</v>
      </c>
      <c r="BN173" s="72"/>
      <c r="BO173" s="72">
        <f t="shared" ref="BO173:BO175" si="181">SUM(AM173:BM173)</f>
        <v>533840646.2111606</v>
      </c>
      <c r="BP173" s="72"/>
      <c r="BS173" s="76" t="s">
        <v>91</v>
      </c>
      <c r="BT173" s="51" t="s">
        <v>17</v>
      </c>
    </row>
    <row r="174" spans="1:72" x14ac:dyDescent="0.25">
      <c r="A174" s="246"/>
      <c r="B174" s="243" t="str">
        <f t="shared" si="179"/>
        <v>Small C&amp;I</v>
      </c>
      <c r="C174" s="243" t="str">
        <f>C173</f>
        <v>Sales</v>
      </c>
      <c r="D174" s="244" t="s">
        <v>108</v>
      </c>
      <c r="E174" s="85" t="s">
        <v>108</v>
      </c>
      <c r="F174" s="84" t="s">
        <v>195</v>
      </c>
      <c r="G174" s="64">
        <f ca="1">IF($C$4=Lookups!$D$40,SUM(INDIRECT("'Yr1'!"&amp;ADDRESS(ROW(G174),COLUMN(G174))),INDIRECT("'Yr2'!"&amp;ADDRESS(ROW(G174),COLUMN(G174))),INDIRECT("'Yr3'!"&amp;ADDRESS(ROW(G174),COLUMN(G174)))),
IF(G170&gt;0,SUMIFS('EE Inputs'!$I$9:$I$32,'EE Inputs'!$C$9:$C$32,$G$6,'EE Inputs'!$D$9:$D$32,$C$4,'EE Inputs'!$E$9:$E$32,$B174)/SUMIFS('EE Inputs'!$V$9:$V$32,'EE Inputs'!$C$9:$C$32,$G$6,'EE Inputs'!$D$9:$D$32,$C$4,'EE Inputs'!$E$9:$E$32,$B174)*10,0))</f>
        <v>0</v>
      </c>
      <c r="H174" s="64">
        <f ca="1">IF($C$4=Lookups!$D$40,SUM(INDIRECT("'Yr1'!"&amp;ADDRESS(ROW(H174),COLUMN(H174))),INDIRECT("'Yr2'!"&amp;ADDRESS(ROW(H174),COLUMN(H174))),INDIRECT("'Yr3'!"&amp;ADDRESS(ROW(H174),COLUMN(H174)))),
IF(H170&gt;0,SUMIFS('EE Inputs'!$I$9:$I$32,'EE Inputs'!$C$9:$C$32,$G$6,'EE Inputs'!$D$9:$D$32,$C$4,'EE Inputs'!$E$9:$E$32,$B174)/SUMIFS('EE Inputs'!$V$9:$V$32,'EE Inputs'!$C$9:$C$32,$G$6,'EE Inputs'!$D$9:$D$32,$C$4,'EE Inputs'!$E$9:$E$32,$B174)*10,0))</f>
        <v>0</v>
      </c>
      <c r="I174" s="64">
        <f ca="1">IF($C$4=Lookups!$D$40,SUM(INDIRECT("'Yr1'!"&amp;ADDRESS(ROW(I174),COLUMN(I174))),INDIRECT("'Yr2'!"&amp;ADDRESS(ROW(I174),COLUMN(I174))),INDIRECT("'Yr3'!"&amp;ADDRESS(ROW(I174),COLUMN(I174)))),
IF(I170&gt;0,SUMIFS('EE Inputs'!$I$9:$I$32,'EE Inputs'!$C$9:$C$32,$G$6,'EE Inputs'!$D$9:$D$32,$C$4,'EE Inputs'!$E$9:$E$32,$B174)/SUMIFS('EE Inputs'!$V$9:$V$32,'EE Inputs'!$C$9:$C$32,$G$6,'EE Inputs'!$D$9:$D$32,$C$4,'EE Inputs'!$E$9:$E$32,$B174)*10,0))</f>
        <v>378643.28436284547</v>
      </c>
      <c r="J174" s="64">
        <f ca="1">IF($C$4=Lookups!$D$40,SUM(INDIRECT("'Yr1'!"&amp;ADDRESS(ROW(J174),COLUMN(J174))),INDIRECT("'Yr2'!"&amp;ADDRESS(ROW(J174),COLUMN(J174))),INDIRECT("'Yr3'!"&amp;ADDRESS(ROW(J174),COLUMN(J174)))),
IF(J170&gt;0,SUMIFS('EE Inputs'!$I$9:$I$32,'EE Inputs'!$C$9:$C$32,$G$6,'EE Inputs'!$D$9:$D$32,$C$4,'EE Inputs'!$E$9:$E$32,$B174)/SUMIFS('EE Inputs'!$V$9:$V$32,'EE Inputs'!$C$9:$C$32,$G$6,'EE Inputs'!$D$9:$D$32,$C$4,'EE Inputs'!$E$9:$E$32,$B174)*10,0))</f>
        <v>378643.28436284547</v>
      </c>
      <c r="K174" s="64">
        <f ca="1">IF($C$4=Lookups!$D$40,SUM(INDIRECT("'Yr1'!"&amp;ADDRESS(ROW(K174),COLUMN(K174))),INDIRECT("'Yr2'!"&amp;ADDRESS(ROW(K174),COLUMN(K174))),INDIRECT("'Yr3'!"&amp;ADDRESS(ROW(K174),COLUMN(K174)))),
IF(K170&gt;0,SUMIFS('EE Inputs'!$I$9:$I$32,'EE Inputs'!$C$9:$C$32,$G$6,'EE Inputs'!$D$9:$D$32,$C$4,'EE Inputs'!$E$9:$E$32,$B174)/SUMIFS('EE Inputs'!$V$9:$V$32,'EE Inputs'!$C$9:$C$32,$G$6,'EE Inputs'!$D$9:$D$32,$C$4,'EE Inputs'!$E$9:$E$32,$B174)*10,0))</f>
        <v>378643.28436284547</v>
      </c>
      <c r="L174" s="64">
        <f ca="1">IF($C$4=Lookups!$D$40,SUM(INDIRECT("'Yr1'!"&amp;ADDRESS(ROW(L174),COLUMN(L174))),INDIRECT("'Yr2'!"&amp;ADDRESS(ROW(L174),COLUMN(L174))),INDIRECT("'Yr3'!"&amp;ADDRESS(ROW(L174),COLUMN(L174)))),
IF(L170&gt;0,SUMIFS('EE Inputs'!$I$9:$I$32,'EE Inputs'!$C$9:$C$32,$G$6,'EE Inputs'!$D$9:$D$32,$C$4,'EE Inputs'!$E$9:$E$32,$B174)/SUMIFS('EE Inputs'!$V$9:$V$32,'EE Inputs'!$C$9:$C$32,$G$6,'EE Inputs'!$D$9:$D$32,$C$4,'EE Inputs'!$E$9:$E$32,$B174)*10,0))</f>
        <v>378643.28436284547</v>
      </c>
      <c r="M174" s="64">
        <f ca="1">IF($C$4=Lookups!$D$40,SUM(INDIRECT("'Yr1'!"&amp;ADDRESS(ROW(M174),COLUMN(M174))),INDIRECT("'Yr2'!"&amp;ADDRESS(ROW(M174),COLUMN(M174))),INDIRECT("'Yr3'!"&amp;ADDRESS(ROW(M174),COLUMN(M174)))),
IF(M170&gt;0,SUMIFS('EE Inputs'!$I$9:$I$32,'EE Inputs'!$C$9:$C$32,$G$6,'EE Inputs'!$D$9:$D$32,$C$4,'EE Inputs'!$E$9:$E$32,$B174)/SUMIFS('EE Inputs'!$V$9:$V$32,'EE Inputs'!$C$9:$C$32,$G$6,'EE Inputs'!$D$9:$D$32,$C$4,'EE Inputs'!$E$9:$E$32,$B174)*10,0))</f>
        <v>378643.28436284547</v>
      </c>
      <c r="N174" s="64">
        <f ca="1">IF($C$4=Lookups!$D$40,SUM(INDIRECT("'Yr1'!"&amp;ADDRESS(ROW(N174),COLUMN(N174))),INDIRECT("'Yr2'!"&amp;ADDRESS(ROW(N174),COLUMN(N174))),INDIRECT("'Yr3'!"&amp;ADDRESS(ROW(N174),COLUMN(N174)))),
IF(N170&gt;0,SUMIFS('EE Inputs'!$I$9:$I$32,'EE Inputs'!$C$9:$C$32,$G$6,'EE Inputs'!$D$9:$D$32,$C$4,'EE Inputs'!$E$9:$E$32,$B174)/SUMIFS('EE Inputs'!$V$9:$V$32,'EE Inputs'!$C$9:$C$32,$G$6,'EE Inputs'!$D$9:$D$32,$C$4,'EE Inputs'!$E$9:$E$32,$B174)*10,0))</f>
        <v>378643.28436284547</v>
      </c>
      <c r="O174" s="64">
        <f ca="1">IF($C$4=Lookups!$D$40,SUM(INDIRECT("'Yr1'!"&amp;ADDRESS(ROW(O174),COLUMN(O174))),INDIRECT("'Yr2'!"&amp;ADDRESS(ROW(O174),COLUMN(O174))),INDIRECT("'Yr3'!"&amp;ADDRESS(ROW(O174),COLUMN(O174)))),
IF(O170&gt;0,SUMIFS('EE Inputs'!$I$9:$I$32,'EE Inputs'!$C$9:$C$32,$G$6,'EE Inputs'!$D$9:$D$32,$C$4,'EE Inputs'!$E$9:$E$32,$B174)/SUMIFS('EE Inputs'!$V$9:$V$32,'EE Inputs'!$C$9:$C$32,$G$6,'EE Inputs'!$D$9:$D$32,$C$4,'EE Inputs'!$E$9:$E$32,$B174)*10,0))</f>
        <v>378643.28436284547</v>
      </c>
      <c r="P174" s="64">
        <f ca="1">IF($C$4=Lookups!$D$40,SUM(INDIRECT("'Yr1'!"&amp;ADDRESS(ROW(P174),COLUMN(P174))),INDIRECT("'Yr2'!"&amp;ADDRESS(ROW(P174),COLUMN(P174))),INDIRECT("'Yr3'!"&amp;ADDRESS(ROW(P174),COLUMN(P174)))),
IF(P170&gt;0,SUMIFS('EE Inputs'!$I$9:$I$32,'EE Inputs'!$C$9:$C$32,$G$6,'EE Inputs'!$D$9:$D$32,$C$4,'EE Inputs'!$E$9:$E$32,$B174)/SUMIFS('EE Inputs'!$V$9:$V$32,'EE Inputs'!$C$9:$C$32,$G$6,'EE Inputs'!$D$9:$D$32,$C$4,'EE Inputs'!$E$9:$E$32,$B174)*10,0))</f>
        <v>378643.28436284547</v>
      </c>
      <c r="Q174" s="64">
        <f ca="1">IF($C$4=Lookups!$D$40,SUM(INDIRECT("'Yr1'!"&amp;ADDRESS(ROW(Q174),COLUMN(Q174))),INDIRECT("'Yr2'!"&amp;ADDRESS(ROW(Q174),COLUMN(Q174))),INDIRECT("'Yr3'!"&amp;ADDRESS(ROW(Q174),COLUMN(Q174)))),
IF(Q170&gt;0,SUMIFS('EE Inputs'!$I$9:$I$32,'EE Inputs'!$C$9:$C$32,$G$6,'EE Inputs'!$D$9:$D$32,$C$4,'EE Inputs'!$E$9:$E$32,$B174)/SUMIFS('EE Inputs'!$V$9:$V$32,'EE Inputs'!$C$9:$C$32,$G$6,'EE Inputs'!$D$9:$D$32,$C$4,'EE Inputs'!$E$9:$E$32,$B174)*10,0))</f>
        <v>378643.28436284547</v>
      </c>
      <c r="R174" s="64">
        <f ca="1">IF($C$4=Lookups!$D$40,SUM(INDIRECT("'Yr1'!"&amp;ADDRESS(ROW(R174),COLUMN(R174))),INDIRECT("'Yr2'!"&amp;ADDRESS(ROW(R174),COLUMN(R174))),INDIRECT("'Yr3'!"&amp;ADDRESS(ROW(R174),COLUMN(R174)))),
IF(R170&gt;0,SUMIFS('EE Inputs'!$I$9:$I$32,'EE Inputs'!$C$9:$C$32,$G$6,'EE Inputs'!$D$9:$D$32,$C$4,'EE Inputs'!$E$9:$E$32,$B174)/SUMIFS('EE Inputs'!$V$9:$V$32,'EE Inputs'!$C$9:$C$32,$G$6,'EE Inputs'!$D$9:$D$32,$C$4,'EE Inputs'!$E$9:$E$32,$B174)*10,0))</f>
        <v>378643.28436284547</v>
      </c>
      <c r="S174" s="64">
        <f ca="1">IF($C$4=Lookups!$D$40,SUM(INDIRECT("'Yr1'!"&amp;ADDRESS(ROW(S174),COLUMN(S174))),INDIRECT("'Yr2'!"&amp;ADDRESS(ROW(S174),COLUMN(S174))),INDIRECT("'Yr3'!"&amp;ADDRESS(ROW(S174),COLUMN(S174)))),
IF(S170&gt;0,SUMIFS('EE Inputs'!$I$9:$I$32,'EE Inputs'!$C$9:$C$32,$G$6,'EE Inputs'!$D$9:$D$32,$C$4,'EE Inputs'!$E$9:$E$32,$B174)/SUMIFS('EE Inputs'!$V$9:$V$32,'EE Inputs'!$C$9:$C$32,$G$6,'EE Inputs'!$D$9:$D$32,$C$4,'EE Inputs'!$E$9:$E$32,$B174)*10,0))</f>
        <v>378643.28436284547</v>
      </c>
      <c r="T174" s="64">
        <f ca="1">IF($C$4=Lookups!$D$40,SUM(INDIRECT("'Yr1'!"&amp;ADDRESS(ROW(T174),COLUMN(T174))),INDIRECT("'Yr2'!"&amp;ADDRESS(ROW(T174),COLUMN(T174))),INDIRECT("'Yr3'!"&amp;ADDRESS(ROW(T174),COLUMN(T174)))),
IF(T170&gt;0,SUMIFS('EE Inputs'!$I$9:$I$32,'EE Inputs'!$C$9:$C$32,$G$6,'EE Inputs'!$D$9:$D$32,$C$4,'EE Inputs'!$E$9:$E$32,$B174)/SUMIFS('EE Inputs'!$V$9:$V$32,'EE Inputs'!$C$9:$C$32,$G$6,'EE Inputs'!$D$9:$D$32,$C$4,'EE Inputs'!$E$9:$E$32,$B174)*10,0))</f>
        <v>378643.28436284547</v>
      </c>
      <c r="U174" s="64">
        <f ca="1">IF($C$4=Lookups!$D$40,SUM(INDIRECT("'Yr1'!"&amp;ADDRESS(ROW(U174),COLUMN(U174))),INDIRECT("'Yr2'!"&amp;ADDRESS(ROW(U174),COLUMN(U174))),INDIRECT("'Yr3'!"&amp;ADDRESS(ROW(U174),COLUMN(U174)))),
IF(U170&gt;0,SUMIFS('EE Inputs'!$I$9:$I$32,'EE Inputs'!$C$9:$C$32,$G$6,'EE Inputs'!$D$9:$D$32,$C$4,'EE Inputs'!$E$9:$E$32,$B174)/SUMIFS('EE Inputs'!$V$9:$V$32,'EE Inputs'!$C$9:$C$32,$G$6,'EE Inputs'!$D$9:$D$32,$C$4,'EE Inputs'!$E$9:$E$32,$B174)*10,0))</f>
        <v>378643.28436284547</v>
      </c>
      <c r="V174" s="64">
        <f ca="1">IF($C$4=Lookups!$D$40,SUM(INDIRECT("'Yr1'!"&amp;ADDRESS(ROW(V174),COLUMN(V174))),INDIRECT("'Yr2'!"&amp;ADDRESS(ROW(V174),COLUMN(V174))),INDIRECT("'Yr3'!"&amp;ADDRESS(ROW(V174),COLUMN(V174)))),
IF(V170&gt;0,SUMIFS('EE Inputs'!$I$9:$I$32,'EE Inputs'!$C$9:$C$32,$G$6,'EE Inputs'!$D$9:$D$32,$C$4,'EE Inputs'!$E$9:$E$32,$B174)/SUMIFS('EE Inputs'!$V$9:$V$32,'EE Inputs'!$C$9:$C$32,$G$6,'EE Inputs'!$D$9:$D$32,$C$4,'EE Inputs'!$E$9:$E$32,$B174)*10,0))</f>
        <v>378643.28436284547</v>
      </c>
      <c r="W174" s="64">
        <f ca="1">IF($C$4=Lookups!$D$40,SUM(INDIRECT("'Yr1'!"&amp;ADDRESS(ROW(W174),COLUMN(W174))),INDIRECT("'Yr2'!"&amp;ADDRESS(ROW(W174),COLUMN(W174))),INDIRECT("'Yr3'!"&amp;ADDRESS(ROW(W174),COLUMN(W174)))),
IF(W170&gt;0,SUMIFS('EE Inputs'!$I$9:$I$32,'EE Inputs'!$C$9:$C$32,$G$6,'EE Inputs'!$D$9:$D$32,$C$4,'EE Inputs'!$E$9:$E$32,$B174)/SUMIFS('EE Inputs'!$V$9:$V$32,'EE Inputs'!$C$9:$C$32,$G$6,'EE Inputs'!$D$9:$D$32,$C$4,'EE Inputs'!$E$9:$E$32,$B174)*10,0))</f>
        <v>378643.28436284547</v>
      </c>
      <c r="X174" s="64">
        <f ca="1">IF($C$4=Lookups!$D$40,SUM(INDIRECT("'Yr1'!"&amp;ADDRESS(ROW(X174),COLUMN(X174))),INDIRECT("'Yr2'!"&amp;ADDRESS(ROW(X174),COLUMN(X174))),INDIRECT("'Yr3'!"&amp;ADDRESS(ROW(X174),COLUMN(X174)))),
IF(X170&gt;0,SUMIFS('EE Inputs'!$I$9:$I$32,'EE Inputs'!$C$9:$C$32,$G$6,'EE Inputs'!$D$9:$D$32,$C$4,'EE Inputs'!$E$9:$E$32,$B174)/SUMIFS('EE Inputs'!$V$9:$V$32,'EE Inputs'!$C$9:$C$32,$G$6,'EE Inputs'!$D$9:$D$32,$C$4,'EE Inputs'!$E$9:$E$32,$B174)*10,0))</f>
        <v>378643.28436284547</v>
      </c>
      <c r="Y174" s="64">
        <f ca="1">IF($C$4=Lookups!$D$40,SUM(INDIRECT("'Yr1'!"&amp;ADDRESS(ROW(Y174),COLUMN(Y174))),INDIRECT("'Yr2'!"&amp;ADDRESS(ROW(Y174),COLUMN(Y174))),INDIRECT("'Yr3'!"&amp;ADDRESS(ROW(Y174),COLUMN(Y174)))),
IF(Y170&gt;0,SUMIFS('EE Inputs'!$I$9:$I$32,'EE Inputs'!$C$9:$C$32,$G$6,'EE Inputs'!$D$9:$D$32,$C$4,'EE Inputs'!$E$9:$E$32,$B174)/SUMIFS('EE Inputs'!$V$9:$V$32,'EE Inputs'!$C$9:$C$32,$G$6,'EE Inputs'!$D$9:$D$32,$C$4,'EE Inputs'!$E$9:$E$32,$B174)*10,0))</f>
        <v>0</v>
      </c>
      <c r="Z174" s="64">
        <f ca="1">IF($C$4=Lookups!$D$40,SUM(INDIRECT("'Yr1'!"&amp;ADDRESS(ROW(Z174),COLUMN(Z174))),INDIRECT("'Yr2'!"&amp;ADDRESS(ROW(Z174),COLUMN(Z174))),INDIRECT("'Yr3'!"&amp;ADDRESS(ROW(Z174),COLUMN(Z174)))),
IF(Z170&gt;0,SUMIFS('EE Inputs'!$I$9:$I$32,'EE Inputs'!$C$9:$C$32,$G$6,'EE Inputs'!$D$9:$D$32,$C$4,'EE Inputs'!$E$9:$E$32,$B174)/SUMIFS('EE Inputs'!$V$9:$V$32,'EE Inputs'!$C$9:$C$32,$G$6,'EE Inputs'!$D$9:$D$32,$C$4,'EE Inputs'!$E$9:$E$32,$B174)*10,0))</f>
        <v>0</v>
      </c>
      <c r="AA174" s="64">
        <f ca="1">IF($C$4=Lookups!$D$40,SUM(INDIRECT("'Yr1'!"&amp;ADDRESS(ROW(AA174),COLUMN(AA174))),INDIRECT("'Yr2'!"&amp;ADDRESS(ROW(AA174),COLUMN(AA174))),INDIRECT("'Yr3'!"&amp;ADDRESS(ROW(AA174),COLUMN(AA174)))),
IF(AA170&gt;0,SUMIFS('EE Inputs'!$I$9:$I$32,'EE Inputs'!$C$9:$C$32,$G$6,'EE Inputs'!$D$9:$D$32,$C$4,'EE Inputs'!$E$9:$E$32,$B174)/SUMIFS('EE Inputs'!$V$9:$V$32,'EE Inputs'!$C$9:$C$32,$G$6,'EE Inputs'!$D$9:$D$32,$C$4,'EE Inputs'!$E$9:$E$32,$B174)*10,0))</f>
        <v>0</v>
      </c>
      <c r="AB174" s="64">
        <f ca="1">IF($C$4=Lookups!$D$40,SUM(INDIRECT("'Yr1'!"&amp;ADDRESS(ROW(AB174),COLUMN(AB174))),INDIRECT("'Yr2'!"&amp;ADDRESS(ROW(AB174),COLUMN(AB174))),INDIRECT("'Yr3'!"&amp;ADDRESS(ROW(AB174),COLUMN(AB174)))),
IF(AB170&gt;0,SUMIFS('EE Inputs'!$I$9:$I$32,'EE Inputs'!$C$9:$C$32,$G$6,'EE Inputs'!$D$9:$D$32,$C$4,'EE Inputs'!$E$9:$E$32,$B174)/SUMIFS('EE Inputs'!$V$9:$V$32,'EE Inputs'!$C$9:$C$32,$G$6,'EE Inputs'!$D$9:$D$32,$C$4,'EE Inputs'!$E$9:$E$32,$B174)*10,0))</f>
        <v>0</v>
      </c>
      <c r="AC174" s="64">
        <f ca="1">IF($C$4=Lookups!$D$40,SUM(INDIRECT("'Yr1'!"&amp;ADDRESS(ROW(AC174),COLUMN(AC174))),INDIRECT("'Yr2'!"&amp;ADDRESS(ROW(AC174),COLUMN(AC174))),INDIRECT("'Yr3'!"&amp;ADDRESS(ROW(AC174),COLUMN(AC174)))),
IF(AC170&gt;0,SUMIFS('EE Inputs'!$I$9:$I$32,'EE Inputs'!$C$9:$C$32,$G$6,'EE Inputs'!$D$9:$D$32,$C$4,'EE Inputs'!$E$9:$E$32,$B174)/SUMIFS('EE Inputs'!$V$9:$V$32,'EE Inputs'!$C$9:$C$32,$G$6,'EE Inputs'!$D$9:$D$32,$C$4,'EE Inputs'!$E$9:$E$32,$B174)*10,0))</f>
        <v>0</v>
      </c>
      <c r="AD174" s="64">
        <f ca="1">IF($C$4=Lookups!$D$40,SUM(INDIRECT("'Yr1'!"&amp;ADDRESS(ROW(AD174),COLUMN(AD174))),INDIRECT("'Yr2'!"&amp;ADDRESS(ROW(AD174),COLUMN(AD174))),INDIRECT("'Yr3'!"&amp;ADDRESS(ROW(AD174),COLUMN(AD174)))),
IF(AD170&gt;0,SUMIFS('EE Inputs'!$I$9:$I$32,'EE Inputs'!$C$9:$C$32,$G$6,'EE Inputs'!$D$9:$D$32,$C$4,'EE Inputs'!$E$9:$E$32,$B174)/SUMIFS('EE Inputs'!$V$9:$V$32,'EE Inputs'!$C$9:$C$32,$G$6,'EE Inputs'!$D$9:$D$32,$C$4,'EE Inputs'!$E$9:$E$32,$B174)*10,0))</f>
        <v>0</v>
      </c>
      <c r="AE174" s="64">
        <f ca="1">IF($C$4=Lookups!$D$40,SUM(INDIRECT("'Yr1'!"&amp;ADDRESS(ROW(AE174),COLUMN(AE174))),INDIRECT("'Yr2'!"&amp;ADDRESS(ROW(AE174),COLUMN(AE174))),INDIRECT("'Yr3'!"&amp;ADDRESS(ROW(AE174),COLUMN(AE174)))),
IF(AE170&gt;0,SUMIFS('EE Inputs'!$I$9:$I$32,'EE Inputs'!$C$9:$C$32,$G$6,'EE Inputs'!$D$9:$D$32,$C$4,'EE Inputs'!$E$9:$E$32,$B174)/SUMIFS('EE Inputs'!$V$9:$V$32,'EE Inputs'!$C$9:$C$32,$G$6,'EE Inputs'!$D$9:$D$32,$C$4,'EE Inputs'!$E$9:$E$32,$B174)*10,0))</f>
        <v>0</v>
      </c>
      <c r="AF174" s="64">
        <f ca="1">IF($C$4=Lookups!$D$40,SUM(INDIRECT("'Yr1'!"&amp;ADDRESS(ROW(AF174),COLUMN(AF174))),INDIRECT("'Yr2'!"&amp;ADDRESS(ROW(AF174),COLUMN(AF174))),INDIRECT("'Yr3'!"&amp;ADDRESS(ROW(AF174),COLUMN(AF174)))),
IF(AF170&gt;0,SUMIFS('EE Inputs'!$I$9:$I$32,'EE Inputs'!$C$9:$C$32,$G$6,'EE Inputs'!$D$9:$D$32,$C$4,'EE Inputs'!$E$9:$E$32,$B174)/SUMIFS('EE Inputs'!$V$9:$V$32,'EE Inputs'!$C$9:$C$32,$G$6,'EE Inputs'!$D$9:$D$32,$C$4,'EE Inputs'!$E$9:$E$32,$B174)*10,0))</f>
        <v>0</v>
      </c>
      <c r="AG174" s="64">
        <f ca="1">IF($C$4=Lookups!$D$40,SUM(INDIRECT("'Yr1'!"&amp;ADDRESS(ROW(AG174),COLUMN(AG174))),INDIRECT("'Yr2'!"&amp;ADDRESS(ROW(AG174),COLUMN(AG174))),INDIRECT("'Yr3'!"&amp;ADDRESS(ROW(AG174),COLUMN(AG174)))),
IF(AG170&gt;0,SUMIFS('EE Inputs'!$I$9:$I$32,'EE Inputs'!$C$9:$C$32,$G$6,'EE Inputs'!$D$9:$D$32,$C$4,'EE Inputs'!$E$9:$E$32,$B174)/SUMIFS('EE Inputs'!$V$9:$V$32,'EE Inputs'!$C$9:$C$32,$G$6,'EE Inputs'!$D$9:$D$32,$C$4,'EE Inputs'!$E$9:$E$32,$B174)*10,0))</f>
        <v>0</v>
      </c>
      <c r="AH174" s="64"/>
      <c r="AI174" s="64">
        <f t="shared" ca="1" si="180"/>
        <v>6058292.5498055266</v>
      </c>
      <c r="AJ174" s="64"/>
      <c r="AM174" s="71">
        <f ca="1">IF($C$4=Lookups!$D$40,SUM(INDIRECT("'Yr1'!"&amp;ADDRESS(ROW(AM174),COLUMN(AM174))),INDIRECT("'Yr2'!"&amp;ADDRESS(ROW(AM174),COLUMN(AM174))),INDIRECT("'Yr3'!"&amp;ADDRESS(ROW(AM174),COLUMN(AM174)))),
IF(AM170&gt;0,SUMIFS('EE Inputs'!$I$9:$I$32,'EE Inputs'!$C$9:$C$32,$AM$6,'EE Inputs'!$D$9:$D$32,$C$4,'EE Inputs'!$E$9:$E$32,$B174)/SUMIFS('EE Inputs'!$V$9:$V$32,'EE Inputs'!$C$9:$C$32,$AM$6,'EE Inputs'!$D$9:$D$32,$C$4,'EE Inputs'!$E$9:$E$32,$B174)*10,0))</f>
        <v>0</v>
      </c>
      <c r="AN174" s="71">
        <f ca="1">IF($C$4=Lookups!$D$40,SUM(INDIRECT("'Yr1'!"&amp;ADDRESS(ROW(AN174),COLUMN(AN174))),INDIRECT("'Yr2'!"&amp;ADDRESS(ROW(AN174),COLUMN(AN174))),INDIRECT("'Yr3'!"&amp;ADDRESS(ROW(AN174),COLUMN(AN174)))),
IF(AN170&gt;0,SUMIFS('EE Inputs'!$I$9:$I$32,'EE Inputs'!$C$9:$C$32,$AM$6,'EE Inputs'!$D$9:$D$32,$C$4,'EE Inputs'!$E$9:$E$32,$B174)/SUMIFS('EE Inputs'!$V$9:$V$32,'EE Inputs'!$C$9:$C$32,$AM$6,'EE Inputs'!$D$9:$D$32,$C$4,'EE Inputs'!$E$9:$E$32,$B174)*10,0))</f>
        <v>0</v>
      </c>
      <c r="AO174" s="71">
        <f ca="1">IF($C$4=Lookups!$D$40,SUM(INDIRECT("'Yr1'!"&amp;ADDRESS(ROW(AO174),COLUMN(AO174))),INDIRECT("'Yr2'!"&amp;ADDRESS(ROW(AO174),COLUMN(AO174))),INDIRECT("'Yr3'!"&amp;ADDRESS(ROW(AO174),COLUMN(AO174)))),
IF(AO170&gt;0,SUMIFS('EE Inputs'!$I$9:$I$32,'EE Inputs'!$C$9:$C$32,$AM$6,'EE Inputs'!$D$9:$D$32,$C$4,'EE Inputs'!$E$9:$E$32,$B174)/SUMIFS('EE Inputs'!$V$9:$V$32,'EE Inputs'!$C$9:$C$32,$AM$6,'EE Inputs'!$D$9:$D$32,$C$4,'EE Inputs'!$E$9:$E$32,$B174)*10,0))</f>
        <v>432735.1821289662</v>
      </c>
      <c r="AP174" s="71">
        <f ca="1">IF($C$4=Lookups!$D$40,SUM(INDIRECT("'Yr1'!"&amp;ADDRESS(ROW(AP174),COLUMN(AP174))),INDIRECT("'Yr2'!"&amp;ADDRESS(ROW(AP174),COLUMN(AP174))),INDIRECT("'Yr3'!"&amp;ADDRESS(ROW(AP174),COLUMN(AP174)))),
IF(AP170&gt;0,SUMIFS('EE Inputs'!$I$9:$I$32,'EE Inputs'!$C$9:$C$32,$AM$6,'EE Inputs'!$D$9:$D$32,$C$4,'EE Inputs'!$E$9:$E$32,$B174)/SUMIFS('EE Inputs'!$V$9:$V$32,'EE Inputs'!$C$9:$C$32,$AM$6,'EE Inputs'!$D$9:$D$32,$C$4,'EE Inputs'!$E$9:$E$32,$B174)*10,0))</f>
        <v>432735.1821289662</v>
      </c>
      <c r="AQ174" s="71">
        <f ca="1">IF($C$4=Lookups!$D$40,SUM(INDIRECT("'Yr1'!"&amp;ADDRESS(ROW(AQ174),COLUMN(AQ174))),INDIRECT("'Yr2'!"&amp;ADDRESS(ROW(AQ174),COLUMN(AQ174))),INDIRECT("'Yr3'!"&amp;ADDRESS(ROW(AQ174),COLUMN(AQ174)))),
IF(AQ170&gt;0,SUMIFS('EE Inputs'!$I$9:$I$32,'EE Inputs'!$C$9:$C$32,$AM$6,'EE Inputs'!$D$9:$D$32,$C$4,'EE Inputs'!$E$9:$E$32,$B174)/SUMIFS('EE Inputs'!$V$9:$V$32,'EE Inputs'!$C$9:$C$32,$AM$6,'EE Inputs'!$D$9:$D$32,$C$4,'EE Inputs'!$E$9:$E$32,$B174)*10,0))</f>
        <v>432735.1821289662</v>
      </c>
      <c r="AR174" s="71">
        <f ca="1">IF($C$4=Lookups!$D$40,SUM(INDIRECT("'Yr1'!"&amp;ADDRESS(ROW(AR174),COLUMN(AR174))),INDIRECT("'Yr2'!"&amp;ADDRESS(ROW(AR174),COLUMN(AR174))),INDIRECT("'Yr3'!"&amp;ADDRESS(ROW(AR174),COLUMN(AR174)))),
IF(AR170&gt;0,SUMIFS('EE Inputs'!$I$9:$I$32,'EE Inputs'!$C$9:$C$32,$AM$6,'EE Inputs'!$D$9:$D$32,$C$4,'EE Inputs'!$E$9:$E$32,$B174)/SUMIFS('EE Inputs'!$V$9:$V$32,'EE Inputs'!$C$9:$C$32,$AM$6,'EE Inputs'!$D$9:$D$32,$C$4,'EE Inputs'!$E$9:$E$32,$B174)*10,0))</f>
        <v>432735.1821289662</v>
      </c>
      <c r="AS174" s="71">
        <f ca="1">IF($C$4=Lookups!$D$40,SUM(INDIRECT("'Yr1'!"&amp;ADDRESS(ROW(AS174),COLUMN(AS174))),INDIRECT("'Yr2'!"&amp;ADDRESS(ROW(AS174),COLUMN(AS174))),INDIRECT("'Yr3'!"&amp;ADDRESS(ROW(AS174),COLUMN(AS174)))),
IF(AS170&gt;0,SUMIFS('EE Inputs'!$I$9:$I$32,'EE Inputs'!$C$9:$C$32,$AM$6,'EE Inputs'!$D$9:$D$32,$C$4,'EE Inputs'!$E$9:$E$32,$B174)/SUMIFS('EE Inputs'!$V$9:$V$32,'EE Inputs'!$C$9:$C$32,$AM$6,'EE Inputs'!$D$9:$D$32,$C$4,'EE Inputs'!$E$9:$E$32,$B174)*10,0))</f>
        <v>432735.1821289662</v>
      </c>
      <c r="AT174" s="71">
        <f ca="1">IF($C$4=Lookups!$D$40,SUM(INDIRECT("'Yr1'!"&amp;ADDRESS(ROW(AT174),COLUMN(AT174))),INDIRECT("'Yr2'!"&amp;ADDRESS(ROW(AT174),COLUMN(AT174))),INDIRECT("'Yr3'!"&amp;ADDRESS(ROW(AT174),COLUMN(AT174)))),
IF(AT170&gt;0,SUMIFS('EE Inputs'!$I$9:$I$32,'EE Inputs'!$C$9:$C$32,$AM$6,'EE Inputs'!$D$9:$D$32,$C$4,'EE Inputs'!$E$9:$E$32,$B174)/SUMIFS('EE Inputs'!$V$9:$V$32,'EE Inputs'!$C$9:$C$32,$AM$6,'EE Inputs'!$D$9:$D$32,$C$4,'EE Inputs'!$E$9:$E$32,$B174)*10,0))</f>
        <v>432735.1821289662</v>
      </c>
      <c r="AU174" s="71">
        <f ca="1">IF($C$4=Lookups!$D$40,SUM(INDIRECT("'Yr1'!"&amp;ADDRESS(ROW(AU174),COLUMN(AU174))),INDIRECT("'Yr2'!"&amp;ADDRESS(ROW(AU174),COLUMN(AU174))),INDIRECT("'Yr3'!"&amp;ADDRESS(ROW(AU174),COLUMN(AU174)))),
IF(AU170&gt;0,SUMIFS('EE Inputs'!$I$9:$I$32,'EE Inputs'!$C$9:$C$32,$AM$6,'EE Inputs'!$D$9:$D$32,$C$4,'EE Inputs'!$E$9:$E$32,$B174)/SUMIFS('EE Inputs'!$V$9:$V$32,'EE Inputs'!$C$9:$C$32,$AM$6,'EE Inputs'!$D$9:$D$32,$C$4,'EE Inputs'!$E$9:$E$32,$B174)*10,0))</f>
        <v>432735.1821289662</v>
      </c>
      <c r="AV174" s="71">
        <f ca="1">IF($C$4=Lookups!$D$40,SUM(INDIRECT("'Yr1'!"&amp;ADDRESS(ROW(AV174),COLUMN(AV174))),INDIRECT("'Yr2'!"&amp;ADDRESS(ROW(AV174),COLUMN(AV174))),INDIRECT("'Yr3'!"&amp;ADDRESS(ROW(AV174),COLUMN(AV174)))),
IF(AV170&gt;0,SUMIFS('EE Inputs'!$I$9:$I$32,'EE Inputs'!$C$9:$C$32,$AM$6,'EE Inputs'!$D$9:$D$32,$C$4,'EE Inputs'!$E$9:$E$32,$B174)/SUMIFS('EE Inputs'!$V$9:$V$32,'EE Inputs'!$C$9:$C$32,$AM$6,'EE Inputs'!$D$9:$D$32,$C$4,'EE Inputs'!$E$9:$E$32,$B174)*10,0))</f>
        <v>432735.1821289662</v>
      </c>
      <c r="AW174" s="71">
        <f ca="1">IF($C$4=Lookups!$D$40,SUM(INDIRECT("'Yr1'!"&amp;ADDRESS(ROW(AW174),COLUMN(AW174))),INDIRECT("'Yr2'!"&amp;ADDRESS(ROW(AW174),COLUMN(AW174))),INDIRECT("'Yr3'!"&amp;ADDRESS(ROW(AW174),COLUMN(AW174)))),
IF(AW170&gt;0,SUMIFS('EE Inputs'!$I$9:$I$32,'EE Inputs'!$C$9:$C$32,$AM$6,'EE Inputs'!$D$9:$D$32,$C$4,'EE Inputs'!$E$9:$E$32,$B174)/SUMIFS('EE Inputs'!$V$9:$V$32,'EE Inputs'!$C$9:$C$32,$AM$6,'EE Inputs'!$D$9:$D$32,$C$4,'EE Inputs'!$E$9:$E$32,$B174)*10,0))</f>
        <v>432735.1821289662</v>
      </c>
      <c r="AX174" s="71">
        <f ca="1">IF($C$4=Lookups!$D$40,SUM(INDIRECT("'Yr1'!"&amp;ADDRESS(ROW(AX174),COLUMN(AX174))),INDIRECT("'Yr2'!"&amp;ADDRESS(ROW(AX174),COLUMN(AX174))),INDIRECT("'Yr3'!"&amp;ADDRESS(ROW(AX174),COLUMN(AX174)))),
IF(AX170&gt;0,SUMIFS('EE Inputs'!$I$9:$I$32,'EE Inputs'!$C$9:$C$32,$AM$6,'EE Inputs'!$D$9:$D$32,$C$4,'EE Inputs'!$E$9:$E$32,$B174)/SUMIFS('EE Inputs'!$V$9:$V$32,'EE Inputs'!$C$9:$C$32,$AM$6,'EE Inputs'!$D$9:$D$32,$C$4,'EE Inputs'!$E$9:$E$32,$B174)*10,0))</f>
        <v>432735.1821289662</v>
      </c>
      <c r="AY174" s="71">
        <f ca="1">IF($C$4=Lookups!$D$40,SUM(INDIRECT("'Yr1'!"&amp;ADDRESS(ROW(AY174),COLUMN(AY174))),INDIRECT("'Yr2'!"&amp;ADDRESS(ROW(AY174),COLUMN(AY174))),INDIRECT("'Yr3'!"&amp;ADDRESS(ROW(AY174),COLUMN(AY174)))),
IF(AY170&gt;0,SUMIFS('EE Inputs'!$I$9:$I$32,'EE Inputs'!$C$9:$C$32,$AM$6,'EE Inputs'!$D$9:$D$32,$C$4,'EE Inputs'!$E$9:$E$32,$B174)/SUMIFS('EE Inputs'!$V$9:$V$32,'EE Inputs'!$C$9:$C$32,$AM$6,'EE Inputs'!$D$9:$D$32,$C$4,'EE Inputs'!$E$9:$E$32,$B174)*10,0))</f>
        <v>432735.1821289662</v>
      </c>
      <c r="AZ174" s="71">
        <f ca="1">IF($C$4=Lookups!$D$40,SUM(INDIRECT("'Yr1'!"&amp;ADDRESS(ROW(AZ174),COLUMN(AZ174))),INDIRECT("'Yr2'!"&amp;ADDRESS(ROW(AZ174),COLUMN(AZ174))),INDIRECT("'Yr3'!"&amp;ADDRESS(ROW(AZ174),COLUMN(AZ174)))),
IF(AZ170&gt;0,SUMIFS('EE Inputs'!$I$9:$I$32,'EE Inputs'!$C$9:$C$32,$AM$6,'EE Inputs'!$D$9:$D$32,$C$4,'EE Inputs'!$E$9:$E$32,$B174)/SUMIFS('EE Inputs'!$V$9:$V$32,'EE Inputs'!$C$9:$C$32,$AM$6,'EE Inputs'!$D$9:$D$32,$C$4,'EE Inputs'!$E$9:$E$32,$B174)*10,0))</f>
        <v>432735.1821289662</v>
      </c>
      <c r="BA174" s="71">
        <f ca="1">IF($C$4=Lookups!$D$40,SUM(INDIRECT("'Yr1'!"&amp;ADDRESS(ROW(BA174),COLUMN(BA174))),INDIRECT("'Yr2'!"&amp;ADDRESS(ROW(BA174),COLUMN(BA174))),INDIRECT("'Yr3'!"&amp;ADDRESS(ROW(BA174),COLUMN(BA174)))),
IF(BA170&gt;0,SUMIFS('EE Inputs'!$I$9:$I$32,'EE Inputs'!$C$9:$C$32,$AM$6,'EE Inputs'!$D$9:$D$32,$C$4,'EE Inputs'!$E$9:$E$32,$B174)/SUMIFS('EE Inputs'!$V$9:$V$32,'EE Inputs'!$C$9:$C$32,$AM$6,'EE Inputs'!$D$9:$D$32,$C$4,'EE Inputs'!$E$9:$E$32,$B174)*10,0))</f>
        <v>432735.1821289662</v>
      </c>
      <c r="BB174" s="71">
        <f ca="1">IF($C$4=Lookups!$D$40,SUM(INDIRECT("'Yr1'!"&amp;ADDRESS(ROW(BB174),COLUMN(BB174))),INDIRECT("'Yr2'!"&amp;ADDRESS(ROW(BB174),COLUMN(BB174))),INDIRECT("'Yr3'!"&amp;ADDRESS(ROW(BB174),COLUMN(BB174)))),
IF(BB170&gt;0,SUMIFS('EE Inputs'!$I$9:$I$32,'EE Inputs'!$C$9:$C$32,$AM$6,'EE Inputs'!$D$9:$D$32,$C$4,'EE Inputs'!$E$9:$E$32,$B174)/SUMIFS('EE Inputs'!$V$9:$V$32,'EE Inputs'!$C$9:$C$32,$AM$6,'EE Inputs'!$D$9:$D$32,$C$4,'EE Inputs'!$E$9:$E$32,$B174)*10,0))</f>
        <v>432735.1821289662</v>
      </c>
      <c r="BC174" s="71">
        <f ca="1">IF($C$4=Lookups!$D$40,SUM(INDIRECT("'Yr1'!"&amp;ADDRESS(ROW(BC174),COLUMN(BC174))),INDIRECT("'Yr2'!"&amp;ADDRESS(ROW(BC174),COLUMN(BC174))),INDIRECT("'Yr3'!"&amp;ADDRESS(ROW(BC174),COLUMN(BC174)))),
IF(BC170&gt;0,SUMIFS('EE Inputs'!$I$9:$I$32,'EE Inputs'!$C$9:$C$32,$AM$6,'EE Inputs'!$D$9:$D$32,$C$4,'EE Inputs'!$E$9:$E$32,$B174)/SUMIFS('EE Inputs'!$V$9:$V$32,'EE Inputs'!$C$9:$C$32,$AM$6,'EE Inputs'!$D$9:$D$32,$C$4,'EE Inputs'!$E$9:$E$32,$B174)*10,0))</f>
        <v>432735.1821289662</v>
      </c>
      <c r="BD174" s="71">
        <f ca="1">IF($C$4=Lookups!$D$40,SUM(INDIRECT("'Yr1'!"&amp;ADDRESS(ROW(BD174),COLUMN(BD174))),INDIRECT("'Yr2'!"&amp;ADDRESS(ROW(BD174),COLUMN(BD174))),INDIRECT("'Yr3'!"&amp;ADDRESS(ROW(BD174),COLUMN(BD174)))),
IF(BD170&gt;0,SUMIFS('EE Inputs'!$I$9:$I$32,'EE Inputs'!$C$9:$C$32,$AM$6,'EE Inputs'!$D$9:$D$32,$C$4,'EE Inputs'!$E$9:$E$32,$B174)/SUMIFS('EE Inputs'!$V$9:$V$32,'EE Inputs'!$C$9:$C$32,$AM$6,'EE Inputs'!$D$9:$D$32,$C$4,'EE Inputs'!$E$9:$E$32,$B174)*10,0))</f>
        <v>432735.1821289662</v>
      </c>
      <c r="BE174" s="71">
        <f ca="1">IF($C$4=Lookups!$D$40,SUM(INDIRECT("'Yr1'!"&amp;ADDRESS(ROW(BE174),COLUMN(BE174))),INDIRECT("'Yr2'!"&amp;ADDRESS(ROW(BE174),COLUMN(BE174))),INDIRECT("'Yr3'!"&amp;ADDRESS(ROW(BE174),COLUMN(BE174)))),
IF(BE170&gt;0,SUMIFS('EE Inputs'!$I$9:$I$32,'EE Inputs'!$C$9:$C$32,$AM$6,'EE Inputs'!$D$9:$D$32,$C$4,'EE Inputs'!$E$9:$E$32,$B174)/SUMIFS('EE Inputs'!$V$9:$V$32,'EE Inputs'!$C$9:$C$32,$AM$6,'EE Inputs'!$D$9:$D$32,$C$4,'EE Inputs'!$E$9:$E$32,$B174)*10,0))</f>
        <v>0</v>
      </c>
      <c r="BF174" s="71">
        <f ca="1">IF($C$4=Lookups!$D$40,SUM(INDIRECT("'Yr1'!"&amp;ADDRESS(ROW(BF174),COLUMN(BF174))),INDIRECT("'Yr2'!"&amp;ADDRESS(ROW(BF174),COLUMN(BF174))),INDIRECT("'Yr3'!"&amp;ADDRESS(ROW(BF174),COLUMN(BF174)))),
IF(BF170&gt;0,SUMIFS('EE Inputs'!$I$9:$I$32,'EE Inputs'!$C$9:$C$32,$AM$6,'EE Inputs'!$D$9:$D$32,$C$4,'EE Inputs'!$E$9:$E$32,$B174)/SUMIFS('EE Inputs'!$V$9:$V$32,'EE Inputs'!$C$9:$C$32,$AM$6,'EE Inputs'!$D$9:$D$32,$C$4,'EE Inputs'!$E$9:$E$32,$B174)*10,0))</f>
        <v>0</v>
      </c>
      <c r="BG174" s="71">
        <f ca="1">IF($C$4=Lookups!$D$40,SUM(INDIRECT("'Yr1'!"&amp;ADDRESS(ROW(BG174),COLUMN(BG174))),INDIRECT("'Yr2'!"&amp;ADDRESS(ROW(BG174),COLUMN(BG174))),INDIRECT("'Yr3'!"&amp;ADDRESS(ROW(BG174),COLUMN(BG174)))),
IF(BG170&gt;0,SUMIFS('EE Inputs'!$I$9:$I$32,'EE Inputs'!$C$9:$C$32,$AM$6,'EE Inputs'!$D$9:$D$32,$C$4,'EE Inputs'!$E$9:$E$32,$B174)/SUMIFS('EE Inputs'!$V$9:$V$32,'EE Inputs'!$C$9:$C$32,$AM$6,'EE Inputs'!$D$9:$D$32,$C$4,'EE Inputs'!$E$9:$E$32,$B174)*10,0))</f>
        <v>0</v>
      </c>
      <c r="BH174" s="71">
        <f ca="1">IF($C$4=Lookups!$D$40,SUM(INDIRECT("'Yr1'!"&amp;ADDRESS(ROW(BH174),COLUMN(BH174))),INDIRECT("'Yr2'!"&amp;ADDRESS(ROW(BH174),COLUMN(BH174))),INDIRECT("'Yr3'!"&amp;ADDRESS(ROW(BH174),COLUMN(BH174)))),
IF(BH170&gt;0,SUMIFS('EE Inputs'!$I$9:$I$32,'EE Inputs'!$C$9:$C$32,$AM$6,'EE Inputs'!$D$9:$D$32,$C$4,'EE Inputs'!$E$9:$E$32,$B174)/SUMIFS('EE Inputs'!$V$9:$V$32,'EE Inputs'!$C$9:$C$32,$AM$6,'EE Inputs'!$D$9:$D$32,$C$4,'EE Inputs'!$E$9:$E$32,$B174)*10,0))</f>
        <v>0</v>
      </c>
      <c r="BI174" s="71">
        <f ca="1">IF($C$4=Lookups!$D$40,SUM(INDIRECT("'Yr1'!"&amp;ADDRESS(ROW(BI174),COLUMN(BI174))),INDIRECT("'Yr2'!"&amp;ADDRESS(ROW(BI174),COLUMN(BI174))),INDIRECT("'Yr3'!"&amp;ADDRESS(ROW(BI174),COLUMN(BI174)))),
IF(BI170&gt;0,SUMIFS('EE Inputs'!$I$9:$I$32,'EE Inputs'!$C$9:$C$32,$AM$6,'EE Inputs'!$D$9:$D$32,$C$4,'EE Inputs'!$E$9:$E$32,$B174)/SUMIFS('EE Inputs'!$V$9:$V$32,'EE Inputs'!$C$9:$C$32,$AM$6,'EE Inputs'!$D$9:$D$32,$C$4,'EE Inputs'!$E$9:$E$32,$B174)*10,0))</f>
        <v>0</v>
      </c>
      <c r="BJ174" s="71">
        <f ca="1">IF($C$4=Lookups!$D$40,SUM(INDIRECT("'Yr1'!"&amp;ADDRESS(ROW(BJ174),COLUMN(BJ174))),INDIRECT("'Yr2'!"&amp;ADDRESS(ROW(BJ174),COLUMN(BJ174))),INDIRECT("'Yr3'!"&amp;ADDRESS(ROW(BJ174),COLUMN(BJ174)))),
IF(BJ170&gt;0,SUMIFS('EE Inputs'!$I$9:$I$32,'EE Inputs'!$C$9:$C$32,$AM$6,'EE Inputs'!$D$9:$D$32,$C$4,'EE Inputs'!$E$9:$E$32,$B174)/SUMIFS('EE Inputs'!$V$9:$V$32,'EE Inputs'!$C$9:$C$32,$AM$6,'EE Inputs'!$D$9:$D$32,$C$4,'EE Inputs'!$E$9:$E$32,$B174)*10,0))</f>
        <v>0</v>
      </c>
      <c r="BK174" s="71">
        <f ca="1">IF($C$4=Lookups!$D$40,SUM(INDIRECT("'Yr1'!"&amp;ADDRESS(ROW(BK174),COLUMN(BK174))),INDIRECT("'Yr2'!"&amp;ADDRESS(ROW(BK174),COLUMN(BK174))),INDIRECT("'Yr3'!"&amp;ADDRESS(ROW(BK174),COLUMN(BK174)))),
IF(BK170&gt;0,SUMIFS('EE Inputs'!$I$9:$I$32,'EE Inputs'!$C$9:$C$32,$AM$6,'EE Inputs'!$D$9:$D$32,$C$4,'EE Inputs'!$E$9:$E$32,$B174)/SUMIFS('EE Inputs'!$V$9:$V$32,'EE Inputs'!$C$9:$C$32,$AM$6,'EE Inputs'!$D$9:$D$32,$C$4,'EE Inputs'!$E$9:$E$32,$B174)*10,0))</f>
        <v>0</v>
      </c>
      <c r="BL174" s="71">
        <f ca="1">IF($C$4=Lookups!$D$40,SUM(INDIRECT("'Yr1'!"&amp;ADDRESS(ROW(BL174),COLUMN(BL174))),INDIRECT("'Yr2'!"&amp;ADDRESS(ROW(BL174),COLUMN(BL174))),INDIRECT("'Yr3'!"&amp;ADDRESS(ROW(BL174),COLUMN(BL174)))),
IF(BL170&gt;0,SUMIFS('EE Inputs'!$I$9:$I$32,'EE Inputs'!$C$9:$C$32,$AM$6,'EE Inputs'!$D$9:$D$32,$C$4,'EE Inputs'!$E$9:$E$32,$B174)/SUMIFS('EE Inputs'!$V$9:$V$32,'EE Inputs'!$C$9:$C$32,$AM$6,'EE Inputs'!$D$9:$D$32,$C$4,'EE Inputs'!$E$9:$E$32,$B174)*10,0))</f>
        <v>0</v>
      </c>
      <c r="BM174" s="71">
        <f ca="1">IF($C$4=Lookups!$D$40,SUM(INDIRECT("'Yr1'!"&amp;ADDRESS(ROW(BM174),COLUMN(BM174))),INDIRECT("'Yr2'!"&amp;ADDRESS(ROW(BM174),COLUMN(BM174))),INDIRECT("'Yr3'!"&amp;ADDRESS(ROW(BM174),COLUMN(BM174)))),
IF(BM170&gt;0,SUMIFS('EE Inputs'!$I$9:$I$32,'EE Inputs'!$C$9:$C$32,$AM$6,'EE Inputs'!$D$9:$D$32,$C$4,'EE Inputs'!$E$9:$E$32,$B174)/SUMIFS('EE Inputs'!$V$9:$V$32,'EE Inputs'!$C$9:$C$32,$AM$6,'EE Inputs'!$D$9:$D$32,$C$4,'EE Inputs'!$E$9:$E$32,$B174)*10,0))</f>
        <v>0</v>
      </c>
      <c r="BN174" s="71"/>
      <c r="BO174" s="71">
        <f t="shared" ca="1" si="181"/>
        <v>6923762.9140634574</v>
      </c>
      <c r="BP174" s="71"/>
      <c r="BS174" s="84" t="s">
        <v>92</v>
      </c>
      <c r="BT174" s="51" t="s">
        <v>17</v>
      </c>
    </row>
    <row r="175" spans="1:72" x14ac:dyDescent="0.25">
      <c r="B175" s="243" t="str">
        <f t="shared" si="179"/>
        <v>Small C&amp;I</v>
      </c>
      <c r="C175" s="243" t="str">
        <f>C174</f>
        <v>Sales</v>
      </c>
      <c r="D175" s="244" t="s">
        <v>109</v>
      </c>
      <c r="E175" s="85" t="s">
        <v>109</v>
      </c>
      <c r="F175" s="84" t="s">
        <v>195</v>
      </c>
      <c r="G175" s="65">
        <f ca="1">G173-G174</f>
        <v>0</v>
      </c>
      <c r="H175" s="65">
        <f t="shared" ref="H175:AG175" ca="1" si="182">H173-H174</f>
        <v>0</v>
      </c>
      <c r="I175" s="65">
        <f t="shared" ca="1" si="182"/>
        <v>20974982.564083569</v>
      </c>
      <c r="J175" s="65">
        <f t="shared" ca="1" si="182"/>
        <v>20974982.564083569</v>
      </c>
      <c r="K175" s="65">
        <f t="shared" ca="1" si="182"/>
        <v>20974982.564083569</v>
      </c>
      <c r="L175" s="65">
        <f t="shared" ca="1" si="182"/>
        <v>20974982.564083569</v>
      </c>
      <c r="M175" s="65">
        <f t="shared" ca="1" si="182"/>
        <v>20974982.564083569</v>
      </c>
      <c r="N175" s="65">
        <f t="shared" ca="1" si="182"/>
        <v>20974982.564083569</v>
      </c>
      <c r="O175" s="65">
        <f t="shared" ca="1" si="182"/>
        <v>20974982.564083569</v>
      </c>
      <c r="P175" s="65">
        <f t="shared" ca="1" si="182"/>
        <v>20974982.564083569</v>
      </c>
      <c r="Q175" s="65">
        <f t="shared" ca="1" si="182"/>
        <v>20974982.564083569</v>
      </c>
      <c r="R175" s="65">
        <f t="shared" ca="1" si="182"/>
        <v>20974982.564083569</v>
      </c>
      <c r="S175" s="65">
        <f t="shared" ca="1" si="182"/>
        <v>20974982.564083569</v>
      </c>
      <c r="T175" s="65">
        <f t="shared" ca="1" si="182"/>
        <v>20974982.564083569</v>
      </c>
      <c r="U175" s="65">
        <f t="shared" ca="1" si="182"/>
        <v>20974982.564083569</v>
      </c>
      <c r="V175" s="65">
        <f t="shared" ca="1" si="182"/>
        <v>20974982.564083569</v>
      </c>
      <c r="W175" s="65">
        <f t="shared" ca="1" si="182"/>
        <v>20974982.564083569</v>
      </c>
      <c r="X175" s="65">
        <f t="shared" ca="1" si="182"/>
        <v>20974982.564083569</v>
      </c>
      <c r="Y175" s="65">
        <f t="shared" ca="1" si="182"/>
        <v>21353625.848446414</v>
      </c>
      <c r="Z175" s="65">
        <f t="shared" ca="1" si="182"/>
        <v>21353625.848446414</v>
      </c>
      <c r="AA175" s="65">
        <f t="shared" ca="1" si="182"/>
        <v>21353625.848446414</v>
      </c>
      <c r="AB175" s="65">
        <f t="shared" ca="1" si="182"/>
        <v>21353625.848446414</v>
      </c>
      <c r="AC175" s="65">
        <f t="shared" ca="1" si="182"/>
        <v>21353625.848446414</v>
      </c>
      <c r="AD175" s="65">
        <f t="shared" ca="1" si="182"/>
        <v>21353625.848446414</v>
      </c>
      <c r="AE175" s="65">
        <f t="shared" ca="1" si="182"/>
        <v>21353625.848446414</v>
      </c>
      <c r="AF175" s="65">
        <f t="shared" ca="1" si="182"/>
        <v>21353625.848446414</v>
      </c>
      <c r="AG175" s="65">
        <f t="shared" ca="1" si="182"/>
        <v>21353625.848446414</v>
      </c>
      <c r="AH175" s="65"/>
      <c r="AI175" s="65">
        <f t="shared" ca="1" si="180"/>
        <v>527782353.66135502</v>
      </c>
      <c r="AJ175" s="65"/>
      <c r="AM175" s="72">
        <f ca="1">AM173-AM174</f>
        <v>0</v>
      </c>
      <c r="AN175" s="72">
        <f t="shared" ref="AN175:BM175" ca="1" si="183">AN173-AN174</f>
        <v>0</v>
      </c>
      <c r="AO175" s="72">
        <f t="shared" ca="1" si="183"/>
        <v>20920890.666317448</v>
      </c>
      <c r="AP175" s="72">
        <f t="shared" ca="1" si="183"/>
        <v>20920890.666317448</v>
      </c>
      <c r="AQ175" s="72">
        <f t="shared" ca="1" si="183"/>
        <v>20920890.666317448</v>
      </c>
      <c r="AR175" s="72">
        <f t="shared" ca="1" si="183"/>
        <v>20920890.666317448</v>
      </c>
      <c r="AS175" s="72">
        <f t="shared" ca="1" si="183"/>
        <v>20920890.666317448</v>
      </c>
      <c r="AT175" s="72">
        <f t="shared" ca="1" si="183"/>
        <v>20920890.666317448</v>
      </c>
      <c r="AU175" s="72">
        <f t="shared" ca="1" si="183"/>
        <v>20920890.666317448</v>
      </c>
      <c r="AV175" s="72">
        <f t="shared" ca="1" si="183"/>
        <v>20920890.666317448</v>
      </c>
      <c r="AW175" s="72">
        <f t="shared" ca="1" si="183"/>
        <v>20920890.666317448</v>
      </c>
      <c r="AX175" s="72">
        <f t="shared" ca="1" si="183"/>
        <v>20920890.666317448</v>
      </c>
      <c r="AY175" s="72">
        <f t="shared" ca="1" si="183"/>
        <v>20920890.666317448</v>
      </c>
      <c r="AZ175" s="72">
        <f t="shared" ca="1" si="183"/>
        <v>20920890.666317448</v>
      </c>
      <c r="BA175" s="72">
        <f t="shared" ca="1" si="183"/>
        <v>20920890.666317448</v>
      </c>
      <c r="BB175" s="72">
        <f t="shared" ca="1" si="183"/>
        <v>20920890.666317448</v>
      </c>
      <c r="BC175" s="72">
        <f t="shared" ca="1" si="183"/>
        <v>20920890.666317448</v>
      </c>
      <c r="BD175" s="72">
        <f t="shared" ca="1" si="183"/>
        <v>20920890.666317448</v>
      </c>
      <c r="BE175" s="72">
        <f t="shared" ca="1" si="183"/>
        <v>21353625.848446414</v>
      </c>
      <c r="BF175" s="72">
        <f t="shared" ca="1" si="183"/>
        <v>21353625.848446414</v>
      </c>
      <c r="BG175" s="72">
        <f t="shared" ca="1" si="183"/>
        <v>21353625.848446414</v>
      </c>
      <c r="BH175" s="72">
        <f t="shared" ca="1" si="183"/>
        <v>21353625.848446414</v>
      </c>
      <c r="BI175" s="72">
        <f t="shared" ca="1" si="183"/>
        <v>21353625.848446414</v>
      </c>
      <c r="BJ175" s="72">
        <f t="shared" ca="1" si="183"/>
        <v>21353625.848446414</v>
      </c>
      <c r="BK175" s="72">
        <f t="shared" ca="1" si="183"/>
        <v>21353625.848446414</v>
      </c>
      <c r="BL175" s="72">
        <f t="shared" ca="1" si="183"/>
        <v>21353625.848446414</v>
      </c>
      <c r="BM175" s="72">
        <f t="shared" ca="1" si="183"/>
        <v>21353625.848446414</v>
      </c>
      <c r="BN175" s="72"/>
      <c r="BO175" s="72">
        <f t="shared" ca="1" si="181"/>
        <v>526916883.29709715</v>
      </c>
      <c r="BP175" s="72"/>
      <c r="BS175" s="84" t="s">
        <v>93</v>
      </c>
      <c r="BT175" s="51" t="s">
        <v>17</v>
      </c>
    </row>
    <row r="176" spans="1:72" s="5" customFormat="1" x14ac:dyDescent="0.25">
      <c r="A176" s="52"/>
      <c r="B176" s="242" t="str">
        <f t="shared" si="179"/>
        <v>Small C&amp;I</v>
      </c>
      <c r="C176" s="243" t="str">
        <f>C175</f>
        <v>Sales</v>
      </c>
      <c r="D176" s="77" t="s">
        <v>17</v>
      </c>
      <c r="E176" s="76"/>
      <c r="F176" s="76"/>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c r="AG176" s="468"/>
      <c r="AH176" s="48"/>
      <c r="AI176" s="235"/>
      <c r="AJ176" s="48"/>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S176" s="76"/>
      <c r="BT176" s="51" t="s">
        <v>17</v>
      </c>
    </row>
    <row r="177" spans="1:72" s="5" customFormat="1" ht="15.75" x14ac:dyDescent="0.25">
      <c r="A177" s="52"/>
      <c r="B177" s="241" t="str">
        <f t="shared" si="179"/>
        <v>Small C&amp;I</v>
      </c>
      <c r="C177" s="63" t="s">
        <v>124</v>
      </c>
      <c r="D177" s="61"/>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2"/>
      <c r="BO177" s="62"/>
      <c r="BP177" s="62"/>
      <c r="BS177" s="62"/>
      <c r="BT177" s="51" t="s">
        <v>17</v>
      </c>
    </row>
    <row r="178" spans="1:72" x14ac:dyDescent="0.25">
      <c r="B178" s="243" t="str">
        <f t="shared" si="179"/>
        <v>Small C&amp;I</v>
      </c>
      <c r="C178" s="243" t="str">
        <f t="shared" si="179"/>
        <v>Revenue Requirements</v>
      </c>
      <c r="D178" s="114" t="str">
        <f>"Revenue Requirement before DSM ("&amp;Lookups!$D$22&amp;" Scenario)"</f>
        <v>Revenue Requirement before DSM (No EE Scenario)</v>
      </c>
      <c r="E178" s="84"/>
      <c r="F178" s="84"/>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S178" s="84"/>
      <c r="BT178" s="51" t="s">
        <v>17</v>
      </c>
    </row>
    <row r="179" spans="1:72" x14ac:dyDescent="0.25">
      <c r="B179" s="243" t="str">
        <f t="shared" si="179"/>
        <v>Small C&amp;I</v>
      </c>
      <c r="C179" s="243" t="str">
        <f t="shared" si="179"/>
        <v>Revenue Requirements</v>
      </c>
      <c r="D179" s="244" t="str">
        <f>D178</f>
        <v>Revenue Requirement before DSM (No EE Scenario)</v>
      </c>
      <c r="E179" s="84" t="s">
        <v>26</v>
      </c>
      <c r="F179" s="84" t="s">
        <v>32</v>
      </c>
      <c r="G179" s="65">
        <f>G196*G173</f>
        <v>0</v>
      </c>
      <c r="H179" s="65">
        <f t="shared" ref="H179:AG179" si="184">H196*H173</f>
        <v>0</v>
      </c>
      <c r="I179" s="65">
        <f t="shared" si="184"/>
        <v>8373024.9487512652</v>
      </c>
      <c r="J179" s="65">
        <f t="shared" si="184"/>
        <v>8373024.9487512652</v>
      </c>
      <c r="K179" s="65">
        <f t="shared" si="184"/>
        <v>8373024.9487512652</v>
      </c>
      <c r="L179" s="65">
        <f t="shared" si="184"/>
        <v>8373024.9487512652</v>
      </c>
      <c r="M179" s="65">
        <f t="shared" si="184"/>
        <v>8373024.9487512652</v>
      </c>
      <c r="N179" s="65">
        <f t="shared" si="184"/>
        <v>8373024.9487512652</v>
      </c>
      <c r="O179" s="65">
        <f t="shared" si="184"/>
        <v>8373024.9487512652</v>
      </c>
      <c r="P179" s="65">
        <f t="shared" si="184"/>
        <v>8373024.9487512652</v>
      </c>
      <c r="Q179" s="65">
        <f t="shared" si="184"/>
        <v>8373024.9487512652</v>
      </c>
      <c r="R179" s="65">
        <f t="shared" si="184"/>
        <v>8373024.9487512652</v>
      </c>
      <c r="S179" s="65">
        <f t="shared" si="184"/>
        <v>8373024.9487512652</v>
      </c>
      <c r="T179" s="65">
        <f t="shared" si="184"/>
        <v>8373024.9487512652</v>
      </c>
      <c r="U179" s="65">
        <f t="shared" si="184"/>
        <v>8373024.9487512652</v>
      </c>
      <c r="V179" s="65">
        <f t="shared" si="184"/>
        <v>8373024.9487512652</v>
      </c>
      <c r="W179" s="65">
        <f t="shared" si="184"/>
        <v>8373024.9487512652</v>
      </c>
      <c r="X179" s="65">
        <f t="shared" si="184"/>
        <v>8373024.9487512652</v>
      </c>
      <c r="Y179" s="65">
        <f t="shared" si="184"/>
        <v>8373024.9487512652</v>
      </c>
      <c r="Z179" s="65">
        <f t="shared" si="184"/>
        <v>8373024.9487512652</v>
      </c>
      <c r="AA179" s="65">
        <f t="shared" si="184"/>
        <v>8373024.9487512652</v>
      </c>
      <c r="AB179" s="65">
        <f t="shared" si="184"/>
        <v>8373024.9487512652</v>
      </c>
      <c r="AC179" s="65">
        <f t="shared" si="184"/>
        <v>8373024.9487512652</v>
      </c>
      <c r="AD179" s="65">
        <f t="shared" si="184"/>
        <v>8373024.9487512652</v>
      </c>
      <c r="AE179" s="65">
        <f t="shared" si="184"/>
        <v>8373024.9487512652</v>
      </c>
      <c r="AF179" s="65">
        <f t="shared" si="184"/>
        <v>8373024.9487512652</v>
      </c>
      <c r="AG179" s="65">
        <f t="shared" si="184"/>
        <v>8373024.9487512652</v>
      </c>
      <c r="AH179" s="65"/>
      <c r="AI179" s="65">
        <f>NPV(Lookups!$E$17,G179:AG179)</f>
        <v>170432787.31622368</v>
      </c>
      <c r="AJ179" s="65"/>
      <c r="AM179" s="72">
        <f>AM196*AM173</f>
        <v>0</v>
      </c>
      <c r="AN179" s="72">
        <f t="shared" ref="AN179:BM179" si="185">AN196*AN173</f>
        <v>0</v>
      </c>
      <c r="AO179" s="72">
        <f t="shared" si="185"/>
        <v>8373024.9487512652</v>
      </c>
      <c r="AP179" s="72">
        <f t="shared" si="185"/>
        <v>8373024.9487512652</v>
      </c>
      <c r="AQ179" s="72">
        <f t="shared" si="185"/>
        <v>8373024.9487512652</v>
      </c>
      <c r="AR179" s="72">
        <f t="shared" si="185"/>
        <v>8373024.9487512652</v>
      </c>
      <c r="AS179" s="72">
        <f t="shared" si="185"/>
        <v>8373024.9487512652</v>
      </c>
      <c r="AT179" s="72">
        <f t="shared" si="185"/>
        <v>8373024.9487512652</v>
      </c>
      <c r="AU179" s="72">
        <f t="shared" si="185"/>
        <v>8373024.9487512652</v>
      </c>
      <c r="AV179" s="72">
        <f t="shared" si="185"/>
        <v>8373024.9487512652</v>
      </c>
      <c r="AW179" s="72">
        <f t="shared" si="185"/>
        <v>8373024.9487512652</v>
      </c>
      <c r="AX179" s="72">
        <f t="shared" si="185"/>
        <v>8373024.9487512652</v>
      </c>
      <c r="AY179" s="72">
        <f t="shared" si="185"/>
        <v>8373024.9487512652</v>
      </c>
      <c r="AZ179" s="72">
        <f t="shared" si="185"/>
        <v>8373024.9487512652</v>
      </c>
      <c r="BA179" s="72">
        <f t="shared" si="185"/>
        <v>8373024.9487512652</v>
      </c>
      <c r="BB179" s="72">
        <f t="shared" si="185"/>
        <v>8373024.9487512652</v>
      </c>
      <c r="BC179" s="72">
        <f t="shared" si="185"/>
        <v>8373024.9487512652</v>
      </c>
      <c r="BD179" s="72">
        <f t="shared" si="185"/>
        <v>8373024.9487512652</v>
      </c>
      <c r="BE179" s="72">
        <f t="shared" si="185"/>
        <v>8373024.9487512652</v>
      </c>
      <c r="BF179" s="72">
        <f t="shared" si="185"/>
        <v>8373024.9487512652</v>
      </c>
      <c r="BG179" s="72">
        <f t="shared" si="185"/>
        <v>8373024.9487512652</v>
      </c>
      <c r="BH179" s="72">
        <f t="shared" si="185"/>
        <v>8373024.9487512652</v>
      </c>
      <c r="BI179" s="72">
        <f t="shared" si="185"/>
        <v>8373024.9487512652</v>
      </c>
      <c r="BJ179" s="72">
        <f t="shared" si="185"/>
        <v>8373024.9487512652</v>
      </c>
      <c r="BK179" s="72">
        <f t="shared" si="185"/>
        <v>8373024.9487512652</v>
      </c>
      <c r="BL179" s="72">
        <f t="shared" si="185"/>
        <v>8373024.9487512652</v>
      </c>
      <c r="BM179" s="72">
        <f t="shared" si="185"/>
        <v>8373024.9487512652</v>
      </c>
      <c r="BN179" s="72"/>
      <c r="BO179" s="72">
        <f>NPV(Lookups!$E$17,AM179:BM179)</f>
        <v>170432787.31622368</v>
      </c>
      <c r="BP179" s="72"/>
      <c r="BS179" s="84" t="str">
        <f>"No EE Scenario "&amp;E179&amp;" rate multiplied by No EE Scenario sales."</f>
        <v>No EE Scenario Distribution rate multiplied by No EE Scenario sales.</v>
      </c>
      <c r="BT179" s="51" t="s">
        <v>17</v>
      </c>
    </row>
    <row r="180" spans="1:72" x14ac:dyDescent="0.25">
      <c r="B180" s="243" t="str">
        <f t="shared" si="179"/>
        <v>Small C&amp;I</v>
      </c>
      <c r="C180" s="243" t="str">
        <f t="shared" si="179"/>
        <v>Revenue Requirements</v>
      </c>
      <c r="D180" s="244" t="str">
        <f>D179</f>
        <v>Revenue Requirement before DSM (No EE Scenario)</v>
      </c>
      <c r="E180" s="84" t="s">
        <v>407</v>
      </c>
      <c r="F180" s="84" t="s">
        <v>32</v>
      </c>
      <c r="G180" s="65">
        <f>G197*G173</f>
        <v>0</v>
      </c>
      <c r="H180" s="65">
        <f t="shared" ref="H180:AG180" si="186">H197*H173</f>
        <v>0</v>
      </c>
      <c r="I180" s="65">
        <f t="shared" si="186"/>
        <v>111038.85441192142</v>
      </c>
      <c r="J180" s="65">
        <f t="shared" si="186"/>
        <v>111038.85441192142</v>
      </c>
      <c r="K180" s="65">
        <f t="shared" si="186"/>
        <v>111038.85441192142</v>
      </c>
      <c r="L180" s="65">
        <f t="shared" si="186"/>
        <v>111038.85441192142</v>
      </c>
      <c r="M180" s="65">
        <f t="shared" si="186"/>
        <v>111038.85441192142</v>
      </c>
      <c r="N180" s="65">
        <f t="shared" si="186"/>
        <v>111038.85441192142</v>
      </c>
      <c r="O180" s="65">
        <f t="shared" si="186"/>
        <v>111038.85441192142</v>
      </c>
      <c r="P180" s="65">
        <f t="shared" si="186"/>
        <v>111038.85441192142</v>
      </c>
      <c r="Q180" s="65">
        <f t="shared" si="186"/>
        <v>111038.85441192142</v>
      </c>
      <c r="R180" s="65">
        <f t="shared" si="186"/>
        <v>111038.85441192142</v>
      </c>
      <c r="S180" s="65">
        <f t="shared" si="186"/>
        <v>111038.85441192142</v>
      </c>
      <c r="T180" s="65">
        <f t="shared" si="186"/>
        <v>111038.85441192142</v>
      </c>
      <c r="U180" s="65">
        <f t="shared" si="186"/>
        <v>111038.85441192142</v>
      </c>
      <c r="V180" s="65">
        <f t="shared" si="186"/>
        <v>111038.85441192142</v>
      </c>
      <c r="W180" s="65">
        <f t="shared" si="186"/>
        <v>111038.85441192142</v>
      </c>
      <c r="X180" s="65">
        <f t="shared" si="186"/>
        <v>111038.85441192142</v>
      </c>
      <c r="Y180" s="65">
        <f t="shared" si="186"/>
        <v>111038.85441192142</v>
      </c>
      <c r="Z180" s="65">
        <f t="shared" si="186"/>
        <v>111038.85441192142</v>
      </c>
      <c r="AA180" s="65">
        <f t="shared" si="186"/>
        <v>111038.85441192142</v>
      </c>
      <c r="AB180" s="65">
        <f t="shared" si="186"/>
        <v>111038.85441192142</v>
      </c>
      <c r="AC180" s="65">
        <f t="shared" si="186"/>
        <v>111038.85441192142</v>
      </c>
      <c r="AD180" s="65">
        <f t="shared" si="186"/>
        <v>111038.85441192142</v>
      </c>
      <c r="AE180" s="65">
        <f t="shared" si="186"/>
        <v>111038.85441192142</v>
      </c>
      <c r="AF180" s="65">
        <f t="shared" si="186"/>
        <v>111038.85441192142</v>
      </c>
      <c r="AG180" s="65">
        <f t="shared" si="186"/>
        <v>111038.85441192142</v>
      </c>
      <c r="AH180" s="65"/>
      <c r="AI180" s="65">
        <f>NPV(Lookups!$E$17,G180:AG180)</f>
        <v>2260194.0844146786</v>
      </c>
      <c r="AJ180" s="65"/>
      <c r="AM180" s="72">
        <f>AM197*AM173</f>
        <v>0</v>
      </c>
      <c r="AN180" s="72">
        <f t="shared" ref="AN180:BM180" si="187">AN197*AN173</f>
        <v>0</v>
      </c>
      <c r="AO180" s="72">
        <f t="shared" si="187"/>
        <v>111038.85441192142</v>
      </c>
      <c r="AP180" s="72">
        <f t="shared" si="187"/>
        <v>111038.85441192142</v>
      </c>
      <c r="AQ180" s="72">
        <f t="shared" si="187"/>
        <v>111038.85441192142</v>
      </c>
      <c r="AR180" s="72">
        <f t="shared" si="187"/>
        <v>111038.85441192142</v>
      </c>
      <c r="AS180" s="72">
        <f t="shared" si="187"/>
        <v>111038.85441192142</v>
      </c>
      <c r="AT180" s="72">
        <f t="shared" si="187"/>
        <v>111038.85441192142</v>
      </c>
      <c r="AU180" s="72">
        <f t="shared" si="187"/>
        <v>111038.85441192142</v>
      </c>
      <c r="AV180" s="72">
        <f t="shared" si="187"/>
        <v>111038.85441192142</v>
      </c>
      <c r="AW180" s="72">
        <f t="shared" si="187"/>
        <v>111038.85441192142</v>
      </c>
      <c r="AX180" s="72">
        <f t="shared" si="187"/>
        <v>111038.85441192142</v>
      </c>
      <c r="AY180" s="72">
        <f t="shared" si="187"/>
        <v>111038.85441192142</v>
      </c>
      <c r="AZ180" s="72">
        <f t="shared" si="187"/>
        <v>111038.85441192142</v>
      </c>
      <c r="BA180" s="72">
        <f t="shared" si="187"/>
        <v>111038.85441192142</v>
      </c>
      <c r="BB180" s="72">
        <f t="shared" si="187"/>
        <v>111038.85441192142</v>
      </c>
      <c r="BC180" s="72">
        <f t="shared" si="187"/>
        <v>111038.85441192142</v>
      </c>
      <c r="BD180" s="72">
        <f t="shared" si="187"/>
        <v>111038.85441192142</v>
      </c>
      <c r="BE180" s="72">
        <f t="shared" si="187"/>
        <v>111038.85441192142</v>
      </c>
      <c r="BF180" s="72">
        <f t="shared" si="187"/>
        <v>111038.85441192142</v>
      </c>
      <c r="BG180" s="72">
        <f t="shared" si="187"/>
        <v>111038.85441192142</v>
      </c>
      <c r="BH180" s="72">
        <f t="shared" si="187"/>
        <v>111038.85441192142</v>
      </c>
      <c r="BI180" s="72">
        <f t="shared" si="187"/>
        <v>111038.85441192142</v>
      </c>
      <c r="BJ180" s="72">
        <f t="shared" si="187"/>
        <v>111038.85441192142</v>
      </c>
      <c r="BK180" s="72">
        <f t="shared" si="187"/>
        <v>111038.85441192142</v>
      </c>
      <c r="BL180" s="72">
        <f t="shared" si="187"/>
        <v>111038.85441192142</v>
      </c>
      <c r="BM180" s="72">
        <f t="shared" si="187"/>
        <v>111038.85441192142</v>
      </c>
      <c r="BN180" s="72"/>
      <c r="BO180" s="72">
        <f>NPV(Lookups!$E$17,AM180:BM180)</f>
        <v>2260194.0844146786</v>
      </c>
      <c r="BP180" s="72"/>
      <c r="BS180" s="84" t="str">
        <f>"No EE Scenario "&amp;E180&amp;" rate multiplied by No EE Scenario sales."</f>
        <v>No EE Scenario LDAC, Non-EE rate multiplied by No EE Scenario sales.</v>
      </c>
      <c r="BT180" s="51" t="s">
        <v>17</v>
      </c>
    </row>
    <row r="181" spans="1:72" x14ac:dyDescent="0.25">
      <c r="A181" s="1"/>
      <c r="B181" s="243" t="str">
        <f>B179</f>
        <v>Small C&amp;I</v>
      </c>
      <c r="C181" s="243" t="str">
        <f>C179</f>
        <v>Revenue Requirements</v>
      </c>
      <c r="D181" s="244" t="str">
        <f>D179</f>
        <v>Revenue Requirement before DSM (No EE Scenario)</v>
      </c>
      <c r="E181" s="84" t="s">
        <v>197</v>
      </c>
      <c r="F181" s="84" t="s">
        <v>32</v>
      </c>
      <c r="G181" s="65">
        <f>G198*G173</f>
        <v>0</v>
      </c>
      <c r="H181" s="65">
        <f t="shared" ref="H181:AG181" si="188">H198*H173</f>
        <v>0</v>
      </c>
      <c r="I181" s="65">
        <f t="shared" si="188"/>
        <v>13217894.400188331</v>
      </c>
      <c r="J181" s="65">
        <f t="shared" si="188"/>
        <v>13217894.400188331</v>
      </c>
      <c r="K181" s="65">
        <f t="shared" si="188"/>
        <v>13217894.400188331</v>
      </c>
      <c r="L181" s="65">
        <f t="shared" si="188"/>
        <v>13217894.400188331</v>
      </c>
      <c r="M181" s="65">
        <f t="shared" si="188"/>
        <v>13217894.400188331</v>
      </c>
      <c r="N181" s="65">
        <f t="shared" si="188"/>
        <v>13217894.400188331</v>
      </c>
      <c r="O181" s="65">
        <f t="shared" si="188"/>
        <v>13217894.400188331</v>
      </c>
      <c r="P181" s="65">
        <f t="shared" si="188"/>
        <v>13217894.400188331</v>
      </c>
      <c r="Q181" s="65">
        <f t="shared" si="188"/>
        <v>13217894.400188331</v>
      </c>
      <c r="R181" s="65">
        <f t="shared" si="188"/>
        <v>13217894.400188331</v>
      </c>
      <c r="S181" s="65">
        <f t="shared" si="188"/>
        <v>13217894.400188331</v>
      </c>
      <c r="T181" s="65">
        <f t="shared" si="188"/>
        <v>13217894.400188331</v>
      </c>
      <c r="U181" s="65">
        <f t="shared" si="188"/>
        <v>13217894.400188331</v>
      </c>
      <c r="V181" s="65">
        <f t="shared" si="188"/>
        <v>13217894.400188331</v>
      </c>
      <c r="W181" s="65">
        <f t="shared" si="188"/>
        <v>13217894.400188331</v>
      </c>
      <c r="X181" s="65">
        <f t="shared" si="188"/>
        <v>13217894.400188331</v>
      </c>
      <c r="Y181" s="65">
        <f t="shared" si="188"/>
        <v>13217894.400188331</v>
      </c>
      <c r="Z181" s="65">
        <f t="shared" si="188"/>
        <v>13217894.400188331</v>
      </c>
      <c r="AA181" s="65">
        <f t="shared" si="188"/>
        <v>13217894.400188331</v>
      </c>
      <c r="AB181" s="65">
        <f t="shared" si="188"/>
        <v>13217894.400188331</v>
      </c>
      <c r="AC181" s="65">
        <f t="shared" si="188"/>
        <v>13217894.400188331</v>
      </c>
      <c r="AD181" s="65">
        <f t="shared" si="188"/>
        <v>13217894.400188331</v>
      </c>
      <c r="AE181" s="65">
        <f t="shared" si="188"/>
        <v>13217894.400188331</v>
      </c>
      <c r="AF181" s="65">
        <f t="shared" si="188"/>
        <v>13217894.400188331</v>
      </c>
      <c r="AG181" s="65">
        <f t="shared" si="188"/>
        <v>13217894.400188331</v>
      </c>
      <c r="AH181" s="65"/>
      <c r="AI181" s="65">
        <f>NPV(Lookups!$E$17,G181:AG181)</f>
        <v>269050026.58705485</v>
      </c>
      <c r="AJ181" s="65"/>
      <c r="AM181" s="72">
        <f>AM198*AM173</f>
        <v>0</v>
      </c>
      <c r="AN181" s="72">
        <f t="shared" ref="AN181:BM181" si="189">AN198*AN173</f>
        <v>0</v>
      </c>
      <c r="AO181" s="72">
        <f t="shared" si="189"/>
        <v>13217894.400188331</v>
      </c>
      <c r="AP181" s="72">
        <f t="shared" si="189"/>
        <v>13217894.400188331</v>
      </c>
      <c r="AQ181" s="72">
        <f t="shared" si="189"/>
        <v>13217894.400188331</v>
      </c>
      <c r="AR181" s="72">
        <f t="shared" si="189"/>
        <v>13217894.400188331</v>
      </c>
      <c r="AS181" s="72">
        <f t="shared" si="189"/>
        <v>13217894.400188331</v>
      </c>
      <c r="AT181" s="72">
        <f t="shared" si="189"/>
        <v>13217894.400188331</v>
      </c>
      <c r="AU181" s="72">
        <f t="shared" si="189"/>
        <v>13217894.400188331</v>
      </c>
      <c r="AV181" s="72">
        <f t="shared" si="189"/>
        <v>13217894.400188331</v>
      </c>
      <c r="AW181" s="72">
        <f t="shared" si="189"/>
        <v>13217894.400188331</v>
      </c>
      <c r="AX181" s="72">
        <f t="shared" si="189"/>
        <v>13217894.400188331</v>
      </c>
      <c r="AY181" s="72">
        <f t="shared" si="189"/>
        <v>13217894.400188331</v>
      </c>
      <c r="AZ181" s="72">
        <f t="shared" si="189"/>
        <v>13217894.400188331</v>
      </c>
      <c r="BA181" s="72">
        <f t="shared" si="189"/>
        <v>13217894.400188331</v>
      </c>
      <c r="BB181" s="72">
        <f t="shared" si="189"/>
        <v>13217894.400188331</v>
      </c>
      <c r="BC181" s="72">
        <f t="shared" si="189"/>
        <v>13217894.400188331</v>
      </c>
      <c r="BD181" s="72">
        <f t="shared" si="189"/>
        <v>13217894.400188331</v>
      </c>
      <c r="BE181" s="72">
        <f t="shared" si="189"/>
        <v>13217894.400188331</v>
      </c>
      <c r="BF181" s="72">
        <f t="shared" si="189"/>
        <v>13217894.400188331</v>
      </c>
      <c r="BG181" s="72">
        <f t="shared" si="189"/>
        <v>13217894.400188331</v>
      </c>
      <c r="BH181" s="72">
        <f t="shared" si="189"/>
        <v>13217894.400188331</v>
      </c>
      <c r="BI181" s="72">
        <f t="shared" si="189"/>
        <v>13217894.400188331</v>
      </c>
      <c r="BJ181" s="72">
        <f t="shared" si="189"/>
        <v>13217894.400188331</v>
      </c>
      <c r="BK181" s="72">
        <f t="shared" si="189"/>
        <v>13217894.400188331</v>
      </c>
      <c r="BL181" s="72">
        <f t="shared" si="189"/>
        <v>13217894.400188331</v>
      </c>
      <c r="BM181" s="72">
        <f t="shared" si="189"/>
        <v>13217894.400188331</v>
      </c>
      <c r="BN181" s="72"/>
      <c r="BO181" s="72">
        <f>NPV(Lookups!$E$17,AM181:BM181)</f>
        <v>269050026.58705485</v>
      </c>
      <c r="BP181" s="72"/>
      <c r="BS181" s="84" t="str">
        <f>"No EE Scenario "&amp;E181&amp;" rate multiplied by No EE Scenario sales."</f>
        <v>No EE Scenario Cost of Gas rate multiplied by No EE Scenario sales.</v>
      </c>
      <c r="BT181" s="51" t="s">
        <v>17</v>
      </c>
    </row>
    <row r="182" spans="1:72" x14ac:dyDescent="0.25">
      <c r="B182" s="243" t="str">
        <f t="shared" ref="B182:C184" si="190">B181</f>
        <v>Small C&amp;I</v>
      </c>
      <c r="C182" s="243" t="str">
        <f t="shared" si="190"/>
        <v>Revenue Requirements</v>
      </c>
      <c r="D182" s="114" t="s">
        <v>24</v>
      </c>
      <c r="E182" s="84"/>
      <c r="F182" s="84"/>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S182" s="84"/>
      <c r="BT182" s="51" t="s">
        <v>17</v>
      </c>
    </row>
    <row r="183" spans="1:72" x14ac:dyDescent="0.25">
      <c r="A183" s="246"/>
      <c r="B183" s="243" t="str">
        <f t="shared" si="190"/>
        <v>Small C&amp;I</v>
      </c>
      <c r="C183" s="243" t="str">
        <f t="shared" si="190"/>
        <v>Revenue Requirements</v>
      </c>
      <c r="D183" s="244" t="str">
        <f>D182</f>
        <v>Avoided Costs</v>
      </c>
      <c r="E183" s="84" t="s">
        <v>45</v>
      </c>
      <c r="F183" s="84" t="s">
        <v>32</v>
      </c>
      <c r="G183" s="65">
        <f ca="1">IF($C$4=Lookups!$D$40,SUM(INDIRECT("'Yr1'!"&amp;ADDRESS(ROW(G183),COLUMN(G183))),INDIRECT("'Yr2'!"&amp;ADDRESS(ROW(G183),COLUMN(G183))),INDIRECT("'Yr3'!"&amp;ADDRESS(ROW(G183),COLUMN(G183)))),
IF(G170=0,0,-PMT(INDEX(Lookups!$E$17:$G$17,MATCH($C$4,Lookups!$E$14:$G$14,0)),G170,SUMIFS('EE Inputs'!$J$9:$J$32,'EE Inputs'!$C$9:$C$32,$G$6,'EE Inputs'!$D$9:$D$32,$C$4,'EE Inputs'!$E$9:$E$32,$B183),0,1)))-G184</f>
        <v>0</v>
      </c>
      <c r="H183" s="65">
        <f ca="1">IF($C$4=Lookups!$D$40,SUM(INDIRECT("'Yr1'!"&amp;ADDRESS(ROW(H183),COLUMN(H183))),INDIRECT("'Yr2'!"&amp;ADDRESS(ROW(H183),COLUMN(H183))),INDIRECT("'Yr3'!"&amp;ADDRESS(ROW(H183),COLUMN(H183)))),
IF(H170=0,0,-PMT(INDEX(Lookups!$E$17:$G$17,MATCH($C$4,Lookups!$E$14:$G$14,0)),H170,SUMIFS('EE Inputs'!$J$9:$J$32,'EE Inputs'!$C$9:$C$32,$G$6,'EE Inputs'!$D$9:$D$32,$C$4,'EE Inputs'!$E$9:$E$32,$B183),0,1)))-H184</f>
        <v>0</v>
      </c>
      <c r="I183" s="65">
        <f ca="1">IF($C$4=Lookups!$D$40,SUM(INDIRECT("'Yr1'!"&amp;ADDRESS(ROW(I183),COLUMN(I183))),INDIRECT("'Yr2'!"&amp;ADDRESS(ROW(I183),COLUMN(I183))),INDIRECT("'Yr3'!"&amp;ADDRESS(ROW(I183),COLUMN(I183)))),
IF(I170=0,0,-PMT(INDEX(Lookups!$E$17:$G$17,MATCH($C$4,Lookups!$E$14:$G$14,0)),I170,SUMIFS('EE Inputs'!$J$9:$J$32,'EE Inputs'!$C$9:$C$32,$G$6,'EE Inputs'!$D$9:$D$32,$C$4,'EE Inputs'!$E$9:$E$32,$B183),0,1)))-I184</f>
        <v>240479.83757747471</v>
      </c>
      <c r="J183" s="65">
        <f ca="1">IF($C$4=Lookups!$D$40,SUM(INDIRECT("'Yr1'!"&amp;ADDRESS(ROW(J183),COLUMN(J183))),INDIRECT("'Yr2'!"&amp;ADDRESS(ROW(J183),COLUMN(J183))),INDIRECT("'Yr3'!"&amp;ADDRESS(ROW(J183),COLUMN(J183)))),
IF(J170=0,0,-PMT(INDEX(Lookups!$E$17:$G$17,MATCH($C$4,Lookups!$E$14:$G$14,0)),J170,SUMIFS('EE Inputs'!$J$9:$J$32,'EE Inputs'!$C$9:$C$32,$G$6,'EE Inputs'!$D$9:$D$32,$C$4,'EE Inputs'!$E$9:$E$32,$B183),0,1)))-J184</f>
        <v>240479.83757747471</v>
      </c>
      <c r="K183" s="65">
        <f ca="1">IF($C$4=Lookups!$D$40,SUM(INDIRECT("'Yr1'!"&amp;ADDRESS(ROW(K183),COLUMN(K183))),INDIRECT("'Yr2'!"&amp;ADDRESS(ROW(K183),COLUMN(K183))),INDIRECT("'Yr3'!"&amp;ADDRESS(ROW(K183),COLUMN(K183)))),
IF(K170=0,0,-PMT(INDEX(Lookups!$E$17:$G$17,MATCH($C$4,Lookups!$E$14:$G$14,0)),K170,SUMIFS('EE Inputs'!$J$9:$J$32,'EE Inputs'!$C$9:$C$32,$G$6,'EE Inputs'!$D$9:$D$32,$C$4,'EE Inputs'!$E$9:$E$32,$B183),0,1)))-K184</f>
        <v>240479.83757747471</v>
      </c>
      <c r="L183" s="65">
        <f ca="1">IF($C$4=Lookups!$D$40,SUM(INDIRECT("'Yr1'!"&amp;ADDRESS(ROW(L183),COLUMN(L183))),INDIRECT("'Yr2'!"&amp;ADDRESS(ROW(L183),COLUMN(L183))),INDIRECT("'Yr3'!"&amp;ADDRESS(ROW(L183),COLUMN(L183)))),
IF(L170=0,0,-PMT(INDEX(Lookups!$E$17:$G$17,MATCH($C$4,Lookups!$E$14:$G$14,0)),L170,SUMIFS('EE Inputs'!$J$9:$J$32,'EE Inputs'!$C$9:$C$32,$G$6,'EE Inputs'!$D$9:$D$32,$C$4,'EE Inputs'!$E$9:$E$32,$B183),0,1)))-L184</f>
        <v>240479.83757747471</v>
      </c>
      <c r="M183" s="65">
        <f ca="1">IF($C$4=Lookups!$D$40,SUM(INDIRECT("'Yr1'!"&amp;ADDRESS(ROW(M183),COLUMN(M183))),INDIRECT("'Yr2'!"&amp;ADDRESS(ROW(M183),COLUMN(M183))),INDIRECT("'Yr3'!"&amp;ADDRESS(ROW(M183),COLUMN(M183)))),
IF(M170=0,0,-PMT(INDEX(Lookups!$E$17:$G$17,MATCH($C$4,Lookups!$E$14:$G$14,0)),M170,SUMIFS('EE Inputs'!$J$9:$J$32,'EE Inputs'!$C$9:$C$32,$G$6,'EE Inputs'!$D$9:$D$32,$C$4,'EE Inputs'!$E$9:$E$32,$B183),0,1)))-M184</f>
        <v>240479.83757747471</v>
      </c>
      <c r="N183" s="65">
        <f ca="1">IF($C$4=Lookups!$D$40,SUM(INDIRECT("'Yr1'!"&amp;ADDRESS(ROW(N183),COLUMN(N183))),INDIRECT("'Yr2'!"&amp;ADDRESS(ROW(N183),COLUMN(N183))),INDIRECT("'Yr3'!"&amp;ADDRESS(ROW(N183),COLUMN(N183)))),
IF(N170=0,0,-PMT(INDEX(Lookups!$E$17:$G$17,MATCH($C$4,Lookups!$E$14:$G$14,0)),N170,SUMIFS('EE Inputs'!$J$9:$J$32,'EE Inputs'!$C$9:$C$32,$G$6,'EE Inputs'!$D$9:$D$32,$C$4,'EE Inputs'!$E$9:$E$32,$B183),0,1)))-N184</f>
        <v>240479.83757747471</v>
      </c>
      <c r="O183" s="65">
        <f ca="1">IF($C$4=Lookups!$D$40,SUM(INDIRECT("'Yr1'!"&amp;ADDRESS(ROW(O183),COLUMN(O183))),INDIRECT("'Yr2'!"&amp;ADDRESS(ROW(O183),COLUMN(O183))),INDIRECT("'Yr3'!"&amp;ADDRESS(ROW(O183),COLUMN(O183)))),
IF(O170=0,0,-PMT(INDEX(Lookups!$E$17:$G$17,MATCH($C$4,Lookups!$E$14:$G$14,0)),O170,SUMIFS('EE Inputs'!$J$9:$J$32,'EE Inputs'!$C$9:$C$32,$G$6,'EE Inputs'!$D$9:$D$32,$C$4,'EE Inputs'!$E$9:$E$32,$B183),0,1)))-O184</f>
        <v>240479.83757747471</v>
      </c>
      <c r="P183" s="65">
        <f ca="1">IF($C$4=Lookups!$D$40,SUM(INDIRECT("'Yr1'!"&amp;ADDRESS(ROW(P183),COLUMN(P183))),INDIRECT("'Yr2'!"&amp;ADDRESS(ROW(P183),COLUMN(P183))),INDIRECT("'Yr3'!"&amp;ADDRESS(ROW(P183),COLUMN(P183)))),
IF(P170=0,0,-PMT(INDEX(Lookups!$E$17:$G$17,MATCH($C$4,Lookups!$E$14:$G$14,0)),P170,SUMIFS('EE Inputs'!$J$9:$J$32,'EE Inputs'!$C$9:$C$32,$G$6,'EE Inputs'!$D$9:$D$32,$C$4,'EE Inputs'!$E$9:$E$32,$B183),0,1)))-P184</f>
        <v>240479.83757747471</v>
      </c>
      <c r="Q183" s="65">
        <f ca="1">IF($C$4=Lookups!$D$40,SUM(INDIRECT("'Yr1'!"&amp;ADDRESS(ROW(Q183),COLUMN(Q183))),INDIRECT("'Yr2'!"&amp;ADDRESS(ROW(Q183),COLUMN(Q183))),INDIRECT("'Yr3'!"&amp;ADDRESS(ROW(Q183),COLUMN(Q183)))),
IF(Q170=0,0,-PMT(INDEX(Lookups!$E$17:$G$17,MATCH($C$4,Lookups!$E$14:$G$14,0)),Q170,SUMIFS('EE Inputs'!$J$9:$J$32,'EE Inputs'!$C$9:$C$32,$G$6,'EE Inputs'!$D$9:$D$32,$C$4,'EE Inputs'!$E$9:$E$32,$B183),0,1)))-Q184</f>
        <v>240479.83757747471</v>
      </c>
      <c r="R183" s="65">
        <f ca="1">IF($C$4=Lookups!$D$40,SUM(INDIRECT("'Yr1'!"&amp;ADDRESS(ROW(R183),COLUMN(R183))),INDIRECT("'Yr2'!"&amp;ADDRESS(ROW(R183),COLUMN(R183))),INDIRECT("'Yr3'!"&amp;ADDRESS(ROW(R183),COLUMN(R183)))),
IF(R170=0,0,-PMT(INDEX(Lookups!$E$17:$G$17,MATCH($C$4,Lookups!$E$14:$G$14,0)),R170,SUMIFS('EE Inputs'!$J$9:$J$32,'EE Inputs'!$C$9:$C$32,$G$6,'EE Inputs'!$D$9:$D$32,$C$4,'EE Inputs'!$E$9:$E$32,$B183),0,1)))-R184</f>
        <v>240479.83757747471</v>
      </c>
      <c r="S183" s="65">
        <f ca="1">IF($C$4=Lookups!$D$40,SUM(INDIRECT("'Yr1'!"&amp;ADDRESS(ROW(S183),COLUMN(S183))),INDIRECT("'Yr2'!"&amp;ADDRESS(ROW(S183),COLUMN(S183))),INDIRECT("'Yr3'!"&amp;ADDRESS(ROW(S183),COLUMN(S183)))),
IF(S170=0,0,-PMT(INDEX(Lookups!$E$17:$G$17,MATCH($C$4,Lookups!$E$14:$G$14,0)),S170,SUMIFS('EE Inputs'!$J$9:$J$32,'EE Inputs'!$C$9:$C$32,$G$6,'EE Inputs'!$D$9:$D$32,$C$4,'EE Inputs'!$E$9:$E$32,$B183),0,1)))-S184</f>
        <v>240479.83757747471</v>
      </c>
      <c r="T183" s="65">
        <f ca="1">IF($C$4=Lookups!$D$40,SUM(INDIRECT("'Yr1'!"&amp;ADDRESS(ROW(T183),COLUMN(T183))),INDIRECT("'Yr2'!"&amp;ADDRESS(ROW(T183),COLUMN(T183))),INDIRECT("'Yr3'!"&amp;ADDRESS(ROW(T183),COLUMN(T183)))),
IF(T170=0,0,-PMT(INDEX(Lookups!$E$17:$G$17,MATCH($C$4,Lookups!$E$14:$G$14,0)),T170,SUMIFS('EE Inputs'!$J$9:$J$32,'EE Inputs'!$C$9:$C$32,$G$6,'EE Inputs'!$D$9:$D$32,$C$4,'EE Inputs'!$E$9:$E$32,$B183),0,1)))-T184</f>
        <v>240479.83757747471</v>
      </c>
      <c r="U183" s="65">
        <f ca="1">IF($C$4=Lookups!$D$40,SUM(INDIRECT("'Yr1'!"&amp;ADDRESS(ROW(U183),COLUMN(U183))),INDIRECT("'Yr2'!"&amp;ADDRESS(ROW(U183),COLUMN(U183))),INDIRECT("'Yr3'!"&amp;ADDRESS(ROW(U183),COLUMN(U183)))),
IF(U170=0,0,-PMT(INDEX(Lookups!$E$17:$G$17,MATCH($C$4,Lookups!$E$14:$G$14,0)),U170,SUMIFS('EE Inputs'!$J$9:$J$32,'EE Inputs'!$C$9:$C$32,$G$6,'EE Inputs'!$D$9:$D$32,$C$4,'EE Inputs'!$E$9:$E$32,$B183),0,1)))-U184</f>
        <v>240479.83757747471</v>
      </c>
      <c r="V183" s="65">
        <f ca="1">IF($C$4=Lookups!$D$40,SUM(INDIRECT("'Yr1'!"&amp;ADDRESS(ROW(V183),COLUMN(V183))),INDIRECT("'Yr2'!"&amp;ADDRESS(ROW(V183),COLUMN(V183))),INDIRECT("'Yr3'!"&amp;ADDRESS(ROW(V183),COLUMN(V183)))),
IF(V170=0,0,-PMT(INDEX(Lookups!$E$17:$G$17,MATCH($C$4,Lookups!$E$14:$G$14,0)),V170,SUMIFS('EE Inputs'!$J$9:$J$32,'EE Inputs'!$C$9:$C$32,$G$6,'EE Inputs'!$D$9:$D$32,$C$4,'EE Inputs'!$E$9:$E$32,$B183),0,1)))-V184</f>
        <v>240479.83757747471</v>
      </c>
      <c r="W183" s="65">
        <f ca="1">IF($C$4=Lookups!$D$40,SUM(INDIRECT("'Yr1'!"&amp;ADDRESS(ROW(W183),COLUMN(W183))),INDIRECT("'Yr2'!"&amp;ADDRESS(ROW(W183),COLUMN(W183))),INDIRECT("'Yr3'!"&amp;ADDRESS(ROW(W183),COLUMN(W183)))),
IF(W170=0,0,-PMT(INDEX(Lookups!$E$17:$G$17,MATCH($C$4,Lookups!$E$14:$G$14,0)),W170,SUMIFS('EE Inputs'!$J$9:$J$32,'EE Inputs'!$C$9:$C$32,$G$6,'EE Inputs'!$D$9:$D$32,$C$4,'EE Inputs'!$E$9:$E$32,$B183),0,1)))-W184</f>
        <v>240479.83757747471</v>
      </c>
      <c r="X183" s="65">
        <f ca="1">IF($C$4=Lookups!$D$40,SUM(INDIRECT("'Yr1'!"&amp;ADDRESS(ROW(X183),COLUMN(X183))),INDIRECT("'Yr2'!"&amp;ADDRESS(ROW(X183),COLUMN(X183))),INDIRECT("'Yr3'!"&amp;ADDRESS(ROW(X183),COLUMN(X183)))),
IF(X170=0,0,-PMT(INDEX(Lookups!$E$17:$G$17,MATCH($C$4,Lookups!$E$14:$G$14,0)),X170,SUMIFS('EE Inputs'!$J$9:$J$32,'EE Inputs'!$C$9:$C$32,$G$6,'EE Inputs'!$D$9:$D$32,$C$4,'EE Inputs'!$E$9:$E$32,$B183),0,1)))-X184</f>
        <v>240479.83757747471</v>
      </c>
      <c r="Y183" s="65">
        <f ca="1">IF($C$4=Lookups!$D$40,SUM(INDIRECT("'Yr1'!"&amp;ADDRESS(ROW(Y183),COLUMN(Y183))),INDIRECT("'Yr2'!"&amp;ADDRESS(ROW(Y183),COLUMN(Y183))),INDIRECT("'Yr3'!"&amp;ADDRESS(ROW(Y183),COLUMN(Y183)))),
IF(Y170=0,0,-PMT(INDEX(Lookups!$E$17:$G$17,MATCH($C$4,Lookups!$E$14:$G$14,0)),Y170,SUMIFS('EE Inputs'!$J$9:$J$32,'EE Inputs'!$C$9:$C$32,$G$6,'EE Inputs'!$D$9:$D$32,$C$4,'EE Inputs'!$E$9:$E$32,$B183),0,1)))-Y184</f>
        <v>0</v>
      </c>
      <c r="Z183" s="65">
        <f ca="1">IF($C$4=Lookups!$D$40,SUM(INDIRECT("'Yr1'!"&amp;ADDRESS(ROW(Z183),COLUMN(Z183))),INDIRECT("'Yr2'!"&amp;ADDRESS(ROW(Z183),COLUMN(Z183))),INDIRECT("'Yr3'!"&amp;ADDRESS(ROW(Z183),COLUMN(Z183)))),
IF(Z170=0,0,-PMT(INDEX(Lookups!$E$17:$G$17,MATCH($C$4,Lookups!$E$14:$G$14,0)),Z170,SUMIFS('EE Inputs'!$J$9:$J$32,'EE Inputs'!$C$9:$C$32,$G$6,'EE Inputs'!$D$9:$D$32,$C$4,'EE Inputs'!$E$9:$E$32,$B183),0,1)))-Z184</f>
        <v>0</v>
      </c>
      <c r="AA183" s="65">
        <f ca="1">IF($C$4=Lookups!$D$40,SUM(INDIRECT("'Yr1'!"&amp;ADDRESS(ROW(AA183),COLUMN(AA183))),INDIRECT("'Yr2'!"&amp;ADDRESS(ROW(AA183),COLUMN(AA183))),INDIRECT("'Yr3'!"&amp;ADDRESS(ROW(AA183),COLUMN(AA183)))),
IF(AA170=0,0,-PMT(INDEX(Lookups!$E$17:$G$17,MATCH($C$4,Lookups!$E$14:$G$14,0)),AA170,SUMIFS('EE Inputs'!$J$9:$J$32,'EE Inputs'!$C$9:$C$32,$G$6,'EE Inputs'!$D$9:$D$32,$C$4,'EE Inputs'!$E$9:$E$32,$B183),0,1)))-AA184</f>
        <v>0</v>
      </c>
      <c r="AB183" s="65">
        <f ca="1">IF($C$4=Lookups!$D$40,SUM(INDIRECT("'Yr1'!"&amp;ADDRESS(ROW(AB183),COLUMN(AB183))),INDIRECT("'Yr2'!"&amp;ADDRESS(ROW(AB183),COLUMN(AB183))),INDIRECT("'Yr3'!"&amp;ADDRESS(ROW(AB183),COLUMN(AB183)))),
IF(AB170=0,0,-PMT(INDEX(Lookups!$E$17:$G$17,MATCH($C$4,Lookups!$E$14:$G$14,0)),AB170,SUMIFS('EE Inputs'!$J$9:$J$32,'EE Inputs'!$C$9:$C$32,$G$6,'EE Inputs'!$D$9:$D$32,$C$4,'EE Inputs'!$E$9:$E$32,$B183),0,1)))-AB184</f>
        <v>0</v>
      </c>
      <c r="AC183" s="65">
        <f ca="1">IF($C$4=Lookups!$D$40,SUM(INDIRECT("'Yr1'!"&amp;ADDRESS(ROW(AC183),COLUMN(AC183))),INDIRECT("'Yr2'!"&amp;ADDRESS(ROW(AC183),COLUMN(AC183))),INDIRECT("'Yr3'!"&amp;ADDRESS(ROW(AC183),COLUMN(AC183)))),
IF(AC170=0,0,-PMT(INDEX(Lookups!$E$17:$G$17,MATCH($C$4,Lookups!$E$14:$G$14,0)),AC170,SUMIFS('EE Inputs'!$J$9:$J$32,'EE Inputs'!$C$9:$C$32,$G$6,'EE Inputs'!$D$9:$D$32,$C$4,'EE Inputs'!$E$9:$E$32,$B183),0,1)))-AC184</f>
        <v>0</v>
      </c>
      <c r="AD183" s="65">
        <f ca="1">IF($C$4=Lookups!$D$40,SUM(INDIRECT("'Yr1'!"&amp;ADDRESS(ROW(AD183),COLUMN(AD183))),INDIRECT("'Yr2'!"&amp;ADDRESS(ROW(AD183),COLUMN(AD183))),INDIRECT("'Yr3'!"&amp;ADDRESS(ROW(AD183),COLUMN(AD183)))),
IF(AD170=0,0,-PMT(INDEX(Lookups!$E$17:$G$17,MATCH($C$4,Lookups!$E$14:$G$14,0)),AD170,SUMIFS('EE Inputs'!$J$9:$J$32,'EE Inputs'!$C$9:$C$32,$G$6,'EE Inputs'!$D$9:$D$32,$C$4,'EE Inputs'!$E$9:$E$32,$B183),0,1)))-AD184</f>
        <v>0</v>
      </c>
      <c r="AE183" s="65">
        <f ca="1">IF($C$4=Lookups!$D$40,SUM(INDIRECT("'Yr1'!"&amp;ADDRESS(ROW(AE183),COLUMN(AE183))),INDIRECT("'Yr2'!"&amp;ADDRESS(ROW(AE183),COLUMN(AE183))),INDIRECT("'Yr3'!"&amp;ADDRESS(ROW(AE183),COLUMN(AE183)))),
IF(AE170=0,0,-PMT(INDEX(Lookups!$E$17:$G$17,MATCH($C$4,Lookups!$E$14:$G$14,0)),AE170,SUMIFS('EE Inputs'!$J$9:$J$32,'EE Inputs'!$C$9:$C$32,$G$6,'EE Inputs'!$D$9:$D$32,$C$4,'EE Inputs'!$E$9:$E$32,$B183),0,1)))-AE184</f>
        <v>0</v>
      </c>
      <c r="AF183" s="65">
        <f ca="1">IF($C$4=Lookups!$D$40,SUM(INDIRECT("'Yr1'!"&amp;ADDRESS(ROW(AF183),COLUMN(AF183))),INDIRECT("'Yr2'!"&amp;ADDRESS(ROW(AF183),COLUMN(AF183))),INDIRECT("'Yr3'!"&amp;ADDRESS(ROW(AF183),COLUMN(AF183)))),
IF(AF170=0,0,-PMT(INDEX(Lookups!$E$17:$G$17,MATCH($C$4,Lookups!$E$14:$G$14,0)),AF170,SUMIFS('EE Inputs'!$J$9:$J$32,'EE Inputs'!$C$9:$C$32,$G$6,'EE Inputs'!$D$9:$D$32,$C$4,'EE Inputs'!$E$9:$E$32,$B183),0,1)))-AF184</f>
        <v>0</v>
      </c>
      <c r="AG183" s="65">
        <f ca="1">IF($C$4=Lookups!$D$40,SUM(INDIRECT("'Yr1'!"&amp;ADDRESS(ROW(AG183),COLUMN(AG183))),INDIRECT("'Yr2'!"&amp;ADDRESS(ROW(AG183),COLUMN(AG183))),INDIRECT("'Yr3'!"&amp;ADDRESS(ROW(AG183),COLUMN(AG183)))),
IF(AG170=0,0,-PMT(INDEX(Lookups!$E$17:$G$17,MATCH($C$4,Lookups!$E$14:$G$14,0)),AG170,SUMIFS('EE Inputs'!$J$9:$J$32,'EE Inputs'!$C$9:$C$32,$G$6,'EE Inputs'!$D$9:$D$32,$C$4,'EE Inputs'!$E$9:$E$32,$B183),0,1)))-AG184</f>
        <v>0</v>
      </c>
      <c r="AH183" s="65"/>
      <c r="AI183" s="65">
        <f ca="1">NPV(Lookups!$E$17,G183:AG183)</f>
        <v>3327073.9729966871</v>
      </c>
      <c r="AJ183" s="65"/>
      <c r="AM183" s="72">
        <f ca="1">IF($C$4=Lookups!$D$40,SUM(INDIRECT("'Yr1'!"&amp;ADDRESS(ROW(AM183),COLUMN(AM183))),INDIRECT("'Yr2'!"&amp;ADDRESS(ROW(AM183),COLUMN(AM183))),INDIRECT("'Yr3'!"&amp;ADDRESS(ROW(AM183),COLUMN(AM183)))),
IF(AM170=0,0,-PMT(INDEX(Lookups!$E$17:$G$17,MATCH($C$4,Lookups!$E$14:$G$14,0)),AM170,SUMIFS('EE Inputs'!$J$9:$J$32,'EE Inputs'!$C$9:$C$32,$AM$6,'EE Inputs'!$D$9:$D$32,$C$4,'EE Inputs'!$E$9:$E$32,$B183),0,1)))-AM184</f>
        <v>0</v>
      </c>
      <c r="AN183" s="72">
        <f ca="1">IF($C$4=Lookups!$D$40,SUM(INDIRECT("'Yr1'!"&amp;ADDRESS(ROW(AN183),COLUMN(AN183))),INDIRECT("'Yr2'!"&amp;ADDRESS(ROW(AN183),COLUMN(AN183))),INDIRECT("'Yr3'!"&amp;ADDRESS(ROW(AN183),COLUMN(AN183)))),
IF(AN170=0,0,-PMT(INDEX(Lookups!$E$17:$G$17,MATCH($C$4,Lookups!$E$14:$G$14,0)),AN170,SUMIFS('EE Inputs'!$J$9:$J$32,'EE Inputs'!$C$9:$C$32,$AM$6,'EE Inputs'!$D$9:$D$32,$C$4,'EE Inputs'!$E$9:$E$32,$B183),0,1)))-AN184</f>
        <v>0</v>
      </c>
      <c r="AO183" s="72">
        <f ca="1">IF($C$4=Lookups!$D$40,SUM(INDIRECT("'Yr1'!"&amp;ADDRESS(ROW(AO183),COLUMN(AO183))),INDIRECT("'Yr2'!"&amp;ADDRESS(ROW(AO183),COLUMN(AO183))),INDIRECT("'Yr3'!"&amp;ADDRESS(ROW(AO183),COLUMN(AO183)))),
IF(AO170=0,0,-PMT(INDEX(Lookups!$E$17:$G$17,MATCH($C$4,Lookups!$E$14:$G$14,0)),AO170,SUMIFS('EE Inputs'!$J$9:$J$32,'EE Inputs'!$C$9:$C$32,$AM$6,'EE Inputs'!$D$9:$D$32,$C$4,'EE Inputs'!$E$9:$E$32,$B183),0,1)))-AO184</f>
        <v>274834.1000885425</v>
      </c>
      <c r="AP183" s="72">
        <f ca="1">IF($C$4=Lookups!$D$40,SUM(INDIRECT("'Yr1'!"&amp;ADDRESS(ROW(AP183),COLUMN(AP183))),INDIRECT("'Yr2'!"&amp;ADDRESS(ROW(AP183),COLUMN(AP183))),INDIRECT("'Yr3'!"&amp;ADDRESS(ROW(AP183),COLUMN(AP183)))),
IF(AP170=0,0,-PMT(INDEX(Lookups!$E$17:$G$17,MATCH($C$4,Lookups!$E$14:$G$14,0)),AP170,SUMIFS('EE Inputs'!$J$9:$J$32,'EE Inputs'!$C$9:$C$32,$AM$6,'EE Inputs'!$D$9:$D$32,$C$4,'EE Inputs'!$E$9:$E$32,$B183),0,1)))-AP184</f>
        <v>274834.1000885425</v>
      </c>
      <c r="AQ183" s="72">
        <f ca="1">IF($C$4=Lookups!$D$40,SUM(INDIRECT("'Yr1'!"&amp;ADDRESS(ROW(AQ183),COLUMN(AQ183))),INDIRECT("'Yr2'!"&amp;ADDRESS(ROW(AQ183),COLUMN(AQ183))),INDIRECT("'Yr3'!"&amp;ADDRESS(ROW(AQ183),COLUMN(AQ183)))),
IF(AQ170=0,0,-PMT(INDEX(Lookups!$E$17:$G$17,MATCH($C$4,Lookups!$E$14:$G$14,0)),AQ170,SUMIFS('EE Inputs'!$J$9:$J$32,'EE Inputs'!$C$9:$C$32,$AM$6,'EE Inputs'!$D$9:$D$32,$C$4,'EE Inputs'!$E$9:$E$32,$B183),0,1)))-AQ184</f>
        <v>274834.1000885425</v>
      </c>
      <c r="AR183" s="72">
        <f ca="1">IF($C$4=Lookups!$D$40,SUM(INDIRECT("'Yr1'!"&amp;ADDRESS(ROW(AR183),COLUMN(AR183))),INDIRECT("'Yr2'!"&amp;ADDRESS(ROW(AR183),COLUMN(AR183))),INDIRECT("'Yr3'!"&amp;ADDRESS(ROW(AR183),COLUMN(AR183)))),
IF(AR170=0,0,-PMT(INDEX(Lookups!$E$17:$G$17,MATCH($C$4,Lookups!$E$14:$G$14,0)),AR170,SUMIFS('EE Inputs'!$J$9:$J$32,'EE Inputs'!$C$9:$C$32,$AM$6,'EE Inputs'!$D$9:$D$32,$C$4,'EE Inputs'!$E$9:$E$32,$B183),0,1)))-AR184</f>
        <v>274834.1000885425</v>
      </c>
      <c r="AS183" s="72">
        <f ca="1">IF($C$4=Lookups!$D$40,SUM(INDIRECT("'Yr1'!"&amp;ADDRESS(ROW(AS183),COLUMN(AS183))),INDIRECT("'Yr2'!"&amp;ADDRESS(ROW(AS183),COLUMN(AS183))),INDIRECT("'Yr3'!"&amp;ADDRESS(ROW(AS183),COLUMN(AS183)))),
IF(AS170=0,0,-PMT(INDEX(Lookups!$E$17:$G$17,MATCH($C$4,Lookups!$E$14:$G$14,0)),AS170,SUMIFS('EE Inputs'!$J$9:$J$32,'EE Inputs'!$C$9:$C$32,$AM$6,'EE Inputs'!$D$9:$D$32,$C$4,'EE Inputs'!$E$9:$E$32,$B183),0,1)))-AS184</f>
        <v>274834.1000885425</v>
      </c>
      <c r="AT183" s="72">
        <f ca="1">IF($C$4=Lookups!$D$40,SUM(INDIRECT("'Yr1'!"&amp;ADDRESS(ROW(AT183),COLUMN(AT183))),INDIRECT("'Yr2'!"&amp;ADDRESS(ROW(AT183),COLUMN(AT183))),INDIRECT("'Yr3'!"&amp;ADDRESS(ROW(AT183),COLUMN(AT183)))),
IF(AT170=0,0,-PMT(INDEX(Lookups!$E$17:$G$17,MATCH($C$4,Lookups!$E$14:$G$14,0)),AT170,SUMIFS('EE Inputs'!$J$9:$J$32,'EE Inputs'!$C$9:$C$32,$AM$6,'EE Inputs'!$D$9:$D$32,$C$4,'EE Inputs'!$E$9:$E$32,$B183),0,1)))-AT184</f>
        <v>274834.1000885425</v>
      </c>
      <c r="AU183" s="72">
        <f ca="1">IF($C$4=Lookups!$D$40,SUM(INDIRECT("'Yr1'!"&amp;ADDRESS(ROW(AU183),COLUMN(AU183))),INDIRECT("'Yr2'!"&amp;ADDRESS(ROW(AU183),COLUMN(AU183))),INDIRECT("'Yr3'!"&amp;ADDRESS(ROW(AU183),COLUMN(AU183)))),
IF(AU170=0,0,-PMT(INDEX(Lookups!$E$17:$G$17,MATCH($C$4,Lookups!$E$14:$G$14,0)),AU170,SUMIFS('EE Inputs'!$J$9:$J$32,'EE Inputs'!$C$9:$C$32,$AM$6,'EE Inputs'!$D$9:$D$32,$C$4,'EE Inputs'!$E$9:$E$32,$B183),0,1)))-AU184</f>
        <v>274834.1000885425</v>
      </c>
      <c r="AV183" s="72">
        <f ca="1">IF($C$4=Lookups!$D$40,SUM(INDIRECT("'Yr1'!"&amp;ADDRESS(ROW(AV183),COLUMN(AV183))),INDIRECT("'Yr2'!"&amp;ADDRESS(ROW(AV183),COLUMN(AV183))),INDIRECT("'Yr3'!"&amp;ADDRESS(ROW(AV183),COLUMN(AV183)))),
IF(AV170=0,0,-PMT(INDEX(Lookups!$E$17:$G$17,MATCH($C$4,Lookups!$E$14:$G$14,0)),AV170,SUMIFS('EE Inputs'!$J$9:$J$32,'EE Inputs'!$C$9:$C$32,$AM$6,'EE Inputs'!$D$9:$D$32,$C$4,'EE Inputs'!$E$9:$E$32,$B183),0,1)))-AV184</f>
        <v>274834.1000885425</v>
      </c>
      <c r="AW183" s="72">
        <f ca="1">IF($C$4=Lookups!$D$40,SUM(INDIRECT("'Yr1'!"&amp;ADDRESS(ROW(AW183),COLUMN(AW183))),INDIRECT("'Yr2'!"&amp;ADDRESS(ROW(AW183),COLUMN(AW183))),INDIRECT("'Yr3'!"&amp;ADDRESS(ROW(AW183),COLUMN(AW183)))),
IF(AW170=0,0,-PMT(INDEX(Lookups!$E$17:$G$17,MATCH($C$4,Lookups!$E$14:$G$14,0)),AW170,SUMIFS('EE Inputs'!$J$9:$J$32,'EE Inputs'!$C$9:$C$32,$AM$6,'EE Inputs'!$D$9:$D$32,$C$4,'EE Inputs'!$E$9:$E$32,$B183),0,1)))-AW184</f>
        <v>274834.1000885425</v>
      </c>
      <c r="AX183" s="72">
        <f ca="1">IF($C$4=Lookups!$D$40,SUM(INDIRECT("'Yr1'!"&amp;ADDRESS(ROW(AX183),COLUMN(AX183))),INDIRECT("'Yr2'!"&amp;ADDRESS(ROW(AX183),COLUMN(AX183))),INDIRECT("'Yr3'!"&amp;ADDRESS(ROW(AX183),COLUMN(AX183)))),
IF(AX170=0,0,-PMT(INDEX(Lookups!$E$17:$G$17,MATCH($C$4,Lookups!$E$14:$G$14,0)),AX170,SUMIFS('EE Inputs'!$J$9:$J$32,'EE Inputs'!$C$9:$C$32,$AM$6,'EE Inputs'!$D$9:$D$32,$C$4,'EE Inputs'!$E$9:$E$32,$B183),0,1)))-AX184</f>
        <v>274834.1000885425</v>
      </c>
      <c r="AY183" s="72">
        <f ca="1">IF($C$4=Lookups!$D$40,SUM(INDIRECT("'Yr1'!"&amp;ADDRESS(ROW(AY183),COLUMN(AY183))),INDIRECT("'Yr2'!"&amp;ADDRESS(ROW(AY183),COLUMN(AY183))),INDIRECT("'Yr3'!"&amp;ADDRESS(ROW(AY183),COLUMN(AY183)))),
IF(AY170=0,0,-PMT(INDEX(Lookups!$E$17:$G$17,MATCH($C$4,Lookups!$E$14:$G$14,0)),AY170,SUMIFS('EE Inputs'!$J$9:$J$32,'EE Inputs'!$C$9:$C$32,$AM$6,'EE Inputs'!$D$9:$D$32,$C$4,'EE Inputs'!$E$9:$E$32,$B183),0,1)))-AY184</f>
        <v>274834.1000885425</v>
      </c>
      <c r="AZ183" s="72">
        <f ca="1">IF($C$4=Lookups!$D$40,SUM(INDIRECT("'Yr1'!"&amp;ADDRESS(ROW(AZ183),COLUMN(AZ183))),INDIRECT("'Yr2'!"&amp;ADDRESS(ROW(AZ183),COLUMN(AZ183))),INDIRECT("'Yr3'!"&amp;ADDRESS(ROW(AZ183),COLUMN(AZ183)))),
IF(AZ170=0,0,-PMT(INDEX(Lookups!$E$17:$G$17,MATCH($C$4,Lookups!$E$14:$G$14,0)),AZ170,SUMIFS('EE Inputs'!$J$9:$J$32,'EE Inputs'!$C$9:$C$32,$AM$6,'EE Inputs'!$D$9:$D$32,$C$4,'EE Inputs'!$E$9:$E$32,$B183),0,1)))-AZ184</f>
        <v>274834.1000885425</v>
      </c>
      <c r="BA183" s="72">
        <f ca="1">IF($C$4=Lookups!$D$40,SUM(INDIRECT("'Yr1'!"&amp;ADDRESS(ROW(BA183),COLUMN(BA183))),INDIRECT("'Yr2'!"&amp;ADDRESS(ROW(BA183),COLUMN(BA183))),INDIRECT("'Yr3'!"&amp;ADDRESS(ROW(BA183),COLUMN(BA183)))),
IF(BA170=0,0,-PMT(INDEX(Lookups!$E$17:$G$17,MATCH($C$4,Lookups!$E$14:$G$14,0)),BA170,SUMIFS('EE Inputs'!$J$9:$J$32,'EE Inputs'!$C$9:$C$32,$AM$6,'EE Inputs'!$D$9:$D$32,$C$4,'EE Inputs'!$E$9:$E$32,$B183),0,1)))-BA184</f>
        <v>274834.1000885425</v>
      </c>
      <c r="BB183" s="72">
        <f ca="1">IF($C$4=Lookups!$D$40,SUM(INDIRECT("'Yr1'!"&amp;ADDRESS(ROW(BB183),COLUMN(BB183))),INDIRECT("'Yr2'!"&amp;ADDRESS(ROW(BB183),COLUMN(BB183))),INDIRECT("'Yr3'!"&amp;ADDRESS(ROW(BB183),COLUMN(BB183)))),
IF(BB170=0,0,-PMT(INDEX(Lookups!$E$17:$G$17,MATCH($C$4,Lookups!$E$14:$G$14,0)),BB170,SUMIFS('EE Inputs'!$J$9:$J$32,'EE Inputs'!$C$9:$C$32,$AM$6,'EE Inputs'!$D$9:$D$32,$C$4,'EE Inputs'!$E$9:$E$32,$B183),0,1)))-BB184</f>
        <v>274834.1000885425</v>
      </c>
      <c r="BC183" s="72">
        <f ca="1">IF($C$4=Lookups!$D$40,SUM(INDIRECT("'Yr1'!"&amp;ADDRESS(ROW(BC183),COLUMN(BC183))),INDIRECT("'Yr2'!"&amp;ADDRESS(ROW(BC183),COLUMN(BC183))),INDIRECT("'Yr3'!"&amp;ADDRESS(ROW(BC183),COLUMN(BC183)))),
IF(BC170=0,0,-PMT(INDEX(Lookups!$E$17:$G$17,MATCH($C$4,Lookups!$E$14:$G$14,0)),BC170,SUMIFS('EE Inputs'!$J$9:$J$32,'EE Inputs'!$C$9:$C$32,$AM$6,'EE Inputs'!$D$9:$D$32,$C$4,'EE Inputs'!$E$9:$E$32,$B183),0,1)))-BC184</f>
        <v>274834.1000885425</v>
      </c>
      <c r="BD183" s="72">
        <f ca="1">IF($C$4=Lookups!$D$40,SUM(INDIRECT("'Yr1'!"&amp;ADDRESS(ROW(BD183),COLUMN(BD183))),INDIRECT("'Yr2'!"&amp;ADDRESS(ROW(BD183),COLUMN(BD183))),INDIRECT("'Yr3'!"&amp;ADDRESS(ROW(BD183),COLUMN(BD183)))),
IF(BD170=0,0,-PMT(INDEX(Lookups!$E$17:$G$17,MATCH($C$4,Lookups!$E$14:$G$14,0)),BD170,SUMIFS('EE Inputs'!$J$9:$J$32,'EE Inputs'!$C$9:$C$32,$AM$6,'EE Inputs'!$D$9:$D$32,$C$4,'EE Inputs'!$E$9:$E$32,$B183),0,1)))-BD184</f>
        <v>274834.1000885425</v>
      </c>
      <c r="BE183" s="72">
        <f ca="1">IF($C$4=Lookups!$D$40,SUM(INDIRECT("'Yr1'!"&amp;ADDRESS(ROW(BE183),COLUMN(BE183))),INDIRECT("'Yr2'!"&amp;ADDRESS(ROW(BE183),COLUMN(BE183))),INDIRECT("'Yr3'!"&amp;ADDRESS(ROW(BE183),COLUMN(BE183)))),
IF(BE170=0,0,-PMT(INDEX(Lookups!$E$17:$G$17,MATCH($C$4,Lookups!$E$14:$G$14,0)),BE170,SUMIFS('EE Inputs'!$J$9:$J$32,'EE Inputs'!$C$9:$C$32,$AM$6,'EE Inputs'!$D$9:$D$32,$C$4,'EE Inputs'!$E$9:$E$32,$B183),0,1)))-BE184</f>
        <v>0</v>
      </c>
      <c r="BF183" s="72">
        <f ca="1">IF($C$4=Lookups!$D$40,SUM(INDIRECT("'Yr1'!"&amp;ADDRESS(ROW(BF183),COLUMN(BF183))),INDIRECT("'Yr2'!"&amp;ADDRESS(ROW(BF183),COLUMN(BF183))),INDIRECT("'Yr3'!"&amp;ADDRESS(ROW(BF183),COLUMN(BF183)))),
IF(BF170=0,0,-PMT(INDEX(Lookups!$E$17:$G$17,MATCH($C$4,Lookups!$E$14:$G$14,0)),BF170,SUMIFS('EE Inputs'!$J$9:$J$32,'EE Inputs'!$C$9:$C$32,$AM$6,'EE Inputs'!$D$9:$D$32,$C$4,'EE Inputs'!$E$9:$E$32,$B183),0,1)))-BF184</f>
        <v>0</v>
      </c>
      <c r="BG183" s="72">
        <f ca="1">IF($C$4=Lookups!$D$40,SUM(INDIRECT("'Yr1'!"&amp;ADDRESS(ROW(BG183),COLUMN(BG183))),INDIRECT("'Yr2'!"&amp;ADDRESS(ROW(BG183),COLUMN(BG183))),INDIRECT("'Yr3'!"&amp;ADDRESS(ROW(BG183),COLUMN(BG183)))),
IF(BG170=0,0,-PMT(INDEX(Lookups!$E$17:$G$17,MATCH($C$4,Lookups!$E$14:$G$14,0)),BG170,SUMIFS('EE Inputs'!$J$9:$J$32,'EE Inputs'!$C$9:$C$32,$AM$6,'EE Inputs'!$D$9:$D$32,$C$4,'EE Inputs'!$E$9:$E$32,$B183),0,1)))-BG184</f>
        <v>0</v>
      </c>
      <c r="BH183" s="72">
        <f ca="1">IF($C$4=Lookups!$D$40,SUM(INDIRECT("'Yr1'!"&amp;ADDRESS(ROW(BH183),COLUMN(BH183))),INDIRECT("'Yr2'!"&amp;ADDRESS(ROW(BH183),COLUMN(BH183))),INDIRECT("'Yr3'!"&amp;ADDRESS(ROW(BH183),COLUMN(BH183)))),
IF(BH170=0,0,-PMT(INDEX(Lookups!$E$17:$G$17,MATCH($C$4,Lookups!$E$14:$G$14,0)),BH170,SUMIFS('EE Inputs'!$J$9:$J$32,'EE Inputs'!$C$9:$C$32,$AM$6,'EE Inputs'!$D$9:$D$32,$C$4,'EE Inputs'!$E$9:$E$32,$B183),0,1)))-BH184</f>
        <v>0</v>
      </c>
      <c r="BI183" s="72">
        <f ca="1">IF($C$4=Lookups!$D$40,SUM(INDIRECT("'Yr1'!"&amp;ADDRESS(ROW(BI183),COLUMN(BI183))),INDIRECT("'Yr2'!"&amp;ADDRESS(ROW(BI183),COLUMN(BI183))),INDIRECT("'Yr3'!"&amp;ADDRESS(ROW(BI183),COLUMN(BI183)))),
IF(BI170=0,0,-PMT(INDEX(Lookups!$E$17:$G$17,MATCH($C$4,Lookups!$E$14:$G$14,0)),BI170,SUMIFS('EE Inputs'!$J$9:$J$32,'EE Inputs'!$C$9:$C$32,$AM$6,'EE Inputs'!$D$9:$D$32,$C$4,'EE Inputs'!$E$9:$E$32,$B183),0,1)))-BI184</f>
        <v>0</v>
      </c>
      <c r="BJ183" s="72">
        <f ca="1">IF($C$4=Lookups!$D$40,SUM(INDIRECT("'Yr1'!"&amp;ADDRESS(ROW(BJ183),COLUMN(BJ183))),INDIRECT("'Yr2'!"&amp;ADDRESS(ROW(BJ183),COLUMN(BJ183))),INDIRECT("'Yr3'!"&amp;ADDRESS(ROW(BJ183),COLUMN(BJ183)))),
IF(BJ170=0,0,-PMT(INDEX(Lookups!$E$17:$G$17,MATCH($C$4,Lookups!$E$14:$G$14,0)),BJ170,SUMIFS('EE Inputs'!$J$9:$J$32,'EE Inputs'!$C$9:$C$32,$AM$6,'EE Inputs'!$D$9:$D$32,$C$4,'EE Inputs'!$E$9:$E$32,$B183),0,1)))-BJ184</f>
        <v>0</v>
      </c>
      <c r="BK183" s="72">
        <f ca="1">IF($C$4=Lookups!$D$40,SUM(INDIRECT("'Yr1'!"&amp;ADDRESS(ROW(BK183),COLUMN(BK183))),INDIRECT("'Yr2'!"&amp;ADDRESS(ROW(BK183),COLUMN(BK183))),INDIRECT("'Yr3'!"&amp;ADDRESS(ROW(BK183),COLUMN(BK183)))),
IF(BK170=0,0,-PMT(INDEX(Lookups!$E$17:$G$17,MATCH($C$4,Lookups!$E$14:$G$14,0)),BK170,SUMIFS('EE Inputs'!$J$9:$J$32,'EE Inputs'!$C$9:$C$32,$AM$6,'EE Inputs'!$D$9:$D$32,$C$4,'EE Inputs'!$E$9:$E$32,$B183),0,1)))-BK184</f>
        <v>0</v>
      </c>
      <c r="BL183" s="72">
        <f ca="1">IF($C$4=Lookups!$D$40,SUM(INDIRECT("'Yr1'!"&amp;ADDRESS(ROW(BL183),COLUMN(BL183))),INDIRECT("'Yr2'!"&amp;ADDRESS(ROW(BL183),COLUMN(BL183))),INDIRECT("'Yr3'!"&amp;ADDRESS(ROW(BL183),COLUMN(BL183)))),
IF(BL170=0,0,-PMT(INDEX(Lookups!$E$17:$G$17,MATCH($C$4,Lookups!$E$14:$G$14,0)),BL170,SUMIFS('EE Inputs'!$J$9:$J$32,'EE Inputs'!$C$9:$C$32,$AM$6,'EE Inputs'!$D$9:$D$32,$C$4,'EE Inputs'!$E$9:$E$32,$B183),0,1)))-BL184</f>
        <v>0</v>
      </c>
      <c r="BM183" s="72">
        <f ca="1">IF($C$4=Lookups!$D$40,SUM(INDIRECT("'Yr1'!"&amp;ADDRESS(ROW(BM183),COLUMN(BM183))),INDIRECT("'Yr2'!"&amp;ADDRESS(ROW(BM183),COLUMN(BM183))),INDIRECT("'Yr3'!"&amp;ADDRESS(ROW(BM183),COLUMN(BM183)))),
IF(BM170=0,0,-PMT(INDEX(Lookups!$E$17:$G$17,MATCH($C$4,Lookups!$E$14:$G$14,0)),BM170,SUMIFS('EE Inputs'!$J$9:$J$32,'EE Inputs'!$C$9:$C$32,$AM$6,'EE Inputs'!$D$9:$D$32,$C$4,'EE Inputs'!$E$9:$E$32,$B183),0,1)))-BM184</f>
        <v>0</v>
      </c>
      <c r="BN183" s="72"/>
      <c r="BO183" s="72">
        <f ca="1">NPV(Lookups!$E$17,AM183:BM183)</f>
        <v>3802370.2548533571</v>
      </c>
      <c r="BP183" s="72"/>
      <c r="BS183" s="84" t="str">
        <f>"Avoided "&amp;E183&amp;" costs, less the retail margin."</f>
        <v>Avoided Gas costs, less the retail margin.</v>
      </c>
      <c r="BT183" s="51" t="s">
        <v>17</v>
      </c>
    </row>
    <row r="184" spans="1:72" x14ac:dyDescent="0.25">
      <c r="A184" s="246"/>
      <c r="B184" s="243" t="str">
        <f t="shared" si="190"/>
        <v>Small C&amp;I</v>
      </c>
      <c r="C184" s="243" t="str">
        <f t="shared" si="190"/>
        <v>Revenue Requirements</v>
      </c>
      <c r="D184" s="244" t="str">
        <f>D183</f>
        <v>Avoided Costs</v>
      </c>
      <c r="E184" s="84" t="s">
        <v>412</v>
      </c>
      <c r="F184" s="84" t="s">
        <v>32</v>
      </c>
      <c r="G184" s="65">
        <f ca="1">IF($C$4=Lookups!$D$40,SUM(INDIRECT("'Yr1'!"&amp;ADDRESS(ROW(G184),COLUMN(G184))),INDIRECT("'Yr2'!"&amp;ADDRESS(ROW(G184),COLUMN(G184))),INDIRECT("'Yr3'!"&amp;ADDRESS(ROW(G184),COLUMN(G184)))),
IF(G170=0,0,-PMT(INDEX(Lookups!$E$17:$G$17,MATCH($C$4,Lookups!$E$14:$G$14,0)),G170,SUMIFS('EE Inputs'!$W$9:$W$32,'EE Inputs'!$C$9:$C$32,$G$6,'EE Inputs'!$D$9:$D$32,$C$4,'EE Inputs'!$E$9:$E$32,$B184),0,1)))</f>
        <v>0</v>
      </c>
      <c r="H184" s="65">
        <f ca="1">IF($C$4=Lookups!$D$40,SUM(INDIRECT("'Yr1'!"&amp;ADDRESS(ROW(H184),COLUMN(H184))),INDIRECT("'Yr2'!"&amp;ADDRESS(ROW(H184),COLUMN(H184))),INDIRECT("'Yr3'!"&amp;ADDRESS(ROW(H184),COLUMN(H184)))),
IF(H170=0,0,-PMT(INDEX(Lookups!$E$17:$G$17,MATCH($C$4,Lookups!$E$14:$G$14,0)),H170,SUMIFS('EE Inputs'!$W$9:$W$32,'EE Inputs'!$C$9:$C$32,$G$6,'EE Inputs'!$D$9:$D$32,$C$4,'EE Inputs'!$E$9:$E$32,$B184),0,1)))</f>
        <v>0</v>
      </c>
      <c r="I184" s="65">
        <f ca="1">IF($C$4=Lookups!$D$40,SUM(INDIRECT("'Yr1'!"&amp;ADDRESS(ROW(I184),COLUMN(I184))),INDIRECT("'Yr2'!"&amp;ADDRESS(ROW(I184),COLUMN(I184))),INDIRECT("'Yr3'!"&amp;ADDRESS(ROW(I184),COLUMN(I184)))),
IF(I170=0,0,-PMT(INDEX(Lookups!$E$17:$G$17,MATCH($C$4,Lookups!$E$14:$G$14,0)),I170,SUMIFS('EE Inputs'!$W$9:$W$32,'EE Inputs'!$C$9:$C$32,$G$6,'EE Inputs'!$D$9:$D$32,$C$4,'EE Inputs'!$E$9:$E$32,$B184),0,1)))</f>
        <v>15349.776866647322</v>
      </c>
      <c r="J184" s="65">
        <f ca="1">IF($C$4=Lookups!$D$40,SUM(INDIRECT("'Yr1'!"&amp;ADDRESS(ROW(J184),COLUMN(J184))),INDIRECT("'Yr2'!"&amp;ADDRESS(ROW(J184),COLUMN(J184))),INDIRECT("'Yr3'!"&amp;ADDRESS(ROW(J184),COLUMN(J184)))),
IF(J170=0,0,-PMT(INDEX(Lookups!$E$17:$G$17,MATCH($C$4,Lookups!$E$14:$G$14,0)),J170,SUMIFS('EE Inputs'!$W$9:$W$32,'EE Inputs'!$C$9:$C$32,$G$6,'EE Inputs'!$D$9:$D$32,$C$4,'EE Inputs'!$E$9:$E$32,$B184),0,1)))</f>
        <v>15349.776866647322</v>
      </c>
      <c r="K184" s="65">
        <f ca="1">IF($C$4=Lookups!$D$40,SUM(INDIRECT("'Yr1'!"&amp;ADDRESS(ROW(K184),COLUMN(K184))),INDIRECT("'Yr2'!"&amp;ADDRESS(ROW(K184),COLUMN(K184))),INDIRECT("'Yr3'!"&amp;ADDRESS(ROW(K184),COLUMN(K184)))),
IF(K170=0,0,-PMT(INDEX(Lookups!$E$17:$G$17,MATCH($C$4,Lookups!$E$14:$G$14,0)),K170,SUMIFS('EE Inputs'!$W$9:$W$32,'EE Inputs'!$C$9:$C$32,$G$6,'EE Inputs'!$D$9:$D$32,$C$4,'EE Inputs'!$E$9:$E$32,$B184),0,1)))</f>
        <v>15349.776866647322</v>
      </c>
      <c r="L184" s="65">
        <f ca="1">IF($C$4=Lookups!$D$40,SUM(INDIRECT("'Yr1'!"&amp;ADDRESS(ROW(L184),COLUMN(L184))),INDIRECT("'Yr2'!"&amp;ADDRESS(ROW(L184),COLUMN(L184))),INDIRECT("'Yr3'!"&amp;ADDRESS(ROW(L184),COLUMN(L184)))),
IF(L170=0,0,-PMT(INDEX(Lookups!$E$17:$G$17,MATCH($C$4,Lookups!$E$14:$G$14,0)),L170,SUMIFS('EE Inputs'!$W$9:$W$32,'EE Inputs'!$C$9:$C$32,$G$6,'EE Inputs'!$D$9:$D$32,$C$4,'EE Inputs'!$E$9:$E$32,$B184),0,1)))</f>
        <v>15349.776866647322</v>
      </c>
      <c r="M184" s="65">
        <f ca="1">IF($C$4=Lookups!$D$40,SUM(INDIRECT("'Yr1'!"&amp;ADDRESS(ROW(M184),COLUMN(M184))),INDIRECT("'Yr2'!"&amp;ADDRESS(ROW(M184),COLUMN(M184))),INDIRECT("'Yr3'!"&amp;ADDRESS(ROW(M184),COLUMN(M184)))),
IF(M170=0,0,-PMT(INDEX(Lookups!$E$17:$G$17,MATCH($C$4,Lookups!$E$14:$G$14,0)),M170,SUMIFS('EE Inputs'!$W$9:$W$32,'EE Inputs'!$C$9:$C$32,$G$6,'EE Inputs'!$D$9:$D$32,$C$4,'EE Inputs'!$E$9:$E$32,$B184),0,1)))</f>
        <v>15349.776866647322</v>
      </c>
      <c r="N184" s="65">
        <f ca="1">IF($C$4=Lookups!$D$40,SUM(INDIRECT("'Yr1'!"&amp;ADDRESS(ROW(N184),COLUMN(N184))),INDIRECT("'Yr2'!"&amp;ADDRESS(ROW(N184),COLUMN(N184))),INDIRECT("'Yr3'!"&amp;ADDRESS(ROW(N184),COLUMN(N184)))),
IF(N170=0,0,-PMT(INDEX(Lookups!$E$17:$G$17,MATCH($C$4,Lookups!$E$14:$G$14,0)),N170,SUMIFS('EE Inputs'!$W$9:$W$32,'EE Inputs'!$C$9:$C$32,$G$6,'EE Inputs'!$D$9:$D$32,$C$4,'EE Inputs'!$E$9:$E$32,$B184),0,1)))</f>
        <v>15349.776866647322</v>
      </c>
      <c r="O184" s="65">
        <f ca="1">IF($C$4=Lookups!$D$40,SUM(INDIRECT("'Yr1'!"&amp;ADDRESS(ROW(O184),COLUMN(O184))),INDIRECT("'Yr2'!"&amp;ADDRESS(ROW(O184),COLUMN(O184))),INDIRECT("'Yr3'!"&amp;ADDRESS(ROW(O184),COLUMN(O184)))),
IF(O170=0,0,-PMT(INDEX(Lookups!$E$17:$G$17,MATCH($C$4,Lookups!$E$14:$G$14,0)),O170,SUMIFS('EE Inputs'!$W$9:$W$32,'EE Inputs'!$C$9:$C$32,$G$6,'EE Inputs'!$D$9:$D$32,$C$4,'EE Inputs'!$E$9:$E$32,$B184),0,1)))</f>
        <v>15349.776866647322</v>
      </c>
      <c r="P184" s="65">
        <f ca="1">IF($C$4=Lookups!$D$40,SUM(INDIRECT("'Yr1'!"&amp;ADDRESS(ROW(P184),COLUMN(P184))),INDIRECT("'Yr2'!"&amp;ADDRESS(ROW(P184),COLUMN(P184))),INDIRECT("'Yr3'!"&amp;ADDRESS(ROW(P184),COLUMN(P184)))),
IF(P170=0,0,-PMT(INDEX(Lookups!$E$17:$G$17,MATCH($C$4,Lookups!$E$14:$G$14,0)),P170,SUMIFS('EE Inputs'!$W$9:$W$32,'EE Inputs'!$C$9:$C$32,$G$6,'EE Inputs'!$D$9:$D$32,$C$4,'EE Inputs'!$E$9:$E$32,$B184),0,1)))</f>
        <v>15349.776866647322</v>
      </c>
      <c r="Q184" s="65">
        <f ca="1">IF($C$4=Lookups!$D$40,SUM(INDIRECT("'Yr1'!"&amp;ADDRESS(ROW(Q184),COLUMN(Q184))),INDIRECT("'Yr2'!"&amp;ADDRESS(ROW(Q184),COLUMN(Q184))),INDIRECT("'Yr3'!"&amp;ADDRESS(ROW(Q184),COLUMN(Q184)))),
IF(Q170=0,0,-PMT(INDEX(Lookups!$E$17:$G$17,MATCH($C$4,Lookups!$E$14:$G$14,0)),Q170,SUMIFS('EE Inputs'!$W$9:$W$32,'EE Inputs'!$C$9:$C$32,$G$6,'EE Inputs'!$D$9:$D$32,$C$4,'EE Inputs'!$E$9:$E$32,$B184),0,1)))</f>
        <v>15349.776866647322</v>
      </c>
      <c r="R184" s="65">
        <f ca="1">IF($C$4=Lookups!$D$40,SUM(INDIRECT("'Yr1'!"&amp;ADDRESS(ROW(R184),COLUMN(R184))),INDIRECT("'Yr2'!"&amp;ADDRESS(ROW(R184),COLUMN(R184))),INDIRECT("'Yr3'!"&amp;ADDRESS(ROW(R184),COLUMN(R184)))),
IF(R170=0,0,-PMT(INDEX(Lookups!$E$17:$G$17,MATCH($C$4,Lookups!$E$14:$G$14,0)),R170,SUMIFS('EE Inputs'!$W$9:$W$32,'EE Inputs'!$C$9:$C$32,$G$6,'EE Inputs'!$D$9:$D$32,$C$4,'EE Inputs'!$E$9:$E$32,$B184),0,1)))</f>
        <v>15349.776866647322</v>
      </c>
      <c r="S184" s="65">
        <f ca="1">IF($C$4=Lookups!$D$40,SUM(INDIRECT("'Yr1'!"&amp;ADDRESS(ROW(S184),COLUMN(S184))),INDIRECT("'Yr2'!"&amp;ADDRESS(ROW(S184),COLUMN(S184))),INDIRECT("'Yr3'!"&amp;ADDRESS(ROW(S184),COLUMN(S184)))),
IF(S170=0,0,-PMT(INDEX(Lookups!$E$17:$G$17,MATCH($C$4,Lookups!$E$14:$G$14,0)),S170,SUMIFS('EE Inputs'!$W$9:$W$32,'EE Inputs'!$C$9:$C$32,$G$6,'EE Inputs'!$D$9:$D$32,$C$4,'EE Inputs'!$E$9:$E$32,$B184),0,1)))</f>
        <v>15349.776866647322</v>
      </c>
      <c r="T184" s="65">
        <f ca="1">IF($C$4=Lookups!$D$40,SUM(INDIRECT("'Yr1'!"&amp;ADDRESS(ROW(T184),COLUMN(T184))),INDIRECT("'Yr2'!"&amp;ADDRESS(ROW(T184),COLUMN(T184))),INDIRECT("'Yr3'!"&amp;ADDRESS(ROW(T184),COLUMN(T184)))),
IF(T170=0,0,-PMT(INDEX(Lookups!$E$17:$G$17,MATCH($C$4,Lookups!$E$14:$G$14,0)),T170,SUMIFS('EE Inputs'!$W$9:$W$32,'EE Inputs'!$C$9:$C$32,$G$6,'EE Inputs'!$D$9:$D$32,$C$4,'EE Inputs'!$E$9:$E$32,$B184),0,1)))</f>
        <v>15349.776866647322</v>
      </c>
      <c r="U184" s="65">
        <f ca="1">IF($C$4=Lookups!$D$40,SUM(INDIRECT("'Yr1'!"&amp;ADDRESS(ROW(U184),COLUMN(U184))),INDIRECT("'Yr2'!"&amp;ADDRESS(ROW(U184),COLUMN(U184))),INDIRECT("'Yr3'!"&amp;ADDRESS(ROW(U184),COLUMN(U184)))),
IF(U170=0,0,-PMT(INDEX(Lookups!$E$17:$G$17,MATCH($C$4,Lookups!$E$14:$G$14,0)),U170,SUMIFS('EE Inputs'!$W$9:$W$32,'EE Inputs'!$C$9:$C$32,$G$6,'EE Inputs'!$D$9:$D$32,$C$4,'EE Inputs'!$E$9:$E$32,$B184),0,1)))</f>
        <v>15349.776866647322</v>
      </c>
      <c r="V184" s="65">
        <f ca="1">IF($C$4=Lookups!$D$40,SUM(INDIRECT("'Yr1'!"&amp;ADDRESS(ROW(V184),COLUMN(V184))),INDIRECT("'Yr2'!"&amp;ADDRESS(ROW(V184),COLUMN(V184))),INDIRECT("'Yr3'!"&amp;ADDRESS(ROW(V184),COLUMN(V184)))),
IF(V170=0,0,-PMT(INDEX(Lookups!$E$17:$G$17,MATCH($C$4,Lookups!$E$14:$G$14,0)),V170,SUMIFS('EE Inputs'!$W$9:$W$32,'EE Inputs'!$C$9:$C$32,$G$6,'EE Inputs'!$D$9:$D$32,$C$4,'EE Inputs'!$E$9:$E$32,$B184),0,1)))</f>
        <v>15349.776866647322</v>
      </c>
      <c r="W184" s="65">
        <f ca="1">IF($C$4=Lookups!$D$40,SUM(INDIRECT("'Yr1'!"&amp;ADDRESS(ROW(W184),COLUMN(W184))),INDIRECT("'Yr2'!"&amp;ADDRESS(ROW(W184),COLUMN(W184))),INDIRECT("'Yr3'!"&amp;ADDRESS(ROW(W184),COLUMN(W184)))),
IF(W170=0,0,-PMT(INDEX(Lookups!$E$17:$G$17,MATCH($C$4,Lookups!$E$14:$G$14,0)),W170,SUMIFS('EE Inputs'!$W$9:$W$32,'EE Inputs'!$C$9:$C$32,$G$6,'EE Inputs'!$D$9:$D$32,$C$4,'EE Inputs'!$E$9:$E$32,$B184),0,1)))</f>
        <v>15349.776866647322</v>
      </c>
      <c r="X184" s="65">
        <f ca="1">IF($C$4=Lookups!$D$40,SUM(INDIRECT("'Yr1'!"&amp;ADDRESS(ROW(X184),COLUMN(X184))),INDIRECT("'Yr2'!"&amp;ADDRESS(ROW(X184),COLUMN(X184))),INDIRECT("'Yr3'!"&amp;ADDRESS(ROW(X184),COLUMN(X184)))),
IF(X170=0,0,-PMT(INDEX(Lookups!$E$17:$G$17,MATCH($C$4,Lookups!$E$14:$G$14,0)),X170,SUMIFS('EE Inputs'!$W$9:$W$32,'EE Inputs'!$C$9:$C$32,$G$6,'EE Inputs'!$D$9:$D$32,$C$4,'EE Inputs'!$E$9:$E$32,$B184),0,1)))</f>
        <v>15349.776866647322</v>
      </c>
      <c r="Y184" s="65">
        <f ca="1">IF($C$4=Lookups!$D$40,SUM(INDIRECT("'Yr1'!"&amp;ADDRESS(ROW(Y184),COLUMN(Y184))),INDIRECT("'Yr2'!"&amp;ADDRESS(ROW(Y184),COLUMN(Y184))),INDIRECT("'Yr3'!"&amp;ADDRESS(ROW(Y184),COLUMN(Y184)))),
IF(Y170=0,0,-PMT(INDEX(Lookups!$E$17:$G$17,MATCH($C$4,Lookups!$E$14:$G$14,0)),Y170,SUMIFS('EE Inputs'!$W$9:$W$32,'EE Inputs'!$C$9:$C$32,$G$6,'EE Inputs'!$D$9:$D$32,$C$4,'EE Inputs'!$E$9:$E$32,$B184),0,1)))</f>
        <v>0</v>
      </c>
      <c r="Z184" s="65">
        <f ca="1">IF($C$4=Lookups!$D$40,SUM(INDIRECT("'Yr1'!"&amp;ADDRESS(ROW(Z184),COLUMN(Z184))),INDIRECT("'Yr2'!"&amp;ADDRESS(ROW(Z184),COLUMN(Z184))),INDIRECT("'Yr3'!"&amp;ADDRESS(ROW(Z184),COLUMN(Z184)))),
IF(Z170=0,0,-PMT(INDEX(Lookups!$E$17:$G$17,MATCH($C$4,Lookups!$E$14:$G$14,0)),Z170,SUMIFS('EE Inputs'!$W$9:$W$32,'EE Inputs'!$C$9:$C$32,$G$6,'EE Inputs'!$D$9:$D$32,$C$4,'EE Inputs'!$E$9:$E$32,$B184),0,1)))</f>
        <v>0</v>
      </c>
      <c r="AA184" s="65">
        <f ca="1">IF($C$4=Lookups!$D$40,SUM(INDIRECT("'Yr1'!"&amp;ADDRESS(ROW(AA184),COLUMN(AA184))),INDIRECT("'Yr2'!"&amp;ADDRESS(ROW(AA184),COLUMN(AA184))),INDIRECT("'Yr3'!"&amp;ADDRESS(ROW(AA184),COLUMN(AA184)))),
IF(AA170=0,0,-PMT(INDEX(Lookups!$E$17:$G$17,MATCH($C$4,Lookups!$E$14:$G$14,0)),AA170,SUMIFS('EE Inputs'!$W$9:$W$32,'EE Inputs'!$C$9:$C$32,$G$6,'EE Inputs'!$D$9:$D$32,$C$4,'EE Inputs'!$E$9:$E$32,$B184),0,1)))</f>
        <v>0</v>
      </c>
      <c r="AB184" s="65">
        <f ca="1">IF($C$4=Lookups!$D$40,SUM(INDIRECT("'Yr1'!"&amp;ADDRESS(ROW(AB184),COLUMN(AB184))),INDIRECT("'Yr2'!"&amp;ADDRESS(ROW(AB184),COLUMN(AB184))),INDIRECT("'Yr3'!"&amp;ADDRESS(ROW(AB184),COLUMN(AB184)))),
IF(AB170=0,0,-PMT(INDEX(Lookups!$E$17:$G$17,MATCH($C$4,Lookups!$E$14:$G$14,0)),AB170,SUMIFS('EE Inputs'!$W$9:$W$32,'EE Inputs'!$C$9:$C$32,$G$6,'EE Inputs'!$D$9:$D$32,$C$4,'EE Inputs'!$E$9:$E$32,$B184),0,1)))</f>
        <v>0</v>
      </c>
      <c r="AC184" s="65">
        <f ca="1">IF($C$4=Lookups!$D$40,SUM(INDIRECT("'Yr1'!"&amp;ADDRESS(ROW(AC184),COLUMN(AC184))),INDIRECT("'Yr2'!"&amp;ADDRESS(ROW(AC184),COLUMN(AC184))),INDIRECT("'Yr3'!"&amp;ADDRESS(ROW(AC184),COLUMN(AC184)))),
IF(AC170=0,0,-PMT(INDEX(Lookups!$E$17:$G$17,MATCH($C$4,Lookups!$E$14:$G$14,0)),AC170,SUMIFS('EE Inputs'!$W$9:$W$32,'EE Inputs'!$C$9:$C$32,$G$6,'EE Inputs'!$D$9:$D$32,$C$4,'EE Inputs'!$E$9:$E$32,$B184),0,1)))</f>
        <v>0</v>
      </c>
      <c r="AD184" s="65">
        <f ca="1">IF($C$4=Lookups!$D$40,SUM(INDIRECT("'Yr1'!"&amp;ADDRESS(ROW(AD184),COLUMN(AD184))),INDIRECT("'Yr2'!"&amp;ADDRESS(ROW(AD184),COLUMN(AD184))),INDIRECT("'Yr3'!"&amp;ADDRESS(ROW(AD184),COLUMN(AD184)))),
IF(AD170=0,0,-PMT(INDEX(Lookups!$E$17:$G$17,MATCH($C$4,Lookups!$E$14:$G$14,0)),AD170,SUMIFS('EE Inputs'!$W$9:$W$32,'EE Inputs'!$C$9:$C$32,$G$6,'EE Inputs'!$D$9:$D$32,$C$4,'EE Inputs'!$E$9:$E$32,$B184),0,1)))</f>
        <v>0</v>
      </c>
      <c r="AE184" s="65">
        <f ca="1">IF($C$4=Lookups!$D$40,SUM(INDIRECT("'Yr1'!"&amp;ADDRESS(ROW(AE184),COLUMN(AE184))),INDIRECT("'Yr2'!"&amp;ADDRESS(ROW(AE184),COLUMN(AE184))),INDIRECT("'Yr3'!"&amp;ADDRESS(ROW(AE184),COLUMN(AE184)))),
IF(AE170=0,0,-PMT(INDEX(Lookups!$E$17:$G$17,MATCH($C$4,Lookups!$E$14:$G$14,0)),AE170,SUMIFS('EE Inputs'!$W$9:$W$32,'EE Inputs'!$C$9:$C$32,$G$6,'EE Inputs'!$D$9:$D$32,$C$4,'EE Inputs'!$E$9:$E$32,$B184),0,1)))</f>
        <v>0</v>
      </c>
      <c r="AF184" s="65">
        <f ca="1">IF($C$4=Lookups!$D$40,SUM(INDIRECT("'Yr1'!"&amp;ADDRESS(ROW(AF184),COLUMN(AF184))),INDIRECT("'Yr2'!"&amp;ADDRESS(ROW(AF184),COLUMN(AF184))),INDIRECT("'Yr3'!"&amp;ADDRESS(ROW(AF184),COLUMN(AF184)))),
IF(AF170=0,0,-PMT(INDEX(Lookups!$E$17:$G$17,MATCH($C$4,Lookups!$E$14:$G$14,0)),AF170,SUMIFS('EE Inputs'!$W$9:$W$32,'EE Inputs'!$C$9:$C$32,$G$6,'EE Inputs'!$D$9:$D$32,$C$4,'EE Inputs'!$E$9:$E$32,$B184),0,1)))</f>
        <v>0</v>
      </c>
      <c r="AG184" s="65">
        <f ca="1">IF($C$4=Lookups!$D$40,SUM(INDIRECT("'Yr1'!"&amp;ADDRESS(ROW(AG184),COLUMN(AG184))),INDIRECT("'Yr2'!"&amp;ADDRESS(ROW(AG184),COLUMN(AG184))),INDIRECT("'Yr3'!"&amp;ADDRESS(ROW(AG184),COLUMN(AG184)))),
IF(AG170=0,0,-PMT(INDEX(Lookups!$E$17:$G$17,MATCH($C$4,Lookups!$E$14:$G$14,0)),AG170,SUMIFS('EE Inputs'!$W$9:$W$32,'EE Inputs'!$C$9:$C$32,$G$6,'EE Inputs'!$D$9:$D$32,$C$4,'EE Inputs'!$E$9:$E$32,$B184),0,1)))</f>
        <v>0</v>
      </c>
      <c r="AH184" s="65"/>
      <c r="AI184" s="65">
        <f ca="1">NPV(Lookups!$E$17,G184:AG184)</f>
        <v>212366.42380829921</v>
      </c>
      <c r="AJ184" s="65"/>
      <c r="AM184" s="72">
        <f ca="1">IF($C$4=Lookups!$D$40,SUM(INDIRECT("'Yr1'!"&amp;ADDRESS(ROW(AM184),COLUMN(AM184))),INDIRECT("'Yr2'!"&amp;ADDRESS(ROW(AM184),COLUMN(AM184))),INDIRECT("'Yr3'!"&amp;ADDRESS(ROW(AM184),COLUMN(AM184)))),
IF(AM170=0,0,-PMT(INDEX(Lookups!$E$17:$G$17,MATCH($C$4,Lookups!$E$14:$G$14,0)),AM170,SUMIFS('EE Inputs'!$W$9:$W$32,'EE Inputs'!$C$9:$C$32,$AM$6,'EE Inputs'!$D$9:$D$32,$C$4,'EE Inputs'!$E$9:$E$32,$B184),0,1)))</f>
        <v>0</v>
      </c>
      <c r="AN184" s="72">
        <f ca="1">IF($C$4=Lookups!$D$40,SUM(INDIRECT("'Yr1'!"&amp;ADDRESS(ROW(AN184),COLUMN(AN184))),INDIRECT("'Yr2'!"&amp;ADDRESS(ROW(AN184),COLUMN(AN184))),INDIRECT("'Yr3'!"&amp;ADDRESS(ROW(AN184),COLUMN(AN184)))),
IF(AN170=0,0,-PMT(INDEX(Lookups!$E$17:$G$17,MATCH($C$4,Lookups!$E$14:$G$14,0)),AN170,SUMIFS('EE Inputs'!$W$9:$W$32,'EE Inputs'!$C$9:$C$32,$AM$6,'EE Inputs'!$D$9:$D$32,$C$4,'EE Inputs'!$E$9:$E$32,$B184),0,1)))</f>
        <v>0</v>
      </c>
      <c r="AO184" s="72">
        <f ca="1">IF($C$4=Lookups!$D$40,SUM(INDIRECT("'Yr1'!"&amp;ADDRESS(ROW(AO184),COLUMN(AO184))),INDIRECT("'Yr2'!"&amp;ADDRESS(ROW(AO184),COLUMN(AO184))),INDIRECT("'Yr3'!"&amp;ADDRESS(ROW(AO184),COLUMN(AO184)))),
IF(AO170=0,0,-PMT(INDEX(Lookups!$E$17:$G$17,MATCH($C$4,Lookups!$E$14:$G$14,0)),AO170,SUMIFS('EE Inputs'!$W$9:$W$32,'EE Inputs'!$C$9:$C$32,$AM$6,'EE Inputs'!$D$9:$D$32,$C$4,'EE Inputs'!$E$9:$E$32,$B184),0,1)))</f>
        <v>17542.602133311222</v>
      </c>
      <c r="AP184" s="72">
        <f ca="1">IF($C$4=Lookups!$D$40,SUM(INDIRECT("'Yr1'!"&amp;ADDRESS(ROW(AP184),COLUMN(AP184))),INDIRECT("'Yr2'!"&amp;ADDRESS(ROW(AP184),COLUMN(AP184))),INDIRECT("'Yr3'!"&amp;ADDRESS(ROW(AP184),COLUMN(AP184)))),
IF(AP170=0,0,-PMT(INDEX(Lookups!$E$17:$G$17,MATCH($C$4,Lookups!$E$14:$G$14,0)),AP170,SUMIFS('EE Inputs'!$W$9:$W$32,'EE Inputs'!$C$9:$C$32,$AM$6,'EE Inputs'!$D$9:$D$32,$C$4,'EE Inputs'!$E$9:$E$32,$B184),0,1)))</f>
        <v>17542.602133311222</v>
      </c>
      <c r="AQ184" s="72">
        <f ca="1">IF($C$4=Lookups!$D$40,SUM(INDIRECT("'Yr1'!"&amp;ADDRESS(ROW(AQ184),COLUMN(AQ184))),INDIRECT("'Yr2'!"&amp;ADDRESS(ROW(AQ184),COLUMN(AQ184))),INDIRECT("'Yr3'!"&amp;ADDRESS(ROW(AQ184),COLUMN(AQ184)))),
IF(AQ170=0,0,-PMT(INDEX(Lookups!$E$17:$G$17,MATCH($C$4,Lookups!$E$14:$G$14,0)),AQ170,SUMIFS('EE Inputs'!$W$9:$W$32,'EE Inputs'!$C$9:$C$32,$AM$6,'EE Inputs'!$D$9:$D$32,$C$4,'EE Inputs'!$E$9:$E$32,$B184),0,1)))</f>
        <v>17542.602133311222</v>
      </c>
      <c r="AR184" s="72">
        <f ca="1">IF($C$4=Lookups!$D$40,SUM(INDIRECT("'Yr1'!"&amp;ADDRESS(ROW(AR184),COLUMN(AR184))),INDIRECT("'Yr2'!"&amp;ADDRESS(ROW(AR184),COLUMN(AR184))),INDIRECT("'Yr3'!"&amp;ADDRESS(ROW(AR184),COLUMN(AR184)))),
IF(AR170=0,0,-PMT(INDEX(Lookups!$E$17:$G$17,MATCH($C$4,Lookups!$E$14:$G$14,0)),AR170,SUMIFS('EE Inputs'!$W$9:$W$32,'EE Inputs'!$C$9:$C$32,$AM$6,'EE Inputs'!$D$9:$D$32,$C$4,'EE Inputs'!$E$9:$E$32,$B184),0,1)))</f>
        <v>17542.602133311222</v>
      </c>
      <c r="AS184" s="72">
        <f ca="1">IF($C$4=Lookups!$D$40,SUM(INDIRECT("'Yr1'!"&amp;ADDRESS(ROW(AS184),COLUMN(AS184))),INDIRECT("'Yr2'!"&amp;ADDRESS(ROW(AS184),COLUMN(AS184))),INDIRECT("'Yr3'!"&amp;ADDRESS(ROW(AS184),COLUMN(AS184)))),
IF(AS170=0,0,-PMT(INDEX(Lookups!$E$17:$G$17,MATCH($C$4,Lookups!$E$14:$G$14,0)),AS170,SUMIFS('EE Inputs'!$W$9:$W$32,'EE Inputs'!$C$9:$C$32,$AM$6,'EE Inputs'!$D$9:$D$32,$C$4,'EE Inputs'!$E$9:$E$32,$B184),0,1)))</f>
        <v>17542.602133311222</v>
      </c>
      <c r="AT184" s="72">
        <f ca="1">IF($C$4=Lookups!$D$40,SUM(INDIRECT("'Yr1'!"&amp;ADDRESS(ROW(AT184),COLUMN(AT184))),INDIRECT("'Yr2'!"&amp;ADDRESS(ROW(AT184),COLUMN(AT184))),INDIRECT("'Yr3'!"&amp;ADDRESS(ROW(AT184),COLUMN(AT184)))),
IF(AT170=0,0,-PMT(INDEX(Lookups!$E$17:$G$17,MATCH($C$4,Lookups!$E$14:$G$14,0)),AT170,SUMIFS('EE Inputs'!$W$9:$W$32,'EE Inputs'!$C$9:$C$32,$AM$6,'EE Inputs'!$D$9:$D$32,$C$4,'EE Inputs'!$E$9:$E$32,$B184),0,1)))</f>
        <v>17542.602133311222</v>
      </c>
      <c r="AU184" s="72">
        <f ca="1">IF($C$4=Lookups!$D$40,SUM(INDIRECT("'Yr1'!"&amp;ADDRESS(ROW(AU184),COLUMN(AU184))),INDIRECT("'Yr2'!"&amp;ADDRESS(ROW(AU184),COLUMN(AU184))),INDIRECT("'Yr3'!"&amp;ADDRESS(ROW(AU184),COLUMN(AU184)))),
IF(AU170=0,0,-PMT(INDEX(Lookups!$E$17:$G$17,MATCH($C$4,Lookups!$E$14:$G$14,0)),AU170,SUMIFS('EE Inputs'!$W$9:$W$32,'EE Inputs'!$C$9:$C$32,$AM$6,'EE Inputs'!$D$9:$D$32,$C$4,'EE Inputs'!$E$9:$E$32,$B184),0,1)))</f>
        <v>17542.602133311222</v>
      </c>
      <c r="AV184" s="72">
        <f ca="1">IF($C$4=Lookups!$D$40,SUM(INDIRECT("'Yr1'!"&amp;ADDRESS(ROW(AV184),COLUMN(AV184))),INDIRECT("'Yr2'!"&amp;ADDRESS(ROW(AV184),COLUMN(AV184))),INDIRECT("'Yr3'!"&amp;ADDRESS(ROW(AV184),COLUMN(AV184)))),
IF(AV170=0,0,-PMT(INDEX(Lookups!$E$17:$G$17,MATCH($C$4,Lookups!$E$14:$G$14,0)),AV170,SUMIFS('EE Inputs'!$W$9:$W$32,'EE Inputs'!$C$9:$C$32,$AM$6,'EE Inputs'!$D$9:$D$32,$C$4,'EE Inputs'!$E$9:$E$32,$B184),0,1)))</f>
        <v>17542.602133311222</v>
      </c>
      <c r="AW184" s="72">
        <f ca="1">IF($C$4=Lookups!$D$40,SUM(INDIRECT("'Yr1'!"&amp;ADDRESS(ROW(AW184),COLUMN(AW184))),INDIRECT("'Yr2'!"&amp;ADDRESS(ROW(AW184),COLUMN(AW184))),INDIRECT("'Yr3'!"&amp;ADDRESS(ROW(AW184),COLUMN(AW184)))),
IF(AW170=0,0,-PMT(INDEX(Lookups!$E$17:$G$17,MATCH($C$4,Lookups!$E$14:$G$14,0)),AW170,SUMIFS('EE Inputs'!$W$9:$W$32,'EE Inputs'!$C$9:$C$32,$AM$6,'EE Inputs'!$D$9:$D$32,$C$4,'EE Inputs'!$E$9:$E$32,$B184),0,1)))</f>
        <v>17542.602133311222</v>
      </c>
      <c r="AX184" s="72">
        <f ca="1">IF($C$4=Lookups!$D$40,SUM(INDIRECT("'Yr1'!"&amp;ADDRESS(ROW(AX184),COLUMN(AX184))),INDIRECT("'Yr2'!"&amp;ADDRESS(ROW(AX184),COLUMN(AX184))),INDIRECT("'Yr3'!"&amp;ADDRESS(ROW(AX184),COLUMN(AX184)))),
IF(AX170=0,0,-PMT(INDEX(Lookups!$E$17:$G$17,MATCH($C$4,Lookups!$E$14:$G$14,0)),AX170,SUMIFS('EE Inputs'!$W$9:$W$32,'EE Inputs'!$C$9:$C$32,$AM$6,'EE Inputs'!$D$9:$D$32,$C$4,'EE Inputs'!$E$9:$E$32,$B184),0,1)))</f>
        <v>17542.602133311222</v>
      </c>
      <c r="AY184" s="72">
        <f ca="1">IF($C$4=Lookups!$D$40,SUM(INDIRECT("'Yr1'!"&amp;ADDRESS(ROW(AY184),COLUMN(AY184))),INDIRECT("'Yr2'!"&amp;ADDRESS(ROW(AY184),COLUMN(AY184))),INDIRECT("'Yr3'!"&amp;ADDRESS(ROW(AY184),COLUMN(AY184)))),
IF(AY170=0,0,-PMT(INDEX(Lookups!$E$17:$G$17,MATCH($C$4,Lookups!$E$14:$G$14,0)),AY170,SUMIFS('EE Inputs'!$W$9:$W$32,'EE Inputs'!$C$9:$C$32,$AM$6,'EE Inputs'!$D$9:$D$32,$C$4,'EE Inputs'!$E$9:$E$32,$B184),0,1)))</f>
        <v>17542.602133311222</v>
      </c>
      <c r="AZ184" s="72">
        <f ca="1">IF($C$4=Lookups!$D$40,SUM(INDIRECT("'Yr1'!"&amp;ADDRESS(ROW(AZ184),COLUMN(AZ184))),INDIRECT("'Yr2'!"&amp;ADDRESS(ROW(AZ184),COLUMN(AZ184))),INDIRECT("'Yr3'!"&amp;ADDRESS(ROW(AZ184),COLUMN(AZ184)))),
IF(AZ170=0,0,-PMT(INDEX(Lookups!$E$17:$G$17,MATCH($C$4,Lookups!$E$14:$G$14,0)),AZ170,SUMIFS('EE Inputs'!$W$9:$W$32,'EE Inputs'!$C$9:$C$32,$AM$6,'EE Inputs'!$D$9:$D$32,$C$4,'EE Inputs'!$E$9:$E$32,$B184),0,1)))</f>
        <v>17542.602133311222</v>
      </c>
      <c r="BA184" s="72">
        <f ca="1">IF($C$4=Lookups!$D$40,SUM(INDIRECT("'Yr1'!"&amp;ADDRESS(ROW(BA184),COLUMN(BA184))),INDIRECT("'Yr2'!"&amp;ADDRESS(ROW(BA184),COLUMN(BA184))),INDIRECT("'Yr3'!"&amp;ADDRESS(ROW(BA184),COLUMN(BA184)))),
IF(BA170=0,0,-PMT(INDEX(Lookups!$E$17:$G$17,MATCH($C$4,Lookups!$E$14:$G$14,0)),BA170,SUMIFS('EE Inputs'!$W$9:$W$32,'EE Inputs'!$C$9:$C$32,$AM$6,'EE Inputs'!$D$9:$D$32,$C$4,'EE Inputs'!$E$9:$E$32,$B184),0,1)))</f>
        <v>17542.602133311222</v>
      </c>
      <c r="BB184" s="72">
        <f ca="1">IF($C$4=Lookups!$D$40,SUM(INDIRECT("'Yr1'!"&amp;ADDRESS(ROW(BB184),COLUMN(BB184))),INDIRECT("'Yr2'!"&amp;ADDRESS(ROW(BB184),COLUMN(BB184))),INDIRECT("'Yr3'!"&amp;ADDRESS(ROW(BB184),COLUMN(BB184)))),
IF(BB170=0,0,-PMT(INDEX(Lookups!$E$17:$G$17,MATCH($C$4,Lookups!$E$14:$G$14,0)),BB170,SUMIFS('EE Inputs'!$W$9:$W$32,'EE Inputs'!$C$9:$C$32,$AM$6,'EE Inputs'!$D$9:$D$32,$C$4,'EE Inputs'!$E$9:$E$32,$B184),0,1)))</f>
        <v>17542.602133311222</v>
      </c>
      <c r="BC184" s="72">
        <f ca="1">IF($C$4=Lookups!$D$40,SUM(INDIRECT("'Yr1'!"&amp;ADDRESS(ROW(BC184),COLUMN(BC184))),INDIRECT("'Yr2'!"&amp;ADDRESS(ROW(BC184),COLUMN(BC184))),INDIRECT("'Yr3'!"&amp;ADDRESS(ROW(BC184),COLUMN(BC184)))),
IF(BC170=0,0,-PMT(INDEX(Lookups!$E$17:$G$17,MATCH($C$4,Lookups!$E$14:$G$14,0)),BC170,SUMIFS('EE Inputs'!$W$9:$W$32,'EE Inputs'!$C$9:$C$32,$AM$6,'EE Inputs'!$D$9:$D$32,$C$4,'EE Inputs'!$E$9:$E$32,$B184),0,1)))</f>
        <v>17542.602133311222</v>
      </c>
      <c r="BD184" s="72">
        <f ca="1">IF($C$4=Lookups!$D$40,SUM(INDIRECT("'Yr1'!"&amp;ADDRESS(ROW(BD184),COLUMN(BD184))),INDIRECT("'Yr2'!"&amp;ADDRESS(ROW(BD184),COLUMN(BD184))),INDIRECT("'Yr3'!"&amp;ADDRESS(ROW(BD184),COLUMN(BD184)))),
IF(BD170=0,0,-PMT(INDEX(Lookups!$E$17:$G$17,MATCH($C$4,Lookups!$E$14:$G$14,0)),BD170,SUMIFS('EE Inputs'!$W$9:$W$32,'EE Inputs'!$C$9:$C$32,$AM$6,'EE Inputs'!$D$9:$D$32,$C$4,'EE Inputs'!$E$9:$E$32,$B184),0,1)))</f>
        <v>17542.602133311222</v>
      </c>
      <c r="BE184" s="72">
        <f ca="1">IF($C$4=Lookups!$D$40,SUM(INDIRECT("'Yr1'!"&amp;ADDRESS(ROW(BE184),COLUMN(BE184))),INDIRECT("'Yr2'!"&amp;ADDRESS(ROW(BE184),COLUMN(BE184))),INDIRECT("'Yr3'!"&amp;ADDRESS(ROW(BE184),COLUMN(BE184)))),
IF(BE170=0,0,-PMT(INDEX(Lookups!$E$17:$G$17,MATCH($C$4,Lookups!$E$14:$G$14,0)),BE170,SUMIFS('EE Inputs'!$W$9:$W$32,'EE Inputs'!$C$9:$C$32,$AM$6,'EE Inputs'!$D$9:$D$32,$C$4,'EE Inputs'!$E$9:$E$32,$B184),0,1)))</f>
        <v>0</v>
      </c>
      <c r="BF184" s="72">
        <f ca="1">IF($C$4=Lookups!$D$40,SUM(INDIRECT("'Yr1'!"&amp;ADDRESS(ROW(BF184),COLUMN(BF184))),INDIRECT("'Yr2'!"&amp;ADDRESS(ROW(BF184),COLUMN(BF184))),INDIRECT("'Yr3'!"&amp;ADDRESS(ROW(BF184),COLUMN(BF184)))),
IF(BF170=0,0,-PMT(INDEX(Lookups!$E$17:$G$17,MATCH($C$4,Lookups!$E$14:$G$14,0)),BF170,SUMIFS('EE Inputs'!$W$9:$W$32,'EE Inputs'!$C$9:$C$32,$AM$6,'EE Inputs'!$D$9:$D$32,$C$4,'EE Inputs'!$E$9:$E$32,$B184),0,1)))</f>
        <v>0</v>
      </c>
      <c r="BG184" s="72">
        <f ca="1">IF($C$4=Lookups!$D$40,SUM(INDIRECT("'Yr1'!"&amp;ADDRESS(ROW(BG184),COLUMN(BG184))),INDIRECT("'Yr2'!"&amp;ADDRESS(ROW(BG184),COLUMN(BG184))),INDIRECT("'Yr3'!"&amp;ADDRESS(ROW(BG184),COLUMN(BG184)))),
IF(BG170=0,0,-PMT(INDEX(Lookups!$E$17:$G$17,MATCH($C$4,Lookups!$E$14:$G$14,0)),BG170,SUMIFS('EE Inputs'!$W$9:$W$32,'EE Inputs'!$C$9:$C$32,$AM$6,'EE Inputs'!$D$9:$D$32,$C$4,'EE Inputs'!$E$9:$E$32,$B184),0,1)))</f>
        <v>0</v>
      </c>
      <c r="BH184" s="72">
        <f ca="1">IF($C$4=Lookups!$D$40,SUM(INDIRECT("'Yr1'!"&amp;ADDRESS(ROW(BH184),COLUMN(BH184))),INDIRECT("'Yr2'!"&amp;ADDRESS(ROW(BH184),COLUMN(BH184))),INDIRECT("'Yr3'!"&amp;ADDRESS(ROW(BH184),COLUMN(BH184)))),
IF(BH170=0,0,-PMT(INDEX(Lookups!$E$17:$G$17,MATCH($C$4,Lookups!$E$14:$G$14,0)),BH170,SUMIFS('EE Inputs'!$W$9:$W$32,'EE Inputs'!$C$9:$C$32,$AM$6,'EE Inputs'!$D$9:$D$32,$C$4,'EE Inputs'!$E$9:$E$32,$B184),0,1)))</f>
        <v>0</v>
      </c>
      <c r="BI184" s="72">
        <f ca="1">IF($C$4=Lookups!$D$40,SUM(INDIRECT("'Yr1'!"&amp;ADDRESS(ROW(BI184),COLUMN(BI184))),INDIRECT("'Yr2'!"&amp;ADDRESS(ROW(BI184),COLUMN(BI184))),INDIRECT("'Yr3'!"&amp;ADDRESS(ROW(BI184),COLUMN(BI184)))),
IF(BI170=0,0,-PMT(INDEX(Lookups!$E$17:$G$17,MATCH($C$4,Lookups!$E$14:$G$14,0)),BI170,SUMIFS('EE Inputs'!$W$9:$W$32,'EE Inputs'!$C$9:$C$32,$AM$6,'EE Inputs'!$D$9:$D$32,$C$4,'EE Inputs'!$E$9:$E$32,$B184),0,1)))</f>
        <v>0</v>
      </c>
      <c r="BJ184" s="72">
        <f ca="1">IF($C$4=Lookups!$D$40,SUM(INDIRECT("'Yr1'!"&amp;ADDRESS(ROW(BJ184),COLUMN(BJ184))),INDIRECT("'Yr2'!"&amp;ADDRESS(ROW(BJ184),COLUMN(BJ184))),INDIRECT("'Yr3'!"&amp;ADDRESS(ROW(BJ184),COLUMN(BJ184)))),
IF(BJ170=0,0,-PMT(INDEX(Lookups!$E$17:$G$17,MATCH($C$4,Lookups!$E$14:$G$14,0)),BJ170,SUMIFS('EE Inputs'!$W$9:$W$32,'EE Inputs'!$C$9:$C$32,$AM$6,'EE Inputs'!$D$9:$D$32,$C$4,'EE Inputs'!$E$9:$E$32,$B184),0,1)))</f>
        <v>0</v>
      </c>
      <c r="BK184" s="72">
        <f ca="1">IF($C$4=Lookups!$D$40,SUM(INDIRECT("'Yr1'!"&amp;ADDRESS(ROW(BK184),COLUMN(BK184))),INDIRECT("'Yr2'!"&amp;ADDRESS(ROW(BK184),COLUMN(BK184))),INDIRECT("'Yr3'!"&amp;ADDRESS(ROW(BK184),COLUMN(BK184)))),
IF(BK170=0,0,-PMT(INDEX(Lookups!$E$17:$G$17,MATCH($C$4,Lookups!$E$14:$G$14,0)),BK170,SUMIFS('EE Inputs'!$W$9:$W$32,'EE Inputs'!$C$9:$C$32,$AM$6,'EE Inputs'!$D$9:$D$32,$C$4,'EE Inputs'!$E$9:$E$32,$B184),0,1)))</f>
        <v>0</v>
      </c>
      <c r="BL184" s="72">
        <f ca="1">IF($C$4=Lookups!$D$40,SUM(INDIRECT("'Yr1'!"&amp;ADDRESS(ROW(BL184),COLUMN(BL184))),INDIRECT("'Yr2'!"&amp;ADDRESS(ROW(BL184),COLUMN(BL184))),INDIRECT("'Yr3'!"&amp;ADDRESS(ROW(BL184),COLUMN(BL184)))),
IF(BL170=0,0,-PMT(INDEX(Lookups!$E$17:$G$17,MATCH($C$4,Lookups!$E$14:$G$14,0)),BL170,SUMIFS('EE Inputs'!$W$9:$W$32,'EE Inputs'!$C$9:$C$32,$AM$6,'EE Inputs'!$D$9:$D$32,$C$4,'EE Inputs'!$E$9:$E$32,$B184),0,1)))</f>
        <v>0</v>
      </c>
      <c r="BM184" s="72">
        <f ca="1">IF($C$4=Lookups!$D$40,SUM(INDIRECT("'Yr1'!"&amp;ADDRESS(ROW(BM184),COLUMN(BM184))),INDIRECT("'Yr2'!"&amp;ADDRESS(ROW(BM184),COLUMN(BM184))),INDIRECT("'Yr3'!"&amp;ADDRESS(ROW(BM184),COLUMN(BM184)))),
IF(BM170=0,0,-PMT(INDEX(Lookups!$E$17:$G$17,MATCH($C$4,Lookups!$E$14:$G$14,0)),BM170,SUMIFS('EE Inputs'!$W$9:$W$32,'EE Inputs'!$C$9:$C$32,$AM$6,'EE Inputs'!$D$9:$D$32,$C$4,'EE Inputs'!$E$9:$E$32,$B184),0,1)))</f>
        <v>0</v>
      </c>
      <c r="BN184" s="72"/>
      <c r="BO184" s="72">
        <f ca="1">NPV(Lookups!$E$17,AM184:BM184)</f>
        <v>242704.48435234191</v>
      </c>
      <c r="BP184" s="72"/>
      <c r="BS184" s="84" t="s">
        <v>413</v>
      </c>
      <c r="BT184" s="51"/>
    </row>
    <row r="185" spans="1:72" x14ac:dyDescent="0.25">
      <c r="A185" s="246"/>
      <c r="B185" s="243" t="str">
        <f t="shared" ref="B185:C185" si="191">B183</f>
        <v>Small C&amp;I</v>
      </c>
      <c r="C185" s="243" t="str">
        <f t="shared" si="191"/>
        <v>Revenue Requirements</v>
      </c>
      <c r="D185" s="244" t="str">
        <f>D183</f>
        <v>Avoided Costs</v>
      </c>
      <c r="E185" s="86" t="s">
        <v>175</v>
      </c>
      <c r="F185" s="84" t="s">
        <v>32</v>
      </c>
      <c r="G185" s="65">
        <f ca="1">IF($C$4=Lookups!$D$40,SUM(INDIRECT("'Yr1'!"&amp;ADDRESS(ROW(G185),COLUMN(G185))),INDIRECT("'Yr2'!"&amp;ADDRESS(ROW(G185),COLUMN(G185))),INDIRECT("'Yr3'!"&amp;ADDRESS(ROW(G185),COLUMN(G185)))),
IF(G170=0,0,-PMT(INDEX(Lookups!$E$17:$G$17,MATCH($C$4,Lookups!$E$14:$G$14,0)),G170,SUMIFS('EE Inputs'!$K$9:$K$32,'EE Inputs'!$C$9:$C$32,$G$6,'EE Inputs'!$D$9:$D$32,$C$4,'EE Inputs'!$E$9:$E$32,$B185),0,1)))</f>
        <v>0</v>
      </c>
      <c r="H185" s="65">
        <f ca="1">IF($C$4=Lookups!$D$40,SUM(INDIRECT("'Yr1'!"&amp;ADDRESS(ROW(H185),COLUMN(H185))),INDIRECT("'Yr2'!"&amp;ADDRESS(ROW(H185),COLUMN(H185))),INDIRECT("'Yr3'!"&amp;ADDRESS(ROW(H185),COLUMN(H185)))),
IF(H170=0,0,-PMT(INDEX(Lookups!$E$17:$G$17,MATCH($C$4,Lookups!$E$14:$G$14,0)),H170,SUMIFS('EE Inputs'!$K$9:$K$32,'EE Inputs'!$C$9:$C$32,$G$6,'EE Inputs'!$D$9:$D$32,$C$4,'EE Inputs'!$E$9:$E$32,$B185),0,1)))</f>
        <v>0</v>
      </c>
      <c r="I185" s="65">
        <f ca="1">IF($C$4=Lookups!$D$40,SUM(INDIRECT("'Yr1'!"&amp;ADDRESS(ROW(I185),COLUMN(I185))),INDIRECT("'Yr2'!"&amp;ADDRESS(ROW(I185),COLUMN(I185))),INDIRECT("'Yr3'!"&amp;ADDRESS(ROW(I185),COLUMN(I185)))),
IF(I170=0,0,-PMT(INDEX(Lookups!$E$17:$G$17,MATCH($C$4,Lookups!$E$14:$G$14,0)),I170,SUMIFS('EE Inputs'!$K$9:$K$32,'EE Inputs'!$C$9:$C$32,$G$6,'EE Inputs'!$D$9:$D$32,$C$4,'EE Inputs'!$E$9:$E$32,$B185),0,1)))</f>
        <v>9000.4567594990367</v>
      </c>
      <c r="J185" s="65">
        <f ca="1">IF($C$4=Lookups!$D$40,SUM(INDIRECT("'Yr1'!"&amp;ADDRESS(ROW(J185),COLUMN(J185))),INDIRECT("'Yr2'!"&amp;ADDRESS(ROW(J185),COLUMN(J185))),INDIRECT("'Yr3'!"&amp;ADDRESS(ROW(J185),COLUMN(J185)))),
IF(J170=0,0,-PMT(INDEX(Lookups!$E$17:$G$17,MATCH($C$4,Lookups!$E$14:$G$14,0)),J170,SUMIFS('EE Inputs'!$K$9:$K$32,'EE Inputs'!$C$9:$C$32,$G$6,'EE Inputs'!$D$9:$D$32,$C$4,'EE Inputs'!$E$9:$E$32,$B185),0,1)))</f>
        <v>9000.4567594990367</v>
      </c>
      <c r="K185" s="65">
        <f ca="1">IF($C$4=Lookups!$D$40,SUM(INDIRECT("'Yr1'!"&amp;ADDRESS(ROW(K185),COLUMN(K185))),INDIRECT("'Yr2'!"&amp;ADDRESS(ROW(K185),COLUMN(K185))),INDIRECT("'Yr3'!"&amp;ADDRESS(ROW(K185),COLUMN(K185)))),
IF(K170=0,0,-PMT(INDEX(Lookups!$E$17:$G$17,MATCH($C$4,Lookups!$E$14:$G$14,0)),K170,SUMIFS('EE Inputs'!$K$9:$K$32,'EE Inputs'!$C$9:$C$32,$G$6,'EE Inputs'!$D$9:$D$32,$C$4,'EE Inputs'!$E$9:$E$32,$B185),0,1)))</f>
        <v>9000.4567594990367</v>
      </c>
      <c r="L185" s="65">
        <f ca="1">IF($C$4=Lookups!$D$40,SUM(INDIRECT("'Yr1'!"&amp;ADDRESS(ROW(L185),COLUMN(L185))),INDIRECT("'Yr2'!"&amp;ADDRESS(ROW(L185),COLUMN(L185))),INDIRECT("'Yr3'!"&amp;ADDRESS(ROW(L185),COLUMN(L185)))),
IF(L170=0,0,-PMT(INDEX(Lookups!$E$17:$G$17,MATCH($C$4,Lookups!$E$14:$G$14,0)),L170,SUMIFS('EE Inputs'!$K$9:$K$32,'EE Inputs'!$C$9:$C$32,$G$6,'EE Inputs'!$D$9:$D$32,$C$4,'EE Inputs'!$E$9:$E$32,$B185),0,1)))</f>
        <v>9000.4567594990367</v>
      </c>
      <c r="M185" s="65">
        <f ca="1">IF($C$4=Lookups!$D$40,SUM(INDIRECT("'Yr1'!"&amp;ADDRESS(ROW(M185),COLUMN(M185))),INDIRECT("'Yr2'!"&amp;ADDRESS(ROW(M185),COLUMN(M185))),INDIRECT("'Yr3'!"&amp;ADDRESS(ROW(M185),COLUMN(M185)))),
IF(M170=0,0,-PMT(INDEX(Lookups!$E$17:$G$17,MATCH($C$4,Lookups!$E$14:$G$14,0)),M170,SUMIFS('EE Inputs'!$K$9:$K$32,'EE Inputs'!$C$9:$C$32,$G$6,'EE Inputs'!$D$9:$D$32,$C$4,'EE Inputs'!$E$9:$E$32,$B185),0,1)))</f>
        <v>9000.4567594990367</v>
      </c>
      <c r="N185" s="65">
        <f ca="1">IF($C$4=Lookups!$D$40,SUM(INDIRECT("'Yr1'!"&amp;ADDRESS(ROW(N185),COLUMN(N185))),INDIRECT("'Yr2'!"&amp;ADDRESS(ROW(N185),COLUMN(N185))),INDIRECT("'Yr3'!"&amp;ADDRESS(ROW(N185),COLUMN(N185)))),
IF(N170=0,0,-PMT(INDEX(Lookups!$E$17:$G$17,MATCH($C$4,Lookups!$E$14:$G$14,0)),N170,SUMIFS('EE Inputs'!$K$9:$K$32,'EE Inputs'!$C$9:$C$32,$G$6,'EE Inputs'!$D$9:$D$32,$C$4,'EE Inputs'!$E$9:$E$32,$B185),0,1)))</f>
        <v>9000.4567594990367</v>
      </c>
      <c r="O185" s="65">
        <f ca="1">IF($C$4=Lookups!$D$40,SUM(INDIRECT("'Yr1'!"&amp;ADDRESS(ROW(O185),COLUMN(O185))),INDIRECT("'Yr2'!"&amp;ADDRESS(ROW(O185),COLUMN(O185))),INDIRECT("'Yr3'!"&amp;ADDRESS(ROW(O185),COLUMN(O185)))),
IF(O170=0,0,-PMT(INDEX(Lookups!$E$17:$G$17,MATCH($C$4,Lookups!$E$14:$G$14,0)),O170,SUMIFS('EE Inputs'!$K$9:$K$32,'EE Inputs'!$C$9:$C$32,$G$6,'EE Inputs'!$D$9:$D$32,$C$4,'EE Inputs'!$E$9:$E$32,$B185),0,1)))</f>
        <v>9000.4567594990367</v>
      </c>
      <c r="P185" s="65">
        <f ca="1">IF($C$4=Lookups!$D$40,SUM(INDIRECT("'Yr1'!"&amp;ADDRESS(ROW(P185),COLUMN(P185))),INDIRECT("'Yr2'!"&amp;ADDRESS(ROW(P185),COLUMN(P185))),INDIRECT("'Yr3'!"&amp;ADDRESS(ROW(P185),COLUMN(P185)))),
IF(P170=0,0,-PMT(INDEX(Lookups!$E$17:$G$17,MATCH($C$4,Lookups!$E$14:$G$14,0)),P170,SUMIFS('EE Inputs'!$K$9:$K$32,'EE Inputs'!$C$9:$C$32,$G$6,'EE Inputs'!$D$9:$D$32,$C$4,'EE Inputs'!$E$9:$E$32,$B185),0,1)))</f>
        <v>9000.4567594990367</v>
      </c>
      <c r="Q185" s="65">
        <f ca="1">IF($C$4=Lookups!$D$40,SUM(INDIRECT("'Yr1'!"&amp;ADDRESS(ROW(Q185),COLUMN(Q185))),INDIRECT("'Yr2'!"&amp;ADDRESS(ROW(Q185),COLUMN(Q185))),INDIRECT("'Yr3'!"&amp;ADDRESS(ROW(Q185),COLUMN(Q185)))),
IF(Q170=0,0,-PMT(INDEX(Lookups!$E$17:$G$17,MATCH($C$4,Lookups!$E$14:$G$14,0)),Q170,SUMIFS('EE Inputs'!$K$9:$K$32,'EE Inputs'!$C$9:$C$32,$G$6,'EE Inputs'!$D$9:$D$32,$C$4,'EE Inputs'!$E$9:$E$32,$B185),0,1)))</f>
        <v>9000.4567594990367</v>
      </c>
      <c r="R185" s="65">
        <f ca="1">IF($C$4=Lookups!$D$40,SUM(INDIRECT("'Yr1'!"&amp;ADDRESS(ROW(R185),COLUMN(R185))),INDIRECT("'Yr2'!"&amp;ADDRESS(ROW(R185),COLUMN(R185))),INDIRECT("'Yr3'!"&amp;ADDRESS(ROW(R185),COLUMN(R185)))),
IF(R170=0,0,-PMT(INDEX(Lookups!$E$17:$G$17,MATCH($C$4,Lookups!$E$14:$G$14,0)),R170,SUMIFS('EE Inputs'!$K$9:$K$32,'EE Inputs'!$C$9:$C$32,$G$6,'EE Inputs'!$D$9:$D$32,$C$4,'EE Inputs'!$E$9:$E$32,$B185),0,1)))</f>
        <v>9000.4567594990367</v>
      </c>
      <c r="S185" s="65">
        <f ca="1">IF($C$4=Lookups!$D$40,SUM(INDIRECT("'Yr1'!"&amp;ADDRESS(ROW(S185),COLUMN(S185))),INDIRECT("'Yr2'!"&amp;ADDRESS(ROW(S185),COLUMN(S185))),INDIRECT("'Yr3'!"&amp;ADDRESS(ROW(S185),COLUMN(S185)))),
IF(S170=0,0,-PMT(INDEX(Lookups!$E$17:$G$17,MATCH($C$4,Lookups!$E$14:$G$14,0)),S170,SUMIFS('EE Inputs'!$K$9:$K$32,'EE Inputs'!$C$9:$C$32,$G$6,'EE Inputs'!$D$9:$D$32,$C$4,'EE Inputs'!$E$9:$E$32,$B185),0,1)))</f>
        <v>9000.4567594990367</v>
      </c>
      <c r="T185" s="65">
        <f ca="1">IF($C$4=Lookups!$D$40,SUM(INDIRECT("'Yr1'!"&amp;ADDRESS(ROW(T185),COLUMN(T185))),INDIRECT("'Yr2'!"&amp;ADDRESS(ROW(T185),COLUMN(T185))),INDIRECT("'Yr3'!"&amp;ADDRESS(ROW(T185),COLUMN(T185)))),
IF(T170=0,0,-PMT(INDEX(Lookups!$E$17:$G$17,MATCH($C$4,Lookups!$E$14:$G$14,0)),T170,SUMIFS('EE Inputs'!$K$9:$K$32,'EE Inputs'!$C$9:$C$32,$G$6,'EE Inputs'!$D$9:$D$32,$C$4,'EE Inputs'!$E$9:$E$32,$B185),0,1)))</f>
        <v>9000.4567594990367</v>
      </c>
      <c r="U185" s="65">
        <f ca="1">IF($C$4=Lookups!$D$40,SUM(INDIRECT("'Yr1'!"&amp;ADDRESS(ROW(U185),COLUMN(U185))),INDIRECT("'Yr2'!"&amp;ADDRESS(ROW(U185),COLUMN(U185))),INDIRECT("'Yr3'!"&amp;ADDRESS(ROW(U185),COLUMN(U185)))),
IF(U170=0,0,-PMT(INDEX(Lookups!$E$17:$G$17,MATCH($C$4,Lookups!$E$14:$G$14,0)),U170,SUMIFS('EE Inputs'!$K$9:$K$32,'EE Inputs'!$C$9:$C$32,$G$6,'EE Inputs'!$D$9:$D$32,$C$4,'EE Inputs'!$E$9:$E$32,$B185),0,1)))</f>
        <v>9000.4567594990367</v>
      </c>
      <c r="V185" s="65">
        <f ca="1">IF($C$4=Lookups!$D$40,SUM(INDIRECT("'Yr1'!"&amp;ADDRESS(ROW(V185),COLUMN(V185))),INDIRECT("'Yr2'!"&amp;ADDRESS(ROW(V185),COLUMN(V185))),INDIRECT("'Yr3'!"&amp;ADDRESS(ROW(V185),COLUMN(V185)))),
IF(V170=0,0,-PMT(INDEX(Lookups!$E$17:$G$17,MATCH($C$4,Lookups!$E$14:$G$14,0)),V170,SUMIFS('EE Inputs'!$K$9:$K$32,'EE Inputs'!$C$9:$C$32,$G$6,'EE Inputs'!$D$9:$D$32,$C$4,'EE Inputs'!$E$9:$E$32,$B185),0,1)))</f>
        <v>9000.4567594990367</v>
      </c>
      <c r="W185" s="65">
        <f ca="1">IF($C$4=Lookups!$D$40,SUM(INDIRECT("'Yr1'!"&amp;ADDRESS(ROW(W185),COLUMN(W185))),INDIRECT("'Yr2'!"&amp;ADDRESS(ROW(W185),COLUMN(W185))),INDIRECT("'Yr3'!"&amp;ADDRESS(ROW(W185),COLUMN(W185)))),
IF(W170=0,0,-PMT(INDEX(Lookups!$E$17:$G$17,MATCH($C$4,Lookups!$E$14:$G$14,0)),W170,SUMIFS('EE Inputs'!$K$9:$K$32,'EE Inputs'!$C$9:$C$32,$G$6,'EE Inputs'!$D$9:$D$32,$C$4,'EE Inputs'!$E$9:$E$32,$B185),0,1)))</f>
        <v>9000.4567594990367</v>
      </c>
      <c r="X185" s="65">
        <f ca="1">IF($C$4=Lookups!$D$40,SUM(INDIRECT("'Yr1'!"&amp;ADDRESS(ROW(X185),COLUMN(X185))),INDIRECT("'Yr2'!"&amp;ADDRESS(ROW(X185),COLUMN(X185))),INDIRECT("'Yr3'!"&amp;ADDRESS(ROW(X185),COLUMN(X185)))),
IF(X170=0,0,-PMT(INDEX(Lookups!$E$17:$G$17,MATCH($C$4,Lookups!$E$14:$G$14,0)),X170,SUMIFS('EE Inputs'!$K$9:$K$32,'EE Inputs'!$C$9:$C$32,$G$6,'EE Inputs'!$D$9:$D$32,$C$4,'EE Inputs'!$E$9:$E$32,$B185),0,1)))</f>
        <v>9000.4567594990367</v>
      </c>
      <c r="Y185" s="65">
        <f ca="1">IF($C$4=Lookups!$D$40,SUM(INDIRECT("'Yr1'!"&amp;ADDRESS(ROW(Y185),COLUMN(Y185))),INDIRECT("'Yr2'!"&amp;ADDRESS(ROW(Y185),COLUMN(Y185))),INDIRECT("'Yr3'!"&amp;ADDRESS(ROW(Y185),COLUMN(Y185)))),
IF(Y170=0,0,-PMT(INDEX(Lookups!$E$17:$G$17,MATCH($C$4,Lookups!$E$14:$G$14,0)),Y170,SUMIFS('EE Inputs'!$K$9:$K$32,'EE Inputs'!$C$9:$C$32,$G$6,'EE Inputs'!$D$9:$D$32,$C$4,'EE Inputs'!$E$9:$E$32,$B185),0,1)))</f>
        <v>0</v>
      </c>
      <c r="Z185" s="65">
        <f ca="1">IF($C$4=Lookups!$D$40,SUM(INDIRECT("'Yr1'!"&amp;ADDRESS(ROW(Z185),COLUMN(Z185))),INDIRECT("'Yr2'!"&amp;ADDRESS(ROW(Z185),COLUMN(Z185))),INDIRECT("'Yr3'!"&amp;ADDRESS(ROW(Z185),COLUMN(Z185)))),
IF(Z170=0,0,-PMT(INDEX(Lookups!$E$17:$G$17,MATCH($C$4,Lookups!$E$14:$G$14,0)),Z170,SUMIFS('EE Inputs'!$K$9:$K$32,'EE Inputs'!$C$9:$C$32,$G$6,'EE Inputs'!$D$9:$D$32,$C$4,'EE Inputs'!$E$9:$E$32,$B185),0,1)))</f>
        <v>0</v>
      </c>
      <c r="AA185" s="65">
        <f ca="1">IF($C$4=Lookups!$D$40,SUM(INDIRECT("'Yr1'!"&amp;ADDRESS(ROW(AA185),COLUMN(AA185))),INDIRECT("'Yr2'!"&amp;ADDRESS(ROW(AA185),COLUMN(AA185))),INDIRECT("'Yr3'!"&amp;ADDRESS(ROW(AA185),COLUMN(AA185)))),
IF(AA170=0,0,-PMT(INDEX(Lookups!$E$17:$G$17,MATCH($C$4,Lookups!$E$14:$G$14,0)),AA170,SUMIFS('EE Inputs'!$K$9:$K$32,'EE Inputs'!$C$9:$C$32,$G$6,'EE Inputs'!$D$9:$D$32,$C$4,'EE Inputs'!$E$9:$E$32,$B185),0,1)))</f>
        <v>0</v>
      </c>
      <c r="AB185" s="65">
        <f ca="1">IF($C$4=Lookups!$D$40,SUM(INDIRECT("'Yr1'!"&amp;ADDRESS(ROW(AB185),COLUMN(AB185))),INDIRECT("'Yr2'!"&amp;ADDRESS(ROW(AB185),COLUMN(AB185))),INDIRECT("'Yr3'!"&amp;ADDRESS(ROW(AB185),COLUMN(AB185)))),
IF(AB170=0,0,-PMT(INDEX(Lookups!$E$17:$G$17,MATCH($C$4,Lookups!$E$14:$G$14,0)),AB170,SUMIFS('EE Inputs'!$K$9:$K$32,'EE Inputs'!$C$9:$C$32,$G$6,'EE Inputs'!$D$9:$D$32,$C$4,'EE Inputs'!$E$9:$E$32,$B185),0,1)))</f>
        <v>0</v>
      </c>
      <c r="AC185" s="65">
        <f ca="1">IF($C$4=Lookups!$D$40,SUM(INDIRECT("'Yr1'!"&amp;ADDRESS(ROW(AC185),COLUMN(AC185))),INDIRECT("'Yr2'!"&amp;ADDRESS(ROW(AC185),COLUMN(AC185))),INDIRECT("'Yr3'!"&amp;ADDRESS(ROW(AC185),COLUMN(AC185)))),
IF(AC170=0,0,-PMT(INDEX(Lookups!$E$17:$G$17,MATCH($C$4,Lookups!$E$14:$G$14,0)),AC170,SUMIFS('EE Inputs'!$K$9:$K$32,'EE Inputs'!$C$9:$C$32,$G$6,'EE Inputs'!$D$9:$D$32,$C$4,'EE Inputs'!$E$9:$E$32,$B185),0,1)))</f>
        <v>0</v>
      </c>
      <c r="AD185" s="65">
        <f ca="1">IF($C$4=Lookups!$D$40,SUM(INDIRECT("'Yr1'!"&amp;ADDRESS(ROW(AD185),COLUMN(AD185))),INDIRECT("'Yr2'!"&amp;ADDRESS(ROW(AD185),COLUMN(AD185))),INDIRECT("'Yr3'!"&amp;ADDRESS(ROW(AD185),COLUMN(AD185)))),
IF(AD170=0,0,-PMT(INDEX(Lookups!$E$17:$G$17,MATCH($C$4,Lookups!$E$14:$G$14,0)),AD170,SUMIFS('EE Inputs'!$K$9:$K$32,'EE Inputs'!$C$9:$C$32,$G$6,'EE Inputs'!$D$9:$D$32,$C$4,'EE Inputs'!$E$9:$E$32,$B185),0,1)))</f>
        <v>0</v>
      </c>
      <c r="AE185" s="65">
        <f ca="1">IF($C$4=Lookups!$D$40,SUM(INDIRECT("'Yr1'!"&amp;ADDRESS(ROW(AE185),COLUMN(AE185))),INDIRECT("'Yr2'!"&amp;ADDRESS(ROW(AE185),COLUMN(AE185))),INDIRECT("'Yr3'!"&amp;ADDRESS(ROW(AE185),COLUMN(AE185)))),
IF(AE170=0,0,-PMT(INDEX(Lookups!$E$17:$G$17,MATCH($C$4,Lookups!$E$14:$G$14,0)),AE170,SUMIFS('EE Inputs'!$K$9:$K$32,'EE Inputs'!$C$9:$C$32,$G$6,'EE Inputs'!$D$9:$D$32,$C$4,'EE Inputs'!$E$9:$E$32,$B185),0,1)))</f>
        <v>0</v>
      </c>
      <c r="AF185" s="65">
        <f ca="1">IF($C$4=Lookups!$D$40,SUM(INDIRECT("'Yr1'!"&amp;ADDRESS(ROW(AF185),COLUMN(AF185))),INDIRECT("'Yr2'!"&amp;ADDRESS(ROW(AF185),COLUMN(AF185))),INDIRECT("'Yr3'!"&amp;ADDRESS(ROW(AF185),COLUMN(AF185)))),
IF(AF170=0,0,-PMT(INDEX(Lookups!$E$17:$G$17,MATCH($C$4,Lookups!$E$14:$G$14,0)),AF170,SUMIFS('EE Inputs'!$K$9:$K$32,'EE Inputs'!$C$9:$C$32,$G$6,'EE Inputs'!$D$9:$D$32,$C$4,'EE Inputs'!$E$9:$E$32,$B185),0,1)))</f>
        <v>0</v>
      </c>
      <c r="AG185" s="65">
        <f ca="1">IF($C$4=Lookups!$D$40,SUM(INDIRECT("'Yr1'!"&amp;ADDRESS(ROW(AG185),COLUMN(AG185))),INDIRECT("'Yr2'!"&amp;ADDRESS(ROW(AG185),COLUMN(AG185))),INDIRECT("'Yr3'!"&amp;ADDRESS(ROW(AG185),COLUMN(AG185)))),
IF(AG170=0,0,-PMT(INDEX(Lookups!$E$17:$G$17,MATCH($C$4,Lookups!$E$14:$G$14,0)),AG170,SUMIFS('EE Inputs'!$K$9:$K$32,'EE Inputs'!$C$9:$C$32,$G$6,'EE Inputs'!$D$9:$D$32,$C$4,'EE Inputs'!$E$9:$E$32,$B185),0,1)))</f>
        <v>0</v>
      </c>
      <c r="AH185" s="65"/>
      <c r="AI185" s="65">
        <f ca="1">NPV(Lookups!$E$17,G185:AG185)</f>
        <v>124522.64493884645</v>
      </c>
      <c r="AJ185" s="65"/>
      <c r="AM185" s="72">
        <f ca="1">IF($C$4=Lookups!$D$40,SUM(INDIRECT("'Yr1'!"&amp;ADDRESS(ROW(AM185),COLUMN(AM185))),INDIRECT("'Yr2'!"&amp;ADDRESS(ROW(AM185),COLUMN(AM185))),INDIRECT("'Yr3'!"&amp;ADDRESS(ROW(AM185),COLUMN(AM185)))),
IF(AM170=0,0,-PMT(INDEX(Lookups!$E$17:$G$17,MATCH($C$4,Lookups!$E$14:$G$14,0)),AM170,SUMIFS('EE Inputs'!$K$9:$K$32,'EE Inputs'!$C$9:$C$32,$AM$6,'EE Inputs'!$D$9:$D$32,$C$4,'EE Inputs'!$E$9:$E$32,$B185),0,1)))</f>
        <v>0</v>
      </c>
      <c r="AN185" s="72">
        <f ca="1">IF($C$4=Lookups!$D$40,SUM(INDIRECT("'Yr1'!"&amp;ADDRESS(ROW(AN185),COLUMN(AN185))),INDIRECT("'Yr2'!"&amp;ADDRESS(ROW(AN185),COLUMN(AN185))),INDIRECT("'Yr3'!"&amp;ADDRESS(ROW(AN185),COLUMN(AN185)))),
IF(AN170=0,0,-PMT(INDEX(Lookups!$E$17:$G$17,MATCH($C$4,Lookups!$E$14:$G$14,0)),AN170,SUMIFS('EE Inputs'!$K$9:$K$32,'EE Inputs'!$C$9:$C$32,$AM$6,'EE Inputs'!$D$9:$D$32,$C$4,'EE Inputs'!$E$9:$E$32,$B185),0,1)))</f>
        <v>0</v>
      </c>
      <c r="AO185" s="72">
        <f ca="1">IF($C$4=Lookups!$D$40,SUM(INDIRECT("'Yr1'!"&amp;ADDRESS(ROW(AO185),COLUMN(AO185))),INDIRECT("'Yr2'!"&amp;ADDRESS(ROW(AO185),COLUMN(AO185))),INDIRECT("'Yr3'!"&amp;ADDRESS(ROW(AO185),COLUMN(AO185)))),
IF(AO170=0,0,-PMT(INDEX(Lookups!$E$17:$G$17,MATCH($C$4,Lookups!$E$14:$G$14,0)),AO170,SUMIFS('EE Inputs'!$K$9:$K$32,'EE Inputs'!$C$9:$C$32,$AM$6,'EE Inputs'!$D$9:$D$32,$C$4,'EE Inputs'!$E$9:$E$32,$B185),0,1)))</f>
        <v>10286.236296570327</v>
      </c>
      <c r="AP185" s="72">
        <f ca="1">IF($C$4=Lookups!$D$40,SUM(INDIRECT("'Yr1'!"&amp;ADDRESS(ROW(AP185),COLUMN(AP185))),INDIRECT("'Yr2'!"&amp;ADDRESS(ROW(AP185),COLUMN(AP185))),INDIRECT("'Yr3'!"&amp;ADDRESS(ROW(AP185),COLUMN(AP185)))),
IF(AP170=0,0,-PMT(INDEX(Lookups!$E$17:$G$17,MATCH($C$4,Lookups!$E$14:$G$14,0)),AP170,SUMIFS('EE Inputs'!$K$9:$K$32,'EE Inputs'!$C$9:$C$32,$AM$6,'EE Inputs'!$D$9:$D$32,$C$4,'EE Inputs'!$E$9:$E$32,$B185),0,1)))</f>
        <v>10286.236296570327</v>
      </c>
      <c r="AQ185" s="72">
        <f ca="1">IF($C$4=Lookups!$D$40,SUM(INDIRECT("'Yr1'!"&amp;ADDRESS(ROW(AQ185),COLUMN(AQ185))),INDIRECT("'Yr2'!"&amp;ADDRESS(ROW(AQ185),COLUMN(AQ185))),INDIRECT("'Yr3'!"&amp;ADDRESS(ROW(AQ185),COLUMN(AQ185)))),
IF(AQ170=0,0,-PMT(INDEX(Lookups!$E$17:$G$17,MATCH($C$4,Lookups!$E$14:$G$14,0)),AQ170,SUMIFS('EE Inputs'!$K$9:$K$32,'EE Inputs'!$C$9:$C$32,$AM$6,'EE Inputs'!$D$9:$D$32,$C$4,'EE Inputs'!$E$9:$E$32,$B185),0,1)))</f>
        <v>10286.236296570327</v>
      </c>
      <c r="AR185" s="72">
        <f ca="1">IF($C$4=Lookups!$D$40,SUM(INDIRECT("'Yr1'!"&amp;ADDRESS(ROW(AR185),COLUMN(AR185))),INDIRECT("'Yr2'!"&amp;ADDRESS(ROW(AR185),COLUMN(AR185))),INDIRECT("'Yr3'!"&amp;ADDRESS(ROW(AR185),COLUMN(AR185)))),
IF(AR170=0,0,-PMT(INDEX(Lookups!$E$17:$G$17,MATCH($C$4,Lookups!$E$14:$G$14,0)),AR170,SUMIFS('EE Inputs'!$K$9:$K$32,'EE Inputs'!$C$9:$C$32,$AM$6,'EE Inputs'!$D$9:$D$32,$C$4,'EE Inputs'!$E$9:$E$32,$B185),0,1)))</f>
        <v>10286.236296570327</v>
      </c>
      <c r="AS185" s="72">
        <f ca="1">IF($C$4=Lookups!$D$40,SUM(INDIRECT("'Yr1'!"&amp;ADDRESS(ROW(AS185),COLUMN(AS185))),INDIRECT("'Yr2'!"&amp;ADDRESS(ROW(AS185),COLUMN(AS185))),INDIRECT("'Yr3'!"&amp;ADDRESS(ROW(AS185),COLUMN(AS185)))),
IF(AS170=0,0,-PMT(INDEX(Lookups!$E$17:$G$17,MATCH($C$4,Lookups!$E$14:$G$14,0)),AS170,SUMIFS('EE Inputs'!$K$9:$K$32,'EE Inputs'!$C$9:$C$32,$AM$6,'EE Inputs'!$D$9:$D$32,$C$4,'EE Inputs'!$E$9:$E$32,$B185),0,1)))</f>
        <v>10286.236296570327</v>
      </c>
      <c r="AT185" s="72">
        <f ca="1">IF($C$4=Lookups!$D$40,SUM(INDIRECT("'Yr1'!"&amp;ADDRESS(ROW(AT185),COLUMN(AT185))),INDIRECT("'Yr2'!"&amp;ADDRESS(ROW(AT185),COLUMN(AT185))),INDIRECT("'Yr3'!"&amp;ADDRESS(ROW(AT185),COLUMN(AT185)))),
IF(AT170=0,0,-PMT(INDEX(Lookups!$E$17:$G$17,MATCH($C$4,Lookups!$E$14:$G$14,0)),AT170,SUMIFS('EE Inputs'!$K$9:$K$32,'EE Inputs'!$C$9:$C$32,$AM$6,'EE Inputs'!$D$9:$D$32,$C$4,'EE Inputs'!$E$9:$E$32,$B185),0,1)))</f>
        <v>10286.236296570327</v>
      </c>
      <c r="AU185" s="72">
        <f ca="1">IF($C$4=Lookups!$D$40,SUM(INDIRECT("'Yr1'!"&amp;ADDRESS(ROW(AU185),COLUMN(AU185))),INDIRECT("'Yr2'!"&amp;ADDRESS(ROW(AU185),COLUMN(AU185))),INDIRECT("'Yr3'!"&amp;ADDRESS(ROW(AU185),COLUMN(AU185)))),
IF(AU170=0,0,-PMT(INDEX(Lookups!$E$17:$G$17,MATCH($C$4,Lookups!$E$14:$G$14,0)),AU170,SUMIFS('EE Inputs'!$K$9:$K$32,'EE Inputs'!$C$9:$C$32,$AM$6,'EE Inputs'!$D$9:$D$32,$C$4,'EE Inputs'!$E$9:$E$32,$B185),0,1)))</f>
        <v>10286.236296570327</v>
      </c>
      <c r="AV185" s="72">
        <f ca="1">IF($C$4=Lookups!$D$40,SUM(INDIRECT("'Yr1'!"&amp;ADDRESS(ROW(AV185),COLUMN(AV185))),INDIRECT("'Yr2'!"&amp;ADDRESS(ROW(AV185),COLUMN(AV185))),INDIRECT("'Yr3'!"&amp;ADDRESS(ROW(AV185),COLUMN(AV185)))),
IF(AV170=0,0,-PMT(INDEX(Lookups!$E$17:$G$17,MATCH($C$4,Lookups!$E$14:$G$14,0)),AV170,SUMIFS('EE Inputs'!$K$9:$K$32,'EE Inputs'!$C$9:$C$32,$AM$6,'EE Inputs'!$D$9:$D$32,$C$4,'EE Inputs'!$E$9:$E$32,$B185),0,1)))</f>
        <v>10286.236296570327</v>
      </c>
      <c r="AW185" s="72">
        <f ca="1">IF($C$4=Lookups!$D$40,SUM(INDIRECT("'Yr1'!"&amp;ADDRESS(ROW(AW185),COLUMN(AW185))),INDIRECT("'Yr2'!"&amp;ADDRESS(ROW(AW185),COLUMN(AW185))),INDIRECT("'Yr3'!"&amp;ADDRESS(ROW(AW185),COLUMN(AW185)))),
IF(AW170=0,0,-PMT(INDEX(Lookups!$E$17:$G$17,MATCH($C$4,Lookups!$E$14:$G$14,0)),AW170,SUMIFS('EE Inputs'!$K$9:$K$32,'EE Inputs'!$C$9:$C$32,$AM$6,'EE Inputs'!$D$9:$D$32,$C$4,'EE Inputs'!$E$9:$E$32,$B185),0,1)))</f>
        <v>10286.236296570327</v>
      </c>
      <c r="AX185" s="72">
        <f ca="1">IF($C$4=Lookups!$D$40,SUM(INDIRECT("'Yr1'!"&amp;ADDRESS(ROW(AX185),COLUMN(AX185))),INDIRECT("'Yr2'!"&amp;ADDRESS(ROW(AX185),COLUMN(AX185))),INDIRECT("'Yr3'!"&amp;ADDRESS(ROW(AX185),COLUMN(AX185)))),
IF(AX170=0,0,-PMT(INDEX(Lookups!$E$17:$G$17,MATCH($C$4,Lookups!$E$14:$G$14,0)),AX170,SUMIFS('EE Inputs'!$K$9:$K$32,'EE Inputs'!$C$9:$C$32,$AM$6,'EE Inputs'!$D$9:$D$32,$C$4,'EE Inputs'!$E$9:$E$32,$B185),0,1)))</f>
        <v>10286.236296570327</v>
      </c>
      <c r="AY185" s="72">
        <f ca="1">IF($C$4=Lookups!$D$40,SUM(INDIRECT("'Yr1'!"&amp;ADDRESS(ROW(AY185),COLUMN(AY185))),INDIRECT("'Yr2'!"&amp;ADDRESS(ROW(AY185),COLUMN(AY185))),INDIRECT("'Yr3'!"&amp;ADDRESS(ROW(AY185),COLUMN(AY185)))),
IF(AY170=0,0,-PMT(INDEX(Lookups!$E$17:$G$17,MATCH($C$4,Lookups!$E$14:$G$14,0)),AY170,SUMIFS('EE Inputs'!$K$9:$K$32,'EE Inputs'!$C$9:$C$32,$AM$6,'EE Inputs'!$D$9:$D$32,$C$4,'EE Inputs'!$E$9:$E$32,$B185),0,1)))</f>
        <v>10286.236296570327</v>
      </c>
      <c r="AZ185" s="72">
        <f ca="1">IF($C$4=Lookups!$D$40,SUM(INDIRECT("'Yr1'!"&amp;ADDRESS(ROW(AZ185),COLUMN(AZ185))),INDIRECT("'Yr2'!"&amp;ADDRESS(ROW(AZ185),COLUMN(AZ185))),INDIRECT("'Yr3'!"&amp;ADDRESS(ROW(AZ185),COLUMN(AZ185)))),
IF(AZ170=0,0,-PMT(INDEX(Lookups!$E$17:$G$17,MATCH($C$4,Lookups!$E$14:$G$14,0)),AZ170,SUMIFS('EE Inputs'!$K$9:$K$32,'EE Inputs'!$C$9:$C$32,$AM$6,'EE Inputs'!$D$9:$D$32,$C$4,'EE Inputs'!$E$9:$E$32,$B185),0,1)))</f>
        <v>10286.236296570327</v>
      </c>
      <c r="BA185" s="72">
        <f ca="1">IF($C$4=Lookups!$D$40,SUM(INDIRECT("'Yr1'!"&amp;ADDRESS(ROW(BA185),COLUMN(BA185))),INDIRECT("'Yr2'!"&amp;ADDRESS(ROW(BA185),COLUMN(BA185))),INDIRECT("'Yr3'!"&amp;ADDRESS(ROW(BA185),COLUMN(BA185)))),
IF(BA170=0,0,-PMT(INDEX(Lookups!$E$17:$G$17,MATCH($C$4,Lookups!$E$14:$G$14,0)),BA170,SUMIFS('EE Inputs'!$K$9:$K$32,'EE Inputs'!$C$9:$C$32,$AM$6,'EE Inputs'!$D$9:$D$32,$C$4,'EE Inputs'!$E$9:$E$32,$B185),0,1)))</f>
        <v>10286.236296570327</v>
      </c>
      <c r="BB185" s="72">
        <f ca="1">IF($C$4=Lookups!$D$40,SUM(INDIRECT("'Yr1'!"&amp;ADDRESS(ROW(BB185),COLUMN(BB185))),INDIRECT("'Yr2'!"&amp;ADDRESS(ROW(BB185),COLUMN(BB185))),INDIRECT("'Yr3'!"&amp;ADDRESS(ROW(BB185),COLUMN(BB185)))),
IF(BB170=0,0,-PMT(INDEX(Lookups!$E$17:$G$17,MATCH($C$4,Lookups!$E$14:$G$14,0)),BB170,SUMIFS('EE Inputs'!$K$9:$K$32,'EE Inputs'!$C$9:$C$32,$AM$6,'EE Inputs'!$D$9:$D$32,$C$4,'EE Inputs'!$E$9:$E$32,$B185),0,1)))</f>
        <v>10286.236296570327</v>
      </c>
      <c r="BC185" s="72">
        <f ca="1">IF($C$4=Lookups!$D$40,SUM(INDIRECT("'Yr1'!"&amp;ADDRESS(ROW(BC185),COLUMN(BC185))),INDIRECT("'Yr2'!"&amp;ADDRESS(ROW(BC185),COLUMN(BC185))),INDIRECT("'Yr3'!"&amp;ADDRESS(ROW(BC185),COLUMN(BC185)))),
IF(BC170=0,0,-PMT(INDEX(Lookups!$E$17:$G$17,MATCH($C$4,Lookups!$E$14:$G$14,0)),BC170,SUMIFS('EE Inputs'!$K$9:$K$32,'EE Inputs'!$C$9:$C$32,$AM$6,'EE Inputs'!$D$9:$D$32,$C$4,'EE Inputs'!$E$9:$E$32,$B185),0,1)))</f>
        <v>10286.236296570327</v>
      </c>
      <c r="BD185" s="72">
        <f ca="1">IF($C$4=Lookups!$D$40,SUM(INDIRECT("'Yr1'!"&amp;ADDRESS(ROW(BD185),COLUMN(BD185))),INDIRECT("'Yr2'!"&amp;ADDRESS(ROW(BD185),COLUMN(BD185))),INDIRECT("'Yr3'!"&amp;ADDRESS(ROW(BD185),COLUMN(BD185)))),
IF(BD170=0,0,-PMT(INDEX(Lookups!$E$17:$G$17,MATCH($C$4,Lookups!$E$14:$G$14,0)),BD170,SUMIFS('EE Inputs'!$K$9:$K$32,'EE Inputs'!$C$9:$C$32,$AM$6,'EE Inputs'!$D$9:$D$32,$C$4,'EE Inputs'!$E$9:$E$32,$B185),0,1)))</f>
        <v>10286.236296570327</v>
      </c>
      <c r="BE185" s="72">
        <f ca="1">IF($C$4=Lookups!$D$40,SUM(INDIRECT("'Yr1'!"&amp;ADDRESS(ROW(BE185),COLUMN(BE185))),INDIRECT("'Yr2'!"&amp;ADDRESS(ROW(BE185),COLUMN(BE185))),INDIRECT("'Yr3'!"&amp;ADDRESS(ROW(BE185),COLUMN(BE185)))),
IF(BE170=0,0,-PMT(INDEX(Lookups!$E$17:$G$17,MATCH($C$4,Lookups!$E$14:$G$14,0)),BE170,SUMIFS('EE Inputs'!$K$9:$K$32,'EE Inputs'!$C$9:$C$32,$AM$6,'EE Inputs'!$D$9:$D$32,$C$4,'EE Inputs'!$E$9:$E$32,$B185),0,1)))</f>
        <v>0</v>
      </c>
      <c r="BF185" s="72">
        <f ca="1">IF($C$4=Lookups!$D$40,SUM(INDIRECT("'Yr1'!"&amp;ADDRESS(ROW(BF185),COLUMN(BF185))),INDIRECT("'Yr2'!"&amp;ADDRESS(ROW(BF185),COLUMN(BF185))),INDIRECT("'Yr3'!"&amp;ADDRESS(ROW(BF185),COLUMN(BF185)))),
IF(BF170=0,0,-PMT(INDEX(Lookups!$E$17:$G$17,MATCH($C$4,Lookups!$E$14:$G$14,0)),BF170,SUMIFS('EE Inputs'!$K$9:$K$32,'EE Inputs'!$C$9:$C$32,$AM$6,'EE Inputs'!$D$9:$D$32,$C$4,'EE Inputs'!$E$9:$E$32,$B185),0,1)))</f>
        <v>0</v>
      </c>
      <c r="BG185" s="72">
        <f ca="1">IF($C$4=Lookups!$D$40,SUM(INDIRECT("'Yr1'!"&amp;ADDRESS(ROW(BG185),COLUMN(BG185))),INDIRECT("'Yr2'!"&amp;ADDRESS(ROW(BG185),COLUMN(BG185))),INDIRECT("'Yr3'!"&amp;ADDRESS(ROW(BG185),COLUMN(BG185)))),
IF(BG170=0,0,-PMT(INDEX(Lookups!$E$17:$G$17,MATCH($C$4,Lookups!$E$14:$G$14,0)),BG170,SUMIFS('EE Inputs'!$K$9:$K$32,'EE Inputs'!$C$9:$C$32,$AM$6,'EE Inputs'!$D$9:$D$32,$C$4,'EE Inputs'!$E$9:$E$32,$B185),0,1)))</f>
        <v>0</v>
      </c>
      <c r="BH185" s="72">
        <f ca="1">IF($C$4=Lookups!$D$40,SUM(INDIRECT("'Yr1'!"&amp;ADDRESS(ROW(BH185),COLUMN(BH185))),INDIRECT("'Yr2'!"&amp;ADDRESS(ROW(BH185),COLUMN(BH185))),INDIRECT("'Yr3'!"&amp;ADDRESS(ROW(BH185),COLUMN(BH185)))),
IF(BH170=0,0,-PMT(INDEX(Lookups!$E$17:$G$17,MATCH($C$4,Lookups!$E$14:$G$14,0)),BH170,SUMIFS('EE Inputs'!$K$9:$K$32,'EE Inputs'!$C$9:$C$32,$AM$6,'EE Inputs'!$D$9:$D$32,$C$4,'EE Inputs'!$E$9:$E$32,$B185),0,1)))</f>
        <v>0</v>
      </c>
      <c r="BI185" s="72">
        <f ca="1">IF($C$4=Lookups!$D$40,SUM(INDIRECT("'Yr1'!"&amp;ADDRESS(ROW(BI185),COLUMN(BI185))),INDIRECT("'Yr2'!"&amp;ADDRESS(ROW(BI185),COLUMN(BI185))),INDIRECT("'Yr3'!"&amp;ADDRESS(ROW(BI185),COLUMN(BI185)))),
IF(BI170=0,0,-PMT(INDEX(Lookups!$E$17:$G$17,MATCH($C$4,Lookups!$E$14:$G$14,0)),BI170,SUMIFS('EE Inputs'!$K$9:$K$32,'EE Inputs'!$C$9:$C$32,$AM$6,'EE Inputs'!$D$9:$D$32,$C$4,'EE Inputs'!$E$9:$E$32,$B185),0,1)))</f>
        <v>0</v>
      </c>
      <c r="BJ185" s="72">
        <f ca="1">IF($C$4=Lookups!$D$40,SUM(INDIRECT("'Yr1'!"&amp;ADDRESS(ROW(BJ185),COLUMN(BJ185))),INDIRECT("'Yr2'!"&amp;ADDRESS(ROW(BJ185),COLUMN(BJ185))),INDIRECT("'Yr3'!"&amp;ADDRESS(ROW(BJ185),COLUMN(BJ185)))),
IF(BJ170=0,0,-PMT(INDEX(Lookups!$E$17:$G$17,MATCH($C$4,Lookups!$E$14:$G$14,0)),BJ170,SUMIFS('EE Inputs'!$K$9:$K$32,'EE Inputs'!$C$9:$C$32,$AM$6,'EE Inputs'!$D$9:$D$32,$C$4,'EE Inputs'!$E$9:$E$32,$B185),0,1)))</f>
        <v>0</v>
      </c>
      <c r="BK185" s="72">
        <f ca="1">IF($C$4=Lookups!$D$40,SUM(INDIRECT("'Yr1'!"&amp;ADDRESS(ROW(BK185),COLUMN(BK185))),INDIRECT("'Yr2'!"&amp;ADDRESS(ROW(BK185),COLUMN(BK185))),INDIRECT("'Yr3'!"&amp;ADDRESS(ROW(BK185),COLUMN(BK185)))),
IF(BK170=0,0,-PMT(INDEX(Lookups!$E$17:$G$17,MATCH($C$4,Lookups!$E$14:$G$14,0)),BK170,SUMIFS('EE Inputs'!$K$9:$K$32,'EE Inputs'!$C$9:$C$32,$AM$6,'EE Inputs'!$D$9:$D$32,$C$4,'EE Inputs'!$E$9:$E$32,$B185),0,1)))</f>
        <v>0</v>
      </c>
      <c r="BL185" s="72">
        <f ca="1">IF($C$4=Lookups!$D$40,SUM(INDIRECT("'Yr1'!"&amp;ADDRESS(ROW(BL185),COLUMN(BL185))),INDIRECT("'Yr2'!"&amp;ADDRESS(ROW(BL185),COLUMN(BL185))),INDIRECT("'Yr3'!"&amp;ADDRESS(ROW(BL185),COLUMN(BL185)))),
IF(BL170=0,0,-PMT(INDEX(Lookups!$E$17:$G$17,MATCH($C$4,Lookups!$E$14:$G$14,0)),BL170,SUMIFS('EE Inputs'!$K$9:$K$32,'EE Inputs'!$C$9:$C$32,$AM$6,'EE Inputs'!$D$9:$D$32,$C$4,'EE Inputs'!$E$9:$E$32,$B185),0,1)))</f>
        <v>0</v>
      </c>
      <c r="BM185" s="72">
        <f ca="1">IF($C$4=Lookups!$D$40,SUM(INDIRECT("'Yr1'!"&amp;ADDRESS(ROW(BM185),COLUMN(BM185))),INDIRECT("'Yr2'!"&amp;ADDRESS(ROW(BM185),COLUMN(BM185))),INDIRECT("'Yr3'!"&amp;ADDRESS(ROW(BM185),COLUMN(BM185)))),
IF(BM170=0,0,-PMT(INDEX(Lookups!$E$17:$G$17,MATCH($C$4,Lookups!$E$14:$G$14,0)),BM170,SUMIFS('EE Inputs'!$K$9:$K$32,'EE Inputs'!$C$9:$C$32,$AM$6,'EE Inputs'!$D$9:$D$32,$C$4,'EE Inputs'!$E$9:$E$32,$B185),0,1)))</f>
        <v>0</v>
      </c>
      <c r="BN185" s="72"/>
      <c r="BO185" s="72">
        <f ca="1">NPV(Lookups!$E$17,AM185:BM185)</f>
        <v>142311.59421582453</v>
      </c>
      <c r="BP185" s="72"/>
      <c r="BS185" s="84" t="str">
        <f>"Avoided "&amp;E185&amp;" costs."</f>
        <v>Avoided Gas DRIPE costs.</v>
      </c>
      <c r="BT185" s="51" t="s">
        <v>17</v>
      </c>
    </row>
    <row r="186" spans="1:72" x14ac:dyDescent="0.25">
      <c r="B186" s="243" t="str">
        <f t="shared" ref="B186:C188" si="192">B185</f>
        <v>Small C&amp;I</v>
      </c>
      <c r="C186" s="243" t="str">
        <f t="shared" si="192"/>
        <v>Revenue Requirements</v>
      </c>
      <c r="D186" s="114" t="s">
        <v>165</v>
      </c>
      <c r="E186" s="84"/>
      <c r="F186" s="84"/>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S186" s="84"/>
      <c r="BT186" s="51" t="s">
        <v>17</v>
      </c>
    </row>
    <row r="187" spans="1:72" x14ac:dyDescent="0.25">
      <c r="A187" s="476"/>
      <c r="B187" s="243" t="str">
        <f t="shared" si="192"/>
        <v>Small C&amp;I</v>
      </c>
      <c r="C187" s="243" t="str">
        <f t="shared" si="192"/>
        <v>Revenue Requirements</v>
      </c>
      <c r="D187" s="244" t="str">
        <f>D186</f>
        <v>Increased Costs and Cost Shifting</v>
      </c>
      <c r="E187" s="84" t="s">
        <v>406</v>
      </c>
      <c r="F187" s="84" t="s">
        <v>32</v>
      </c>
      <c r="G187" s="64">
        <f ca="1">IF($C$4=Lookups!$D$40,SUM(INDIRECT("'Yr1'!"&amp;ADDRESS(ROW(G187),COLUMN(G187))),INDIRECT("'Yr2'!"&amp;ADDRESS(ROW(G187),COLUMN(G187))),INDIRECT("'Yr3'!"&amp;ADDRESS(ROW(G187),COLUMN(G187)))),
IF($C$4=G$7,G207*G175,0))</f>
        <v>0</v>
      </c>
      <c r="H187" s="64">
        <f ca="1">IF($C$4=Lookups!$D$40,SUM(INDIRECT("'Yr1'!"&amp;ADDRESS(ROW(H187),COLUMN(H187))),INDIRECT("'Yr2'!"&amp;ADDRESS(ROW(H187),COLUMN(H187))),INDIRECT("'Yr3'!"&amp;ADDRESS(ROW(H187),COLUMN(H187)))),
IF($C$4=H$7,H207*H175,0))</f>
        <v>0</v>
      </c>
      <c r="I187" s="64">
        <f ca="1">IF($C$4=Lookups!$D$40,SUM(INDIRECT("'Yr1'!"&amp;ADDRESS(ROW(I187),COLUMN(I187))),INDIRECT("'Yr2'!"&amp;ADDRESS(ROW(I187),COLUMN(I187))),INDIRECT("'Yr3'!"&amp;ADDRESS(ROW(I187),COLUMN(I187)))),
IF($C$4=I$7,I207*I175,0))</f>
        <v>3329799.6840217798</v>
      </c>
      <c r="J187" s="64">
        <f ca="1">IF($C$4=Lookups!$D$40,SUM(INDIRECT("'Yr1'!"&amp;ADDRESS(ROW(J187),COLUMN(J187))),INDIRECT("'Yr2'!"&amp;ADDRESS(ROW(J187),COLUMN(J187))),INDIRECT("'Yr3'!"&amp;ADDRESS(ROW(J187),COLUMN(J187)))),
IF($C$4=J$7,J207*J175,0))</f>
        <v>0</v>
      </c>
      <c r="K187" s="64">
        <f ca="1">IF($C$4=Lookups!$D$40,SUM(INDIRECT("'Yr1'!"&amp;ADDRESS(ROW(K187),COLUMN(K187))),INDIRECT("'Yr2'!"&amp;ADDRESS(ROW(K187),COLUMN(K187))),INDIRECT("'Yr3'!"&amp;ADDRESS(ROW(K187),COLUMN(K187)))),
IF($C$4=K$7,K207*K175,0))</f>
        <v>0</v>
      </c>
      <c r="L187" s="64">
        <f ca="1">IF($C$4=Lookups!$D$40,SUM(INDIRECT("'Yr1'!"&amp;ADDRESS(ROW(L187),COLUMN(L187))),INDIRECT("'Yr2'!"&amp;ADDRESS(ROW(L187),COLUMN(L187))),INDIRECT("'Yr3'!"&amp;ADDRESS(ROW(L187),COLUMN(L187)))),
IF($C$4=L$7,L207*L175,0))</f>
        <v>0</v>
      </c>
      <c r="M187" s="64">
        <f ca="1">IF($C$4=Lookups!$D$40,SUM(INDIRECT("'Yr1'!"&amp;ADDRESS(ROW(M187),COLUMN(M187))),INDIRECT("'Yr2'!"&amp;ADDRESS(ROW(M187),COLUMN(M187))),INDIRECT("'Yr3'!"&amp;ADDRESS(ROW(M187),COLUMN(M187)))),
IF($C$4=M$7,M207*M175,0))</f>
        <v>0</v>
      </c>
      <c r="N187" s="64">
        <f ca="1">IF($C$4=Lookups!$D$40,SUM(INDIRECT("'Yr1'!"&amp;ADDRESS(ROW(N187),COLUMN(N187))),INDIRECT("'Yr2'!"&amp;ADDRESS(ROW(N187),COLUMN(N187))),INDIRECT("'Yr3'!"&amp;ADDRESS(ROW(N187),COLUMN(N187)))),
IF($C$4=N$7,N207*N175,0))</f>
        <v>0</v>
      </c>
      <c r="O187" s="64">
        <f ca="1">IF($C$4=Lookups!$D$40,SUM(INDIRECT("'Yr1'!"&amp;ADDRESS(ROW(O187),COLUMN(O187))),INDIRECT("'Yr2'!"&amp;ADDRESS(ROW(O187),COLUMN(O187))),INDIRECT("'Yr3'!"&amp;ADDRESS(ROW(O187),COLUMN(O187)))),
IF($C$4=O$7,O207*O175,0))</f>
        <v>0</v>
      </c>
      <c r="P187" s="64">
        <f ca="1">IF($C$4=Lookups!$D$40,SUM(INDIRECT("'Yr1'!"&amp;ADDRESS(ROW(P187),COLUMN(P187))),INDIRECT("'Yr2'!"&amp;ADDRESS(ROW(P187),COLUMN(P187))),INDIRECT("'Yr3'!"&amp;ADDRESS(ROW(P187),COLUMN(P187)))),
IF($C$4=P$7,P207*P175,0))</f>
        <v>0</v>
      </c>
      <c r="Q187" s="64">
        <f ca="1">IF($C$4=Lookups!$D$40,SUM(INDIRECT("'Yr1'!"&amp;ADDRESS(ROW(Q187),COLUMN(Q187))),INDIRECT("'Yr2'!"&amp;ADDRESS(ROW(Q187),COLUMN(Q187))),INDIRECT("'Yr3'!"&amp;ADDRESS(ROW(Q187),COLUMN(Q187)))),
IF($C$4=Q$7,Q207*Q175,0))</f>
        <v>0</v>
      </c>
      <c r="R187" s="64">
        <f ca="1">IF($C$4=Lookups!$D$40,SUM(INDIRECT("'Yr1'!"&amp;ADDRESS(ROW(R187),COLUMN(R187))),INDIRECT("'Yr2'!"&amp;ADDRESS(ROW(R187),COLUMN(R187))),INDIRECT("'Yr3'!"&amp;ADDRESS(ROW(R187),COLUMN(R187)))),
IF($C$4=R$7,R207*R175,0))</f>
        <v>0</v>
      </c>
      <c r="S187" s="64">
        <f ca="1">IF($C$4=Lookups!$D$40,SUM(INDIRECT("'Yr1'!"&amp;ADDRESS(ROW(S187),COLUMN(S187))),INDIRECT("'Yr2'!"&amp;ADDRESS(ROW(S187),COLUMN(S187))),INDIRECT("'Yr3'!"&amp;ADDRESS(ROW(S187),COLUMN(S187)))),
IF($C$4=S$7,S207*S175,0))</f>
        <v>0</v>
      </c>
      <c r="T187" s="64">
        <f ca="1">IF($C$4=Lookups!$D$40,SUM(INDIRECT("'Yr1'!"&amp;ADDRESS(ROW(T187),COLUMN(T187))),INDIRECT("'Yr2'!"&amp;ADDRESS(ROW(T187),COLUMN(T187))),INDIRECT("'Yr3'!"&amp;ADDRESS(ROW(T187),COLUMN(T187)))),
IF($C$4=T$7,T207*T175,0))</f>
        <v>0</v>
      </c>
      <c r="U187" s="64">
        <f ca="1">IF($C$4=Lookups!$D$40,SUM(INDIRECT("'Yr1'!"&amp;ADDRESS(ROW(U187),COLUMN(U187))),INDIRECT("'Yr2'!"&amp;ADDRESS(ROW(U187),COLUMN(U187))),INDIRECT("'Yr3'!"&amp;ADDRESS(ROW(U187),COLUMN(U187)))),
IF($C$4=U$7,U207*U175,0))</f>
        <v>0</v>
      </c>
      <c r="V187" s="64">
        <f ca="1">IF($C$4=Lookups!$D$40,SUM(INDIRECT("'Yr1'!"&amp;ADDRESS(ROW(V187),COLUMN(V187))),INDIRECT("'Yr2'!"&amp;ADDRESS(ROW(V187),COLUMN(V187))),INDIRECT("'Yr3'!"&amp;ADDRESS(ROW(V187),COLUMN(V187)))),
IF($C$4=V$7,V207*V175,0))</f>
        <v>0</v>
      </c>
      <c r="W187" s="64">
        <f ca="1">IF($C$4=Lookups!$D$40,SUM(INDIRECT("'Yr1'!"&amp;ADDRESS(ROW(W187),COLUMN(W187))),INDIRECT("'Yr2'!"&amp;ADDRESS(ROW(W187),COLUMN(W187))),INDIRECT("'Yr3'!"&amp;ADDRESS(ROW(W187),COLUMN(W187)))),
IF($C$4=W$7,W207*W175,0))</f>
        <v>0</v>
      </c>
      <c r="X187" s="64">
        <f ca="1">IF($C$4=Lookups!$D$40,SUM(INDIRECT("'Yr1'!"&amp;ADDRESS(ROW(X187),COLUMN(X187))),INDIRECT("'Yr2'!"&amp;ADDRESS(ROW(X187),COLUMN(X187))),INDIRECT("'Yr3'!"&amp;ADDRESS(ROW(X187),COLUMN(X187)))),
IF($C$4=X$7,X207*X175,0))</f>
        <v>0</v>
      </c>
      <c r="Y187" s="64">
        <f ca="1">IF($C$4=Lookups!$D$40,SUM(INDIRECT("'Yr1'!"&amp;ADDRESS(ROW(Y187),COLUMN(Y187))),INDIRECT("'Yr2'!"&amp;ADDRESS(ROW(Y187),COLUMN(Y187))),INDIRECT("'Yr3'!"&amp;ADDRESS(ROW(Y187),COLUMN(Y187)))),
IF($C$4=Y$7,Y207*Y175,0))</f>
        <v>0</v>
      </c>
      <c r="Z187" s="64">
        <f ca="1">IF($C$4=Lookups!$D$40,SUM(INDIRECT("'Yr1'!"&amp;ADDRESS(ROW(Z187),COLUMN(Z187))),INDIRECT("'Yr2'!"&amp;ADDRESS(ROW(Z187),COLUMN(Z187))),INDIRECT("'Yr3'!"&amp;ADDRESS(ROW(Z187),COLUMN(Z187)))),
IF($C$4=Z$7,Z207*Z175,0))</f>
        <v>0</v>
      </c>
      <c r="AA187" s="64">
        <f ca="1">IF($C$4=Lookups!$D$40,SUM(INDIRECT("'Yr1'!"&amp;ADDRESS(ROW(AA187),COLUMN(AA187))),INDIRECT("'Yr2'!"&amp;ADDRESS(ROW(AA187),COLUMN(AA187))),INDIRECT("'Yr3'!"&amp;ADDRESS(ROW(AA187),COLUMN(AA187)))),
IF($C$4=AA$7,AA207*AA175,0))</f>
        <v>0</v>
      </c>
      <c r="AB187" s="64">
        <f ca="1">IF($C$4=Lookups!$D$40,SUM(INDIRECT("'Yr1'!"&amp;ADDRESS(ROW(AB187),COLUMN(AB187))),INDIRECT("'Yr2'!"&amp;ADDRESS(ROW(AB187),COLUMN(AB187))),INDIRECT("'Yr3'!"&amp;ADDRESS(ROW(AB187),COLUMN(AB187)))),
IF($C$4=AB$7,AB207*AB175,0))</f>
        <v>0</v>
      </c>
      <c r="AC187" s="64">
        <f ca="1">IF($C$4=Lookups!$D$40,SUM(INDIRECT("'Yr1'!"&amp;ADDRESS(ROW(AC187),COLUMN(AC187))),INDIRECT("'Yr2'!"&amp;ADDRESS(ROW(AC187),COLUMN(AC187))),INDIRECT("'Yr3'!"&amp;ADDRESS(ROW(AC187),COLUMN(AC187)))),
IF($C$4=AC$7,AC207*AC175,0))</f>
        <v>0</v>
      </c>
      <c r="AD187" s="64">
        <f ca="1">IF($C$4=Lookups!$D$40,SUM(INDIRECT("'Yr1'!"&amp;ADDRESS(ROW(AD187),COLUMN(AD187))),INDIRECT("'Yr2'!"&amp;ADDRESS(ROW(AD187),COLUMN(AD187))),INDIRECT("'Yr3'!"&amp;ADDRESS(ROW(AD187),COLUMN(AD187)))),
IF($C$4=AD$7,AD207*AD175,0))</f>
        <v>0</v>
      </c>
      <c r="AE187" s="64">
        <f ca="1">IF($C$4=Lookups!$D$40,SUM(INDIRECT("'Yr1'!"&amp;ADDRESS(ROW(AE187),COLUMN(AE187))),INDIRECT("'Yr2'!"&amp;ADDRESS(ROW(AE187),COLUMN(AE187))),INDIRECT("'Yr3'!"&amp;ADDRESS(ROW(AE187),COLUMN(AE187)))),
IF($C$4=AE$7,AE207*AE175,0))</f>
        <v>0</v>
      </c>
      <c r="AF187" s="64">
        <f ca="1">IF($C$4=Lookups!$D$40,SUM(INDIRECT("'Yr1'!"&amp;ADDRESS(ROW(AF187),COLUMN(AF187))),INDIRECT("'Yr2'!"&amp;ADDRESS(ROW(AF187),COLUMN(AF187))),INDIRECT("'Yr3'!"&amp;ADDRESS(ROW(AF187),COLUMN(AF187)))),
IF($C$4=AF$7,AF207*AF175,0))</f>
        <v>0</v>
      </c>
      <c r="AG187" s="64">
        <f ca="1">IF($C$4=Lookups!$D$40,SUM(INDIRECT("'Yr1'!"&amp;ADDRESS(ROW(AG187),COLUMN(AG187))),INDIRECT("'Yr2'!"&amp;ADDRESS(ROW(AG187),COLUMN(AG187))),INDIRECT("'Yr3'!"&amp;ADDRESS(ROW(AG187),COLUMN(AG187)))),
IF($C$4=AG$7,AG207*AG175,0))</f>
        <v>0</v>
      </c>
      <c r="AH187" s="49"/>
      <c r="AI187" s="64">
        <f ca="1">NPV(Lookups!$E$17,G187:AG187)</f>
        <v>3192414.238291305</v>
      </c>
      <c r="AJ187" s="65"/>
      <c r="AM187" s="71">
        <f ca="1">IF($C$4=Lookups!$D$40,SUM(INDIRECT("'Yr1'!"&amp;ADDRESS(ROW(AM187),COLUMN(AM187))),INDIRECT("'Yr2'!"&amp;ADDRESS(ROW(AM187),COLUMN(AM187))),INDIRECT("'Yr3'!"&amp;ADDRESS(ROW(AM187),COLUMN(AM187)))),
IF($C$4=AM$7,AM207*AM175,0))</f>
        <v>0</v>
      </c>
      <c r="AN187" s="71">
        <f ca="1">IF($C$4=Lookups!$D$40,SUM(INDIRECT("'Yr1'!"&amp;ADDRESS(ROW(AN187),COLUMN(AN187))),INDIRECT("'Yr2'!"&amp;ADDRESS(ROW(AN187),COLUMN(AN187))),INDIRECT("'Yr3'!"&amp;ADDRESS(ROW(AN187),COLUMN(AN187)))),
IF($C$4=AN$7,AN207*AN175,0))</f>
        <v>0</v>
      </c>
      <c r="AO187" s="71">
        <f ca="1">IF($C$4=Lookups!$D$40,SUM(INDIRECT("'Yr1'!"&amp;ADDRESS(ROW(AO187),COLUMN(AO187))),INDIRECT("'Yr2'!"&amp;ADDRESS(ROW(AO187),COLUMN(AO187))),INDIRECT("'Yr3'!"&amp;ADDRESS(ROW(AO187),COLUMN(AO187)))),
IF($C$4=AO$7,AO207*AO175,0))</f>
        <v>3985455.0486889547</v>
      </c>
      <c r="AP187" s="71">
        <f ca="1">IF($C$4=Lookups!$D$40,SUM(INDIRECT("'Yr1'!"&amp;ADDRESS(ROW(AP187),COLUMN(AP187))),INDIRECT("'Yr2'!"&amp;ADDRESS(ROW(AP187),COLUMN(AP187))),INDIRECT("'Yr3'!"&amp;ADDRESS(ROW(AP187),COLUMN(AP187)))),
IF($C$4=AP$7,AP207*AP175,0))</f>
        <v>0</v>
      </c>
      <c r="AQ187" s="71">
        <f ca="1">IF($C$4=Lookups!$D$40,SUM(INDIRECT("'Yr1'!"&amp;ADDRESS(ROW(AQ187),COLUMN(AQ187))),INDIRECT("'Yr2'!"&amp;ADDRESS(ROW(AQ187),COLUMN(AQ187))),INDIRECT("'Yr3'!"&amp;ADDRESS(ROW(AQ187),COLUMN(AQ187)))),
IF($C$4=AQ$7,AQ207*AQ175,0))</f>
        <v>0</v>
      </c>
      <c r="AR187" s="71">
        <f ca="1">IF($C$4=Lookups!$D$40,SUM(INDIRECT("'Yr1'!"&amp;ADDRESS(ROW(AR187),COLUMN(AR187))),INDIRECT("'Yr2'!"&amp;ADDRESS(ROW(AR187),COLUMN(AR187))),INDIRECT("'Yr3'!"&amp;ADDRESS(ROW(AR187),COLUMN(AR187)))),
IF($C$4=AR$7,AR207*AR175,0))</f>
        <v>0</v>
      </c>
      <c r="AS187" s="71">
        <f ca="1">IF($C$4=Lookups!$D$40,SUM(INDIRECT("'Yr1'!"&amp;ADDRESS(ROW(AS187),COLUMN(AS187))),INDIRECT("'Yr2'!"&amp;ADDRESS(ROW(AS187),COLUMN(AS187))),INDIRECT("'Yr3'!"&amp;ADDRESS(ROW(AS187),COLUMN(AS187)))),
IF($C$4=AS$7,AS207*AS175,0))</f>
        <v>0</v>
      </c>
      <c r="AT187" s="71">
        <f ca="1">IF($C$4=Lookups!$D$40,SUM(INDIRECT("'Yr1'!"&amp;ADDRESS(ROW(AT187),COLUMN(AT187))),INDIRECT("'Yr2'!"&amp;ADDRESS(ROW(AT187),COLUMN(AT187))),INDIRECT("'Yr3'!"&amp;ADDRESS(ROW(AT187),COLUMN(AT187)))),
IF($C$4=AT$7,AT207*AT175,0))</f>
        <v>0</v>
      </c>
      <c r="AU187" s="71">
        <f ca="1">IF($C$4=Lookups!$D$40,SUM(INDIRECT("'Yr1'!"&amp;ADDRESS(ROW(AU187),COLUMN(AU187))),INDIRECT("'Yr2'!"&amp;ADDRESS(ROW(AU187),COLUMN(AU187))),INDIRECT("'Yr3'!"&amp;ADDRESS(ROW(AU187),COLUMN(AU187)))),
IF($C$4=AU$7,AU207*AU175,0))</f>
        <v>0</v>
      </c>
      <c r="AV187" s="71">
        <f ca="1">IF($C$4=Lookups!$D$40,SUM(INDIRECT("'Yr1'!"&amp;ADDRESS(ROW(AV187),COLUMN(AV187))),INDIRECT("'Yr2'!"&amp;ADDRESS(ROW(AV187),COLUMN(AV187))),INDIRECT("'Yr3'!"&amp;ADDRESS(ROW(AV187),COLUMN(AV187)))),
IF($C$4=AV$7,AV207*AV175,0))</f>
        <v>0</v>
      </c>
      <c r="AW187" s="71">
        <f ca="1">IF($C$4=Lookups!$D$40,SUM(INDIRECT("'Yr1'!"&amp;ADDRESS(ROW(AW187),COLUMN(AW187))),INDIRECT("'Yr2'!"&amp;ADDRESS(ROW(AW187),COLUMN(AW187))),INDIRECT("'Yr3'!"&amp;ADDRESS(ROW(AW187),COLUMN(AW187)))),
IF($C$4=AW$7,AW207*AW175,0))</f>
        <v>0</v>
      </c>
      <c r="AX187" s="71">
        <f ca="1">IF($C$4=Lookups!$D$40,SUM(INDIRECT("'Yr1'!"&amp;ADDRESS(ROW(AX187),COLUMN(AX187))),INDIRECT("'Yr2'!"&amp;ADDRESS(ROW(AX187),COLUMN(AX187))),INDIRECT("'Yr3'!"&amp;ADDRESS(ROW(AX187),COLUMN(AX187)))),
IF($C$4=AX$7,AX207*AX175,0))</f>
        <v>0</v>
      </c>
      <c r="AY187" s="71">
        <f ca="1">IF($C$4=Lookups!$D$40,SUM(INDIRECT("'Yr1'!"&amp;ADDRESS(ROW(AY187),COLUMN(AY187))),INDIRECT("'Yr2'!"&amp;ADDRESS(ROW(AY187),COLUMN(AY187))),INDIRECT("'Yr3'!"&amp;ADDRESS(ROW(AY187),COLUMN(AY187)))),
IF($C$4=AY$7,AY207*AY175,0))</f>
        <v>0</v>
      </c>
      <c r="AZ187" s="71">
        <f ca="1">IF($C$4=Lookups!$D$40,SUM(INDIRECT("'Yr1'!"&amp;ADDRESS(ROW(AZ187),COLUMN(AZ187))),INDIRECT("'Yr2'!"&amp;ADDRESS(ROW(AZ187),COLUMN(AZ187))),INDIRECT("'Yr3'!"&amp;ADDRESS(ROW(AZ187),COLUMN(AZ187)))),
IF($C$4=AZ$7,AZ207*AZ175,0))</f>
        <v>0</v>
      </c>
      <c r="BA187" s="71">
        <f ca="1">IF($C$4=Lookups!$D$40,SUM(INDIRECT("'Yr1'!"&amp;ADDRESS(ROW(BA187),COLUMN(BA187))),INDIRECT("'Yr2'!"&amp;ADDRESS(ROW(BA187),COLUMN(BA187))),INDIRECT("'Yr3'!"&amp;ADDRESS(ROW(BA187),COLUMN(BA187)))),
IF($C$4=BA$7,BA207*BA175,0))</f>
        <v>0</v>
      </c>
      <c r="BB187" s="71">
        <f ca="1">IF($C$4=Lookups!$D$40,SUM(INDIRECT("'Yr1'!"&amp;ADDRESS(ROW(BB187),COLUMN(BB187))),INDIRECT("'Yr2'!"&amp;ADDRESS(ROW(BB187),COLUMN(BB187))),INDIRECT("'Yr3'!"&amp;ADDRESS(ROW(BB187),COLUMN(BB187)))),
IF($C$4=BB$7,BB207*BB175,0))</f>
        <v>0</v>
      </c>
      <c r="BC187" s="71">
        <f ca="1">IF($C$4=Lookups!$D$40,SUM(INDIRECT("'Yr1'!"&amp;ADDRESS(ROW(BC187),COLUMN(BC187))),INDIRECT("'Yr2'!"&amp;ADDRESS(ROW(BC187),COLUMN(BC187))),INDIRECT("'Yr3'!"&amp;ADDRESS(ROW(BC187),COLUMN(BC187)))),
IF($C$4=BC$7,BC207*BC175,0))</f>
        <v>0</v>
      </c>
      <c r="BD187" s="71">
        <f ca="1">IF($C$4=Lookups!$D$40,SUM(INDIRECT("'Yr1'!"&amp;ADDRESS(ROW(BD187),COLUMN(BD187))),INDIRECT("'Yr2'!"&amp;ADDRESS(ROW(BD187),COLUMN(BD187))),INDIRECT("'Yr3'!"&amp;ADDRESS(ROW(BD187),COLUMN(BD187)))),
IF($C$4=BD$7,BD207*BD175,0))</f>
        <v>0</v>
      </c>
      <c r="BE187" s="71">
        <f ca="1">IF($C$4=Lookups!$D$40,SUM(INDIRECT("'Yr1'!"&amp;ADDRESS(ROW(BE187),COLUMN(BE187))),INDIRECT("'Yr2'!"&amp;ADDRESS(ROW(BE187),COLUMN(BE187))),INDIRECT("'Yr3'!"&amp;ADDRESS(ROW(BE187),COLUMN(BE187)))),
IF($C$4=BE$7,BE207*BE175,0))</f>
        <v>0</v>
      </c>
      <c r="BF187" s="71">
        <f ca="1">IF($C$4=Lookups!$D$40,SUM(INDIRECT("'Yr1'!"&amp;ADDRESS(ROW(BF187),COLUMN(BF187))),INDIRECT("'Yr2'!"&amp;ADDRESS(ROW(BF187),COLUMN(BF187))),INDIRECT("'Yr3'!"&amp;ADDRESS(ROW(BF187),COLUMN(BF187)))),
IF($C$4=BF$7,BF207*BF175,0))</f>
        <v>0</v>
      </c>
      <c r="BG187" s="71">
        <f ca="1">IF($C$4=Lookups!$D$40,SUM(INDIRECT("'Yr1'!"&amp;ADDRESS(ROW(BG187),COLUMN(BG187))),INDIRECT("'Yr2'!"&amp;ADDRESS(ROW(BG187),COLUMN(BG187))),INDIRECT("'Yr3'!"&amp;ADDRESS(ROW(BG187),COLUMN(BG187)))),
IF($C$4=BG$7,BG207*BG175,0))</f>
        <v>0</v>
      </c>
      <c r="BH187" s="71">
        <f ca="1">IF($C$4=Lookups!$D$40,SUM(INDIRECT("'Yr1'!"&amp;ADDRESS(ROW(BH187),COLUMN(BH187))),INDIRECT("'Yr2'!"&amp;ADDRESS(ROW(BH187),COLUMN(BH187))),INDIRECT("'Yr3'!"&amp;ADDRESS(ROW(BH187),COLUMN(BH187)))),
IF($C$4=BH$7,BH207*BH175,0))</f>
        <v>0</v>
      </c>
      <c r="BI187" s="71">
        <f ca="1">IF($C$4=Lookups!$D$40,SUM(INDIRECT("'Yr1'!"&amp;ADDRESS(ROW(BI187),COLUMN(BI187))),INDIRECT("'Yr2'!"&amp;ADDRESS(ROW(BI187),COLUMN(BI187))),INDIRECT("'Yr3'!"&amp;ADDRESS(ROW(BI187),COLUMN(BI187)))),
IF($C$4=BI$7,BI207*BI175,0))</f>
        <v>0</v>
      </c>
      <c r="BJ187" s="71">
        <f ca="1">IF($C$4=Lookups!$D$40,SUM(INDIRECT("'Yr1'!"&amp;ADDRESS(ROW(BJ187),COLUMN(BJ187))),INDIRECT("'Yr2'!"&amp;ADDRESS(ROW(BJ187),COLUMN(BJ187))),INDIRECT("'Yr3'!"&amp;ADDRESS(ROW(BJ187),COLUMN(BJ187)))),
IF($C$4=BJ$7,BJ207*BJ175,0))</f>
        <v>0</v>
      </c>
      <c r="BK187" s="71">
        <f ca="1">IF($C$4=Lookups!$D$40,SUM(INDIRECT("'Yr1'!"&amp;ADDRESS(ROW(BK187),COLUMN(BK187))),INDIRECT("'Yr2'!"&amp;ADDRESS(ROW(BK187),COLUMN(BK187))),INDIRECT("'Yr3'!"&amp;ADDRESS(ROW(BK187),COLUMN(BK187)))),
IF($C$4=BK$7,BK207*BK175,0))</f>
        <v>0</v>
      </c>
      <c r="BL187" s="71">
        <f ca="1">IF($C$4=Lookups!$D$40,SUM(INDIRECT("'Yr1'!"&amp;ADDRESS(ROW(BL187),COLUMN(BL187))),INDIRECT("'Yr2'!"&amp;ADDRESS(ROW(BL187),COLUMN(BL187))),INDIRECT("'Yr3'!"&amp;ADDRESS(ROW(BL187),COLUMN(BL187)))),
IF($C$4=BL$7,BL207*BL175,0))</f>
        <v>0</v>
      </c>
      <c r="BM187" s="71">
        <f ca="1">IF($C$4=Lookups!$D$40,SUM(INDIRECT("'Yr1'!"&amp;ADDRESS(ROW(BM187),COLUMN(BM187))),INDIRECT("'Yr2'!"&amp;ADDRESS(ROW(BM187),COLUMN(BM187))),INDIRECT("'Yr3'!"&amp;ADDRESS(ROW(BM187),COLUMN(BM187)))),
IF($C$4=BM$7,BM207*BM175,0))</f>
        <v>0</v>
      </c>
      <c r="BN187" s="71"/>
      <c r="BO187" s="71">
        <f ca="1">NPV(Lookups!$E$17,AM187:BM187)</f>
        <v>3821017.6739933183</v>
      </c>
      <c r="BP187" s="72"/>
      <c r="BS187" s="84" t="str">
        <f>E187&amp;" rate multiplied by After DSM sales."</f>
        <v>LDAC, EE Only rate multiplied by After DSM sales.</v>
      </c>
      <c r="BT187" s="51" t="s">
        <v>17</v>
      </c>
    </row>
    <row r="188" spans="1:72" x14ac:dyDescent="0.25">
      <c r="A188" s="476"/>
      <c r="B188" s="243" t="str">
        <f t="shared" si="192"/>
        <v>Small C&amp;I</v>
      </c>
      <c r="C188" s="243" t="str">
        <f t="shared" si="192"/>
        <v>Revenue Requirements</v>
      </c>
      <c r="D188" s="244" t="str">
        <f>D187</f>
        <v>Increased Costs and Cost Shifting</v>
      </c>
      <c r="E188" s="86" t="s">
        <v>198</v>
      </c>
      <c r="F188" s="84" t="s">
        <v>32</v>
      </c>
      <c r="G188" s="64">
        <f ca="1">IF($C$4=Lookups!$D$40,SUM(INDIRECT("'Yr1'!"&amp;ADDRESS(ROW(G188),COLUMN(G188))),INDIRECT("'Yr2'!"&amp;ADDRESS(ROW(G188),COLUMN(G188))),INDIRECT("'Yr3'!"&amp;ADDRESS(ROW(G188),COLUMN(G188)))),
G208*G175)</f>
        <v>0</v>
      </c>
      <c r="H188" s="64">
        <f ca="1">IF($C$4=Lookups!$D$40,SUM(INDIRECT("'Yr1'!"&amp;ADDRESS(ROW(H188),COLUMN(H188))),INDIRECT("'Yr2'!"&amp;ADDRESS(ROW(H188),COLUMN(H188))),INDIRECT("'Yr3'!"&amp;ADDRESS(ROW(H188),COLUMN(H188)))),
H208*H175)</f>
        <v>0</v>
      </c>
      <c r="I188" s="64">
        <f ca="1">IF($C$4=Lookups!$D$40,SUM(INDIRECT("'Yr1'!"&amp;ADDRESS(ROW(I188),COLUMN(I188))),INDIRECT("'Yr2'!"&amp;ADDRESS(ROW(I188),COLUMN(I188))),INDIRECT("'Yr3'!"&amp;ADDRESS(ROW(I188),COLUMN(I188)))),
I208*I175)</f>
        <v>148198.60566913633</v>
      </c>
      <c r="J188" s="64">
        <f ca="1">IF($C$4=Lookups!$D$40,SUM(INDIRECT("'Yr1'!"&amp;ADDRESS(ROW(J188),COLUMN(J188))),INDIRECT("'Yr2'!"&amp;ADDRESS(ROW(J188),COLUMN(J188))),INDIRECT("'Yr3'!"&amp;ADDRESS(ROW(J188),COLUMN(J188)))),
J208*J175)</f>
        <v>148198.60566913633</v>
      </c>
      <c r="K188" s="64">
        <f ca="1">IF($C$4=Lookups!$D$40,SUM(INDIRECT("'Yr1'!"&amp;ADDRESS(ROW(K188),COLUMN(K188))),INDIRECT("'Yr2'!"&amp;ADDRESS(ROW(K188),COLUMN(K188))),INDIRECT("'Yr3'!"&amp;ADDRESS(ROW(K188),COLUMN(K188)))),
K208*K175)</f>
        <v>148198.60566913633</v>
      </c>
      <c r="L188" s="64">
        <f ca="1">IF($C$4=Lookups!$D$40,SUM(INDIRECT("'Yr1'!"&amp;ADDRESS(ROW(L188),COLUMN(L188))),INDIRECT("'Yr2'!"&amp;ADDRESS(ROW(L188),COLUMN(L188))),INDIRECT("'Yr3'!"&amp;ADDRESS(ROW(L188),COLUMN(L188)))),
L208*L175)</f>
        <v>148198.60566913633</v>
      </c>
      <c r="M188" s="64">
        <f ca="1">IF($C$4=Lookups!$D$40,SUM(INDIRECT("'Yr1'!"&amp;ADDRESS(ROW(M188),COLUMN(M188))),INDIRECT("'Yr2'!"&amp;ADDRESS(ROW(M188),COLUMN(M188))),INDIRECT("'Yr3'!"&amp;ADDRESS(ROW(M188),COLUMN(M188)))),
M208*M175)</f>
        <v>148198.60566913633</v>
      </c>
      <c r="N188" s="64">
        <f ca="1">IF($C$4=Lookups!$D$40,SUM(INDIRECT("'Yr1'!"&amp;ADDRESS(ROW(N188),COLUMN(N188))),INDIRECT("'Yr2'!"&amp;ADDRESS(ROW(N188),COLUMN(N188))),INDIRECT("'Yr3'!"&amp;ADDRESS(ROW(N188),COLUMN(N188)))),
N208*N175)</f>
        <v>148198.60566913633</v>
      </c>
      <c r="O188" s="64">
        <f ca="1">IF($C$4=Lookups!$D$40,SUM(INDIRECT("'Yr1'!"&amp;ADDRESS(ROW(O188),COLUMN(O188))),INDIRECT("'Yr2'!"&amp;ADDRESS(ROW(O188),COLUMN(O188))),INDIRECT("'Yr3'!"&amp;ADDRESS(ROW(O188),COLUMN(O188)))),
O208*O175)</f>
        <v>148198.60566913633</v>
      </c>
      <c r="P188" s="64">
        <f ca="1">IF($C$4=Lookups!$D$40,SUM(INDIRECT("'Yr1'!"&amp;ADDRESS(ROW(P188),COLUMN(P188))),INDIRECT("'Yr2'!"&amp;ADDRESS(ROW(P188),COLUMN(P188))),INDIRECT("'Yr3'!"&amp;ADDRESS(ROW(P188),COLUMN(P188)))),
P208*P175)</f>
        <v>148198.60566913633</v>
      </c>
      <c r="Q188" s="64">
        <f ca="1">IF($C$4=Lookups!$D$40,SUM(INDIRECT("'Yr1'!"&amp;ADDRESS(ROW(Q188),COLUMN(Q188))),INDIRECT("'Yr2'!"&amp;ADDRESS(ROW(Q188),COLUMN(Q188))),INDIRECT("'Yr3'!"&amp;ADDRESS(ROW(Q188),COLUMN(Q188)))),
Q208*Q175)</f>
        <v>148198.60566913633</v>
      </c>
      <c r="R188" s="64">
        <f ca="1">IF($C$4=Lookups!$D$40,SUM(INDIRECT("'Yr1'!"&amp;ADDRESS(ROW(R188),COLUMN(R188))),INDIRECT("'Yr2'!"&amp;ADDRESS(ROW(R188),COLUMN(R188))),INDIRECT("'Yr3'!"&amp;ADDRESS(ROW(R188),COLUMN(R188)))),
R208*R175)</f>
        <v>148198.60566913633</v>
      </c>
      <c r="S188" s="64">
        <f ca="1">IF($C$4=Lookups!$D$40,SUM(INDIRECT("'Yr1'!"&amp;ADDRESS(ROW(S188),COLUMN(S188))),INDIRECT("'Yr2'!"&amp;ADDRESS(ROW(S188),COLUMN(S188))),INDIRECT("'Yr3'!"&amp;ADDRESS(ROW(S188),COLUMN(S188)))),
S208*S175)</f>
        <v>148198.60566913633</v>
      </c>
      <c r="T188" s="64">
        <f ca="1">IF($C$4=Lookups!$D$40,SUM(INDIRECT("'Yr1'!"&amp;ADDRESS(ROW(T188),COLUMN(T188))),INDIRECT("'Yr2'!"&amp;ADDRESS(ROW(T188),COLUMN(T188))),INDIRECT("'Yr3'!"&amp;ADDRESS(ROW(T188),COLUMN(T188)))),
T208*T175)</f>
        <v>148198.60566913633</v>
      </c>
      <c r="U188" s="64">
        <f ca="1">IF($C$4=Lookups!$D$40,SUM(INDIRECT("'Yr1'!"&amp;ADDRESS(ROW(U188),COLUMN(U188))),INDIRECT("'Yr2'!"&amp;ADDRESS(ROW(U188),COLUMN(U188))),INDIRECT("'Yr3'!"&amp;ADDRESS(ROW(U188),COLUMN(U188)))),
U208*U175)</f>
        <v>148198.60566913633</v>
      </c>
      <c r="V188" s="64">
        <f ca="1">IF($C$4=Lookups!$D$40,SUM(INDIRECT("'Yr1'!"&amp;ADDRESS(ROW(V188),COLUMN(V188))),INDIRECT("'Yr2'!"&amp;ADDRESS(ROW(V188),COLUMN(V188))),INDIRECT("'Yr3'!"&amp;ADDRESS(ROW(V188),COLUMN(V188)))),
V208*V175)</f>
        <v>148198.60566913633</v>
      </c>
      <c r="W188" s="64">
        <f ca="1">IF($C$4=Lookups!$D$40,SUM(INDIRECT("'Yr1'!"&amp;ADDRESS(ROW(W188),COLUMN(W188))),INDIRECT("'Yr2'!"&amp;ADDRESS(ROW(W188),COLUMN(W188))),INDIRECT("'Yr3'!"&amp;ADDRESS(ROW(W188),COLUMN(W188)))),
W208*W175)</f>
        <v>148198.60566913633</v>
      </c>
      <c r="X188" s="64">
        <f ca="1">IF($C$4=Lookups!$D$40,SUM(INDIRECT("'Yr1'!"&amp;ADDRESS(ROW(X188),COLUMN(X188))),INDIRECT("'Yr2'!"&amp;ADDRESS(ROW(X188),COLUMN(X188))),INDIRECT("'Yr3'!"&amp;ADDRESS(ROW(X188),COLUMN(X188)))),
X208*X175)</f>
        <v>148198.60566913633</v>
      </c>
      <c r="Y188" s="64">
        <f ca="1">IF($C$4=Lookups!$D$40,SUM(INDIRECT("'Yr1'!"&amp;ADDRESS(ROW(Y188),COLUMN(Y188))),INDIRECT("'Yr2'!"&amp;ADDRESS(ROW(Y188),COLUMN(Y188))),INDIRECT("'Yr3'!"&amp;ADDRESS(ROW(Y188),COLUMN(Y188)))),
Y208*Y175)</f>
        <v>0</v>
      </c>
      <c r="Z188" s="64">
        <f ca="1">IF($C$4=Lookups!$D$40,SUM(INDIRECT("'Yr1'!"&amp;ADDRESS(ROW(Z188),COLUMN(Z188))),INDIRECT("'Yr2'!"&amp;ADDRESS(ROW(Z188),COLUMN(Z188))),INDIRECT("'Yr3'!"&amp;ADDRESS(ROW(Z188),COLUMN(Z188)))),
Z208*Z175)</f>
        <v>0</v>
      </c>
      <c r="AA188" s="64">
        <f ca="1">IF($C$4=Lookups!$D$40,SUM(INDIRECT("'Yr1'!"&amp;ADDRESS(ROW(AA188),COLUMN(AA188))),INDIRECT("'Yr2'!"&amp;ADDRESS(ROW(AA188),COLUMN(AA188))),INDIRECT("'Yr3'!"&amp;ADDRESS(ROW(AA188),COLUMN(AA188)))),
AA208*AA175)</f>
        <v>0</v>
      </c>
      <c r="AB188" s="64">
        <f ca="1">IF($C$4=Lookups!$D$40,SUM(INDIRECT("'Yr1'!"&amp;ADDRESS(ROW(AB188),COLUMN(AB188))),INDIRECT("'Yr2'!"&amp;ADDRESS(ROW(AB188),COLUMN(AB188))),INDIRECT("'Yr3'!"&amp;ADDRESS(ROW(AB188),COLUMN(AB188)))),
AB208*AB175)</f>
        <v>0</v>
      </c>
      <c r="AC188" s="64">
        <f ca="1">IF($C$4=Lookups!$D$40,SUM(INDIRECT("'Yr1'!"&amp;ADDRESS(ROW(AC188),COLUMN(AC188))),INDIRECT("'Yr2'!"&amp;ADDRESS(ROW(AC188),COLUMN(AC188))),INDIRECT("'Yr3'!"&amp;ADDRESS(ROW(AC188),COLUMN(AC188)))),
AC208*AC175)</f>
        <v>0</v>
      </c>
      <c r="AD188" s="64">
        <f ca="1">IF($C$4=Lookups!$D$40,SUM(INDIRECT("'Yr1'!"&amp;ADDRESS(ROW(AD188),COLUMN(AD188))),INDIRECT("'Yr2'!"&amp;ADDRESS(ROW(AD188),COLUMN(AD188))),INDIRECT("'Yr3'!"&amp;ADDRESS(ROW(AD188),COLUMN(AD188)))),
AD208*AD175)</f>
        <v>0</v>
      </c>
      <c r="AE188" s="64">
        <f ca="1">IF($C$4=Lookups!$D$40,SUM(INDIRECT("'Yr1'!"&amp;ADDRESS(ROW(AE188),COLUMN(AE188))),INDIRECT("'Yr2'!"&amp;ADDRESS(ROW(AE188),COLUMN(AE188))),INDIRECT("'Yr3'!"&amp;ADDRESS(ROW(AE188),COLUMN(AE188)))),
AE208*AE175)</f>
        <v>0</v>
      </c>
      <c r="AF188" s="64">
        <f ca="1">IF($C$4=Lookups!$D$40,SUM(INDIRECT("'Yr1'!"&amp;ADDRESS(ROW(AF188),COLUMN(AF188))),INDIRECT("'Yr2'!"&amp;ADDRESS(ROW(AF188),COLUMN(AF188))),INDIRECT("'Yr3'!"&amp;ADDRESS(ROW(AF188),COLUMN(AF188)))),
AF208*AF175)</f>
        <v>0</v>
      </c>
      <c r="AG188" s="64">
        <f ca="1">IF($C$4=Lookups!$D$40,SUM(INDIRECT("'Yr1'!"&amp;ADDRESS(ROW(AG188),COLUMN(AG188))),INDIRECT("'Yr2'!"&amp;ADDRESS(ROW(AG188),COLUMN(AG188))),INDIRECT("'Yr3'!"&amp;ADDRESS(ROW(AG188),COLUMN(AG188)))),
AG208*AG175)</f>
        <v>0</v>
      </c>
      <c r="AH188" s="49"/>
      <c r="AI188" s="64">
        <f ca="1">NPV(Lookups!$E$17,G188:AG188)</f>
        <v>2050349.5375047091</v>
      </c>
      <c r="AJ188" s="65"/>
      <c r="AM188" s="71">
        <f ca="1">IF($C$4=Lookups!$D$40,SUM(INDIRECT("'Yr1'!"&amp;ADDRESS(ROW(AM188),COLUMN(AM188))),INDIRECT("'Yr2'!"&amp;ADDRESS(ROW(AM188),COLUMN(AM188))),INDIRECT("'Yr3'!"&amp;ADDRESS(ROW(AM188),COLUMN(AM188)))),
AM208*AM175)</f>
        <v>0</v>
      </c>
      <c r="AN188" s="71">
        <f ca="1">IF($C$4=Lookups!$D$40,SUM(INDIRECT("'Yr1'!"&amp;ADDRESS(ROW(AN188),COLUMN(AN188))),INDIRECT("'Yr2'!"&amp;ADDRESS(ROW(AN188),COLUMN(AN188))),INDIRECT("'Yr3'!"&amp;ADDRESS(ROW(AN188),COLUMN(AN188)))),
AN208*AN175)</f>
        <v>0</v>
      </c>
      <c r="AO188" s="71">
        <f ca="1">IF($C$4=Lookups!$D$40,SUM(INDIRECT("'Yr1'!"&amp;ADDRESS(ROW(AO188),COLUMN(AO188))),INDIRECT("'Yr2'!"&amp;ADDRESS(ROW(AO188),COLUMN(AO188))),INDIRECT("'Yr3'!"&amp;ADDRESS(ROW(AO188),COLUMN(AO188)))),
AO208*AO175)</f>
        <v>169325.39704034058</v>
      </c>
      <c r="AP188" s="71">
        <f ca="1">IF($C$4=Lookups!$D$40,SUM(INDIRECT("'Yr1'!"&amp;ADDRESS(ROW(AP188),COLUMN(AP188))),INDIRECT("'Yr2'!"&amp;ADDRESS(ROW(AP188),COLUMN(AP188))),INDIRECT("'Yr3'!"&amp;ADDRESS(ROW(AP188),COLUMN(AP188)))),
AP208*AP175)</f>
        <v>169325.39704034058</v>
      </c>
      <c r="AQ188" s="71">
        <f ca="1">IF($C$4=Lookups!$D$40,SUM(INDIRECT("'Yr1'!"&amp;ADDRESS(ROW(AQ188),COLUMN(AQ188))),INDIRECT("'Yr2'!"&amp;ADDRESS(ROW(AQ188),COLUMN(AQ188))),INDIRECT("'Yr3'!"&amp;ADDRESS(ROW(AQ188),COLUMN(AQ188)))),
AQ208*AQ175)</f>
        <v>169325.39704034058</v>
      </c>
      <c r="AR188" s="71">
        <f ca="1">IF($C$4=Lookups!$D$40,SUM(INDIRECT("'Yr1'!"&amp;ADDRESS(ROW(AR188),COLUMN(AR188))),INDIRECT("'Yr2'!"&amp;ADDRESS(ROW(AR188),COLUMN(AR188))),INDIRECT("'Yr3'!"&amp;ADDRESS(ROW(AR188),COLUMN(AR188)))),
AR208*AR175)</f>
        <v>169325.39704034058</v>
      </c>
      <c r="AS188" s="71">
        <f ca="1">IF($C$4=Lookups!$D$40,SUM(INDIRECT("'Yr1'!"&amp;ADDRESS(ROW(AS188),COLUMN(AS188))),INDIRECT("'Yr2'!"&amp;ADDRESS(ROW(AS188),COLUMN(AS188))),INDIRECT("'Yr3'!"&amp;ADDRESS(ROW(AS188),COLUMN(AS188)))),
AS208*AS175)</f>
        <v>169325.39704034058</v>
      </c>
      <c r="AT188" s="71">
        <f ca="1">IF($C$4=Lookups!$D$40,SUM(INDIRECT("'Yr1'!"&amp;ADDRESS(ROW(AT188),COLUMN(AT188))),INDIRECT("'Yr2'!"&amp;ADDRESS(ROW(AT188),COLUMN(AT188))),INDIRECT("'Yr3'!"&amp;ADDRESS(ROW(AT188),COLUMN(AT188)))),
AT208*AT175)</f>
        <v>169325.39704034058</v>
      </c>
      <c r="AU188" s="71">
        <f ca="1">IF($C$4=Lookups!$D$40,SUM(INDIRECT("'Yr1'!"&amp;ADDRESS(ROW(AU188),COLUMN(AU188))),INDIRECT("'Yr2'!"&amp;ADDRESS(ROW(AU188),COLUMN(AU188))),INDIRECT("'Yr3'!"&amp;ADDRESS(ROW(AU188),COLUMN(AU188)))),
AU208*AU175)</f>
        <v>169325.39704034058</v>
      </c>
      <c r="AV188" s="71">
        <f ca="1">IF($C$4=Lookups!$D$40,SUM(INDIRECT("'Yr1'!"&amp;ADDRESS(ROW(AV188),COLUMN(AV188))),INDIRECT("'Yr2'!"&amp;ADDRESS(ROW(AV188),COLUMN(AV188))),INDIRECT("'Yr3'!"&amp;ADDRESS(ROW(AV188),COLUMN(AV188)))),
AV208*AV175)</f>
        <v>169325.39704034058</v>
      </c>
      <c r="AW188" s="71">
        <f ca="1">IF($C$4=Lookups!$D$40,SUM(INDIRECT("'Yr1'!"&amp;ADDRESS(ROW(AW188),COLUMN(AW188))),INDIRECT("'Yr2'!"&amp;ADDRESS(ROW(AW188),COLUMN(AW188))),INDIRECT("'Yr3'!"&amp;ADDRESS(ROW(AW188),COLUMN(AW188)))),
AW208*AW175)</f>
        <v>169325.39704034058</v>
      </c>
      <c r="AX188" s="71">
        <f ca="1">IF($C$4=Lookups!$D$40,SUM(INDIRECT("'Yr1'!"&amp;ADDRESS(ROW(AX188),COLUMN(AX188))),INDIRECT("'Yr2'!"&amp;ADDRESS(ROW(AX188),COLUMN(AX188))),INDIRECT("'Yr3'!"&amp;ADDRESS(ROW(AX188),COLUMN(AX188)))),
AX208*AX175)</f>
        <v>169325.39704034058</v>
      </c>
      <c r="AY188" s="71">
        <f ca="1">IF($C$4=Lookups!$D$40,SUM(INDIRECT("'Yr1'!"&amp;ADDRESS(ROW(AY188),COLUMN(AY188))),INDIRECT("'Yr2'!"&amp;ADDRESS(ROW(AY188),COLUMN(AY188))),INDIRECT("'Yr3'!"&amp;ADDRESS(ROW(AY188),COLUMN(AY188)))),
AY208*AY175)</f>
        <v>169325.39704034058</v>
      </c>
      <c r="AZ188" s="71">
        <f ca="1">IF($C$4=Lookups!$D$40,SUM(INDIRECT("'Yr1'!"&amp;ADDRESS(ROW(AZ188),COLUMN(AZ188))),INDIRECT("'Yr2'!"&amp;ADDRESS(ROW(AZ188),COLUMN(AZ188))),INDIRECT("'Yr3'!"&amp;ADDRESS(ROW(AZ188),COLUMN(AZ188)))),
AZ208*AZ175)</f>
        <v>169325.39704034058</v>
      </c>
      <c r="BA188" s="71">
        <f ca="1">IF($C$4=Lookups!$D$40,SUM(INDIRECT("'Yr1'!"&amp;ADDRESS(ROW(BA188),COLUMN(BA188))),INDIRECT("'Yr2'!"&amp;ADDRESS(ROW(BA188),COLUMN(BA188))),INDIRECT("'Yr3'!"&amp;ADDRESS(ROW(BA188),COLUMN(BA188)))),
BA208*BA175)</f>
        <v>169325.39704034058</v>
      </c>
      <c r="BB188" s="71">
        <f ca="1">IF($C$4=Lookups!$D$40,SUM(INDIRECT("'Yr1'!"&amp;ADDRESS(ROW(BB188),COLUMN(BB188))),INDIRECT("'Yr2'!"&amp;ADDRESS(ROW(BB188),COLUMN(BB188))),INDIRECT("'Yr3'!"&amp;ADDRESS(ROW(BB188),COLUMN(BB188)))),
BB208*BB175)</f>
        <v>169325.39704034058</v>
      </c>
      <c r="BC188" s="71">
        <f ca="1">IF($C$4=Lookups!$D$40,SUM(INDIRECT("'Yr1'!"&amp;ADDRESS(ROW(BC188),COLUMN(BC188))),INDIRECT("'Yr2'!"&amp;ADDRESS(ROW(BC188),COLUMN(BC188))),INDIRECT("'Yr3'!"&amp;ADDRESS(ROW(BC188),COLUMN(BC188)))),
BC208*BC175)</f>
        <v>169325.39704034058</v>
      </c>
      <c r="BD188" s="71">
        <f ca="1">IF($C$4=Lookups!$D$40,SUM(INDIRECT("'Yr1'!"&amp;ADDRESS(ROW(BD188),COLUMN(BD188))),INDIRECT("'Yr2'!"&amp;ADDRESS(ROW(BD188),COLUMN(BD188))),INDIRECT("'Yr3'!"&amp;ADDRESS(ROW(BD188),COLUMN(BD188)))),
BD208*BD175)</f>
        <v>169325.39704034058</v>
      </c>
      <c r="BE188" s="71">
        <f ca="1">IF($C$4=Lookups!$D$40,SUM(INDIRECT("'Yr1'!"&amp;ADDRESS(ROW(BE188),COLUMN(BE188))),INDIRECT("'Yr2'!"&amp;ADDRESS(ROW(BE188),COLUMN(BE188))),INDIRECT("'Yr3'!"&amp;ADDRESS(ROW(BE188),COLUMN(BE188)))),
BE208*BE175)</f>
        <v>0</v>
      </c>
      <c r="BF188" s="71">
        <f ca="1">IF($C$4=Lookups!$D$40,SUM(INDIRECT("'Yr1'!"&amp;ADDRESS(ROW(BF188),COLUMN(BF188))),INDIRECT("'Yr2'!"&amp;ADDRESS(ROW(BF188),COLUMN(BF188))),INDIRECT("'Yr3'!"&amp;ADDRESS(ROW(BF188),COLUMN(BF188)))),
BF208*BF175)</f>
        <v>0</v>
      </c>
      <c r="BG188" s="71">
        <f ca="1">IF($C$4=Lookups!$D$40,SUM(INDIRECT("'Yr1'!"&amp;ADDRESS(ROW(BG188),COLUMN(BG188))),INDIRECT("'Yr2'!"&amp;ADDRESS(ROW(BG188),COLUMN(BG188))),INDIRECT("'Yr3'!"&amp;ADDRESS(ROW(BG188),COLUMN(BG188)))),
BG208*BG175)</f>
        <v>0</v>
      </c>
      <c r="BH188" s="71">
        <f ca="1">IF($C$4=Lookups!$D$40,SUM(INDIRECT("'Yr1'!"&amp;ADDRESS(ROW(BH188),COLUMN(BH188))),INDIRECT("'Yr2'!"&amp;ADDRESS(ROW(BH188),COLUMN(BH188))),INDIRECT("'Yr3'!"&amp;ADDRESS(ROW(BH188),COLUMN(BH188)))),
BH208*BH175)</f>
        <v>0</v>
      </c>
      <c r="BI188" s="71">
        <f ca="1">IF($C$4=Lookups!$D$40,SUM(INDIRECT("'Yr1'!"&amp;ADDRESS(ROW(BI188),COLUMN(BI188))),INDIRECT("'Yr2'!"&amp;ADDRESS(ROW(BI188),COLUMN(BI188))),INDIRECT("'Yr3'!"&amp;ADDRESS(ROW(BI188),COLUMN(BI188)))),
BI208*BI175)</f>
        <v>0</v>
      </c>
      <c r="BJ188" s="71">
        <f ca="1">IF($C$4=Lookups!$D$40,SUM(INDIRECT("'Yr1'!"&amp;ADDRESS(ROW(BJ188),COLUMN(BJ188))),INDIRECT("'Yr2'!"&amp;ADDRESS(ROW(BJ188),COLUMN(BJ188))),INDIRECT("'Yr3'!"&amp;ADDRESS(ROW(BJ188),COLUMN(BJ188)))),
BJ208*BJ175)</f>
        <v>0</v>
      </c>
      <c r="BK188" s="71">
        <f ca="1">IF($C$4=Lookups!$D$40,SUM(INDIRECT("'Yr1'!"&amp;ADDRESS(ROW(BK188),COLUMN(BK188))),INDIRECT("'Yr2'!"&amp;ADDRESS(ROW(BK188),COLUMN(BK188))),INDIRECT("'Yr3'!"&amp;ADDRESS(ROW(BK188),COLUMN(BK188)))),
BK208*BK175)</f>
        <v>0</v>
      </c>
      <c r="BL188" s="71">
        <f ca="1">IF($C$4=Lookups!$D$40,SUM(INDIRECT("'Yr1'!"&amp;ADDRESS(ROW(BL188),COLUMN(BL188))),INDIRECT("'Yr2'!"&amp;ADDRESS(ROW(BL188),COLUMN(BL188))),INDIRECT("'Yr3'!"&amp;ADDRESS(ROW(BL188),COLUMN(BL188)))),
BL208*BL175)</f>
        <v>0</v>
      </c>
      <c r="BM188" s="71">
        <f ca="1">IF($C$4=Lookups!$D$40,SUM(INDIRECT("'Yr1'!"&amp;ADDRESS(ROW(BM188),COLUMN(BM188))),INDIRECT("'Yr2'!"&amp;ADDRESS(ROW(BM188),COLUMN(BM188))),INDIRECT("'Yr3'!"&amp;ADDRESS(ROW(BM188),COLUMN(BM188)))),
BM208*BM175)</f>
        <v>0</v>
      </c>
      <c r="BN188" s="71"/>
      <c r="BO188" s="71">
        <f ca="1">NPV(Lookups!$E$17,AM188:BM188)</f>
        <v>2342641.8078761054</v>
      </c>
      <c r="BP188" s="72"/>
      <c r="BS188" s="84" t="str">
        <f>E188&amp;" rate multiplied by After DSM sales."</f>
        <v>Distribution Lost Revenue rate multiplied by After DSM sales.</v>
      </c>
      <c r="BT188" s="51" t="s">
        <v>17</v>
      </c>
    </row>
    <row r="189" spans="1:72" x14ac:dyDescent="0.25">
      <c r="B189" s="243" t="str">
        <f>B187</f>
        <v>Small C&amp;I</v>
      </c>
      <c r="C189" s="243" t="str">
        <f>C187</f>
        <v>Revenue Requirements</v>
      </c>
      <c r="D189" s="114" t="s">
        <v>125</v>
      </c>
      <c r="E189" s="84"/>
      <c r="F189" s="84"/>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S189" s="84"/>
      <c r="BT189" s="51" t="s">
        <v>17</v>
      </c>
    </row>
    <row r="190" spans="1:72" x14ac:dyDescent="0.25">
      <c r="A190" s="1"/>
      <c r="B190" s="243" t="str">
        <f t="shared" ref="B190:C191" si="193">B189</f>
        <v>Small C&amp;I</v>
      </c>
      <c r="C190" s="243" t="str">
        <f t="shared" si="193"/>
        <v>Revenue Requirements</v>
      </c>
      <c r="D190" s="244" t="str">
        <f>D189</f>
        <v>Revenue Requirement after DSM Scenario</v>
      </c>
      <c r="E190" s="84" t="s">
        <v>26</v>
      </c>
      <c r="F190" s="84" t="s">
        <v>32</v>
      </c>
      <c r="G190" s="64">
        <f ca="1">G179-G184</f>
        <v>0</v>
      </c>
      <c r="H190" s="64">
        <f t="shared" ref="H190:AG190" ca="1" si="194">H179-H184</f>
        <v>0</v>
      </c>
      <c r="I190" s="64">
        <f t="shared" ca="1" si="194"/>
        <v>8357675.1718846178</v>
      </c>
      <c r="J190" s="64">
        <f t="shared" ca="1" si="194"/>
        <v>8357675.1718846178</v>
      </c>
      <c r="K190" s="64">
        <f t="shared" ca="1" si="194"/>
        <v>8357675.1718846178</v>
      </c>
      <c r="L190" s="64">
        <f t="shared" ca="1" si="194"/>
        <v>8357675.1718846178</v>
      </c>
      <c r="M190" s="64">
        <f t="shared" ca="1" si="194"/>
        <v>8357675.1718846178</v>
      </c>
      <c r="N190" s="64">
        <f t="shared" ca="1" si="194"/>
        <v>8357675.1718846178</v>
      </c>
      <c r="O190" s="64">
        <f t="shared" ca="1" si="194"/>
        <v>8357675.1718846178</v>
      </c>
      <c r="P190" s="64">
        <f t="shared" ca="1" si="194"/>
        <v>8357675.1718846178</v>
      </c>
      <c r="Q190" s="64">
        <f t="shared" ca="1" si="194"/>
        <v>8357675.1718846178</v>
      </c>
      <c r="R190" s="64">
        <f t="shared" ca="1" si="194"/>
        <v>8357675.1718846178</v>
      </c>
      <c r="S190" s="64">
        <f t="shared" ca="1" si="194"/>
        <v>8357675.1718846178</v>
      </c>
      <c r="T190" s="64">
        <f t="shared" ca="1" si="194"/>
        <v>8357675.1718846178</v>
      </c>
      <c r="U190" s="64">
        <f t="shared" ca="1" si="194"/>
        <v>8357675.1718846178</v>
      </c>
      <c r="V190" s="64">
        <f t="shared" ca="1" si="194"/>
        <v>8357675.1718846178</v>
      </c>
      <c r="W190" s="64">
        <f t="shared" ca="1" si="194"/>
        <v>8357675.1718846178</v>
      </c>
      <c r="X190" s="64">
        <f t="shared" ca="1" si="194"/>
        <v>8357675.1718846178</v>
      </c>
      <c r="Y190" s="64">
        <f t="shared" ca="1" si="194"/>
        <v>8373024.9487512652</v>
      </c>
      <c r="Z190" s="64">
        <f t="shared" ca="1" si="194"/>
        <v>8373024.9487512652</v>
      </c>
      <c r="AA190" s="64">
        <f t="shared" ca="1" si="194"/>
        <v>8373024.9487512652</v>
      </c>
      <c r="AB190" s="64">
        <f t="shared" ca="1" si="194"/>
        <v>8373024.9487512652</v>
      </c>
      <c r="AC190" s="64">
        <f t="shared" ca="1" si="194"/>
        <v>8373024.9487512652</v>
      </c>
      <c r="AD190" s="64">
        <f t="shared" ca="1" si="194"/>
        <v>8373024.9487512652</v>
      </c>
      <c r="AE190" s="64">
        <f t="shared" ca="1" si="194"/>
        <v>8373024.9487512652</v>
      </c>
      <c r="AF190" s="64">
        <f t="shared" ca="1" si="194"/>
        <v>8373024.9487512652</v>
      </c>
      <c r="AG190" s="64">
        <f t="shared" ca="1" si="194"/>
        <v>8373024.9487512652</v>
      </c>
      <c r="AH190" s="64"/>
      <c r="AI190" s="64">
        <f ca="1">NPV(Lookups!$E$17,G190:AG190)</f>
        <v>170220420.8924154</v>
      </c>
      <c r="AJ190" s="64"/>
      <c r="AM190" s="71">
        <f ca="1">AM179-AM184</f>
        <v>0</v>
      </c>
      <c r="AN190" s="71">
        <f t="shared" ref="AN190:BM190" ca="1" si="195">AN179-AN184</f>
        <v>0</v>
      </c>
      <c r="AO190" s="71">
        <f t="shared" ca="1" si="195"/>
        <v>8355482.3466179539</v>
      </c>
      <c r="AP190" s="71">
        <f t="shared" ca="1" si="195"/>
        <v>8355482.3466179539</v>
      </c>
      <c r="AQ190" s="71">
        <f t="shared" ca="1" si="195"/>
        <v>8355482.3466179539</v>
      </c>
      <c r="AR190" s="71">
        <f t="shared" ca="1" si="195"/>
        <v>8355482.3466179539</v>
      </c>
      <c r="AS190" s="71">
        <f t="shared" ca="1" si="195"/>
        <v>8355482.3466179539</v>
      </c>
      <c r="AT190" s="71">
        <f t="shared" ca="1" si="195"/>
        <v>8355482.3466179539</v>
      </c>
      <c r="AU190" s="71">
        <f t="shared" ca="1" si="195"/>
        <v>8355482.3466179539</v>
      </c>
      <c r="AV190" s="71">
        <f t="shared" ca="1" si="195"/>
        <v>8355482.3466179539</v>
      </c>
      <c r="AW190" s="71">
        <f t="shared" ca="1" si="195"/>
        <v>8355482.3466179539</v>
      </c>
      <c r="AX190" s="71">
        <f t="shared" ca="1" si="195"/>
        <v>8355482.3466179539</v>
      </c>
      <c r="AY190" s="71">
        <f t="shared" ca="1" si="195"/>
        <v>8355482.3466179539</v>
      </c>
      <c r="AZ190" s="71">
        <f t="shared" ca="1" si="195"/>
        <v>8355482.3466179539</v>
      </c>
      <c r="BA190" s="71">
        <f t="shared" ca="1" si="195"/>
        <v>8355482.3466179539</v>
      </c>
      <c r="BB190" s="71">
        <f t="shared" ca="1" si="195"/>
        <v>8355482.3466179539</v>
      </c>
      <c r="BC190" s="71">
        <f t="shared" ca="1" si="195"/>
        <v>8355482.3466179539</v>
      </c>
      <c r="BD190" s="71">
        <f t="shared" ca="1" si="195"/>
        <v>8355482.3466179539</v>
      </c>
      <c r="BE190" s="71">
        <f t="shared" ca="1" si="195"/>
        <v>8373024.9487512652</v>
      </c>
      <c r="BF190" s="71">
        <f t="shared" ca="1" si="195"/>
        <v>8373024.9487512652</v>
      </c>
      <c r="BG190" s="71">
        <f t="shared" ca="1" si="195"/>
        <v>8373024.9487512652</v>
      </c>
      <c r="BH190" s="71">
        <f t="shared" ca="1" si="195"/>
        <v>8373024.9487512652</v>
      </c>
      <c r="BI190" s="71">
        <f t="shared" ca="1" si="195"/>
        <v>8373024.9487512652</v>
      </c>
      <c r="BJ190" s="71">
        <f t="shared" ca="1" si="195"/>
        <v>8373024.9487512652</v>
      </c>
      <c r="BK190" s="71">
        <f t="shared" ca="1" si="195"/>
        <v>8373024.9487512652</v>
      </c>
      <c r="BL190" s="71">
        <f t="shared" ca="1" si="195"/>
        <v>8373024.9487512652</v>
      </c>
      <c r="BM190" s="71">
        <f t="shared" ca="1" si="195"/>
        <v>8373024.9487512652</v>
      </c>
      <c r="BN190" s="71"/>
      <c r="BO190" s="71">
        <f ca="1">NPV(Lookups!$E$17,AM190:BM190)</f>
        <v>170190082.83187139</v>
      </c>
      <c r="BP190" s="71"/>
      <c r="BS190" s="84" t="s">
        <v>229</v>
      </c>
      <c r="BT190" s="51" t="s">
        <v>17</v>
      </c>
    </row>
    <row r="191" spans="1:72" x14ac:dyDescent="0.25">
      <c r="A191" s="1"/>
      <c r="B191" s="243" t="str">
        <f t="shared" si="193"/>
        <v>Small C&amp;I</v>
      </c>
      <c r="C191" s="243" t="str">
        <f t="shared" si="193"/>
        <v>Revenue Requirements</v>
      </c>
      <c r="D191" s="244" t="str">
        <f>D190</f>
        <v>Revenue Requirement after DSM Scenario</v>
      </c>
      <c r="E191" s="84" t="s">
        <v>407</v>
      </c>
      <c r="F191" s="84" t="s">
        <v>32</v>
      </c>
      <c r="G191" s="64">
        <f>G180</f>
        <v>0</v>
      </c>
      <c r="H191" s="64">
        <f t="shared" ref="H191:AG191" si="196">H180</f>
        <v>0</v>
      </c>
      <c r="I191" s="64">
        <f t="shared" si="196"/>
        <v>111038.85441192142</v>
      </c>
      <c r="J191" s="64">
        <f t="shared" si="196"/>
        <v>111038.85441192142</v>
      </c>
      <c r="K191" s="64">
        <f t="shared" si="196"/>
        <v>111038.85441192142</v>
      </c>
      <c r="L191" s="64">
        <f t="shared" si="196"/>
        <v>111038.85441192142</v>
      </c>
      <c r="M191" s="64">
        <f t="shared" si="196"/>
        <v>111038.85441192142</v>
      </c>
      <c r="N191" s="64">
        <f t="shared" si="196"/>
        <v>111038.85441192142</v>
      </c>
      <c r="O191" s="64">
        <f t="shared" si="196"/>
        <v>111038.85441192142</v>
      </c>
      <c r="P191" s="64">
        <f t="shared" si="196"/>
        <v>111038.85441192142</v>
      </c>
      <c r="Q191" s="64">
        <f t="shared" si="196"/>
        <v>111038.85441192142</v>
      </c>
      <c r="R191" s="64">
        <f t="shared" si="196"/>
        <v>111038.85441192142</v>
      </c>
      <c r="S191" s="64">
        <f t="shared" si="196"/>
        <v>111038.85441192142</v>
      </c>
      <c r="T191" s="64">
        <f t="shared" si="196"/>
        <v>111038.85441192142</v>
      </c>
      <c r="U191" s="64">
        <f t="shared" si="196"/>
        <v>111038.85441192142</v>
      </c>
      <c r="V191" s="64">
        <f t="shared" si="196"/>
        <v>111038.85441192142</v>
      </c>
      <c r="W191" s="64">
        <f t="shared" si="196"/>
        <v>111038.85441192142</v>
      </c>
      <c r="X191" s="64">
        <f t="shared" si="196"/>
        <v>111038.85441192142</v>
      </c>
      <c r="Y191" s="64">
        <f t="shared" si="196"/>
        <v>111038.85441192142</v>
      </c>
      <c r="Z191" s="64">
        <f t="shared" si="196"/>
        <v>111038.85441192142</v>
      </c>
      <c r="AA191" s="64">
        <f t="shared" si="196"/>
        <v>111038.85441192142</v>
      </c>
      <c r="AB191" s="64">
        <f t="shared" si="196"/>
        <v>111038.85441192142</v>
      </c>
      <c r="AC191" s="64">
        <f t="shared" si="196"/>
        <v>111038.85441192142</v>
      </c>
      <c r="AD191" s="64">
        <f t="shared" si="196"/>
        <v>111038.85441192142</v>
      </c>
      <c r="AE191" s="64">
        <f t="shared" si="196"/>
        <v>111038.85441192142</v>
      </c>
      <c r="AF191" s="64">
        <f t="shared" si="196"/>
        <v>111038.85441192142</v>
      </c>
      <c r="AG191" s="64">
        <f t="shared" si="196"/>
        <v>111038.85441192142</v>
      </c>
      <c r="AH191" s="64"/>
      <c r="AI191" s="64">
        <f>NPV(Lookups!$E$17,G191:AG191)</f>
        <v>2260194.0844146786</v>
      </c>
      <c r="AJ191" s="64"/>
      <c r="AM191" s="71">
        <f>AM180</f>
        <v>0</v>
      </c>
      <c r="AN191" s="71">
        <f t="shared" ref="AN191:BM191" si="197">AN180</f>
        <v>0</v>
      </c>
      <c r="AO191" s="71">
        <f t="shared" si="197"/>
        <v>111038.85441192142</v>
      </c>
      <c r="AP191" s="71">
        <f t="shared" si="197"/>
        <v>111038.85441192142</v>
      </c>
      <c r="AQ191" s="71">
        <f t="shared" si="197"/>
        <v>111038.85441192142</v>
      </c>
      <c r="AR191" s="71">
        <f t="shared" si="197"/>
        <v>111038.85441192142</v>
      </c>
      <c r="AS191" s="71">
        <f t="shared" si="197"/>
        <v>111038.85441192142</v>
      </c>
      <c r="AT191" s="71">
        <f t="shared" si="197"/>
        <v>111038.85441192142</v>
      </c>
      <c r="AU191" s="71">
        <f t="shared" si="197"/>
        <v>111038.85441192142</v>
      </c>
      <c r="AV191" s="71">
        <f t="shared" si="197"/>
        <v>111038.85441192142</v>
      </c>
      <c r="AW191" s="71">
        <f t="shared" si="197"/>
        <v>111038.85441192142</v>
      </c>
      <c r="AX191" s="71">
        <f t="shared" si="197"/>
        <v>111038.85441192142</v>
      </c>
      <c r="AY191" s="71">
        <f t="shared" si="197"/>
        <v>111038.85441192142</v>
      </c>
      <c r="AZ191" s="71">
        <f t="shared" si="197"/>
        <v>111038.85441192142</v>
      </c>
      <c r="BA191" s="71">
        <f t="shared" si="197"/>
        <v>111038.85441192142</v>
      </c>
      <c r="BB191" s="71">
        <f t="shared" si="197"/>
        <v>111038.85441192142</v>
      </c>
      <c r="BC191" s="71">
        <f t="shared" si="197"/>
        <v>111038.85441192142</v>
      </c>
      <c r="BD191" s="71">
        <f t="shared" si="197"/>
        <v>111038.85441192142</v>
      </c>
      <c r="BE191" s="71">
        <f t="shared" si="197"/>
        <v>111038.85441192142</v>
      </c>
      <c r="BF191" s="71">
        <f t="shared" si="197"/>
        <v>111038.85441192142</v>
      </c>
      <c r="BG191" s="71">
        <f t="shared" si="197"/>
        <v>111038.85441192142</v>
      </c>
      <c r="BH191" s="71">
        <f t="shared" si="197"/>
        <v>111038.85441192142</v>
      </c>
      <c r="BI191" s="71">
        <f t="shared" si="197"/>
        <v>111038.85441192142</v>
      </c>
      <c r="BJ191" s="71">
        <f t="shared" si="197"/>
        <v>111038.85441192142</v>
      </c>
      <c r="BK191" s="71">
        <f t="shared" si="197"/>
        <v>111038.85441192142</v>
      </c>
      <c r="BL191" s="71">
        <f t="shared" si="197"/>
        <v>111038.85441192142</v>
      </c>
      <c r="BM191" s="71">
        <f t="shared" si="197"/>
        <v>111038.85441192142</v>
      </c>
      <c r="BN191" s="71"/>
      <c r="BO191" s="71">
        <f>NPV(Lookups!$E$17,AM191:BM191)</f>
        <v>2260194.0844146786</v>
      </c>
      <c r="BP191" s="71"/>
      <c r="BS191" s="84" t="s">
        <v>230</v>
      </c>
      <c r="BT191" s="51" t="s">
        <v>17</v>
      </c>
    </row>
    <row r="192" spans="1:72" x14ac:dyDescent="0.25">
      <c r="A192" s="1"/>
      <c r="B192" s="243" t="str">
        <f>B190</f>
        <v>Small C&amp;I</v>
      </c>
      <c r="C192" s="243" t="str">
        <f>C190</f>
        <v>Revenue Requirements</v>
      </c>
      <c r="D192" s="244" t="str">
        <f>D190</f>
        <v>Revenue Requirement after DSM Scenario</v>
      </c>
      <c r="E192" s="84" t="s">
        <v>197</v>
      </c>
      <c r="F192" s="84" t="s">
        <v>32</v>
      </c>
      <c r="G192" s="64">
        <f ca="1">G181-G183-G185</f>
        <v>0</v>
      </c>
      <c r="H192" s="64">
        <f t="shared" ref="H192:AG192" ca="1" si="198">H181-H183-H185</f>
        <v>0</v>
      </c>
      <c r="I192" s="64">
        <f t="shared" ca="1" si="198"/>
        <v>12968414.105851356</v>
      </c>
      <c r="J192" s="64">
        <f t="shared" ca="1" si="198"/>
        <v>12968414.105851356</v>
      </c>
      <c r="K192" s="64">
        <f t="shared" ca="1" si="198"/>
        <v>12968414.105851356</v>
      </c>
      <c r="L192" s="64">
        <f t="shared" ca="1" si="198"/>
        <v>12968414.105851356</v>
      </c>
      <c r="M192" s="64">
        <f t="shared" ca="1" si="198"/>
        <v>12968414.105851356</v>
      </c>
      <c r="N192" s="64">
        <f t="shared" ca="1" si="198"/>
        <v>12968414.105851356</v>
      </c>
      <c r="O192" s="64">
        <f t="shared" ca="1" si="198"/>
        <v>12968414.105851356</v>
      </c>
      <c r="P192" s="64">
        <f t="shared" ca="1" si="198"/>
        <v>12968414.105851356</v>
      </c>
      <c r="Q192" s="64">
        <f t="shared" ca="1" si="198"/>
        <v>12968414.105851356</v>
      </c>
      <c r="R192" s="64">
        <f t="shared" ca="1" si="198"/>
        <v>12968414.105851356</v>
      </c>
      <c r="S192" s="64">
        <f t="shared" ca="1" si="198"/>
        <v>12968414.105851356</v>
      </c>
      <c r="T192" s="64">
        <f t="shared" ca="1" si="198"/>
        <v>12968414.105851356</v>
      </c>
      <c r="U192" s="64">
        <f t="shared" ca="1" si="198"/>
        <v>12968414.105851356</v>
      </c>
      <c r="V192" s="64">
        <f t="shared" ca="1" si="198"/>
        <v>12968414.105851356</v>
      </c>
      <c r="W192" s="64">
        <f t="shared" ca="1" si="198"/>
        <v>12968414.105851356</v>
      </c>
      <c r="X192" s="64">
        <f t="shared" ca="1" si="198"/>
        <v>12968414.105851356</v>
      </c>
      <c r="Y192" s="64">
        <f t="shared" ca="1" si="198"/>
        <v>13217894.400188331</v>
      </c>
      <c r="Z192" s="64">
        <f t="shared" ca="1" si="198"/>
        <v>13217894.400188331</v>
      </c>
      <c r="AA192" s="64">
        <f t="shared" ca="1" si="198"/>
        <v>13217894.400188331</v>
      </c>
      <c r="AB192" s="64">
        <f t="shared" ca="1" si="198"/>
        <v>13217894.400188331</v>
      </c>
      <c r="AC192" s="64">
        <f t="shared" ca="1" si="198"/>
        <v>13217894.400188331</v>
      </c>
      <c r="AD192" s="64">
        <f t="shared" ca="1" si="198"/>
        <v>13217894.400188331</v>
      </c>
      <c r="AE192" s="64">
        <f t="shared" ca="1" si="198"/>
        <v>13217894.400188331</v>
      </c>
      <c r="AF192" s="64">
        <f t="shared" ca="1" si="198"/>
        <v>13217894.400188331</v>
      </c>
      <c r="AG192" s="64">
        <f t="shared" ca="1" si="198"/>
        <v>13217894.400188331</v>
      </c>
      <c r="AH192" s="64"/>
      <c r="AI192" s="64">
        <f ca="1">NPV(Lookups!$E$17,G192:AG192)</f>
        <v>265598429.96911931</v>
      </c>
      <c r="AJ192" s="64"/>
      <c r="AM192" s="71">
        <f ca="1">AM181-AM183-AM185</f>
        <v>0</v>
      </c>
      <c r="AN192" s="71">
        <f t="shared" ref="AN192:BM192" ca="1" si="199">AN181-AN183-AN185</f>
        <v>0</v>
      </c>
      <c r="AO192" s="71">
        <f t="shared" ca="1" si="199"/>
        <v>12932774.063803218</v>
      </c>
      <c r="AP192" s="71">
        <f t="shared" ca="1" si="199"/>
        <v>12932774.063803218</v>
      </c>
      <c r="AQ192" s="71">
        <f t="shared" ca="1" si="199"/>
        <v>12932774.063803218</v>
      </c>
      <c r="AR192" s="71">
        <f t="shared" ca="1" si="199"/>
        <v>12932774.063803218</v>
      </c>
      <c r="AS192" s="71">
        <f t="shared" ca="1" si="199"/>
        <v>12932774.063803218</v>
      </c>
      <c r="AT192" s="71">
        <f t="shared" ca="1" si="199"/>
        <v>12932774.063803218</v>
      </c>
      <c r="AU192" s="71">
        <f t="shared" ca="1" si="199"/>
        <v>12932774.063803218</v>
      </c>
      <c r="AV192" s="71">
        <f t="shared" ca="1" si="199"/>
        <v>12932774.063803218</v>
      </c>
      <c r="AW192" s="71">
        <f t="shared" ca="1" si="199"/>
        <v>12932774.063803218</v>
      </c>
      <c r="AX192" s="71">
        <f t="shared" ca="1" si="199"/>
        <v>12932774.063803218</v>
      </c>
      <c r="AY192" s="71">
        <f t="shared" ca="1" si="199"/>
        <v>12932774.063803218</v>
      </c>
      <c r="AZ192" s="71">
        <f t="shared" ca="1" si="199"/>
        <v>12932774.063803218</v>
      </c>
      <c r="BA192" s="71">
        <f t="shared" ca="1" si="199"/>
        <v>12932774.063803218</v>
      </c>
      <c r="BB192" s="71">
        <f t="shared" ca="1" si="199"/>
        <v>12932774.063803218</v>
      </c>
      <c r="BC192" s="71">
        <f t="shared" ca="1" si="199"/>
        <v>12932774.063803218</v>
      </c>
      <c r="BD192" s="71">
        <f t="shared" ca="1" si="199"/>
        <v>12932774.063803218</v>
      </c>
      <c r="BE192" s="71">
        <f t="shared" ca="1" si="199"/>
        <v>13217894.400188331</v>
      </c>
      <c r="BF192" s="71">
        <f t="shared" ca="1" si="199"/>
        <v>13217894.400188331</v>
      </c>
      <c r="BG192" s="71">
        <f t="shared" ca="1" si="199"/>
        <v>13217894.400188331</v>
      </c>
      <c r="BH192" s="71">
        <f t="shared" ca="1" si="199"/>
        <v>13217894.400188331</v>
      </c>
      <c r="BI192" s="71">
        <f t="shared" ca="1" si="199"/>
        <v>13217894.400188331</v>
      </c>
      <c r="BJ192" s="71">
        <f t="shared" ca="1" si="199"/>
        <v>13217894.400188331</v>
      </c>
      <c r="BK192" s="71">
        <f t="shared" ca="1" si="199"/>
        <v>13217894.400188331</v>
      </c>
      <c r="BL192" s="71">
        <f t="shared" ca="1" si="199"/>
        <v>13217894.400188331</v>
      </c>
      <c r="BM192" s="71">
        <f t="shared" ca="1" si="199"/>
        <v>13217894.400188331</v>
      </c>
      <c r="BN192" s="71"/>
      <c r="BO192" s="71">
        <f ca="1">NPV(Lookups!$E$17,AM192:BM192)</f>
        <v>265105344.73798561</v>
      </c>
      <c r="BP192" s="71"/>
      <c r="BS192" s="84" t="s">
        <v>231</v>
      </c>
      <c r="BT192" s="51" t="s">
        <v>17</v>
      </c>
    </row>
    <row r="193" spans="1:72" x14ac:dyDescent="0.25">
      <c r="B193" s="243" t="str">
        <f t="shared" ref="B193:C197" si="200">B192</f>
        <v>Small C&amp;I</v>
      </c>
      <c r="C193" s="243" t="str">
        <f t="shared" si="200"/>
        <v>Revenue Requirements</v>
      </c>
      <c r="D193" s="244"/>
      <c r="E193" s="84" t="s">
        <v>17</v>
      </c>
      <c r="F193" s="84"/>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S193" s="84"/>
      <c r="BT193" s="51" t="s">
        <v>17</v>
      </c>
    </row>
    <row r="194" spans="1:72" s="5" customFormat="1" ht="15.75" x14ac:dyDescent="0.25">
      <c r="A194" s="52"/>
      <c r="B194" s="241" t="str">
        <f t="shared" si="200"/>
        <v>Small C&amp;I</v>
      </c>
      <c r="C194" s="63" t="s">
        <v>30</v>
      </c>
      <c r="D194" s="61"/>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2"/>
      <c r="BO194" s="62"/>
      <c r="BP194" s="62"/>
      <c r="BS194" s="62"/>
      <c r="BT194" s="51" t="s">
        <v>17</v>
      </c>
    </row>
    <row r="195" spans="1:72" x14ac:dyDescent="0.25">
      <c r="B195" s="243" t="str">
        <f t="shared" si="200"/>
        <v>Small C&amp;I</v>
      </c>
      <c r="C195" s="243" t="str">
        <f t="shared" si="200"/>
        <v>Rates</v>
      </c>
      <c r="D195" s="114" t="str">
        <f>"Rates before DSM ("&amp;Lookups!$D$22&amp;" Scenario)"</f>
        <v>Rates before DSM (No EE Scenario)</v>
      </c>
      <c r="E195" s="84"/>
      <c r="F195" s="84"/>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S195" s="84"/>
      <c r="BT195" s="51" t="s">
        <v>17</v>
      </c>
    </row>
    <row r="196" spans="1:72" x14ac:dyDescent="0.25">
      <c r="B196" s="243" t="str">
        <f t="shared" si="200"/>
        <v>Small C&amp;I</v>
      </c>
      <c r="C196" s="243" t="str">
        <f t="shared" si="200"/>
        <v>Rates</v>
      </c>
      <c r="D196" s="244" t="str">
        <f>D195</f>
        <v>Rates before DSM (No EE Scenario)</v>
      </c>
      <c r="E196" s="84" t="s">
        <v>26</v>
      </c>
      <c r="F196" s="84" t="s">
        <v>182</v>
      </c>
      <c r="G196" s="506">
        <f>IF(G$8=0,0,INDEX('R&amp;B Inputs'!$I$78:$V$78,MATCH($B196,'R&amp;B Inputs'!$I$4:$V$4,0))*(1+INDEX('R&amp;B Inputs'!$I$48:$V$48,MATCH($B196,'R&amp;B Inputs'!$I$4:$V$4,0)))^(G$7-Year1))</f>
        <v>0</v>
      </c>
      <c r="H196" s="506">
        <f>IF(H$8=0,0,INDEX('R&amp;B Inputs'!$I$78:$V$78,MATCH($B196,'R&amp;B Inputs'!$I$4:$V$4,0))*(1+INDEX('R&amp;B Inputs'!$I$48:$V$48,MATCH($B196,'R&amp;B Inputs'!$I$4:$V$4,0)))^(H$7-Year1))</f>
        <v>0</v>
      </c>
      <c r="I196" s="506">
        <f>IF(I$8=0,0,INDEX('R&amp;B Inputs'!$I$78:$V$78,MATCH($B196,'R&amp;B Inputs'!$I$4:$V$4,0))*(1+INDEX('R&amp;B Inputs'!$I$48:$V$48,MATCH($B196,'R&amp;B Inputs'!$I$4:$V$4,0)))^(I$7-Year1))</f>
        <v>0.39211256243681192</v>
      </c>
      <c r="J196" s="506">
        <f>IF(J$8=0,0,INDEX('R&amp;B Inputs'!$I$78:$V$78,MATCH($B196,'R&amp;B Inputs'!$I$4:$V$4,0))*(1+INDEX('R&amp;B Inputs'!$I$48:$V$48,MATCH($B196,'R&amp;B Inputs'!$I$4:$V$4,0)))^(J$7-Year1))</f>
        <v>0.39211256243681192</v>
      </c>
      <c r="K196" s="506">
        <f>IF(K$8=0,0,INDEX('R&amp;B Inputs'!$I$78:$V$78,MATCH($B196,'R&amp;B Inputs'!$I$4:$V$4,0))*(1+INDEX('R&amp;B Inputs'!$I$48:$V$48,MATCH($B196,'R&amp;B Inputs'!$I$4:$V$4,0)))^(K$7-Year1))</f>
        <v>0.39211256243681192</v>
      </c>
      <c r="L196" s="506">
        <f>IF(L$8=0,0,INDEX('R&amp;B Inputs'!$I$78:$V$78,MATCH($B196,'R&amp;B Inputs'!$I$4:$V$4,0))*(1+INDEX('R&amp;B Inputs'!$I$48:$V$48,MATCH($B196,'R&amp;B Inputs'!$I$4:$V$4,0)))^(L$7-Year1))</f>
        <v>0.39211256243681192</v>
      </c>
      <c r="M196" s="506">
        <f>IF(M$8=0,0,INDEX('R&amp;B Inputs'!$I$78:$V$78,MATCH($B196,'R&amp;B Inputs'!$I$4:$V$4,0))*(1+INDEX('R&amp;B Inputs'!$I$48:$V$48,MATCH($B196,'R&amp;B Inputs'!$I$4:$V$4,0)))^(M$7-Year1))</f>
        <v>0.39211256243681192</v>
      </c>
      <c r="N196" s="506">
        <f>IF(N$8=0,0,INDEX('R&amp;B Inputs'!$I$78:$V$78,MATCH($B196,'R&amp;B Inputs'!$I$4:$V$4,0))*(1+INDEX('R&amp;B Inputs'!$I$48:$V$48,MATCH($B196,'R&amp;B Inputs'!$I$4:$V$4,0)))^(N$7-Year1))</f>
        <v>0.39211256243681192</v>
      </c>
      <c r="O196" s="506">
        <f>IF(O$8=0,0,INDEX('R&amp;B Inputs'!$I$78:$V$78,MATCH($B196,'R&amp;B Inputs'!$I$4:$V$4,0))*(1+INDEX('R&amp;B Inputs'!$I$48:$V$48,MATCH($B196,'R&amp;B Inputs'!$I$4:$V$4,0)))^(O$7-Year1))</f>
        <v>0.39211256243681192</v>
      </c>
      <c r="P196" s="506">
        <f>IF(P$8=0,0,INDEX('R&amp;B Inputs'!$I$78:$V$78,MATCH($B196,'R&amp;B Inputs'!$I$4:$V$4,0))*(1+INDEX('R&amp;B Inputs'!$I$48:$V$48,MATCH($B196,'R&amp;B Inputs'!$I$4:$V$4,0)))^(P$7-Year1))</f>
        <v>0.39211256243681192</v>
      </c>
      <c r="Q196" s="506">
        <f>IF(Q$8=0,0,INDEX('R&amp;B Inputs'!$I$78:$V$78,MATCH($B196,'R&amp;B Inputs'!$I$4:$V$4,0))*(1+INDEX('R&amp;B Inputs'!$I$48:$V$48,MATCH($B196,'R&amp;B Inputs'!$I$4:$V$4,0)))^(Q$7-Year1))</f>
        <v>0.39211256243681192</v>
      </c>
      <c r="R196" s="506">
        <f>IF(R$8=0,0,INDEX('R&amp;B Inputs'!$I$78:$V$78,MATCH($B196,'R&amp;B Inputs'!$I$4:$V$4,0))*(1+INDEX('R&amp;B Inputs'!$I$48:$V$48,MATCH($B196,'R&amp;B Inputs'!$I$4:$V$4,0)))^(R$7-Year1))</f>
        <v>0.39211256243681192</v>
      </c>
      <c r="S196" s="506">
        <f>IF(S$8=0,0,INDEX('R&amp;B Inputs'!$I$78:$V$78,MATCH($B196,'R&amp;B Inputs'!$I$4:$V$4,0))*(1+INDEX('R&amp;B Inputs'!$I$48:$V$48,MATCH($B196,'R&amp;B Inputs'!$I$4:$V$4,0)))^(S$7-Year1))</f>
        <v>0.39211256243681192</v>
      </c>
      <c r="T196" s="506">
        <f>IF(T$8=0,0,INDEX('R&amp;B Inputs'!$I$78:$V$78,MATCH($B196,'R&amp;B Inputs'!$I$4:$V$4,0))*(1+INDEX('R&amp;B Inputs'!$I$48:$V$48,MATCH($B196,'R&amp;B Inputs'!$I$4:$V$4,0)))^(T$7-Year1))</f>
        <v>0.39211256243681192</v>
      </c>
      <c r="U196" s="506">
        <f>IF(U$8=0,0,INDEX('R&amp;B Inputs'!$I$78:$V$78,MATCH($B196,'R&amp;B Inputs'!$I$4:$V$4,0))*(1+INDEX('R&amp;B Inputs'!$I$48:$V$48,MATCH($B196,'R&amp;B Inputs'!$I$4:$V$4,0)))^(U$7-Year1))</f>
        <v>0.39211256243681192</v>
      </c>
      <c r="V196" s="506">
        <f>IF(V$8=0,0,INDEX('R&amp;B Inputs'!$I$78:$V$78,MATCH($B196,'R&amp;B Inputs'!$I$4:$V$4,0))*(1+INDEX('R&amp;B Inputs'!$I$48:$V$48,MATCH($B196,'R&amp;B Inputs'!$I$4:$V$4,0)))^(V$7-Year1))</f>
        <v>0.39211256243681192</v>
      </c>
      <c r="W196" s="506">
        <f>IF(W$8=0,0,INDEX('R&amp;B Inputs'!$I$78:$V$78,MATCH($B196,'R&amp;B Inputs'!$I$4:$V$4,0))*(1+INDEX('R&amp;B Inputs'!$I$48:$V$48,MATCH($B196,'R&amp;B Inputs'!$I$4:$V$4,0)))^(W$7-Year1))</f>
        <v>0.39211256243681192</v>
      </c>
      <c r="X196" s="506">
        <f>IF(X$8=0,0,INDEX('R&amp;B Inputs'!$I$78:$V$78,MATCH($B196,'R&amp;B Inputs'!$I$4:$V$4,0))*(1+INDEX('R&amp;B Inputs'!$I$48:$V$48,MATCH($B196,'R&amp;B Inputs'!$I$4:$V$4,0)))^(X$7-Year1))</f>
        <v>0.39211256243681192</v>
      </c>
      <c r="Y196" s="506">
        <f>IF(Y$8=0,0,INDEX('R&amp;B Inputs'!$I$78:$V$78,MATCH($B196,'R&amp;B Inputs'!$I$4:$V$4,0))*(1+INDEX('R&amp;B Inputs'!$I$48:$V$48,MATCH($B196,'R&amp;B Inputs'!$I$4:$V$4,0)))^(Y$7-Year1))</f>
        <v>0.39211256243681192</v>
      </c>
      <c r="Z196" s="506">
        <f>IF(Z$8=0,0,INDEX('R&amp;B Inputs'!$I$78:$V$78,MATCH($B196,'R&amp;B Inputs'!$I$4:$V$4,0))*(1+INDEX('R&amp;B Inputs'!$I$48:$V$48,MATCH($B196,'R&amp;B Inputs'!$I$4:$V$4,0)))^(Z$7-Year1))</f>
        <v>0.39211256243681192</v>
      </c>
      <c r="AA196" s="506">
        <f>IF(AA$8=0,0,INDEX('R&amp;B Inputs'!$I$78:$V$78,MATCH($B196,'R&amp;B Inputs'!$I$4:$V$4,0))*(1+INDEX('R&amp;B Inputs'!$I$48:$V$48,MATCH($B196,'R&amp;B Inputs'!$I$4:$V$4,0)))^(AA$7-Year1))</f>
        <v>0.39211256243681192</v>
      </c>
      <c r="AB196" s="506">
        <f>IF(AB$8=0,0,INDEX('R&amp;B Inputs'!$I$78:$V$78,MATCH($B196,'R&amp;B Inputs'!$I$4:$V$4,0))*(1+INDEX('R&amp;B Inputs'!$I$48:$V$48,MATCH($B196,'R&amp;B Inputs'!$I$4:$V$4,0)))^(AB$7-Year1))</f>
        <v>0.39211256243681192</v>
      </c>
      <c r="AC196" s="506">
        <f>IF(AC$8=0,0,INDEX('R&amp;B Inputs'!$I$78:$V$78,MATCH($B196,'R&amp;B Inputs'!$I$4:$V$4,0))*(1+INDEX('R&amp;B Inputs'!$I$48:$V$48,MATCH($B196,'R&amp;B Inputs'!$I$4:$V$4,0)))^(AC$7-Year1))</f>
        <v>0.39211256243681192</v>
      </c>
      <c r="AD196" s="506">
        <f>IF(AD$8=0,0,INDEX('R&amp;B Inputs'!$I$78:$V$78,MATCH($B196,'R&amp;B Inputs'!$I$4:$V$4,0))*(1+INDEX('R&amp;B Inputs'!$I$48:$V$48,MATCH($B196,'R&amp;B Inputs'!$I$4:$V$4,0)))^(AD$7-Year1))</f>
        <v>0.39211256243681192</v>
      </c>
      <c r="AE196" s="506">
        <f>IF(AE$8=0,0,INDEX('R&amp;B Inputs'!$I$78:$V$78,MATCH($B196,'R&amp;B Inputs'!$I$4:$V$4,0))*(1+INDEX('R&amp;B Inputs'!$I$48:$V$48,MATCH($B196,'R&amp;B Inputs'!$I$4:$V$4,0)))^(AE$7-Year1))</f>
        <v>0.39211256243681192</v>
      </c>
      <c r="AF196" s="506">
        <f>IF(AF$8=0,0,INDEX('R&amp;B Inputs'!$I$78:$V$78,MATCH($B196,'R&amp;B Inputs'!$I$4:$V$4,0))*(1+INDEX('R&amp;B Inputs'!$I$48:$V$48,MATCH($B196,'R&amp;B Inputs'!$I$4:$V$4,0)))^(AF$7-Year1))</f>
        <v>0.39211256243681192</v>
      </c>
      <c r="AG196" s="506">
        <f>IF(AG$8=0,0,INDEX('R&amp;B Inputs'!$I$78:$V$78,MATCH($B196,'R&amp;B Inputs'!$I$4:$V$4,0))*(1+INDEX('R&amp;B Inputs'!$I$48:$V$48,MATCH($B196,'R&amp;B Inputs'!$I$4:$V$4,0)))^(AG$7-Year1))</f>
        <v>0.39211256243681192</v>
      </c>
      <c r="AH196" s="506"/>
      <c r="AI196" s="506"/>
      <c r="AJ196" s="506">
        <f>IF($C$4=Year1,-PMT(Lookups!$E$17,25,NPV(Lookups!$E$17,G196:AE196),0,1),IF($C$4=Year2,-PMT(Lookups!$F$17,25,NPV(Lookups!$F$17,H196:AF196),0,1),IF($C$4=Year3,-PMT(Lookups!$G$17,25,NPV(Lookups!$G$17,I196:AG196),0,1),-PMT(Lookups!$G$17,27,NPV(Lookups!$G$17,G196:AG196),0,1))))</f>
        <v>0.38664387391469068</v>
      </c>
      <c r="AK196" s="507"/>
      <c r="AL196" s="507"/>
      <c r="AM196" s="508">
        <f>IF(AM$8=0,0,INDEX('R&amp;B Inputs'!$I$78:$V$78,MATCH($B196,'R&amp;B Inputs'!$I$4:$V$4,0))*(1+INDEX('R&amp;B Inputs'!$I$48:$V$48,MATCH($B196,'R&amp;B Inputs'!$I$4:$V$4,0)))^(AM$7-Year1))</f>
        <v>0</v>
      </c>
      <c r="AN196" s="508">
        <f>IF(AN$8=0,0,INDEX('R&amp;B Inputs'!$I$78:$V$78,MATCH($B196,'R&amp;B Inputs'!$I$4:$V$4,0))*(1+INDEX('R&amp;B Inputs'!$I$48:$V$48,MATCH($B196,'R&amp;B Inputs'!$I$4:$V$4,0)))^(AN$7-Year1))</f>
        <v>0</v>
      </c>
      <c r="AO196" s="508">
        <f>IF(AO$8=0,0,INDEX('R&amp;B Inputs'!$I$78:$V$78,MATCH($B196,'R&amp;B Inputs'!$I$4:$V$4,0))*(1+INDEX('R&amp;B Inputs'!$I$48:$V$48,MATCH($B196,'R&amp;B Inputs'!$I$4:$V$4,0)))^(AO$7-Year1))</f>
        <v>0.39211256243681192</v>
      </c>
      <c r="AP196" s="508">
        <f>IF(AP$8=0,0,INDEX('R&amp;B Inputs'!$I$78:$V$78,MATCH($B196,'R&amp;B Inputs'!$I$4:$V$4,0))*(1+INDEX('R&amp;B Inputs'!$I$48:$V$48,MATCH($B196,'R&amp;B Inputs'!$I$4:$V$4,0)))^(AP$7-Year1))</f>
        <v>0.39211256243681192</v>
      </c>
      <c r="AQ196" s="508">
        <f>IF(AQ$8=0,0,INDEX('R&amp;B Inputs'!$I$78:$V$78,MATCH($B196,'R&amp;B Inputs'!$I$4:$V$4,0))*(1+INDEX('R&amp;B Inputs'!$I$48:$V$48,MATCH($B196,'R&amp;B Inputs'!$I$4:$V$4,0)))^(AQ$7-Year1))</f>
        <v>0.39211256243681192</v>
      </c>
      <c r="AR196" s="508">
        <f>IF(AR$8=0,0,INDEX('R&amp;B Inputs'!$I$78:$V$78,MATCH($B196,'R&amp;B Inputs'!$I$4:$V$4,0))*(1+INDEX('R&amp;B Inputs'!$I$48:$V$48,MATCH($B196,'R&amp;B Inputs'!$I$4:$V$4,0)))^(AR$7-Year1))</f>
        <v>0.39211256243681192</v>
      </c>
      <c r="AS196" s="508">
        <f>IF(AS$8=0,0,INDEX('R&amp;B Inputs'!$I$78:$V$78,MATCH($B196,'R&amp;B Inputs'!$I$4:$V$4,0))*(1+INDEX('R&amp;B Inputs'!$I$48:$V$48,MATCH($B196,'R&amp;B Inputs'!$I$4:$V$4,0)))^(AS$7-Year1))</f>
        <v>0.39211256243681192</v>
      </c>
      <c r="AT196" s="508">
        <f>IF(AT$8=0,0,INDEX('R&amp;B Inputs'!$I$78:$V$78,MATCH($B196,'R&amp;B Inputs'!$I$4:$V$4,0))*(1+INDEX('R&amp;B Inputs'!$I$48:$V$48,MATCH($B196,'R&amp;B Inputs'!$I$4:$V$4,0)))^(AT$7-Year1))</f>
        <v>0.39211256243681192</v>
      </c>
      <c r="AU196" s="508">
        <f>IF(AU$8=0,0,INDEX('R&amp;B Inputs'!$I$78:$V$78,MATCH($B196,'R&amp;B Inputs'!$I$4:$V$4,0))*(1+INDEX('R&amp;B Inputs'!$I$48:$V$48,MATCH($B196,'R&amp;B Inputs'!$I$4:$V$4,0)))^(AU$7-Year1))</f>
        <v>0.39211256243681192</v>
      </c>
      <c r="AV196" s="508">
        <f>IF(AV$8=0,0,INDEX('R&amp;B Inputs'!$I$78:$V$78,MATCH($B196,'R&amp;B Inputs'!$I$4:$V$4,0))*(1+INDEX('R&amp;B Inputs'!$I$48:$V$48,MATCH($B196,'R&amp;B Inputs'!$I$4:$V$4,0)))^(AV$7-Year1))</f>
        <v>0.39211256243681192</v>
      </c>
      <c r="AW196" s="508">
        <f>IF(AW$8=0,0,INDEX('R&amp;B Inputs'!$I$78:$V$78,MATCH($B196,'R&amp;B Inputs'!$I$4:$V$4,0))*(1+INDEX('R&amp;B Inputs'!$I$48:$V$48,MATCH($B196,'R&amp;B Inputs'!$I$4:$V$4,0)))^(AW$7-Year1))</f>
        <v>0.39211256243681192</v>
      </c>
      <c r="AX196" s="508">
        <f>IF(AX$8=0,0,INDEX('R&amp;B Inputs'!$I$78:$V$78,MATCH($B196,'R&amp;B Inputs'!$I$4:$V$4,0))*(1+INDEX('R&amp;B Inputs'!$I$48:$V$48,MATCH($B196,'R&amp;B Inputs'!$I$4:$V$4,0)))^(AX$7-Year1))</f>
        <v>0.39211256243681192</v>
      </c>
      <c r="AY196" s="508">
        <f>IF(AY$8=0,0,INDEX('R&amp;B Inputs'!$I$78:$V$78,MATCH($B196,'R&amp;B Inputs'!$I$4:$V$4,0))*(1+INDEX('R&amp;B Inputs'!$I$48:$V$48,MATCH($B196,'R&amp;B Inputs'!$I$4:$V$4,0)))^(AY$7-Year1))</f>
        <v>0.39211256243681192</v>
      </c>
      <c r="AZ196" s="508">
        <f>IF(AZ$8=0,0,INDEX('R&amp;B Inputs'!$I$78:$V$78,MATCH($B196,'R&amp;B Inputs'!$I$4:$V$4,0))*(1+INDEX('R&amp;B Inputs'!$I$48:$V$48,MATCH($B196,'R&amp;B Inputs'!$I$4:$V$4,0)))^(AZ$7-Year1))</f>
        <v>0.39211256243681192</v>
      </c>
      <c r="BA196" s="508">
        <f>IF(BA$8=0,0,INDEX('R&amp;B Inputs'!$I$78:$V$78,MATCH($B196,'R&amp;B Inputs'!$I$4:$V$4,0))*(1+INDEX('R&amp;B Inputs'!$I$48:$V$48,MATCH($B196,'R&amp;B Inputs'!$I$4:$V$4,0)))^(BA$7-Year1))</f>
        <v>0.39211256243681192</v>
      </c>
      <c r="BB196" s="508">
        <f>IF(BB$8=0,0,INDEX('R&amp;B Inputs'!$I$78:$V$78,MATCH($B196,'R&amp;B Inputs'!$I$4:$V$4,0))*(1+INDEX('R&amp;B Inputs'!$I$48:$V$48,MATCH($B196,'R&amp;B Inputs'!$I$4:$V$4,0)))^(BB$7-Year1))</f>
        <v>0.39211256243681192</v>
      </c>
      <c r="BC196" s="508">
        <f>IF(BC$8=0,0,INDEX('R&amp;B Inputs'!$I$78:$V$78,MATCH($B196,'R&amp;B Inputs'!$I$4:$V$4,0))*(1+INDEX('R&amp;B Inputs'!$I$48:$V$48,MATCH($B196,'R&amp;B Inputs'!$I$4:$V$4,0)))^(BC$7-Year1))</f>
        <v>0.39211256243681192</v>
      </c>
      <c r="BD196" s="508">
        <f>IF(BD$8=0,0,INDEX('R&amp;B Inputs'!$I$78:$V$78,MATCH($B196,'R&amp;B Inputs'!$I$4:$V$4,0))*(1+INDEX('R&amp;B Inputs'!$I$48:$V$48,MATCH($B196,'R&amp;B Inputs'!$I$4:$V$4,0)))^(BD$7-Year1))</f>
        <v>0.39211256243681192</v>
      </c>
      <c r="BE196" s="508">
        <f>IF(BE$8=0,0,INDEX('R&amp;B Inputs'!$I$78:$V$78,MATCH($B196,'R&amp;B Inputs'!$I$4:$V$4,0))*(1+INDEX('R&amp;B Inputs'!$I$48:$V$48,MATCH($B196,'R&amp;B Inputs'!$I$4:$V$4,0)))^(BE$7-Year1))</f>
        <v>0.39211256243681192</v>
      </c>
      <c r="BF196" s="508">
        <f>IF(BF$8=0,0,INDEX('R&amp;B Inputs'!$I$78:$V$78,MATCH($B196,'R&amp;B Inputs'!$I$4:$V$4,0))*(1+INDEX('R&amp;B Inputs'!$I$48:$V$48,MATCH($B196,'R&amp;B Inputs'!$I$4:$V$4,0)))^(BF$7-Year1))</f>
        <v>0.39211256243681192</v>
      </c>
      <c r="BG196" s="508">
        <f>IF(BG$8=0,0,INDEX('R&amp;B Inputs'!$I$78:$V$78,MATCH($B196,'R&amp;B Inputs'!$I$4:$V$4,0))*(1+INDEX('R&amp;B Inputs'!$I$48:$V$48,MATCH($B196,'R&amp;B Inputs'!$I$4:$V$4,0)))^(BG$7-Year1))</f>
        <v>0.39211256243681192</v>
      </c>
      <c r="BH196" s="508">
        <f>IF(BH$8=0,0,INDEX('R&amp;B Inputs'!$I$78:$V$78,MATCH($B196,'R&amp;B Inputs'!$I$4:$V$4,0))*(1+INDEX('R&amp;B Inputs'!$I$48:$V$48,MATCH($B196,'R&amp;B Inputs'!$I$4:$V$4,0)))^(BH$7-Year1))</f>
        <v>0.39211256243681192</v>
      </c>
      <c r="BI196" s="508">
        <f>IF(BI$8=0,0,INDEX('R&amp;B Inputs'!$I$78:$V$78,MATCH($B196,'R&amp;B Inputs'!$I$4:$V$4,0))*(1+INDEX('R&amp;B Inputs'!$I$48:$V$48,MATCH($B196,'R&amp;B Inputs'!$I$4:$V$4,0)))^(BI$7-Year1))</f>
        <v>0.39211256243681192</v>
      </c>
      <c r="BJ196" s="508">
        <f>IF(BJ$8=0,0,INDEX('R&amp;B Inputs'!$I$78:$V$78,MATCH($B196,'R&amp;B Inputs'!$I$4:$V$4,0))*(1+INDEX('R&amp;B Inputs'!$I$48:$V$48,MATCH($B196,'R&amp;B Inputs'!$I$4:$V$4,0)))^(BJ$7-Year1))</f>
        <v>0.39211256243681192</v>
      </c>
      <c r="BK196" s="508">
        <f>IF(BK$8=0,0,INDEX('R&amp;B Inputs'!$I$78:$V$78,MATCH($B196,'R&amp;B Inputs'!$I$4:$V$4,0))*(1+INDEX('R&amp;B Inputs'!$I$48:$V$48,MATCH($B196,'R&amp;B Inputs'!$I$4:$V$4,0)))^(BK$7-Year1))</f>
        <v>0.39211256243681192</v>
      </c>
      <c r="BL196" s="508">
        <f>IF(BL$8=0,0,INDEX('R&amp;B Inputs'!$I$78:$V$78,MATCH($B196,'R&amp;B Inputs'!$I$4:$V$4,0))*(1+INDEX('R&amp;B Inputs'!$I$48:$V$48,MATCH($B196,'R&amp;B Inputs'!$I$4:$V$4,0)))^(BL$7-Year1))</f>
        <v>0.39211256243681192</v>
      </c>
      <c r="BM196" s="508">
        <f>IF(BM$8=0,0,INDEX('R&amp;B Inputs'!$I$78:$V$78,MATCH($B196,'R&amp;B Inputs'!$I$4:$V$4,0))*(1+INDEX('R&amp;B Inputs'!$I$48:$V$48,MATCH($B196,'R&amp;B Inputs'!$I$4:$V$4,0)))^(BM$7-Year1))</f>
        <v>0.39211256243681192</v>
      </c>
      <c r="BN196" s="508"/>
      <c r="BO196" s="508"/>
      <c r="BP196" s="508">
        <f>IF($C$4=Year1,-PMT(Lookups!$E$17,25,NPV(Lookups!$E$17,AM196:BK196),0,1),IF($C$4=Year2,-PMT(Lookups!$F$17,25,NPV(Lookups!$F$17,AN196:BL196),0,1),IF($C$4=Year3,-PMT(Lookups!$G$17,25,NPV(Lookups!$G$17,AO196:BM196),0,1),-PMT(Lookups!$G$17,27,NPV(Lookups!$G$17,AM196:BM196),0,1))))</f>
        <v>0.38664387391469068</v>
      </c>
      <c r="BS196" s="76" t="str">
        <f t="shared" ref="BS196:BS198" si="201">E196&amp;" charge from the R&amp;B Inputs tab, escalated annually by the growth rate included on the R&amp;B Inputs tab."</f>
        <v>Distribution charge from the R&amp;B Inputs tab, escalated annually by the growth rate included on the R&amp;B Inputs tab.</v>
      </c>
      <c r="BT196" s="51" t="s">
        <v>17</v>
      </c>
    </row>
    <row r="197" spans="1:72" x14ac:dyDescent="0.25">
      <c r="B197" s="243" t="str">
        <f t="shared" si="200"/>
        <v>Small C&amp;I</v>
      </c>
      <c r="C197" s="243" t="str">
        <f t="shared" si="200"/>
        <v>Rates</v>
      </c>
      <c r="D197" s="244" t="str">
        <f>D196</f>
        <v>Rates before DSM (No EE Scenario)</v>
      </c>
      <c r="E197" s="84" t="s">
        <v>407</v>
      </c>
      <c r="F197" s="84" t="s">
        <v>182</v>
      </c>
      <c r="G197" s="506">
        <f>IF(G$8=0,0,INDEX('R&amp;B Inputs'!$I$82:$V$82,MATCH($B197,'R&amp;B Inputs'!$I$4:$V$4,0))*(1+INDEX('R&amp;B Inputs'!$I$62:$V$62,MATCH($B197,'R&amp;B Inputs'!$I$4:$V$4,0)))^(G$7-Year1))</f>
        <v>0</v>
      </c>
      <c r="H197" s="506">
        <f>IF(H$8=0,0,INDEX('R&amp;B Inputs'!$I$82:$V$82,MATCH($B197,'R&amp;B Inputs'!$I$4:$V$4,0))*(1+INDEX('R&amp;B Inputs'!$I$62:$V$62,MATCH($B197,'R&amp;B Inputs'!$I$4:$V$4,0)))^(H$7-Year1))</f>
        <v>0</v>
      </c>
      <c r="I197" s="506">
        <f>IF(I$8=0,0,INDEX('R&amp;B Inputs'!$I$82:$V$82,MATCH($B197,'R&amp;B Inputs'!$I$4:$V$4,0))*(1+INDEX('R&amp;B Inputs'!$I$62:$V$62,MATCH($B197,'R&amp;B Inputs'!$I$4:$V$4,0)))^(I$7-Year1))</f>
        <v>5.2000000000000032E-3</v>
      </c>
      <c r="J197" s="506">
        <f>IF(J$8=0,0,INDEX('R&amp;B Inputs'!$I$82:$V$82,MATCH($B197,'R&amp;B Inputs'!$I$4:$V$4,0))*(1+INDEX('R&amp;B Inputs'!$I$62:$V$62,MATCH($B197,'R&amp;B Inputs'!$I$4:$V$4,0)))^(J$7-Year1))</f>
        <v>5.2000000000000032E-3</v>
      </c>
      <c r="K197" s="506">
        <f>IF(K$8=0,0,INDEX('R&amp;B Inputs'!$I$82:$V$82,MATCH($B197,'R&amp;B Inputs'!$I$4:$V$4,0))*(1+INDEX('R&amp;B Inputs'!$I$62:$V$62,MATCH($B197,'R&amp;B Inputs'!$I$4:$V$4,0)))^(K$7-Year1))</f>
        <v>5.2000000000000032E-3</v>
      </c>
      <c r="L197" s="506">
        <f>IF(L$8=0,0,INDEX('R&amp;B Inputs'!$I$82:$V$82,MATCH($B197,'R&amp;B Inputs'!$I$4:$V$4,0))*(1+INDEX('R&amp;B Inputs'!$I$62:$V$62,MATCH($B197,'R&amp;B Inputs'!$I$4:$V$4,0)))^(L$7-Year1))</f>
        <v>5.2000000000000032E-3</v>
      </c>
      <c r="M197" s="506">
        <f>IF(M$8=0,0,INDEX('R&amp;B Inputs'!$I$82:$V$82,MATCH($B197,'R&amp;B Inputs'!$I$4:$V$4,0))*(1+INDEX('R&amp;B Inputs'!$I$62:$V$62,MATCH($B197,'R&amp;B Inputs'!$I$4:$V$4,0)))^(M$7-Year1))</f>
        <v>5.2000000000000032E-3</v>
      </c>
      <c r="N197" s="506">
        <f>IF(N$8=0,0,INDEX('R&amp;B Inputs'!$I$82:$V$82,MATCH($B197,'R&amp;B Inputs'!$I$4:$V$4,0))*(1+INDEX('R&amp;B Inputs'!$I$62:$V$62,MATCH($B197,'R&amp;B Inputs'!$I$4:$V$4,0)))^(N$7-Year1))</f>
        <v>5.2000000000000032E-3</v>
      </c>
      <c r="O197" s="506">
        <f>IF(O$8=0,0,INDEX('R&amp;B Inputs'!$I$82:$V$82,MATCH($B197,'R&amp;B Inputs'!$I$4:$V$4,0))*(1+INDEX('R&amp;B Inputs'!$I$62:$V$62,MATCH($B197,'R&amp;B Inputs'!$I$4:$V$4,0)))^(O$7-Year1))</f>
        <v>5.2000000000000032E-3</v>
      </c>
      <c r="P197" s="506">
        <f>IF(P$8=0,0,INDEX('R&amp;B Inputs'!$I$82:$V$82,MATCH($B197,'R&amp;B Inputs'!$I$4:$V$4,0))*(1+INDEX('R&amp;B Inputs'!$I$62:$V$62,MATCH($B197,'R&amp;B Inputs'!$I$4:$V$4,0)))^(P$7-Year1))</f>
        <v>5.2000000000000032E-3</v>
      </c>
      <c r="Q197" s="506">
        <f>IF(Q$8=0,0,INDEX('R&amp;B Inputs'!$I$82:$V$82,MATCH($B197,'R&amp;B Inputs'!$I$4:$V$4,0))*(1+INDEX('R&amp;B Inputs'!$I$62:$V$62,MATCH($B197,'R&amp;B Inputs'!$I$4:$V$4,0)))^(Q$7-Year1))</f>
        <v>5.2000000000000032E-3</v>
      </c>
      <c r="R197" s="506">
        <f>IF(R$8=0,0,INDEX('R&amp;B Inputs'!$I$82:$V$82,MATCH($B197,'R&amp;B Inputs'!$I$4:$V$4,0))*(1+INDEX('R&amp;B Inputs'!$I$62:$V$62,MATCH($B197,'R&amp;B Inputs'!$I$4:$V$4,0)))^(R$7-Year1))</f>
        <v>5.2000000000000032E-3</v>
      </c>
      <c r="S197" s="506">
        <f>IF(S$8=0,0,INDEX('R&amp;B Inputs'!$I$82:$V$82,MATCH($B197,'R&amp;B Inputs'!$I$4:$V$4,0))*(1+INDEX('R&amp;B Inputs'!$I$62:$V$62,MATCH($B197,'R&amp;B Inputs'!$I$4:$V$4,0)))^(S$7-Year1))</f>
        <v>5.2000000000000032E-3</v>
      </c>
      <c r="T197" s="506">
        <f>IF(T$8=0,0,INDEX('R&amp;B Inputs'!$I$82:$V$82,MATCH($B197,'R&amp;B Inputs'!$I$4:$V$4,0))*(1+INDEX('R&amp;B Inputs'!$I$62:$V$62,MATCH($B197,'R&amp;B Inputs'!$I$4:$V$4,0)))^(T$7-Year1))</f>
        <v>5.2000000000000032E-3</v>
      </c>
      <c r="U197" s="506">
        <f>IF(U$8=0,0,INDEX('R&amp;B Inputs'!$I$82:$V$82,MATCH($B197,'R&amp;B Inputs'!$I$4:$V$4,0))*(1+INDEX('R&amp;B Inputs'!$I$62:$V$62,MATCH($B197,'R&amp;B Inputs'!$I$4:$V$4,0)))^(U$7-Year1))</f>
        <v>5.2000000000000032E-3</v>
      </c>
      <c r="V197" s="506">
        <f>IF(V$8=0,0,INDEX('R&amp;B Inputs'!$I$82:$V$82,MATCH($B197,'R&amp;B Inputs'!$I$4:$V$4,0))*(1+INDEX('R&amp;B Inputs'!$I$62:$V$62,MATCH($B197,'R&amp;B Inputs'!$I$4:$V$4,0)))^(V$7-Year1))</f>
        <v>5.2000000000000032E-3</v>
      </c>
      <c r="W197" s="506">
        <f>IF(W$8=0,0,INDEX('R&amp;B Inputs'!$I$82:$V$82,MATCH($B197,'R&amp;B Inputs'!$I$4:$V$4,0))*(1+INDEX('R&amp;B Inputs'!$I$62:$V$62,MATCH($B197,'R&amp;B Inputs'!$I$4:$V$4,0)))^(W$7-Year1))</f>
        <v>5.2000000000000032E-3</v>
      </c>
      <c r="X197" s="506">
        <f>IF(X$8=0,0,INDEX('R&amp;B Inputs'!$I$82:$V$82,MATCH($B197,'R&amp;B Inputs'!$I$4:$V$4,0))*(1+INDEX('R&amp;B Inputs'!$I$62:$V$62,MATCH($B197,'R&amp;B Inputs'!$I$4:$V$4,0)))^(X$7-Year1))</f>
        <v>5.2000000000000032E-3</v>
      </c>
      <c r="Y197" s="506">
        <f>IF(Y$8=0,0,INDEX('R&amp;B Inputs'!$I$82:$V$82,MATCH($B197,'R&amp;B Inputs'!$I$4:$V$4,0))*(1+INDEX('R&amp;B Inputs'!$I$62:$V$62,MATCH($B197,'R&amp;B Inputs'!$I$4:$V$4,0)))^(Y$7-Year1))</f>
        <v>5.2000000000000032E-3</v>
      </c>
      <c r="Z197" s="506">
        <f>IF(Z$8=0,0,INDEX('R&amp;B Inputs'!$I$82:$V$82,MATCH($B197,'R&amp;B Inputs'!$I$4:$V$4,0))*(1+INDEX('R&amp;B Inputs'!$I$62:$V$62,MATCH($B197,'R&amp;B Inputs'!$I$4:$V$4,0)))^(Z$7-Year1))</f>
        <v>5.2000000000000032E-3</v>
      </c>
      <c r="AA197" s="506">
        <f>IF(AA$8=0,0,INDEX('R&amp;B Inputs'!$I$82:$V$82,MATCH($B197,'R&amp;B Inputs'!$I$4:$V$4,0))*(1+INDEX('R&amp;B Inputs'!$I$62:$V$62,MATCH($B197,'R&amp;B Inputs'!$I$4:$V$4,0)))^(AA$7-Year1))</f>
        <v>5.2000000000000032E-3</v>
      </c>
      <c r="AB197" s="506">
        <f>IF(AB$8=0,0,INDEX('R&amp;B Inputs'!$I$82:$V$82,MATCH($B197,'R&amp;B Inputs'!$I$4:$V$4,0))*(1+INDEX('R&amp;B Inputs'!$I$62:$V$62,MATCH($B197,'R&amp;B Inputs'!$I$4:$V$4,0)))^(AB$7-Year1))</f>
        <v>5.2000000000000032E-3</v>
      </c>
      <c r="AC197" s="506">
        <f>IF(AC$8=0,0,INDEX('R&amp;B Inputs'!$I$82:$V$82,MATCH($B197,'R&amp;B Inputs'!$I$4:$V$4,0))*(1+INDEX('R&amp;B Inputs'!$I$62:$V$62,MATCH($B197,'R&amp;B Inputs'!$I$4:$V$4,0)))^(AC$7-Year1))</f>
        <v>5.2000000000000032E-3</v>
      </c>
      <c r="AD197" s="506">
        <f>IF(AD$8=0,0,INDEX('R&amp;B Inputs'!$I$82:$V$82,MATCH($B197,'R&amp;B Inputs'!$I$4:$V$4,0))*(1+INDEX('R&amp;B Inputs'!$I$62:$V$62,MATCH($B197,'R&amp;B Inputs'!$I$4:$V$4,0)))^(AD$7-Year1))</f>
        <v>5.2000000000000032E-3</v>
      </c>
      <c r="AE197" s="506">
        <f>IF(AE$8=0,0,INDEX('R&amp;B Inputs'!$I$82:$V$82,MATCH($B197,'R&amp;B Inputs'!$I$4:$V$4,0))*(1+INDEX('R&amp;B Inputs'!$I$62:$V$62,MATCH($B197,'R&amp;B Inputs'!$I$4:$V$4,0)))^(AE$7-Year1))</f>
        <v>5.2000000000000032E-3</v>
      </c>
      <c r="AF197" s="506">
        <f>IF(AF$8=0,0,INDEX('R&amp;B Inputs'!$I$82:$V$82,MATCH($B197,'R&amp;B Inputs'!$I$4:$V$4,0))*(1+INDEX('R&amp;B Inputs'!$I$62:$V$62,MATCH($B197,'R&amp;B Inputs'!$I$4:$V$4,0)))^(AF$7-Year1))</f>
        <v>5.2000000000000032E-3</v>
      </c>
      <c r="AG197" s="506">
        <f>IF(AG$8=0,0,INDEX('R&amp;B Inputs'!$I$82:$V$82,MATCH($B197,'R&amp;B Inputs'!$I$4:$V$4,0))*(1+INDEX('R&amp;B Inputs'!$I$62:$V$62,MATCH($B197,'R&amp;B Inputs'!$I$4:$V$4,0)))^(AG$7-Year1))</f>
        <v>5.2000000000000032E-3</v>
      </c>
      <c r="AH197" s="506"/>
      <c r="AI197" s="506"/>
      <c r="AJ197" s="506">
        <f>IF($C$4=Year1,-PMT(Lookups!$E$17,25,NPV(Lookups!$E$17,G197:AE197),0,1),IF($C$4=Year2,-PMT(Lookups!$F$17,25,NPV(Lookups!$F$17,H197:AF197),0,1),IF($C$4=Year3,-PMT(Lookups!$G$17,25,NPV(Lookups!$G$17,I197:AG197),0,1),-PMT(Lookups!$G$17,27,NPV(Lookups!$G$17,G197:AG197),0,1))))</f>
        <v>5.1274769975786939E-3</v>
      </c>
      <c r="AK197" s="507"/>
      <c r="AL197" s="507"/>
      <c r="AM197" s="508">
        <f>IF(AM$8=0,0,INDEX('R&amp;B Inputs'!$I$82:$V$82,MATCH($B197,'R&amp;B Inputs'!$I$4:$V$4,0))*(1+INDEX('R&amp;B Inputs'!$I$62:$V$62,MATCH($B197,'R&amp;B Inputs'!$I$4:$V$4,0)))^(AM$7-Year1))</f>
        <v>0</v>
      </c>
      <c r="AN197" s="508">
        <f>IF(AN$8=0,0,INDEX('R&amp;B Inputs'!$I$82:$V$82,MATCH($B197,'R&amp;B Inputs'!$I$4:$V$4,0))*(1+INDEX('R&amp;B Inputs'!$I$62:$V$62,MATCH($B197,'R&amp;B Inputs'!$I$4:$V$4,0)))^(AN$7-Year1))</f>
        <v>0</v>
      </c>
      <c r="AO197" s="508">
        <f>IF(AO$8=0,0,INDEX('R&amp;B Inputs'!$I$82:$V$82,MATCH($B197,'R&amp;B Inputs'!$I$4:$V$4,0))*(1+INDEX('R&amp;B Inputs'!$I$62:$V$62,MATCH($B197,'R&amp;B Inputs'!$I$4:$V$4,0)))^(AO$7-Year1))</f>
        <v>5.2000000000000032E-3</v>
      </c>
      <c r="AP197" s="508">
        <f>IF(AP$8=0,0,INDEX('R&amp;B Inputs'!$I$82:$V$82,MATCH($B197,'R&amp;B Inputs'!$I$4:$V$4,0))*(1+INDEX('R&amp;B Inputs'!$I$62:$V$62,MATCH($B197,'R&amp;B Inputs'!$I$4:$V$4,0)))^(AP$7-Year1))</f>
        <v>5.2000000000000032E-3</v>
      </c>
      <c r="AQ197" s="508">
        <f>IF(AQ$8=0,0,INDEX('R&amp;B Inputs'!$I$82:$V$82,MATCH($B197,'R&amp;B Inputs'!$I$4:$V$4,0))*(1+INDEX('R&amp;B Inputs'!$I$62:$V$62,MATCH($B197,'R&amp;B Inputs'!$I$4:$V$4,0)))^(AQ$7-Year1))</f>
        <v>5.2000000000000032E-3</v>
      </c>
      <c r="AR197" s="508">
        <f>IF(AR$8=0,0,INDEX('R&amp;B Inputs'!$I$82:$V$82,MATCH($B197,'R&amp;B Inputs'!$I$4:$V$4,0))*(1+INDEX('R&amp;B Inputs'!$I$62:$V$62,MATCH($B197,'R&amp;B Inputs'!$I$4:$V$4,0)))^(AR$7-Year1))</f>
        <v>5.2000000000000032E-3</v>
      </c>
      <c r="AS197" s="508">
        <f>IF(AS$8=0,0,INDEX('R&amp;B Inputs'!$I$82:$V$82,MATCH($B197,'R&amp;B Inputs'!$I$4:$V$4,0))*(1+INDEX('R&amp;B Inputs'!$I$62:$V$62,MATCH($B197,'R&amp;B Inputs'!$I$4:$V$4,0)))^(AS$7-Year1))</f>
        <v>5.2000000000000032E-3</v>
      </c>
      <c r="AT197" s="508">
        <f>IF(AT$8=0,0,INDEX('R&amp;B Inputs'!$I$82:$V$82,MATCH($B197,'R&amp;B Inputs'!$I$4:$V$4,0))*(1+INDEX('R&amp;B Inputs'!$I$62:$V$62,MATCH($B197,'R&amp;B Inputs'!$I$4:$V$4,0)))^(AT$7-Year1))</f>
        <v>5.2000000000000032E-3</v>
      </c>
      <c r="AU197" s="508">
        <f>IF(AU$8=0,0,INDEX('R&amp;B Inputs'!$I$82:$V$82,MATCH($B197,'R&amp;B Inputs'!$I$4:$V$4,0))*(1+INDEX('R&amp;B Inputs'!$I$62:$V$62,MATCH($B197,'R&amp;B Inputs'!$I$4:$V$4,0)))^(AU$7-Year1))</f>
        <v>5.2000000000000032E-3</v>
      </c>
      <c r="AV197" s="508">
        <f>IF(AV$8=0,0,INDEX('R&amp;B Inputs'!$I$82:$V$82,MATCH($B197,'R&amp;B Inputs'!$I$4:$V$4,0))*(1+INDEX('R&amp;B Inputs'!$I$62:$V$62,MATCH($B197,'R&amp;B Inputs'!$I$4:$V$4,0)))^(AV$7-Year1))</f>
        <v>5.2000000000000032E-3</v>
      </c>
      <c r="AW197" s="508">
        <f>IF(AW$8=0,0,INDEX('R&amp;B Inputs'!$I$82:$V$82,MATCH($B197,'R&amp;B Inputs'!$I$4:$V$4,0))*(1+INDEX('R&amp;B Inputs'!$I$62:$V$62,MATCH($B197,'R&amp;B Inputs'!$I$4:$V$4,0)))^(AW$7-Year1))</f>
        <v>5.2000000000000032E-3</v>
      </c>
      <c r="AX197" s="508">
        <f>IF(AX$8=0,0,INDEX('R&amp;B Inputs'!$I$82:$V$82,MATCH($B197,'R&amp;B Inputs'!$I$4:$V$4,0))*(1+INDEX('R&amp;B Inputs'!$I$62:$V$62,MATCH($B197,'R&amp;B Inputs'!$I$4:$V$4,0)))^(AX$7-Year1))</f>
        <v>5.2000000000000032E-3</v>
      </c>
      <c r="AY197" s="508">
        <f>IF(AY$8=0,0,INDEX('R&amp;B Inputs'!$I$82:$V$82,MATCH($B197,'R&amp;B Inputs'!$I$4:$V$4,0))*(1+INDEX('R&amp;B Inputs'!$I$62:$V$62,MATCH($B197,'R&amp;B Inputs'!$I$4:$V$4,0)))^(AY$7-Year1))</f>
        <v>5.2000000000000032E-3</v>
      </c>
      <c r="AZ197" s="508">
        <f>IF(AZ$8=0,0,INDEX('R&amp;B Inputs'!$I$82:$V$82,MATCH($B197,'R&amp;B Inputs'!$I$4:$V$4,0))*(1+INDEX('R&amp;B Inputs'!$I$62:$V$62,MATCH($B197,'R&amp;B Inputs'!$I$4:$V$4,0)))^(AZ$7-Year1))</f>
        <v>5.2000000000000032E-3</v>
      </c>
      <c r="BA197" s="508">
        <f>IF(BA$8=0,0,INDEX('R&amp;B Inputs'!$I$82:$V$82,MATCH($B197,'R&amp;B Inputs'!$I$4:$V$4,0))*(1+INDEX('R&amp;B Inputs'!$I$62:$V$62,MATCH($B197,'R&amp;B Inputs'!$I$4:$V$4,0)))^(BA$7-Year1))</f>
        <v>5.2000000000000032E-3</v>
      </c>
      <c r="BB197" s="508">
        <f>IF(BB$8=0,0,INDEX('R&amp;B Inputs'!$I$82:$V$82,MATCH($B197,'R&amp;B Inputs'!$I$4:$V$4,0))*(1+INDEX('R&amp;B Inputs'!$I$62:$V$62,MATCH($B197,'R&amp;B Inputs'!$I$4:$V$4,0)))^(BB$7-Year1))</f>
        <v>5.2000000000000032E-3</v>
      </c>
      <c r="BC197" s="508">
        <f>IF(BC$8=0,0,INDEX('R&amp;B Inputs'!$I$82:$V$82,MATCH($B197,'R&amp;B Inputs'!$I$4:$V$4,0))*(1+INDEX('R&amp;B Inputs'!$I$62:$V$62,MATCH($B197,'R&amp;B Inputs'!$I$4:$V$4,0)))^(BC$7-Year1))</f>
        <v>5.2000000000000032E-3</v>
      </c>
      <c r="BD197" s="508">
        <f>IF(BD$8=0,0,INDEX('R&amp;B Inputs'!$I$82:$V$82,MATCH($B197,'R&amp;B Inputs'!$I$4:$V$4,0))*(1+INDEX('R&amp;B Inputs'!$I$62:$V$62,MATCH($B197,'R&amp;B Inputs'!$I$4:$V$4,0)))^(BD$7-Year1))</f>
        <v>5.2000000000000032E-3</v>
      </c>
      <c r="BE197" s="508">
        <f>IF(BE$8=0,0,INDEX('R&amp;B Inputs'!$I$82:$V$82,MATCH($B197,'R&amp;B Inputs'!$I$4:$V$4,0))*(1+INDEX('R&amp;B Inputs'!$I$62:$V$62,MATCH($B197,'R&amp;B Inputs'!$I$4:$V$4,0)))^(BE$7-Year1))</f>
        <v>5.2000000000000032E-3</v>
      </c>
      <c r="BF197" s="508">
        <f>IF(BF$8=0,0,INDEX('R&amp;B Inputs'!$I$82:$V$82,MATCH($B197,'R&amp;B Inputs'!$I$4:$V$4,0))*(1+INDEX('R&amp;B Inputs'!$I$62:$V$62,MATCH($B197,'R&amp;B Inputs'!$I$4:$V$4,0)))^(BF$7-Year1))</f>
        <v>5.2000000000000032E-3</v>
      </c>
      <c r="BG197" s="508">
        <f>IF(BG$8=0,0,INDEX('R&amp;B Inputs'!$I$82:$V$82,MATCH($B197,'R&amp;B Inputs'!$I$4:$V$4,0))*(1+INDEX('R&amp;B Inputs'!$I$62:$V$62,MATCH($B197,'R&amp;B Inputs'!$I$4:$V$4,0)))^(BG$7-Year1))</f>
        <v>5.2000000000000032E-3</v>
      </c>
      <c r="BH197" s="508">
        <f>IF(BH$8=0,0,INDEX('R&amp;B Inputs'!$I$82:$V$82,MATCH($B197,'R&amp;B Inputs'!$I$4:$V$4,0))*(1+INDEX('R&amp;B Inputs'!$I$62:$V$62,MATCH($B197,'R&amp;B Inputs'!$I$4:$V$4,0)))^(BH$7-Year1))</f>
        <v>5.2000000000000032E-3</v>
      </c>
      <c r="BI197" s="508">
        <f>IF(BI$8=0,0,INDEX('R&amp;B Inputs'!$I$82:$V$82,MATCH($B197,'R&amp;B Inputs'!$I$4:$V$4,0))*(1+INDEX('R&amp;B Inputs'!$I$62:$V$62,MATCH($B197,'R&amp;B Inputs'!$I$4:$V$4,0)))^(BI$7-Year1))</f>
        <v>5.2000000000000032E-3</v>
      </c>
      <c r="BJ197" s="508">
        <f>IF(BJ$8=0,0,INDEX('R&amp;B Inputs'!$I$82:$V$82,MATCH($B197,'R&amp;B Inputs'!$I$4:$V$4,0))*(1+INDEX('R&amp;B Inputs'!$I$62:$V$62,MATCH($B197,'R&amp;B Inputs'!$I$4:$V$4,0)))^(BJ$7-Year1))</f>
        <v>5.2000000000000032E-3</v>
      </c>
      <c r="BK197" s="508">
        <f>IF(BK$8=0,0,INDEX('R&amp;B Inputs'!$I$82:$V$82,MATCH($B197,'R&amp;B Inputs'!$I$4:$V$4,0))*(1+INDEX('R&amp;B Inputs'!$I$62:$V$62,MATCH($B197,'R&amp;B Inputs'!$I$4:$V$4,0)))^(BK$7-Year1))</f>
        <v>5.2000000000000032E-3</v>
      </c>
      <c r="BL197" s="508">
        <f>IF(BL$8=0,0,INDEX('R&amp;B Inputs'!$I$82:$V$82,MATCH($B197,'R&amp;B Inputs'!$I$4:$V$4,0))*(1+INDEX('R&amp;B Inputs'!$I$62:$V$62,MATCH($B197,'R&amp;B Inputs'!$I$4:$V$4,0)))^(BL$7-Year1))</f>
        <v>5.2000000000000032E-3</v>
      </c>
      <c r="BM197" s="508">
        <f>IF(BM$8=0,0,INDEX('R&amp;B Inputs'!$I$82:$V$82,MATCH($B197,'R&amp;B Inputs'!$I$4:$V$4,0))*(1+INDEX('R&amp;B Inputs'!$I$62:$V$62,MATCH($B197,'R&amp;B Inputs'!$I$4:$V$4,0)))^(BM$7-Year1))</f>
        <v>5.2000000000000032E-3</v>
      </c>
      <c r="BN197" s="508"/>
      <c r="BO197" s="508"/>
      <c r="BP197" s="508">
        <f>IF($C$4=Year1,-PMT(Lookups!$E$17,25,NPV(Lookups!$E$17,AM197:BK197),0,1),IF($C$4=Year2,-PMT(Lookups!$F$17,25,NPV(Lookups!$F$17,AN197:BL197),0,1),IF($C$4=Year3,-PMT(Lookups!$G$17,25,NPV(Lookups!$G$17,AO197:BM197),0,1),-PMT(Lookups!$G$17,27,NPV(Lookups!$G$17,AM197:BM197),0,1))))</f>
        <v>5.1274769975786939E-3</v>
      </c>
      <c r="BS197" s="76" t="str">
        <f t="shared" si="201"/>
        <v>LDAC, Non-EE charge from the R&amp;B Inputs tab, escalated annually by the growth rate included on the R&amp;B Inputs tab.</v>
      </c>
      <c r="BT197" s="51" t="s">
        <v>17</v>
      </c>
    </row>
    <row r="198" spans="1:72" x14ac:dyDescent="0.25">
      <c r="B198" s="243" t="str">
        <f>B196</f>
        <v>Small C&amp;I</v>
      </c>
      <c r="C198" s="243" t="str">
        <f>C196</f>
        <v>Rates</v>
      </c>
      <c r="D198" s="244" t="str">
        <f>D196</f>
        <v>Rates before DSM (No EE Scenario)</v>
      </c>
      <c r="E198" s="84" t="s">
        <v>197</v>
      </c>
      <c r="F198" s="84" t="s">
        <v>182</v>
      </c>
      <c r="G198" s="506">
        <f>IF(G$8=0,0,INDEX('R&amp;B Inputs'!$I$86:$V$86,MATCH($B198,'R&amp;B Inputs'!$I$4:$V$4,0))*(1+INDEX('R&amp;B Inputs'!$I$66:$V$66,MATCH($B198,'R&amp;B Inputs'!$I$4:$V$4,0)))^(G$7-Year1))</f>
        <v>0</v>
      </c>
      <c r="H198" s="506">
        <f>IF(H$8=0,0,INDEX('R&amp;B Inputs'!$I$86:$V$86,MATCH($B198,'R&amp;B Inputs'!$I$4:$V$4,0))*(1+INDEX('R&amp;B Inputs'!$I$66:$V$66,MATCH($B198,'R&amp;B Inputs'!$I$4:$V$4,0)))^(H$7-Year1))</f>
        <v>0</v>
      </c>
      <c r="I198" s="506">
        <f>IF(I$8=0,0,INDEX('R&amp;B Inputs'!$I$86:$V$86,MATCH($B198,'R&amp;B Inputs'!$I$4:$V$4,0))*(1+INDEX('R&amp;B Inputs'!$I$66:$V$66,MATCH($B198,'R&amp;B Inputs'!$I$4:$V$4,0)))^(I$7-Year1))</f>
        <v>0.61899999999999999</v>
      </c>
      <c r="J198" s="506">
        <f>IF(J$8=0,0,INDEX('R&amp;B Inputs'!$I$86:$V$86,MATCH($B198,'R&amp;B Inputs'!$I$4:$V$4,0))*(1+INDEX('R&amp;B Inputs'!$I$66:$V$66,MATCH($B198,'R&amp;B Inputs'!$I$4:$V$4,0)))^(J$7-Year1))</f>
        <v>0.61899999999999999</v>
      </c>
      <c r="K198" s="506">
        <f>IF(K$8=0,0,INDEX('R&amp;B Inputs'!$I$86:$V$86,MATCH($B198,'R&amp;B Inputs'!$I$4:$V$4,0))*(1+INDEX('R&amp;B Inputs'!$I$66:$V$66,MATCH($B198,'R&amp;B Inputs'!$I$4:$V$4,0)))^(K$7-Year1))</f>
        <v>0.61899999999999999</v>
      </c>
      <c r="L198" s="506">
        <f>IF(L$8=0,0,INDEX('R&amp;B Inputs'!$I$86:$V$86,MATCH($B198,'R&amp;B Inputs'!$I$4:$V$4,0))*(1+INDEX('R&amp;B Inputs'!$I$66:$V$66,MATCH($B198,'R&amp;B Inputs'!$I$4:$V$4,0)))^(L$7-Year1))</f>
        <v>0.61899999999999999</v>
      </c>
      <c r="M198" s="506">
        <f>IF(M$8=0,0,INDEX('R&amp;B Inputs'!$I$86:$V$86,MATCH($B198,'R&amp;B Inputs'!$I$4:$V$4,0))*(1+INDEX('R&amp;B Inputs'!$I$66:$V$66,MATCH($B198,'R&amp;B Inputs'!$I$4:$V$4,0)))^(M$7-Year1))</f>
        <v>0.61899999999999999</v>
      </c>
      <c r="N198" s="506">
        <f>IF(N$8=0,0,INDEX('R&amp;B Inputs'!$I$86:$V$86,MATCH($B198,'R&amp;B Inputs'!$I$4:$V$4,0))*(1+INDEX('R&amp;B Inputs'!$I$66:$V$66,MATCH($B198,'R&amp;B Inputs'!$I$4:$V$4,0)))^(N$7-Year1))</f>
        <v>0.61899999999999999</v>
      </c>
      <c r="O198" s="506">
        <f>IF(O$8=0,0,INDEX('R&amp;B Inputs'!$I$86:$V$86,MATCH($B198,'R&amp;B Inputs'!$I$4:$V$4,0))*(1+INDEX('R&amp;B Inputs'!$I$66:$V$66,MATCH($B198,'R&amp;B Inputs'!$I$4:$V$4,0)))^(O$7-Year1))</f>
        <v>0.61899999999999999</v>
      </c>
      <c r="P198" s="506">
        <f>IF(P$8=0,0,INDEX('R&amp;B Inputs'!$I$86:$V$86,MATCH($B198,'R&amp;B Inputs'!$I$4:$V$4,0))*(1+INDEX('R&amp;B Inputs'!$I$66:$V$66,MATCH($B198,'R&amp;B Inputs'!$I$4:$V$4,0)))^(P$7-Year1))</f>
        <v>0.61899999999999999</v>
      </c>
      <c r="Q198" s="506">
        <f>IF(Q$8=0,0,INDEX('R&amp;B Inputs'!$I$86:$V$86,MATCH($B198,'R&amp;B Inputs'!$I$4:$V$4,0))*(1+INDEX('R&amp;B Inputs'!$I$66:$V$66,MATCH($B198,'R&amp;B Inputs'!$I$4:$V$4,0)))^(Q$7-Year1))</f>
        <v>0.61899999999999999</v>
      </c>
      <c r="R198" s="506">
        <f>IF(R$8=0,0,INDEX('R&amp;B Inputs'!$I$86:$V$86,MATCH($B198,'R&amp;B Inputs'!$I$4:$V$4,0))*(1+INDEX('R&amp;B Inputs'!$I$66:$V$66,MATCH($B198,'R&amp;B Inputs'!$I$4:$V$4,0)))^(R$7-Year1))</f>
        <v>0.61899999999999999</v>
      </c>
      <c r="S198" s="506">
        <f>IF(S$8=0,0,INDEX('R&amp;B Inputs'!$I$86:$V$86,MATCH($B198,'R&amp;B Inputs'!$I$4:$V$4,0))*(1+INDEX('R&amp;B Inputs'!$I$66:$V$66,MATCH($B198,'R&amp;B Inputs'!$I$4:$V$4,0)))^(S$7-Year1))</f>
        <v>0.61899999999999999</v>
      </c>
      <c r="T198" s="506">
        <f>IF(T$8=0,0,INDEX('R&amp;B Inputs'!$I$86:$V$86,MATCH($B198,'R&amp;B Inputs'!$I$4:$V$4,0))*(1+INDEX('R&amp;B Inputs'!$I$66:$V$66,MATCH($B198,'R&amp;B Inputs'!$I$4:$V$4,0)))^(T$7-Year1))</f>
        <v>0.61899999999999999</v>
      </c>
      <c r="U198" s="506">
        <f>IF(U$8=0,0,INDEX('R&amp;B Inputs'!$I$86:$V$86,MATCH($B198,'R&amp;B Inputs'!$I$4:$V$4,0))*(1+INDEX('R&amp;B Inputs'!$I$66:$V$66,MATCH($B198,'R&amp;B Inputs'!$I$4:$V$4,0)))^(U$7-Year1))</f>
        <v>0.61899999999999999</v>
      </c>
      <c r="V198" s="506">
        <f>IF(V$8=0,0,INDEX('R&amp;B Inputs'!$I$86:$V$86,MATCH($B198,'R&amp;B Inputs'!$I$4:$V$4,0))*(1+INDEX('R&amp;B Inputs'!$I$66:$V$66,MATCH($B198,'R&amp;B Inputs'!$I$4:$V$4,0)))^(V$7-Year1))</f>
        <v>0.61899999999999999</v>
      </c>
      <c r="W198" s="506">
        <f>IF(W$8=0,0,INDEX('R&amp;B Inputs'!$I$86:$V$86,MATCH($B198,'R&amp;B Inputs'!$I$4:$V$4,0))*(1+INDEX('R&amp;B Inputs'!$I$66:$V$66,MATCH($B198,'R&amp;B Inputs'!$I$4:$V$4,0)))^(W$7-Year1))</f>
        <v>0.61899999999999999</v>
      </c>
      <c r="X198" s="506">
        <f>IF(X$8=0,0,INDEX('R&amp;B Inputs'!$I$86:$V$86,MATCH($B198,'R&amp;B Inputs'!$I$4:$V$4,0))*(1+INDEX('R&amp;B Inputs'!$I$66:$V$66,MATCH($B198,'R&amp;B Inputs'!$I$4:$V$4,0)))^(X$7-Year1))</f>
        <v>0.61899999999999999</v>
      </c>
      <c r="Y198" s="506">
        <f>IF(Y$8=0,0,INDEX('R&amp;B Inputs'!$I$86:$V$86,MATCH($B198,'R&amp;B Inputs'!$I$4:$V$4,0))*(1+INDEX('R&amp;B Inputs'!$I$66:$V$66,MATCH($B198,'R&amp;B Inputs'!$I$4:$V$4,0)))^(Y$7-Year1))</f>
        <v>0.61899999999999999</v>
      </c>
      <c r="Z198" s="506">
        <f>IF(Z$8=0,0,INDEX('R&amp;B Inputs'!$I$86:$V$86,MATCH($B198,'R&amp;B Inputs'!$I$4:$V$4,0))*(1+INDEX('R&amp;B Inputs'!$I$66:$V$66,MATCH($B198,'R&amp;B Inputs'!$I$4:$V$4,0)))^(Z$7-Year1))</f>
        <v>0.61899999999999999</v>
      </c>
      <c r="AA198" s="506">
        <f>IF(AA$8=0,0,INDEX('R&amp;B Inputs'!$I$86:$V$86,MATCH($B198,'R&amp;B Inputs'!$I$4:$V$4,0))*(1+INDEX('R&amp;B Inputs'!$I$66:$V$66,MATCH($B198,'R&amp;B Inputs'!$I$4:$V$4,0)))^(AA$7-Year1))</f>
        <v>0.61899999999999999</v>
      </c>
      <c r="AB198" s="506">
        <f>IF(AB$8=0,0,INDEX('R&amp;B Inputs'!$I$86:$V$86,MATCH($B198,'R&amp;B Inputs'!$I$4:$V$4,0))*(1+INDEX('R&amp;B Inputs'!$I$66:$V$66,MATCH($B198,'R&amp;B Inputs'!$I$4:$V$4,0)))^(AB$7-Year1))</f>
        <v>0.61899999999999999</v>
      </c>
      <c r="AC198" s="506">
        <f>IF(AC$8=0,0,INDEX('R&amp;B Inputs'!$I$86:$V$86,MATCH($B198,'R&amp;B Inputs'!$I$4:$V$4,0))*(1+INDEX('R&amp;B Inputs'!$I$66:$V$66,MATCH($B198,'R&amp;B Inputs'!$I$4:$V$4,0)))^(AC$7-Year1))</f>
        <v>0.61899999999999999</v>
      </c>
      <c r="AD198" s="506">
        <f>IF(AD$8=0,0,INDEX('R&amp;B Inputs'!$I$86:$V$86,MATCH($B198,'R&amp;B Inputs'!$I$4:$V$4,0))*(1+INDEX('R&amp;B Inputs'!$I$66:$V$66,MATCH($B198,'R&amp;B Inputs'!$I$4:$V$4,0)))^(AD$7-Year1))</f>
        <v>0.61899999999999999</v>
      </c>
      <c r="AE198" s="506">
        <f>IF(AE$8=0,0,INDEX('R&amp;B Inputs'!$I$86:$V$86,MATCH($B198,'R&amp;B Inputs'!$I$4:$V$4,0))*(1+INDEX('R&amp;B Inputs'!$I$66:$V$66,MATCH($B198,'R&amp;B Inputs'!$I$4:$V$4,0)))^(AE$7-Year1))</f>
        <v>0.61899999999999999</v>
      </c>
      <c r="AF198" s="506">
        <f>IF(AF$8=0,0,INDEX('R&amp;B Inputs'!$I$86:$V$86,MATCH($B198,'R&amp;B Inputs'!$I$4:$V$4,0))*(1+INDEX('R&amp;B Inputs'!$I$66:$V$66,MATCH($B198,'R&amp;B Inputs'!$I$4:$V$4,0)))^(AF$7-Year1))</f>
        <v>0.61899999999999999</v>
      </c>
      <c r="AG198" s="506">
        <f>IF(AG$8=0,0,INDEX('R&amp;B Inputs'!$I$86:$V$86,MATCH($B198,'R&amp;B Inputs'!$I$4:$V$4,0))*(1+INDEX('R&amp;B Inputs'!$I$66:$V$66,MATCH($B198,'R&amp;B Inputs'!$I$4:$V$4,0)))^(AG$7-Year1))</f>
        <v>0.61899999999999999</v>
      </c>
      <c r="AH198" s="506"/>
      <c r="AI198" s="506"/>
      <c r="AJ198" s="506">
        <f>IF($C$4=Year1,-PMT(Lookups!$E$17,25,NPV(Lookups!$E$17,G198:AE198),0,1),IF($C$4=Year2,-PMT(Lookups!$F$17,25,NPV(Lookups!$F$17,H198:AF198),0,1),IF($C$4=Year3,-PMT(Lookups!$G$17,25,NPV(Lookups!$G$17,I198:AG198),0,1),-PMT(Lookups!$G$17,27,NPV(Lookups!$G$17,G198:AG198),0,1))))</f>
        <v>0.61036697336561752</v>
      </c>
      <c r="AK198" s="507"/>
      <c r="AL198" s="507"/>
      <c r="AM198" s="508">
        <f>IF(AM$8=0,0,INDEX('R&amp;B Inputs'!$I$86:$V$86,MATCH($B198,'R&amp;B Inputs'!$I$4:$V$4,0))*(1+INDEX('R&amp;B Inputs'!$I$66:$V$66,MATCH($B198,'R&amp;B Inputs'!$I$4:$V$4,0)))^(AM$7-Year1))</f>
        <v>0</v>
      </c>
      <c r="AN198" s="508">
        <f>IF(AN$8=0,0,INDEX('R&amp;B Inputs'!$I$86:$V$86,MATCH($B198,'R&amp;B Inputs'!$I$4:$V$4,0))*(1+INDEX('R&amp;B Inputs'!$I$66:$V$66,MATCH($B198,'R&amp;B Inputs'!$I$4:$V$4,0)))^(AN$7-Year1))</f>
        <v>0</v>
      </c>
      <c r="AO198" s="508">
        <f>IF(AO$8=0,0,INDEX('R&amp;B Inputs'!$I$86:$V$86,MATCH($B198,'R&amp;B Inputs'!$I$4:$V$4,0))*(1+INDEX('R&amp;B Inputs'!$I$66:$V$66,MATCH($B198,'R&amp;B Inputs'!$I$4:$V$4,0)))^(AO$7-Year1))</f>
        <v>0.61899999999999999</v>
      </c>
      <c r="AP198" s="508">
        <f>IF(AP$8=0,0,INDEX('R&amp;B Inputs'!$I$86:$V$86,MATCH($B198,'R&amp;B Inputs'!$I$4:$V$4,0))*(1+INDEX('R&amp;B Inputs'!$I$66:$V$66,MATCH($B198,'R&amp;B Inputs'!$I$4:$V$4,0)))^(AP$7-Year1))</f>
        <v>0.61899999999999999</v>
      </c>
      <c r="AQ198" s="508">
        <f>IF(AQ$8=0,0,INDEX('R&amp;B Inputs'!$I$86:$V$86,MATCH($B198,'R&amp;B Inputs'!$I$4:$V$4,0))*(1+INDEX('R&amp;B Inputs'!$I$66:$V$66,MATCH($B198,'R&amp;B Inputs'!$I$4:$V$4,0)))^(AQ$7-Year1))</f>
        <v>0.61899999999999999</v>
      </c>
      <c r="AR198" s="508">
        <f>IF(AR$8=0,0,INDEX('R&amp;B Inputs'!$I$86:$V$86,MATCH($B198,'R&amp;B Inputs'!$I$4:$V$4,0))*(1+INDEX('R&amp;B Inputs'!$I$66:$V$66,MATCH($B198,'R&amp;B Inputs'!$I$4:$V$4,0)))^(AR$7-Year1))</f>
        <v>0.61899999999999999</v>
      </c>
      <c r="AS198" s="508">
        <f>IF(AS$8=0,0,INDEX('R&amp;B Inputs'!$I$86:$V$86,MATCH($B198,'R&amp;B Inputs'!$I$4:$V$4,0))*(1+INDEX('R&amp;B Inputs'!$I$66:$V$66,MATCH($B198,'R&amp;B Inputs'!$I$4:$V$4,0)))^(AS$7-Year1))</f>
        <v>0.61899999999999999</v>
      </c>
      <c r="AT198" s="508">
        <f>IF(AT$8=0,0,INDEX('R&amp;B Inputs'!$I$86:$V$86,MATCH($B198,'R&amp;B Inputs'!$I$4:$V$4,0))*(1+INDEX('R&amp;B Inputs'!$I$66:$V$66,MATCH($B198,'R&amp;B Inputs'!$I$4:$V$4,0)))^(AT$7-Year1))</f>
        <v>0.61899999999999999</v>
      </c>
      <c r="AU198" s="508">
        <f>IF(AU$8=0,0,INDEX('R&amp;B Inputs'!$I$86:$V$86,MATCH($B198,'R&amp;B Inputs'!$I$4:$V$4,0))*(1+INDEX('R&amp;B Inputs'!$I$66:$V$66,MATCH($B198,'R&amp;B Inputs'!$I$4:$V$4,0)))^(AU$7-Year1))</f>
        <v>0.61899999999999999</v>
      </c>
      <c r="AV198" s="508">
        <f>IF(AV$8=0,0,INDEX('R&amp;B Inputs'!$I$86:$V$86,MATCH($B198,'R&amp;B Inputs'!$I$4:$V$4,0))*(1+INDEX('R&amp;B Inputs'!$I$66:$V$66,MATCH($B198,'R&amp;B Inputs'!$I$4:$V$4,0)))^(AV$7-Year1))</f>
        <v>0.61899999999999999</v>
      </c>
      <c r="AW198" s="508">
        <f>IF(AW$8=0,0,INDEX('R&amp;B Inputs'!$I$86:$V$86,MATCH($B198,'R&amp;B Inputs'!$I$4:$V$4,0))*(1+INDEX('R&amp;B Inputs'!$I$66:$V$66,MATCH($B198,'R&amp;B Inputs'!$I$4:$V$4,0)))^(AW$7-Year1))</f>
        <v>0.61899999999999999</v>
      </c>
      <c r="AX198" s="508">
        <f>IF(AX$8=0,0,INDEX('R&amp;B Inputs'!$I$86:$V$86,MATCH($B198,'R&amp;B Inputs'!$I$4:$V$4,0))*(1+INDEX('R&amp;B Inputs'!$I$66:$V$66,MATCH($B198,'R&amp;B Inputs'!$I$4:$V$4,0)))^(AX$7-Year1))</f>
        <v>0.61899999999999999</v>
      </c>
      <c r="AY198" s="508">
        <f>IF(AY$8=0,0,INDEX('R&amp;B Inputs'!$I$86:$V$86,MATCH($B198,'R&amp;B Inputs'!$I$4:$V$4,0))*(1+INDEX('R&amp;B Inputs'!$I$66:$V$66,MATCH($B198,'R&amp;B Inputs'!$I$4:$V$4,0)))^(AY$7-Year1))</f>
        <v>0.61899999999999999</v>
      </c>
      <c r="AZ198" s="508">
        <f>IF(AZ$8=0,0,INDEX('R&amp;B Inputs'!$I$86:$V$86,MATCH($B198,'R&amp;B Inputs'!$I$4:$V$4,0))*(1+INDEX('R&amp;B Inputs'!$I$66:$V$66,MATCH($B198,'R&amp;B Inputs'!$I$4:$V$4,0)))^(AZ$7-Year1))</f>
        <v>0.61899999999999999</v>
      </c>
      <c r="BA198" s="508">
        <f>IF(BA$8=0,0,INDEX('R&amp;B Inputs'!$I$86:$V$86,MATCH($B198,'R&amp;B Inputs'!$I$4:$V$4,0))*(1+INDEX('R&amp;B Inputs'!$I$66:$V$66,MATCH($B198,'R&amp;B Inputs'!$I$4:$V$4,0)))^(BA$7-Year1))</f>
        <v>0.61899999999999999</v>
      </c>
      <c r="BB198" s="508">
        <f>IF(BB$8=0,0,INDEX('R&amp;B Inputs'!$I$86:$V$86,MATCH($B198,'R&amp;B Inputs'!$I$4:$V$4,0))*(1+INDEX('R&amp;B Inputs'!$I$66:$V$66,MATCH($B198,'R&amp;B Inputs'!$I$4:$V$4,0)))^(BB$7-Year1))</f>
        <v>0.61899999999999999</v>
      </c>
      <c r="BC198" s="508">
        <f>IF(BC$8=0,0,INDEX('R&amp;B Inputs'!$I$86:$V$86,MATCH($B198,'R&amp;B Inputs'!$I$4:$V$4,0))*(1+INDEX('R&amp;B Inputs'!$I$66:$V$66,MATCH($B198,'R&amp;B Inputs'!$I$4:$V$4,0)))^(BC$7-Year1))</f>
        <v>0.61899999999999999</v>
      </c>
      <c r="BD198" s="508">
        <f>IF(BD$8=0,0,INDEX('R&amp;B Inputs'!$I$86:$V$86,MATCH($B198,'R&amp;B Inputs'!$I$4:$V$4,0))*(1+INDEX('R&amp;B Inputs'!$I$66:$V$66,MATCH($B198,'R&amp;B Inputs'!$I$4:$V$4,0)))^(BD$7-Year1))</f>
        <v>0.61899999999999999</v>
      </c>
      <c r="BE198" s="508">
        <f>IF(BE$8=0,0,INDEX('R&amp;B Inputs'!$I$86:$V$86,MATCH($B198,'R&amp;B Inputs'!$I$4:$V$4,0))*(1+INDEX('R&amp;B Inputs'!$I$66:$V$66,MATCH($B198,'R&amp;B Inputs'!$I$4:$V$4,0)))^(BE$7-Year1))</f>
        <v>0.61899999999999999</v>
      </c>
      <c r="BF198" s="508">
        <f>IF(BF$8=0,0,INDEX('R&amp;B Inputs'!$I$86:$V$86,MATCH($B198,'R&amp;B Inputs'!$I$4:$V$4,0))*(1+INDEX('R&amp;B Inputs'!$I$66:$V$66,MATCH($B198,'R&amp;B Inputs'!$I$4:$V$4,0)))^(BF$7-Year1))</f>
        <v>0.61899999999999999</v>
      </c>
      <c r="BG198" s="508">
        <f>IF(BG$8=0,0,INDEX('R&amp;B Inputs'!$I$86:$V$86,MATCH($B198,'R&amp;B Inputs'!$I$4:$V$4,0))*(1+INDEX('R&amp;B Inputs'!$I$66:$V$66,MATCH($B198,'R&amp;B Inputs'!$I$4:$V$4,0)))^(BG$7-Year1))</f>
        <v>0.61899999999999999</v>
      </c>
      <c r="BH198" s="508">
        <f>IF(BH$8=0,0,INDEX('R&amp;B Inputs'!$I$86:$V$86,MATCH($B198,'R&amp;B Inputs'!$I$4:$V$4,0))*(1+INDEX('R&amp;B Inputs'!$I$66:$V$66,MATCH($B198,'R&amp;B Inputs'!$I$4:$V$4,0)))^(BH$7-Year1))</f>
        <v>0.61899999999999999</v>
      </c>
      <c r="BI198" s="508">
        <f>IF(BI$8=0,0,INDEX('R&amp;B Inputs'!$I$86:$V$86,MATCH($B198,'R&amp;B Inputs'!$I$4:$V$4,0))*(1+INDEX('R&amp;B Inputs'!$I$66:$V$66,MATCH($B198,'R&amp;B Inputs'!$I$4:$V$4,0)))^(BI$7-Year1))</f>
        <v>0.61899999999999999</v>
      </c>
      <c r="BJ198" s="508">
        <f>IF(BJ$8=0,0,INDEX('R&amp;B Inputs'!$I$86:$V$86,MATCH($B198,'R&amp;B Inputs'!$I$4:$V$4,0))*(1+INDEX('R&amp;B Inputs'!$I$66:$V$66,MATCH($B198,'R&amp;B Inputs'!$I$4:$V$4,0)))^(BJ$7-Year1))</f>
        <v>0.61899999999999999</v>
      </c>
      <c r="BK198" s="508">
        <f>IF(BK$8=0,0,INDEX('R&amp;B Inputs'!$I$86:$V$86,MATCH($B198,'R&amp;B Inputs'!$I$4:$V$4,0))*(1+INDEX('R&amp;B Inputs'!$I$66:$V$66,MATCH($B198,'R&amp;B Inputs'!$I$4:$V$4,0)))^(BK$7-Year1))</f>
        <v>0.61899999999999999</v>
      </c>
      <c r="BL198" s="508">
        <f>IF(BL$8=0,0,INDEX('R&amp;B Inputs'!$I$86:$V$86,MATCH($B198,'R&amp;B Inputs'!$I$4:$V$4,0))*(1+INDEX('R&amp;B Inputs'!$I$66:$V$66,MATCH($B198,'R&amp;B Inputs'!$I$4:$V$4,0)))^(BL$7-Year1))</f>
        <v>0.61899999999999999</v>
      </c>
      <c r="BM198" s="508">
        <f>IF(BM$8=0,0,INDEX('R&amp;B Inputs'!$I$86:$V$86,MATCH($B198,'R&amp;B Inputs'!$I$4:$V$4,0))*(1+INDEX('R&amp;B Inputs'!$I$66:$V$66,MATCH($B198,'R&amp;B Inputs'!$I$4:$V$4,0)))^(BM$7-Year1))</f>
        <v>0.61899999999999999</v>
      </c>
      <c r="BN198" s="508"/>
      <c r="BO198" s="508"/>
      <c r="BP198" s="508">
        <f>IF($C$4=Year1,-PMT(Lookups!$E$17,25,NPV(Lookups!$E$17,AM198:BK198),0,1),IF($C$4=Year2,-PMT(Lookups!$F$17,25,NPV(Lookups!$F$17,AN198:BL198),0,1),IF($C$4=Year3,-PMT(Lookups!$G$17,25,NPV(Lookups!$G$17,AO198:BM198),0,1),-PMT(Lookups!$G$17,27,NPV(Lookups!$G$17,AM198:BM198),0,1))))</f>
        <v>0.61036697336561752</v>
      </c>
      <c r="BS198" s="76" t="str">
        <f t="shared" si="201"/>
        <v>Cost of Gas charge from the R&amp;B Inputs tab, escalated annually by the growth rate included on the R&amp;B Inputs tab.</v>
      </c>
      <c r="BT198" s="51" t="s">
        <v>17</v>
      </c>
    </row>
    <row r="199" spans="1:72" x14ac:dyDescent="0.25">
      <c r="B199" s="243" t="str">
        <f>B200</f>
        <v>Small C&amp;I</v>
      </c>
      <c r="C199" s="243" t="str">
        <f>C200</f>
        <v>Rates</v>
      </c>
      <c r="D199" s="244" t="str">
        <f>D200</f>
        <v>Rates before DSM (No EE Scenario)</v>
      </c>
      <c r="E199" s="86" t="s">
        <v>75</v>
      </c>
      <c r="F199" s="84" t="s">
        <v>182</v>
      </c>
      <c r="G199" s="506">
        <f>IF(G$8=0,0,INDEX('R&amp;B Inputs'!$H$73:$U$73,MATCH($B198,'R&amp;B Inputs'!$H$4:$U$4,0))*(1+INDEX('R&amp;B Inputs'!$H$46:$U$46,MATCH($B198,'R&amp;B Inputs'!$H$4:$U$4,0)))^(G$7-Year1))</f>
        <v>0</v>
      </c>
      <c r="H199" s="506">
        <f>IF(H$8=0,0,INDEX('R&amp;B Inputs'!$H$73:$U$73,MATCH($B198,'R&amp;B Inputs'!$H$4:$U$4,0))*(1+INDEX('R&amp;B Inputs'!$H$46:$U$46,MATCH($B198,'R&amp;B Inputs'!$H$4:$U$4,0)))^(H$7-Year1))</f>
        <v>0</v>
      </c>
      <c r="I199" s="506">
        <f>IF(I$8=0,0,INDEX('R&amp;B Inputs'!$H$73:$U$73,MATCH($B198,'R&amp;B Inputs'!$H$4:$U$4,0))*(1+INDEX('R&amp;B Inputs'!$H$46:$U$46,MATCH($B198,'R&amp;B Inputs'!$H$4:$U$4,0)))^(I$7-Year1))</f>
        <v>0.28453457229491286</v>
      </c>
      <c r="J199" s="506">
        <f>IF(J$8=0,0,INDEX('R&amp;B Inputs'!$H$73:$U$73,MATCH($B198,'R&amp;B Inputs'!$H$4:$U$4,0))*(1+INDEX('R&amp;B Inputs'!$H$46:$U$46,MATCH($B198,'R&amp;B Inputs'!$H$4:$U$4,0)))^(J$7-Year1))</f>
        <v>0.28453457229491286</v>
      </c>
      <c r="K199" s="506">
        <f>IF(K$8=0,0,INDEX('R&amp;B Inputs'!$H$73:$U$73,MATCH($B198,'R&amp;B Inputs'!$H$4:$U$4,0))*(1+INDEX('R&amp;B Inputs'!$H$46:$U$46,MATCH($B198,'R&amp;B Inputs'!$H$4:$U$4,0)))^(K$7-Year1))</f>
        <v>0.28453457229491286</v>
      </c>
      <c r="L199" s="506">
        <f>IF(L$8=0,0,INDEX('R&amp;B Inputs'!$H$73:$U$73,MATCH($B198,'R&amp;B Inputs'!$H$4:$U$4,0))*(1+INDEX('R&amp;B Inputs'!$H$46:$U$46,MATCH($B198,'R&amp;B Inputs'!$H$4:$U$4,0)))^(L$7-Year1))</f>
        <v>0.28453457229491286</v>
      </c>
      <c r="M199" s="506">
        <f>IF(M$8=0,0,INDEX('R&amp;B Inputs'!$H$73:$U$73,MATCH($B198,'R&amp;B Inputs'!$H$4:$U$4,0))*(1+INDEX('R&amp;B Inputs'!$H$46:$U$46,MATCH($B198,'R&amp;B Inputs'!$H$4:$U$4,0)))^(M$7-Year1))</f>
        <v>0.28453457229491286</v>
      </c>
      <c r="N199" s="506">
        <f>IF(N$8=0,0,INDEX('R&amp;B Inputs'!$H$73:$U$73,MATCH($B198,'R&amp;B Inputs'!$H$4:$U$4,0))*(1+INDEX('R&amp;B Inputs'!$H$46:$U$46,MATCH($B198,'R&amp;B Inputs'!$H$4:$U$4,0)))^(N$7-Year1))</f>
        <v>0.28453457229491286</v>
      </c>
      <c r="O199" s="506">
        <f>IF(O$8=0,0,INDEX('R&amp;B Inputs'!$H$73:$U$73,MATCH($B198,'R&amp;B Inputs'!$H$4:$U$4,0))*(1+INDEX('R&amp;B Inputs'!$H$46:$U$46,MATCH($B198,'R&amp;B Inputs'!$H$4:$U$4,0)))^(O$7-Year1))</f>
        <v>0.28453457229491286</v>
      </c>
      <c r="P199" s="506">
        <f>IF(P$8=0,0,INDEX('R&amp;B Inputs'!$H$73:$U$73,MATCH($B198,'R&amp;B Inputs'!$H$4:$U$4,0))*(1+INDEX('R&amp;B Inputs'!$H$46:$U$46,MATCH($B198,'R&amp;B Inputs'!$H$4:$U$4,0)))^(P$7-Year1))</f>
        <v>0.28453457229491286</v>
      </c>
      <c r="Q199" s="506">
        <f>IF(Q$8=0,0,INDEX('R&amp;B Inputs'!$H$73:$U$73,MATCH($B198,'R&amp;B Inputs'!$H$4:$U$4,0))*(1+INDEX('R&amp;B Inputs'!$H$46:$U$46,MATCH($B198,'R&amp;B Inputs'!$H$4:$U$4,0)))^(Q$7-Year1))</f>
        <v>0.28453457229491286</v>
      </c>
      <c r="R199" s="506">
        <f>IF(R$8=0,0,INDEX('R&amp;B Inputs'!$H$73:$U$73,MATCH($B198,'R&amp;B Inputs'!$H$4:$U$4,0))*(1+INDEX('R&amp;B Inputs'!$H$46:$U$46,MATCH($B198,'R&amp;B Inputs'!$H$4:$U$4,0)))^(R$7-Year1))</f>
        <v>0.28453457229491286</v>
      </c>
      <c r="S199" s="506">
        <f>IF(S$8=0,0,INDEX('R&amp;B Inputs'!$H$73:$U$73,MATCH($B198,'R&amp;B Inputs'!$H$4:$U$4,0))*(1+INDEX('R&amp;B Inputs'!$H$46:$U$46,MATCH($B198,'R&amp;B Inputs'!$H$4:$U$4,0)))^(S$7-Year1))</f>
        <v>0.28453457229491286</v>
      </c>
      <c r="T199" s="506">
        <f>IF(T$8=0,0,INDEX('R&amp;B Inputs'!$H$73:$U$73,MATCH($B198,'R&amp;B Inputs'!$H$4:$U$4,0))*(1+INDEX('R&amp;B Inputs'!$H$46:$U$46,MATCH($B198,'R&amp;B Inputs'!$H$4:$U$4,0)))^(T$7-Year1))</f>
        <v>0.28453457229491286</v>
      </c>
      <c r="U199" s="506">
        <f>IF(U$8=0,0,INDEX('R&amp;B Inputs'!$H$73:$U$73,MATCH($B198,'R&amp;B Inputs'!$H$4:$U$4,0))*(1+INDEX('R&amp;B Inputs'!$H$46:$U$46,MATCH($B198,'R&amp;B Inputs'!$H$4:$U$4,0)))^(U$7-Year1))</f>
        <v>0.28453457229491286</v>
      </c>
      <c r="V199" s="506">
        <f>IF(V$8=0,0,INDEX('R&amp;B Inputs'!$H$73:$U$73,MATCH($B198,'R&amp;B Inputs'!$H$4:$U$4,0))*(1+INDEX('R&amp;B Inputs'!$H$46:$U$46,MATCH($B198,'R&amp;B Inputs'!$H$4:$U$4,0)))^(V$7-Year1))</f>
        <v>0.28453457229491286</v>
      </c>
      <c r="W199" s="506">
        <f>IF(W$8=0,0,INDEX('R&amp;B Inputs'!$H$73:$U$73,MATCH($B198,'R&amp;B Inputs'!$H$4:$U$4,0))*(1+INDEX('R&amp;B Inputs'!$H$46:$U$46,MATCH($B198,'R&amp;B Inputs'!$H$4:$U$4,0)))^(W$7-Year1))</f>
        <v>0.28453457229491286</v>
      </c>
      <c r="X199" s="506">
        <f>IF(X$8=0,0,INDEX('R&amp;B Inputs'!$H$73:$U$73,MATCH($B198,'R&amp;B Inputs'!$H$4:$U$4,0))*(1+INDEX('R&amp;B Inputs'!$H$46:$U$46,MATCH($B198,'R&amp;B Inputs'!$H$4:$U$4,0)))^(X$7-Year1))</f>
        <v>0.28453457229491286</v>
      </c>
      <c r="Y199" s="506">
        <f>IF(Y$8=0,0,INDEX('R&amp;B Inputs'!$H$73:$U$73,MATCH($B198,'R&amp;B Inputs'!$H$4:$U$4,0))*(1+INDEX('R&amp;B Inputs'!$H$46:$U$46,MATCH($B198,'R&amp;B Inputs'!$H$4:$U$4,0)))^(Y$7-Year1))</f>
        <v>0.28453457229491286</v>
      </c>
      <c r="Z199" s="506">
        <f>IF(Z$8=0,0,INDEX('R&amp;B Inputs'!$H$73:$U$73,MATCH($B198,'R&amp;B Inputs'!$H$4:$U$4,0))*(1+INDEX('R&amp;B Inputs'!$H$46:$U$46,MATCH($B198,'R&amp;B Inputs'!$H$4:$U$4,0)))^(Z$7-Year1))</f>
        <v>0.28453457229491286</v>
      </c>
      <c r="AA199" s="506">
        <f>IF(AA$8=0,0,INDEX('R&amp;B Inputs'!$H$73:$U$73,MATCH($B198,'R&amp;B Inputs'!$H$4:$U$4,0))*(1+INDEX('R&amp;B Inputs'!$H$46:$U$46,MATCH($B198,'R&amp;B Inputs'!$H$4:$U$4,0)))^(AA$7-Year1))</f>
        <v>0.28453457229491286</v>
      </c>
      <c r="AB199" s="506">
        <f>IF(AB$8=0,0,INDEX('R&amp;B Inputs'!$H$73:$U$73,MATCH($B198,'R&amp;B Inputs'!$H$4:$U$4,0))*(1+INDEX('R&amp;B Inputs'!$H$46:$U$46,MATCH($B198,'R&amp;B Inputs'!$H$4:$U$4,0)))^(AB$7-Year1))</f>
        <v>0.28453457229491286</v>
      </c>
      <c r="AC199" s="506">
        <f>IF(AC$8=0,0,INDEX('R&amp;B Inputs'!$H$73:$U$73,MATCH($B198,'R&amp;B Inputs'!$H$4:$U$4,0))*(1+INDEX('R&amp;B Inputs'!$H$46:$U$46,MATCH($B198,'R&amp;B Inputs'!$H$4:$U$4,0)))^(AC$7-Year1))</f>
        <v>0.28453457229491286</v>
      </c>
      <c r="AD199" s="506">
        <f>IF(AD$8=0,0,INDEX('R&amp;B Inputs'!$H$73:$U$73,MATCH($B198,'R&amp;B Inputs'!$H$4:$U$4,0))*(1+INDEX('R&amp;B Inputs'!$H$46:$U$46,MATCH($B198,'R&amp;B Inputs'!$H$4:$U$4,0)))^(AD$7-Year1))</f>
        <v>0.28453457229491286</v>
      </c>
      <c r="AE199" s="506">
        <f>IF(AE$8=0,0,INDEX('R&amp;B Inputs'!$H$73:$U$73,MATCH($B198,'R&amp;B Inputs'!$H$4:$U$4,0))*(1+INDEX('R&amp;B Inputs'!$H$46:$U$46,MATCH($B198,'R&amp;B Inputs'!$H$4:$U$4,0)))^(AE$7-Year1))</f>
        <v>0.28453457229491286</v>
      </c>
      <c r="AF199" s="506">
        <f>IF(AF$8=0,0,INDEX('R&amp;B Inputs'!$H$73:$U$73,MATCH($B198,'R&amp;B Inputs'!$H$4:$U$4,0))*(1+INDEX('R&amp;B Inputs'!$H$46:$U$46,MATCH($B198,'R&amp;B Inputs'!$H$4:$U$4,0)))^(AF$7-Year1))</f>
        <v>0.28453457229491286</v>
      </c>
      <c r="AG199" s="506">
        <f>IF(AG$8=0,0,INDEX('R&amp;B Inputs'!$H$73:$U$73,MATCH($B198,'R&amp;B Inputs'!$H$4:$U$4,0))*(1+INDEX('R&amp;B Inputs'!$H$46:$U$46,MATCH($B198,'R&amp;B Inputs'!$H$4:$U$4,0)))^(AG$7-Year1))</f>
        <v>0.28453457229491286</v>
      </c>
      <c r="AH199" s="506"/>
      <c r="AI199" s="506"/>
      <c r="AJ199" s="506">
        <f>IF($C$4=Year1,-PMT(Lookups!$E$17,25,NPV(Lookups!$E$17,G199:AE199),0,1),IF($C$4=Year2,-PMT(Lookups!$F$17,25,NPV(Lookups!$F$17,H199:AF199),0,1),IF($C$4=Year3,-PMT(Lookups!$G$17,25,NPV(Lookups!$G$17,I199:AG199),0,1),-PMT(Lookups!$G$17,27,NPV(Lookups!$G$17,G199:AG199),0,1))))</f>
        <v>0.28056624508808786</v>
      </c>
      <c r="AK199" s="507"/>
      <c r="AL199" s="507"/>
      <c r="AM199" s="508">
        <f>IF(AM$8=0,0,INDEX('R&amp;B Inputs'!$H$73:$U$73,MATCH($B198,'R&amp;B Inputs'!$H$4:$U$4,0))*(1+INDEX('R&amp;B Inputs'!$H$46:$U$46,MATCH($B198,'R&amp;B Inputs'!$H$4:$U$4,0)))^(AM$7-Year1))</f>
        <v>0</v>
      </c>
      <c r="AN199" s="508">
        <f>IF(AN$8=0,0,INDEX('R&amp;B Inputs'!$H$73:$U$73,MATCH($B198,'R&amp;B Inputs'!$H$4:$U$4,0))*(1+INDEX('R&amp;B Inputs'!$H$46:$U$46,MATCH($B198,'R&amp;B Inputs'!$H$4:$U$4,0)))^(AN$7-Year1))</f>
        <v>0</v>
      </c>
      <c r="AO199" s="508">
        <f>IF(AO$8=0,0,INDEX('R&amp;B Inputs'!$H$73:$U$73,MATCH($B198,'R&amp;B Inputs'!$H$4:$U$4,0))*(1+INDEX('R&amp;B Inputs'!$H$46:$U$46,MATCH($B198,'R&amp;B Inputs'!$H$4:$U$4,0)))^(AO$7-Year1))</f>
        <v>0.28453457229491286</v>
      </c>
      <c r="AP199" s="508">
        <f>IF(AP$8=0,0,INDEX('R&amp;B Inputs'!$H$73:$U$73,MATCH($B198,'R&amp;B Inputs'!$H$4:$U$4,0))*(1+INDEX('R&amp;B Inputs'!$H$46:$U$46,MATCH($B198,'R&amp;B Inputs'!$H$4:$U$4,0)))^(AP$7-Year1))</f>
        <v>0.28453457229491286</v>
      </c>
      <c r="AQ199" s="508">
        <f>IF(AQ$8=0,0,INDEX('R&amp;B Inputs'!$H$73:$U$73,MATCH($B198,'R&amp;B Inputs'!$H$4:$U$4,0))*(1+INDEX('R&amp;B Inputs'!$H$46:$U$46,MATCH($B198,'R&amp;B Inputs'!$H$4:$U$4,0)))^(AQ$7-Year1))</f>
        <v>0.28453457229491286</v>
      </c>
      <c r="AR199" s="508">
        <f>IF(AR$8=0,0,INDEX('R&amp;B Inputs'!$H$73:$U$73,MATCH($B198,'R&amp;B Inputs'!$H$4:$U$4,0))*(1+INDEX('R&amp;B Inputs'!$H$46:$U$46,MATCH($B198,'R&amp;B Inputs'!$H$4:$U$4,0)))^(AR$7-Year1))</f>
        <v>0.28453457229491286</v>
      </c>
      <c r="AS199" s="508">
        <f>IF(AS$8=0,0,INDEX('R&amp;B Inputs'!$H$73:$U$73,MATCH($B198,'R&amp;B Inputs'!$H$4:$U$4,0))*(1+INDEX('R&amp;B Inputs'!$H$46:$U$46,MATCH($B198,'R&amp;B Inputs'!$H$4:$U$4,0)))^(AS$7-Year1))</f>
        <v>0.28453457229491286</v>
      </c>
      <c r="AT199" s="508">
        <f>IF(AT$8=0,0,INDEX('R&amp;B Inputs'!$H$73:$U$73,MATCH($B198,'R&amp;B Inputs'!$H$4:$U$4,0))*(1+INDEX('R&amp;B Inputs'!$H$46:$U$46,MATCH($B198,'R&amp;B Inputs'!$H$4:$U$4,0)))^(AT$7-Year1))</f>
        <v>0.28453457229491286</v>
      </c>
      <c r="AU199" s="508">
        <f>IF(AU$8=0,0,INDEX('R&amp;B Inputs'!$H$73:$U$73,MATCH($B198,'R&amp;B Inputs'!$H$4:$U$4,0))*(1+INDEX('R&amp;B Inputs'!$H$46:$U$46,MATCH($B198,'R&amp;B Inputs'!$H$4:$U$4,0)))^(AU$7-Year1))</f>
        <v>0.28453457229491286</v>
      </c>
      <c r="AV199" s="508">
        <f>IF(AV$8=0,0,INDEX('R&amp;B Inputs'!$H$73:$U$73,MATCH($B198,'R&amp;B Inputs'!$H$4:$U$4,0))*(1+INDEX('R&amp;B Inputs'!$H$46:$U$46,MATCH($B198,'R&amp;B Inputs'!$H$4:$U$4,0)))^(AV$7-Year1))</f>
        <v>0.28453457229491286</v>
      </c>
      <c r="AW199" s="508">
        <f>IF(AW$8=0,0,INDEX('R&amp;B Inputs'!$H$73:$U$73,MATCH($B198,'R&amp;B Inputs'!$H$4:$U$4,0))*(1+INDEX('R&amp;B Inputs'!$H$46:$U$46,MATCH($B198,'R&amp;B Inputs'!$H$4:$U$4,0)))^(AW$7-Year1))</f>
        <v>0.28453457229491286</v>
      </c>
      <c r="AX199" s="508">
        <f>IF(AX$8=0,0,INDEX('R&amp;B Inputs'!$H$73:$U$73,MATCH($B198,'R&amp;B Inputs'!$H$4:$U$4,0))*(1+INDEX('R&amp;B Inputs'!$H$46:$U$46,MATCH($B198,'R&amp;B Inputs'!$H$4:$U$4,0)))^(AX$7-Year1))</f>
        <v>0.28453457229491286</v>
      </c>
      <c r="AY199" s="508">
        <f>IF(AY$8=0,0,INDEX('R&amp;B Inputs'!$H$73:$U$73,MATCH($B198,'R&amp;B Inputs'!$H$4:$U$4,0))*(1+INDEX('R&amp;B Inputs'!$H$46:$U$46,MATCH($B198,'R&amp;B Inputs'!$H$4:$U$4,0)))^(AY$7-Year1))</f>
        <v>0.28453457229491286</v>
      </c>
      <c r="AZ199" s="508">
        <f>IF(AZ$8=0,0,INDEX('R&amp;B Inputs'!$H$73:$U$73,MATCH($B198,'R&amp;B Inputs'!$H$4:$U$4,0))*(1+INDEX('R&amp;B Inputs'!$H$46:$U$46,MATCH($B198,'R&amp;B Inputs'!$H$4:$U$4,0)))^(AZ$7-Year1))</f>
        <v>0.28453457229491286</v>
      </c>
      <c r="BA199" s="508">
        <f>IF(BA$8=0,0,INDEX('R&amp;B Inputs'!$H$73:$U$73,MATCH($B198,'R&amp;B Inputs'!$H$4:$U$4,0))*(1+INDEX('R&amp;B Inputs'!$H$46:$U$46,MATCH($B198,'R&amp;B Inputs'!$H$4:$U$4,0)))^(BA$7-Year1))</f>
        <v>0.28453457229491286</v>
      </c>
      <c r="BB199" s="508">
        <f>IF(BB$8=0,0,INDEX('R&amp;B Inputs'!$H$73:$U$73,MATCH($B198,'R&amp;B Inputs'!$H$4:$U$4,0))*(1+INDEX('R&amp;B Inputs'!$H$46:$U$46,MATCH($B198,'R&amp;B Inputs'!$H$4:$U$4,0)))^(BB$7-Year1))</f>
        <v>0.28453457229491286</v>
      </c>
      <c r="BC199" s="508">
        <f>IF(BC$8=0,0,INDEX('R&amp;B Inputs'!$H$73:$U$73,MATCH($B198,'R&amp;B Inputs'!$H$4:$U$4,0))*(1+INDEX('R&amp;B Inputs'!$H$46:$U$46,MATCH($B198,'R&amp;B Inputs'!$H$4:$U$4,0)))^(BC$7-Year1))</f>
        <v>0.28453457229491286</v>
      </c>
      <c r="BD199" s="508">
        <f>IF(BD$8=0,0,INDEX('R&amp;B Inputs'!$H$73:$U$73,MATCH($B198,'R&amp;B Inputs'!$H$4:$U$4,0))*(1+INDEX('R&amp;B Inputs'!$H$46:$U$46,MATCH($B198,'R&amp;B Inputs'!$H$4:$U$4,0)))^(BD$7-Year1))</f>
        <v>0.28453457229491286</v>
      </c>
      <c r="BE199" s="508">
        <f>IF(BE$8=0,0,INDEX('R&amp;B Inputs'!$H$73:$U$73,MATCH($B198,'R&amp;B Inputs'!$H$4:$U$4,0))*(1+INDEX('R&amp;B Inputs'!$H$46:$U$46,MATCH($B198,'R&amp;B Inputs'!$H$4:$U$4,0)))^(BE$7-Year1))</f>
        <v>0.28453457229491286</v>
      </c>
      <c r="BF199" s="508">
        <f>IF(BF$8=0,0,INDEX('R&amp;B Inputs'!$H$73:$U$73,MATCH($B198,'R&amp;B Inputs'!$H$4:$U$4,0))*(1+INDEX('R&amp;B Inputs'!$H$46:$U$46,MATCH($B198,'R&amp;B Inputs'!$H$4:$U$4,0)))^(BF$7-Year1))</f>
        <v>0.28453457229491286</v>
      </c>
      <c r="BG199" s="508">
        <f>IF(BG$8=0,0,INDEX('R&amp;B Inputs'!$H$73:$U$73,MATCH($B198,'R&amp;B Inputs'!$H$4:$U$4,0))*(1+INDEX('R&amp;B Inputs'!$H$46:$U$46,MATCH($B198,'R&amp;B Inputs'!$H$4:$U$4,0)))^(BG$7-Year1))</f>
        <v>0.28453457229491286</v>
      </c>
      <c r="BH199" s="508">
        <f>IF(BH$8=0,0,INDEX('R&amp;B Inputs'!$H$73:$U$73,MATCH($B198,'R&amp;B Inputs'!$H$4:$U$4,0))*(1+INDEX('R&amp;B Inputs'!$H$46:$U$46,MATCH($B198,'R&amp;B Inputs'!$H$4:$U$4,0)))^(BH$7-Year1))</f>
        <v>0.28453457229491286</v>
      </c>
      <c r="BI199" s="508">
        <f>IF(BI$8=0,0,INDEX('R&amp;B Inputs'!$H$73:$U$73,MATCH($B198,'R&amp;B Inputs'!$H$4:$U$4,0))*(1+INDEX('R&amp;B Inputs'!$H$46:$U$46,MATCH($B198,'R&amp;B Inputs'!$H$4:$U$4,0)))^(BI$7-Year1))</f>
        <v>0.28453457229491286</v>
      </c>
      <c r="BJ199" s="508">
        <f>IF(BJ$8=0,0,INDEX('R&amp;B Inputs'!$H$73:$U$73,MATCH($B198,'R&amp;B Inputs'!$H$4:$U$4,0))*(1+INDEX('R&amp;B Inputs'!$H$46:$U$46,MATCH($B198,'R&amp;B Inputs'!$H$4:$U$4,0)))^(BJ$7-Year1))</f>
        <v>0.28453457229491286</v>
      </c>
      <c r="BK199" s="508">
        <f>IF(BK$8=0,0,INDEX('R&amp;B Inputs'!$H$73:$U$73,MATCH($B198,'R&amp;B Inputs'!$H$4:$U$4,0))*(1+INDEX('R&amp;B Inputs'!$H$46:$U$46,MATCH($B198,'R&amp;B Inputs'!$H$4:$U$4,0)))^(BK$7-Year1))</f>
        <v>0.28453457229491286</v>
      </c>
      <c r="BL199" s="508">
        <f>IF(BL$8=0,0,INDEX('R&amp;B Inputs'!$H$73:$U$73,MATCH($B198,'R&amp;B Inputs'!$H$4:$U$4,0))*(1+INDEX('R&amp;B Inputs'!$H$46:$U$46,MATCH($B198,'R&amp;B Inputs'!$H$4:$U$4,0)))^(BL$7-Year1))</f>
        <v>0.28453457229491286</v>
      </c>
      <c r="BM199" s="508">
        <f>IF(BM$8=0,0,INDEX('R&amp;B Inputs'!$H$73:$U$73,MATCH($B198,'R&amp;B Inputs'!$H$4:$U$4,0))*(1+INDEX('R&amp;B Inputs'!$H$46:$U$46,MATCH($B198,'R&amp;B Inputs'!$H$4:$U$4,0)))^(BM$7-Year1))</f>
        <v>0.28453457229491286</v>
      </c>
      <c r="BN199" s="508"/>
      <c r="BO199" s="508"/>
      <c r="BP199" s="508">
        <f>IF($C$4=Year1,-PMT(Lookups!$E$17,25,NPV(Lookups!$E$17,AM199:BK199),0,1),IF($C$4=Year2,-PMT(Lookups!$F$17,25,NPV(Lookups!$F$17,AN199:BL199),0,1),IF($C$4=Year3,-PMT(Lookups!$G$17,25,NPV(Lookups!$G$17,AO199:BM199),0,1),-PMT(Lookups!$G$17,27,NPV(Lookups!$G$17,AM199:BM199),0,1))))</f>
        <v>0.28056624508808786</v>
      </c>
      <c r="BS199" s="84" t="str">
        <f>E199&amp;" charge from the R&amp;B Inputs tab, escalated annually by the growth rate included on the R&amp;B Inputs tab."</f>
        <v>Customer Charge charge from the R&amp;B Inputs tab, escalated annually by the growth rate included on the R&amp;B Inputs tab.</v>
      </c>
      <c r="BT199" s="51" t="s">
        <v>17</v>
      </c>
    </row>
    <row r="200" spans="1:72" x14ac:dyDescent="0.25">
      <c r="B200" s="243" t="str">
        <f>B198</f>
        <v>Small C&amp;I</v>
      </c>
      <c r="C200" s="243" t="str">
        <f>C198</f>
        <v>Rates</v>
      </c>
      <c r="D200" s="244" t="str">
        <f>D198</f>
        <v>Rates before DSM (No EE Scenario)</v>
      </c>
      <c r="E200" s="84" t="s">
        <v>76</v>
      </c>
      <c r="F200" s="84" t="s">
        <v>182</v>
      </c>
      <c r="G200" s="506">
        <f>SUM(G196:G199)</f>
        <v>0</v>
      </c>
      <c r="H200" s="506">
        <f t="shared" ref="H200:AG200" si="202">SUM(H196:H199)</f>
        <v>0</v>
      </c>
      <c r="I200" s="506">
        <f t="shared" si="202"/>
        <v>1.3008471347317248</v>
      </c>
      <c r="J200" s="506">
        <f t="shared" si="202"/>
        <v>1.3008471347317248</v>
      </c>
      <c r="K200" s="506">
        <f t="shared" si="202"/>
        <v>1.3008471347317248</v>
      </c>
      <c r="L200" s="506">
        <f t="shared" si="202"/>
        <v>1.3008471347317248</v>
      </c>
      <c r="M200" s="506">
        <f t="shared" si="202"/>
        <v>1.3008471347317248</v>
      </c>
      <c r="N200" s="506">
        <f t="shared" si="202"/>
        <v>1.3008471347317248</v>
      </c>
      <c r="O200" s="506">
        <f t="shared" si="202"/>
        <v>1.3008471347317248</v>
      </c>
      <c r="P200" s="506">
        <f t="shared" si="202"/>
        <v>1.3008471347317248</v>
      </c>
      <c r="Q200" s="506">
        <f t="shared" si="202"/>
        <v>1.3008471347317248</v>
      </c>
      <c r="R200" s="506">
        <f t="shared" si="202"/>
        <v>1.3008471347317248</v>
      </c>
      <c r="S200" s="506">
        <f t="shared" si="202"/>
        <v>1.3008471347317248</v>
      </c>
      <c r="T200" s="506">
        <f t="shared" si="202"/>
        <v>1.3008471347317248</v>
      </c>
      <c r="U200" s="506">
        <f t="shared" si="202"/>
        <v>1.3008471347317248</v>
      </c>
      <c r="V200" s="506">
        <f t="shared" si="202"/>
        <v>1.3008471347317248</v>
      </c>
      <c r="W200" s="506">
        <f t="shared" si="202"/>
        <v>1.3008471347317248</v>
      </c>
      <c r="X200" s="506">
        <f t="shared" si="202"/>
        <v>1.3008471347317248</v>
      </c>
      <c r="Y200" s="506">
        <f t="shared" si="202"/>
        <v>1.3008471347317248</v>
      </c>
      <c r="Z200" s="506">
        <f t="shared" si="202"/>
        <v>1.3008471347317248</v>
      </c>
      <c r="AA200" s="506">
        <f t="shared" si="202"/>
        <v>1.3008471347317248</v>
      </c>
      <c r="AB200" s="506">
        <f t="shared" si="202"/>
        <v>1.3008471347317248</v>
      </c>
      <c r="AC200" s="506">
        <f t="shared" si="202"/>
        <v>1.3008471347317248</v>
      </c>
      <c r="AD200" s="506">
        <f t="shared" si="202"/>
        <v>1.3008471347317248</v>
      </c>
      <c r="AE200" s="506">
        <f t="shared" si="202"/>
        <v>1.3008471347317248</v>
      </c>
      <c r="AF200" s="506">
        <f t="shared" si="202"/>
        <v>1.3008471347317248</v>
      </c>
      <c r="AG200" s="506">
        <f t="shared" si="202"/>
        <v>1.3008471347317248</v>
      </c>
      <c r="AH200" s="506"/>
      <c r="AI200" s="506"/>
      <c r="AJ200" s="506">
        <f>IF($C$4=Year1,-PMT(Lookups!$E$17,25,NPV(Lookups!$E$17,G200:AE200),0,1),IF($C$4=Year2,-PMT(Lookups!$F$17,25,NPV(Lookups!$F$17,H200:AF200),0,1),IF($C$4=Year3,-PMT(Lookups!$G$17,25,NPV(Lookups!$G$17,I200:AG200),0,1),-PMT(Lookups!$G$17,27,NPV(Lookups!$G$17,G200:AG200),0,1))))</f>
        <v>1.2827045693659744</v>
      </c>
      <c r="AK200" s="507"/>
      <c r="AL200" s="507"/>
      <c r="AM200" s="508">
        <f>SUM(AM196:AM199)</f>
        <v>0</v>
      </c>
      <c r="AN200" s="508">
        <f t="shared" ref="AN200:BM200" si="203">SUM(AN196:AN199)</f>
        <v>0</v>
      </c>
      <c r="AO200" s="508">
        <f t="shared" si="203"/>
        <v>1.3008471347317248</v>
      </c>
      <c r="AP200" s="508">
        <f t="shared" si="203"/>
        <v>1.3008471347317248</v>
      </c>
      <c r="AQ200" s="508">
        <f t="shared" si="203"/>
        <v>1.3008471347317248</v>
      </c>
      <c r="AR200" s="508">
        <f t="shared" si="203"/>
        <v>1.3008471347317248</v>
      </c>
      <c r="AS200" s="508">
        <f t="shared" si="203"/>
        <v>1.3008471347317248</v>
      </c>
      <c r="AT200" s="508">
        <f t="shared" si="203"/>
        <v>1.3008471347317248</v>
      </c>
      <c r="AU200" s="508">
        <f t="shared" si="203"/>
        <v>1.3008471347317248</v>
      </c>
      <c r="AV200" s="508">
        <f t="shared" si="203"/>
        <v>1.3008471347317248</v>
      </c>
      <c r="AW200" s="508">
        <f t="shared" si="203"/>
        <v>1.3008471347317248</v>
      </c>
      <c r="AX200" s="508">
        <f t="shared" si="203"/>
        <v>1.3008471347317248</v>
      </c>
      <c r="AY200" s="508">
        <f t="shared" si="203"/>
        <v>1.3008471347317248</v>
      </c>
      <c r="AZ200" s="508">
        <f t="shared" si="203"/>
        <v>1.3008471347317248</v>
      </c>
      <c r="BA200" s="508">
        <f t="shared" si="203"/>
        <v>1.3008471347317248</v>
      </c>
      <c r="BB200" s="508">
        <f t="shared" si="203"/>
        <v>1.3008471347317248</v>
      </c>
      <c r="BC200" s="508">
        <f t="shared" si="203"/>
        <v>1.3008471347317248</v>
      </c>
      <c r="BD200" s="508">
        <f t="shared" si="203"/>
        <v>1.3008471347317248</v>
      </c>
      <c r="BE200" s="508">
        <f t="shared" si="203"/>
        <v>1.3008471347317248</v>
      </c>
      <c r="BF200" s="508">
        <f t="shared" si="203"/>
        <v>1.3008471347317248</v>
      </c>
      <c r="BG200" s="508">
        <f t="shared" si="203"/>
        <v>1.3008471347317248</v>
      </c>
      <c r="BH200" s="508">
        <f t="shared" si="203"/>
        <v>1.3008471347317248</v>
      </c>
      <c r="BI200" s="508">
        <f t="shared" si="203"/>
        <v>1.3008471347317248</v>
      </c>
      <c r="BJ200" s="508">
        <f t="shared" si="203"/>
        <v>1.3008471347317248</v>
      </c>
      <c r="BK200" s="508">
        <f t="shared" si="203"/>
        <v>1.3008471347317248</v>
      </c>
      <c r="BL200" s="508">
        <f t="shared" si="203"/>
        <v>1.3008471347317248</v>
      </c>
      <c r="BM200" s="508">
        <f t="shared" si="203"/>
        <v>1.3008471347317248</v>
      </c>
      <c r="BN200" s="508"/>
      <c r="BO200" s="508"/>
      <c r="BP200" s="508">
        <f>IF($C$4=Year1,-PMT(Lookups!$E$17,25,NPV(Lookups!$E$17,AM200:BK200),0,1),IF($C$4=Year2,-PMT(Lookups!$F$17,25,NPV(Lookups!$F$17,AN200:BL200),0,1),IF($C$4=Year3,-PMT(Lookups!$G$17,25,NPV(Lookups!$G$17,AO200:BM200),0,1),-PMT(Lookups!$G$17,27,NPV(Lookups!$G$17,AM200:BM200),0,1))))</f>
        <v>1.2827045693659744</v>
      </c>
      <c r="BS200" s="84" t="s">
        <v>94</v>
      </c>
      <c r="BT200" s="51" t="s">
        <v>17</v>
      </c>
    </row>
    <row r="201" spans="1:72" x14ac:dyDescent="0.25">
      <c r="B201" s="243" t="str">
        <f>B199</f>
        <v>Small C&amp;I</v>
      </c>
      <c r="C201" s="243" t="str">
        <f>C199</f>
        <v>Rates</v>
      </c>
      <c r="D201" s="114" t="s">
        <v>24</v>
      </c>
      <c r="E201" s="86"/>
      <c r="F201" s="8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89"/>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S201" s="84"/>
      <c r="BT201" s="51" t="s">
        <v>17</v>
      </c>
    </row>
    <row r="202" spans="1:72" x14ac:dyDescent="0.25">
      <c r="B202" s="243" t="str">
        <f t="shared" ref="B202:D203" si="204">B201</f>
        <v>Small C&amp;I</v>
      </c>
      <c r="C202" s="243" t="str">
        <f t="shared" si="204"/>
        <v>Rates</v>
      </c>
      <c r="D202" s="244" t="str">
        <f t="shared" si="204"/>
        <v>Avoided Costs</v>
      </c>
      <c r="E202" s="84" t="s">
        <v>45</v>
      </c>
      <c r="F202" s="84" t="s">
        <v>182</v>
      </c>
      <c r="G202" s="506">
        <f ca="1">IFERROR(-G183/G175,0)</f>
        <v>0</v>
      </c>
      <c r="H202" s="506">
        <f t="shared" ref="H202:AG202" ca="1" si="205">IFERROR(-H183/H175,0)</f>
        <v>0</v>
      </c>
      <c r="I202" s="506">
        <f t="shared" ca="1" si="205"/>
        <v>-1.1465079260149634E-2</v>
      </c>
      <c r="J202" s="506">
        <f t="shared" ca="1" si="205"/>
        <v>-1.1465079260149634E-2</v>
      </c>
      <c r="K202" s="506">
        <f t="shared" ca="1" si="205"/>
        <v>-1.1465079260149634E-2</v>
      </c>
      <c r="L202" s="506">
        <f t="shared" ca="1" si="205"/>
        <v>-1.1465079260149634E-2</v>
      </c>
      <c r="M202" s="506">
        <f t="shared" ca="1" si="205"/>
        <v>-1.1465079260149634E-2</v>
      </c>
      <c r="N202" s="506">
        <f t="shared" ca="1" si="205"/>
        <v>-1.1465079260149634E-2</v>
      </c>
      <c r="O202" s="506">
        <f t="shared" ca="1" si="205"/>
        <v>-1.1465079260149634E-2</v>
      </c>
      <c r="P202" s="506">
        <f t="shared" ca="1" si="205"/>
        <v>-1.1465079260149634E-2</v>
      </c>
      <c r="Q202" s="506">
        <f t="shared" ca="1" si="205"/>
        <v>-1.1465079260149634E-2</v>
      </c>
      <c r="R202" s="506">
        <f t="shared" ca="1" si="205"/>
        <v>-1.1465079260149634E-2</v>
      </c>
      <c r="S202" s="506">
        <f t="shared" ca="1" si="205"/>
        <v>-1.1465079260149634E-2</v>
      </c>
      <c r="T202" s="506">
        <f t="shared" ca="1" si="205"/>
        <v>-1.1465079260149634E-2</v>
      </c>
      <c r="U202" s="506">
        <f t="shared" ca="1" si="205"/>
        <v>-1.1465079260149634E-2</v>
      </c>
      <c r="V202" s="506">
        <f t="shared" ca="1" si="205"/>
        <v>-1.1465079260149634E-2</v>
      </c>
      <c r="W202" s="506">
        <f t="shared" ca="1" si="205"/>
        <v>-1.1465079260149634E-2</v>
      </c>
      <c r="X202" s="506">
        <f t="shared" ca="1" si="205"/>
        <v>-1.1465079260149634E-2</v>
      </c>
      <c r="Y202" s="506">
        <f t="shared" ca="1" si="205"/>
        <v>0</v>
      </c>
      <c r="Z202" s="506">
        <f t="shared" ca="1" si="205"/>
        <v>0</v>
      </c>
      <c r="AA202" s="506">
        <f t="shared" ca="1" si="205"/>
        <v>0</v>
      </c>
      <c r="AB202" s="506">
        <f t="shared" ca="1" si="205"/>
        <v>0</v>
      </c>
      <c r="AC202" s="506">
        <f t="shared" ca="1" si="205"/>
        <v>0</v>
      </c>
      <c r="AD202" s="506">
        <f t="shared" ca="1" si="205"/>
        <v>0</v>
      </c>
      <c r="AE202" s="506">
        <f t="shared" ca="1" si="205"/>
        <v>0</v>
      </c>
      <c r="AF202" s="506">
        <f t="shared" ca="1" si="205"/>
        <v>0</v>
      </c>
      <c r="AG202" s="506">
        <f t="shared" ca="1" si="205"/>
        <v>0</v>
      </c>
      <c r="AH202" s="506"/>
      <c r="AI202" s="506"/>
      <c r="AJ202" s="506">
        <f ca="1">IF($C$4=Year1,-PMT(Lookups!$E$17,25,NPV(Lookups!$E$17,G202:AE202),0,1),IF($C$4=Year2,-PMT(Lookups!$F$17,25,NPV(Lookups!$F$17,H202:AF202),0,1),IF($C$4=Year3,-PMT(Lookups!$G$17,25,NPV(Lookups!$G$17,I202:AG202),0,1),-PMT(Lookups!$G$17,27,NPV(Lookups!$G$17,G202:AG202),0,1))))</f>
        <v>-7.6840549897929612E-3</v>
      </c>
      <c r="AK202" s="507"/>
      <c r="AL202" s="507"/>
      <c r="AM202" s="508">
        <f ca="1">IFERROR(-AM183/AM175,0)</f>
        <v>0</v>
      </c>
      <c r="AN202" s="508">
        <f t="shared" ref="AN202:BM202" ca="1" si="206">IFERROR(-AN183/AN175,0)</f>
        <v>0</v>
      </c>
      <c r="AO202" s="508">
        <f t="shared" ca="1" si="206"/>
        <v>-1.3136825982797392E-2</v>
      </c>
      <c r="AP202" s="508">
        <f t="shared" ca="1" si="206"/>
        <v>-1.3136825982797392E-2</v>
      </c>
      <c r="AQ202" s="508">
        <f t="shared" ca="1" si="206"/>
        <v>-1.3136825982797392E-2</v>
      </c>
      <c r="AR202" s="508">
        <f t="shared" ca="1" si="206"/>
        <v>-1.3136825982797392E-2</v>
      </c>
      <c r="AS202" s="508">
        <f t="shared" ca="1" si="206"/>
        <v>-1.3136825982797392E-2</v>
      </c>
      <c r="AT202" s="508">
        <f t="shared" ca="1" si="206"/>
        <v>-1.3136825982797392E-2</v>
      </c>
      <c r="AU202" s="508">
        <f t="shared" ca="1" si="206"/>
        <v>-1.3136825982797392E-2</v>
      </c>
      <c r="AV202" s="508">
        <f t="shared" ca="1" si="206"/>
        <v>-1.3136825982797392E-2</v>
      </c>
      <c r="AW202" s="508">
        <f t="shared" ca="1" si="206"/>
        <v>-1.3136825982797392E-2</v>
      </c>
      <c r="AX202" s="508">
        <f t="shared" ca="1" si="206"/>
        <v>-1.3136825982797392E-2</v>
      </c>
      <c r="AY202" s="508">
        <f t="shared" ca="1" si="206"/>
        <v>-1.3136825982797392E-2</v>
      </c>
      <c r="AZ202" s="508">
        <f t="shared" ca="1" si="206"/>
        <v>-1.3136825982797392E-2</v>
      </c>
      <c r="BA202" s="508">
        <f t="shared" ca="1" si="206"/>
        <v>-1.3136825982797392E-2</v>
      </c>
      <c r="BB202" s="508">
        <f t="shared" ca="1" si="206"/>
        <v>-1.3136825982797392E-2</v>
      </c>
      <c r="BC202" s="508">
        <f t="shared" ca="1" si="206"/>
        <v>-1.3136825982797392E-2</v>
      </c>
      <c r="BD202" s="508">
        <f t="shared" ca="1" si="206"/>
        <v>-1.3136825982797392E-2</v>
      </c>
      <c r="BE202" s="508">
        <f t="shared" ca="1" si="206"/>
        <v>0</v>
      </c>
      <c r="BF202" s="508">
        <f t="shared" ca="1" si="206"/>
        <v>0</v>
      </c>
      <c r="BG202" s="508">
        <f t="shared" ca="1" si="206"/>
        <v>0</v>
      </c>
      <c r="BH202" s="508">
        <f t="shared" ca="1" si="206"/>
        <v>0</v>
      </c>
      <c r="BI202" s="508">
        <f t="shared" ca="1" si="206"/>
        <v>0</v>
      </c>
      <c r="BJ202" s="508">
        <f t="shared" ca="1" si="206"/>
        <v>0</v>
      </c>
      <c r="BK202" s="508">
        <f t="shared" ca="1" si="206"/>
        <v>0</v>
      </c>
      <c r="BL202" s="508">
        <f t="shared" ca="1" si="206"/>
        <v>0</v>
      </c>
      <c r="BM202" s="508">
        <f t="shared" ca="1" si="206"/>
        <v>0</v>
      </c>
      <c r="BN202" s="508"/>
      <c r="BO202" s="508"/>
      <c r="BP202" s="508">
        <f ca="1">IF($C$4=Year1,-PMT(Lookups!$E$17,25,NPV(Lookups!$E$17,AM202:BK202),0,1),IF($C$4=Year2,-PMT(Lookups!$F$17,25,NPV(Lookups!$F$17,AN202:BL202),0,1),IF($C$4=Year3,-PMT(Lookups!$G$17,25,NPV(Lookups!$G$17,AO202:BM202),0,1),-PMT(Lookups!$G$17,27,NPV(Lookups!$G$17,AM202:BM202),0,1))))</f>
        <v>-8.8044828084196513E-3</v>
      </c>
      <c r="BS202" s="84" t="str">
        <f t="shared" ref="BS202:BS204" si="207">"Avoided "&amp;E202&amp;" avoided costs divided by After Scenario sales."</f>
        <v>Avoided Gas avoided costs divided by After Scenario sales.</v>
      </c>
      <c r="BT202" s="51" t="s">
        <v>17</v>
      </c>
    </row>
    <row r="203" spans="1:72" x14ac:dyDescent="0.25">
      <c r="B203" s="243" t="str">
        <f t="shared" si="204"/>
        <v>Small C&amp;I</v>
      </c>
      <c r="C203" s="243" t="str">
        <f t="shared" si="204"/>
        <v>Rates</v>
      </c>
      <c r="D203" s="244" t="str">
        <f t="shared" si="204"/>
        <v>Avoided Costs</v>
      </c>
      <c r="E203" s="86" t="s">
        <v>412</v>
      </c>
      <c r="F203" s="84" t="s">
        <v>182</v>
      </c>
      <c r="G203" s="506">
        <f ca="1">IFERROR(-G184/G175,0)</f>
        <v>0</v>
      </c>
      <c r="H203" s="506">
        <f t="shared" ref="H203:AG203" ca="1" si="208">IFERROR(-H184/H175,0)</f>
        <v>0</v>
      </c>
      <c r="I203" s="506">
        <f t="shared" ca="1" si="208"/>
        <v>-7.3181356979678516E-4</v>
      </c>
      <c r="J203" s="506">
        <f t="shared" ca="1" si="208"/>
        <v>-7.3181356979678516E-4</v>
      </c>
      <c r="K203" s="506">
        <f t="shared" ca="1" si="208"/>
        <v>-7.3181356979678516E-4</v>
      </c>
      <c r="L203" s="506">
        <f t="shared" ca="1" si="208"/>
        <v>-7.3181356979678516E-4</v>
      </c>
      <c r="M203" s="506">
        <f t="shared" ca="1" si="208"/>
        <v>-7.3181356979678516E-4</v>
      </c>
      <c r="N203" s="506">
        <f t="shared" ca="1" si="208"/>
        <v>-7.3181356979678516E-4</v>
      </c>
      <c r="O203" s="506">
        <f t="shared" ca="1" si="208"/>
        <v>-7.3181356979678516E-4</v>
      </c>
      <c r="P203" s="506">
        <f t="shared" ca="1" si="208"/>
        <v>-7.3181356979678516E-4</v>
      </c>
      <c r="Q203" s="506">
        <f t="shared" ca="1" si="208"/>
        <v>-7.3181356979678516E-4</v>
      </c>
      <c r="R203" s="506">
        <f t="shared" ca="1" si="208"/>
        <v>-7.3181356979678516E-4</v>
      </c>
      <c r="S203" s="506">
        <f t="shared" ca="1" si="208"/>
        <v>-7.3181356979678516E-4</v>
      </c>
      <c r="T203" s="506">
        <f t="shared" ca="1" si="208"/>
        <v>-7.3181356979678516E-4</v>
      </c>
      <c r="U203" s="506">
        <f t="shared" ca="1" si="208"/>
        <v>-7.3181356979678516E-4</v>
      </c>
      <c r="V203" s="506">
        <f t="shared" ca="1" si="208"/>
        <v>-7.3181356979678516E-4</v>
      </c>
      <c r="W203" s="506">
        <f t="shared" ca="1" si="208"/>
        <v>-7.3181356979678516E-4</v>
      </c>
      <c r="X203" s="506">
        <f t="shared" ca="1" si="208"/>
        <v>-7.3181356979678516E-4</v>
      </c>
      <c r="Y203" s="506">
        <f t="shared" ca="1" si="208"/>
        <v>0</v>
      </c>
      <c r="Z203" s="506">
        <f t="shared" ca="1" si="208"/>
        <v>0</v>
      </c>
      <c r="AA203" s="506">
        <f t="shared" ca="1" si="208"/>
        <v>0</v>
      </c>
      <c r="AB203" s="506">
        <f t="shared" ca="1" si="208"/>
        <v>0</v>
      </c>
      <c r="AC203" s="506">
        <f t="shared" ca="1" si="208"/>
        <v>0</v>
      </c>
      <c r="AD203" s="506">
        <f t="shared" ca="1" si="208"/>
        <v>0</v>
      </c>
      <c r="AE203" s="506">
        <f t="shared" ca="1" si="208"/>
        <v>0</v>
      </c>
      <c r="AF203" s="506">
        <f t="shared" ca="1" si="208"/>
        <v>0</v>
      </c>
      <c r="AG203" s="506">
        <f t="shared" ca="1" si="208"/>
        <v>0</v>
      </c>
      <c r="AH203" s="506"/>
      <c r="AI203" s="506"/>
      <c r="AJ203" s="506">
        <f ca="1">IF($C$4=Year1,-PMT(Lookups!$E$17,25,NPV(Lookups!$E$17,G203:AE203),0,1),IF($C$4=Year2,-PMT(Lookups!$F$17,25,NPV(Lookups!$F$17,H203:AF203),0,1),IF($C$4=Year3,-PMT(Lookups!$G$17,25,NPV(Lookups!$G$17,I203:AG203),0,1),-PMT(Lookups!$G$17,27,NPV(Lookups!$G$17,G203:AG203),0,1))))</f>
        <v>-4.904715950931678E-4</v>
      </c>
      <c r="AK203" s="507"/>
      <c r="AL203" s="507"/>
      <c r="AM203" s="508">
        <f ca="1">IFERROR(-AM184/AM175,0)</f>
        <v>0</v>
      </c>
      <c r="AN203" s="508">
        <f t="shared" ref="AN203:BM203" ca="1" si="209">IFERROR(-AN184/AN175,0)</f>
        <v>0</v>
      </c>
      <c r="AO203" s="508">
        <f t="shared" ca="1" si="209"/>
        <v>-8.385208074125995E-4</v>
      </c>
      <c r="AP203" s="508">
        <f t="shared" ca="1" si="209"/>
        <v>-8.385208074125995E-4</v>
      </c>
      <c r="AQ203" s="508">
        <f t="shared" ca="1" si="209"/>
        <v>-8.385208074125995E-4</v>
      </c>
      <c r="AR203" s="508">
        <f t="shared" ca="1" si="209"/>
        <v>-8.385208074125995E-4</v>
      </c>
      <c r="AS203" s="508">
        <f t="shared" ca="1" si="209"/>
        <v>-8.385208074125995E-4</v>
      </c>
      <c r="AT203" s="508">
        <f t="shared" ca="1" si="209"/>
        <v>-8.385208074125995E-4</v>
      </c>
      <c r="AU203" s="508">
        <f t="shared" ca="1" si="209"/>
        <v>-8.385208074125995E-4</v>
      </c>
      <c r="AV203" s="508">
        <f t="shared" ca="1" si="209"/>
        <v>-8.385208074125995E-4</v>
      </c>
      <c r="AW203" s="508">
        <f t="shared" ca="1" si="209"/>
        <v>-8.385208074125995E-4</v>
      </c>
      <c r="AX203" s="508">
        <f t="shared" ca="1" si="209"/>
        <v>-8.385208074125995E-4</v>
      </c>
      <c r="AY203" s="508">
        <f t="shared" ca="1" si="209"/>
        <v>-8.385208074125995E-4</v>
      </c>
      <c r="AZ203" s="508">
        <f t="shared" ca="1" si="209"/>
        <v>-8.385208074125995E-4</v>
      </c>
      <c r="BA203" s="508">
        <f t="shared" ca="1" si="209"/>
        <v>-8.385208074125995E-4</v>
      </c>
      <c r="BB203" s="508">
        <f t="shared" ca="1" si="209"/>
        <v>-8.385208074125995E-4</v>
      </c>
      <c r="BC203" s="508">
        <f t="shared" ca="1" si="209"/>
        <v>-8.385208074125995E-4</v>
      </c>
      <c r="BD203" s="508">
        <f t="shared" ca="1" si="209"/>
        <v>-8.385208074125995E-4</v>
      </c>
      <c r="BE203" s="508">
        <f t="shared" ca="1" si="209"/>
        <v>0</v>
      </c>
      <c r="BF203" s="508">
        <f t="shared" ca="1" si="209"/>
        <v>0</v>
      </c>
      <c r="BG203" s="508">
        <f t="shared" ca="1" si="209"/>
        <v>0</v>
      </c>
      <c r="BH203" s="508">
        <f t="shared" ca="1" si="209"/>
        <v>0</v>
      </c>
      <c r="BI203" s="508">
        <f t="shared" ca="1" si="209"/>
        <v>0</v>
      </c>
      <c r="BJ203" s="508">
        <f t="shared" ca="1" si="209"/>
        <v>0</v>
      </c>
      <c r="BK203" s="508">
        <f t="shared" ca="1" si="209"/>
        <v>0</v>
      </c>
      <c r="BL203" s="508">
        <f t="shared" ca="1" si="209"/>
        <v>0</v>
      </c>
      <c r="BM203" s="508">
        <f t="shared" ca="1" si="209"/>
        <v>0</v>
      </c>
      <c r="BN203" s="508"/>
      <c r="BO203" s="508"/>
      <c r="BP203" s="508">
        <f ca="1">IF($C$4=Year1,-PMT(Lookups!$E$17,25,NPV(Lookups!$E$17,AM203:BK203),0,1),IF($C$4=Year2,-PMT(Lookups!$F$17,25,NPV(Lookups!$F$17,AN203:BL203),0,1),IF($C$4=Year3,-PMT(Lookups!$G$17,25,NPV(Lookups!$G$17,AO203:BM203),0,1),-PMT(Lookups!$G$17,27,NPV(Lookups!$G$17,AM203:BM203),0,1))))</f>
        <v>-5.6198826436721196E-4</v>
      </c>
      <c r="BS203" s="84" t="str">
        <f t="shared" si="207"/>
        <v>Avoided Gas, Retail Margin avoided costs divided by After Scenario sales.</v>
      </c>
      <c r="BT203" s="51"/>
    </row>
    <row r="204" spans="1:72" x14ac:dyDescent="0.25">
      <c r="B204" s="243" t="str">
        <f t="shared" ref="B204:D204" si="210">B202</f>
        <v>Small C&amp;I</v>
      </c>
      <c r="C204" s="243" t="str">
        <f t="shared" si="210"/>
        <v>Rates</v>
      </c>
      <c r="D204" s="244" t="str">
        <f t="shared" si="210"/>
        <v>Avoided Costs</v>
      </c>
      <c r="E204" s="86" t="s">
        <v>175</v>
      </c>
      <c r="F204" s="84" t="s">
        <v>182</v>
      </c>
      <c r="G204" s="506">
        <f ca="1">IFERROR(-G185/G175,0)</f>
        <v>0</v>
      </c>
      <c r="H204" s="506">
        <f t="shared" ref="H204:AG204" ca="1" si="211">IFERROR(-H185/H175,0)</f>
        <v>0</v>
      </c>
      <c r="I204" s="506">
        <f t="shared" ca="1" si="211"/>
        <v>-4.2910437384157519E-4</v>
      </c>
      <c r="J204" s="506">
        <f t="shared" ca="1" si="211"/>
        <v>-4.2910437384157519E-4</v>
      </c>
      <c r="K204" s="506">
        <f t="shared" ca="1" si="211"/>
        <v>-4.2910437384157519E-4</v>
      </c>
      <c r="L204" s="506">
        <f t="shared" ca="1" si="211"/>
        <v>-4.2910437384157519E-4</v>
      </c>
      <c r="M204" s="506">
        <f t="shared" ca="1" si="211"/>
        <v>-4.2910437384157519E-4</v>
      </c>
      <c r="N204" s="506">
        <f t="shared" ca="1" si="211"/>
        <v>-4.2910437384157519E-4</v>
      </c>
      <c r="O204" s="506">
        <f t="shared" ca="1" si="211"/>
        <v>-4.2910437384157519E-4</v>
      </c>
      <c r="P204" s="506">
        <f t="shared" ca="1" si="211"/>
        <v>-4.2910437384157519E-4</v>
      </c>
      <c r="Q204" s="506">
        <f t="shared" ca="1" si="211"/>
        <v>-4.2910437384157519E-4</v>
      </c>
      <c r="R204" s="506">
        <f t="shared" ca="1" si="211"/>
        <v>-4.2910437384157519E-4</v>
      </c>
      <c r="S204" s="506">
        <f t="shared" ca="1" si="211"/>
        <v>-4.2910437384157519E-4</v>
      </c>
      <c r="T204" s="506">
        <f t="shared" ca="1" si="211"/>
        <v>-4.2910437384157519E-4</v>
      </c>
      <c r="U204" s="506">
        <f t="shared" ca="1" si="211"/>
        <v>-4.2910437384157519E-4</v>
      </c>
      <c r="V204" s="506">
        <f t="shared" ca="1" si="211"/>
        <v>-4.2910437384157519E-4</v>
      </c>
      <c r="W204" s="506">
        <f t="shared" ca="1" si="211"/>
        <v>-4.2910437384157519E-4</v>
      </c>
      <c r="X204" s="506">
        <f t="shared" ca="1" si="211"/>
        <v>-4.2910437384157519E-4</v>
      </c>
      <c r="Y204" s="506">
        <f t="shared" ca="1" si="211"/>
        <v>0</v>
      </c>
      <c r="Z204" s="506">
        <f t="shared" ca="1" si="211"/>
        <v>0</v>
      </c>
      <c r="AA204" s="506">
        <f t="shared" ca="1" si="211"/>
        <v>0</v>
      </c>
      <c r="AB204" s="506">
        <f t="shared" ca="1" si="211"/>
        <v>0</v>
      </c>
      <c r="AC204" s="506">
        <f t="shared" ca="1" si="211"/>
        <v>0</v>
      </c>
      <c r="AD204" s="506">
        <f t="shared" ca="1" si="211"/>
        <v>0</v>
      </c>
      <c r="AE204" s="506">
        <f t="shared" ca="1" si="211"/>
        <v>0</v>
      </c>
      <c r="AF204" s="506">
        <f t="shared" ca="1" si="211"/>
        <v>0</v>
      </c>
      <c r="AG204" s="506">
        <f t="shared" ca="1" si="211"/>
        <v>0</v>
      </c>
      <c r="AH204" s="506"/>
      <c r="AI204" s="506"/>
      <c r="AJ204" s="506">
        <f ca="1">IF($C$4=Year1,-PMT(Lookups!$E$17,25,NPV(Lookups!$E$17,G204:AE204),0,1),IF($C$4=Year2,-PMT(Lookups!$F$17,25,NPV(Lookups!$F$17,H204:AF204),0,1),IF($C$4=Year3,-PMT(Lookups!$G$17,25,NPV(Lookups!$G$17,I204:AG204),0,1),-PMT(Lookups!$G$17,27,NPV(Lookups!$G$17,G204:AG204),0,1))))</f>
        <v>-2.8759169737447654E-4</v>
      </c>
      <c r="AK204" s="507"/>
      <c r="AL204" s="507"/>
      <c r="AM204" s="508">
        <f ca="1">IFERROR(-AM185/AM175,0)</f>
        <v>0</v>
      </c>
      <c r="AN204" s="508">
        <f t="shared" ref="AN204:BM204" ca="1" si="212">IFERROR(-AN185/AN175,0)</f>
        <v>0</v>
      </c>
      <c r="AO204" s="508">
        <f t="shared" ca="1" si="212"/>
        <v>-4.9167296271621585E-4</v>
      </c>
      <c r="AP204" s="508">
        <f t="shared" ca="1" si="212"/>
        <v>-4.9167296271621585E-4</v>
      </c>
      <c r="AQ204" s="508">
        <f t="shared" ca="1" si="212"/>
        <v>-4.9167296271621585E-4</v>
      </c>
      <c r="AR204" s="508">
        <f t="shared" ca="1" si="212"/>
        <v>-4.9167296271621585E-4</v>
      </c>
      <c r="AS204" s="508">
        <f t="shared" ca="1" si="212"/>
        <v>-4.9167296271621585E-4</v>
      </c>
      <c r="AT204" s="508">
        <f t="shared" ca="1" si="212"/>
        <v>-4.9167296271621585E-4</v>
      </c>
      <c r="AU204" s="508">
        <f t="shared" ca="1" si="212"/>
        <v>-4.9167296271621585E-4</v>
      </c>
      <c r="AV204" s="508">
        <f t="shared" ca="1" si="212"/>
        <v>-4.9167296271621585E-4</v>
      </c>
      <c r="AW204" s="508">
        <f t="shared" ca="1" si="212"/>
        <v>-4.9167296271621585E-4</v>
      </c>
      <c r="AX204" s="508">
        <f t="shared" ca="1" si="212"/>
        <v>-4.9167296271621585E-4</v>
      </c>
      <c r="AY204" s="508">
        <f t="shared" ca="1" si="212"/>
        <v>-4.9167296271621585E-4</v>
      </c>
      <c r="AZ204" s="508">
        <f t="shared" ca="1" si="212"/>
        <v>-4.9167296271621585E-4</v>
      </c>
      <c r="BA204" s="508">
        <f t="shared" ca="1" si="212"/>
        <v>-4.9167296271621585E-4</v>
      </c>
      <c r="BB204" s="508">
        <f t="shared" ca="1" si="212"/>
        <v>-4.9167296271621585E-4</v>
      </c>
      <c r="BC204" s="508">
        <f t="shared" ca="1" si="212"/>
        <v>-4.9167296271621585E-4</v>
      </c>
      <c r="BD204" s="508">
        <f t="shared" ca="1" si="212"/>
        <v>-4.9167296271621585E-4</v>
      </c>
      <c r="BE204" s="508">
        <f t="shared" ca="1" si="212"/>
        <v>0</v>
      </c>
      <c r="BF204" s="508">
        <f t="shared" ca="1" si="212"/>
        <v>0</v>
      </c>
      <c r="BG204" s="508">
        <f t="shared" ca="1" si="212"/>
        <v>0</v>
      </c>
      <c r="BH204" s="508">
        <f t="shared" ca="1" si="212"/>
        <v>0</v>
      </c>
      <c r="BI204" s="508">
        <f t="shared" ca="1" si="212"/>
        <v>0</v>
      </c>
      <c r="BJ204" s="508">
        <f t="shared" ca="1" si="212"/>
        <v>0</v>
      </c>
      <c r="BK204" s="508">
        <f t="shared" ca="1" si="212"/>
        <v>0</v>
      </c>
      <c r="BL204" s="508">
        <f t="shared" ca="1" si="212"/>
        <v>0</v>
      </c>
      <c r="BM204" s="508">
        <f t="shared" ca="1" si="212"/>
        <v>0</v>
      </c>
      <c r="BN204" s="508"/>
      <c r="BO204" s="508"/>
      <c r="BP204" s="508">
        <f ca="1">IF($C$4=Year1,-PMT(Lookups!$E$17,25,NPV(Lookups!$E$17,AM204:BK204),0,1),IF($C$4=Year2,-PMT(Lookups!$F$17,25,NPV(Lookups!$F$17,AN204:BL204),0,1),IF($C$4=Year3,-PMT(Lookups!$G$17,25,NPV(Lookups!$G$17,AO204:BM204),0,1),-PMT(Lookups!$G$17,27,NPV(Lookups!$G$17,AM204:BM204),0,1))))</f>
        <v>-3.2952603264048609E-4</v>
      </c>
      <c r="BS204" s="84" t="str">
        <f t="shared" si="207"/>
        <v>Avoided Gas DRIPE avoided costs divided by After Scenario sales.</v>
      </c>
      <c r="BT204" s="51" t="s">
        <v>17</v>
      </c>
    </row>
    <row r="205" spans="1:72" x14ac:dyDescent="0.25">
      <c r="B205" s="243" t="str">
        <f t="shared" ref="B205:D213" si="213">B204</f>
        <v>Small C&amp;I</v>
      </c>
      <c r="C205" s="243" t="str">
        <f t="shared" si="213"/>
        <v>Rates</v>
      </c>
      <c r="D205" s="244" t="str">
        <f t="shared" si="213"/>
        <v>Avoided Costs</v>
      </c>
      <c r="E205" s="86" t="s">
        <v>76</v>
      </c>
      <c r="F205" s="84" t="s">
        <v>182</v>
      </c>
      <c r="G205" s="506">
        <f ca="1">SUM(G202:G204)</f>
        <v>0</v>
      </c>
      <c r="H205" s="506">
        <f t="shared" ref="H205:AG205" ca="1" si="214">SUM(H202:H204)</f>
        <v>0</v>
      </c>
      <c r="I205" s="506">
        <f t="shared" ca="1" si="214"/>
        <v>-1.2625997203787995E-2</v>
      </c>
      <c r="J205" s="506">
        <f t="shared" ca="1" si="214"/>
        <v>-1.2625997203787995E-2</v>
      </c>
      <c r="K205" s="506">
        <f t="shared" ca="1" si="214"/>
        <v>-1.2625997203787995E-2</v>
      </c>
      <c r="L205" s="506">
        <f t="shared" ca="1" si="214"/>
        <v>-1.2625997203787995E-2</v>
      </c>
      <c r="M205" s="506">
        <f t="shared" ca="1" si="214"/>
        <v>-1.2625997203787995E-2</v>
      </c>
      <c r="N205" s="506">
        <f t="shared" ca="1" si="214"/>
        <v>-1.2625997203787995E-2</v>
      </c>
      <c r="O205" s="506">
        <f t="shared" ca="1" si="214"/>
        <v>-1.2625997203787995E-2</v>
      </c>
      <c r="P205" s="506">
        <f t="shared" ca="1" si="214"/>
        <v>-1.2625997203787995E-2</v>
      </c>
      <c r="Q205" s="506">
        <f t="shared" ca="1" si="214"/>
        <v>-1.2625997203787995E-2</v>
      </c>
      <c r="R205" s="506">
        <f t="shared" ca="1" si="214"/>
        <v>-1.2625997203787995E-2</v>
      </c>
      <c r="S205" s="506">
        <f t="shared" ca="1" si="214"/>
        <v>-1.2625997203787995E-2</v>
      </c>
      <c r="T205" s="506">
        <f t="shared" ca="1" si="214"/>
        <v>-1.2625997203787995E-2</v>
      </c>
      <c r="U205" s="506">
        <f t="shared" ca="1" si="214"/>
        <v>-1.2625997203787995E-2</v>
      </c>
      <c r="V205" s="506">
        <f t="shared" ca="1" si="214"/>
        <v>-1.2625997203787995E-2</v>
      </c>
      <c r="W205" s="506">
        <f t="shared" ca="1" si="214"/>
        <v>-1.2625997203787995E-2</v>
      </c>
      <c r="X205" s="506">
        <f t="shared" ca="1" si="214"/>
        <v>-1.2625997203787995E-2</v>
      </c>
      <c r="Y205" s="506">
        <f t="shared" ca="1" si="214"/>
        <v>0</v>
      </c>
      <c r="Z205" s="506">
        <f t="shared" ca="1" si="214"/>
        <v>0</v>
      </c>
      <c r="AA205" s="506">
        <f t="shared" ca="1" si="214"/>
        <v>0</v>
      </c>
      <c r="AB205" s="506">
        <f t="shared" ca="1" si="214"/>
        <v>0</v>
      </c>
      <c r="AC205" s="506">
        <f t="shared" ca="1" si="214"/>
        <v>0</v>
      </c>
      <c r="AD205" s="506">
        <f t="shared" ca="1" si="214"/>
        <v>0</v>
      </c>
      <c r="AE205" s="506">
        <f t="shared" ca="1" si="214"/>
        <v>0</v>
      </c>
      <c r="AF205" s="506">
        <f t="shared" ca="1" si="214"/>
        <v>0</v>
      </c>
      <c r="AG205" s="506">
        <f t="shared" ca="1" si="214"/>
        <v>0</v>
      </c>
      <c r="AH205" s="506"/>
      <c r="AI205" s="506"/>
      <c r="AJ205" s="506">
        <f ca="1">IF($C$4=Year1,-PMT(Lookups!$E$17,25,NPV(Lookups!$E$17,G205:AE205),0,1),IF($C$4=Year2,-PMT(Lookups!$F$17,25,NPV(Lookups!$F$17,H205:AF205),0,1),IF($C$4=Year3,-PMT(Lookups!$G$17,25,NPV(Lookups!$G$17,I205:AG205),0,1),-PMT(Lookups!$G$17,27,NPV(Lookups!$G$17,G205:AG205),0,1))))</f>
        <v>-8.4621182822606084E-3</v>
      </c>
      <c r="AK205" s="507"/>
      <c r="AL205" s="507"/>
      <c r="AM205" s="508">
        <f ca="1">SUM(AM202:AM204)</f>
        <v>0</v>
      </c>
      <c r="AN205" s="508">
        <f t="shared" ref="AN205:BM205" ca="1" si="215">SUM(AN202:AN204)</f>
        <v>0</v>
      </c>
      <c r="AO205" s="508">
        <f t="shared" ca="1" si="215"/>
        <v>-1.4467019752926207E-2</v>
      </c>
      <c r="AP205" s="508">
        <f t="shared" ca="1" si="215"/>
        <v>-1.4467019752926207E-2</v>
      </c>
      <c r="AQ205" s="508">
        <f t="shared" ca="1" si="215"/>
        <v>-1.4467019752926207E-2</v>
      </c>
      <c r="AR205" s="508">
        <f t="shared" ca="1" si="215"/>
        <v>-1.4467019752926207E-2</v>
      </c>
      <c r="AS205" s="508">
        <f t="shared" ca="1" si="215"/>
        <v>-1.4467019752926207E-2</v>
      </c>
      <c r="AT205" s="508">
        <f t="shared" ca="1" si="215"/>
        <v>-1.4467019752926207E-2</v>
      </c>
      <c r="AU205" s="508">
        <f t="shared" ca="1" si="215"/>
        <v>-1.4467019752926207E-2</v>
      </c>
      <c r="AV205" s="508">
        <f t="shared" ca="1" si="215"/>
        <v>-1.4467019752926207E-2</v>
      </c>
      <c r="AW205" s="508">
        <f t="shared" ca="1" si="215"/>
        <v>-1.4467019752926207E-2</v>
      </c>
      <c r="AX205" s="508">
        <f t="shared" ca="1" si="215"/>
        <v>-1.4467019752926207E-2</v>
      </c>
      <c r="AY205" s="508">
        <f t="shared" ca="1" si="215"/>
        <v>-1.4467019752926207E-2</v>
      </c>
      <c r="AZ205" s="508">
        <f t="shared" ca="1" si="215"/>
        <v>-1.4467019752926207E-2</v>
      </c>
      <c r="BA205" s="508">
        <f t="shared" ca="1" si="215"/>
        <v>-1.4467019752926207E-2</v>
      </c>
      <c r="BB205" s="508">
        <f t="shared" ca="1" si="215"/>
        <v>-1.4467019752926207E-2</v>
      </c>
      <c r="BC205" s="508">
        <f t="shared" ca="1" si="215"/>
        <v>-1.4467019752926207E-2</v>
      </c>
      <c r="BD205" s="508">
        <f t="shared" ca="1" si="215"/>
        <v>-1.4467019752926207E-2</v>
      </c>
      <c r="BE205" s="508">
        <f t="shared" ca="1" si="215"/>
        <v>0</v>
      </c>
      <c r="BF205" s="508">
        <f t="shared" ca="1" si="215"/>
        <v>0</v>
      </c>
      <c r="BG205" s="508">
        <f t="shared" ca="1" si="215"/>
        <v>0</v>
      </c>
      <c r="BH205" s="508">
        <f t="shared" ca="1" si="215"/>
        <v>0</v>
      </c>
      <c r="BI205" s="508">
        <f t="shared" ca="1" si="215"/>
        <v>0</v>
      </c>
      <c r="BJ205" s="508">
        <f t="shared" ca="1" si="215"/>
        <v>0</v>
      </c>
      <c r="BK205" s="508">
        <f t="shared" ca="1" si="215"/>
        <v>0</v>
      </c>
      <c r="BL205" s="508">
        <f t="shared" ca="1" si="215"/>
        <v>0</v>
      </c>
      <c r="BM205" s="508">
        <f t="shared" ca="1" si="215"/>
        <v>0</v>
      </c>
      <c r="BN205" s="508"/>
      <c r="BO205" s="508"/>
      <c r="BP205" s="508">
        <f ca="1">IF($C$4=Year1,-PMT(Lookups!$E$17,25,NPV(Lookups!$E$17,AM205:BK205),0,1),IF($C$4=Year2,-PMT(Lookups!$F$17,25,NPV(Lookups!$F$17,AN205:BL205),0,1),IF($C$4=Year3,-PMT(Lookups!$G$17,25,NPV(Lookups!$G$17,AO205:BM205),0,1),-PMT(Lookups!$G$17,27,NPV(Lookups!$G$17,AM205:BM205),0,1))))</f>
        <v>-9.6959971054273487E-3</v>
      </c>
      <c r="BS205" s="84" t="s">
        <v>232</v>
      </c>
      <c r="BT205" s="51" t="s">
        <v>17</v>
      </c>
    </row>
    <row r="206" spans="1:72" x14ac:dyDescent="0.25">
      <c r="B206" s="243" t="str">
        <f t="shared" si="213"/>
        <v>Small C&amp;I</v>
      </c>
      <c r="C206" s="243" t="str">
        <f t="shared" si="213"/>
        <v>Rates</v>
      </c>
      <c r="D206" s="114" t="s">
        <v>165</v>
      </c>
      <c r="E206" s="86"/>
      <c r="F206" s="86"/>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S206" s="84"/>
      <c r="BT206" s="51" t="s">
        <v>17</v>
      </c>
    </row>
    <row r="207" spans="1:72" x14ac:dyDescent="0.25">
      <c r="A207" s="246"/>
      <c r="B207" s="243" t="str">
        <f t="shared" si="213"/>
        <v>Small C&amp;I</v>
      </c>
      <c r="C207" s="243" t="str">
        <f t="shared" si="213"/>
        <v>Rates</v>
      </c>
      <c r="D207" s="244" t="str">
        <f t="shared" si="213"/>
        <v>Increased Costs and Cost Shifting</v>
      </c>
      <c r="E207" s="84" t="s">
        <v>406</v>
      </c>
      <c r="F207" s="84" t="s">
        <v>182</v>
      </c>
      <c r="G207" s="509">
        <f ca="1">IF($C$4=Lookups!$D$40,SUM(INDIRECT("'Yr1'!"&amp;ADDRESS(ROW(G207),COLUMN(G207))),INDIRECT("'Yr2'!"&amp;ADDRESS(ROW(G207),COLUMN(G207))),INDIRECT("'Yr3'!"&amp;ADDRESS(ROW(G207),COLUMN(G207)))),
IF($C$4=G$7,SUMIFS('EE Inputs'!$L$9:$L$32,'EE Inputs'!$C$9:$C$32,$G$6,'EE Inputs'!$D$9:$D$32,$C$4,'EE Inputs'!$E$9:$E$32,$B207),0))</f>
        <v>0</v>
      </c>
      <c r="H207" s="509">
        <f ca="1">IF($C$4=Lookups!$D$40,SUM(INDIRECT("'Yr1'!"&amp;ADDRESS(ROW(H207),COLUMN(H207))),INDIRECT("'Yr2'!"&amp;ADDRESS(ROW(H207),COLUMN(H207))),INDIRECT("'Yr3'!"&amp;ADDRESS(ROW(H207),COLUMN(H207)))),
IF($C$4=H$7,SUMIFS('EE Inputs'!$L$9:$L$32,'EE Inputs'!$C$9:$C$32,$G$6,'EE Inputs'!$D$9:$D$32,$C$4,'EE Inputs'!$E$9:$E$32,$B207),0))</f>
        <v>0</v>
      </c>
      <c r="I207" s="509">
        <f ca="1">IF($C$4=Lookups!$D$40,SUM(INDIRECT("'Yr1'!"&amp;ADDRESS(ROW(I207),COLUMN(I207))),INDIRECT("'Yr2'!"&amp;ADDRESS(ROW(I207),COLUMN(I207))),INDIRECT("'Yr3'!"&amp;ADDRESS(ROW(I207),COLUMN(I207)))),
IF($C$4=I$7,SUMIFS('EE Inputs'!$L$9:$L$32,'EE Inputs'!$C$9:$C$32,$G$6,'EE Inputs'!$D$9:$D$32,$C$4,'EE Inputs'!$E$9:$E$32,$B207),0))</f>
        <v>0.15875101082198512</v>
      </c>
      <c r="J207" s="509">
        <f ca="1">IF($C$4=Lookups!$D$40,SUM(INDIRECT("'Yr1'!"&amp;ADDRESS(ROW(J207),COLUMN(J207))),INDIRECT("'Yr2'!"&amp;ADDRESS(ROW(J207),COLUMN(J207))),INDIRECT("'Yr3'!"&amp;ADDRESS(ROW(J207),COLUMN(J207)))),
IF($C$4=J$7,SUMIFS('EE Inputs'!$L$9:$L$32,'EE Inputs'!$C$9:$C$32,$G$6,'EE Inputs'!$D$9:$D$32,$C$4,'EE Inputs'!$E$9:$E$32,$B207),0))</f>
        <v>0</v>
      </c>
      <c r="K207" s="509">
        <f ca="1">IF($C$4=Lookups!$D$40,SUM(INDIRECT("'Yr1'!"&amp;ADDRESS(ROW(K207),COLUMN(K207))),INDIRECT("'Yr2'!"&amp;ADDRESS(ROW(K207),COLUMN(K207))),INDIRECT("'Yr3'!"&amp;ADDRESS(ROW(K207),COLUMN(K207)))),
IF($C$4=K$7,SUMIFS('EE Inputs'!$L$9:$L$32,'EE Inputs'!$C$9:$C$32,$G$6,'EE Inputs'!$D$9:$D$32,$C$4,'EE Inputs'!$E$9:$E$32,$B207),0))</f>
        <v>0</v>
      </c>
      <c r="L207" s="509">
        <f ca="1">IF($C$4=Lookups!$D$40,SUM(INDIRECT("'Yr1'!"&amp;ADDRESS(ROW(L207),COLUMN(L207))),INDIRECT("'Yr2'!"&amp;ADDRESS(ROW(L207),COLUMN(L207))),INDIRECT("'Yr3'!"&amp;ADDRESS(ROW(L207),COLUMN(L207)))),
IF($C$4=L$7,SUMIFS('EE Inputs'!$L$9:$L$32,'EE Inputs'!$C$9:$C$32,$G$6,'EE Inputs'!$D$9:$D$32,$C$4,'EE Inputs'!$E$9:$E$32,$B207),0))</f>
        <v>0</v>
      </c>
      <c r="M207" s="509">
        <f ca="1">IF($C$4=Lookups!$D$40,SUM(INDIRECT("'Yr1'!"&amp;ADDRESS(ROW(M207),COLUMN(M207))),INDIRECT("'Yr2'!"&amp;ADDRESS(ROW(M207),COLUMN(M207))),INDIRECT("'Yr3'!"&amp;ADDRESS(ROW(M207),COLUMN(M207)))),
IF($C$4=M$7,SUMIFS('EE Inputs'!$L$9:$L$32,'EE Inputs'!$C$9:$C$32,$G$6,'EE Inputs'!$D$9:$D$32,$C$4,'EE Inputs'!$E$9:$E$32,$B207),0))</f>
        <v>0</v>
      </c>
      <c r="N207" s="509">
        <f ca="1">IF($C$4=Lookups!$D$40,SUM(INDIRECT("'Yr1'!"&amp;ADDRESS(ROW(N207),COLUMN(N207))),INDIRECT("'Yr2'!"&amp;ADDRESS(ROW(N207),COLUMN(N207))),INDIRECT("'Yr3'!"&amp;ADDRESS(ROW(N207),COLUMN(N207)))),
IF($C$4=N$7,SUMIFS('EE Inputs'!$L$9:$L$32,'EE Inputs'!$C$9:$C$32,$G$6,'EE Inputs'!$D$9:$D$32,$C$4,'EE Inputs'!$E$9:$E$32,$B207),0))</f>
        <v>0</v>
      </c>
      <c r="O207" s="509">
        <f ca="1">IF($C$4=Lookups!$D$40,SUM(INDIRECT("'Yr1'!"&amp;ADDRESS(ROW(O207),COLUMN(O207))),INDIRECT("'Yr2'!"&amp;ADDRESS(ROW(O207),COLUMN(O207))),INDIRECT("'Yr3'!"&amp;ADDRESS(ROW(O207),COLUMN(O207)))),
IF($C$4=O$7,SUMIFS('EE Inputs'!$L$9:$L$32,'EE Inputs'!$C$9:$C$32,$G$6,'EE Inputs'!$D$9:$D$32,$C$4,'EE Inputs'!$E$9:$E$32,$B207),0))</f>
        <v>0</v>
      </c>
      <c r="P207" s="509">
        <f ca="1">IF($C$4=Lookups!$D$40,SUM(INDIRECT("'Yr1'!"&amp;ADDRESS(ROW(P207),COLUMN(P207))),INDIRECT("'Yr2'!"&amp;ADDRESS(ROW(P207),COLUMN(P207))),INDIRECT("'Yr3'!"&amp;ADDRESS(ROW(P207),COLUMN(P207)))),
IF($C$4=P$7,SUMIFS('EE Inputs'!$L$9:$L$32,'EE Inputs'!$C$9:$C$32,$G$6,'EE Inputs'!$D$9:$D$32,$C$4,'EE Inputs'!$E$9:$E$32,$B207),0))</f>
        <v>0</v>
      </c>
      <c r="Q207" s="509">
        <f ca="1">IF($C$4=Lookups!$D$40,SUM(INDIRECT("'Yr1'!"&amp;ADDRESS(ROW(Q207),COLUMN(Q207))),INDIRECT("'Yr2'!"&amp;ADDRESS(ROW(Q207),COLUMN(Q207))),INDIRECT("'Yr3'!"&amp;ADDRESS(ROW(Q207),COLUMN(Q207)))),
IF($C$4=Q$7,SUMIFS('EE Inputs'!$L$9:$L$32,'EE Inputs'!$C$9:$C$32,$G$6,'EE Inputs'!$D$9:$D$32,$C$4,'EE Inputs'!$E$9:$E$32,$B207),0))</f>
        <v>0</v>
      </c>
      <c r="R207" s="509">
        <f ca="1">IF($C$4=Lookups!$D$40,SUM(INDIRECT("'Yr1'!"&amp;ADDRESS(ROW(R207),COLUMN(R207))),INDIRECT("'Yr2'!"&amp;ADDRESS(ROW(R207),COLUMN(R207))),INDIRECT("'Yr3'!"&amp;ADDRESS(ROW(R207),COLUMN(R207)))),
IF($C$4=R$7,SUMIFS('EE Inputs'!$L$9:$L$32,'EE Inputs'!$C$9:$C$32,$G$6,'EE Inputs'!$D$9:$D$32,$C$4,'EE Inputs'!$E$9:$E$32,$B207),0))</f>
        <v>0</v>
      </c>
      <c r="S207" s="509">
        <f ca="1">IF($C$4=Lookups!$D$40,SUM(INDIRECT("'Yr1'!"&amp;ADDRESS(ROW(S207),COLUMN(S207))),INDIRECT("'Yr2'!"&amp;ADDRESS(ROW(S207),COLUMN(S207))),INDIRECT("'Yr3'!"&amp;ADDRESS(ROW(S207),COLUMN(S207)))),
IF($C$4=S$7,SUMIFS('EE Inputs'!$L$9:$L$32,'EE Inputs'!$C$9:$C$32,$G$6,'EE Inputs'!$D$9:$D$32,$C$4,'EE Inputs'!$E$9:$E$32,$B207),0))</f>
        <v>0</v>
      </c>
      <c r="T207" s="509">
        <f ca="1">IF($C$4=Lookups!$D$40,SUM(INDIRECT("'Yr1'!"&amp;ADDRESS(ROW(T207),COLUMN(T207))),INDIRECT("'Yr2'!"&amp;ADDRESS(ROW(T207),COLUMN(T207))),INDIRECT("'Yr3'!"&amp;ADDRESS(ROW(T207),COLUMN(T207)))),
IF($C$4=T$7,SUMIFS('EE Inputs'!$L$9:$L$32,'EE Inputs'!$C$9:$C$32,$G$6,'EE Inputs'!$D$9:$D$32,$C$4,'EE Inputs'!$E$9:$E$32,$B207),0))</f>
        <v>0</v>
      </c>
      <c r="U207" s="509">
        <f ca="1">IF($C$4=Lookups!$D$40,SUM(INDIRECT("'Yr1'!"&amp;ADDRESS(ROW(U207),COLUMN(U207))),INDIRECT("'Yr2'!"&amp;ADDRESS(ROW(U207),COLUMN(U207))),INDIRECT("'Yr3'!"&amp;ADDRESS(ROW(U207),COLUMN(U207)))),
IF($C$4=U$7,SUMIFS('EE Inputs'!$L$9:$L$32,'EE Inputs'!$C$9:$C$32,$G$6,'EE Inputs'!$D$9:$D$32,$C$4,'EE Inputs'!$E$9:$E$32,$B207),0))</f>
        <v>0</v>
      </c>
      <c r="V207" s="509">
        <f ca="1">IF($C$4=Lookups!$D$40,SUM(INDIRECT("'Yr1'!"&amp;ADDRESS(ROW(V207),COLUMN(V207))),INDIRECT("'Yr2'!"&amp;ADDRESS(ROW(V207),COLUMN(V207))),INDIRECT("'Yr3'!"&amp;ADDRESS(ROW(V207),COLUMN(V207)))),
IF($C$4=V$7,SUMIFS('EE Inputs'!$L$9:$L$32,'EE Inputs'!$C$9:$C$32,$G$6,'EE Inputs'!$D$9:$D$32,$C$4,'EE Inputs'!$E$9:$E$32,$B207),0))</f>
        <v>0</v>
      </c>
      <c r="W207" s="509">
        <f ca="1">IF($C$4=Lookups!$D$40,SUM(INDIRECT("'Yr1'!"&amp;ADDRESS(ROW(W207),COLUMN(W207))),INDIRECT("'Yr2'!"&amp;ADDRESS(ROW(W207),COLUMN(W207))),INDIRECT("'Yr3'!"&amp;ADDRESS(ROW(W207),COLUMN(W207)))),
IF($C$4=W$7,SUMIFS('EE Inputs'!$L$9:$L$32,'EE Inputs'!$C$9:$C$32,$G$6,'EE Inputs'!$D$9:$D$32,$C$4,'EE Inputs'!$E$9:$E$32,$B207),0))</f>
        <v>0</v>
      </c>
      <c r="X207" s="509">
        <f ca="1">IF($C$4=Lookups!$D$40,SUM(INDIRECT("'Yr1'!"&amp;ADDRESS(ROW(X207),COLUMN(X207))),INDIRECT("'Yr2'!"&amp;ADDRESS(ROW(X207),COLUMN(X207))),INDIRECT("'Yr3'!"&amp;ADDRESS(ROW(X207),COLUMN(X207)))),
IF($C$4=X$7,SUMIFS('EE Inputs'!$L$9:$L$32,'EE Inputs'!$C$9:$C$32,$G$6,'EE Inputs'!$D$9:$D$32,$C$4,'EE Inputs'!$E$9:$E$32,$B207),0))</f>
        <v>0</v>
      </c>
      <c r="Y207" s="509">
        <f ca="1">IF($C$4=Lookups!$D$40,SUM(INDIRECT("'Yr1'!"&amp;ADDRESS(ROW(Y207),COLUMN(Y207))),INDIRECT("'Yr2'!"&amp;ADDRESS(ROW(Y207),COLUMN(Y207))),INDIRECT("'Yr3'!"&amp;ADDRESS(ROW(Y207),COLUMN(Y207)))),
IF($C$4=Y$7,SUMIFS('EE Inputs'!$L$9:$L$32,'EE Inputs'!$C$9:$C$32,$G$6,'EE Inputs'!$D$9:$D$32,$C$4,'EE Inputs'!$E$9:$E$32,$B207),0))</f>
        <v>0</v>
      </c>
      <c r="Z207" s="509">
        <f ca="1">IF($C$4=Lookups!$D$40,SUM(INDIRECT("'Yr1'!"&amp;ADDRESS(ROW(Z207),COLUMN(Z207))),INDIRECT("'Yr2'!"&amp;ADDRESS(ROW(Z207),COLUMN(Z207))),INDIRECT("'Yr3'!"&amp;ADDRESS(ROW(Z207),COLUMN(Z207)))),
IF($C$4=Z$7,SUMIFS('EE Inputs'!$L$9:$L$32,'EE Inputs'!$C$9:$C$32,$G$6,'EE Inputs'!$D$9:$D$32,$C$4,'EE Inputs'!$E$9:$E$32,$B207),0))</f>
        <v>0</v>
      </c>
      <c r="AA207" s="509">
        <f ca="1">IF($C$4=Lookups!$D$40,SUM(INDIRECT("'Yr1'!"&amp;ADDRESS(ROW(AA207),COLUMN(AA207))),INDIRECT("'Yr2'!"&amp;ADDRESS(ROW(AA207),COLUMN(AA207))),INDIRECT("'Yr3'!"&amp;ADDRESS(ROW(AA207),COLUMN(AA207)))),
IF($C$4=AA$7,SUMIFS('EE Inputs'!$L$9:$L$32,'EE Inputs'!$C$9:$C$32,$G$6,'EE Inputs'!$D$9:$D$32,$C$4,'EE Inputs'!$E$9:$E$32,$B207),0))</f>
        <v>0</v>
      </c>
      <c r="AB207" s="509">
        <f ca="1">IF($C$4=Lookups!$D$40,SUM(INDIRECT("'Yr1'!"&amp;ADDRESS(ROW(AB207),COLUMN(AB207))),INDIRECT("'Yr2'!"&amp;ADDRESS(ROW(AB207),COLUMN(AB207))),INDIRECT("'Yr3'!"&amp;ADDRESS(ROW(AB207),COLUMN(AB207)))),
IF($C$4=AB$7,SUMIFS('EE Inputs'!$L$9:$L$32,'EE Inputs'!$C$9:$C$32,$G$6,'EE Inputs'!$D$9:$D$32,$C$4,'EE Inputs'!$E$9:$E$32,$B207),0))</f>
        <v>0</v>
      </c>
      <c r="AC207" s="509">
        <f ca="1">IF($C$4=Lookups!$D$40,SUM(INDIRECT("'Yr1'!"&amp;ADDRESS(ROW(AC207),COLUMN(AC207))),INDIRECT("'Yr2'!"&amp;ADDRESS(ROW(AC207),COLUMN(AC207))),INDIRECT("'Yr3'!"&amp;ADDRESS(ROW(AC207),COLUMN(AC207)))),
IF($C$4=AC$7,SUMIFS('EE Inputs'!$L$9:$L$32,'EE Inputs'!$C$9:$C$32,$G$6,'EE Inputs'!$D$9:$D$32,$C$4,'EE Inputs'!$E$9:$E$32,$B207),0))</f>
        <v>0</v>
      </c>
      <c r="AD207" s="509">
        <f ca="1">IF($C$4=Lookups!$D$40,SUM(INDIRECT("'Yr1'!"&amp;ADDRESS(ROW(AD207),COLUMN(AD207))),INDIRECT("'Yr2'!"&amp;ADDRESS(ROW(AD207),COLUMN(AD207))),INDIRECT("'Yr3'!"&amp;ADDRESS(ROW(AD207),COLUMN(AD207)))),
IF($C$4=AD$7,SUMIFS('EE Inputs'!$L$9:$L$32,'EE Inputs'!$C$9:$C$32,$G$6,'EE Inputs'!$D$9:$D$32,$C$4,'EE Inputs'!$E$9:$E$32,$B207),0))</f>
        <v>0</v>
      </c>
      <c r="AE207" s="509">
        <f ca="1">IF($C$4=Lookups!$D$40,SUM(INDIRECT("'Yr1'!"&amp;ADDRESS(ROW(AE207),COLUMN(AE207))),INDIRECT("'Yr2'!"&amp;ADDRESS(ROW(AE207),COLUMN(AE207))),INDIRECT("'Yr3'!"&amp;ADDRESS(ROW(AE207),COLUMN(AE207)))),
IF($C$4=AE$7,SUMIFS('EE Inputs'!$L$9:$L$32,'EE Inputs'!$C$9:$C$32,$G$6,'EE Inputs'!$D$9:$D$32,$C$4,'EE Inputs'!$E$9:$E$32,$B207),0))</f>
        <v>0</v>
      </c>
      <c r="AF207" s="509">
        <f ca="1">IF($C$4=Lookups!$D$40,SUM(INDIRECT("'Yr1'!"&amp;ADDRESS(ROW(AF207),COLUMN(AF207))),INDIRECT("'Yr2'!"&amp;ADDRESS(ROW(AF207),COLUMN(AF207))),INDIRECT("'Yr3'!"&amp;ADDRESS(ROW(AF207),COLUMN(AF207)))),
IF($C$4=AF$7,SUMIFS('EE Inputs'!$L$9:$L$32,'EE Inputs'!$C$9:$C$32,$G$6,'EE Inputs'!$D$9:$D$32,$C$4,'EE Inputs'!$E$9:$E$32,$B207),0))</f>
        <v>0</v>
      </c>
      <c r="AG207" s="509">
        <f ca="1">IF($C$4=Lookups!$D$40,SUM(INDIRECT("'Yr1'!"&amp;ADDRESS(ROW(AG207),COLUMN(AG207))),INDIRECT("'Yr2'!"&amp;ADDRESS(ROW(AG207),COLUMN(AG207))),INDIRECT("'Yr3'!"&amp;ADDRESS(ROW(AG207),COLUMN(AG207)))),
IF($C$4=AG$7,SUMIFS('EE Inputs'!$L$9:$L$32,'EE Inputs'!$C$9:$C$32,$G$6,'EE Inputs'!$D$9:$D$32,$C$4,'EE Inputs'!$E$9:$E$32,$B207),0))</f>
        <v>0</v>
      </c>
      <c r="AH207" s="509"/>
      <c r="AI207" s="509"/>
      <c r="AJ207" s="509">
        <f ca="1">IF($C$4=Year1,-PMT(Lookups!$E$17,25,NPV(Lookups!$E$17,G207:AE207),0,1),IF($C$4=Year2,-PMT(Lookups!$F$17,25,NPV(Lookups!$F$17,H207:AF207),0,1),IF($C$4=Year3,-PMT(Lookups!$G$17,25,NPV(Lookups!$G$17,I207:AG207),0,1),-PMT(Lookups!$G$17,27,NPV(Lookups!$G$17,G207:AG207),0,1))))</f>
        <v>7.3730511423326364E-3</v>
      </c>
      <c r="AK207" s="507"/>
      <c r="AL207" s="507"/>
      <c r="AM207" s="508">
        <f ca="1">IF($C$4=Lookups!$D$40,SUM(INDIRECT("'Yr1'!"&amp;ADDRESS(ROW(AM207),COLUMN(AM207))),INDIRECT("'Yr2'!"&amp;ADDRESS(ROW(AM207),COLUMN(AM207))),INDIRECT("'Yr3'!"&amp;ADDRESS(ROW(AM207),COLUMN(AM207)))),
IF($C$4=AM$7,SUMIFS('EE Inputs'!$L$9:$L$32,'EE Inputs'!$C$9:$C$32,$AM$6,'EE Inputs'!$D$9:$D$32,$C$4,'EE Inputs'!$E$9:$E$32,$B207),0))</f>
        <v>0</v>
      </c>
      <c r="AN207" s="508">
        <f ca="1">IF($C$4=Lookups!$D$40,SUM(INDIRECT("'Yr1'!"&amp;ADDRESS(ROW(AN207),COLUMN(AN207))),INDIRECT("'Yr2'!"&amp;ADDRESS(ROW(AN207),COLUMN(AN207))),INDIRECT("'Yr3'!"&amp;ADDRESS(ROW(AN207),COLUMN(AN207)))),
IF($C$4=AN$7,SUMIFS('EE Inputs'!$L$9:$L$32,'EE Inputs'!$C$9:$C$32,$AM$6,'EE Inputs'!$D$9:$D$32,$C$4,'EE Inputs'!$E$9:$E$32,$B207),0))</f>
        <v>0</v>
      </c>
      <c r="AO207" s="508">
        <f ca="1">IF($C$4=Lookups!$D$40,SUM(INDIRECT("'Yr1'!"&amp;ADDRESS(ROW(AO207),COLUMN(AO207))),INDIRECT("'Yr2'!"&amp;ADDRESS(ROW(AO207),COLUMN(AO207))),INDIRECT("'Yr3'!"&amp;ADDRESS(ROW(AO207),COLUMN(AO207)))),
IF($C$4=AO$7,SUMIFS('EE Inputs'!$L$9:$L$32,'EE Inputs'!$C$9:$C$32,$AM$6,'EE Inputs'!$D$9:$D$32,$C$4,'EE Inputs'!$E$9:$E$32,$B207),0))</f>
        <v>0.19050121298638215</v>
      </c>
      <c r="AP207" s="508">
        <f ca="1">IF($C$4=Lookups!$D$40,SUM(INDIRECT("'Yr1'!"&amp;ADDRESS(ROW(AP207),COLUMN(AP207))),INDIRECT("'Yr2'!"&amp;ADDRESS(ROW(AP207),COLUMN(AP207))),INDIRECT("'Yr3'!"&amp;ADDRESS(ROW(AP207),COLUMN(AP207)))),
IF($C$4=AP$7,SUMIFS('EE Inputs'!$L$9:$L$32,'EE Inputs'!$C$9:$C$32,$AM$6,'EE Inputs'!$D$9:$D$32,$C$4,'EE Inputs'!$E$9:$E$32,$B207),0))</f>
        <v>0</v>
      </c>
      <c r="AQ207" s="508">
        <f ca="1">IF($C$4=Lookups!$D$40,SUM(INDIRECT("'Yr1'!"&amp;ADDRESS(ROW(AQ207),COLUMN(AQ207))),INDIRECT("'Yr2'!"&amp;ADDRESS(ROW(AQ207),COLUMN(AQ207))),INDIRECT("'Yr3'!"&amp;ADDRESS(ROW(AQ207),COLUMN(AQ207)))),
IF($C$4=AQ$7,SUMIFS('EE Inputs'!$L$9:$L$32,'EE Inputs'!$C$9:$C$32,$AM$6,'EE Inputs'!$D$9:$D$32,$C$4,'EE Inputs'!$E$9:$E$32,$B207),0))</f>
        <v>0</v>
      </c>
      <c r="AR207" s="508">
        <f ca="1">IF($C$4=Lookups!$D$40,SUM(INDIRECT("'Yr1'!"&amp;ADDRESS(ROW(AR207),COLUMN(AR207))),INDIRECT("'Yr2'!"&amp;ADDRESS(ROW(AR207),COLUMN(AR207))),INDIRECT("'Yr3'!"&amp;ADDRESS(ROW(AR207),COLUMN(AR207)))),
IF($C$4=AR$7,SUMIFS('EE Inputs'!$L$9:$L$32,'EE Inputs'!$C$9:$C$32,$AM$6,'EE Inputs'!$D$9:$D$32,$C$4,'EE Inputs'!$E$9:$E$32,$B207),0))</f>
        <v>0</v>
      </c>
      <c r="AS207" s="508">
        <f ca="1">IF($C$4=Lookups!$D$40,SUM(INDIRECT("'Yr1'!"&amp;ADDRESS(ROW(AS207),COLUMN(AS207))),INDIRECT("'Yr2'!"&amp;ADDRESS(ROW(AS207),COLUMN(AS207))),INDIRECT("'Yr3'!"&amp;ADDRESS(ROW(AS207),COLUMN(AS207)))),
IF($C$4=AS$7,SUMIFS('EE Inputs'!$L$9:$L$32,'EE Inputs'!$C$9:$C$32,$AM$6,'EE Inputs'!$D$9:$D$32,$C$4,'EE Inputs'!$E$9:$E$32,$B207),0))</f>
        <v>0</v>
      </c>
      <c r="AT207" s="508">
        <f ca="1">IF($C$4=Lookups!$D$40,SUM(INDIRECT("'Yr1'!"&amp;ADDRESS(ROW(AT207),COLUMN(AT207))),INDIRECT("'Yr2'!"&amp;ADDRESS(ROW(AT207),COLUMN(AT207))),INDIRECT("'Yr3'!"&amp;ADDRESS(ROW(AT207),COLUMN(AT207)))),
IF($C$4=AT$7,SUMIFS('EE Inputs'!$L$9:$L$32,'EE Inputs'!$C$9:$C$32,$AM$6,'EE Inputs'!$D$9:$D$32,$C$4,'EE Inputs'!$E$9:$E$32,$B207),0))</f>
        <v>0</v>
      </c>
      <c r="AU207" s="508">
        <f ca="1">IF($C$4=Lookups!$D$40,SUM(INDIRECT("'Yr1'!"&amp;ADDRESS(ROW(AU207),COLUMN(AU207))),INDIRECT("'Yr2'!"&amp;ADDRESS(ROW(AU207),COLUMN(AU207))),INDIRECT("'Yr3'!"&amp;ADDRESS(ROW(AU207),COLUMN(AU207)))),
IF($C$4=AU$7,SUMIFS('EE Inputs'!$L$9:$L$32,'EE Inputs'!$C$9:$C$32,$AM$6,'EE Inputs'!$D$9:$D$32,$C$4,'EE Inputs'!$E$9:$E$32,$B207),0))</f>
        <v>0</v>
      </c>
      <c r="AV207" s="508">
        <f ca="1">IF($C$4=Lookups!$D$40,SUM(INDIRECT("'Yr1'!"&amp;ADDRESS(ROW(AV207),COLUMN(AV207))),INDIRECT("'Yr2'!"&amp;ADDRESS(ROW(AV207),COLUMN(AV207))),INDIRECT("'Yr3'!"&amp;ADDRESS(ROW(AV207),COLUMN(AV207)))),
IF($C$4=AV$7,SUMIFS('EE Inputs'!$L$9:$L$32,'EE Inputs'!$C$9:$C$32,$AM$6,'EE Inputs'!$D$9:$D$32,$C$4,'EE Inputs'!$E$9:$E$32,$B207),0))</f>
        <v>0</v>
      </c>
      <c r="AW207" s="508">
        <f ca="1">IF($C$4=Lookups!$D$40,SUM(INDIRECT("'Yr1'!"&amp;ADDRESS(ROW(AW207),COLUMN(AW207))),INDIRECT("'Yr2'!"&amp;ADDRESS(ROW(AW207),COLUMN(AW207))),INDIRECT("'Yr3'!"&amp;ADDRESS(ROW(AW207),COLUMN(AW207)))),
IF($C$4=AW$7,SUMIFS('EE Inputs'!$L$9:$L$32,'EE Inputs'!$C$9:$C$32,$AM$6,'EE Inputs'!$D$9:$D$32,$C$4,'EE Inputs'!$E$9:$E$32,$B207),0))</f>
        <v>0</v>
      </c>
      <c r="AX207" s="508">
        <f ca="1">IF($C$4=Lookups!$D$40,SUM(INDIRECT("'Yr1'!"&amp;ADDRESS(ROW(AX207),COLUMN(AX207))),INDIRECT("'Yr2'!"&amp;ADDRESS(ROW(AX207),COLUMN(AX207))),INDIRECT("'Yr3'!"&amp;ADDRESS(ROW(AX207),COLUMN(AX207)))),
IF($C$4=AX$7,SUMIFS('EE Inputs'!$L$9:$L$32,'EE Inputs'!$C$9:$C$32,$AM$6,'EE Inputs'!$D$9:$D$32,$C$4,'EE Inputs'!$E$9:$E$32,$B207),0))</f>
        <v>0</v>
      </c>
      <c r="AY207" s="508">
        <f ca="1">IF($C$4=Lookups!$D$40,SUM(INDIRECT("'Yr1'!"&amp;ADDRESS(ROW(AY207),COLUMN(AY207))),INDIRECT("'Yr2'!"&amp;ADDRESS(ROW(AY207),COLUMN(AY207))),INDIRECT("'Yr3'!"&amp;ADDRESS(ROW(AY207),COLUMN(AY207)))),
IF($C$4=AY$7,SUMIFS('EE Inputs'!$L$9:$L$32,'EE Inputs'!$C$9:$C$32,$AM$6,'EE Inputs'!$D$9:$D$32,$C$4,'EE Inputs'!$E$9:$E$32,$B207),0))</f>
        <v>0</v>
      </c>
      <c r="AZ207" s="508">
        <f ca="1">IF($C$4=Lookups!$D$40,SUM(INDIRECT("'Yr1'!"&amp;ADDRESS(ROW(AZ207),COLUMN(AZ207))),INDIRECT("'Yr2'!"&amp;ADDRESS(ROW(AZ207),COLUMN(AZ207))),INDIRECT("'Yr3'!"&amp;ADDRESS(ROW(AZ207),COLUMN(AZ207)))),
IF($C$4=AZ$7,SUMIFS('EE Inputs'!$L$9:$L$32,'EE Inputs'!$C$9:$C$32,$AM$6,'EE Inputs'!$D$9:$D$32,$C$4,'EE Inputs'!$E$9:$E$32,$B207),0))</f>
        <v>0</v>
      </c>
      <c r="BA207" s="508">
        <f ca="1">IF($C$4=Lookups!$D$40,SUM(INDIRECT("'Yr1'!"&amp;ADDRESS(ROW(BA207),COLUMN(BA207))),INDIRECT("'Yr2'!"&amp;ADDRESS(ROW(BA207),COLUMN(BA207))),INDIRECT("'Yr3'!"&amp;ADDRESS(ROW(BA207),COLUMN(BA207)))),
IF($C$4=BA$7,SUMIFS('EE Inputs'!$L$9:$L$32,'EE Inputs'!$C$9:$C$32,$AM$6,'EE Inputs'!$D$9:$D$32,$C$4,'EE Inputs'!$E$9:$E$32,$B207),0))</f>
        <v>0</v>
      </c>
      <c r="BB207" s="508">
        <f ca="1">IF($C$4=Lookups!$D$40,SUM(INDIRECT("'Yr1'!"&amp;ADDRESS(ROW(BB207),COLUMN(BB207))),INDIRECT("'Yr2'!"&amp;ADDRESS(ROW(BB207),COLUMN(BB207))),INDIRECT("'Yr3'!"&amp;ADDRESS(ROW(BB207),COLUMN(BB207)))),
IF($C$4=BB$7,SUMIFS('EE Inputs'!$L$9:$L$32,'EE Inputs'!$C$9:$C$32,$AM$6,'EE Inputs'!$D$9:$D$32,$C$4,'EE Inputs'!$E$9:$E$32,$B207),0))</f>
        <v>0</v>
      </c>
      <c r="BC207" s="508">
        <f ca="1">IF($C$4=Lookups!$D$40,SUM(INDIRECT("'Yr1'!"&amp;ADDRESS(ROW(BC207),COLUMN(BC207))),INDIRECT("'Yr2'!"&amp;ADDRESS(ROW(BC207),COLUMN(BC207))),INDIRECT("'Yr3'!"&amp;ADDRESS(ROW(BC207),COLUMN(BC207)))),
IF($C$4=BC$7,SUMIFS('EE Inputs'!$L$9:$L$32,'EE Inputs'!$C$9:$C$32,$AM$6,'EE Inputs'!$D$9:$D$32,$C$4,'EE Inputs'!$E$9:$E$32,$B207),0))</f>
        <v>0</v>
      </c>
      <c r="BD207" s="508">
        <f ca="1">IF($C$4=Lookups!$D$40,SUM(INDIRECT("'Yr1'!"&amp;ADDRESS(ROW(BD207),COLUMN(BD207))),INDIRECT("'Yr2'!"&amp;ADDRESS(ROW(BD207),COLUMN(BD207))),INDIRECT("'Yr3'!"&amp;ADDRESS(ROW(BD207),COLUMN(BD207)))),
IF($C$4=BD$7,SUMIFS('EE Inputs'!$L$9:$L$32,'EE Inputs'!$C$9:$C$32,$AM$6,'EE Inputs'!$D$9:$D$32,$C$4,'EE Inputs'!$E$9:$E$32,$B207),0))</f>
        <v>0</v>
      </c>
      <c r="BE207" s="508">
        <f ca="1">IF($C$4=Lookups!$D$40,SUM(INDIRECT("'Yr1'!"&amp;ADDRESS(ROW(BE207),COLUMN(BE207))),INDIRECT("'Yr2'!"&amp;ADDRESS(ROW(BE207),COLUMN(BE207))),INDIRECT("'Yr3'!"&amp;ADDRESS(ROW(BE207),COLUMN(BE207)))),
IF($C$4=BE$7,SUMIFS('EE Inputs'!$L$9:$L$32,'EE Inputs'!$C$9:$C$32,$AM$6,'EE Inputs'!$D$9:$D$32,$C$4,'EE Inputs'!$E$9:$E$32,$B207),0))</f>
        <v>0</v>
      </c>
      <c r="BF207" s="508">
        <f ca="1">IF($C$4=Lookups!$D$40,SUM(INDIRECT("'Yr1'!"&amp;ADDRESS(ROW(BF207),COLUMN(BF207))),INDIRECT("'Yr2'!"&amp;ADDRESS(ROW(BF207),COLUMN(BF207))),INDIRECT("'Yr3'!"&amp;ADDRESS(ROW(BF207),COLUMN(BF207)))),
IF($C$4=BF$7,SUMIFS('EE Inputs'!$L$9:$L$32,'EE Inputs'!$C$9:$C$32,$AM$6,'EE Inputs'!$D$9:$D$32,$C$4,'EE Inputs'!$E$9:$E$32,$B207),0))</f>
        <v>0</v>
      </c>
      <c r="BG207" s="508">
        <f ca="1">IF($C$4=Lookups!$D$40,SUM(INDIRECT("'Yr1'!"&amp;ADDRESS(ROW(BG207),COLUMN(BG207))),INDIRECT("'Yr2'!"&amp;ADDRESS(ROW(BG207),COLUMN(BG207))),INDIRECT("'Yr3'!"&amp;ADDRESS(ROW(BG207),COLUMN(BG207)))),
IF($C$4=BG$7,SUMIFS('EE Inputs'!$L$9:$L$32,'EE Inputs'!$C$9:$C$32,$AM$6,'EE Inputs'!$D$9:$D$32,$C$4,'EE Inputs'!$E$9:$E$32,$B207),0))</f>
        <v>0</v>
      </c>
      <c r="BH207" s="508">
        <f ca="1">IF($C$4=Lookups!$D$40,SUM(INDIRECT("'Yr1'!"&amp;ADDRESS(ROW(BH207),COLUMN(BH207))),INDIRECT("'Yr2'!"&amp;ADDRESS(ROW(BH207),COLUMN(BH207))),INDIRECT("'Yr3'!"&amp;ADDRESS(ROW(BH207),COLUMN(BH207)))),
IF($C$4=BH$7,SUMIFS('EE Inputs'!$L$9:$L$32,'EE Inputs'!$C$9:$C$32,$AM$6,'EE Inputs'!$D$9:$D$32,$C$4,'EE Inputs'!$E$9:$E$32,$B207),0))</f>
        <v>0</v>
      </c>
      <c r="BI207" s="508">
        <f ca="1">IF($C$4=Lookups!$D$40,SUM(INDIRECT("'Yr1'!"&amp;ADDRESS(ROW(BI207),COLUMN(BI207))),INDIRECT("'Yr2'!"&amp;ADDRESS(ROW(BI207),COLUMN(BI207))),INDIRECT("'Yr3'!"&amp;ADDRESS(ROW(BI207),COLUMN(BI207)))),
IF($C$4=BI$7,SUMIFS('EE Inputs'!$L$9:$L$32,'EE Inputs'!$C$9:$C$32,$AM$6,'EE Inputs'!$D$9:$D$32,$C$4,'EE Inputs'!$E$9:$E$32,$B207),0))</f>
        <v>0</v>
      </c>
      <c r="BJ207" s="508">
        <f ca="1">IF($C$4=Lookups!$D$40,SUM(INDIRECT("'Yr1'!"&amp;ADDRESS(ROW(BJ207),COLUMN(BJ207))),INDIRECT("'Yr2'!"&amp;ADDRESS(ROW(BJ207),COLUMN(BJ207))),INDIRECT("'Yr3'!"&amp;ADDRESS(ROW(BJ207),COLUMN(BJ207)))),
IF($C$4=BJ$7,SUMIFS('EE Inputs'!$L$9:$L$32,'EE Inputs'!$C$9:$C$32,$AM$6,'EE Inputs'!$D$9:$D$32,$C$4,'EE Inputs'!$E$9:$E$32,$B207),0))</f>
        <v>0</v>
      </c>
      <c r="BK207" s="508">
        <f ca="1">IF($C$4=Lookups!$D$40,SUM(INDIRECT("'Yr1'!"&amp;ADDRESS(ROW(BK207),COLUMN(BK207))),INDIRECT("'Yr2'!"&amp;ADDRESS(ROW(BK207),COLUMN(BK207))),INDIRECT("'Yr3'!"&amp;ADDRESS(ROW(BK207),COLUMN(BK207)))),
IF($C$4=BK$7,SUMIFS('EE Inputs'!$L$9:$L$32,'EE Inputs'!$C$9:$C$32,$AM$6,'EE Inputs'!$D$9:$D$32,$C$4,'EE Inputs'!$E$9:$E$32,$B207),0))</f>
        <v>0</v>
      </c>
      <c r="BL207" s="508">
        <f ca="1">IF($C$4=Lookups!$D$40,SUM(INDIRECT("'Yr1'!"&amp;ADDRESS(ROW(BL207),COLUMN(BL207))),INDIRECT("'Yr2'!"&amp;ADDRESS(ROW(BL207),COLUMN(BL207))),INDIRECT("'Yr3'!"&amp;ADDRESS(ROW(BL207),COLUMN(BL207)))),
IF($C$4=BL$7,SUMIFS('EE Inputs'!$L$9:$L$32,'EE Inputs'!$C$9:$C$32,$AM$6,'EE Inputs'!$D$9:$D$32,$C$4,'EE Inputs'!$E$9:$E$32,$B207),0))</f>
        <v>0</v>
      </c>
      <c r="BM207" s="508">
        <f ca="1">IF($C$4=Lookups!$D$40,SUM(INDIRECT("'Yr1'!"&amp;ADDRESS(ROW(BM207),COLUMN(BM207))),INDIRECT("'Yr2'!"&amp;ADDRESS(ROW(BM207),COLUMN(BM207))),INDIRECT("'Yr3'!"&amp;ADDRESS(ROW(BM207),COLUMN(BM207)))),
IF($C$4=BM$7,SUMIFS('EE Inputs'!$L$9:$L$32,'EE Inputs'!$C$9:$C$32,$AM$6,'EE Inputs'!$D$9:$D$32,$C$4,'EE Inputs'!$E$9:$E$32,$B207),0))</f>
        <v>0</v>
      </c>
      <c r="BN207" s="508"/>
      <c r="BO207" s="508"/>
      <c r="BP207" s="508">
        <f ca="1">IF($C$4=Year1,-PMT(Lookups!$E$17,25,NPV(Lookups!$E$17,AM207:BK207),0,1),IF($C$4=Year2,-PMT(Lookups!$F$17,25,NPV(Lookups!$F$17,AN207:BL207),0,1),IF($C$4=Year3,-PMT(Lookups!$G$17,25,NPV(Lookups!$G$17,AO207:BM207),0,1),-PMT(Lookups!$G$17,27,NPV(Lookups!$G$17,AM207:BM207),0,1))))</f>
        <v>8.8476613707991637E-3</v>
      </c>
      <c r="BS207" s="86" t="s">
        <v>402</v>
      </c>
      <c r="BT207" s="51" t="s">
        <v>17</v>
      </c>
    </row>
    <row r="208" spans="1:72" x14ac:dyDescent="0.25">
      <c r="A208" s="246"/>
      <c r="B208" s="243" t="str">
        <f t="shared" si="213"/>
        <v>Small C&amp;I</v>
      </c>
      <c r="C208" s="243" t="str">
        <f t="shared" si="213"/>
        <v>Rates</v>
      </c>
      <c r="D208" s="244" t="str">
        <f t="shared" si="213"/>
        <v>Increased Costs and Cost Shifting</v>
      </c>
      <c r="E208" s="86" t="s">
        <v>198</v>
      </c>
      <c r="F208" s="84" t="s">
        <v>182</v>
      </c>
      <c r="G208" s="506">
        <f ca="1">IFERROR((G190/G175)-(G190/G173),0)</f>
        <v>0</v>
      </c>
      <c r="H208" s="506">
        <f t="shared" ref="H208:AG208" ca="1" si="216">IFERROR((H190/H175)-(H190/H173),0)</f>
        <v>0</v>
      </c>
      <c r="I208" s="506">
        <f t="shared" ca="1" si="216"/>
        <v>7.0654936287243286E-3</v>
      </c>
      <c r="J208" s="506">
        <f t="shared" ca="1" si="216"/>
        <v>7.0654936287243286E-3</v>
      </c>
      <c r="K208" s="506">
        <f t="shared" ca="1" si="216"/>
        <v>7.0654936287243286E-3</v>
      </c>
      <c r="L208" s="506">
        <f t="shared" ca="1" si="216"/>
        <v>7.0654936287243286E-3</v>
      </c>
      <c r="M208" s="506">
        <f t="shared" ca="1" si="216"/>
        <v>7.0654936287243286E-3</v>
      </c>
      <c r="N208" s="506">
        <f t="shared" ca="1" si="216"/>
        <v>7.0654936287243286E-3</v>
      </c>
      <c r="O208" s="506">
        <f t="shared" ca="1" si="216"/>
        <v>7.0654936287243286E-3</v>
      </c>
      <c r="P208" s="506">
        <f t="shared" ca="1" si="216"/>
        <v>7.0654936287243286E-3</v>
      </c>
      <c r="Q208" s="506">
        <f t="shared" ca="1" si="216"/>
        <v>7.0654936287243286E-3</v>
      </c>
      <c r="R208" s="506">
        <f t="shared" ca="1" si="216"/>
        <v>7.0654936287243286E-3</v>
      </c>
      <c r="S208" s="506">
        <f t="shared" ca="1" si="216"/>
        <v>7.0654936287243286E-3</v>
      </c>
      <c r="T208" s="506">
        <f t="shared" ca="1" si="216"/>
        <v>7.0654936287243286E-3</v>
      </c>
      <c r="U208" s="506">
        <f t="shared" ca="1" si="216"/>
        <v>7.0654936287243286E-3</v>
      </c>
      <c r="V208" s="506">
        <f t="shared" ca="1" si="216"/>
        <v>7.0654936287243286E-3</v>
      </c>
      <c r="W208" s="506">
        <f t="shared" ca="1" si="216"/>
        <v>7.0654936287243286E-3</v>
      </c>
      <c r="X208" s="506">
        <f t="shared" ca="1" si="216"/>
        <v>7.0654936287243286E-3</v>
      </c>
      <c r="Y208" s="506">
        <f t="shared" ca="1" si="216"/>
        <v>0</v>
      </c>
      <c r="Z208" s="506">
        <f t="shared" ca="1" si="216"/>
        <v>0</v>
      </c>
      <c r="AA208" s="506">
        <f t="shared" ca="1" si="216"/>
        <v>0</v>
      </c>
      <c r="AB208" s="506">
        <f t="shared" ca="1" si="216"/>
        <v>0</v>
      </c>
      <c r="AC208" s="506">
        <f t="shared" ca="1" si="216"/>
        <v>0</v>
      </c>
      <c r="AD208" s="506">
        <f t="shared" ca="1" si="216"/>
        <v>0</v>
      </c>
      <c r="AE208" s="506">
        <f t="shared" ca="1" si="216"/>
        <v>0</v>
      </c>
      <c r="AF208" s="506">
        <f t="shared" ca="1" si="216"/>
        <v>0</v>
      </c>
      <c r="AG208" s="506">
        <f t="shared" ca="1" si="216"/>
        <v>0</v>
      </c>
      <c r="AH208" s="506"/>
      <c r="AI208" s="506"/>
      <c r="AJ208" s="506">
        <f ca="1">IF($C$4=Year1,-PMT(Lookups!$E$17,25,NPV(Lookups!$E$17,G208:AE208),0,1),IF($C$4=Year2,-PMT(Lookups!$F$17,25,NPV(Lookups!$F$17,H208:AF208),0,1),IF($C$4=Year3,-PMT(Lookups!$G$17,25,NPV(Lookups!$G$17,I208:AG208),0,1),-PMT(Lookups!$G$17,27,NPV(Lookups!$G$17,G208:AG208),0,1))))</f>
        <v>4.7353917353067636E-3</v>
      </c>
      <c r="AK208" s="507"/>
      <c r="AL208" s="507"/>
      <c r="AM208" s="508">
        <f ca="1">IFERROR((AM190/AM175)-(AM190/AM173),0)</f>
        <v>0</v>
      </c>
      <c r="AN208" s="508">
        <f t="shared" ref="AN208:BM208" ca="1" si="217">IFERROR((AN190/AN175)-(AN190/AN173),0)</f>
        <v>0</v>
      </c>
      <c r="AO208" s="508">
        <f t="shared" ca="1" si="217"/>
        <v>8.093603649148351E-3</v>
      </c>
      <c r="AP208" s="508">
        <f t="shared" ca="1" si="217"/>
        <v>8.093603649148351E-3</v>
      </c>
      <c r="AQ208" s="508">
        <f t="shared" ca="1" si="217"/>
        <v>8.093603649148351E-3</v>
      </c>
      <c r="AR208" s="508">
        <f t="shared" ca="1" si="217"/>
        <v>8.093603649148351E-3</v>
      </c>
      <c r="AS208" s="508">
        <f t="shared" ca="1" si="217"/>
        <v>8.093603649148351E-3</v>
      </c>
      <c r="AT208" s="508">
        <f t="shared" ca="1" si="217"/>
        <v>8.093603649148351E-3</v>
      </c>
      <c r="AU208" s="508">
        <f t="shared" ca="1" si="217"/>
        <v>8.093603649148351E-3</v>
      </c>
      <c r="AV208" s="508">
        <f t="shared" ca="1" si="217"/>
        <v>8.093603649148351E-3</v>
      </c>
      <c r="AW208" s="508">
        <f t="shared" ca="1" si="217"/>
        <v>8.093603649148351E-3</v>
      </c>
      <c r="AX208" s="508">
        <f t="shared" ca="1" si="217"/>
        <v>8.093603649148351E-3</v>
      </c>
      <c r="AY208" s="508">
        <f t="shared" ca="1" si="217"/>
        <v>8.093603649148351E-3</v>
      </c>
      <c r="AZ208" s="508">
        <f t="shared" ca="1" si="217"/>
        <v>8.093603649148351E-3</v>
      </c>
      <c r="BA208" s="508">
        <f t="shared" ca="1" si="217"/>
        <v>8.093603649148351E-3</v>
      </c>
      <c r="BB208" s="508">
        <f t="shared" ca="1" si="217"/>
        <v>8.093603649148351E-3</v>
      </c>
      <c r="BC208" s="508">
        <f t="shared" ca="1" si="217"/>
        <v>8.093603649148351E-3</v>
      </c>
      <c r="BD208" s="508">
        <f t="shared" ca="1" si="217"/>
        <v>8.093603649148351E-3</v>
      </c>
      <c r="BE208" s="508">
        <f t="shared" ca="1" si="217"/>
        <v>0</v>
      </c>
      <c r="BF208" s="508">
        <f t="shared" ca="1" si="217"/>
        <v>0</v>
      </c>
      <c r="BG208" s="508">
        <f t="shared" ca="1" si="217"/>
        <v>0</v>
      </c>
      <c r="BH208" s="508">
        <f t="shared" ca="1" si="217"/>
        <v>0</v>
      </c>
      <c r="BI208" s="508">
        <f t="shared" ca="1" si="217"/>
        <v>0</v>
      </c>
      <c r="BJ208" s="508">
        <f t="shared" ca="1" si="217"/>
        <v>0</v>
      </c>
      <c r="BK208" s="508">
        <f t="shared" ca="1" si="217"/>
        <v>0</v>
      </c>
      <c r="BL208" s="508">
        <f t="shared" ca="1" si="217"/>
        <v>0</v>
      </c>
      <c r="BM208" s="508">
        <f t="shared" ca="1" si="217"/>
        <v>0</v>
      </c>
      <c r="BN208" s="508"/>
      <c r="BO208" s="508"/>
      <c r="BP208" s="508">
        <f ca="1">IF($C$4=Year1,-PMT(Lookups!$E$17,25,NPV(Lookups!$E$17,AM208:BK208),0,1),IF($C$4=Year2,-PMT(Lookups!$F$17,25,NPV(Lookups!$F$17,AN208:BL208),0,1),IF($C$4=Year3,-PMT(Lookups!$G$17,25,NPV(Lookups!$G$17,AO208:BM208),0,1),-PMT(Lookups!$G$17,27,NPV(Lookups!$G$17,AM208:BM208),0,1))))</f>
        <v>5.4244453173395019E-3</v>
      </c>
      <c r="BS208" s="84" t="s">
        <v>103</v>
      </c>
      <c r="BT208" s="51" t="s">
        <v>17</v>
      </c>
    </row>
    <row r="209" spans="1:72" x14ac:dyDescent="0.25">
      <c r="B209" s="243" t="str">
        <f t="shared" si="213"/>
        <v>Small C&amp;I</v>
      </c>
      <c r="C209" s="243" t="str">
        <f t="shared" si="213"/>
        <v>Rates</v>
      </c>
      <c r="D209" s="114" t="s">
        <v>110</v>
      </c>
      <c r="E209" s="86"/>
      <c r="F209" s="86"/>
      <c r="G209" s="238"/>
      <c r="H209" s="238"/>
      <c r="I209" s="238"/>
      <c r="J209" s="238"/>
      <c r="K209" s="238"/>
      <c r="L209" s="238"/>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49"/>
      <c r="AI209" s="238"/>
      <c r="AJ209" s="49"/>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S209" s="84"/>
      <c r="BT209" s="51" t="s">
        <v>17</v>
      </c>
    </row>
    <row r="210" spans="1:72" x14ac:dyDescent="0.25">
      <c r="B210" s="243" t="str">
        <f t="shared" si="213"/>
        <v>Small C&amp;I</v>
      </c>
      <c r="C210" s="243" t="str">
        <f t="shared" si="213"/>
        <v>Rates</v>
      </c>
      <c r="D210" s="244" t="str">
        <f>D209</f>
        <v>Rates after DSM Scenario</v>
      </c>
      <c r="E210" s="86" t="s">
        <v>26</v>
      </c>
      <c r="F210" s="84" t="s">
        <v>182</v>
      </c>
      <c r="G210" s="506">
        <f ca="1">IFERROR(G190/G175,0)</f>
        <v>0</v>
      </c>
      <c r="H210" s="506">
        <f t="shared" ref="H210:AG210" ca="1" si="218">IFERROR(H190/H175,0)</f>
        <v>0</v>
      </c>
      <c r="I210" s="506">
        <f t="shared" ca="1" si="218"/>
        <v>0.39845921904106135</v>
      </c>
      <c r="J210" s="506">
        <f t="shared" ca="1" si="218"/>
        <v>0.39845921904106135</v>
      </c>
      <c r="K210" s="506">
        <f t="shared" ca="1" si="218"/>
        <v>0.39845921904106135</v>
      </c>
      <c r="L210" s="506">
        <f t="shared" ca="1" si="218"/>
        <v>0.39845921904106135</v>
      </c>
      <c r="M210" s="506">
        <f t="shared" ca="1" si="218"/>
        <v>0.39845921904106135</v>
      </c>
      <c r="N210" s="506">
        <f t="shared" ca="1" si="218"/>
        <v>0.39845921904106135</v>
      </c>
      <c r="O210" s="506">
        <f t="shared" ca="1" si="218"/>
        <v>0.39845921904106135</v>
      </c>
      <c r="P210" s="506">
        <f t="shared" ca="1" si="218"/>
        <v>0.39845921904106135</v>
      </c>
      <c r="Q210" s="506">
        <f t="shared" ca="1" si="218"/>
        <v>0.39845921904106135</v>
      </c>
      <c r="R210" s="506">
        <f t="shared" ca="1" si="218"/>
        <v>0.39845921904106135</v>
      </c>
      <c r="S210" s="506">
        <f t="shared" ca="1" si="218"/>
        <v>0.39845921904106135</v>
      </c>
      <c r="T210" s="506">
        <f t="shared" ca="1" si="218"/>
        <v>0.39845921904106135</v>
      </c>
      <c r="U210" s="506">
        <f t="shared" ca="1" si="218"/>
        <v>0.39845921904106135</v>
      </c>
      <c r="V210" s="506">
        <f t="shared" ca="1" si="218"/>
        <v>0.39845921904106135</v>
      </c>
      <c r="W210" s="506">
        <f t="shared" ca="1" si="218"/>
        <v>0.39845921904106135</v>
      </c>
      <c r="X210" s="506">
        <f t="shared" ca="1" si="218"/>
        <v>0.39845921904106135</v>
      </c>
      <c r="Y210" s="506">
        <f t="shared" ca="1" si="218"/>
        <v>0.39211256243681192</v>
      </c>
      <c r="Z210" s="506">
        <f t="shared" ca="1" si="218"/>
        <v>0.39211256243681192</v>
      </c>
      <c r="AA210" s="506">
        <f t="shared" ca="1" si="218"/>
        <v>0.39211256243681192</v>
      </c>
      <c r="AB210" s="506">
        <f t="shared" ca="1" si="218"/>
        <v>0.39211256243681192</v>
      </c>
      <c r="AC210" s="506">
        <f t="shared" ca="1" si="218"/>
        <v>0.39211256243681192</v>
      </c>
      <c r="AD210" s="506">
        <f t="shared" ca="1" si="218"/>
        <v>0.39211256243681192</v>
      </c>
      <c r="AE210" s="506">
        <f t="shared" ca="1" si="218"/>
        <v>0.39211256243681192</v>
      </c>
      <c r="AF210" s="506">
        <f t="shared" ca="1" si="218"/>
        <v>0.39211256243681192</v>
      </c>
      <c r="AG210" s="506">
        <f t="shared" ca="1" si="218"/>
        <v>0.39211256243681192</v>
      </c>
      <c r="AH210" s="509"/>
      <c r="AI210" s="506"/>
      <c r="AJ210" s="509">
        <f ca="1">IF($C$4=Year1,-PMT(Lookups!$E$17,25,NPV(Lookups!$E$17,G210:AE210),0,1),IF($C$4=Year2,-PMT(Lookups!$F$17,25,NPV(Lookups!$F$17,H210:AF210),0,1),IF($C$4=Year3,-PMT(Lookups!$G$17,25,NPV(Lookups!$G$17,I210:AG210),0,1),-PMT(Lookups!$G$17,27,NPV(Lookups!$G$17,G210:AG210),0,1))))</f>
        <v>0.39089749111539274</v>
      </c>
      <c r="AK210" s="507"/>
      <c r="AL210" s="507"/>
      <c r="AM210" s="508">
        <f ca="1">IFERROR(AM190/AM175,0)</f>
        <v>0</v>
      </c>
      <c r="AN210" s="508">
        <f t="shared" ref="AN210:BM210" ca="1" si="219">IFERROR(AN190/AN175,0)</f>
        <v>0</v>
      </c>
      <c r="AO210" s="508">
        <f t="shared" ca="1" si="219"/>
        <v>0.39938463805798896</v>
      </c>
      <c r="AP210" s="508">
        <f t="shared" ca="1" si="219"/>
        <v>0.39938463805798896</v>
      </c>
      <c r="AQ210" s="508">
        <f t="shared" ca="1" si="219"/>
        <v>0.39938463805798896</v>
      </c>
      <c r="AR210" s="508">
        <f t="shared" ca="1" si="219"/>
        <v>0.39938463805798896</v>
      </c>
      <c r="AS210" s="508">
        <f t="shared" ca="1" si="219"/>
        <v>0.39938463805798896</v>
      </c>
      <c r="AT210" s="508">
        <f t="shared" ca="1" si="219"/>
        <v>0.39938463805798896</v>
      </c>
      <c r="AU210" s="508">
        <f t="shared" ca="1" si="219"/>
        <v>0.39938463805798896</v>
      </c>
      <c r="AV210" s="508">
        <f t="shared" ca="1" si="219"/>
        <v>0.39938463805798896</v>
      </c>
      <c r="AW210" s="508">
        <f t="shared" ca="1" si="219"/>
        <v>0.39938463805798896</v>
      </c>
      <c r="AX210" s="508">
        <f t="shared" ca="1" si="219"/>
        <v>0.39938463805798896</v>
      </c>
      <c r="AY210" s="508">
        <f t="shared" ca="1" si="219"/>
        <v>0.39938463805798896</v>
      </c>
      <c r="AZ210" s="508">
        <f t="shared" ca="1" si="219"/>
        <v>0.39938463805798896</v>
      </c>
      <c r="BA210" s="508">
        <f t="shared" ca="1" si="219"/>
        <v>0.39938463805798896</v>
      </c>
      <c r="BB210" s="508">
        <f t="shared" ca="1" si="219"/>
        <v>0.39938463805798896</v>
      </c>
      <c r="BC210" s="508">
        <f t="shared" ca="1" si="219"/>
        <v>0.39938463805798896</v>
      </c>
      <c r="BD210" s="508">
        <f t="shared" ca="1" si="219"/>
        <v>0.39938463805798896</v>
      </c>
      <c r="BE210" s="508">
        <f t="shared" ca="1" si="219"/>
        <v>0.39211256243681192</v>
      </c>
      <c r="BF210" s="508">
        <f t="shared" ca="1" si="219"/>
        <v>0.39211256243681192</v>
      </c>
      <c r="BG210" s="508">
        <f t="shared" ca="1" si="219"/>
        <v>0.39211256243681192</v>
      </c>
      <c r="BH210" s="508">
        <f t="shared" ca="1" si="219"/>
        <v>0.39211256243681192</v>
      </c>
      <c r="BI210" s="508">
        <f t="shared" ca="1" si="219"/>
        <v>0.39211256243681192</v>
      </c>
      <c r="BJ210" s="508">
        <f t="shared" ca="1" si="219"/>
        <v>0.39211256243681192</v>
      </c>
      <c r="BK210" s="508">
        <f t="shared" ca="1" si="219"/>
        <v>0.39211256243681192</v>
      </c>
      <c r="BL210" s="508">
        <f t="shared" ca="1" si="219"/>
        <v>0.39211256243681192</v>
      </c>
      <c r="BM210" s="508">
        <f t="shared" ca="1" si="219"/>
        <v>0.39211256243681192</v>
      </c>
      <c r="BN210" s="508"/>
      <c r="BO210" s="508"/>
      <c r="BP210" s="508">
        <f ca="1">IF($C$4=Year1,-PMT(Lookups!$E$17,25,NPV(Lookups!$E$17,AM210:BK210),0,1),IF($C$4=Year2,-PMT(Lookups!$F$17,25,NPV(Lookups!$F$17,AN210:BL210),0,1),IF($C$4=Year3,-PMT(Lookups!$G$17,25,NPV(Lookups!$G$17,AO210:BM210),0,1),-PMT(Lookups!$G$17,27,NPV(Lookups!$G$17,AM210:BM210),0,1))))</f>
        <v>0.39151771976391059</v>
      </c>
      <c r="BS210" s="84" t="s">
        <v>238</v>
      </c>
      <c r="BT210" s="51" t="s">
        <v>17</v>
      </c>
    </row>
    <row r="211" spans="1:72" x14ac:dyDescent="0.25">
      <c r="B211" s="243" t="str">
        <f t="shared" si="213"/>
        <v>Small C&amp;I</v>
      </c>
      <c r="C211" s="243" t="str">
        <f t="shared" si="213"/>
        <v>Rates</v>
      </c>
      <c r="D211" s="244" t="str">
        <f>D210</f>
        <v>Rates after DSM Scenario</v>
      </c>
      <c r="E211" s="84" t="s">
        <v>407</v>
      </c>
      <c r="F211" s="84" t="s">
        <v>182</v>
      </c>
      <c r="G211" s="506">
        <f ca="1">IFERROR(G191/G175,0)</f>
        <v>0</v>
      </c>
      <c r="H211" s="506">
        <f t="shared" ref="H211:AG211" ca="1" si="220">IFERROR(H191/H175,0)</f>
        <v>0</v>
      </c>
      <c r="I211" s="506">
        <f t="shared" ca="1" si="220"/>
        <v>5.2938711187325788E-3</v>
      </c>
      <c r="J211" s="506">
        <f t="shared" ca="1" si="220"/>
        <v>5.2938711187325788E-3</v>
      </c>
      <c r="K211" s="506">
        <f t="shared" ca="1" si="220"/>
        <v>5.2938711187325788E-3</v>
      </c>
      <c r="L211" s="506">
        <f t="shared" ca="1" si="220"/>
        <v>5.2938711187325788E-3</v>
      </c>
      <c r="M211" s="506">
        <f t="shared" ca="1" si="220"/>
        <v>5.2938711187325788E-3</v>
      </c>
      <c r="N211" s="506">
        <f t="shared" ca="1" si="220"/>
        <v>5.2938711187325788E-3</v>
      </c>
      <c r="O211" s="506">
        <f t="shared" ca="1" si="220"/>
        <v>5.2938711187325788E-3</v>
      </c>
      <c r="P211" s="506">
        <f t="shared" ca="1" si="220"/>
        <v>5.2938711187325788E-3</v>
      </c>
      <c r="Q211" s="506">
        <f t="shared" ca="1" si="220"/>
        <v>5.2938711187325788E-3</v>
      </c>
      <c r="R211" s="506">
        <f t="shared" ca="1" si="220"/>
        <v>5.2938711187325788E-3</v>
      </c>
      <c r="S211" s="506">
        <f t="shared" ca="1" si="220"/>
        <v>5.2938711187325788E-3</v>
      </c>
      <c r="T211" s="506">
        <f t="shared" ca="1" si="220"/>
        <v>5.2938711187325788E-3</v>
      </c>
      <c r="U211" s="506">
        <f t="shared" ca="1" si="220"/>
        <v>5.2938711187325788E-3</v>
      </c>
      <c r="V211" s="506">
        <f t="shared" ca="1" si="220"/>
        <v>5.2938711187325788E-3</v>
      </c>
      <c r="W211" s="506">
        <f t="shared" ca="1" si="220"/>
        <v>5.2938711187325788E-3</v>
      </c>
      <c r="X211" s="506">
        <f t="shared" ca="1" si="220"/>
        <v>5.2938711187325788E-3</v>
      </c>
      <c r="Y211" s="506">
        <f t="shared" ca="1" si="220"/>
        <v>5.2000000000000032E-3</v>
      </c>
      <c r="Z211" s="506">
        <f t="shared" ca="1" si="220"/>
        <v>5.2000000000000032E-3</v>
      </c>
      <c r="AA211" s="506">
        <f t="shared" ca="1" si="220"/>
        <v>5.2000000000000032E-3</v>
      </c>
      <c r="AB211" s="506">
        <f t="shared" ca="1" si="220"/>
        <v>5.2000000000000032E-3</v>
      </c>
      <c r="AC211" s="506">
        <f t="shared" ca="1" si="220"/>
        <v>5.2000000000000032E-3</v>
      </c>
      <c r="AD211" s="506">
        <f t="shared" ca="1" si="220"/>
        <v>5.2000000000000032E-3</v>
      </c>
      <c r="AE211" s="506">
        <f t="shared" ca="1" si="220"/>
        <v>5.2000000000000032E-3</v>
      </c>
      <c r="AF211" s="506">
        <f t="shared" ca="1" si="220"/>
        <v>5.2000000000000032E-3</v>
      </c>
      <c r="AG211" s="506">
        <f t="shared" ca="1" si="220"/>
        <v>5.2000000000000032E-3</v>
      </c>
      <c r="AH211" s="509"/>
      <c r="AI211" s="506"/>
      <c r="AJ211" s="509">
        <f ca="1">IF($C$4=Year1,-PMT(Lookups!$E$17,25,NPV(Lookups!$E$17,G211:AE211),0,1),IF($C$4=Year2,-PMT(Lookups!$F$17,25,NPV(Lookups!$F$17,H211:AF211),0,1),IF($C$4=Year3,-PMT(Lookups!$G$17,25,NPV(Lookups!$G$17,I211:AG211),0,1),-PMT(Lookups!$G$17,27,NPV(Lookups!$G$17,G211:AG211),0,1))))</f>
        <v>5.1903907221092904E-3</v>
      </c>
      <c r="AK211" s="507"/>
      <c r="AL211" s="507"/>
      <c r="AM211" s="508">
        <f ca="1">IFERROR(AM191/AM175,0)</f>
        <v>0</v>
      </c>
      <c r="AN211" s="508">
        <f t="shared" ref="AN211:BM211" ca="1" si="221">IFERROR(AN191/AN175,0)</f>
        <v>0</v>
      </c>
      <c r="AO211" s="508">
        <f t="shared" ca="1" si="221"/>
        <v>5.3075586590915812E-3</v>
      </c>
      <c r="AP211" s="508">
        <f t="shared" ca="1" si="221"/>
        <v>5.3075586590915812E-3</v>
      </c>
      <c r="AQ211" s="508">
        <f t="shared" ca="1" si="221"/>
        <v>5.3075586590915812E-3</v>
      </c>
      <c r="AR211" s="508">
        <f t="shared" ca="1" si="221"/>
        <v>5.3075586590915812E-3</v>
      </c>
      <c r="AS211" s="508">
        <f t="shared" ca="1" si="221"/>
        <v>5.3075586590915812E-3</v>
      </c>
      <c r="AT211" s="508">
        <f t="shared" ca="1" si="221"/>
        <v>5.3075586590915812E-3</v>
      </c>
      <c r="AU211" s="508">
        <f t="shared" ca="1" si="221"/>
        <v>5.3075586590915812E-3</v>
      </c>
      <c r="AV211" s="508">
        <f t="shared" ca="1" si="221"/>
        <v>5.3075586590915812E-3</v>
      </c>
      <c r="AW211" s="508">
        <f t="shared" ca="1" si="221"/>
        <v>5.3075586590915812E-3</v>
      </c>
      <c r="AX211" s="508">
        <f t="shared" ca="1" si="221"/>
        <v>5.3075586590915812E-3</v>
      </c>
      <c r="AY211" s="508">
        <f t="shared" ca="1" si="221"/>
        <v>5.3075586590915812E-3</v>
      </c>
      <c r="AZ211" s="508">
        <f t="shared" ca="1" si="221"/>
        <v>5.3075586590915812E-3</v>
      </c>
      <c r="BA211" s="508">
        <f t="shared" ca="1" si="221"/>
        <v>5.3075586590915812E-3</v>
      </c>
      <c r="BB211" s="508">
        <f t="shared" ca="1" si="221"/>
        <v>5.3075586590915812E-3</v>
      </c>
      <c r="BC211" s="508">
        <f t="shared" ca="1" si="221"/>
        <v>5.3075586590915812E-3</v>
      </c>
      <c r="BD211" s="508">
        <f t="shared" ca="1" si="221"/>
        <v>5.3075586590915812E-3</v>
      </c>
      <c r="BE211" s="508">
        <f t="shared" ca="1" si="221"/>
        <v>5.2000000000000032E-3</v>
      </c>
      <c r="BF211" s="508">
        <f t="shared" ca="1" si="221"/>
        <v>5.2000000000000032E-3</v>
      </c>
      <c r="BG211" s="508">
        <f t="shared" ca="1" si="221"/>
        <v>5.2000000000000032E-3</v>
      </c>
      <c r="BH211" s="508">
        <f t="shared" ca="1" si="221"/>
        <v>5.2000000000000032E-3</v>
      </c>
      <c r="BI211" s="508">
        <f t="shared" ca="1" si="221"/>
        <v>5.2000000000000032E-3</v>
      </c>
      <c r="BJ211" s="508">
        <f t="shared" ca="1" si="221"/>
        <v>5.2000000000000032E-3</v>
      </c>
      <c r="BK211" s="508">
        <f t="shared" ca="1" si="221"/>
        <v>5.2000000000000032E-3</v>
      </c>
      <c r="BL211" s="508">
        <f t="shared" ca="1" si="221"/>
        <v>5.2000000000000032E-3</v>
      </c>
      <c r="BM211" s="508">
        <f t="shared" ca="1" si="221"/>
        <v>5.2000000000000032E-3</v>
      </c>
      <c r="BN211" s="508"/>
      <c r="BO211" s="508"/>
      <c r="BP211" s="508">
        <f ca="1">IF($C$4=Year1,-PMT(Lookups!$E$17,25,NPV(Lookups!$E$17,AM211:BK211),0,1),IF($C$4=Year2,-PMT(Lookups!$F$17,25,NPV(Lookups!$F$17,AN211:BL211),0,1),IF($C$4=Year3,-PMT(Lookups!$G$17,25,NPV(Lookups!$G$17,AO211:BM211),0,1),-PMT(Lookups!$G$17,27,NPV(Lookups!$G$17,AM211:BM211),0,1))))</f>
        <v>5.1995643013237969E-3</v>
      </c>
      <c r="BS211" s="84" t="s">
        <v>237</v>
      </c>
      <c r="BT211" s="51" t="s">
        <v>17</v>
      </c>
    </row>
    <row r="212" spans="1:72" x14ac:dyDescent="0.25">
      <c r="B212" s="243" t="str">
        <f t="shared" si="213"/>
        <v>Small C&amp;I</v>
      </c>
      <c r="C212" s="243" t="str">
        <f t="shared" si="213"/>
        <v>Rates</v>
      </c>
      <c r="D212" s="244" t="str">
        <f t="shared" si="213"/>
        <v>Rates after DSM Scenario</v>
      </c>
      <c r="E212" s="84" t="s">
        <v>197</v>
      </c>
      <c r="F212" s="84" t="s">
        <v>182</v>
      </c>
      <c r="G212" s="506">
        <f ca="1">IFERROR(G198+G204,0)</f>
        <v>0</v>
      </c>
      <c r="H212" s="506">
        <f t="shared" ref="H212:AG212" ca="1" si="222">IFERROR(H198+H204,0)</f>
        <v>0</v>
      </c>
      <c r="I212" s="506">
        <f t="shared" ca="1" si="222"/>
        <v>0.61857089562615841</v>
      </c>
      <c r="J212" s="506">
        <f t="shared" ca="1" si="222"/>
        <v>0.61857089562615841</v>
      </c>
      <c r="K212" s="506">
        <f t="shared" ca="1" si="222"/>
        <v>0.61857089562615841</v>
      </c>
      <c r="L212" s="506">
        <f t="shared" ca="1" si="222"/>
        <v>0.61857089562615841</v>
      </c>
      <c r="M212" s="506">
        <f t="shared" ca="1" si="222"/>
        <v>0.61857089562615841</v>
      </c>
      <c r="N212" s="506">
        <f t="shared" ca="1" si="222"/>
        <v>0.61857089562615841</v>
      </c>
      <c r="O212" s="506">
        <f t="shared" ca="1" si="222"/>
        <v>0.61857089562615841</v>
      </c>
      <c r="P212" s="506">
        <f t="shared" ca="1" si="222"/>
        <v>0.61857089562615841</v>
      </c>
      <c r="Q212" s="506">
        <f t="shared" ca="1" si="222"/>
        <v>0.61857089562615841</v>
      </c>
      <c r="R212" s="506">
        <f t="shared" ca="1" si="222"/>
        <v>0.61857089562615841</v>
      </c>
      <c r="S212" s="506">
        <f t="shared" ca="1" si="222"/>
        <v>0.61857089562615841</v>
      </c>
      <c r="T212" s="506">
        <f t="shared" ca="1" si="222"/>
        <v>0.61857089562615841</v>
      </c>
      <c r="U212" s="506">
        <f t="shared" ca="1" si="222"/>
        <v>0.61857089562615841</v>
      </c>
      <c r="V212" s="506">
        <f t="shared" ca="1" si="222"/>
        <v>0.61857089562615841</v>
      </c>
      <c r="W212" s="506">
        <f t="shared" ca="1" si="222"/>
        <v>0.61857089562615841</v>
      </c>
      <c r="X212" s="506">
        <f t="shared" ca="1" si="222"/>
        <v>0.61857089562615841</v>
      </c>
      <c r="Y212" s="506">
        <f t="shared" ca="1" si="222"/>
        <v>0.61899999999999999</v>
      </c>
      <c r="Z212" s="506">
        <f t="shared" ca="1" si="222"/>
        <v>0.61899999999999999</v>
      </c>
      <c r="AA212" s="506">
        <f t="shared" ca="1" si="222"/>
        <v>0.61899999999999999</v>
      </c>
      <c r="AB212" s="506">
        <f t="shared" ca="1" si="222"/>
        <v>0.61899999999999999</v>
      </c>
      <c r="AC212" s="506">
        <f t="shared" ca="1" si="222"/>
        <v>0.61899999999999999</v>
      </c>
      <c r="AD212" s="506">
        <f t="shared" ca="1" si="222"/>
        <v>0.61899999999999999</v>
      </c>
      <c r="AE212" s="506">
        <f t="shared" ca="1" si="222"/>
        <v>0.61899999999999999</v>
      </c>
      <c r="AF212" s="506">
        <f t="shared" ca="1" si="222"/>
        <v>0.61899999999999999</v>
      </c>
      <c r="AG212" s="506">
        <f t="shared" ca="1" si="222"/>
        <v>0.61899999999999999</v>
      </c>
      <c r="AH212" s="509"/>
      <c r="AI212" s="506"/>
      <c r="AJ212" s="509">
        <f ca="1">IF($C$4=Year1,-PMT(Lookups!$E$17,25,NPV(Lookups!$E$17,G212:AE212),0,1),IF($C$4=Year2,-PMT(Lookups!$F$17,25,NPV(Lookups!$F$17,H212:AF212),0,1),IF($C$4=Year3,-PMT(Lookups!$G$17,25,NPV(Lookups!$G$17,I212:AG212),0,1),-PMT(Lookups!$G$17,27,NPV(Lookups!$G$17,G212:AG212),0,1))))</f>
        <v>0.61007938166824305</v>
      </c>
      <c r="AK212" s="507"/>
      <c r="AL212" s="507"/>
      <c r="AM212" s="508">
        <f ca="1">IFERROR(AM198+AM204,0)</f>
        <v>0</v>
      </c>
      <c r="AN212" s="508">
        <f t="shared" ref="AN212:BM212" ca="1" si="223">IFERROR(AN198+AN204,0)</f>
        <v>0</v>
      </c>
      <c r="AO212" s="508">
        <f t="shared" ca="1" si="223"/>
        <v>0.61850832703728376</v>
      </c>
      <c r="AP212" s="508">
        <f t="shared" ca="1" si="223"/>
        <v>0.61850832703728376</v>
      </c>
      <c r="AQ212" s="508">
        <f t="shared" ca="1" si="223"/>
        <v>0.61850832703728376</v>
      </c>
      <c r="AR212" s="508">
        <f t="shared" ca="1" si="223"/>
        <v>0.61850832703728376</v>
      </c>
      <c r="AS212" s="508">
        <f t="shared" ca="1" si="223"/>
        <v>0.61850832703728376</v>
      </c>
      <c r="AT212" s="508">
        <f t="shared" ca="1" si="223"/>
        <v>0.61850832703728376</v>
      </c>
      <c r="AU212" s="508">
        <f t="shared" ca="1" si="223"/>
        <v>0.61850832703728376</v>
      </c>
      <c r="AV212" s="508">
        <f t="shared" ca="1" si="223"/>
        <v>0.61850832703728376</v>
      </c>
      <c r="AW212" s="508">
        <f t="shared" ca="1" si="223"/>
        <v>0.61850832703728376</v>
      </c>
      <c r="AX212" s="508">
        <f t="shared" ca="1" si="223"/>
        <v>0.61850832703728376</v>
      </c>
      <c r="AY212" s="508">
        <f t="shared" ca="1" si="223"/>
        <v>0.61850832703728376</v>
      </c>
      <c r="AZ212" s="508">
        <f t="shared" ca="1" si="223"/>
        <v>0.61850832703728376</v>
      </c>
      <c r="BA212" s="508">
        <f t="shared" ca="1" si="223"/>
        <v>0.61850832703728376</v>
      </c>
      <c r="BB212" s="508">
        <f t="shared" ca="1" si="223"/>
        <v>0.61850832703728376</v>
      </c>
      <c r="BC212" s="508">
        <f t="shared" ca="1" si="223"/>
        <v>0.61850832703728376</v>
      </c>
      <c r="BD212" s="508">
        <f t="shared" ca="1" si="223"/>
        <v>0.61850832703728376</v>
      </c>
      <c r="BE212" s="508">
        <f t="shared" ca="1" si="223"/>
        <v>0.61899999999999999</v>
      </c>
      <c r="BF212" s="508">
        <f t="shared" ca="1" si="223"/>
        <v>0.61899999999999999</v>
      </c>
      <c r="BG212" s="508">
        <f t="shared" ca="1" si="223"/>
        <v>0.61899999999999999</v>
      </c>
      <c r="BH212" s="508">
        <f t="shared" ca="1" si="223"/>
        <v>0.61899999999999999</v>
      </c>
      <c r="BI212" s="508">
        <f t="shared" ca="1" si="223"/>
        <v>0.61899999999999999</v>
      </c>
      <c r="BJ212" s="508">
        <f t="shared" ca="1" si="223"/>
        <v>0.61899999999999999</v>
      </c>
      <c r="BK212" s="508">
        <f t="shared" ca="1" si="223"/>
        <v>0.61899999999999999</v>
      </c>
      <c r="BL212" s="508">
        <f t="shared" ca="1" si="223"/>
        <v>0.61899999999999999</v>
      </c>
      <c r="BM212" s="508">
        <f t="shared" ca="1" si="223"/>
        <v>0.61899999999999999</v>
      </c>
      <c r="BN212" s="508"/>
      <c r="BO212" s="508"/>
      <c r="BP212" s="508">
        <f ca="1">IF($C$4=Year1,-PMT(Lookups!$E$17,25,NPV(Lookups!$E$17,AM212:BK212),0,1),IF($C$4=Year2,-PMT(Lookups!$F$17,25,NPV(Lookups!$F$17,AN212:BL212),0,1),IF($C$4=Year3,-PMT(Lookups!$G$17,25,NPV(Lookups!$G$17,AO212:BM212),0,1),-PMT(Lookups!$G$17,27,NPV(Lookups!$G$17,AM212:BM212),0,1))))</f>
        <v>0.61003744733297693</v>
      </c>
      <c r="BS212" s="86" t="s">
        <v>236</v>
      </c>
      <c r="BT212" s="51" t="s">
        <v>17</v>
      </c>
    </row>
    <row r="213" spans="1:72" x14ac:dyDescent="0.25">
      <c r="B213" s="243" t="str">
        <f t="shared" si="213"/>
        <v>Small C&amp;I</v>
      </c>
      <c r="C213" s="243" t="str">
        <f t="shared" si="213"/>
        <v>Rates</v>
      </c>
      <c r="D213" s="244" t="str">
        <f t="shared" si="213"/>
        <v>Rates after DSM Scenario</v>
      </c>
      <c r="E213" s="84" t="s">
        <v>406</v>
      </c>
      <c r="F213" s="84" t="s">
        <v>182</v>
      </c>
      <c r="G213" s="509">
        <f ca="1">G207</f>
        <v>0</v>
      </c>
      <c r="H213" s="509">
        <f t="shared" ref="H213:AG213" ca="1" si="224">H207</f>
        <v>0</v>
      </c>
      <c r="I213" s="509">
        <f t="shared" ca="1" si="224"/>
        <v>0.15875101082198512</v>
      </c>
      <c r="J213" s="509">
        <f t="shared" ca="1" si="224"/>
        <v>0</v>
      </c>
      <c r="K213" s="509">
        <f t="shared" ca="1" si="224"/>
        <v>0</v>
      </c>
      <c r="L213" s="509">
        <f t="shared" ca="1" si="224"/>
        <v>0</v>
      </c>
      <c r="M213" s="509">
        <f t="shared" ca="1" si="224"/>
        <v>0</v>
      </c>
      <c r="N213" s="509">
        <f t="shared" ca="1" si="224"/>
        <v>0</v>
      </c>
      <c r="O213" s="509">
        <f t="shared" ca="1" si="224"/>
        <v>0</v>
      </c>
      <c r="P213" s="509">
        <f t="shared" ca="1" si="224"/>
        <v>0</v>
      </c>
      <c r="Q213" s="509">
        <f t="shared" ca="1" si="224"/>
        <v>0</v>
      </c>
      <c r="R213" s="509">
        <f t="shared" ca="1" si="224"/>
        <v>0</v>
      </c>
      <c r="S213" s="509">
        <f t="shared" ca="1" si="224"/>
        <v>0</v>
      </c>
      <c r="T213" s="509">
        <f t="shared" ca="1" si="224"/>
        <v>0</v>
      </c>
      <c r="U213" s="509">
        <f t="shared" ca="1" si="224"/>
        <v>0</v>
      </c>
      <c r="V213" s="509">
        <f t="shared" ca="1" si="224"/>
        <v>0</v>
      </c>
      <c r="W213" s="509">
        <f t="shared" ca="1" si="224"/>
        <v>0</v>
      </c>
      <c r="X213" s="509">
        <f t="shared" ca="1" si="224"/>
        <v>0</v>
      </c>
      <c r="Y213" s="509">
        <f t="shared" ca="1" si="224"/>
        <v>0</v>
      </c>
      <c r="Z213" s="509">
        <f t="shared" ca="1" si="224"/>
        <v>0</v>
      </c>
      <c r="AA213" s="509">
        <f t="shared" ca="1" si="224"/>
        <v>0</v>
      </c>
      <c r="AB213" s="509">
        <f t="shared" ca="1" si="224"/>
        <v>0</v>
      </c>
      <c r="AC213" s="509">
        <f t="shared" ca="1" si="224"/>
        <v>0</v>
      </c>
      <c r="AD213" s="509">
        <f t="shared" ca="1" si="224"/>
        <v>0</v>
      </c>
      <c r="AE213" s="509">
        <f t="shared" ca="1" si="224"/>
        <v>0</v>
      </c>
      <c r="AF213" s="509">
        <f t="shared" ca="1" si="224"/>
        <v>0</v>
      </c>
      <c r="AG213" s="509">
        <f t="shared" ca="1" si="224"/>
        <v>0</v>
      </c>
      <c r="AH213" s="509"/>
      <c r="AI213" s="509"/>
      <c r="AJ213" s="509">
        <f ca="1">IF($C$4=Year1,-PMT(Lookups!$E$17,25,NPV(Lookups!$E$17,G213:AE213),0,1),IF($C$4=Year2,-PMT(Lookups!$F$17,25,NPV(Lookups!$F$17,H213:AF213),0,1),IF($C$4=Year3,-PMT(Lookups!$G$17,25,NPV(Lookups!$G$17,I213:AG213),0,1),-PMT(Lookups!$G$17,27,NPV(Lookups!$G$17,G213:AG213),0,1))))</f>
        <v>7.3730511423326364E-3</v>
      </c>
      <c r="AK213" s="507"/>
      <c r="AL213" s="507"/>
      <c r="AM213" s="508">
        <f ca="1">AM207</f>
        <v>0</v>
      </c>
      <c r="AN213" s="508">
        <f t="shared" ref="AN213:BM213" ca="1" si="225">AN207</f>
        <v>0</v>
      </c>
      <c r="AO213" s="508">
        <f t="shared" ca="1" si="225"/>
        <v>0.19050121298638215</v>
      </c>
      <c r="AP213" s="508">
        <f t="shared" ca="1" si="225"/>
        <v>0</v>
      </c>
      <c r="AQ213" s="508">
        <f t="shared" ca="1" si="225"/>
        <v>0</v>
      </c>
      <c r="AR213" s="508">
        <f t="shared" ca="1" si="225"/>
        <v>0</v>
      </c>
      <c r="AS213" s="508">
        <f t="shared" ca="1" si="225"/>
        <v>0</v>
      </c>
      <c r="AT213" s="508">
        <f t="shared" ca="1" si="225"/>
        <v>0</v>
      </c>
      <c r="AU213" s="508">
        <f t="shared" ca="1" si="225"/>
        <v>0</v>
      </c>
      <c r="AV213" s="508">
        <f t="shared" ca="1" si="225"/>
        <v>0</v>
      </c>
      <c r="AW213" s="508">
        <f t="shared" ca="1" si="225"/>
        <v>0</v>
      </c>
      <c r="AX213" s="508">
        <f t="shared" ca="1" si="225"/>
        <v>0</v>
      </c>
      <c r="AY213" s="508">
        <f t="shared" ca="1" si="225"/>
        <v>0</v>
      </c>
      <c r="AZ213" s="508">
        <f t="shared" ca="1" si="225"/>
        <v>0</v>
      </c>
      <c r="BA213" s="508">
        <f t="shared" ca="1" si="225"/>
        <v>0</v>
      </c>
      <c r="BB213" s="508">
        <f t="shared" ca="1" si="225"/>
        <v>0</v>
      </c>
      <c r="BC213" s="508">
        <f t="shared" ca="1" si="225"/>
        <v>0</v>
      </c>
      <c r="BD213" s="508">
        <f t="shared" ca="1" si="225"/>
        <v>0</v>
      </c>
      <c r="BE213" s="508">
        <f t="shared" ca="1" si="225"/>
        <v>0</v>
      </c>
      <c r="BF213" s="508">
        <f t="shared" ca="1" si="225"/>
        <v>0</v>
      </c>
      <c r="BG213" s="508">
        <f t="shared" ca="1" si="225"/>
        <v>0</v>
      </c>
      <c r="BH213" s="508">
        <f t="shared" ca="1" si="225"/>
        <v>0</v>
      </c>
      <c r="BI213" s="508">
        <f t="shared" ca="1" si="225"/>
        <v>0</v>
      </c>
      <c r="BJ213" s="508">
        <f t="shared" ca="1" si="225"/>
        <v>0</v>
      </c>
      <c r="BK213" s="508">
        <f t="shared" ca="1" si="225"/>
        <v>0</v>
      </c>
      <c r="BL213" s="508">
        <f t="shared" ca="1" si="225"/>
        <v>0</v>
      </c>
      <c r="BM213" s="508">
        <f t="shared" ca="1" si="225"/>
        <v>0</v>
      </c>
      <c r="BN213" s="508"/>
      <c r="BO213" s="508"/>
      <c r="BP213" s="508">
        <f ca="1">IF($C$4=Year1,-PMT(Lookups!$E$17,25,NPV(Lookups!$E$17,AM213:BK213),0,1),IF($C$4=Year2,-PMT(Lookups!$F$17,25,NPV(Lookups!$F$17,AN213:BL213),0,1),IF($C$4=Year3,-PMT(Lookups!$G$17,25,NPV(Lookups!$G$17,AO213:BM213),0,1),-PMT(Lookups!$G$17,27,NPV(Lookups!$G$17,AM213:BM213),0,1))))</f>
        <v>8.8476613707991637E-3</v>
      </c>
      <c r="BS213" s="84" t="s">
        <v>403</v>
      </c>
      <c r="BT213" s="51" t="s">
        <v>17</v>
      </c>
    </row>
    <row r="214" spans="1:72" x14ac:dyDescent="0.25">
      <c r="B214" s="243" t="str">
        <f>B215</f>
        <v>Small C&amp;I</v>
      </c>
      <c r="C214" s="243" t="str">
        <f>C215</f>
        <v>Rates</v>
      </c>
      <c r="D214" s="244" t="str">
        <f>D215</f>
        <v>Rates after DSM Scenario</v>
      </c>
      <c r="E214" s="86" t="s">
        <v>75</v>
      </c>
      <c r="F214" s="84" t="s">
        <v>182</v>
      </c>
      <c r="G214" s="506">
        <f>G199</f>
        <v>0</v>
      </c>
      <c r="H214" s="506">
        <f t="shared" ref="H214:AG214" si="226">H199</f>
        <v>0</v>
      </c>
      <c r="I214" s="506">
        <f t="shared" si="226"/>
        <v>0.28453457229491286</v>
      </c>
      <c r="J214" s="506">
        <f t="shared" si="226"/>
        <v>0.28453457229491286</v>
      </c>
      <c r="K214" s="506">
        <f t="shared" si="226"/>
        <v>0.28453457229491286</v>
      </c>
      <c r="L214" s="506">
        <f t="shared" si="226"/>
        <v>0.28453457229491286</v>
      </c>
      <c r="M214" s="506">
        <f t="shared" si="226"/>
        <v>0.28453457229491286</v>
      </c>
      <c r="N214" s="506">
        <f t="shared" si="226"/>
        <v>0.28453457229491286</v>
      </c>
      <c r="O214" s="506">
        <f t="shared" si="226"/>
        <v>0.28453457229491286</v>
      </c>
      <c r="P214" s="506">
        <f t="shared" si="226"/>
        <v>0.28453457229491286</v>
      </c>
      <c r="Q214" s="506">
        <f t="shared" si="226"/>
        <v>0.28453457229491286</v>
      </c>
      <c r="R214" s="506">
        <f t="shared" si="226"/>
        <v>0.28453457229491286</v>
      </c>
      <c r="S214" s="506">
        <f t="shared" si="226"/>
        <v>0.28453457229491286</v>
      </c>
      <c r="T214" s="506">
        <f t="shared" si="226"/>
        <v>0.28453457229491286</v>
      </c>
      <c r="U214" s="506">
        <f t="shared" si="226"/>
        <v>0.28453457229491286</v>
      </c>
      <c r="V214" s="506">
        <f t="shared" si="226"/>
        <v>0.28453457229491286</v>
      </c>
      <c r="W214" s="506">
        <f t="shared" si="226"/>
        <v>0.28453457229491286</v>
      </c>
      <c r="X214" s="506">
        <f t="shared" si="226"/>
        <v>0.28453457229491286</v>
      </c>
      <c r="Y214" s="506">
        <f t="shared" si="226"/>
        <v>0.28453457229491286</v>
      </c>
      <c r="Z214" s="506">
        <f t="shared" si="226"/>
        <v>0.28453457229491286</v>
      </c>
      <c r="AA214" s="506">
        <f t="shared" si="226"/>
        <v>0.28453457229491286</v>
      </c>
      <c r="AB214" s="506">
        <f t="shared" si="226"/>
        <v>0.28453457229491286</v>
      </c>
      <c r="AC214" s="506">
        <f t="shared" si="226"/>
        <v>0.28453457229491286</v>
      </c>
      <c r="AD214" s="506">
        <f t="shared" si="226"/>
        <v>0.28453457229491286</v>
      </c>
      <c r="AE214" s="506">
        <f t="shared" si="226"/>
        <v>0.28453457229491286</v>
      </c>
      <c r="AF214" s="506">
        <f t="shared" si="226"/>
        <v>0.28453457229491286</v>
      </c>
      <c r="AG214" s="506">
        <f t="shared" si="226"/>
        <v>0.28453457229491286</v>
      </c>
      <c r="AH214" s="506"/>
      <c r="AI214" s="506"/>
      <c r="AJ214" s="506">
        <f>IF($C$4=Year1,-PMT(Lookups!$E$17,25,NPV(Lookups!$E$17,G214:AE214),0,1),IF($C$4=Year2,-PMT(Lookups!$F$17,25,NPV(Lookups!$F$17,H214:AF214),0,1),IF($C$4=Year3,-PMT(Lookups!$G$17,25,NPV(Lookups!$G$17,I214:AG214),0,1),-PMT(Lookups!$G$17,27,NPV(Lookups!$G$17,G214:AG214),0,1))))</f>
        <v>0.28056624508808786</v>
      </c>
      <c r="AK214" s="507"/>
      <c r="AL214" s="507"/>
      <c r="AM214" s="508">
        <f>AM199</f>
        <v>0</v>
      </c>
      <c r="AN214" s="508">
        <f t="shared" ref="AN214:BM214" si="227">AN199</f>
        <v>0</v>
      </c>
      <c r="AO214" s="508">
        <f t="shared" si="227"/>
        <v>0.28453457229491286</v>
      </c>
      <c r="AP214" s="508">
        <f t="shared" si="227"/>
        <v>0.28453457229491286</v>
      </c>
      <c r="AQ214" s="508">
        <f t="shared" si="227"/>
        <v>0.28453457229491286</v>
      </c>
      <c r="AR214" s="508">
        <f t="shared" si="227"/>
        <v>0.28453457229491286</v>
      </c>
      <c r="AS214" s="508">
        <f t="shared" si="227"/>
        <v>0.28453457229491286</v>
      </c>
      <c r="AT214" s="508">
        <f t="shared" si="227"/>
        <v>0.28453457229491286</v>
      </c>
      <c r="AU214" s="508">
        <f t="shared" si="227"/>
        <v>0.28453457229491286</v>
      </c>
      <c r="AV214" s="508">
        <f t="shared" si="227"/>
        <v>0.28453457229491286</v>
      </c>
      <c r="AW214" s="508">
        <f t="shared" si="227"/>
        <v>0.28453457229491286</v>
      </c>
      <c r="AX214" s="508">
        <f t="shared" si="227"/>
        <v>0.28453457229491286</v>
      </c>
      <c r="AY214" s="508">
        <f t="shared" si="227"/>
        <v>0.28453457229491286</v>
      </c>
      <c r="AZ214" s="508">
        <f t="shared" si="227"/>
        <v>0.28453457229491286</v>
      </c>
      <c r="BA214" s="508">
        <f t="shared" si="227"/>
        <v>0.28453457229491286</v>
      </c>
      <c r="BB214" s="508">
        <f t="shared" si="227"/>
        <v>0.28453457229491286</v>
      </c>
      <c r="BC214" s="508">
        <f t="shared" si="227"/>
        <v>0.28453457229491286</v>
      </c>
      <c r="BD214" s="508">
        <f t="shared" si="227"/>
        <v>0.28453457229491286</v>
      </c>
      <c r="BE214" s="508">
        <f t="shared" si="227"/>
        <v>0.28453457229491286</v>
      </c>
      <c r="BF214" s="508">
        <f t="shared" si="227"/>
        <v>0.28453457229491286</v>
      </c>
      <c r="BG214" s="508">
        <f t="shared" si="227"/>
        <v>0.28453457229491286</v>
      </c>
      <c r="BH214" s="508">
        <f t="shared" si="227"/>
        <v>0.28453457229491286</v>
      </c>
      <c r="BI214" s="508">
        <f t="shared" si="227"/>
        <v>0.28453457229491286</v>
      </c>
      <c r="BJ214" s="508">
        <f t="shared" si="227"/>
        <v>0.28453457229491286</v>
      </c>
      <c r="BK214" s="508">
        <f t="shared" si="227"/>
        <v>0.28453457229491286</v>
      </c>
      <c r="BL214" s="508">
        <f t="shared" si="227"/>
        <v>0.28453457229491286</v>
      </c>
      <c r="BM214" s="508">
        <f t="shared" si="227"/>
        <v>0.28453457229491286</v>
      </c>
      <c r="BN214" s="508"/>
      <c r="BO214" s="508"/>
      <c r="BP214" s="508">
        <f>IF($C$4=Year1,-PMT(Lookups!$E$17,25,NPV(Lookups!$E$17,AM214:BK214),0,1),IF($C$4=Year2,-PMT(Lookups!$F$17,25,NPV(Lookups!$F$17,AN214:BL214),0,1),IF($C$4=Year3,-PMT(Lookups!$G$17,25,NPV(Lookups!$G$17,AO214:BM214),0,1),-PMT(Lookups!$G$17,27,NPV(Lookups!$G$17,AM214:BM214),0,1))))</f>
        <v>0.28056624508808786</v>
      </c>
      <c r="BS214" s="84" t="s">
        <v>171</v>
      </c>
      <c r="BT214" s="51" t="s">
        <v>17</v>
      </c>
    </row>
    <row r="215" spans="1:72" x14ac:dyDescent="0.25">
      <c r="B215" s="243" t="str">
        <f>B213</f>
        <v>Small C&amp;I</v>
      </c>
      <c r="C215" s="243" t="str">
        <f>C213</f>
        <v>Rates</v>
      </c>
      <c r="D215" s="244" t="str">
        <f>D213</f>
        <v>Rates after DSM Scenario</v>
      </c>
      <c r="E215" s="84" t="s">
        <v>76</v>
      </c>
      <c r="F215" s="84" t="s">
        <v>182</v>
      </c>
      <c r="G215" s="506">
        <f ca="1">SUM(G210:G214)</f>
        <v>0</v>
      </c>
      <c r="H215" s="506">
        <f t="shared" ref="H215:AG215" ca="1" si="228">SUM(H210:H214)</f>
        <v>0</v>
      </c>
      <c r="I215" s="506">
        <f t="shared" ca="1" si="228"/>
        <v>1.4656095689028503</v>
      </c>
      <c r="J215" s="506">
        <f t="shared" ca="1" si="228"/>
        <v>1.3068585580808652</v>
      </c>
      <c r="K215" s="506">
        <f t="shared" ca="1" si="228"/>
        <v>1.3068585580808652</v>
      </c>
      <c r="L215" s="506">
        <f t="shared" ca="1" si="228"/>
        <v>1.3068585580808652</v>
      </c>
      <c r="M215" s="506">
        <f t="shared" ca="1" si="228"/>
        <v>1.3068585580808652</v>
      </c>
      <c r="N215" s="506">
        <f t="shared" ca="1" si="228"/>
        <v>1.3068585580808652</v>
      </c>
      <c r="O215" s="506">
        <f t="shared" ca="1" si="228"/>
        <v>1.3068585580808652</v>
      </c>
      <c r="P215" s="506">
        <f t="shared" ca="1" si="228"/>
        <v>1.3068585580808652</v>
      </c>
      <c r="Q215" s="506">
        <f t="shared" ca="1" si="228"/>
        <v>1.3068585580808652</v>
      </c>
      <c r="R215" s="506">
        <f t="shared" ca="1" si="228"/>
        <v>1.3068585580808652</v>
      </c>
      <c r="S215" s="506">
        <f t="shared" ca="1" si="228"/>
        <v>1.3068585580808652</v>
      </c>
      <c r="T215" s="506">
        <f t="shared" ca="1" si="228"/>
        <v>1.3068585580808652</v>
      </c>
      <c r="U215" s="506">
        <f t="shared" ca="1" si="228"/>
        <v>1.3068585580808652</v>
      </c>
      <c r="V215" s="506">
        <f t="shared" ca="1" si="228"/>
        <v>1.3068585580808652</v>
      </c>
      <c r="W215" s="506">
        <f t="shared" ca="1" si="228"/>
        <v>1.3068585580808652</v>
      </c>
      <c r="X215" s="506">
        <f t="shared" ca="1" si="228"/>
        <v>1.3068585580808652</v>
      </c>
      <c r="Y215" s="506">
        <f t="shared" ca="1" si="228"/>
        <v>1.3008471347317248</v>
      </c>
      <c r="Z215" s="506">
        <f t="shared" ca="1" si="228"/>
        <v>1.3008471347317248</v>
      </c>
      <c r="AA215" s="506">
        <f t="shared" ca="1" si="228"/>
        <v>1.3008471347317248</v>
      </c>
      <c r="AB215" s="506">
        <f t="shared" ca="1" si="228"/>
        <v>1.3008471347317248</v>
      </c>
      <c r="AC215" s="506">
        <f t="shared" ca="1" si="228"/>
        <v>1.3008471347317248</v>
      </c>
      <c r="AD215" s="506">
        <f t="shared" ca="1" si="228"/>
        <v>1.3008471347317248</v>
      </c>
      <c r="AE215" s="506">
        <f t="shared" ca="1" si="228"/>
        <v>1.3008471347317248</v>
      </c>
      <c r="AF215" s="506">
        <f t="shared" ca="1" si="228"/>
        <v>1.3008471347317248</v>
      </c>
      <c r="AG215" s="506">
        <f t="shared" ca="1" si="228"/>
        <v>1.3008471347317248</v>
      </c>
      <c r="AH215" s="506"/>
      <c r="AI215" s="506"/>
      <c r="AJ215" s="506">
        <f ca="1">IF($C$4=Year1,-PMT(Lookups!$E$17,25,NPV(Lookups!$E$17,G215:AE215),0,1),IF($C$4=Year2,-PMT(Lookups!$F$17,25,NPV(Lookups!$F$17,H215:AF215),0,1),IF($C$4=Year3,-PMT(Lookups!$G$17,25,NPV(Lookups!$G$17,I215:AG215),0,1),-PMT(Lookups!$G$17,27,NPV(Lookups!$G$17,G215:AG215),0,1))))</f>
        <v>1.2941065597361654</v>
      </c>
      <c r="AK215" s="507"/>
      <c r="AL215" s="507"/>
      <c r="AM215" s="508">
        <f ca="1">SUM(AM210:AM214)</f>
        <v>0</v>
      </c>
      <c r="AN215" s="508">
        <f t="shared" ref="AN215:BM215" ca="1" si="229">SUM(AN210:AN214)</f>
        <v>0</v>
      </c>
      <c r="AO215" s="508">
        <f t="shared" ca="1" si="229"/>
        <v>1.4982363090356594</v>
      </c>
      <c r="AP215" s="508">
        <f t="shared" ca="1" si="229"/>
        <v>1.3077350960492773</v>
      </c>
      <c r="AQ215" s="508">
        <f t="shared" ca="1" si="229"/>
        <v>1.3077350960492773</v>
      </c>
      <c r="AR215" s="508">
        <f t="shared" ca="1" si="229"/>
        <v>1.3077350960492773</v>
      </c>
      <c r="AS215" s="508">
        <f t="shared" ca="1" si="229"/>
        <v>1.3077350960492773</v>
      </c>
      <c r="AT215" s="508">
        <f t="shared" ca="1" si="229"/>
        <v>1.3077350960492773</v>
      </c>
      <c r="AU215" s="508">
        <f t="shared" ca="1" si="229"/>
        <v>1.3077350960492773</v>
      </c>
      <c r="AV215" s="508">
        <f t="shared" ca="1" si="229"/>
        <v>1.3077350960492773</v>
      </c>
      <c r="AW215" s="508">
        <f t="shared" ca="1" si="229"/>
        <v>1.3077350960492773</v>
      </c>
      <c r="AX215" s="508">
        <f t="shared" ca="1" si="229"/>
        <v>1.3077350960492773</v>
      </c>
      <c r="AY215" s="508">
        <f t="shared" ca="1" si="229"/>
        <v>1.3077350960492773</v>
      </c>
      <c r="AZ215" s="508">
        <f t="shared" ca="1" si="229"/>
        <v>1.3077350960492773</v>
      </c>
      <c r="BA215" s="508">
        <f t="shared" ca="1" si="229"/>
        <v>1.3077350960492773</v>
      </c>
      <c r="BB215" s="508">
        <f t="shared" ca="1" si="229"/>
        <v>1.3077350960492773</v>
      </c>
      <c r="BC215" s="508">
        <f t="shared" ca="1" si="229"/>
        <v>1.3077350960492773</v>
      </c>
      <c r="BD215" s="508">
        <f t="shared" ca="1" si="229"/>
        <v>1.3077350960492773</v>
      </c>
      <c r="BE215" s="508">
        <f t="shared" ca="1" si="229"/>
        <v>1.3008471347317248</v>
      </c>
      <c r="BF215" s="508">
        <f t="shared" ca="1" si="229"/>
        <v>1.3008471347317248</v>
      </c>
      <c r="BG215" s="508">
        <f t="shared" ca="1" si="229"/>
        <v>1.3008471347317248</v>
      </c>
      <c r="BH215" s="508">
        <f t="shared" ca="1" si="229"/>
        <v>1.3008471347317248</v>
      </c>
      <c r="BI215" s="508">
        <f t="shared" ca="1" si="229"/>
        <v>1.3008471347317248</v>
      </c>
      <c r="BJ215" s="508">
        <f t="shared" ca="1" si="229"/>
        <v>1.3008471347317248</v>
      </c>
      <c r="BK215" s="508">
        <f t="shared" ca="1" si="229"/>
        <v>1.3008471347317248</v>
      </c>
      <c r="BL215" s="508">
        <f t="shared" ca="1" si="229"/>
        <v>1.3008471347317248</v>
      </c>
      <c r="BM215" s="508">
        <f t="shared" ca="1" si="229"/>
        <v>1.3008471347317248</v>
      </c>
      <c r="BN215" s="508"/>
      <c r="BO215" s="508"/>
      <c r="BP215" s="508">
        <f ca="1">IF($C$4=Year1,-PMT(Lookups!$E$17,25,NPV(Lookups!$E$17,AM215:BK215),0,1),IF($C$4=Year2,-PMT(Lookups!$F$17,25,NPV(Lookups!$F$17,AN215:BL215),0,1),IF($C$4=Year3,-PMT(Lookups!$G$17,25,NPV(Lookups!$G$17,AO215:BM215),0,1),-PMT(Lookups!$G$17,27,NPV(Lookups!$G$17,AM215:BM215),0,1))))</f>
        <v>1.296168637857098</v>
      </c>
      <c r="BS215" s="84" t="s">
        <v>235</v>
      </c>
      <c r="BT215" s="51" t="s">
        <v>17</v>
      </c>
    </row>
    <row r="216" spans="1:72" x14ac:dyDescent="0.25">
      <c r="B216" s="243" t="str">
        <f>B214</f>
        <v>Small C&amp;I</v>
      </c>
      <c r="C216" s="243" t="str">
        <f>C214</f>
        <v>Rates</v>
      </c>
      <c r="D216" s="114" t="s">
        <v>114</v>
      </c>
      <c r="E216" s="84"/>
      <c r="F216" s="84"/>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49"/>
      <c r="AI216" s="109"/>
      <c r="AJ216" s="49"/>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S216" s="84"/>
      <c r="BT216" s="51" t="s">
        <v>17</v>
      </c>
    </row>
    <row r="217" spans="1:72" x14ac:dyDescent="0.25">
      <c r="B217" s="243" t="str">
        <f t="shared" ref="B217:D232" si="230">B216</f>
        <v>Small C&amp;I</v>
      </c>
      <c r="C217" s="243" t="str">
        <f t="shared" si="230"/>
        <v>Rates</v>
      </c>
      <c r="D217" s="244" t="str">
        <f t="shared" si="230"/>
        <v>Change in Rates after DSM Scenario</v>
      </c>
      <c r="E217" s="84" t="s">
        <v>76</v>
      </c>
      <c r="F217" s="84" t="s">
        <v>182</v>
      </c>
      <c r="G217" s="510">
        <f ca="1">G215-G200</f>
        <v>0</v>
      </c>
      <c r="H217" s="510">
        <f t="shared" ref="H217:AG217" ca="1" si="231">H215-H200</f>
        <v>0</v>
      </c>
      <c r="I217" s="510">
        <f t="shared" ca="1" si="231"/>
        <v>0.16476243417112557</v>
      </c>
      <c r="J217" s="510">
        <f t="shared" ca="1" si="231"/>
        <v>6.011423349140399E-3</v>
      </c>
      <c r="K217" s="510">
        <f t="shared" ca="1" si="231"/>
        <v>6.011423349140399E-3</v>
      </c>
      <c r="L217" s="510">
        <f t="shared" ca="1" si="231"/>
        <v>6.011423349140399E-3</v>
      </c>
      <c r="M217" s="510">
        <f t="shared" ca="1" si="231"/>
        <v>6.011423349140399E-3</v>
      </c>
      <c r="N217" s="510">
        <f t="shared" ca="1" si="231"/>
        <v>6.011423349140399E-3</v>
      </c>
      <c r="O217" s="510">
        <f t="shared" ca="1" si="231"/>
        <v>6.011423349140399E-3</v>
      </c>
      <c r="P217" s="510">
        <f t="shared" ca="1" si="231"/>
        <v>6.011423349140399E-3</v>
      </c>
      <c r="Q217" s="510">
        <f t="shared" ca="1" si="231"/>
        <v>6.011423349140399E-3</v>
      </c>
      <c r="R217" s="510">
        <f t="shared" ca="1" si="231"/>
        <v>6.011423349140399E-3</v>
      </c>
      <c r="S217" s="510">
        <f t="shared" ca="1" si="231"/>
        <v>6.011423349140399E-3</v>
      </c>
      <c r="T217" s="510">
        <f t="shared" ca="1" si="231"/>
        <v>6.011423349140399E-3</v>
      </c>
      <c r="U217" s="510">
        <f t="shared" ca="1" si="231"/>
        <v>6.011423349140399E-3</v>
      </c>
      <c r="V217" s="510">
        <f t="shared" ca="1" si="231"/>
        <v>6.011423349140399E-3</v>
      </c>
      <c r="W217" s="510">
        <f t="shared" ca="1" si="231"/>
        <v>6.011423349140399E-3</v>
      </c>
      <c r="X217" s="510">
        <f t="shared" ca="1" si="231"/>
        <v>6.011423349140399E-3</v>
      </c>
      <c r="Y217" s="510">
        <f t="shared" ca="1" si="231"/>
        <v>0</v>
      </c>
      <c r="Z217" s="510">
        <f t="shared" ca="1" si="231"/>
        <v>0</v>
      </c>
      <c r="AA217" s="510">
        <f t="shared" ca="1" si="231"/>
        <v>0</v>
      </c>
      <c r="AB217" s="510">
        <f t="shared" ca="1" si="231"/>
        <v>0</v>
      </c>
      <c r="AC217" s="510">
        <f t="shared" ca="1" si="231"/>
        <v>0</v>
      </c>
      <c r="AD217" s="510">
        <f t="shared" ca="1" si="231"/>
        <v>0</v>
      </c>
      <c r="AE217" s="510">
        <f t="shared" ca="1" si="231"/>
        <v>0</v>
      </c>
      <c r="AF217" s="510">
        <f t="shared" ca="1" si="231"/>
        <v>0</v>
      </c>
      <c r="AG217" s="510">
        <f t="shared" ca="1" si="231"/>
        <v>0</v>
      </c>
      <c r="AH217" s="510"/>
      <c r="AI217" s="510"/>
      <c r="AJ217" s="510">
        <f ca="1">IF($C$4=Year1,-PMT(Lookups!$E$17,25,NPV(Lookups!$E$17,G217:AE217),0,1),IF($C$4=Year2,-PMT(Lookups!$F$17,25,NPV(Lookups!$F$17,H217:AF217),0,1),IF($C$4=Year3,-PMT(Lookups!$G$17,25,NPV(Lookups!$G$17,I217:AG217),0,1),-PMT(Lookups!$G$17,27,NPV(Lookups!$G$17,G217:AG217),0,1))))</f>
        <v>1.1401990370190828E-2</v>
      </c>
      <c r="AK217" s="507"/>
      <c r="AL217" s="507"/>
      <c r="AM217" s="508">
        <f ca="1">AM215-AM200</f>
        <v>0</v>
      </c>
      <c r="AN217" s="508">
        <f t="shared" ref="AN217:BM217" ca="1" si="232">AN215-AN200</f>
        <v>0</v>
      </c>
      <c r="AO217" s="508">
        <f t="shared" ca="1" si="232"/>
        <v>0.19738917430393466</v>
      </c>
      <c r="AP217" s="508">
        <f t="shared" ca="1" si="232"/>
        <v>6.8879613175525378E-3</v>
      </c>
      <c r="AQ217" s="508">
        <f t="shared" ca="1" si="232"/>
        <v>6.8879613175525378E-3</v>
      </c>
      <c r="AR217" s="508">
        <f t="shared" ca="1" si="232"/>
        <v>6.8879613175525378E-3</v>
      </c>
      <c r="AS217" s="508">
        <f t="shared" ca="1" si="232"/>
        <v>6.8879613175525378E-3</v>
      </c>
      <c r="AT217" s="508">
        <f t="shared" ca="1" si="232"/>
        <v>6.8879613175525378E-3</v>
      </c>
      <c r="AU217" s="508">
        <f t="shared" ca="1" si="232"/>
        <v>6.8879613175525378E-3</v>
      </c>
      <c r="AV217" s="508">
        <f t="shared" ca="1" si="232"/>
        <v>6.8879613175525378E-3</v>
      </c>
      <c r="AW217" s="508">
        <f t="shared" ca="1" si="232"/>
        <v>6.8879613175525378E-3</v>
      </c>
      <c r="AX217" s="508">
        <f t="shared" ca="1" si="232"/>
        <v>6.8879613175525378E-3</v>
      </c>
      <c r="AY217" s="508">
        <f t="shared" ca="1" si="232"/>
        <v>6.8879613175525378E-3</v>
      </c>
      <c r="AZ217" s="508">
        <f t="shared" ca="1" si="232"/>
        <v>6.8879613175525378E-3</v>
      </c>
      <c r="BA217" s="508">
        <f t="shared" ca="1" si="232"/>
        <v>6.8879613175525378E-3</v>
      </c>
      <c r="BB217" s="508">
        <f t="shared" ca="1" si="232"/>
        <v>6.8879613175525378E-3</v>
      </c>
      <c r="BC217" s="508">
        <f t="shared" ca="1" si="232"/>
        <v>6.8879613175525378E-3</v>
      </c>
      <c r="BD217" s="508">
        <f t="shared" ca="1" si="232"/>
        <v>6.8879613175525378E-3</v>
      </c>
      <c r="BE217" s="508">
        <f t="shared" ca="1" si="232"/>
        <v>0</v>
      </c>
      <c r="BF217" s="508">
        <f t="shared" ca="1" si="232"/>
        <v>0</v>
      </c>
      <c r="BG217" s="508">
        <f t="shared" ca="1" si="232"/>
        <v>0</v>
      </c>
      <c r="BH217" s="508">
        <f t="shared" ca="1" si="232"/>
        <v>0</v>
      </c>
      <c r="BI217" s="508">
        <f t="shared" ca="1" si="232"/>
        <v>0</v>
      </c>
      <c r="BJ217" s="508">
        <f t="shared" ca="1" si="232"/>
        <v>0</v>
      </c>
      <c r="BK217" s="508">
        <f t="shared" ca="1" si="232"/>
        <v>0</v>
      </c>
      <c r="BL217" s="508">
        <f t="shared" ca="1" si="232"/>
        <v>0</v>
      </c>
      <c r="BM217" s="508">
        <f t="shared" ca="1" si="232"/>
        <v>0</v>
      </c>
      <c r="BN217" s="508"/>
      <c r="BO217" s="508"/>
      <c r="BP217" s="508">
        <f ca="1">IF($C$4=Year1,-PMT(Lookups!$E$17,25,NPV(Lookups!$E$17,AM217:BK217),0,1),IF($C$4=Year2,-PMT(Lookups!$F$17,25,NPV(Lookups!$F$17,AN217:BL217),0,1),IF($C$4=Year3,-PMT(Lookups!$G$17,25,NPV(Lookups!$G$17,AO217:BM217),0,1),-PMT(Lookups!$G$17,27,NPV(Lookups!$G$17,AM217:BM217),0,1))))</f>
        <v>1.3464068491123742E-2</v>
      </c>
      <c r="BS217" s="84" t="s">
        <v>233</v>
      </c>
      <c r="BT217" s="51" t="s">
        <v>17</v>
      </c>
    </row>
    <row r="218" spans="1:72" x14ac:dyDescent="0.25">
      <c r="B218" s="243" t="str">
        <f t="shared" si="230"/>
        <v>Small C&amp;I</v>
      </c>
      <c r="C218" s="243" t="str">
        <f t="shared" si="230"/>
        <v>Rates</v>
      </c>
      <c r="D218" s="244" t="str">
        <f t="shared" si="230"/>
        <v>Change in Rates after DSM Scenario</v>
      </c>
      <c r="E218" s="84" t="s">
        <v>76</v>
      </c>
      <c r="F218" s="84" t="s">
        <v>16</v>
      </c>
      <c r="G218" s="224">
        <f ca="1">IFERROR(G215/G200-1,0)</f>
        <v>0</v>
      </c>
      <c r="H218" s="224">
        <f t="shared" ref="H218:AG218" ca="1" si="233">IFERROR(H215/H200-1,0)</f>
        <v>0</v>
      </c>
      <c r="I218" s="224">
        <f t="shared" ca="1" si="233"/>
        <v>0.12665779842387459</v>
      </c>
      <c r="J218" s="224">
        <f t="shared" ca="1" si="233"/>
        <v>4.621160464315599E-3</v>
      </c>
      <c r="K218" s="224">
        <f t="shared" ca="1" si="233"/>
        <v>4.621160464315599E-3</v>
      </c>
      <c r="L218" s="224">
        <f t="shared" ca="1" si="233"/>
        <v>4.621160464315599E-3</v>
      </c>
      <c r="M218" s="224">
        <f t="shared" ca="1" si="233"/>
        <v>4.621160464315599E-3</v>
      </c>
      <c r="N218" s="224">
        <f t="shared" ca="1" si="233"/>
        <v>4.621160464315599E-3</v>
      </c>
      <c r="O218" s="224">
        <f t="shared" ca="1" si="233"/>
        <v>4.621160464315599E-3</v>
      </c>
      <c r="P218" s="224">
        <f t="shared" ca="1" si="233"/>
        <v>4.621160464315599E-3</v>
      </c>
      <c r="Q218" s="224">
        <f t="shared" ca="1" si="233"/>
        <v>4.621160464315599E-3</v>
      </c>
      <c r="R218" s="224">
        <f t="shared" ca="1" si="233"/>
        <v>4.621160464315599E-3</v>
      </c>
      <c r="S218" s="224">
        <f t="shared" ca="1" si="233"/>
        <v>4.621160464315599E-3</v>
      </c>
      <c r="T218" s="224">
        <f t="shared" ca="1" si="233"/>
        <v>4.621160464315599E-3</v>
      </c>
      <c r="U218" s="224">
        <f t="shared" ca="1" si="233"/>
        <v>4.621160464315599E-3</v>
      </c>
      <c r="V218" s="224">
        <f t="shared" ca="1" si="233"/>
        <v>4.621160464315599E-3</v>
      </c>
      <c r="W218" s="224">
        <f t="shared" ca="1" si="233"/>
        <v>4.621160464315599E-3</v>
      </c>
      <c r="X218" s="224">
        <f t="shared" ca="1" si="233"/>
        <v>4.621160464315599E-3</v>
      </c>
      <c r="Y218" s="224">
        <f t="shared" ca="1" si="233"/>
        <v>0</v>
      </c>
      <c r="Z218" s="224">
        <f t="shared" ca="1" si="233"/>
        <v>0</v>
      </c>
      <c r="AA218" s="224">
        <f t="shared" ca="1" si="233"/>
        <v>0</v>
      </c>
      <c r="AB218" s="224">
        <f t="shared" ca="1" si="233"/>
        <v>0</v>
      </c>
      <c r="AC218" s="224">
        <f t="shared" ca="1" si="233"/>
        <v>0</v>
      </c>
      <c r="AD218" s="224">
        <f t="shared" ca="1" si="233"/>
        <v>0</v>
      </c>
      <c r="AE218" s="224">
        <f t="shared" ca="1" si="233"/>
        <v>0</v>
      </c>
      <c r="AF218" s="224">
        <f t="shared" ca="1" si="233"/>
        <v>0</v>
      </c>
      <c r="AG218" s="224">
        <f t="shared" ca="1" si="233"/>
        <v>0</v>
      </c>
      <c r="AH218" s="224"/>
      <c r="AI218" s="224"/>
      <c r="AJ218" s="224">
        <f ca="1">IFERROR(AJ215/AJ200-1,0)</f>
        <v>8.8890229617151206E-3</v>
      </c>
      <c r="AK218" s="212"/>
      <c r="AL218" s="212"/>
      <c r="AM218" s="504">
        <f ca="1">IFERROR(AM215/AM200-1,0)</f>
        <v>0</v>
      </c>
      <c r="AN218" s="504">
        <f t="shared" ref="AN218:BM218" ca="1" si="234">IFERROR(AN215/AN200-1,0)</f>
        <v>0</v>
      </c>
      <c r="AO218" s="504">
        <f t="shared" ca="1" si="234"/>
        <v>0.15173894690143008</v>
      </c>
      <c r="AP218" s="504">
        <f t="shared" ca="1" si="234"/>
        <v>5.2949813499594267E-3</v>
      </c>
      <c r="AQ218" s="504">
        <f t="shared" ca="1" si="234"/>
        <v>5.2949813499594267E-3</v>
      </c>
      <c r="AR218" s="504">
        <f t="shared" ca="1" si="234"/>
        <v>5.2949813499594267E-3</v>
      </c>
      <c r="AS218" s="504">
        <f t="shared" ca="1" si="234"/>
        <v>5.2949813499594267E-3</v>
      </c>
      <c r="AT218" s="504">
        <f t="shared" ca="1" si="234"/>
        <v>5.2949813499594267E-3</v>
      </c>
      <c r="AU218" s="504">
        <f t="shared" ca="1" si="234"/>
        <v>5.2949813499594267E-3</v>
      </c>
      <c r="AV218" s="504">
        <f t="shared" ca="1" si="234"/>
        <v>5.2949813499594267E-3</v>
      </c>
      <c r="AW218" s="504">
        <f t="shared" ca="1" si="234"/>
        <v>5.2949813499594267E-3</v>
      </c>
      <c r="AX218" s="504">
        <f t="shared" ca="1" si="234"/>
        <v>5.2949813499594267E-3</v>
      </c>
      <c r="AY218" s="504">
        <f t="shared" ca="1" si="234"/>
        <v>5.2949813499594267E-3</v>
      </c>
      <c r="AZ218" s="504">
        <f t="shared" ca="1" si="234"/>
        <v>5.2949813499594267E-3</v>
      </c>
      <c r="BA218" s="504">
        <f t="shared" ca="1" si="234"/>
        <v>5.2949813499594267E-3</v>
      </c>
      <c r="BB218" s="504">
        <f t="shared" ca="1" si="234"/>
        <v>5.2949813499594267E-3</v>
      </c>
      <c r="BC218" s="504">
        <f t="shared" ca="1" si="234"/>
        <v>5.2949813499594267E-3</v>
      </c>
      <c r="BD218" s="504">
        <f t="shared" ca="1" si="234"/>
        <v>5.2949813499594267E-3</v>
      </c>
      <c r="BE218" s="504">
        <f t="shared" ca="1" si="234"/>
        <v>0</v>
      </c>
      <c r="BF218" s="504">
        <f t="shared" ca="1" si="234"/>
        <v>0</v>
      </c>
      <c r="BG218" s="504">
        <f t="shared" ca="1" si="234"/>
        <v>0</v>
      </c>
      <c r="BH218" s="504">
        <f t="shared" ca="1" si="234"/>
        <v>0</v>
      </c>
      <c r="BI218" s="504">
        <f t="shared" ca="1" si="234"/>
        <v>0</v>
      </c>
      <c r="BJ218" s="504">
        <f t="shared" ca="1" si="234"/>
        <v>0</v>
      </c>
      <c r="BK218" s="504">
        <f t="shared" ca="1" si="234"/>
        <v>0</v>
      </c>
      <c r="BL218" s="504">
        <f t="shared" ca="1" si="234"/>
        <v>0</v>
      </c>
      <c r="BM218" s="504">
        <f t="shared" ca="1" si="234"/>
        <v>0</v>
      </c>
      <c r="BN218" s="504"/>
      <c r="BO218" s="504"/>
      <c r="BP218" s="504">
        <f ca="1">IFERROR(BP215/BP200-1,0)</f>
        <v>1.0496624719890546E-2</v>
      </c>
      <c r="BS218" s="84" t="s">
        <v>234</v>
      </c>
      <c r="BT218" s="51" t="s">
        <v>17</v>
      </c>
    </row>
    <row r="219" spans="1:72" x14ac:dyDescent="0.25">
      <c r="B219" s="243" t="str">
        <f t="shared" si="230"/>
        <v>Small C&amp;I</v>
      </c>
      <c r="C219" s="243" t="str">
        <f t="shared" si="230"/>
        <v>Rates</v>
      </c>
      <c r="D219" s="85"/>
      <c r="E219" s="84" t="s">
        <v>17</v>
      </c>
      <c r="F219" s="84"/>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S219" s="84"/>
      <c r="BT219" s="51" t="s">
        <v>17</v>
      </c>
    </row>
    <row r="220" spans="1:72" s="5" customFormat="1" ht="15.75" x14ac:dyDescent="0.25">
      <c r="A220" s="52"/>
      <c r="B220" s="241" t="str">
        <f t="shared" si="230"/>
        <v>Small C&amp;I</v>
      </c>
      <c r="C220" s="63" t="s">
        <v>51</v>
      </c>
      <c r="D220" s="61"/>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2"/>
      <c r="BO220" s="62"/>
      <c r="BP220" s="62"/>
      <c r="BS220" s="62"/>
      <c r="BT220" s="51" t="s">
        <v>17</v>
      </c>
    </row>
    <row r="221" spans="1:72" x14ac:dyDescent="0.25">
      <c r="B221" s="243" t="str">
        <f t="shared" si="230"/>
        <v>Small C&amp;I</v>
      </c>
      <c r="C221" s="243" t="str">
        <f>C220</f>
        <v>Bills</v>
      </c>
      <c r="D221" s="114" t="str">
        <f>"Bills before DSM ("&amp;Lookups!$D$22&amp;" Scenario, Non-Participant)"</f>
        <v>Bills before DSM (No EE Scenario, Non-Participant)</v>
      </c>
      <c r="E221" s="86"/>
      <c r="F221" s="84"/>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S221" s="84"/>
      <c r="BT221" s="51" t="s">
        <v>17</v>
      </c>
    </row>
    <row r="222" spans="1:72" x14ac:dyDescent="0.25">
      <c r="B222" s="243" t="str">
        <f t="shared" si="230"/>
        <v>Small C&amp;I</v>
      </c>
      <c r="C222" s="243" t="str">
        <f t="shared" si="230"/>
        <v>Bills</v>
      </c>
      <c r="D222" s="244" t="str">
        <f>D221</f>
        <v>Bills before DSM (No EE Scenario, Non-Participant)</v>
      </c>
      <c r="E222" s="86" t="s">
        <v>75</v>
      </c>
      <c r="F222" s="84" t="s">
        <v>31</v>
      </c>
      <c r="G222" s="659">
        <f>IF(G$8=0,0,INDEX('R&amp;B Inputs'!$H$45:$U$45,MATCH($B222,'R&amp;B Inputs'!$H$4:$U$4,0))*(1+INDEX('R&amp;B Inputs'!$H$46:$U$46,MATCH($B222,'R&amp;B Inputs'!$H$4:$U$4,0)))^(G$7-Year1)*12)</f>
        <v>0</v>
      </c>
      <c r="H222" s="659">
        <f>IF(H$8=0,0,INDEX('R&amp;B Inputs'!$H$45:$U$45,MATCH($B222,'R&amp;B Inputs'!$H$4:$U$4,0))*(1+INDEX('R&amp;B Inputs'!$H$46:$U$46,MATCH($B222,'R&amp;B Inputs'!$H$4:$U$4,0)))^(H$7-Year1)*12)</f>
        <v>0</v>
      </c>
      <c r="I222" s="659">
        <f>IF(I$8=0,0,INDEX('R&amp;B Inputs'!$H$45:$U$45,MATCH($B222,'R&amp;B Inputs'!$H$4:$U$4,0))*(1+INDEX('R&amp;B Inputs'!$H$46:$U$46,MATCH($B222,'R&amp;B Inputs'!$H$4:$U$4,0)))^(I$7-Year1)*12)</f>
        <v>676.31999999999994</v>
      </c>
      <c r="J222" s="659">
        <f>IF(J$8=0,0,INDEX('R&amp;B Inputs'!$H$45:$U$45,MATCH($B222,'R&amp;B Inputs'!$H$4:$U$4,0))*(1+INDEX('R&amp;B Inputs'!$H$46:$U$46,MATCH($B222,'R&amp;B Inputs'!$H$4:$U$4,0)))^(J$7-Year1)*12)</f>
        <v>676.31999999999994</v>
      </c>
      <c r="K222" s="659">
        <f>IF(K$8=0,0,INDEX('R&amp;B Inputs'!$H$45:$U$45,MATCH($B222,'R&amp;B Inputs'!$H$4:$U$4,0))*(1+INDEX('R&amp;B Inputs'!$H$46:$U$46,MATCH($B222,'R&amp;B Inputs'!$H$4:$U$4,0)))^(K$7-Year1)*12)</f>
        <v>676.31999999999994</v>
      </c>
      <c r="L222" s="659">
        <f>IF(L$8=0,0,INDEX('R&amp;B Inputs'!$H$45:$U$45,MATCH($B222,'R&amp;B Inputs'!$H$4:$U$4,0))*(1+INDEX('R&amp;B Inputs'!$H$46:$U$46,MATCH($B222,'R&amp;B Inputs'!$H$4:$U$4,0)))^(L$7-Year1)*12)</f>
        <v>676.31999999999994</v>
      </c>
      <c r="M222" s="659">
        <f>IF(M$8=0,0,INDEX('R&amp;B Inputs'!$H$45:$U$45,MATCH($B222,'R&amp;B Inputs'!$H$4:$U$4,0))*(1+INDEX('R&amp;B Inputs'!$H$46:$U$46,MATCH($B222,'R&amp;B Inputs'!$H$4:$U$4,0)))^(M$7-Year1)*12)</f>
        <v>676.31999999999994</v>
      </c>
      <c r="N222" s="659">
        <f>IF(N$8=0,0,INDEX('R&amp;B Inputs'!$H$45:$U$45,MATCH($B222,'R&amp;B Inputs'!$H$4:$U$4,0))*(1+INDEX('R&amp;B Inputs'!$H$46:$U$46,MATCH($B222,'R&amp;B Inputs'!$H$4:$U$4,0)))^(N$7-Year1)*12)</f>
        <v>676.31999999999994</v>
      </c>
      <c r="O222" s="659">
        <f>IF(O$8=0,0,INDEX('R&amp;B Inputs'!$H$45:$U$45,MATCH($B222,'R&amp;B Inputs'!$H$4:$U$4,0))*(1+INDEX('R&amp;B Inputs'!$H$46:$U$46,MATCH($B222,'R&amp;B Inputs'!$H$4:$U$4,0)))^(O$7-Year1)*12)</f>
        <v>676.31999999999994</v>
      </c>
      <c r="P222" s="659">
        <f>IF(P$8=0,0,INDEX('R&amp;B Inputs'!$H$45:$U$45,MATCH($B222,'R&amp;B Inputs'!$H$4:$U$4,0))*(1+INDEX('R&amp;B Inputs'!$H$46:$U$46,MATCH($B222,'R&amp;B Inputs'!$H$4:$U$4,0)))^(P$7-Year1)*12)</f>
        <v>676.31999999999994</v>
      </c>
      <c r="Q222" s="659">
        <f>IF(Q$8=0,0,INDEX('R&amp;B Inputs'!$H$45:$U$45,MATCH($B222,'R&amp;B Inputs'!$H$4:$U$4,0))*(1+INDEX('R&amp;B Inputs'!$H$46:$U$46,MATCH($B222,'R&amp;B Inputs'!$H$4:$U$4,0)))^(Q$7-Year1)*12)</f>
        <v>676.31999999999994</v>
      </c>
      <c r="R222" s="659">
        <f>IF(R$8=0,0,INDEX('R&amp;B Inputs'!$H$45:$U$45,MATCH($B222,'R&amp;B Inputs'!$H$4:$U$4,0))*(1+INDEX('R&amp;B Inputs'!$H$46:$U$46,MATCH($B222,'R&amp;B Inputs'!$H$4:$U$4,0)))^(R$7-Year1)*12)</f>
        <v>676.31999999999994</v>
      </c>
      <c r="S222" s="659">
        <f>IF(S$8=0,0,INDEX('R&amp;B Inputs'!$H$45:$U$45,MATCH($B222,'R&amp;B Inputs'!$H$4:$U$4,0))*(1+INDEX('R&amp;B Inputs'!$H$46:$U$46,MATCH($B222,'R&amp;B Inputs'!$H$4:$U$4,0)))^(S$7-Year1)*12)</f>
        <v>676.31999999999994</v>
      </c>
      <c r="T222" s="659">
        <f>IF(T$8=0,0,INDEX('R&amp;B Inputs'!$H$45:$U$45,MATCH($B222,'R&amp;B Inputs'!$H$4:$U$4,0))*(1+INDEX('R&amp;B Inputs'!$H$46:$U$46,MATCH($B222,'R&amp;B Inputs'!$H$4:$U$4,0)))^(T$7-Year1)*12)</f>
        <v>676.31999999999994</v>
      </c>
      <c r="U222" s="659">
        <f>IF(U$8=0,0,INDEX('R&amp;B Inputs'!$H$45:$U$45,MATCH($B222,'R&amp;B Inputs'!$H$4:$U$4,0))*(1+INDEX('R&amp;B Inputs'!$H$46:$U$46,MATCH($B222,'R&amp;B Inputs'!$H$4:$U$4,0)))^(U$7-Year1)*12)</f>
        <v>676.31999999999994</v>
      </c>
      <c r="V222" s="659">
        <f>IF(V$8=0,0,INDEX('R&amp;B Inputs'!$H$45:$U$45,MATCH($B222,'R&amp;B Inputs'!$H$4:$U$4,0))*(1+INDEX('R&amp;B Inputs'!$H$46:$U$46,MATCH($B222,'R&amp;B Inputs'!$H$4:$U$4,0)))^(V$7-Year1)*12)</f>
        <v>676.31999999999994</v>
      </c>
      <c r="W222" s="659">
        <f>IF(W$8=0,0,INDEX('R&amp;B Inputs'!$H$45:$U$45,MATCH($B222,'R&amp;B Inputs'!$H$4:$U$4,0))*(1+INDEX('R&amp;B Inputs'!$H$46:$U$46,MATCH($B222,'R&amp;B Inputs'!$H$4:$U$4,0)))^(W$7-Year1)*12)</f>
        <v>676.31999999999994</v>
      </c>
      <c r="X222" s="659">
        <f>IF(X$8=0,0,INDEX('R&amp;B Inputs'!$H$45:$U$45,MATCH($B222,'R&amp;B Inputs'!$H$4:$U$4,0))*(1+INDEX('R&amp;B Inputs'!$H$46:$U$46,MATCH($B222,'R&amp;B Inputs'!$H$4:$U$4,0)))^(X$7-Year1)*12)</f>
        <v>676.31999999999994</v>
      </c>
      <c r="Y222" s="659">
        <f>IF(Y$8=0,0,INDEX('R&amp;B Inputs'!$H$45:$U$45,MATCH($B222,'R&amp;B Inputs'!$H$4:$U$4,0))*(1+INDEX('R&amp;B Inputs'!$H$46:$U$46,MATCH($B222,'R&amp;B Inputs'!$H$4:$U$4,0)))^(Y$7-Year1)*12)</f>
        <v>676.31999999999994</v>
      </c>
      <c r="Z222" s="659">
        <f>IF(Z$8=0,0,INDEX('R&amp;B Inputs'!$H$45:$U$45,MATCH($B222,'R&amp;B Inputs'!$H$4:$U$4,0))*(1+INDEX('R&amp;B Inputs'!$H$46:$U$46,MATCH($B222,'R&amp;B Inputs'!$H$4:$U$4,0)))^(Z$7-Year1)*12)</f>
        <v>676.31999999999994</v>
      </c>
      <c r="AA222" s="659">
        <f>IF(AA$8=0,0,INDEX('R&amp;B Inputs'!$H$45:$U$45,MATCH($B222,'R&amp;B Inputs'!$H$4:$U$4,0))*(1+INDEX('R&amp;B Inputs'!$H$46:$U$46,MATCH($B222,'R&amp;B Inputs'!$H$4:$U$4,0)))^(AA$7-Year1)*12)</f>
        <v>676.31999999999994</v>
      </c>
      <c r="AB222" s="659">
        <f>IF(AB$8=0,0,INDEX('R&amp;B Inputs'!$H$45:$U$45,MATCH($B222,'R&amp;B Inputs'!$H$4:$U$4,0))*(1+INDEX('R&amp;B Inputs'!$H$46:$U$46,MATCH($B222,'R&amp;B Inputs'!$H$4:$U$4,0)))^(AB$7-Year1)*12)</f>
        <v>676.31999999999994</v>
      </c>
      <c r="AC222" s="659">
        <f>IF(AC$8=0,0,INDEX('R&amp;B Inputs'!$H$45:$U$45,MATCH($B222,'R&amp;B Inputs'!$H$4:$U$4,0))*(1+INDEX('R&amp;B Inputs'!$H$46:$U$46,MATCH($B222,'R&amp;B Inputs'!$H$4:$U$4,0)))^(AC$7-Year1)*12)</f>
        <v>676.31999999999994</v>
      </c>
      <c r="AD222" s="659">
        <f>IF(AD$8=0,0,INDEX('R&amp;B Inputs'!$H$45:$U$45,MATCH($B222,'R&amp;B Inputs'!$H$4:$U$4,0))*(1+INDEX('R&amp;B Inputs'!$H$46:$U$46,MATCH($B222,'R&amp;B Inputs'!$H$4:$U$4,0)))^(AD$7-Year1)*12)</f>
        <v>676.31999999999994</v>
      </c>
      <c r="AE222" s="659">
        <f>IF(AE$8=0,0,INDEX('R&amp;B Inputs'!$H$45:$U$45,MATCH($B222,'R&amp;B Inputs'!$H$4:$U$4,0))*(1+INDEX('R&amp;B Inputs'!$H$46:$U$46,MATCH($B222,'R&amp;B Inputs'!$H$4:$U$4,0)))^(AE$7-Year1)*12)</f>
        <v>676.31999999999994</v>
      </c>
      <c r="AF222" s="659">
        <f>IF(AF$8=0,0,INDEX('R&amp;B Inputs'!$H$45:$U$45,MATCH($B222,'R&amp;B Inputs'!$H$4:$U$4,0))*(1+INDEX('R&amp;B Inputs'!$H$46:$U$46,MATCH($B222,'R&amp;B Inputs'!$H$4:$U$4,0)))^(AF$7-Year1)*12)</f>
        <v>676.31999999999994</v>
      </c>
      <c r="AG222" s="659">
        <f>IF(AG$8=0,0,INDEX('R&amp;B Inputs'!$H$45:$U$45,MATCH($B222,'R&amp;B Inputs'!$H$4:$U$4,0))*(1+INDEX('R&amp;B Inputs'!$H$46:$U$46,MATCH($B222,'R&amp;B Inputs'!$H$4:$U$4,0)))^(AG$7-Year1)*12)</f>
        <v>676.31999999999994</v>
      </c>
      <c r="AH222" s="49"/>
      <c r="AI222" s="49"/>
      <c r="AJ222" s="103">
        <f>IF($C$4=Year1,-PMT(Lookups!$E$17,25,NPV(Lookups!$E$17,G222:AE222),0,1),IF($C$4=Year2,-PMT(Lookups!$F$17,25,NPV(Lookups!$F$17,H222:AF222),0,1),IF($C$4=Year3,-PMT(Lookups!$G$17,25,NPV(Lookups!$G$17,I222:AG222),0,1),-PMT(Lookups!$G$17,27,NPV(Lookups!$G$17,G222:AG222),0,1))))</f>
        <v>666.88754673123469</v>
      </c>
      <c r="AM222" s="705">
        <f>IF(AM$8=0,0,INDEX('R&amp;B Inputs'!$H$45:$U$45,MATCH($B222,'R&amp;B Inputs'!$H$4:$U$4,0))*(1+INDEX('R&amp;B Inputs'!$H$46:$U$46,MATCH($B222,'R&amp;B Inputs'!$H$4:$U$4,0)))^(AM$7-Year1)*12)</f>
        <v>0</v>
      </c>
      <c r="AN222" s="705">
        <f>IF(AN$8=0,0,INDEX('R&amp;B Inputs'!$H$45:$U$45,MATCH($B222,'R&amp;B Inputs'!$H$4:$U$4,0))*(1+INDEX('R&amp;B Inputs'!$H$46:$U$46,MATCH($B222,'R&amp;B Inputs'!$H$4:$U$4,0)))^(AN$7-Year1)*12)</f>
        <v>0</v>
      </c>
      <c r="AO222" s="705">
        <f>IF(AO$8=0,0,INDEX('R&amp;B Inputs'!$H$45:$U$45,MATCH($B222,'R&amp;B Inputs'!$H$4:$U$4,0))*(1+INDEX('R&amp;B Inputs'!$H$46:$U$46,MATCH($B222,'R&amp;B Inputs'!$H$4:$U$4,0)))^(AO$7-Year1)*12)</f>
        <v>676.31999999999994</v>
      </c>
      <c r="AP222" s="705">
        <f>IF(AP$8=0,0,INDEX('R&amp;B Inputs'!$H$45:$U$45,MATCH($B222,'R&amp;B Inputs'!$H$4:$U$4,0))*(1+INDEX('R&amp;B Inputs'!$H$46:$U$46,MATCH($B222,'R&amp;B Inputs'!$H$4:$U$4,0)))^(AP$7-Year1)*12)</f>
        <v>676.31999999999994</v>
      </c>
      <c r="AQ222" s="705">
        <f>IF(AQ$8=0,0,INDEX('R&amp;B Inputs'!$H$45:$U$45,MATCH($B222,'R&amp;B Inputs'!$H$4:$U$4,0))*(1+INDEX('R&amp;B Inputs'!$H$46:$U$46,MATCH($B222,'R&amp;B Inputs'!$H$4:$U$4,0)))^(AQ$7-Year1)*12)</f>
        <v>676.31999999999994</v>
      </c>
      <c r="AR222" s="705">
        <f>IF(AR$8=0,0,INDEX('R&amp;B Inputs'!$H$45:$U$45,MATCH($B222,'R&amp;B Inputs'!$H$4:$U$4,0))*(1+INDEX('R&amp;B Inputs'!$H$46:$U$46,MATCH($B222,'R&amp;B Inputs'!$H$4:$U$4,0)))^(AR$7-Year1)*12)</f>
        <v>676.31999999999994</v>
      </c>
      <c r="AS222" s="705">
        <f>IF(AS$8=0,0,INDEX('R&amp;B Inputs'!$H$45:$U$45,MATCH($B222,'R&amp;B Inputs'!$H$4:$U$4,0))*(1+INDEX('R&amp;B Inputs'!$H$46:$U$46,MATCH($B222,'R&amp;B Inputs'!$H$4:$U$4,0)))^(AS$7-Year1)*12)</f>
        <v>676.31999999999994</v>
      </c>
      <c r="AT222" s="705">
        <f>IF(AT$8=0,0,INDEX('R&amp;B Inputs'!$H$45:$U$45,MATCH($B222,'R&amp;B Inputs'!$H$4:$U$4,0))*(1+INDEX('R&amp;B Inputs'!$H$46:$U$46,MATCH($B222,'R&amp;B Inputs'!$H$4:$U$4,0)))^(AT$7-Year1)*12)</f>
        <v>676.31999999999994</v>
      </c>
      <c r="AU222" s="705">
        <f>IF(AU$8=0,0,INDEX('R&amp;B Inputs'!$H$45:$U$45,MATCH($B222,'R&amp;B Inputs'!$H$4:$U$4,0))*(1+INDEX('R&amp;B Inputs'!$H$46:$U$46,MATCH($B222,'R&amp;B Inputs'!$H$4:$U$4,0)))^(AU$7-Year1)*12)</f>
        <v>676.31999999999994</v>
      </c>
      <c r="AV222" s="705">
        <f>IF(AV$8=0,0,INDEX('R&amp;B Inputs'!$H$45:$U$45,MATCH($B222,'R&amp;B Inputs'!$H$4:$U$4,0))*(1+INDEX('R&amp;B Inputs'!$H$46:$U$46,MATCH($B222,'R&amp;B Inputs'!$H$4:$U$4,0)))^(AV$7-Year1)*12)</f>
        <v>676.31999999999994</v>
      </c>
      <c r="AW222" s="705">
        <f>IF(AW$8=0,0,INDEX('R&amp;B Inputs'!$H$45:$U$45,MATCH($B222,'R&amp;B Inputs'!$H$4:$U$4,0))*(1+INDEX('R&amp;B Inputs'!$H$46:$U$46,MATCH($B222,'R&amp;B Inputs'!$H$4:$U$4,0)))^(AW$7-Year1)*12)</f>
        <v>676.31999999999994</v>
      </c>
      <c r="AX222" s="705">
        <f>IF(AX$8=0,0,INDEX('R&amp;B Inputs'!$H$45:$U$45,MATCH($B222,'R&amp;B Inputs'!$H$4:$U$4,0))*(1+INDEX('R&amp;B Inputs'!$H$46:$U$46,MATCH($B222,'R&amp;B Inputs'!$H$4:$U$4,0)))^(AX$7-Year1)*12)</f>
        <v>676.31999999999994</v>
      </c>
      <c r="AY222" s="705">
        <f>IF(AY$8=0,0,INDEX('R&amp;B Inputs'!$H$45:$U$45,MATCH($B222,'R&amp;B Inputs'!$H$4:$U$4,0))*(1+INDEX('R&amp;B Inputs'!$H$46:$U$46,MATCH($B222,'R&amp;B Inputs'!$H$4:$U$4,0)))^(AY$7-Year1)*12)</f>
        <v>676.31999999999994</v>
      </c>
      <c r="AZ222" s="705">
        <f>IF(AZ$8=0,0,INDEX('R&amp;B Inputs'!$H$45:$U$45,MATCH($B222,'R&amp;B Inputs'!$H$4:$U$4,0))*(1+INDEX('R&amp;B Inputs'!$H$46:$U$46,MATCH($B222,'R&amp;B Inputs'!$H$4:$U$4,0)))^(AZ$7-Year1)*12)</f>
        <v>676.31999999999994</v>
      </c>
      <c r="BA222" s="705">
        <f>IF(BA$8=0,0,INDEX('R&amp;B Inputs'!$H$45:$U$45,MATCH($B222,'R&amp;B Inputs'!$H$4:$U$4,0))*(1+INDEX('R&amp;B Inputs'!$H$46:$U$46,MATCH($B222,'R&amp;B Inputs'!$H$4:$U$4,0)))^(BA$7-Year1)*12)</f>
        <v>676.31999999999994</v>
      </c>
      <c r="BB222" s="705">
        <f>IF(BB$8=0,0,INDEX('R&amp;B Inputs'!$H$45:$U$45,MATCH($B222,'R&amp;B Inputs'!$H$4:$U$4,0))*(1+INDEX('R&amp;B Inputs'!$H$46:$U$46,MATCH($B222,'R&amp;B Inputs'!$H$4:$U$4,0)))^(BB$7-Year1)*12)</f>
        <v>676.31999999999994</v>
      </c>
      <c r="BC222" s="705">
        <f>IF(BC$8=0,0,INDEX('R&amp;B Inputs'!$H$45:$U$45,MATCH($B222,'R&amp;B Inputs'!$H$4:$U$4,0))*(1+INDEX('R&amp;B Inputs'!$H$46:$U$46,MATCH($B222,'R&amp;B Inputs'!$H$4:$U$4,0)))^(BC$7-Year1)*12)</f>
        <v>676.31999999999994</v>
      </c>
      <c r="BD222" s="705">
        <f>IF(BD$8=0,0,INDEX('R&amp;B Inputs'!$H$45:$U$45,MATCH($B222,'R&amp;B Inputs'!$H$4:$U$4,0))*(1+INDEX('R&amp;B Inputs'!$H$46:$U$46,MATCH($B222,'R&amp;B Inputs'!$H$4:$U$4,0)))^(BD$7-Year1)*12)</f>
        <v>676.31999999999994</v>
      </c>
      <c r="BE222" s="705">
        <f>IF(BE$8=0,0,INDEX('R&amp;B Inputs'!$H$45:$U$45,MATCH($B222,'R&amp;B Inputs'!$H$4:$U$4,0))*(1+INDEX('R&amp;B Inputs'!$H$46:$U$46,MATCH($B222,'R&amp;B Inputs'!$H$4:$U$4,0)))^(BE$7-Year1)*12)</f>
        <v>676.31999999999994</v>
      </c>
      <c r="BF222" s="705">
        <f>IF(BF$8=0,0,INDEX('R&amp;B Inputs'!$H$45:$U$45,MATCH($B222,'R&amp;B Inputs'!$H$4:$U$4,0))*(1+INDEX('R&amp;B Inputs'!$H$46:$U$46,MATCH($B222,'R&amp;B Inputs'!$H$4:$U$4,0)))^(BF$7-Year1)*12)</f>
        <v>676.31999999999994</v>
      </c>
      <c r="BG222" s="705">
        <f>IF(BG$8=0,0,INDEX('R&amp;B Inputs'!$H$45:$U$45,MATCH($B222,'R&amp;B Inputs'!$H$4:$U$4,0))*(1+INDEX('R&amp;B Inputs'!$H$46:$U$46,MATCH($B222,'R&amp;B Inputs'!$H$4:$U$4,0)))^(BG$7-Year1)*12)</f>
        <v>676.31999999999994</v>
      </c>
      <c r="BH222" s="705">
        <f>IF(BH$8=0,0,INDEX('R&amp;B Inputs'!$H$45:$U$45,MATCH($B222,'R&amp;B Inputs'!$H$4:$U$4,0))*(1+INDEX('R&amp;B Inputs'!$H$46:$U$46,MATCH($B222,'R&amp;B Inputs'!$H$4:$U$4,0)))^(BH$7-Year1)*12)</f>
        <v>676.31999999999994</v>
      </c>
      <c r="BI222" s="705">
        <f>IF(BI$8=0,0,INDEX('R&amp;B Inputs'!$H$45:$U$45,MATCH($B222,'R&amp;B Inputs'!$H$4:$U$4,0))*(1+INDEX('R&amp;B Inputs'!$H$46:$U$46,MATCH($B222,'R&amp;B Inputs'!$H$4:$U$4,0)))^(BI$7-Year1)*12)</f>
        <v>676.31999999999994</v>
      </c>
      <c r="BJ222" s="705">
        <f>IF(BJ$8=0,0,INDEX('R&amp;B Inputs'!$H$45:$U$45,MATCH($B222,'R&amp;B Inputs'!$H$4:$U$4,0))*(1+INDEX('R&amp;B Inputs'!$H$46:$U$46,MATCH($B222,'R&amp;B Inputs'!$H$4:$U$4,0)))^(BJ$7-Year1)*12)</f>
        <v>676.31999999999994</v>
      </c>
      <c r="BK222" s="705">
        <f>IF(BK$8=0,0,INDEX('R&amp;B Inputs'!$H$45:$U$45,MATCH($B222,'R&amp;B Inputs'!$H$4:$U$4,0))*(1+INDEX('R&amp;B Inputs'!$H$46:$U$46,MATCH($B222,'R&amp;B Inputs'!$H$4:$U$4,0)))^(BK$7-Year1)*12)</f>
        <v>676.31999999999994</v>
      </c>
      <c r="BL222" s="705">
        <f>IF(BL$8=0,0,INDEX('R&amp;B Inputs'!$H$45:$U$45,MATCH($B222,'R&amp;B Inputs'!$H$4:$U$4,0))*(1+INDEX('R&amp;B Inputs'!$H$46:$U$46,MATCH($B222,'R&amp;B Inputs'!$H$4:$U$4,0)))^(BL$7-Year1)*12)</f>
        <v>676.31999999999994</v>
      </c>
      <c r="BM222" s="705">
        <f>IF(BM$8=0,0,INDEX('R&amp;B Inputs'!$H$45:$U$45,MATCH($B222,'R&amp;B Inputs'!$H$4:$U$4,0))*(1+INDEX('R&amp;B Inputs'!$H$46:$U$46,MATCH($B222,'R&amp;B Inputs'!$H$4:$U$4,0)))^(BM$7-Year1)*12)</f>
        <v>676.31999999999994</v>
      </c>
      <c r="BN222" s="74"/>
      <c r="BO222" s="74"/>
      <c r="BP222" s="149">
        <f>IF($C$4=Year1,-PMT(Lookups!$E$17,25,NPV(Lookups!$E$17,AM222:BK222),0,1),IF($C$4=Year2,-PMT(Lookups!$F$17,25,NPV(Lookups!$F$17,AN222:BL222),0,1),IF($C$4=Year3,-PMT(Lookups!$G$17,25,NPV(Lookups!$G$17,AO222:BM222),0,1),-PMT(Lookups!$G$17,27,NPV(Lookups!$G$17,AM222:BM222),0,1))))</f>
        <v>666.88754673123469</v>
      </c>
      <c r="BS222" s="84" t="str">
        <f t="shared" ref="BS222" si="235">E222&amp;" charge from the R&amp;B Inputs tab, escalated annually by the growth rate included on the R&amp;B Inputs tab."</f>
        <v>Customer Charge charge from the R&amp;B Inputs tab, escalated annually by the growth rate included on the R&amp;B Inputs tab.</v>
      </c>
      <c r="BT222" s="51" t="s">
        <v>17</v>
      </c>
    </row>
    <row r="223" spans="1:72" x14ac:dyDescent="0.25">
      <c r="B223" s="243" t="str">
        <f t="shared" si="230"/>
        <v>Small C&amp;I</v>
      </c>
      <c r="C223" s="243" t="str">
        <f t="shared" si="230"/>
        <v>Bills</v>
      </c>
      <c r="D223" s="244" t="str">
        <f>D222</f>
        <v>Bills before DSM (No EE Scenario, Non-Participant)</v>
      </c>
      <c r="E223" s="84" t="s">
        <v>309</v>
      </c>
      <c r="F223" s="84" t="s">
        <v>195</v>
      </c>
      <c r="G223" s="64">
        <f>IF(G$8=0,0,INDEX('R&amp;B Inputs'!$I$27:$V$27,MATCH($B223,'R&amp;B Inputs'!$I$4:$V$4,0))+INDEX('R&amp;B Inputs'!$I$28:$V$28,MATCH($B223,'R&amp;B Inputs'!$I$4:$V$4,0)))</f>
        <v>0</v>
      </c>
      <c r="H223" s="64">
        <f>IF(H$8=0,0,INDEX('R&amp;B Inputs'!$I$27:$V$27,MATCH($B223,'R&amp;B Inputs'!$I$4:$V$4,0))+INDEX('R&amp;B Inputs'!$I$28:$V$28,MATCH($B223,'R&amp;B Inputs'!$I$4:$V$4,0)))</f>
        <v>0</v>
      </c>
      <c r="I223" s="64">
        <f>IF(I$8=0,0,INDEX('R&amp;B Inputs'!$I$27:$V$27,MATCH($B223,'R&amp;B Inputs'!$I$4:$V$4,0))+INDEX('R&amp;B Inputs'!$I$28:$V$28,MATCH($B223,'R&amp;B Inputs'!$I$4:$V$4,0)))</f>
        <v>1953.9570000000001</v>
      </c>
      <c r="J223" s="64">
        <f>IF(J$8=0,0,INDEX('R&amp;B Inputs'!$I$27:$V$27,MATCH($B223,'R&amp;B Inputs'!$I$4:$V$4,0))+INDEX('R&amp;B Inputs'!$I$28:$V$28,MATCH($B223,'R&amp;B Inputs'!$I$4:$V$4,0)))</f>
        <v>1953.9570000000001</v>
      </c>
      <c r="K223" s="64">
        <f>IF(K$8=0,0,INDEX('R&amp;B Inputs'!$I$27:$V$27,MATCH($B223,'R&amp;B Inputs'!$I$4:$V$4,0))+INDEX('R&amp;B Inputs'!$I$28:$V$28,MATCH($B223,'R&amp;B Inputs'!$I$4:$V$4,0)))</f>
        <v>1953.9570000000001</v>
      </c>
      <c r="L223" s="64">
        <f>IF(L$8=0,0,INDEX('R&amp;B Inputs'!$I$27:$V$27,MATCH($B223,'R&amp;B Inputs'!$I$4:$V$4,0))+INDEX('R&amp;B Inputs'!$I$28:$V$28,MATCH($B223,'R&amp;B Inputs'!$I$4:$V$4,0)))</f>
        <v>1953.9570000000001</v>
      </c>
      <c r="M223" s="64">
        <f>IF(M$8=0,0,INDEX('R&amp;B Inputs'!$I$27:$V$27,MATCH($B223,'R&amp;B Inputs'!$I$4:$V$4,0))+INDEX('R&amp;B Inputs'!$I$28:$V$28,MATCH($B223,'R&amp;B Inputs'!$I$4:$V$4,0)))</f>
        <v>1953.9570000000001</v>
      </c>
      <c r="N223" s="64">
        <f>IF(N$8=0,0,INDEX('R&amp;B Inputs'!$I$27:$V$27,MATCH($B223,'R&amp;B Inputs'!$I$4:$V$4,0))+INDEX('R&amp;B Inputs'!$I$28:$V$28,MATCH($B223,'R&amp;B Inputs'!$I$4:$V$4,0)))</f>
        <v>1953.9570000000001</v>
      </c>
      <c r="O223" s="64">
        <f>IF(O$8=0,0,INDEX('R&amp;B Inputs'!$I$27:$V$27,MATCH($B223,'R&amp;B Inputs'!$I$4:$V$4,0))+INDEX('R&amp;B Inputs'!$I$28:$V$28,MATCH($B223,'R&amp;B Inputs'!$I$4:$V$4,0)))</f>
        <v>1953.9570000000001</v>
      </c>
      <c r="P223" s="64">
        <f>IF(P$8=0,0,INDEX('R&amp;B Inputs'!$I$27:$V$27,MATCH($B223,'R&amp;B Inputs'!$I$4:$V$4,0))+INDEX('R&amp;B Inputs'!$I$28:$V$28,MATCH($B223,'R&amp;B Inputs'!$I$4:$V$4,0)))</f>
        <v>1953.9570000000001</v>
      </c>
      <c r="Q223" s="64">
        <f>IF(Q$8=0,0,INDEX('R&amp;B Inputs'!$I$27:$V$27,MATCH($B223,'R&amp;B Inputs'!$I$4:$V$4,0))+INDEX('R&amp;B Inputs'!$I$28:$V$28,MATCH($B223,'R&amp;B Inputs'!$I$4:$V$4,0)))</f>
        <v>1953.9570000000001</v>
      </c>
      <c r="R223" s="64">
        <f>IF(R$8=0,0,INDEX('R&amp;B Inputs'!$I$27:$V$27,MATCH($B223,'R&amp;B Inputs'!$I$4:$V$4,0))+INDEX('R&amp;B Inputs'!$I$28:$V$28,MATCH($B223,'R&amp;B Inputs'!$I$4:$V$4,0)))</f>
        <v>1953.9570000000001</v>
      </c>
      <c r="S223" s="64">
        <f>IF(S$8=0,0,INDEX('R&amp;B Inputs'!$I$27:$V$27,MATCH($B223,'R&amp;B Inputs'!$I$4:$V$4,0))+INDEX('R&amp;B Inputs'!$I$28:$V$28,MATCH($B223,'R&amp;B Inputs'!$I$4:$V$4,0)))</f>
        <v>1953.9570000000001</v>
      </c>
      <c r="T223" s="64">
        <f>IF(T$8=0,0,INDEX('R&amp;B Inputs'!$I$27:$V$27,MATCH($B223,'R&amp;B Inputs'!$I$4:$V$4,0))+INDEX('R&amp;B Inputs'!$I$28:$V$28,MATCH($B223,'R&amp;B Inputs'!$I$4:$V$4,0)))</f>
        <v>1953.9570000000001</v>
      </c>
      <c r="U223" s="64">
        <f>IF(U$8=0,0,INDEX('R&amp;B Inputs'!$I$27:$V$27,MATCH($B223,'R&amp;B Inputs'!$I$4:$V$4,0))+INDEX('R&amp;B Inputs'!$I$28:$V$28,MATCH($B223,'R&amp;B Inputs'!$I$4:$V$4,0)))</f>
        <v>1953.9570000000001</v>
      </c>
      <c r="V223" s="64">
        <f>IF(V$8=0,0,INDEX('R&amp;B Inputs'!$I$27:$V$27,MATCH($B223,'R&amp;B Inputs'!$I$4:$V$4,0))+INDEX('R&amp;B Inputs'!$I$28:$V$28,MATCH($B223,'R&amp;B Inputs'!$I$4:$V$4,0)))</f>
        <v>1953.9570000000001</v>
      </c>
      <c r="W223" s="64">
        <f>IF(W$8=0,0,INDEX('R&amp;B Inputs'!$I$27:$V$27,MATCH($B223,'R&amp;B Inputs'!$I$4:$V$4,0))+INDEX('R&amp;B Inputs'!$I$28:$V$28,MATCH($B223,'R&amp;B Inputs'!$I$4:$V$4,0)))</f>
        <v>1953.9570000000001</v>
      </c>
      <c r="X223" s="64">
        <f>IF(X$8=0,0,INDEX('R&amp;B Inputs'!$I$27:$V$27,MATCH($B223,'R&amp;B Inputs'!$I$4:$V$4,0))+INDEX('R&amp;B Inputs'!$I$28:$V$28,MATCH($B223,'R&amp;B Inputs'!$I$4:$V$4,0)))</f>
        <v>1953.9570000000001</v>
      </c>
      <c r="Y223" s="64">
        <f>IF(Y$8=0,0,INDEX('R&amp;B Inputs'!$I$27:$V$27,MATCH($B223,'R&amp;B Inputs'!$I$4:$V$4,0))+INDEX('R&amp;B Inputs'!$I$28:$V$28,MATCH($B223,'R&amp;B Inputs'!$I$4:$V$4,0)))</f>
        <v>1953.9570000000001</v>
      </c>
      <c r="Z223" s="64">
        <f>IF(Z$8=0,0,INDEX('R&amp;B Inputs'!$I$27:$V$27,MATCH($B223,'R&amp;B Inputs'!$I$4:$V$4,0))+INDEX('R&amp;B Inputs'!$I$28:$V$28,MATCH($B223,'R&amp;B Inputs'!$I$4:$V$4,0)))</f>
        <v>1953.9570000000001</v>
      </c>
      <c r="AA223" s="64">
        <f>IF(AA$8=0,0,INDEX('R&amp;B Inputs'!$I$27:$V$27,MATCH($B223,'R&amp;B Inputs'!$I$4:$V$4,0))+INDEX('R&amp;B Inputs'!$I$28:$V$28,MATCH($B223,'R&amp;B Inputs'!$I$4:$V$4,0)))</f>
        <v>1953.9570000000001</v>
      </c>
      <c r="AB223" s="64">
        <f>IF(AB$8=0,0,INDEX('R&amp;B Inputs'!$I$27:$V$27,MATCH($B223,'R&amp;B Inputs'!$I$4:$V$4,0))+INDEX('R&amp;B Inputs'!$I$28:$V$28,MATCH($B223,'R&amp;B Inputs'!$I$4:$V$4,0)))</f>
        <v>1953.9570000000001</v>
      </c>
      <c r="AC223" s="64">
        <f>IF(AC$8=0,0,INDEX('R&amp;B Inputs'!$I$27:$V$27,MATCH($B223,'R&amp;B Inputs'!$I$4:$V$4,0))+INDEX('R&amp;B Inputs'!$I$28:$V$28,MATCH($B223,'R&amp;B Inputs'!$I$4:$V$4,0)))</f>
        <v>1953.9570000000001</v>
      </c>
      <c r="AD223" s="64">
        <f>IF(AD$8=0,0,INDEX('R&amp;B Inputs'!$I$27:$V$27,MATCH($B223,'R&amp;B Inputs'!$I$4:$V$4,0))+INDEX('R&amp;B Inputs'!$I$28:$V$28,MATCH($B223,'R&amp;B Inputs'!$I$4:$V$4,0)))</f>
        <v>1953.9570000000001</v>
      </c>
      <c r="AE223" s="64">
        <f>IF(AE$8=0,0,INDEX('R&amp;B Inputs'!$I$27:$V$27,MATCH($B223,'R&amp;B Inputs'!$I$4:$V$4,0))+INDEX('R&amp;B Inputs'!$I$28:$V$28,MATCH($B223,'R&amp;B Inputs'!$I$4:$V$4,0)))</f>
        <v>1953.9570000000001</v>
      </c>
      <c r="AF223" s="64">
        <f>IF(AF$8=0,0,INDEX('R&amp;B Inputs'!$I$27:$V$27,MATCH($B223,'R&amp;B Inputs'!$I$4:$V$4,0))+INDEX('R&amp;B Inputs'!$I$28:$V$28,MATCH($B223,'R&amp;B Inputs'!$I$4:$V$4,0)))</f>
        <v>1953.9570000000001</v>
      </c>
      <c r="AG223" s="64">
        <f>IF(AG$8=0,0,INDEX('R&amp;B Inputs'!$I$27:$V$27,MATCH($B223,'R&amp;B Inputs'!$I$4:$V$4,0))+INDEX('R&amp;B Inputs'!$I$28:$V$28,MATCH($B223,'R&amp;B Inputs'!$I$4:$V$4,0)))</f>
        <v>1953.9570000000001</v>
      </c>
      <c r="AH223" s="64"/>
      <c r="AI223" s="64"/>
      <c r="AJ223" s="103"/>
      <c r="AM223" s="71">
        <f>IF(AM$8=0,0,INDEX('R&amp;B Inputs'!$I$27:$V$27,MATCH($B223,'R&amp;B Inputs'!$I$4:$V$4,0))+INDEX('R&amp;B Inputs'!$I$28:$V$28,MATCH($B223,'R&amp;B Inputs'!$I$4:$V$4,0)))</f>
        <v>0</v>
      </c>
      <c r="AN223" s="71">
        <f>IF(AN$8=0,0,INDEX('R&amp;B Inputs'!$I$27:$V$27,MATCH($B223,'R&amp;B Inputs'!$I$4:$V$4,0))+INDEX('R&amp;B Inputs'!$I$28:$V$28,MATCH($B223,'R&amp;B Inputs'!$I$4:$V$4,0)))</f>
        <v>0</v>
      </c>
      <c r="AO223" s="71">
        <f>IF(AO$8=0,0,INDEX('R&amp;B Inputs'!$I$27:$V$27,MATCH($B223,'R&amp;B Inputs'!$I$4:$V$4,0))+INDEX('R&amp;B Inputs'!$I$28:$V$28,MATCH($B223,'R&amp;B Inputs'!$I$4:$V$4,0)))</f>
        <v>1953.9570000000001</v>
      </c>
      <c r="AP223" s="71">
        <f>IF(AP$8=0,0,INDEX('R&amp;B Inputs'!$I$27:$V$27,MATCH($B223,'R&amp;B Inputs'!$I$4:$V$4,0))+INDEX('R&amp;B Inputs'!$I$28:$V$28,MATCH($B223,'R&amp;B Inputs'!$I$4:$V$4,0)))</f>
        <v>1953.9570000000001</v>
      </c>
      <c r="AQ223" s="71">
        <f>IF(AQ$8=0,0,INDEX('R&amp;B Inputs'!$I$27:$V$27,MATCH($B223,'R&amp;B Inputs'!$I$4:$V$4,0))+INDEX('R&amp;B Inputs'!$I$28:$V$28,MATCH($B223,'R&amp;B Inputs'!$I$4:$V$4,0)))</f>
        <v>1953.9570000000001</v>
      </c>
      <c r="AR223" s="71">
        <f>IF(AR$8=0,0,INDEX('R&amp;B Inputs'!$I$27:$V$27,MATCH($B223,'R&amp;B Inputs'!$I$4:$V$4,0))+INDEX('R&amp;B Inputs'!$I$28:$V$28,MATCH($B223,'R&amp;B Inputs'!$I$4:$V$4,0)))</f>
        <v>1953.9570000000001</v>
      </c>
      <c r="AS223" s="71">
        <f>IF(AS$8=0,0,INDEX('R&amp;B Inputs'!$I$27:$V$27,MATCH($B223,'R&amp;B Inputs'!$I$4:$V$4,0))+INDEX('R&amp;B Inputs'!$I$28:$V$28,MATCH($B223,'R&amp;B Inputs'!$I$4:$V$4,0)))</f>
        <v>1953.9570000000001</v>
      </c>
      <c r="AT223" s="71">
        <f>IF(AT$8=0,0,INDEX('R&amp;B Inputs'!$I$27:$V$27,MATCH($B223,'R&amp;B Inputs'!$I$4:$V$4,0))+INDEX('R&amp;B Inputs'!$I$28:$V$28,MATCH($B223,'R&amp;B Inputs'!$I$4:$V$4,0)))</f>
        <v>1953.9570000000001</v>
      </c>
      <c r="AU223" s="71">
        <f>IF(AU$8=0,0,INDEX('R&amp;B Inputs'!$I$27:$V$27,MATCH($B223,'R&amp;B Inputs'!$I$4:$V$4,0))+INDEX('R&amp;B Inputs'!$I$28:$V$28,MATCH($B223,'R&amp;B Inputs'!$I$4:$V$4,0)))</f>
        <v>1953.9570000000001</v>
      </c>
      <c r="AV223" s="71">
        <f>IF(AV$8=0,0,INDEX('R&amp;B Inputs'!$I$27:$V$27,MATCH($B223,'R&amp;B Inputs'!$I$4:$V$4,0))+INDEX('R&amp;B Inputs'!$I$28:$V$28,MATCH($B223,'R&amp;B Inputs'!$I$4:$V$4,0)))</f>
        <v>1953.9570000000001</v>
      </c>
      <c r="AW223" s="71">
        <f>IF(AW$8=0,0,INDEX('R&amp;B Inputs'!$I$27:$V$27,MATCH($B223,'R&amp;B Inputs'!$I$4:$V$4,0))+INDEX('R&amp;B Inputs'!$I$28:$V$28,MATCH($B223,'R&amp;B Inputs'!$I$4:$V$4,0)))</f>
        <v>1953.9570000000001</v>
      </c>
      <c r="AX223" s="71">
        <f>IF(AX$8=0,0,INDEX('R&amp;B Inputs'!$I$27:$V$27,MATCH($B223,'R&amp;B Inputs'!$I$4:$V$4,0))+INDEX('R&amp;B Inputs'!$I$28:$V$28,MATCH($B223,'R&amp;B Inputs'!$I$4:$V$4,0)))</f>
        <v>1953.9570000000001</v>
      </c>
      <c r="AY223" s="71">
        <f>IF(AY$8=0,0,INDEX('R&amp;B Inputs'!$I$27:$V$27,MATCH($B223,'R&amp;B Inputs'!$I$4:$V$4,0))+INDEX('R&amp;B Inputs'!$I$28:$V$28,MATCH($B223,'R&amp;B Inputs'!$I$4:$V$4,0)))</f>
        <v>1953.9570000000001</v>
      </c>
      <c r="AZ223" s="71">
        <f>IF(AZ$8=0,0,INDEX('R&amp;B Inputs'!$I$27:$V$27,MATCH($B223,'R&amp;B Inputs'!$I$4:$V$4,0))+INDEX('R&amp;B Inputs'!$I$28:$V$28,MATCH($B223,'R&amp;B Inputs'!$I$4:$V$4,0)))</f>
        <v>1953.9570000000001</v>
      </c>
      <c r="BA223" s="71">
        <f>IF(BA$8=0,0,INDEX('R&amp;B Inputs'!$I$27:$V$27,MATCH($B223,'R&amp;B Inputs'!$I$4:$V$4,0))+INDEX('R&amp;B Inputs'!$I$28:$V$28,MATCH($B223,'R&amp;B Inputs'!$I$4:$V$4,0)))</f>
        <v>1953.9570000000001</v>
      </c>
      <c r="BB223" s="71">
        <f>IF(BB$8=0,0,INDEX('R&amp;B Inputs'!$I$27:$V$27,MATCH($B223,'R&amp;B Inputs'!$I$4:$V$4,0))+INDEX('R&amp;B Inputs'!$I$28:$V$28,MATCH($B223,'R&amp;B Inputs'!$I$4:$V$4,0)))</f>
        <v>1953.9570000000001</v>
      </c>
      <c r="BC223" s="71">
        <f>IF(BC$8=0,0,INDEX('R&amp;B Inputs'!$I$27:$V$27,MATCH($B223,'R&amp;B Inputs'!$I$4:$V$4,0))+INDEX('R&amp;B Inputs'!$I$28:$V$28,MATCH($B223,'R&amp;B Inputs'!$I$4:$V$4,0)))</f>
        <v>1953.9570000000001</v>
      </c>
      <c r="BD223" s="71">
        <f>IF(BD$8=0,0,INDEX('R&amp;B Inputs'!$I$27:$V$27,MATCH($B223,'R&amp;B Inputs'!$I$4:$V$4,0))+INDEX('R&amp;B Inputs'!$I$28:$V$28,MATCH($B223,'R&amp;B Inputs'!$I$4:$V$4,0)))</f>
        <v>1953.9570000000001</v>
      </c>
      <c r="BE223" s="71">
        <f>IF(BE$8=0,0,INDEX('R&amp;B Inputs'!$I$27:$V$27,MATCH($B223,'R&amp;B Inputs'!$I$4:$V$4,0))+INDEX('R&amp;B Inputs'!$I$28:$V$28,MATCH($B223,'R&amp;B Inputs'!$I$4:$V$4,0)))</f>
        <v>1953.9570000000001</v>
      </c>
      <c r="BF223" s="71">
        <f>IF(BF$8=0,0,INDEX('R&amp;B Inputs'!$I$27:$V$27,MATCH($B223,'R&amp;B Inputs'!$I$4:$V$4,0))+INDEX('R&amp;B Inputs'!$I$28:$V$28,MATCH($B223,'R&amp;B Inputs'!$I$4:$V$4,0)))</f>
        <v>1953.9570000000001</v>
      </c>
      <c r="BG223" s="71">
        <f>IF(BG$8=0,0,INDEX('R&amp;B Inputs'!$I$27:$V$27,MATCH($B223,'R&amp;B Inputs'!$I$4:$V$4,0))+INDEX('R&amp;B Inputs'!$I$28:$V$28,MATCH($B223,'R&amp;B Inputs'!$I$4:$V$4,0)))</f>
        <v>1953.9570000000001</v>
      </c>
      <c r="BH223" s="71">
        <f>IF(BH$8=0,0,INDEX('R&amp;B Inputs'!$I$27:$V$27,MATCH($B223,'R&amp;B Inputs'!$I$4:$V$4,0))+INDEX('R&amp;B Inputs'!$I$28:$V$28,MATCH($B223,'R&amp;B Inputs'!$I$4:$V$4,0)))</f>
        <v>1953.9570000000001</v>
      </c>
      <c r="BI223" s="71">
        <f>IF(BI$8=0,0,INDEX('R&amp;B Inputs'!$I$27:$V$27,MATCH($B223,'R&amp;B Inputs'!$I$4:$V$4,0))+INDEX('R&amp;B Inputs'!$I$28:$V$28,MATCH($B223,'R&amp;B Inputs'!$I$4:$V$4,0)))</f>
        <v>1953.9570000000001</v>
      </c>
      <c r="BJ223" s="71">
        <f>IF(BJ$8=0,0,INDEX('R&amp;B Inputs'!$I$27:$V$27,MATCH($B223,'R&amp;B Inputs'!$I$4:$V$4,0))+INDEX('R&amp;B Inputs'!$I$28:$V$28,MATCH($B223,'R&amp;B Inputs'!$I$4:$V$4,0)))</f>
        <v>1953.9570000000001</v>
      </c>
      <c r="BK223" s="71">
        <f>IF(BK$8=0,0,INDEX('R&amp;B Inputs'!$I$27:$V$27,MATCH($B223,'R&amp;B Inputs'!$I$4:$V$4,0))+INDEX('R&amp;B Inputs'!$I$28:$V$28,MATCH($B223,'R&amp;B Inputs'!$I$4:$V$4,0)))</f>
        <v>1953.9570000000001</v>
      </c>
      <c r="BL223" s="71">
        <f>IF(BL$8=0,0,INDEX('R&amp;B Inputs'!$I$27:$V$27,MATCH($B223,'R&amp;B Inputs'!$I$4:$V$4,0))+INDEX('R&amp;B Inputs'!$I$28:$V$28,MATCH($B223,'R&amp;B Inputs'!$I$4:$V$4,0)))</f>
        <v>1953.9570000000001</v>
      </c>
      <c r="BM223" s="71">
        <f>IF(BM$8=0,0,INDEX('R&amp;B Inputs'!$I$27:$V$27,MATCH($B223,'R&amp;B Inputs'!$I$4:$V$4,0))+INDEX('R&amp;B Inputs'!$I$28:$V$28,MATCH($B223,'R&amp;B Inputs'!$I$4:$V$4,0)))</f>
        <v>1953.9570000000001</v>
      </c>
      <c r="BN223" s="71"/>
      <c r="BO223" s="71"/>
      <c r="BP223" s="149"/>
      <c r="BS223" s="76" t="s">
        <v>96</v>
      </c>
      <c r="BT223" s="51" t="s">
        <v>17</v>
      </c>
    </row>
    <row r="224" spans="1:72" x14ac:dyDescent="0.25">
      <c r="B224" s="243" t="str">
        <f t="shared" si="230"/>
        <v>Small C&amp;I</v>
      </c>
      <c r="C224" s="243" t="str">
        <f t="shared" si="230"/>
        <v>Bills</v>
      </c>
      <c r="D224" s="244" t="str">
        <f>D223</f>
        <v>Bills before DSM (No EE Scenario, Non-Participant)</v>
      </c>
      <c r="E224" s="84" t="s">
        <v>77</v>
      </c>
      <c r="F224" s="84" t="s">
        <v>32</v>
      </c>
      <c r="G224" s="103">
        <f>G222+G223*(G200-G199)</f>
        <v>0</v>
      </c>
      <c r="H224" s="103">
        <f>H222+H223*(H200-H199)</f>
        <v>0</v>
      </c>
      <c r="I224" s="103">
        <f t="shared" ref="I224:AG224" si="236">I222+I223*(I200-I199)</f>
        <v>2662.1510455613457</v>
      </c>
      <c r="J224" s="103">
        <f t="shared" si="236"/>
        <v>2662.1510455613457</v>
      </c>
      <c r="K224" s="103">
        <f t="shared" si="236"/>
        <v>2662.1510455613457</v>
      </c>
      <c r="L224" s="103">
        <f t="shared" si="236"/>
        <v>2662.1510455613457</v>
      </c>
      <c r="M224" s="103">
        <f t="shared" si="236"/>
        <v>2662.1510455613457</v>
      </c>
      <c r="N224" s="103">
        <f t="shared" si="236"/>
        <v>2662.1510455613457</v>
      </c>
      <c r="O224" s="103">
        <f t="shared" si="236"/>
        <v>2662.1510455613457</v>
      </c>
      <c r="P224" s="103">
        <f t="shared" si="236"/>
        <v>2662.1510455613457</v>
      </c>
      <c r="Q224" s="103">
        <f t="shared" si="236"/>
        <v>2662.1510455613457</v>
      </c>
      <c r="R224" s="103">
        <f t="shared" si="236"/>
        <v>2662.1510455613457</v>
      </c>
      <c r="S224" s="103">
        <f t="shared" si="236"/>
        <v>2662.1510455613457</v>
      </c>
      <c r="T224" s="103">
        <f t="shared" si="236"/>
        <v>2662.1510455613457</v>
      </c>
      <c r="U224" s="103">
        <f t="shared" si="236"/>
        <v>2662.1510455613457</v>
      </c>
      <c r="V224" s="103">
        <f t="shared" si="236"/>
        <v>2662.1510455613457</v>
      </c>
      <c r="W224" s="103">
        <f t="shared" si="236"/>
        <v>2662.1510455613457</v>
      </c>
      <c r="X224" s="103">
        <f t="shared" si="236"/>
        <v>2662.1510455613457</v>
      </c>
      <c r="Y224" s="103">
        <f t="shared" si="236"/>
        <v>2662.1510455613457</v>
      </c>
      <c r="Z224" s="103">
        <f t="shared" si="236"/>
        <v>2662.1510455613457</v>
      </c>
      <c r="AA224" s="103">
        <f t="shared" si="236"/>
        <v>2662.1510455613457</v>
      </c>
      <c r="AB224" s="103">
        <f t="shared" si="236"/>
        <v>2662.1510455613457</v>
      </c>
      <c r="AC224" s="103">
        <f t="shared" si="236"/>
        <v>2662.1510455613457</v>
      </c>
      <c r="AD224" s="103">
        <f t="shared" si="236"/>
        <v>2662.1510455613457</v>
      </c>
      <c r="AE224" s="103">
        <f t="shared" si="236"/>
        <v>2662.1510455613457</v>
      </c>
      <c r="AF224" s="103">
        <f t="shared" si="236"/>
        <v>2662.1510455613457</v>
      </c>
      <c r="AG224" s="103">
        <f t="shared" si="236"/>
        <v>2662.1510455613457</v>
      </c>
      <c r="AH224" s="103"/>
      <c r="AI224" s="103"/>
      <c r="AJ224" s="103">
        <f>IF($C$4=Year1,-PMT(Lookups!$E$17,25,NPV(Lookups!$E$17,G224:AE224),0,1),IF($C$4=Year2,-PMT(Lookups!$F$17,25,NPV(Lookups!$F$17,H224:AF224),0,1),IF($C$4=Year3,-PMT(Lookups!$G$17,25,NPV(Lookups!$G$17,I224:AG224),0,1),-PMT(Lookups!$G$17,27,NPV(Lookups!$G$17,G224:AG224),0,1))))</f>
        <v>2625.0227404222824</v>
      </c>
      <c r="AM224" s="149">
        <f>AM222+AM223*(AM200-AM199)</f>
        <v>0</v>
      </c>
      <c r="AN224" s="149">
        <f t="shared" ref="AN224:BM224" si="237">AN222+AN223*(AN200-AN199)</f>
        <v>0</v>
      </c>
      <c r="AO224" s="149">
        <f t="shared" si="237"/>
        <v>2662.1510455613457</v>
      </c>
      <c r="AP224" s="149">
        <f t="shared" si="237"/>
        <v>2662.1510455613457</v>
      </c>
      <c r="AQ224" s="149">
        <f t="shared" si="237"/>
        <v>2662.1510455613457</v>
      </c>
      <c r="AR224" s="149">
        <f t="shared" si="237"/>
        <v>2662.1510455613457</v>
      </c>
      <c r="AS224" s="149">
        <f t="shared" si="237"/>
        <v>2662.1510455613457</v>
      </c>
      <c r="AT224" s="149">
        <f t="shared" si="237"/>
        <v>2662.1510455613457</v>
      </c>
      <c r="AU224" s="149">
        <f t="shared" si="237"/>
        <v>2662.1510455613457</v>
      </c>
      <c r="AV224" s="149">
        <f t="shared" si="237"/>
        <v>2662.1510455613457</v>
      </c>
      <c r="AW224" s="149">
        <f t="shared" si="237"/>
        <v>2662.1510455613457</v>
      </c>
      <c r="AX224" s="149">
        <f t="shared" si="237"/>
        <v>2662.1510455613457</v>
      </c>
      <c r="AY224" s="149">
        <f t="shared" si="237"/>
        <v>2662.1510455613457</v>
      </c>
      <c r="AZ224" s="149">
        <f t="shared" si="237"/>
        <v>2662.1510455613457</v>
      </c>
      <c r="BA224" s="149">
        <f t="shared" si="237"/>
        <v>2662.1510455613457</v>
      </c>
      <c r="BB224" s="149">
        <f t="shared" si="237"/>
        <v>2662.1510455613457</v>
      </c>
      <c r="BC224" s="149">
        <f t="shared" si="237"/>
        <v>2662.1510455613457</v>
      </c>
      <c r="BD224" s="149">
        <f t="shared" si="237"/>
        <v>2662.1510455613457</v>
      </c>
      <c r="BE224" s="149">
        <f t="shared" si="237"/>
        <v>2662.1510455613457</v>
      </c>
      <c r="BF224" s="149">
        <f t="shared" si="237"/>
        <v>2662.1510455613457</v>
      </c>
      <c r="BG224" s="149">
        <f t="shared" si="237"/>
        <v>2662.1510455613457</v>
      </c>
      <c r="BH224" s="149">
        <f t="shared" si="237"/>
        <v>2662.1510455613457</v>
      </c>
      <c r="BI224" s="149">
        <f t="shared" si="237"/>
        <v>2662.1510455613457</v>
      </c>
      <c r="BJ224" s="149">
        <f t="shared" si="237"/>
        <v>2662.1510455613457</v>
      </c>
      <c r="BK224" s="149">
        <f t="shared" si="237"/>
        <v>2662.1510455613457</v>
      </c>
      <c r="BL224" s="149">
        <f t="shared" si="237"/>
        <v>2662.1510455613457</v>
      </c>
      <c r="BM224" s="149">
        <f t="shared" si="237"/>
        <v>2662.1510455613457</v>
      </c>
      <c r="BN224" s="149"/>
      <c r="BO224" s="149"/>
      <c r="BP224" s="149">
        <f>IF($C$4=Year1,-PMT(Lookups!$E$17,25,NPV(Lookups!$E$17,AM224:BK224),0,1),IF($C$4=Year2,-PMT(Lookups!$F$17,25,NPV(Lookups!$F$17,AN224:BL224),0,1),IF($C$4=Year3,-PMT(Lookups!$G$17,25,NPV(Lookups!$G$17,AO224:BM224),0,1),-PMT(Lookups!$G$17,27,NPV(Lookups!$G$17,AM224:BM224),0,1))))</f>
        <v>2625.0227404222824</v>
      </c>
      <c r="BS224" s="84" t="s">
        <v>97</v>
      </c>
      <c r="BT224" s="51" t="s">
        <v>17</v>
      </c>
    </row>
    <row r="225" spans="1:72" x14ac:dyDescent="0.25">
      <c r="B225" s="243" t="str">
        <f t="shared" si="230"/>
        <v>Small C&amp;I</v>
      </c>
      <c r="C225" s="243" t="str">
        <f t="shared" si="230"/>
        <v>Bills</v>
      </c>
      <c r="D225" s="114" t="s">
        <v>347</v>
      </c>
      <c r="E225" s="84"/>
      <c r="F225" s="84"/>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S225" s="84"/>
      <c r="BT225" s="51" t="s">
        <v>17</v>
      </c>
    </row>
    <row r="226" spans="1:72" x14ac:dyDescent="0.25">
      <c r="B226" s="243" t="str">
        <f t="shared" si="230"/>
        <v>Small C&amp;I</v>
      </c>
      <c r="C226" s="243" t="str">
        <f t="shared" si="230"/>
        <v>Bills</v>
      </c>
      <c r="D226" s="244" t="str">
        <f>D225</f>
        <v>Annual Savings from DSM Scenario</v>
      </c>
      <c r="E226" s="84" t="s">
        <v>78</v>
      </c>
      <c r="F226" s="84" t="s">
        <v>195</v>
      </c>
      <c r="G226" s="65">
        <f t="shared" ref="G226:AG226" ca="1" si="238">IFERROR(G174/G169,0)</f>
        <v>0</v>
      </c>
      <c r="H226" s="65">
        <f t="shared" ca="1" si="238"/>
        <v>0</v>
      </c>
      <c r="I226" s="65">
        <f t="shared" ca="1" si="238"/>
        <v>42.147888006589049</v>
      </c>
      <c r="J226" s="65">
        <f t="shared" ca="1" si="238"/>
        <v>42.147888006589049</v>
      </c>
      <c r="K226" s="65">
        <f t="shared" ca="1" si="238"/>
        <v>42.147888006589049</v>
      </c>
      <c r="L226" s="65">
        <f t="shared" ca="1" si="238"/>
        <v>42.147888006589049</v>
      </c>
      <c r="M226" s="65">
        <f t="shared" ca="1" si="238"/>
        <v>42.147888006589049</v>
      </c>
      <c r="N226" s="65">
        <f t="shared" ca="1" si="238"/>
        <v>42.147888006589049</v>
      </c>
      <c r="O226" s="65">
        <f t="shared" ca="1" si="238"/>
        <v>42.147888006589049</v>
      </c>
      <c r="P226" s="65">
        <f t="shared" ca="1" si="238"/>
        <v>42.147888006589049</v>
      </c>
      <c r="Q226" s="65">
        <f t="shared" ca="1" si="238"/>
        <v>42.147888006589049</v>
      </c>
      <c r="R226" s="65">
        <f t="shared" ca="1" si="238"/>
        <v>42.147888006589049</v>
      </c>
      <c r="S226" s="65">
        <f t="shared" ca="1" si="238"/>
        <v>42.147888006589049</v>
      </c>
      <c r="T226" s="65">
        <f t="shared" ca="1" si="238"/>
        <v>42.147888006589049</v>
      </c>
      <c r="U226" s="65">
        <f t="shared" ca="1" si="238"/>
        <v>42.147888006589049</v>
      </c>
      <c r="V226" s="65">
        <f t="shared" ca="1" si="238"/>
        <v>42.147888006589049</v>
      </c>
      <c r="W226" s="65">
        <f t="shared" ca="1" si="238"/>
        <v>42.147888006589049</v>
      </c>
      <c r="X226" s="65">
        <f t="shared" ca="1" si="238"/>
        <v>42.147888006589049</v>
      </c>
      <c r="Y226" s="65">
        <f t="shared" ca="1" si="238"/>
        <v>0</v>
      </c>
      <c r="Z226" s="65">
        <f t="shared" ca="1" si="238"/>
        <v>0</v>
      </c>
      <c r="AA226" s="65">
        <f t="shared" ca="1" si="238"/>
        <v>0</v>
      </c>
      <c r="AB226" s="65">
        <f t="shared" ca="1" si="238"/>
        <v>0</v>
      </c>
      <c r="AC226" s="65">
        <f t="shared" ca="1" si="238"/>
        <v>0</v>
      </c>
      <c r="AD226" s="65">
        <f t="shared" ca="1" si="238"/>
        <v>0</v>
      </c>
      <c r="AE226" s="65">
        <f t="shared" ca="1" si="238"/>
        <v>0</v>
      </c>
      <c r="AF226" s="65">
        <f t="shared" ca="1" si="238"/>
        <v>0</v>
      </c>
      <c r="AG226" s="65">
        <f t="shared" ca="1" si="238"/>
        <v>0</v>
      </c>
      <c r="AH226" s="65"/>
      <c r="AI226" s="65"/>
      <c r="AJ226" s="65"/>
      <c r="AM226" s="645">
        <f ca="1">IFERROR(AM174/AM169,0)</f>
        <v>0</v>
      </c>
      <c r="AN226" s="645">
        <f t="shared" ref="AN226:BM226" ca="1" si="239">IFERROR(AN174/AN169,0)</f>
        <v>0</v>
      </c>
      <c r="AO226" s="645">
        <f t="shared" ca="1" si="239"/>
        <v>48.169014864673194</v>
      </c>
      <c r="AP226" s="645">
        <f t="shared" ca="1" si="239"/>
        <v>48.169014864673194</v>
      </c>
      <c r="AQ226" s="645">
        <f t="shared" ca="1" si="239"/>
        <v>48.169014864673194</v>
      </c>
      <c r="AR226" s="645">
        <f t="shared" ca="1" si="239"/>
        <v>48.169014864673194</v>
      </c>
      <c r="AS226" s="645">
        <f t="shared" ca="1" si="239"/>
        <v>48.169014864673194</v>
      </c>
      <c r="AT226" s="645">
        <f t="shared" ca="1" si="239"/>
        <v>48.169014864673194</v>
      </c>
      <c r="AU226" s="645">
        <f t="shared" ca="1" si="239"/>
        <v>48.169014864673194</v>
      </c>
      <c r="AV226" s="645">
        <f t="shared" ca="1" si="239"/>
        <v>48.169014864673194</v>
      </c>
      <c r="AW226" s="645">
        <f t="shared" ca="1" si="239"/>
        <v>48.169014864673194</v>
      </c>
      <c r="AX226" s="645">
        <f t="shared" ca="1" si="239"/>
        <v>48.169014864673194</v>
      </c>
      <c r="AY226" s="645">
        <f t="shared" ca="1" si="239"/>
        <v>48.169014864673194</v>
      </c>
      <c r="AZ226" s="645">
        <f t="shared" ca="1" si="239"/>
        <v>48.169014864673194</v>
      </c>
      <c r="BA226" s="645">
        <f t="shared" ca="1" si="239"/>
        <v>48.169014864673194</v>
      </c>
      <c r="BB226" s="645">
        <f t="shared" ca="1" si="239"/>
        <v>48.169014864673194</v>
      </c>
      <c r="BC226" s="645">
        <f t="shared" ca="1" si="239"/>
        <v>48.169014864673194</v>
      </c>
      <c r="BD226" s="645">
        <f t="shared" ca="1" si="239"/>
        <v>48.169014864673194</v>
      </c>
      <c r="BE226" s="645">
        <f t="shared" ca="1" si="239"/>
        <v>0</v>
      </c>
      <c r="BF226" s="645">
        <f t="shared" ca="1" si="239"/>
        <v>0</v>
      </c>
      <c r="BG226" s="645">
        <f t="shared" ca="1" si="239"/>
        <v>0</v>
      </c>
      <c r="BH226" s="645">
        <f t="shared" ca="1" si="239"/>
        <v>0</v>
      </c>
      <c r="BI226" s="645">
        <f t="shared" ca="1" si="239"/>
        <v>0</v>
      </c>
      <c r="BJ226" s="645">
        <f t="shared" ca="1" si="239"/>
        <v>0</v>
      </c>
      <c r="BK226" s="645">
        <f t="shared" ca="1" si="239"/>
        <v>0</v>
      </c>
      <c r="BL226" s="645">
        <f t="shared" ca="1" si="239"/>
        <v>0</v>
      </c>
      <c r="BM226" s="645">
        <f t="shared" ca="1" si="239"/>
        <v>0</v>
      </c>
      <c r="BN226" s="71"/>
      <c r="BO226" s="71"/>
      <c r="BP226" s="71"/>
      <c r="BS226" s="84" t="s">
        <v>104</v>
      </c>
      <c r="BT226" s="51" t="s">
        <v>17</v>
      </c>
    </row>
    <row r="227" spans="1:72" x14ac:dyDescent="0.25">
      <c r="A227" s="246"/>
      <c r="B227" s="243" t="str">
        <f t="shared" si="230"/>
        <v>Small C&amp;I</v>
      </c>
      <c r="C227" s="243" t="str">
        <f t="shared" si="230"/>
        <v>Bills</v>
      </c>
      <c r="D227" s="244" t="str">
        <f>D226</f>
        <v>Annual Savings from DSM Scenario</v>
      </c>
      <c r="E227" s="84" t="str">
        <f>'EE Inputs'!$N$15&amp;" Participant"</f>
        <v>Low Savings Participant</v>
      </c>
      <c r="F227" s="84" t="s">
        <v>195</v>
      </c>
      <c r="G227" s="64" cm="1">
        <f t="array" aca="1" ref="G227" ca="1">IF($C$4=Lookups!$D$40,INDIRECT("'Yr1'!"&amp;ADDRESS(ROW(G227),COLUMN(G227))),
IF(G170=0,0,SUMIFS('EE Inputs'!$S$9:$S$32,'EE Inputs'!$C$9:$C$32,$G$6,'EE Inputs'!$D$9:$D$32,$C$4,'EE Inputs'!$E$9:$E$32,$B227)))</f>
        <v>0</v>
      </c>
      <c r="H227" s="64" cm="1">
        <f t="array" aca="1" ref="H227" ca="1">IF($C$4=Lookups!$D$40,INDIRECT("'Yr1'!"&amp;ADDRESS(ROW(H227),COLUMN(H227))),
IF(H170=0,0,SUMIFS('EE Inputs'!$S$9:$S$32,'EE Inputs'!$C$9:$C$32,$G$6,'EE Inputs'!$D$9:$D$32,$C$4,'EE Inputs'!$E$9:$E$32,$B227)))</f>
        <v>0</v>
      </c>
      <c r="I227" s="64" cm="1">
        <f t="array" aca="1" ref="I227" ca="1">IF($C$4=Lookups!$D$40,INDIRECT("'Yr1'!"&amp;ADDRESS(ROW(I227),COLUMN(I227))),
IF(I170=0,0,SUMIFS('EE Inputs'!$S$9:$S$32,'EE Inputs'!$C$9:$C$32,$G$6,'EE Inputs'!$D$9:$D$32,$C$4,'EE Inputs'!$E$9:$E$32,$B227)))</f>
        <v>97.697850000000017</v>
      </c>
      <c r="J227" s="64" cm="1">
        <f t="array" aca="1" ref="J227" ca="1">IF($C$4=Lookups!$D$40,INDIRECT("'Yr1'!"&amp;ADDRESS(ROW(J227),COLUMN(J227))),
IF(J170=0,0,SUMIFS('EE Inputs'!$S$9:$S$32,'EE Inputs'!$C$9:$C$32,$G$6,'EE Inputs'!$D$9:$D$32,$C$4,'EE Inputs'!$E$9:$E$32,$B227)))</f>
        <v>97.697850000000017</v>
      </c>
      <c r="K227" s="64" cm="1">
        <f t="array" aca="1" ref="K227" ca="1">IF($C$4=Lookups!$D$40,INDIRECT("'Yr1'!"&amp;ADDRESS(ROW(K227),COLUMN(K227))),
IF(K170=0,0,SUMIFS('EE Inputs'!$S$9:$S$32,'EE Inputs'!$C$9:$C$32,$G$6,'EE Inputs'!$D$9:$D$32,$C$4,'EE Inputs'!$E$9:$E$32,$B227)))</f>
        <v>97.697850000000017</v>
      </c>
      <c r="L227" s="64" cm="1">
        <f t="array" aca="1" ref="L227" ca="1">IF($C$4=Lookups!$D$40,INDIRECT("'Yr1'!"&amp;ADDRESS(ROW(L227),COLUMN(L227))),
IF(L170=0,0,SUMIFS('EE Inputs'!$S$9:$S$32,'EE Inputs'!$C$9:$C$32,$G$6,'EE Inputs'!$D$9:$D$32,$C$4,'EE Inputs'!$E$9:$E$32,$B227)))</f>
        <v>97.697850000000017</v>
      </c>
      <c r="M227" s="64" cm="1">
        <f t="array" aca="1" ref="M227" ca="1">IF($C$4=Lookups!$D$40,INDIRECT("'Yr1'!"&amp;ADDRESS(ROW(M227),COLUMN(M227))),
IF(M170=0,0,SUMIFS('EE Inputs'!$S$9:$S$32,'EE Inputs'!$C$9:$C$32,$G$6,'EE Inputs'!$D$9:$D$32,$C$4,'EE Inputs'!$E$9:$E$32,$B227)))</f>
        <v>97.697850000000017</v>
      </c>
      <c r="N227" s="64" cm="1">
        <f t="array" aca="1" ref="N227" ca="1">IF($C$4=Lookups!$D$40,INDIRECT("'Yr1'!"&amp;ADDRESS(ROW(N227),COLUMN(N227))),
IF(N170=0,0,SUMIFS('EE Inputs'!$S$9:$S$32,'EE Inputs'!$C$9:$C$32,$G$6,'EE Inputs'!$D$9:$D$32,$C$4,'EE Inputs'!$E$9:$E$32,$B227)))</f>
        <v>97.697850000000017</v>
      </c>
      <c r="O227" s="64" cm="1">
        <f t="array" aca="1" ref="O227" ca="1">IF($C$4=Lookups!$D$40,INDIRECT("'Yr1'!"&amp;ADDRESS(ROW(O227),COLUMN(O227))),
IF(O170=0,0,SUMIFS('EE Inputs'!$S$9:$S$32,'EE Inputs'!$C$9:$C$32,$G$6,'EE Inputs'!$D$9:$D$32,$C$4,'EE Inputs'!$E$9:$E$32,$B227)))</f>
        <v>97.697850000000017</v>
      </c>
      <c r="P227" s="64" cm="1">
        <f t="array" aca="1" ref="P227" ca="1">IF($C$4=Lookups!$D$40,INDIRECT("'Yr1'!"&amp;ADDRESS(ROW(P227),COLUMN(P227))),
IF(P170=0,0,SUMIFS('EE Inputs'!$S$9:$S$32,'EE Inputs'!$C$9:$C$32,$G$6,'EE Inputs'!$D$9:$D$32,$C$4,'EE Inputs'!$E$9:$E$32,$B227)))</f>
        <v>97.697850000000017</v>
      </c>
      <c r="Q227" s="64" cm="1">
        <f t="array" aca="1" ref="Q227" ca="1">IF($C$4=Lookups!$D$40,INDIRECT("'Yr1'!"&amp;ADDRESS(ROW(Q227),COLUMN(Q227))),
IF(Q170=0,0,SUMIFS('EE Inputs'!$S$9:$S$32,'EE Inputs'!$C$9:$C$32,$G$6,'EE Inputs'!$D$9:$D$32,$C$4,'EE Inputs'!$E$9:$E$32,$B227)))</f>
        <v>97.697850000000017</v>
      </c>
      <c r="R227" s="64" cm="1">
        <f t="array" aca="1" ref="R227" ca="1">IF($C$4=Lookups!$D$40,INDIRECT("'Yr1'!"&amp;ADDRESS(ROW(R227),COLUMN(R227))),
IF(R170=0,0,SUMIFS('EE Inputs'!$S$9:$S$32,'EE Inputs'!$C$9:$C$32,$G$6,'EE Inputs'!$D$9:$D$32,$C$4,'EE Inputs'!$E$9:$E$32,$B227)))</f>
        <v>97.697850000000017</v>
      </c>
      <c r="S227" s="64" cm="1">
        <f t="array" aca="1" ref="S227" ca="1">IF($C$4=Lookups!$D$40,INDIRECT("'Yr1'!"&amp;ADDRESS(ROW(S227),COLUMN(S227))),
IF(S170=0,0,SUMIFS('EE Inputs'!$S$9:$S$32,'EE Inputs'!$C$9:$C$32,$G$6,'EE Inputs'!$D$9:$D$32,$C$4,'EE Inputs'!$E$9:$E$32,$B227)))</f>
        <v>97.697850000000017</v>
      </c>
      <c r="T227" s="64" cm="1">
        <f t="array" aca="1" ref="T227" ca="1">IF($C$4=Lookups!$D$40,INDIRECT("'Yr1'!"&amp;ADDRESS(ROW(T227),COLUMN(T227))),
IF(T170=0,0,SUMIFS('EE Inputs'!$S$9:$S$32,'EE Inputs'!$C$9:$C$32,$G$6,'EE Inputs'!$D$9:$D$32,$C$4,'EE Inputs'!$E$9:$E$32,$B227)))</f>
        <v>97.697850000000017</v>
      </c>
      <c r="U227" s="64" cm="1">
        <f t="array" aca="1" ref="U227" ca="1">IF($C$4=Lookups!$D$40,INDIRECT("'Yr1'!"&amp;ADDRESS(ROW(U227),COLUMN(U227))),
IF(U170=0,0,SUMIFS('EE Inputs'!$S$9:$S$32,'EE Inputs'!$C$9:$C$32,$G$6,'EE Inputs'!$D$9:$D$32,$C$4,'EE Inputs'!$E$9:$E$32,$B227)))</f>
        <v>97.697850000000017</v>
      </c>
      <c r="V227" s="64" cm="1">
        <f t="array" aca="1" ref="V227" ca="1">IF($C$4=Lookups!$D$40,INDIRECT("'Yr1'!"&amp;ADDRESS(ROW(V227),COLUMN(V227))),
IF(V170=0,0,SUMIFS('EE Inputs'!$S$9:$S$32,'EE Inputs'!$C$9:$C$32,$G$6,'EE Inputs'!$D$9:$D$32,$C$4,'EE Inputs'!$E$9:$E$32,$B227)))</f>
        <v>97.697850000000017</v>
      </c>
      <c r="W227" s="64" cm="1">
        <f t="array" aca="1" ref="W227" ca="1">IF($C$4=Lookups!$D$40,INDIRECT("'Yr1'!"&amp;ADDRESS(ROW(W227),COLUMN(W227))),
IF(W170=0,0,SUMIFS('EE Inputs'!$S$9:$S$32,'EE Inputs'!$C$9:$C$32,$G$6,'EE Inputs'!$D$9:$D$32,$C$4,'EE Inputs'!$E$9:$E$32,$B227)))</f>
        <v>97.697850000000017</v>
      </c>
      <c r="X227" s="64" cm="1">
        <f t="array" aca="1" ref="X227" ca="1">IF($C$4=Lookups!$D$40,INDIRECT("'Yr1'!"&amp;ADDRESS(ROW(X227),COLUMN(X227))),
IF(X170=0,0,SUMIFS('EE Inputs'!$S$9:$S$32,'EE Inputs'!$C$9:$C$32,$G$6,'EE Inputs'!$D$9:$D$32,$C$4,'EE Inputs'!$E$9:$E$32,$B227)))</f>
        <v>97.697850000000017</v>
      </c>
      <c r="Y227" s="64" cm="1">
        <f t="array" aca="1" ref="Y227" ca="1">IF($C$4=Lookups!$D$40,INDIRECT("'Yr1'!"&amp;ADDRESS(ROW(Y227),COLUMN(Y227))),
IF(Y170=0,0,SUMIFS('EE Inputs'!$S$9:$S$32,'EE Inputs'!$C$9:$C$32,$G$6,'EE Inputs'!$D$9:$D$32,$C$4,'EE Inputs'!$E$9:$E$32,$B227)))</f>
        <v>0</v>
      </c>
      <c r="Z227" s="64" cm="1">
        <f t="array" aca="1" ref="Z227" ca="1">IF($C$4=Lookups!$D$40,INDIRECT("'Yr1'!"&amp;ADDRESS(ROW(Z227),COLUMN(Z227))),
IF(Z170=0,0,SUMIFS('EE Inputs'!$S$9:$S$32,'EE Inputs'!$C$9:$C$32,$G$6,'EE Inputs'!$D$9:$D$32,$C$4,'EE Inputs'!$E$9:$E$32,$B227)))</f>
        <v>0</v>
      </c>
      <c r="AA227" s="64" cm="1">
        <f t="array" aca="1" ref="AA227" ca="1">IF($C$4=Lookups!$D$40,INDIRECT("'Yr1'!"&amp;ADDRESS(ROW(AA227),COLUMN(AA227))),
IF(AA170=0,0,SUMIFS('EE Inputs'!$S$9:$S$32,'EE Inputs'!$C$9:$C$32,$G$6,'EE Inputs'!$D$9:$D$32,$C$4,'EE Inputs'!$E$9:$E$32,$B227)))</f>
        <v>0</v>
      </c>
      <c r="AB227" s="64" cm="1">
        <f t="array" aca="1" ref="AB227" ca="1">IF($C$4=Lookups!$D$40,INDIRECT("'Yr1'!"&amp;ADDRESS(ROW(AB227),COLUMN(AB227))),
IF(AB170=0,0,SUMIFS('EE Inputs'!$S$9:$S$32,'EE Inputs'!$C$9:$C$32,$G$6,'EE Inputs'!$D$9:$D$32,$C$4,'EE Inputs'!$E$9:$E$32,$B227)))</f>
        <v>0</v>
      </c>
      <c r="AC227" s="64" cm="1">
        <f t="array" aca="1" ref="AC227" ca="1">IF($C$4=Lookups!$D$40,INDIRECT("'Yr1'!"&amp;ADDRESS(ROW(AC227),COLUMN(AC227))),
IF(AC170=0,0,SUMIFS('EE Inputs'!$S$9:$S$32,'EE Inputs'!$C$9:$C$32,$G$6,'EE Inputs'!$D$9:$D$32,$C$4,'EE Inputs'!$E$9:$E$32,$B227)))</f>
        <v>0</v>
      </c>
      <c r="AD227" s="64" cm="1">
        <f t="array" aca="1" ref="AD227" ca="1">IF($C$4=Lookups!$D$40,INDIRECT("'Yr1'!"&amp;ADDRESS(ROW(AD227),COLUMN(AD227))),
IF(AD170=0,0,SUMIFS('EE Inputs'!$S$9:$S$32,'EE Inputs'!$C$9:$C$32,$G$6,'EE Inputs'!$D$9:$D$32,$C$4,'EE Inputs'!$E$9:$E$32,$B227)))</f>
        <v>0</v>
      </c>
      <c r="AE227" s="64" cm="1">
        <f t="array" aca="1" ref="AE227" ca="1">IF($C$4=Lookups!$D$40,INDIRECT("'Yr1'!"&amp;ADDRESS(ROW(AE227),COLUMN(AE227))),
IF(AE170=0,0,SUMIFS('EE Inputs'!$S$9:$S$32,'EE Inputs'!$C$9:$C$32,$G$6,'EE Inputs'!$D$9:$D$32,$C$4,'EE Inputs'!$E$9:$E$32,$B227)))</f>
        <v>0</v>
      </c>
      <c r="AF227" s="64" cm="1">
        <f t="array" aca="1" ref="AF227" ca="1">IF($C$4=Lookups!$D$40,INDIRECT("'Yr1'!"&amp;ADDRESS(ROW(AF227),COLUMN(AF227))),
IF(AF170=0,0,SUMIFS('EE Inputs'!$S$9:$S$32,'EE Inputs'!$C$9:$C$32,$G$6,'EE Inputs'!$D$9:$D$32,$C$4,'EE Inputs'!$E$9:$E$32,$B227)))</f>
        <v>0</v>
      </c>
      <c r="AG227" s="64" cm="1">
        <f t="array" aca="1" ref="AG227" ca="1">IF($C$4=Lookups!$D$40,INDIRECT("'Yr1'!"&amp;ADDRESS(ROW(AG227),COLUMN(AG227))),
IF(AG170=0,0,SUMIFS('EE Inputs'!$S$9:$S$32,'EE Inputs'!$C$9:$C$32,$G$6,'EE Inputs'!$D$9:$D$32,$C$4,'EE Inputs'!$E$9:$E$32,$B227)))</f>
        <v>0</v>
      </c>
      <c r="AH227" s="64"/>
      <c r="AI227" s="64"/>
      <c r="AJ227" s="64"/>
      <c r="AM227" s="645" cm="1">
        <f t="array" aca="1" ref="AM227" ca="1">IF($C$4=Lookups!$D$40,INDIRECT("'Yr1'!"&amp;ADDRESS(ROW(AM227),COLUMN(AM227))),
IF(AM170=0,0,SUMIFS('EE Inputs'!$S$9:$S$32,'EE Inputs'!$C$9:$C$32,$AM$6,'EE Inputs'!$D$9:$D$32,$C$4,'EE Inputs'!$E$9:$E$32,$B227)))</f>
        <v>0</v>
      </c>
      <c r="AN227" s="645" cm="1">
        <f t="array" aca="1" ref="AN227" ca="1">IF($C$4=Lookups!$D$40,INDIRECT("'Yr1'!"&amp;ADDRESS(ROW(AN227),COLUMN(AN227))),
IF(AN170=0,0,SUMIFS('EE Inputs'!$S$9:$S$32,'EE Inputs'!$C$9:$C$32,$AM$6,'EE Inputs'!$D$9:$D$32,$C$4,'EE Inputs'!$E$9:$E$32,$B227)))</f>
        <v>0</v>
      </c>
      <c r="AO227" s="645" cm="1">
        <f t="array" aca="1" ref="AO227" ca="1">IF($C$4=Lookups!$D$40,INDIRECT("'Yr1'!"&amp;ADDRESS(ROW(AO227),COLUMN(AO227))),
IF(AO170=0,0,SUMIFS('EE Inputs'!$S$9:$S$32,'EE Inputs'!$C$9:$C$32,$AM$6,'EE Inputs'!$D$9:$D$32,$C$4,'EE Inputs'!$E$9:$E$32,$B227)))</f>
        <v>117.23742</v>
      </c>
      <c r="AP227" s="645" cm="1">
        <f t="array" aca="1" ref="AP227" ca="1">IF($C$4=Lookups!$D$40,INDIRECT("'Yr1'!"&amp;ADDRESS(ROW(AP227),COLUMN(AP227))),
IF(AP170=0,0,SUMIFS('EE Inputs'!$S$9:$S$32,'EE Inputs'!$C$9:$C$32,$AM$6,'EE Inputs'!$D$9:$D$32,$C$4,'EE Inputs'!$E$9:$E$32,$B227)))</f>
        <v>117.23742</v>
      </c>
      <c r="AQ227" s="645" cm="1">
        <f t="array" aca="1" ref="AQ227" ca="1">IF($C$4=Lookups!$D$40,INDIRECT("'Yr1'!"&amp;ADDRESS(ROW(AQ227),COLUMN(AQ227))),
IF(AQ170=0,0,SUMIFS('EE Inputs'!$S$9:$S$32,'EE Inputs'!$C$9:$C$32,$AM$6,'EE Inputs'!$D$9:$D$32,$C$4,'EE Inputs'!$E$9:$E$32,$B227)))</f>
        <v>117.23742</v>
      </c>
      <c r="AR227" s="645" cm="1">
        <f t="array" aca="1" ref="AR227" ca="1">IF($C$4=Lookups!$D$40,INDIRECT("'Yr1'!"&amp;ADDRESS(ROW(AR227),COLUMN(AR227))),
IF(AR170=0,0,SUMIFS('EE Inputs'!$S$9:$S$32,'EE Inputs'!$C$9:$C$32,$AM$6,'EE Inputs'!$D$9:$D$32,$C$4,'EE Inputs'!$E$9:$E$32,$B227)))</f>
        <v>117.23742</v>
      </c>
      <c r="AS227" s="645" cm="1">
        <f t="array" aca="1" ref="AS227" ca="1">IF($C$4=Lookups!$D$40,INDIRECT("'Yr1'!"&amp;ADDRESS(ROW(AS227),COLUMN(AS227))),
IF(AS170=0,0,SUMIFS('EE Inputs'!$S$9:$S$32,'EE Inputs'!$C$9:$C$32,$AM$6,'EE Inputs'!$D$9:$D$32,$C$4,'EE Inputs'!$E$9:$E$32,$B227)))</f>
        <v>117.23742</v>
      </c>
      <c r="AT227" s="645" cm="1">
        <f t="array" aca="1" ref="AT227" ca="1">IF($C$4=Lookups!$D$40,INDIRECT("'Yr1'!"&amp;ADDRESS(ROW(AT227),COLUMN(AT227))),
IF(AT170=0,0,SUMIFS('EE Inputs'!$S$9:$S$32,'EE Inputs'!$C$9:$C$32,$AM$6,'EE Inputs'!$D$9:$D$32,$C$4,'EE Inputs'!$E$9:$E$32,$B227)))</f>
        <v>117.23742</v>
      </c>
      <c r="AU227" s="645" cm="1">
        <f t="array" aca="1" ref="AU227" ca="1">IF($C$4=Lookups!$D$40,INDIRECT("'Yr1'!"&amp;ADDRESS(ROW(AU227),COLUMN(AU227))),
IF(AU170=0,0,SUMIFS('EE Inputs'!$S$9:$S$32,'EE Inputs'!$C$9:$C$32,$AM$6,'EE Inputs'!$D$9:$D$32,$C$4,'EE Inputs'!$E$9:$E$32,$B227)))</f>
        <v>117.23742</v>
      </c>
      <c r="AV227" s="645" cm="1">
        <f t="array" aca="1" ref="AV227" ca="1">IF($C$4=Lookups!$D$40,INDIRECT("'Yr1'!"&amp;ADDRESS(ROW(AV227),COLUMN(AV227))),
IF(AV170=0,0,SUMIFS('EE Inputs'!$S$9:$S$32,'EE Inputs'!$C$9:$C$32,$AM$6,'EE Inputs'!$D$9:$D$32,$C$4,'EE Inputs'!$E$9:$E$32,$B227)))</f>
        <v>117.23742</v>
      </c>
      <c r="AW227" s="645" cm="1">
        <f t="array" aca="1" ref="AW227" ca="1">IF($C$4=Lookups!$D$40,INDIRECT("'Yr1'!"&amp;ADDRESS(ROW(AW227),COLUMN(AW227))),
IF(AW170=0,0,SUMIFS('EE Inputs'!$S$9:$S$32,'EE Inputs'!$C$9:$C$32,$AM$6,'EE Inputs'!$D$9:$D$32,$C$4,'EE Inputs'!$E$9:$E$32,$B227)))</f>
        <v>117.23742</v>
      </c>
      <c r="AX227" s="645" cm="1">
        <f t="array" aca="1" ref="AX227" ca="1">IF($C$4=Lookups!$D$40,INDIRECT("'Yr1'!"&amp;ADDRESS(ROW(AX227),COLUMN(AX227))),
IF(AX170=0,0,SUMIFS('EE Inputs'!$S$9:$S$32,'EE Inputs'!$C$9:$C$32,$AM$6,'EE Inputs'!$D$9:$D$32,$C$4,'EE Inputs'!$E$9:$E$32,$B227)))</f>
        <v>117.23742</v>
      </c>
      <c r="AY227" s="645" cm="1">
        <f t="array" aca="1" ref="AY227" ca="1">IF($C$4=Lookups!$D$40,INDIRECT("'Yr1'!"&amp;ADDRESS(ROW(AY227),COLUMN(AY227))),
IF(AY170=0,0,SUMIFS('EE Inputs'!$S$9:$S$32,'EE Inputs'!$C$9:$C$32,$AM$6,'EE Inputs'!$D$9:$D$32,$C$4,'EE Inputs'!$E$9:$E$32,$B227)))</f>
        <v>117.23742</v>
      </c>
      <c r="AZ227" s="645" cm="1">
        <f t="array" aca="1" ref="AZ227" ca="1">IF($C$4=Lookups!$D$40,INDIRECT("'Yr1'!"&amp;ADDRESS(ROW(AZ227),COLUMN(AZ227))),
IF(AZ170=0,0,SUMIFS('EE Inputs'!$S$9:$S$32,'EE Inputs'!$C$9:$C$32,$AM$6,'EE Inputs'!$D$9:$D$32,$C$4,'EE Inputs'!$E$9:$E$32,$B227)))</f>
        <v>117.23742</v>
      </c>
      <c r="BA227" s="645" cm="1">
        <f t="array" aca="1" ref="BA227" ca="1">IF($C$4=Lookups!$D$40,INDIRECT("'Yr1'!"&amp;ADDRESS(ROW(BA227),COLUMN(BA227))),
IF(BA170=0,0,SUMIFS('EE Inputs'!$S$9:$S$32,'EE Inputs'!$C$9:$C$32,$AM$6,'EE Inputs'!$D$9:$D$32,$C$4,'EE Inputs'!$E$9:$E$32,$B227)))</f>
        <v>117.23742</v>
      </c>
      <c r="BB227" s="645" cm="1">
        <f t="array" aca="1" ref="BB227" ca="1">IF($C$4=Lookups!$D$40,INDIRECT("'Yr1'!"&amp;ADDRESS(ROW(BB227),COLUMN(BB227))),
IF(BB170=0,0,SUMIFS('EE Inputs'!$S$9:$S$32,'EE Inputs'!$C$9:$C$32,$AM$6,'EE Inputs'!$D$9:$D$32,$C$4,'EE Inputs'!$E$9:$E$32,$B227)))</f>
        <v>117.23742</v>
      </c>
      <c r="BC227" s="645" cm="1">
        <f t="array" aca="1" ref="BC227" ca="1">IF($C$4=Lookups!$D$40,INDIRECT("'Yr1'!"&amp;ADDRESS(ROW(BC227),COLUMN(BC227))),
IF(BC170=0,0,SUMIFS('EE Inputs'!$S$9:$S$32,'EE Inputs'!$C$9:$C$32,$AM$6,'EE Inputs'!$D$9:$D$32,$C$4,'EE Inputs'!$E$9:$E$32,$B227)))</f>
        <v>117.23742</v>
      </c>
      <c r="BD227" s="645" cm="1">
        <f t="array" aca="1" ref="BD227" ca="1">IF($C$4=Lookups!$D$40,INDIRECT("'Yr1'!"&amp;ADDRESS(ROW(BD227),COLUMN(BD227))),
IF(BD170=0,0,SUMIFS('EE Inputs'!$S$9:$S$32,'EE Inputs'!$C$9:$C$32,$AM$6,'EE Inputs'!$D$9:$D$32,$C$4,'EE Inputs'!$E$9:$E$32,$B227)))</f>
        <v>117.23742</v>
      </c>
      <c r="BE227" s="645" cm="1">
        <f t="array" aca="1" ref="BE227" ca="1">IF($C$4=Lookups!$D$40,INDIRECT("'Yr1'!"&amp;ADDRESS(ROW(BE227),COLUMN(BE227))),
IF(BE170=0,0,SUMIFS('EE Inputs'!$S$9:$S$32,'EE Inputs'!$C$9:$C$32,$AM$6,'EE Inputs'!$D$9:$D$32,$C$4,'EE Inputs'!$E$9:$E$32,$B227)))</f>
        <v>0</v>
      </c>
      <c r="BF227" s="645" cm="1">
        <f t="array" aca="1" ref="BF227" ca="1">IF($C$4=Lookups!$D$40,INDIRECT("'Yr1'!"&amp;ADDRESS(ROW(BF227),COLUMN(BF227))),
IF(BF170=0,0,SUMIFS('EE Inputs'!$S$9:$S$32,'EE Inputs'!$C$9:$C$32,$AM$6,'EE Inputs'!$D$9:$D$32,$C$4,'EE Inputs'!$E$9:$E$32,$B227)))</f>
        <v>0</v>
      </c>
      <c r="BG227" s="645" cm="1">
        <f t="array" aca="1" ref="BG227" ca="1">IF($C$4=Lookups!$D$40,INDIRECT("'Yr1'!"&amp;ADDRESS(ROW(BG227),COLUMN(BG227))),
IF(BG170=0,0,SUMIFS('EE Inputs'!$S$9:$S$32,'EE Inputs'!$C$9:$C$32,$AM$6,'EE Inputs'!$D$9:$D$32,$C$4,'EE Inputs'!$E$9:$E$32,$B227)))</f>
        <v>0</v>
      </c>
      <c r="BH227" s="645" cm="1">
        <f t="array" aca="1" ref="BH227" ca="1">IF($C$4=Lookups!$D$40,INDIRECT("'Yr1'!"&amp;ADDRESS(ROW(BH227),COLUMN(BH227))),
IF(BH170=0,0,SUMIFS('EE Inputs'!$S$9:$S$32,'EE Inputs'!$C$9:$C$32,$AM$6,'EE Inputs'!$D$9:$D$32,$C$4,'EE Inputs'!$E$9:$E$32,$B227)))</f>
        <v>0</v>
      </c>
      <c r="BI227" s="645" cm="1">
        <f t="array" aca="1" ref="BI227" ca="1">IF($C$4=Lookups!$D$40,INDIRECT("'Yr1'!"&amp;ADDRESS(ROW(BI227),COLUMN(BI227))),
IF(BI170=0,0,SUMIFS('EE Inputs'!$S$9:$S$32,'EE Inputs'!$C$9:$C$32,$AM$6,'EE Inputs'!$D$9:$D$32,$C$4,'EE Inputs'!$E$9:$E$32,$B227)))</f>
        <v>0</v>
      </c>
      <c r="BJ227" s="645" cm="1">
        <f t="array" aca="1" ref="BJ227" ca="1">IF($C$4=Lookups!$D$40,INDIRECT("'Yr1'!"&amp;ADDRESS(ROW(BJ227),COLUMN(BJ227))),
IF(BJ170=0,0,SUMIFS('EE Inputs'!$S$9:$S$32,'EE Inputs'!$C$9:$C$32,$AM$6,'EE Inputs'!$D$9:$D$32,$C$4,'EE Inputs'!$E$9:$E$32,$B227)))</f>
        <v>0</v>
      </c>
      <c r="BK227" s="645" cm="1">
        <f t="array" aca="1" ref="BK227" ca="1">IF($C$4=Lookups!$D$40,INDIRECT("'Yr1'!"&amp;ADDRESS(ROW(BK227),COLUMN(BK227))),
IF(BK170=0,0,SUMIFS('EE Inputs'!$S$9:$S$32,'EE Inputs'!$C$9:$C$32,$AM$6,'EE Inputs'!$D$9:$D$32,$C$4,'EE Inputs'!$E$9:$E$32,$B227)))</f>
        <v>0</v>
      </c>
      <c r="BL227" s="645" cm="1">
        <f t="array" aca="1" ref="BL227" ca="1">IF($C$4=Lookups!$D$40,INDIRECT("'Yr1'!"&amp;ADDRESS(ROW(BL227),COLUMN(BL227))),
IF(BL170=0,0,SUMIFS('EE Inputs'!$S$9:$S$32,'EE Inputs'!$C$9:$C$32,$AM$6,'EE Inputs'!$D$9:$D$32,$C$4,'EE Inputs'!$E$9:$E$32,$B227)))</f>
        <v>0</v>
      </c>
      <c r="BM227" s="645" cm="1">
        <f t="array" aca="1" ref="BM227" ca="1">IF($C$4=Lookups!$D$40,INDIRECT("'Yr1'!"&amp;ADDRESS(ROW(BM227),COLUMN(BM227))),
IF(BM170=0,0,SUMIFS('EE Inputs'!$S$9:$S$32,'EE Inputs'!$C$9:$C$32,$AM$6,'EE Inputs'!$D$9:$D$32,$C$4,'EE Inputs'!$E$9:$E$32,$B227)))</f>
        <v>0</v>
      </c>
      <c r="BN227" s="71"/>
      <c r="BO227" s="71"/>
      <c r="BP227" s="71"/>
      <c r="BS227" s="76" t="s">
        <v>96</v>
      </c>
      <c r="BT227" s="51" t="s">
        <v>17</v>
      </c>
    </row>
    <row r="228" spans="1:72" x14ac:dyDescent="0.25">
      <c r="A228" s="246"/>
      <c r="B228" s="243" t="str">
        <f t="shared" si="230"/>
        <v>Small C&amp;I</v>
      </c>
      <c r="C228" s="243" t="str">
        <f t="shared" si="230"/>
        <v>Bills</v>
      </c>
      <c r="D228" s="244" t="str">
        <f t="shared" si="230"/>
        <v>Annual Savings from DSM Scenario</v>
      </c>
      <c r="E228" s="84" t="str">
        <f>'EE Inputs'!$N$16&amp;" Participant"</f>
        <v>High Savings Participant</v>
      </c>
      <c r="F228" s="84" t="s">
        <v>195</v>
      </c>
      <c r="G228" s="704" cm="1">
        <f t="array" aca="1" ref="G228" ca="1">IF($C$4=Lookups!$D$40,INDIRECT("'Yr1'!"&amp;ADDRESS(ROW(G228),COLUMN(G228))),
IF(G170=0,0,SUMIFS('EE Inputs'!$T$9:$T$32,'EE Inputs'!$C$9:$C$32,$G$6,'EE Inputs'!$D$9:$D$32,$C$4,'EE Inputs'!$E$9:$E$32,$B228)))</f>
        <v>0</v>
      </c>
      <c r="H228" s="704" cm="1">
        <f t="array" aca="1" ref="H228" ca="1">IF($C$4=Lookups!$D$40,INDIRECT("'Yr1'!"&amp;ADDRESS(ROW(H228),COLUMN(H228))),
IF(H170=0,0,SUMIFS('EE Inputs'!$T$9:$T$32,'EE Inputs'!$C$9:$C$32,$G$6,'EE Inputs'!$D$9:$D$32,$C$4,'EE Inputs'!$E$9:$E$32,$B228)))</f>
        <v>0</v>
      </c>
      <c r="I228" s="704" cm="1">
        <f t="array" aca="1" ref="I228" ca="1">IF($C$4=Lookups!$D$40,INDIRECT("'Yr1'!"&amp;ADDRESS(ROW(I228),COLUMN(I228))),
IF(I170=0,0,SUMIFS('EE Inputs'!$T$9:$T$32,'EE Inputs'!$C$9:$C$32,$G$6,'EE Inputs'!$D$9:$D$32,$C$4,'EE Inputs'!$E$9:$E$32,$B228)))</f>
        <v>195.39570000000003</v>
      </c>
      <c r="J228" s="704" cm="1">
        <f t="array" aca="1" ref="J228" ca="1">IF($C$4=Lookups!$D$40,INDIRECT("'Yr1'!"&amp;ADDRESS(ROW(J228),COLUMN(J228))),
IF(J170=0,0,SUMIFS('EE Inputs'!$T$9:$T$32,'EE Inputs'!$C$9:$C$32,$G$6,'EE Inputs'!$D$9:$D$32,$C$4,'EE Inputs'!$E$9:$E$32,$B228)))</f>
        <v>195.39570000000003</v>
      </c>
      <c r="K228" s="704" cm="1">
        <f t="array" aca="1" ref="K228" ca="1">IF($C$4=Lookups!$D$40,INDIRECT("'Yr1'!"&amp;ADDRESS(ROW(K228),COLUMN(K228))),
IF(K170=0,0,SUMIFS('EE Inputs'!$T$9:$T$32,'EE Inputs'!$C$9:$C$32,$G$6,'EE Inputs'!$D$9:$D$32,$C$4,'EE Inputs'!$E$9:$E$32,$B228)))</f>
        <v>195.39570000000003</v>
      </c>
      <c r="L228" s="704" cm="1">
        <f t="array" aca="1" ref="L228" ca="1">IF($C$4=Lookups!$D$40,INDIRECT("'Yr1'!"&amp;ADDRESS(ROW(L228),COLUMN(L228))),
IF(L170=0,0,SUMIFS('EE Inputs'!$T$9:$T$32,'EE Inputs'!$C$9:$C$32,$G$6,'EE Inputs'!$D$9:$D$32,$C$4,'EE Inputs'!$E$9:$E$32,$B228)))</f>
        <v>195.39570000000003</v>
      </c>
      <c r="M228" s="704" cm="1">
        <f t="array" aca="1" ref="M228" ca="1">IF($C$4=Lookups!$D$40,INDIRECT("'Yr1'!"&amp;ADDRESS(ROW(M228),COLUMN(M228))),
IF(M170=0,0,SUMIFS('EE Inputs'!$T$9:$T$32,'EE Inputs'!$C$9:$C$32,$G$6,'EE Inputs'!$D$9:$D$32,$C$4,'EE Inputs'!$E$9:$E$32,$B228)))</f>
        <v>195.39570000000003</v>
      </c>
      <c r="N228" s="704" cm="1">
        <f t="array" aca="1" ref="N228" ca="1">IF($C$4=Lookups!$D$40,INDIRECT("'Yr1'!"&amp;ADDRESS(ROW(N228),COLUMN(N228))),
IF(N170=0,0,SUMIFS('EE Inputs'!$T$9:$T$32,'EE Inputs'!$C$9:$C$32,$G$6,'EE Inputs'!$D$9:$D$32,$C$4,'EE Inputs'!$E$9:$E$32,$B228)))</f>
        <v>195.39570000000003</v>
      </c>
      <c r="O228" s="704" cm="1">
        <f t="array" aca="1" ref="O228" ca="1">IF($C$4=Lookups!$D$40,INDIRECT("'Yr1'!"&amp;ADDRESS(ROW(O228),COLUMN(O228))),
IF(O170=0,0,SUMIFS('EE Inputs'!$T$9:$T$32,'EE Inputs'!$C$9:$C$32,$G$6,'EE Inputs'!$D$9:$D$32,$C$4,'EE Inputs'!$E$9:$E$32,$B228)))</f>
        <v>195.39570000000003</v>
      </c>
      <c r="P228" s="704" cm="1">
        <f t="array" aca="1" ref="P228" ca="1">IF($C$4=Lookups!$D$40,INDIRECT("'Yr1'!"&amp;ADDRESS(ROW(P228),COLUMN(P228))),
IF(P170=0,0,SUMIFS('EE Inputs'!$T$9:$T$32,'EE Inputs'!$C$9:$C$32,$G$6,'EE Inputs'!$D$9:$D$32,$C$4,'EE Inputs'!$E$9:$E$32,$B228)))</f>
        <v>195.39570000000003</v>
      </c>
      <c r="Q228" s="704" cm="1">
        <f t="array" aca="1" ref="Q228" ca="1">IF($C$4=Lookups!$D$40,INDIRECT("'Yr1'!"&amp;ADDRESS(ROW(Q228),COLUMN(Q228))),
IF(Q170=0,0,SUMIFS('EE Inputs'!$T$9:$T$32,'EE Inputs'!$C$9:$C$32,$G$6,'EE Inputs'!$D$9:$D$32,$C$4,'EE Inputs'!$E$9:$E$32,$B228)))</f>
        <v>195.39570000000003</v>
      </c>
      <c r="R228" s="704" cm="1">
        <f t="array" aca="1" ref="R228" ca="1">IF($C$4=Lookups!$D$40,INDIRECT("'Yr1'!"&amp;ADDRESS(ROW(R228),COLUMN(R228))),
IF(R170=0,0,SUMIFS('EE Inputs'!$T$9:$T$32,'EE Inputs'!$C$9:$C$32,$G$6,'EE Inputs'!$D$9:$D$32,$C$4,'EE Inputs'!$E$9:$E$32,$B228)))</f>
        <v>195.39570000000003</v>
      </c>
      <c r="S228" s="704" cm="1">
        <f t="array" aca="1" ref="S228" ca="1">IF($C$4=Lookups!$D$40,INDIRECT("'Yr1'!"&amp;ADDRESS(ROW(S228),COLUMN(S228))),
IF(S170=0,0,SUMIFS('EE Inputs'!$T$9:$T$32,'EE Inputs'!$C$9:$C$32,$G$6,'EE Inputs'!$D$9:$D$32,$C$4,'EE Inputs'!$E$9:$E$32,$B228)))</f>
        <v>195.39570000000003</v>
      </c>
      <c r="T228" s="704" cm="1">
        <f t="array" aca="1" ref="T228" ca="1">IF($C$4=Lookups!$D$40,INDIRECT("'Yr1'!"&amp;ADDRESS(ROW(T228),COLUMN(T228))),
IF(T170=0,0,SUMIFS('EE Inputs'!$T$9:$T$32,'EE Inputs'!$C$9:$C$32,$G$6,'EE Inputs'!$D$9:$D$32,$C$4,'EE Inputs'!$E$9:$E$32,$B228)))</f>
        <v>195.39570000000003</v>
      </c>
      <c r="U228" s="704" cm="1">
        <f t="array" aca="1" ref="U228" ca="1">IF($C$4=Lookups!$D$40,INDIRECT("'Yr1'!"&amp;ADDRESS(ROW(U228),COLUMN(U228))),
IF(U170=0,0,SUMIFS('EE Inputs'!$T$9:$T$32,'EE Inputs'!$C$9:$C$32,$G$6,'EE Inputs'!$D$9:$D$32,$C$4,'EE Inputs'!$E$9:$E$32,$B228)))</f>
        <v>195.39570000000003</v>
      </c>
      <c r="V228" s="704" cm="1">
        <f t="array" aca="1" ref="V228" ca="1">IF($C$4=Lookups!$D$40,INDIRECT("'Yr1'!"&amp;ADDRESS(ROW(V228),COLUMN(V228))),
IF(V170=0,0,SUMIFS('EE Inputs'!$T$9:$T$32,'EE Inputs'!$C$9:$C$32,$G$6,'EE Inputs'!$D$9:$D$32,$C$4,'EE Inputs'!$E$9:$E$32,$B228)))</f>
        <v>195.39570000000003</v>
      </c>
      <c r="W228" s="704" cm="1">
        <f t="array" aca="1" ref="W228" ca="1">IF($C$4=Lookups!$D$40,INDIRECT("'Yr1'!"&amp;ADDRESS(ROW(W228),COLUMN(W228))),
IF(W170=0,0,SUMIFS('EE Inputs'!$T$9:$T$32,'EE Inputs'!$C$9:$C$32,$G$6,'EE Inputs'!$D$9:$D$32,$C$4,'EE Inputs'!$E$9:$E$32,$B228)))</f>
        <v>195.39570000000003</v>
      </c>
      <c r="X228" s="704" cm="1">
        <f t="array" aca="1" ref="X228" ca="1">IF($C$4=Lookups!$D$40,INDIRECT("'Yr1'!"&amp;ADDRESS(ROW(X228),COLUMN(X228))),
IF(X170=0,0,SUMIFS('EE Inputs'!$T$9:$T$32,'EE Inputs'!$C$9:$C$32,$G$6,'EE Inputs'!$D$9:$D$32,$C$4,'EE Inputs'!$E$9:$E$32,$B228)))</f>
        <v>195.39570000000003</v>
      </c>
      <c r="Y228" s="704" cm="1">
        <f t="array" aca="1" ref="Y228" ca="1">IF($C$4=Lookups!$D$40,INDIRECT("'Yr1'!"&amp;ADDRESS(ROW(Y228),COLUMN(Y228))),
IF(Y170=0,0,SUMIFS('EE Inputs'!$T$9:$T$32,'EE Inputs'!$C$9:$C$32,$G$6,'EE Inputs'!$D$9:$D$32,$C$4,'EE Inputs'!$E$9:$E$32,$B228)))</f>
        <v>0</v>
      </c>
      <c r="Z228" s="704" cm="1">
        <f t="array" aca="1" ref="Z228" ca="1">IF($C$4=Lookups!$D$40,INDIRECT("'Yr1'!"&amp;ADDRESS(ROW(Z228),COLUMN(Z228))),
IF(Z170=0,0,SUMIFS('EE Inputs'!$T$9:$T$32,'EE Inputs'!$C$9:$C$32,$G$6,'EE Inputs'!$D$9:$D$32,$C$4,'EE Inputs'!$E$9:$E$32,$B228)))</f>
        <v>0</v>
      </c>
      <c r="AA228" s="704" cm="1">
        <f t="array" aca="1" ref="AA228" ca="1">IF($C$4=Lookups!$D$40,INDIRECT("'Yr1'!"&amp;ADDRESS(ROW(AA228),COLUMN(AA228))),
IF(AA170=0,0,SUMIFS('EE Inputs'!$T$9:$T$32,'EE Inputs'!$C$9:$C$32,$G$6,'EE Inputs'!$D$9:$D$32,$C$4,'EE Inputs'!$E$9:$E$32,$B228)))</f>
        <v>0</v>
      </c>
      <c r="AB228" s="704" cm="1">
        <f t="array" aca="1" ref="AB228" ca="1">IF($C$4=Lookups!$D$40,INDIRECT("'Yr1'!"&amp;ADDRESS(ROW(AB228),COLUMN(AB228))),
IF(AB170=0,0,SUMIFS('EE Inputs'!$T$9:$T$32,'EE Inputs'!$C$9:$C$32,$G$6,'EE Inputs'!$D$9:$D$32,$C$4,'EE Inputs'!$E$9:$E$32,$B228)))</f>
        <v>0</v>
      </c>
      <c r="AC228" s="704" cm="1">
        <f t="array" aca="1" ref="AC228" ca="1">IF($C$4=Lookups!$D$40,INDIRECT("'Yr1'!"&amp;ADDRESS(ROW(AC228),COLUMN(AC228))),
IF(AC170=0,0,SUMIFS('EE Inputs'!$T$9:$T$32,'EE Inputs'!$C$9:$C$32,$G$6,'EE Inputs'!$D$9:$D$32,$C$4,'EE Inputs'!$E$9:$E$32,$B228)))</f>
        <v>0</v>
      </c>
      <c r="AD228" s="704" cm="1">
        <f t="array" aca="1" ref="AD228" ca="1">IF($C$4=Lookups!$D$40,INDIRECT("'Yr1'!"&amp;ADDRESS(ROW(AD228),COLUMN(AD228))),
IF(AD170=0,0,SUMIFS('EE Inputs'!$T$9:$T$32,'EE Inputs'!$C$9:$C$32,$G$6,'EE Inputs'!$D$9:$D$32,$C$4,'EE Inputs'!$E$9:$E$32,$B228)))</f>
        <v>0</v>
      </c>
      <c r="AE228" s="704" cm="1">
        <f t="array" aca="1" ref="AE228" ca="1">IF($C$4=Lookups!$D$40,INDIRECT("'Yr1'!"&amp;ADDRESS(ROW(AE228),COLUMN(AE228))),
IF(AE170=0,0,SUMIFS('EE Inputs'!$T$9:$T$32,'EE Inputs'!$C$9:$C$32,$G$6,'EE Inputs'!$D$9:$D$32,$C$4,'EE Inputs'!$E$9:$E$32,$B228)))</f>
        <v>0</v>
      </c>
      <c r="AF228" s="704" cm="1">
        <f t="array" aca="1" ref="AF228" ca="1">IF($C$4=Lookups!$D$40,INDIRECT("'Yr1'!"&amp;ADDRESS(ROW(AF228),COLUMN(AF228))),
IF(AF170=0,0,SUMIFS('EE Inputs'!$T$9:$T$32,'EE Inputs'!$C$9:$C$32,$G$6,'EE Inputs'!$D$9:$D$32,$C$4,'EE Inputs'!$E$9:$E$32,$B228)))</f>
        <v>0</v>
      </c>
      <c r="AG228" s="704" cm="1">
        <f t="array" aca="1" ref="AG228" ca="1">IF($C$4=Lookups!$D$40,INDIRECT("'Yr1'!"&amp;ADDRESS(ROW(AG228),COLUMN(AG228))),
IF(AG170=0,0,SUMIFS('EE Inputs'!$T$9:$T$32,'EE Inputs'!$C$9:$C$32,$G$6,'EE Inputs'!$D$9:$D$32,$C$4,'EE Inputs'!$E$9:$E$32,$B228)))</f>
        <v>0</v>
      </c>
      <c r="AH228" s="64"/>
      <c r="AI228" s="64"/>
      <c r="AJ228" s="64"/>
      <c r="AM228" s="645" cm="1">
        <f t="array" aca="1" ref="AM228" ca="1">IF($C$4=Lookups!$D$40,INDIRECT("'Yr1'!"&amp;ADDRESS(ROW(AM228),COLUMN(AM228))),
IF(AM170=0,0,SUMIFS('EE Inputs'!$T$9:$T$32,'EE Inputs'!$C$9:$C$32,$AM$6,'EE Inputs'!$D$9:$D$32,$C$4,'EE Inputs'!$E$9:$E$32,$B228)))</f>
        <v>0</v>
      </c>
      <c r="AN228" s="645" cm="1">
        <f t="array" aca="1" ref="AN228" ca="1">IF($C$4=Lookups!$D$40,INDIRECT("'Yr1'!"&amp;ADDRESS(ROW(AN228),COLUMN(AN228))),
IF(AN170=0,0,SUMIFS('EE Inputs'!$T$9:$T$32,'EE Inputs'!$C$9:$C$32,$AM$6,'EE Inputs'!$D$9:$D$32,$C$4,'EE Inputs'!$E$9:$E$32,$B228)))</f>
        <v>0</v>
      </c>
      <c r="AO228" s="645" cm="1">
        <f t="array" aca="1" ref="AO228" ca="1">IF($C$4=Lookups!$D$40,INDIRECT("'Yr1'!"&amp;ADDRESS(ROW(AO228),COLUMN(AO228))),
IF(AO170=0,0,SUMIFS('EE Inputs'!$T$9:$T$32,'EE Inputs'!$C$9:$C$32,$AM$6,'EE Inputs'!$D$9:$D$32,$C$4,'EE Inputs'!$E$9:$E$32,$B228)))</f>
        <v>234.47484</v>
      </c>
      <c r="AP228" s="645" cm="1">
        <f t="array" aca="1" ref="AP228" ca="1">IF($C$4=Lookups!$D$40,INDIRECT("'Yr1'!"&amp;ADDRESS(ROW(AP228),COLUMN(AP228))),
IF(AP170=0,0,SUMIFS('EE Inputs'!$T$9:$T$32,'EE Inputs'!$C$9:$C$32,$AM$6,'EE Inputs'!$D$9:$D$32,$C$4,'EE Inputs'!$E$9:$E$32,$B228)))</f>
        <v>234.47484</v>
      </c>
      <c r="AQ228" s="645" cm="1">
        <f t="array" aca="1" ref="AQ228" ca="1">IF($C$4=Lookups!$D$40,INDIRECT("'Yr1'!"&amp;ADDRESS(ROW(AQ228),COLUMN(AQ228))),
IF(AQ170=0,0,SUMIFS('EE Inputs'!$T$9:$T$32,'EE Inputs'!$C$9:$C$32,$AM$6,'EE Inputs'!$D$9:$D$32,$C$4,'EE Inputs'!$E$9:$E$32,$B228)))</f>
        <v>234.47484</v>
      </c>
      <c r="AR228" s="645" cm="1">
        <f t="array" aca="1" ref="AR228" ca="1">IF($C$4=Lookups!$D$40,INDIRECT("'Yr1'!"&amp;ADDRESS(ROW(AR228),COLUMN(AR228))),
IF(AR170=0,0,SUMIFS('EE Inputs'!$T$9:$T$32,'EE Inputs'!$C$9:$C$32,$AM$6,'EE Inputs'!$D$9:$D$32,$C$4,'EE Inputs'!$E$9:$E$32,$B228)))</f>
        <v>234.47484</v>
      </c>
      <c r="AS228" s="645" cm="1">
        <f t="array" aca="1" ref="AS228" ca="1">IF($C$4=Lookups!$D$40,INDIRECT("'Yr1'!"&amp;ADDRESS(ROW(AS228),COLUMN(AS228))),
IF(AS170=0,0,SUMIFS('EE Inputs'!$T$9:$T$32,'EE Inputs'!$C$9:$C$32,$AM$6,'EE Inputs'!$D$9:$D$32,$C$4,'EE Inputs'!$E$9:$E$32,$B228)))</f>
        <v>234.47484</v>
      </c>
      <c r="AT228" s="645" cm="1">
        <f t="array" aca="1" ref="AT228" ca="1">IF($C$4=Lookups!$D$40,INDIRECT("'Yr1'!"&amp;ADDRESS(ROW(AT228),COLUMN(AT228))),
IF(AT170=0,0,SUMIFS('EE Inputs'!$T$9:$T$32,'EE Inputs'!$C$9:$C$32,$AM$6,'EE Inputs'!$D$9:$D$32,$C$4,'EE Inputs'!$E$9:$E$32,$B228)))</f>
        <v>234.47484</v>
      </c>
      <c r="AU228" s="645" cm="1">
        <f t="array" aca="1" ref="AU228" ca="1">IF($C$4=Lookups!$D$40,INDIRECT("'Yr1'!"&amp;ADDRESS(ROW(AU228),COLUMN(AU228))),
IF(AU170=0,0,SUMIFS('EE Inputs'!$T$9:$T$32,'EE Inputs'!$C$9:$C$32,$AM$6,'EE Inputs'!$D$9:$D$32,$C$4,'EE Inputs'!$E$9:$E$32,$B228)))</f>
        <v>234.47484</v>
      </c>
      <c r="AV228" s="645" cm="1">
        <f t="array" aca="1" ref="AV228" ca="1">IF($C$4=Lookups!$D$40,INDIRECT("'Yr1'!"&amp;ADDRESS(ROW(AV228),COLUMN(AV228))),
IF(AV170=0,0,SUMIFS('EE Inputs'!$T$9:$T$32,'EE Inputs'!$C$9:$C$32,$AM$6,'EE Inputs'!$D$9:$D$32,$C$4,'EE Inputs'!$E$9:$E$32,$B228)))</f>
        <v>234.47484</v>
      </c>
      <c r="AW228" s="645" cm="1">
        <f t="array" aca="1" ref="AW228" ca="1">IF($C$4=Lookups!$D$40,INDIRECT("'Yr1'!"&amp;ADDRESS(ROW(AW228),COLUMN(AW228))),
IF(AW170=0,0,SUMIFS('EE Inputs'!$T$9:$T$32,'EE Inputs'!$C$9:$C$32,$AM$6,'EE Inputs'!$D$9:$D$32,$C$4,'EE Inputs'!$E$9:$E$32,$B228)))</f>
        <v>234.47484</v>
      </c>
      <c r="AX228" s="645" cm="1">
        <f t="array" aca="1" ref="AX228" ca="1">IF($C$4=Lookups!$D$40,INDIRECT("'Yr1'!"&amp;ADDRESS(ROW(AX228),COLUMN(AX228))),
IF(AX170=0,0,SUMIFS('EE Inputs'!$T$9:$T$32,'EE Inputs'!$C$9:$C$32,$AM$6,'EE Inputs'!$D$9:$D$32,$C$4,'EE Inputs'!$E$9:$E$32,$B228)))</f>
        <v>234.47484</v>
      </c>
      <c r="AY228" s="645" cm="1">
        <f t="array" aca="1" ref="AY228" ca="1">IF($C$4=Lookups!$D$40,INDIRECT("'Yr1'!"&amp;ADDRESS(ROW(AY228),COLUMN(AY228))),
IF(AY170=0,0,SUMIFS('EE Inputs'!$T$9:$T$32,'EE Inputs'!$C$9:$C$32,$AM$6,'EE Inputs'!$D$9:$D$32,$C$4,'EE Inputs'!$E$9:$E$32,$B228)))</f>
        <v>234.47484</v>
      </c>
      <c r="AZ228" s="645" cm="1">
        <f t="array" aca="1" ref="AZ228" ca="1">IF($C$4=Lookups!$D$40,INDIRECT("'Yr1'!"&amp;ADDRESS(ROW(AZ228),COLUMN(AZ228))),
IF(AZ170=0,0,SUMIFS('EE Inputs'!$T$9:$T$32,'EE Inputs'!$C$9:$C$32,$AM$6,'EE Inputs'!$D$9:$D$32,$C$4,'EE Inputs'!$E$9:$E$32,$B228)))</f>
        <v>234.47484</v>
      </c>
      <c r="BA228" s="645" cm="1">
        <f t="array" aca="1" ref="BA228" ca="1">IF($C$4=Lookups!$D$40,INDIRECT("'Yr1'!"&amp;ADDRESS(ROW(BA228),COLUMN(BA228))),
IF(BA170=0,0,SUMIFS('EE Inputs'!$T$9:$T$32,'EE Inputs'!$C$9:$C$32,$AM$6,'EE Inputs'!$D$9:$D$32,$C$4,'EE Inputs'!$E$9:$E$32,$B228)))</f>
        <v>234.47484</v>
      </c>
      <c r="BB228" s="645" cm="1">
        <f t="array" aca="1" ref="BB228" ca="1">IF($C$4=Lookups!$D$40,INDIRECT("'Yr1'!"&amp;ADDRESS(ROW(BB228),COLUMN(BB228))),
IF(BB170=0,0,SUMIFS('EE Inputs'!$T$9:$T$32,'EE Inputs'!$C$9:$C$32,$AM$6,'EE Inputs'!$D$9:$D$32,$C$4,'EE Inputs'!$E$9:$E$32,$B228)))</f>
        <v>234.47484</v>
      </c>
      <c r="BC228" s="645" cm="1">
        <f t="array" aca="1" ref="BC228" ca="1">IF($C$4=Lookups!$D$40,INDIRECT("'Yr1'!"&amp;ADDRESS(ROW(BC228),COLUMN(BC228))),
IF(BC170=0,0,SUMIFS('EE Inputs'!$T$9:$T$32,'EE Inputs'!$C$9:$C$32,$AM$6,'EE Inputs'!$D$9:$D$32,$C$4,'EE Inputs'!$E$9:$E$32,$B228)))</f>
        <v>234.47484</v>
      </c>
      <c r="BD228" s="645" cm="1">
        <f t="array" aca="1" ref="BD228" ca="1">IF($C$4=Lookups!$D$40,INDIRECT("'Yr1'!"&amp;ADDRESS(ROW(BD228),COLUMN(BD228))),
IF(BD170=0,0,SUMIFS('EE Inputs'!$T$9:$T$32,'EE Inputs'!$C$9:$C$32,$AM$6,'EE Inputs'!$D$9:$D$32,$C$4,'EE Inputs'!$E$9:$E$32,$B228)))</f>
        <v>234.47484</v>
      </c>
      <c r="BE228" s="645" cm="1">
        <f t="array" aca="1" ref="BE228" ca="1">IF($C$4=Lookups!$D$40,INDIRECT("'Yr1'!"&amp;ADDRESS(ROW(BE228),COLUMN(BE228))),
IF(BE170=0,0,SUMIFS('EE Inputs'!$T$9:$T$32,'EE Inputs'!$C$9:$C$32,$AM$6,'EE Inputs'!$D$9:$D$32,$C$4,'EE Inputs'!$E$9:$E$32,$B228)))</f>
        <v>0</v>
      </c>
      <c r="BF228" s="645" cm="1">
        <f t="array" aca="1" ref="BF228" ca="1">IF($C$4=Lookups!$D$40,INDIRECT("'Yr1'!"&amp;ADDRESS(ROW(BF228),COLUMN(BF228))),
IF(BF170=0,0,SUMIFS('EE Inputs'!$T$9:$T$32,'EE Inputs'!$C$9:$C$32,$AM$6,'EE Inputs'!$D$9:$D$32,$C$4,'EE Inputs'!$E$9:$E$32,$B228)))</f>
        <v>0</v>
      </c>
      <c r="BG228" s="645" cm="1">
        <f t="array" aca="1" ref="BG228" ca="1">IF($C$4=Lookups!$D$40,INDIRECT("'Yr1'!"&amp;ADDRESS(ROW(BG228),COLUMN(BG228))),
IF(BG170=0,0,SUMIFS('EE Inputs'!$T$9:$T$32,'EE Inputs'!$C$9:$C$32,$AM$6,'EE Inputs'!$D$9:$D$32,$C$4,'EE Inputs'!$E$9:$E$32,$B228)))</f>
        <v>0</v>
      </c>
      <c r="BH228" s="645" cm="1">
        <f t="array" aca="1" ref="BH228" ca="1">IF($C$4=Lookups!$D$40,INDIRECT("'Yr1'!"&amp;ADDRESS(ROW(BH228),COLUMN(BH228))),
IF(BH170=0,0,SUMIFS('EE Inputs'!$T$9:$T$32,'EE Inputs'!$C$9:$C$32,$AM$6,'EE Inputs'!$D$9:$D$32,$C$4,'EE Inputs'!$E$9:$E$32,$B228)))</f>
        <v>0</v>
      </c>
      <c r="BI228" s="645" cm="1">
        <f t="array" aca="1" ref="BI228" ca="1">IF($C$4=Lookups!$D$40,INDIRECT("'Yr1'!"&amp;ADDRESS(ROW(BI228),COLUMN(BI228))),
IF(BI170=0,0,SUMIFS('EE Inputs'!$T$9:$T$32,'EE Inputs'!$C$9:$C$32,$AM$6,'EE Inputs'!$D$9:$D$32,$C$4,'EE Inputs'!$E$9:$E$32,$B228)))</f>
        <v>0</v>
      </c>
      <c r="BJ228" s="645" cm="1">
        <f t="array" aca="1" ref="BJ228" ca="1">IF($C$4=Lookups!$D$40,INDIRECT("'Yr1'!"&amp;ADDRESS(ROW(BJ228),COLUMN(BJ228))),
IF(BJ170=0,0,SUMIFS('EE Inputs'!$T$9:$T$32,'EE Inputs'!$C$9:$C$32,$AM$6,'EE Inputs'!$D$9:$D$32,$C$4,'EE Inputs'!$E$9:$E$32,$B228)))</f>
        <v>0</v>
      </c>
      <c r="BK228" s="645" cm="1">
        <f t="array" aca="1" ref="BK228" ca="1">IF($C$4=Lookups!$D$40,INDIRECT("'Yr1'!"&amp;ADDRESS(ROW(BK228),COLUMN(BK228))),
IF(BK170=0,0,SUMIFS('EE Inputs'!$T$9:$T$32,'EE Inputs'!$C$9:$C$32,$AM$6,'EE Inputs'!$D$9:$D$32,$C$4,'EE Inputs'!$E$9:$E$32,$B228)))</f>
        <v>0</v>
      </c>
      <c r="BL228" s="645" cm="1">
        <f t="array" aca="1" ref="BL228" ca="1">IF($C$4=Lookups!$D$40,INDIRECT("'Yr1'!"&amp;ADDRESS(ROW(BL228),COLUMN(BL228))),
IF(BL170=0,0,SUMIFS('EE Inputs'!$T$9:$T$32,'EE Inputs'!$C$9:$C$32,$AM$6,'EE Inputs'!$D$9:$D$32,$C$4,'EE Inputs'!$E$9:$E$32,$B228)))</f>
        <v>0</v>
      </c>
      <c r="BM228" s="645" cm="1">
        <f t="array" aca="1" ref="BM228" ca="1">IF($C$4=Lookups!$D$40,INDIRECT("'Yr1'!"&amp;ADDRESS(ROW(BM228),COLUMN(BM228))),
IF(BM170=0,0,SUMIFS('EE Inputs'!$T$9:$T$32,'EE Inputs'!$C$9:$C$32,$AM$6,'EE Inputs'!$D$9:$D$32,$C$4,'EE Inputs'!$E$9:$E$32,$B228)))</f>
        <v>0</v>
      </c>
      <c r="BN228" s="71"/>
      <c r="BO228" s="71"/>
      <c r="BP228" s="71"/>
      <c r="BS228" s="76" t="s">
        <v>96</v>
      </c>
      <c r="BT228" s="51" t="s">
        <v>17</v>
      </c>
    </row>
    <row r="229" spans="1:72" x14ac:dyDescent="0.25">
      <c r="B229" s="243" t="str">
        <f t="shared" si="230"/>
        <v>Small C&amp;I</v>
      </c>
      <c r="C229" s="243" t="str">
        <f t="shared" si="230"/>
        <v>Bills</v>
      </c>
      <c r="D229" s="114" t="s">
        <v>111</v>
      </c>
      <c r="E229" s="84"/>
      <c r="F229" s="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49"/>
      <c r="AI229" s="184"/>
      <c r="AJ229" s="49"/>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S229" s="84"/>
      <c r="BT229" s="51" t="s">
        <v>17</v>
      </c>
    </row>
    <row r="230" spans="1:72" x14ac:dyDescent="0.25">
      <c r="B230" s="243" t="str">
        <f t="shared" si="230"/>
        <v>Small C&amp;I</v>
      </c>
      <c r="C230" s="243" t="str">
        <f t="shared" si="230"/>
        <v>Bills</v>
      </c>
      <c r="D230" s="244" t="str">
        <f t="shared" si="230"/>
        <v>Bills after DSM Scenario</v>
      </c>
      <c r="E230" s="84" t="s">
        <v>348</v>
      </c>
      <c r="F230" s="84" t="s">
        <v>32</v>
      </c>
      <c r="G230" s="103">
        <f ca="1">G222+G223*(G215-G214)</f>
        <v>0</v>
      </c>
      <c r="H230" s="103">
        <f ca="1">H222+H223*(H215-H214)</f>
        <v>0</v>
      </c>
      <c r="I230" s="103">
        <f t="shared" ref="I230:AG230" ca="1" si="240">I222+I223*(I215-I214)</f>
        <v>2984.0897571470559</v>
      </c>
      <c r="J230" s="103">
        <f t="shared" ca="1" si="240"/>
        <v>2673.8971082943617</v>
      </c>
      <c r="K230" s="103">
        <f t="shared" ca="1" si="240"/>
        <v>2673.8971082943617</v>
      </c>
      <c r="L230" s="103">
        <f t="shared" ca="1" si="240"/>
        <v>2673.8971082943617</v>
      </c>
      <c r="M230" s="103">
        <f t="shared" ca="1" si="240"/>
        <v>2673.8971082943617</v>
      </c>
      <c r="N230" s="103">
        <f t="shared" ca="1" si="240"/>
        <v>2673.8971082943617</v>
      </c>
      <c r="O230" s="103">
        <f t="shared" ca="1" si="240"/>
        <v>2673.8971082943617</v>
      </c>
      <c r="P230" s="103">
        <f t="shared" ca="1" si="240"/>
        <v>2673.8971082943617</v>
      </c>
      <c r="Q230" s="103">
        <f t="shared" ca="1" si="240"/>
        <v>2673.8971082943617</v>
      </c>
      <c r="R230" s="103">
        <f t="shared" ca="1" si="240"/>
        <v>2673.8971082943617</v>
      </c>
      <c r="S230" s="103">
        <f t="shared" ca="1" si="240"/>
        <v>2673.8971082943617</v>
      </c>
      <c r="T230" s="103">
        <f t="shared" ca="1" si="240"/>
        <v>2673.8971082943617</v>
      </c>
      <c r="U230" s="103">
        <f t="shared" ca="1" si="240"/>
        <v>2673.8971082943617</v>
      </c>
      <c r="V230" s="103">
        <f t="shared" ca="1" si="240"/>
        <v>2673.8971082943617</v>
      </c>
      <c r="W230" s="103">
        <f t="shared" ca="1" si="240"/>
        <v>2673.8971082943617</v>
      </c>
      <c r="X230" s="103">
        <f t="shared" ca="1" si="240"/>
        <v>2673.8971082943617</v>
      </c>
      <c r="Y230" s="103">
        <f t="shared" ca="1" si="240"/>
        <v>2662.1510455613457</v>
      </c>
      <c r="Z230" s="103">
        <f t="shared" ca="1" si="240"/>
        <v>2662.1510455613457</v>
      </c>
      <c r="AA230" s="103">
        <f t="shared" ca="1" si="240"/>
        <v>2662.1510455613457</v>
      </c>
      <c r="AB230" s="103">
        <f t="shared" ca="1" si="240"/>
        <v>2662.1510455613457</v>
      </c>
      <c r="AC230" s="103">
        <f t="shared" ca="1" si="240"/>
        <v>2662.1510455613457</v>
      </c>
      <c r="AD230" s="103">
        <f t="shared" ca="1" si="240"/>
        <v>2662.1510455613457</v>
      </c>
      <c r="AE230" s="103">
        <f t="shared" ca="1" si="240"/>
        <v>2662.1510455613457</v>
      </c>
      <c r="AF230" s="103">
        <f t="shared" ca="1" si="240"/>
        <v>2662.1510455613457</v>
      </c>
      <c r="AG230" s="103">
        <f t="shared" ca="1" si="240"/>
        <v>2662.1510455613457</v>
      </c>
      <c r="AH230" s="103"/>
      <c r="AI230" s="103"/>
      <c r="AJ230" s="103">
        <f ca="1">IF($C$4=Year1,-PMT(Lookups!$E$17,25,NPV(Lookups!$E$17,G230:AE230),0,1),IF($C$4=Year2,-PMT(Lookups!$F$17,25,NPV(Lookups!$F$17,H230:AF230),0,1),IF($C$4=Year3,-PMT(Lookups!$G$17,25,NPV(Lookups!$G$17,I230:AG230),0,1),-PMT(Lookups!$G$17,27,NPV(Lookups!$G$17,G230:AG230),0,1))))</f>
        <v>2647.3017393200485</v>
      </c>
      <c r="AM230" s="149">
        <f ca="1">AM222+AM223*(AM215-AM214)</f>
        <v>0</v>
      </c>
      <c r="AN230" s="149">
        <f t="shared" ref="AN230:BM230" ca="1" si="241">AN222+AN223*(AN215-AN214)</f>
        <v>0</v>
      </c>
      <c r="AO230" s="149">
        <f t="shared" ca="1" si="241"/>
        <v>3047.8410044167385</v>
      </c>
      <c r="AP230" s="149">
        <f t="shared" ca="1" si="241"/>
        <v>2675.6098257935064</v>
      </c>
      <c r="AQ230" s="149">
        <f t="shared" ca="1" si="241"/>
        <v>2675.6098257935064</v>
      </c>
      <c r="AR230" s="149">
        <f t="shared" ca="1" si="241"/>
        <v>2675.6098257935064</v>
      </c>
      <c r="AS230" s="149">
        <f t="shared" ca="1" si="241"/>
        <v>2675.6098257935064</v>
      </c>
      <c r="AT230" s="149">
        <f t="shared" ca="1" si="241"/>
        <v>2675.6098257935064</v>
      </c>
      <c r="AU230" s="149">
        <f t="shared" ca="1" si="241"/>
        <v>2675.6098257935064</v>
      </c>
      <c r="AV230" s="149">
        <f t="shared" ca="1" si="241"/>
        <v>2675.6098257935064</v>
      </c>
      <c r="AW230" s="149">
        <f t="shared" ca="1" si="241"/>
        <v>2675.6098257935064</v>
      </c>
      <c r="AX230" s="149">
        <f t="shared" ca="1" si="241"/>
        <v>2675.6098257935064</v>
      </c>
      <c r="AY230" s="149">
        <f t="shared" ca="1" si="241"/>
        <v>2675.6098257935064</v>
      </c>
      <c r="AZ230" s="149">
        <f t="shared" ca="1" si="241"/>
        <v>2675.6098257935064</v>
      </c>
      <c r="BA230" s="149">
        <f t="shared" ca="1" si="241"/>
        <v>2675.6098257935064</v>
      </c>
      <c r="BB230" s="149">
        <f t="shared" ca="1" si="241"/>
        <v>2675.6098257935064</v>
      </c>
      <c r="BC230" s="149">
        <f t="shared" ca="1" si="241"/>
        <v>2675.6098257935064</v>
      </c>
      <c r="BD230" s="149">
        <f t="shared" ca="1" si="241"/>
        <v>2675.6098257935064</v>
      </c>
      <c r="BE230" s="149">
        <f t="shared" ca="1" si="241"/>
        <v>2662.1510455613457</v>
      </c>
      <c r="BF230" s="149">
        <f t="shared" ca="1" si="241"/>
        <v>2662.1510455613457</v>
      </c>
      <c r="BG230" s="149">
        <f t="shared" ca="1" si="241"/>
        <v>2662.1510455613457</v>
      </c>
      <c r="BH230" s="149">
        <f t="shared" ca="1" si="241"/>
        <v>2662.1510455613457</v>
      </c>
      <c r="BI230" s="149">
        <f t="shared" ca="1" si="241"/>
        <v>2662.1510455613457</v>
      </c>
      <c r="BJ230" s="149">
        <f t="shared" ca="1" si="241"/>
        <v>2662.1510455613457</v>
      </c>
      <c r="BK230" s="149">
        <f t="shared" ca="1" si="241"/>
        <v>2662.1510455613457</v>
      </c>
      <c r="BL230" s="149">
        <f t="shared" ca="1" si="241"/>
        <v>2662.1510455613457</v>
      </c>
      <c r="BM230" s="149">
        <f t="shared" ca="1" si="241"/>
        <v>2662.1510455613457</v>
      </c>
      <c r="BN230" s="149"/>
      <c r="BO230" s="149"/>
      <c r="BP230" s="149">
        <f ca="1">IF($C$4=Year1,-PMT(Lookups!$E$17,25,NPV(Lookups!$E$17,AM230:BK230),0,1),IF($C$4=Year2,-PMT(Lookups!$F$17,25,NPV(Lookups!$F$17,AN230:BL230),0,1),IF($C$4=Year3,-PMT(Lookups!$G$17,25,NPV(Lookups!$G$17,AO230:BM230),0,1),-PMT(Lookups!$G$17,27,NPV(Lookups!$G$17,AM230:BM230),0,1))))</f>
        <v>2651.3309512989922</v>
      </c>
      <c r="BS230" s="84" t="s">
        <v>239</v>
      </c>
      <c r="BT230" s="51" t="s">
        <v>17</v>
      </c>
    </row>
    <row r="231" spans="1:72" x14ac:dyDescent="0.25">
      <c r="B231" s="243" t="str">
        <f t="shared" si="230"/>
        <v>Small C&amp;I</v>
      </c>
      <c r="C231" s="243" t="str">
        <f t="shared" si="230"/>
        <v>Bills</v>
      </c>
      <c r="D231" s="244" t="str">
        <f t="shared" si="230"/>
        <v>Bills after DSM Scenario</v>
      </c>
      <c r="E231" s="84" t="s">
        <v>349</v>
      </c>
      <c r="F231" s="84" t="s">
        <v>32</v>
      </c>
      <c r="G231" s="103">
        <f ca="1">G222+(G223-G226)*(G215-G214)</f>
        <v>0</v>
      </c>
      <c r="H231" s="103">
        <f ca="1">H222+(H223-H226)*(H215-H214)</f>
        <v>0</v>
      </c>
      <c r="I231" s="103">
        <f t="shared" ref="I231:AG231" ca="1" si="242">I222+(I223-I226)*(I215-I214)</f>
        <v>2934.3099404626419</v>
      </c>
      <c r="J231" s="103">
        <f t="shared" ca="1" si="242"/>
        <v>2630.8083114350061</v>
      </c>
      <c r="K231" s="103">
        <f t="shared" ca="1" si="242"/>
        <v>2630.8083114350061</v>
      </c>
      <c r="L231" s="103">
        <f t="shared" ca="1" si="242"/>
        <v>2630.8083114350061</v>
      </c>
      <c r="M231" s="103">
        <f t="shared" ca="1" si="242"/>
        <v>2630.8083114350061</v>
      </c>
      <c r="N231" s="103">
        <f t="shared" ca="1" si="242"/>
        <v>2630.8083114350061</v>
      </c>
      <c r="O231" s="103">
        <f t="shared" ca="1" si="242"/>
        <v>2630.8083114350061</v>
      </c>
      <c r="P231" s="103">
        <f t="shared" ca="1" si="242"/>
        <v>2630.8083114350061</v>
      </c>
      <c r="Q231" s="103">
        <f t="shared" ca="1" si="242"/>
        <v>2630.8083114350061</v>
      </c>
      <c r="R231" s="103">
        <f t="shared" ca="1" si="242"/>
        <v>2630.8083114350061</v>
      </c>
      <c r="S231" s="103">
        <f t="shared" ca="1" si="242"/>
        <v>2630.8083114350061</v>
      </c>
      <c r="T231" s="103">
        <f t="shared" ca="1" si="242"/>
        <v>2630.8083114350061</v>
      </c>
      <c r="U231" s="103">
        <f t="shared" ca="1" si="242"/>
        <v>2630.8083114350061</v>
      </c>
      <c r="V231" s="103">
        <f t="shared" ca="1" si="242"/>
        <v>2630.8083114350061</v>
      </c>
      <c r="W231" s="103">
        <f t="shared" ca="1" si="242"/>
        <v>2630.8083114350061</v>
      </c>
      <c r="X231" s="103">
        <f t="shared" ca="1" si="242"/>
        <v>2630.8083114350061</v>
      </c>
      <c r="Y231" s="103">
        <f t="shared" ca="1" si="242"/>
        <v>2662.1510455613457</v>
      </c>
      <c r="Z231" s="103">
        <f t="shared" ca="1" si="242"/>
        <v>2662.1510455613457</v>
      </c>
      <c r="AA231" s="103">
        <f t="shared" ca="1" si="242"/>
        <v>2662.1510455613457</v>
      </c>
      <c r="AB231" s="103">
        <f t="shared" ca="1" si="242"/>
        <v>2662.1510455613457</v>
      </c>
      <c r="AC231" s="103">
        <f t="shared" ca="1" si="242"/>
        <v>2662.1510455613457</v>
      </c>
      <c r="AD231" s="103">
        <f t="shared" ca="1" si="242"/>
        <v>2662.1510455613457</v>
      </c>
      <c r="AE231" s="103">
        <f t="shared" ca="1" si="242"/>
        <v>2662.1510455613457</v>
      </c>
      <c r="AF231" s="103">
        <f t="shared" ca="1" si="242"/>
        <v>2662.1510455613457</v>
      </c>
      <c r="AG231" s="103">
        <f t="shared" ca="1" si="242"/>
        <v>2662.1510455613457</v>
      </c>
      <c r="AH231" s="103"/>
      <c r="AI231" s="103"/>
      <c r="AJ231" s="103">
        <f ca="1">IF($C$4=Year1,-PMT(Lookups!$E$17,25,NPV(Lookups!$E$17,G231:AE231),0,1),IF($C$4=Year2,-PMT(Lookups!$F$17,25,NPV(Lookups!$F$17,H231:AF231),0,1),IF($C$4=Year3,-PMT(Lookups!$G$17,25,NPV(Lookups!$G$17,I231:AG231),0,1),-PMT(Lookups!$G$17,27,NPV(Lookups!$G$17,G231:AG231),0,1))))</f>
        <v>2618.1122720570124</v>
      </c>
      <c r="AM231" s="149">
        <f ca="1">AM222+(AM223-AM226)*(AM215-AM214)</f>
        <v>0</v>
      </c>
      <c r="AN231" s="149">
        <f t="shared" ref="AN231:BM231" ca="1" si="243">AN222+(AN223-AN226)*(AN215-AN214)</f>
        <v>0</v>
      </c>
      <c r="AO231" s="149">
        <f t="shared" ca="1" si="243"/>
        <v>2989.3781874183942</v>
      </c>
      <c r="AP231" s="149">
        <f t="shared" ca="1" si="243"/>
        <v>2626.3232645552412</v>
      </c>
      <c r="AQ231" s="149">
        <f t="shared" ca="1" si="243"/>
        <v>2626.3232645552412</v>
      </c>
      <c r="AR231" s="149">
        <f t="shared" ca="1" si="243"/>
        <v>2626.3232645552412</v>
      </c>
      <c r="AS231" s="149">
        <f t="shared" ca="1" si="243"/>
        <v>2626.3232645552412</v>
      </c>
      <c r="AT231" s="149">
        <f t="shared" ca="1" si="243"/>
        <v>2626.3232645552412</v>
      </c>
      <c r="AU231" s="149">
        <f t="shared" ca="1" si="243"/>
        <v>2626.3232645552412</v>
      </c>
      <c r="AV231" s="149">
        <f t="shared" ca="1" si="243"/>
        <v>2626.3232645552412</v>
      </c>
      <c r="AW231" s="149">
        <f t="shared" ca="1" si="243"/>
        <v>2626.3232645552412</v>
      </c>
      <c r="AX231" s="149">
        <f t="shared" ca="1" si="243"/>
        <v>2626.3232645552412</v>
      </c>
      <c r="AY231" s="149">
        <f t="shared" ca="1" si="243"/>
        <v>2626.3232645552412</v>
      </c>
      <c r="AZ231" s="149">
        <f t="shared" ca="1" si="243"/>
        <v>2626.3232645552412</v>
      </c>
      <c r="BA231" s="149">
        <f t="shared" ca="1" si="243"/>
        <v>2626.3232645552412</v>
      </c>
      <c r="BB231" s="149">
        <f t="shared" ca="1" si="243"/>
        <v>2626.3232645552412</v>
      </c>
      <c r="BC231" s="149">
        <f t="shared" ca="1" si="243"/>
        <v>2626.3232645552412</v>
      </c>
      <c r="BD231" s="149">
        <f t="shared" ca="1" si="243"/>
        <v>2626.3232645552412</v>
      </c>
      <c r="BE231" s="149">
        <f t="shared" ca="1" si="243"/>
        <v>2662.1510455613457</v>
      </c>
      <c r="BF231" s="149">
        <f t="shared" ca="1" si="243"/>
        <v>2662.1510455613457</v>
      </c>
      <c r="BG231" s="149">
        <f t="shared" ca="1" si="243"/>
        <v>2662.1510455613457</v>
      </c>
      <c r="BH231" s="149">
        <f t="shared" ca="1" si="243"/>
        <v>2662.1510455613457</v>
      </c>
      <c r="BI231" s="149">
        <f t="shared" ca="1" si="243"/>
        <v>2662.1510455613457</v>
      </c>
      <c r="BJ231" s="149">
        <f t="shared" ca="1" si="243"/>
        <v>2662.1510455613457</v>
      </c>
      <c r="BK231" s="149">
        <f t="shared" ca="1" si="243"/>
        <v>2662.1510455613457</v>
      </c>
      <c r="BL231" s="149">
        <f t="shared" ca="1" si="243"/>
        <v>2662.1510455613457</v>
      </c>
      <c r="BM231" s="149">
        <f t="shared" ca="1" si="243"/>
        <v>2662.1510455613457</v>
      </c>
      <c r="BN231" s="149"/>
      <c r="BO231" s="149"/>
      <c r="BP231" s="149">
        <f ca="1">IF($C$4=Year1,-PMT(Lookups!$E$17,25,NPV(Lookups!$E$17,AM231:BK231),0,1),IF($C$4=Year2,-PMT(Lookups!$F$17,25,NPV(Lookups!$F$17,AN231:BL231),0,1),IF($C$4=Year3,-PMT(Lookups!$G$17,25,NPV(Lookups!$G$17,AO231:BM231),0,1),-PMT(Lookups!$G$17,27,NPV(Lookups!$G$17,AM231:BM231),0,1))))</f>
        <v>2617.8722318695773</v>
      </c>
      <c r="BS231" s="84" t="s">
        <v>240</v>
      </c>
      <c r="BT231" s="51" t="s">
        <v>17</v>
      </c>
    </row>
    <row r="232" spans="1:72" x14ac:dyDescent="0.25">
      <c r="B232" s="243" t="str">
        <f t="shared" si="230"/>
        <v>Small C&amp;I</v>
      </c>
      <c r="C232" s="243" t="str">
        <f t="shared" si="230"/>
        <v>Bills</v>
      </c>
      <c r="D232" s="244" t="str">
        <f t="shared" si="230"/>
        <v>Bills after DSM Scenario</v>
      </c>
      <c r="E232" s="84" t="str">
        <f>'EE Inputs'!$N$15&amp;" Participant Annual Bill"</f>
        <v>Low Savings Participant Annual Bill</v>
      </c>
      <c r="F232" s="84" t="s">
        <v>32</v>
      </c>
      <c r="G232" s="103">
        <f ca="1">G222+(G223-G227)*(G215-G214)</f>
        <v>0</v>
      </c>
      <c r="H232" s="103">
        <f ca="1">H222+(H223-H227)*(H215-H214)</f>
        <v>0</v>
      </c>
      <c r="I232" s="103">
        <f t="shared" ref="I232:AG232" ca="1" si="244">I222+(I223-I227)*(I215-I214)</f>
        <v>2868.7012692897033</v>
      </c>
      <c r="J232" s="103">
        <f t="shared" ca="1" si="244"/>
        <v>2574.018252879644</v>
      </c>
      <c r="K232" s="103">
        <f t="shared" ca="1" si="244"/>
        <v>2574.018252879644</v>
      </c>
      <c r="L232" s="103">
        <f t="shared" ca="1" si="244"/>
        <v>2574.018252879644</v>
      </c>
      <c r="M232" s="103">
        <f t="shared" ca="1" si="244"/>
        <v>2574.018252879644</v>
      </c>
      <c r="N232" s="103">
        <f t="shared" ca="1" si="244"/>
        <v>2574.018252879644</v>
      </c>
      <c r="O232" s="103">
        <f t="shared" ca="1" si="244"/>
        <v>2574.018252879644</v>
      </c>
      <c r="P232" s="103">
        <f t="shared" ca="1" si="244"/>
        <v>2574.018252879644</v>
      </c>
      <c r="Q232" s="103">
        <f t="shared" ca="1" si="244"/>
        <v>2574.018252879644</v>
      </c>
      <c r="R232" s="103">
        <f t="shared" ca="1" si="244"/>
        <v>2574.018252879644</v>
      </c>
      <c r="S232" s="103">
        <f t="shared" ca="1" si="244"/>
        <v>2574.018252879644</v>
      </c>
      <c r="T232" s="103">
        <f t="shared" ca="1" si="244"/>
        <v>2574.018252879644</v>
      </c>
      <c r="U232" s="103">
        <f t="shared" ca="1" si="244"/>
        <v>2574.018252879644</v>
      </c>
      <c r="V232" s="103">
        <f t="shared" ca="1" si="244"/>
        <v>2574.018252879644</v>
      </c>
      <c r="W232" s="103">
        <f t="shared" ca="1" si="244"/>
        <v>2574.018252879644</v>
      </c>
      <c r="X232" s="103">
        <f t="shared" ca="1" si="244"/>
        <v>2574.018252879644</v>
      </c>
      <c r="Y232" s="103">
        <f t="shared" ca="1" si="244"/>
        <v>2662.1510455613457</v>
      </c>
      <c r="Z232" s="103">
        <f t="shared" ca="1" si="244"/>
        <v>2662.1510455613457</v>
      </c>
      <c r="AA232" s="103">
        <f t="shared" ca="1" si="244"/>
        <v>2662.1510455613457</v>
      </c>
      <c r="AB232" s="103">
        <f t="shared" ca="1" si="244"/>
        <v>2662.1510455613457</v>
      </c>
      <c r="AC232" s="103">
        <f t="shared" ca="1" si="244"/>
        <v>2662.1510455613457</v>
      </c>
      <c r="AD232" s="103">
        <f t="shared" ca="1" si="244"/>
        <v>2662.1510455613457</v>
      </c>
      <c r="AE232" s="103">
        <f t="shared" ca="1" si="244"/>
        <v>2662.1510455613457</v>
      </c>
      <c r="AF232" s="103">
        <f t="shared" ca="1" si="244"/>
        <v>2662.1510455613457</v>
      </c>
      <c r="AG232" s="103">
        <f t="shared" ca="1" si="244"/>
        <v>2662.1510455613457</v>
      </c>
      <c r="AH232" s="103"/>
      <c r="AI232" s="103"/>
      <c r="AJ232" s="103">
        <f ca="1">IF($C$4=Year1,-PMT(Lookups!$E$17,25,NPV(Lookups!$E$17,G232:AE232),0,1),IF($C$4=Year2,-PMT(Lookups!$F$17,25,NPV(Lookups!$F$17,H232:AF232),0,1),IF($C$4=Year3,-PMT(Lookups!$G$17,25,NPV(Lookups!$G$17,I232:AG232),0,1),-PMT(Lookups!$G$17,27,NPV(Lookups!$G$17,G232:AG232),0,1))))</f>
        <v>2579.6412151723571</v>
      </c>
      <c r="AM232" s="149">
        <f ca="1">AM222+(AM223-AM227)*(AM215-AM214)</f>
        <v>0</v>
      </c>
      <c r="AN232" s="149">
        <f t="shared" ref="AN232:BM232" ca="1" si="245">AN222+(AN223-AN227)*(AN215-AN214)</f>
        <v>0</v>
      </c>
      <c r="AO232" s="149">
        <f t="shared" ca="1" si="245"/>
        <v>2905.5497441517346</v>
      </c>
      <c r="AP232" s="149">
        <f t="shared" ca="1" si="245"/>
        <v>2555.6524362458963</v>
      </c>
      <c r="AQ232" s="149">
        <f t="shared" ca="1" si="245"/>
        <v>2555.6524362458963</v>
      </c>
      <c r="AR232" s="149">
        <f t="shared" ca="1" si="245"/>
        <v>2555.6524362458963</v>
      </c>
      <c r="AS232" s="149">
        <f t="shared" ca="1" si="245"/>
        <v>2555.6524362458963</v>
      </c>
      <c r="AT232" s="149">
        <f t="shared" ca="1" si="245"/>
        <v>2555.6524362458963</v>
      </c>
      <c r="AU232" s="149">
        <f t="shared" ca="1" si="245"/>
        <v>2555.6524362458963</v>
      </c>
      <c r="AV232" s="149">
        <f t="shared" ca="1" si="245"/>
        <v>2555.6524362458963</v>
      </c>
      <c r="AW232" s="149">
        <f t="shared" ca="1" si="245"/>
        <v>2555.6524362458963</v>
      </c>
      <c r="AX232" s="149">
        <f t="shared" ca="1" si="245"/>
        <v>2555.6524362458963</v>
      </c>
      <c r="AY232" s="149">
        <f t="shared" ca="1" si="245"/>
        <v>2555.6524362458963</v>
      </c>
      <c r="AZ232" s="149">
        <f t="shared" ca="1" si="245"/>
        <v>2555.6524362458963</v>
      </c>
      <c r="BA232" s="149">
        <f t="shared" ca="1" si="245"/>
        <v>2555.6524362458963</v>
      </c>
      <c r="BB232" s="149">
        <f t="shared" ca="1" si="245"/>
        <v>2555.6524362458963</v>
      </c>
      <c r="BC232" s="149">
        <f t="shared" ca="1" si="245"/>
        <v>2555.6524362458963</v>
      </c>
      <c r="BD232" s="149">
        <f t="shared" ca="1" si="245"/>
        <v>2555.6524362458963</v>
      </c>
      <c r="BE232" s="149">
        <f t="shared" ca="1" si="245"/>
        <v>2662.1510455613457</v>
      </c>
      <c r="BF232" s="149">
        <f t="shared" ca="1" si="245"/>
        <v>2662.1510455613457</v>
      </c>
      <c r="BG232" s="149">
        <f t="shared" ca="1" si="245"/>
        <v>2662.1510455613457</v>
      </c>
      <c r="BH232" s="149">
        <f t="shared" ca="1" si="245"/>
        <v>2662.1510455613457</v>
      </c>
      <c r="BI232" s="149">
        <f t="shared" ca="1" si="245"/>
        <v>2662.1510455613457</v>
      </c>
      <c r="BJ232" s="149">
        <f t="shared" ca="1" si="245"/>
        <v>2662.1510455613457</v>
      </c>
      <c r="BK232" s="149">
        <f t="shared" ca="1" si="245"/>
        <v>2662.1510455613457</v>
      </c>
      <c r="BL232" s="149">
        <f t="shared" ca="1" si="245"/>
        <v>2662.1510455613457</v>
      </c>
      <c r="BM232" s="149">
        <f t="shared" ca="1" si="245"/>
        <v>2662.1510455613457</v>
      </c>
      <c r="BN232" s="149"/>
      <c r="BO232" s="149"/>
      <c r="BP232" s="149">
        <f ca="1">IF($C$4=Year1,-PMT(Lookups!$E$17,25,NPV(Lookups!$E$17,AM232:BK232),0,1),IF($C$4=Year2,-PMT(Lookups!$F$17,25,NPV(Lookups!$F$17,AN232:BL232),0,1),IF($C$4=Year3,-PMT(Lookups!$G$17,25,NPV(Lookups!$G$17,AO232:BM232),0,1),-PMT(Lookups!$G$17,27,NPV(Lookups!$G$17,AM232:BM232),0,1))))</f>
        <v>2569.8965696030255</v>
      </c>
      <c r="BS232" s="84" t="s">
        <v>240</v>
      </c>
      <c r="BT232" s="51" t="s">
        <v>17</v>
      </c>
    </row>
    <row r="233" spans="1:72" x14ac:dyDescent="0.25">
      <c r="B233" s="243" t="str">
        <f t="shared" ref="B233:D243" si="246">B232</f>
        <v>Small C&amp;I</v>
      </c>
      <c r="C233" s="243" t="str">
        <f t="shared" si="246"/>
        <v>Bills</v>
      </c>
      <c r="D233" s="244" t="str">
        <f t="shared" si="246"/>
        <v>Bills after DSM Scenario</v>
      </c>
      <c r="E233" s="84" t="str">
        <f>'EE Inputs'!$N$16&amp;" Participant Annual Bill"</f>
        <v>High Savings Participant Annual Bill</v>
      </c>
      <c r="F233" s="84" t="s">
        <v>32</v>
      </c>
      <c r="G233" s="103">
        <f ca="1">G222+(G223-G228)*(G215-G214)</f>
        <v>0</v>
      </c>
      <c r="H233" s="103">
        <f ca="1">H222+(H223-H228)*(H215-H214)</f>
        <v>0</v>
      </c>
      <c r="I233" s="103">
        <f t="shared" ref="I233:AG233" ca="1" si="247">I222+(I223-I228)*(I215-I214)</f>
        <v>2753.3127814323498</v>
      </c>
      <c r="J233" s="103">
        <f t="shared" ca="1" si="247"/>
        <v>2474.1393974649259</v>
      </c>
      <c r="K233" s="103">
        <f t="shared" ca="1" si="247"/>
        <v>2474.1393974649259</v>
      </c>
      <c r="L233" s="103">
        <f t="shared" ca="1" si="247"/>
        <v>2474.1393974649259</v>
      </c>
      <c r="M233" s="103">
        <f t="shared" ca="1" si="247"/>
        <v>2474.1393974649259</v>
      </c>
      <c r="N233" s="103">
        <f t="shared" ca="1" si="247"/>
        <v>2474.1393974649259</v>
      </c>
      <c r="O233" s="103">
        <f t="shared" ca="1" si="247"/>
        <v>2474.1393974649259</v>
      </c>
      <c r="P233" s="103">
        <f t="shared" ca="1" si="247"/>
        <v>2474.1393974649259</v>
      </c>
      <c r="Q233" s="103">
        <f t="shared" ca="1" si="247"/>
        <v>2474.1393974649259</v>
      </c>
      <c r="R233" s="103">
        <f t="shared" ca="1" si="247"/>
        <v>2474.1393974649259</v>
      </c>
      <c r="S233" s="103">
        <f t="shared" ca="1" si="247"/>
        <v>2474.1393974649259</v>
      </c>
      <c r="T233" s="103">
        <f t="shared" ca="1" si="247"/>
        <v>2474.1393974649259</v>
      </c>
      <c r="U233" s="103">
        <f t="shared" ca="1" si="247"/>
        <v>2474.1393974649259</v>
      </c>
      <c r="V233" s="103">
        <f t="shared" ca="1" si="247"/>
        <v>2474.1393974649259</v>
      </c>
      <c r="W233" s="103">
        <f t="shared" ca="1" si="247"/>
        <v>2474.1393974649259</v>
      </c>
      <c r="X233" s="103">
        <f t="shared" ca="1" si="247"/>
        <v>2474.1393974649259</v>
      </c>
      <c r="Y233" s="103">
        <f t="shared" ca="1" si="247"/>
        <v>2662.1510455613457</v>
      </c>
      <c r="Z233" s="103">
        <f t="shared" ca="1" si="247"/>
        <v>2662.1510455613457</v>
      </c>
      <c r="AA233" s="103">
        <f t="shared" ca="1" si="247"/>
        <v>2662.1510455613457</v>
      </c>
      <c r="AB233" s="103">
        <f t="shared" ca="1" si="247"/>
        <v>2662.1510455613457</v>
      </c>
      <c r="AC233" s="103">
        <f t="shared" ca="1" si="247"/>
        <v>2662.1510455613457</v>
      </c>
      <c r="AD233" s="103">
        <f t="shared" ca="1" si="247"/>
        <v>2662.1510455613457</v>
      </c>
      <c r="AE233" s="103">
        <f t="shared" ca="1" si="247"/>
        <v>2662.1510455613457</v>
      </c>
      <c r="AF233" s="103">
        <f t="shared" ca="1" si="247"/>
        <v>2662.1510455613457</v>
      </c>
      <c r="AG233" s="103">
        <f t="shared" ca="1" si="247"/>
        <v>2662.1510455613457</v>
      </c>
      <c r="AH233" s="103"/>
      <c r="AI233" s="103"/>
      <c r="AJ233" s="103">
        <f ca="1">IF($C$4=Year1,-PMT(Lookups!$E$17,25,NPV(Lookups!$E$17,G233:AE233),0,1),IF($C$4=Year2,-PMT(Lookups!$F$17,25,NPV(Lookups!$F$17,H233:AF233),0,1),IF($C$4=Year3,-PMT(Lookups!$G$17,25,NPV(Lookups!$G$17,I233:AG233),0,1),-PMT(Lookups!$G$17,27,NPV(Lookups!$G$17,G233:AG233),0,1))))</f>
        <v>2511.9806910246648</v>
      </c>
      <c r="AM233" s="149">
        <f ca="1">AM222+(AM223-AM228)*(AM215-AM214)</f>
        <v>0</v>
      </c>
      <c r="AN233" s="149">
        <f t="shared" ref="AN233:BM233" ca="1" si="248">AN222+(AN223-AN228)*(AN215-AN214)</f>
        <v>0</v>
      </c>
      <c r="AO233" s="149">
        <f t="shared" ca="1" si="248"/>
        <v>2763.2584838867306</v>
      </c>
      <c r="AP233" s="149">
        <f t="shared" ca="1" si="248"/>
        <v>2435.6950466982858</v>
      </c>
      <c r="AQ233" s="149">
        <f t="shared" ca="1" si="248"/>
        <v>2435.6950466982858</v>
      </c>
      <c r="AR233" s="149">
        <f t="shared" ca="1" si="248"/>
        <v>2435.6950466982858</v>
      </c>
      <c r="AS233" s="149">
        <f t="shared" ca="1" si="248"/>
        <v>2435.6950466982858</v>
      </c>
      <c r="AT233" s="149">
        <f t="shared" ca="1" si="248"/>
        <v>2435.6950466982858</v>
      </c>
      <c r="AU233" s="149">
        <f t="shared" ca="1" si="248"/>
        <v>2435.6950466982858</v>
      </c>
      <c r="AV233" s="149">
        <f t="shared" ca="1" si="248"/>
        <v>2435.6950466982858</v>
      </c>
      <c r="AW233" s="149">
        <f t="shared" ca="1" si="248"/>
        <v>2435.6950466982858</v>
      </c>
      <c r="AX233" s="149">
        <f t="shared" ca="1" si="248"/>
        <v>2435.6950466982858</v>
      </c>
      <c r="AY233" s="149">
        <f t="shared" ca="1" si="248"/>
        <v>2435.6950466982858</v>
      </c>
      <c r="AZ233" s="149">
        <f t="shared" ca="1" si="248"/>
        <v>2435.6950466982858</v>
      </c>
      <c r="BA233" s="149">
        <f t="shared" ca="1" si="248"/>
        <v>2435.6950466982858</v>
      </c>
      <c r="BB233" s="149">
        <f t="shared" ca="1" si="248"/>
        <v>2435.6950466982858</v>
      </c>
      <c r="BC233" s="149">
        <f t="shared" ca="1" si="248"/>
        <v>2435.6950466982858</v>
      </c>
      <c r="BD233" s="149">
        <f t="shared" ca="1" si="248"/>
        <v>2435.6950466982858</v>
      </c>
      <c r="BE233" s="149">
        <f t="shared" ca="1" si="248"/>
        <v>2662.1510455613457</v>
      </c>
      <c r="BF233" s="149">
        <f t="shared" ca="1" si="248"/>
        <v>2662.1510455613457</v>
      </c>
      <c r="BG233" s="149">
        <f t="shared" ca="1" si="248"/>
        <v>2662.1510455613457</v>
      </c>
      <c r="BH233" s="149">
        <f t="shared" ca="1" si="248"/>
        <v>2662.1510455613457</v>
      </c>
      <c r="BI233" s="149">
        <f t="shared" ca="1" si="248"/>
        <v>2662.1510455613457</v>
      </c>
      <c r="BJ233" s="149">
        <f t="shared" ca="1" si="248"/>
        <v>2662.1510455613457</v>
      </c>
      <c r="BK233" s="149">
        <f t="shared" ca="1" si="248"/>
        <v>2662.1510455613457</v>
      </c>
      <c r="BL233" s="149">
        <f t="shared" ca="1" si="248"/>
        <v>2662.1510455613457</v>
      </c>
      <c r="BM233" s="149">
        <f t="shared" ca="1" si="248"/>
        <v>2662.1510455613457</v>
      </c>
      <c r="BN233" s="149"/>
      <c r="BO233" s="149"/>
      <c r="BP233" s="149">
        <f ca="1">IF($C$4=Year1,-PMT(Lookups!$E$17,25,NPV(Lookups!$E$17,AM233:BK233),0,1),IF($C$4=Year2,-PMT(Lookups!$F$17,25,NPV(Lookups!$F$17,AN233:BL233),0,1),IF($C$4=Year3,-PMT(Lookups!$G$17,25,NPV(Lookups!$G$17,AO233:BM233),0,1),-PMT(Lookups!$G$17,27,NPV(Lookups!$G$17,AM233:BM233),0,1))))</f>
        <v>2488.4621879070583</v>
      </c>
      <c r="BS233" s="84" t="s">
        <v>240</v>
      </c>
      <c r="BT233" s="51" t="s">
        <v>17</v>
      </c>
    </row>
    <row r="234" spans="1:72" x14ac:dyDescent="0.25">
      <c r="B234" s="243" t="str">
        <f t="shared" si="246"/>
        <v>Small C&amp;I</v>
      </c>
      <c r="C234" s="243" t="str">
        <f t="shared" si="246"/>
        <v>Bills</v>
      </c>
      <c r="D234" s="114" t="s">
        <v>115</v>
      </c>
      <c r="E234" s="84"/>
      <c r="F234" s="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49"/>
      <c r="AI234" s="184"/>
      <c r="AJ234" s="49"/>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S234" s="84"/>
      <c r="BT234" s="51" t="s">
        <v>17</v>
      </c>
    </row>
    <row r="235" spans="1:72" x14ac:dyDescent="0.25">
      <c r="B235" s="243" t="str">
        <f t="shared" si="246"/>
        <v>Small C&amp;I</v>
      </c>
      <c r="C235" s="243" t="str">
        <f t="shared" si="246"/>
        <v>Bills</v>
      </c>
      <c r="D235" s="244" t="str">
        <f t="shared" si="246"/>
        <v>Change in Bills</v>
      </c>
      <c r="E235" s="84" t="s">
        <v>348</v>
      </c>
      <c r="F235" s="84" t="s">
        <v>32</v>
      </c>
      <c r="G235" s="103">
        <f ca="1">G230-G224</f>
        <v>0</v>
      </c>
      <c r="H235" s="103">
        <f t="shared" ref="H235:AG235" ca="1" si="249">H230-H224</f>
        <v>0</v>
      </c>
      <c r="I235" s="103">
        <f t="shared" ca="1" si="249"/>
        <v>321.93871158571028</v>
      </c>
      <c r="J235" s="103">
        <f t="shared" ca="1" si="249"/>
        <v>11.746062733016061</v>
      </c>
      <c r="K235" s="103">
        <f t="shared" ca="1" si="249"/>
        <v>11.746062733016061</v>
      </c>
      <c r="L235" s="103">
        <f t="shared" ca="1" si="249"/>
        <v>11.746062733016061</v>
      </c>
      <c r="M235" s="103">
        <f t="shared" ca="1" si="249"/>
        <v>11.746062733016061</v>
      </c>
      <c r="N235" s="103">
        <f t="shared" ca="1" si="249"/>
        <v>11.746062733016061</v>
      </c>
      <c r="O235" s="103">
        <f t="shared" ca="1" si="249"/>
        <v>11.746062733016061</v>
      </c>
      <c r="P235" s="103">
        <f t="shared" ca="1" si="249"/>
        <v>11.746062733016061</v>
      </c>
      <c r="Q235" s="103">
        <f t="shared" ca="1" si="249"/>
        <v>11.746062733016061</v>
      </c>
      <c r="R235" s="103">
        <f t="shared" ca="1" si="249"/>
        <v>11.746062733016061</v>
      </c>
      <c r="S235" s="103">
        <f t="shared" ca="1" si="249"/>
        <v>11.746062733016061</v>
      </c>
      <c r="T235" s="103">
        <f t="shared" ca="1" si="249"/>
        <v>11.746062733016061</v>
      </c>
      <c r="U235" s="103">
        <f t="shared" ca="1" si="249"/>
        <v>11.746062733016061</v>
      </c>
      <c r="V235" s="103">
        <f t="shared" ca="1" si="249"/>
        <v>11.746062733016061</v>
      </c>
      <c r="W235" s="103">
        <f t="shared" ca="1" si="249"/>
        <v>11.746062733016061</v>
      </c>
      <c r="X235" s="103">
        <f t="shared" ca="1" si="249"/>
        <v>11.746062733016061</v>
      </c>
      <c r="Y235" s="103">
        <f t="shared" ca="1" si="249"/>
        <v>0</v>
      </c>
      <c r="Z235" s="103">
        <f t="shared" ca="1" si="249"/>
        <v>0</v>
      </c>
      <c r="AA235" s="103">
        <f t="shared" ca="1" si="249"/>
        <v>0</v>
      </c>
      <c r="AB235" s="103">
        <f t="shared" ca="1" si="249"/>
        <v>0</v>
      </c>
      <c r="AC235" s="103">
        <f t="shared" ca="1" si="249"/>
        <v>0</v>
      </c>
      <c r="AD235" s="103">
        <f t="shared" ca="1" si="249"/>
        <v>0</v>
      </c>
      <c r="AE235" s="103">
        <f t="shared" ca="1" si="249"/>
        <v>0</v>
      </c>
      <c r="AF235" s="103">
        <f t="shared" ca="1" si="249"/>
        <v>0</v>
      </c>
      <c r="AG235" s="103">
        <f t="shared" ca="1" si="249"/>
        <v>0</v>
      </c>
      <c r="AH235" s="103"/>
      <c r="AI235" s="103">
        <f ca="1">NPV(Lookups!$E$17,G235:AG235)</f>
        <v>459.90280276759847</v>
      </c>
      <c r="AJ235" s="103">
        <f ca="1">IF($C$4=Year1,-PMT(Lookups!$E$17,25,NPV(Lookups!$E$17,G235:AE235),0,1),IF($C$4=Year2,-PMT(Lookups!$F$17,25,NPV(Lookups!$F$17,H235:AF235),0,1),IF($C$4=Year3,-PMT(Lookups!$G$17,25,NPV(Lookups!$G$17,I235:AG235),0,1),-PMT(Lookups!$G$17,27,NPV(Lookups!$G$17,G235:AG235),0,1))))</f>
        <v>22.278998897766805</v>
      </c>
      <c r="AM235" s="149">
        <f ca="1">AM230-AM224</f>
        <v>0</v>
      </c>
      <c r="AN235" s="149">
        <f t="shared" ref="AN235:BM235" ca="1" si="250">AN230-AN224</f>
        <v>0</v>
      </c>
      <c r="AO235" s="149">
        <f t="shared" ca="1" si="250"/>
        <v>385.68995885539289</v>
      </c>
      <c r="AP235" s="149">
        <f t="shared" ca="1" si="250"/>
        <v>13.458780232160734</v>
      </c>
      <c r="AQ235" s="149">
        <f t="shared" ca="1" si="250"/>
        <v>13.458780232160734</v>
      </c>
      <c r="AR235" s="149">
        <f t="shared" ca="1" si="250"/>
        <v>13.458780232160734</v>
      </c>
      <c r="AS235" s="149">
        <f t="shared" ca="1" si="250"/>
        <v>13.458780232160734</v>
      </c>
      <c r="AT235" s="149">
        <f t="shared" ca="1" si="250"/>
        <v>13.458780232160734</v>
      </c>
      <c r="AU235" s="149">
        <f t="shared" ca="1" si="250"/>
        <v>13.458780232160734</v>
      </c>
      <c r="AV235" s="149">
        <f t="shared" ca="1" si="250"/>
        <v>13.458780232160734</v>
      </c>
      <c r="AW235" s="149">
        <f t="shared" ca="1" si="250"/>
        <v>13.458780232160734</v>
      </c>
      <c r="AX235" s="149">
        <f t="shared" ca="1" si="250"/>
        <v>13.458780232160734</v>
      </c>
      <c r="AY235" s="149">
        <f t="shared" ca="1" si="250"/>
        <v>13.458780232160734</v>
      </c>
      <c r="AZ235" s="149">
        <f t="shared" ca="1" si="250"/>
        <v>13.458780232160734</v>
      </c>
      <c r="BA235" s="149">
        <f t="shared" ca="1" si="250"/>
        <v>13.458780232160734</v>
      </c>
      <c r="BB235" s="149">
        <f t="shared" ca="1" si="250"/>
        <v>13.458780232160734</v>
      </c>
      <c r="BC235" s="149">
        <f t="shared" ca="1" si="250"/>
        <v>13.458780232160734</v>
      </c>
      <c r="BD235" s="149">
        <f t="shared" ca="1" si="250"/>
        <v>13.458780232160734</v>
      </c>
      <c r="BE235" s="149">
        <f t="shared" ca="1" si="250"/>
        <v>0</v>
      </c>
      <c r="BF235" s="149">
        <f t="shared" ca="1" si="250"/>
        <v>0</v>
      </c>
      <c r="BG235" s="149">
        <f t="shared" ca="1" si="250"/>
        <v>0</v>
      </c>
      <c r="BH235" s="149">
        <f t="shared" ca="1" si="250"/>
        <v>0</v>
      </c>
      <c r="BI235" s="149">
        <f t="shared" ca="1" si="250"/>
        <v>0</v>
      </c>
      <c r="BJ235" s="149">
        <f t="shared" ca="1" si="250"/>
        <v>0</v>
      </c>
      <c r="BK235" s="149">
        <f t="shared" ca="1" si="250"/>
        <v>0</v>
      </c>
      <c r="BL235" s="149">
        <f t="shared" ca="1" si="250"/>
        <v>0</v>
      </c>
      <c r="BM235" s="149">
        <f t="shared" ca="1" si="250"/>
        <v>0</v>
      </c>
      <c r="BN235" s="149"/>
      <c r="BO235" s="726">
        <f ca="1">NPV(Lookups!$E$17,AM235:BM235)</f>
        <v>543.07736059060437</v>
      </c>
      <c r="BP235" s="149">
        <f ca="1">IF($C$4=Year1,-PMT(Lookups!$E$17,25,NPV(Lookups!$E$17,AM235:BK235),0,1),IF($C$4=Year2,-PMT(Lookups!$F$17,25,NPV(Lookups!$F$17,AN235:BL235),0,1),IF($C$4=Year3,-PMT(Lookups!$G$17,25,NPV(Lookups!$G$17,AO235:BM235),0,1),-PMT(Lookups!$G$17,27,NPV(Lookups!$G$17,AM235:BM235),0,1))))</f>
        <v>26.308210876710497</v>
      </c>
      <c r="BS235" s="84" t="s">
        <v>241</v>
      </c>
      <c r="BT235" s="51" t="s">
        <v>17</v>
      </c>
    </row>
    <row r="236" spans="1:72" x14ac:dyDescent="0.25">
      <c r="B236" s="243" t="str">
        <f t="shared" si="246"/>
        <v>Small C&amp;I</v>
      </c>
      <c r="C236" s="243" t="str">
        <f t="shared" si="246"/>
        <v>Bills</v>
      </c>
      <c r="D236" s="244" t="str">
        <f t="shared" si="246"/>
        <v>Change in Bills</v>
      </c>
      <c r="E236" s="84" t="s">
        <v>348</v>
      </c>
      <c r="F236" s="84" t="s">
        <v>16</v>
      </c>
      <c r="G236" s="223">
        <f ca="1">IFERROR(G230/G224-1,0)</f>
        <v>0</v>
      </c>
      <c r="H236" s="223">
        <f t="shared" ref="H236:AG236" ca="1" si="251">IFERROR(H230/H224-1,0)</f>
        <v>0</v>
      </c>
      <c r="I236" s="223">
        <f t="shared" ca="1" si="251"/>
        <v>0.12093179766132534</v>
      </c>
      <c r="J236" s="223">
        <f t="shared" ca="1" si="251"/>
        <v>4.412245034931539E-3</v>
      </c>
      <c r="K236" s="223">
        <f t="shared" ca="1" si="251"/>
        <v>4.412245034931539E-3</v>
      </c>
      <c r="L236" s="223">
        <f t="shared" ca="1" si="251"/>
        <v>4.412245034931539E-3</v>
      </c>
      <c r="M236" s="223">
        <f t="shared" ca="1" si="251"/>
        <v>4.412245034931539E-3</v>
      </c>
      <c r="N236" s="223">
        <f t="shared" ca="1" si="251"/>
        <v>4.412245034931539E-3</v>
      </c>
      <c r="O236" s="223">
        <f t="shared" ca="1" si="251"/>
        <v>4.412245034931539E-3</v>
      </c>
      <c r="P236" s="223">
        <f t="shared" ca="1" si="251"/>
        <v>4.412245034931539E-3</v>
      </c>
      <c r="Q236" s="223">
        <f t="shared" ca="1" si="251"/>
        <v>4.412245034931539E-3</v>
      </c>
      <c r="R236" s="223">
        <f t="shared" ca="1" si="251"/>
        <v>4.412245034931539E-3</v>
      </c>
      <c r="S236" s="224">
        <f t="shared" ca="1" si="251"/>
        <v>4.412245034931539E-3</v>
      </c>
      <c r="T236" s="224">
        <f t="shared" ca="1" si="251"/>
        <v>4.412245034931539E-3</v>
      </c>
      <c r="U236" s="224">
        <f t="shared" ca="1" si="251"/>
        <v>4.412245034931539E-3</v>
      </c>
      <c r="V236" s="224">
        <f t="shared" ca="1" si="251"/>
        <v>4.412245034931539E-3</v>
      </c>
      <c r="W236" s="224">
        <f t="shared" ca="1" si="251"/>
        <v>4.412245034931539E-3</v>
      </c>
      <c r="X236" s="224">
        <f t="shared" ca="1" si="251"/>
        <v>4.412245034931539E-3</v>
      </c>
      <c r="Y236" s="224">
        <f t="shared" ca="1" si="251"/>
        <v>0</v>
      </c>
      <c r="Z236" s="224">
        <f t="shared" ca="1" si="251"/>
        <v>0</v>
      </c>
      <c r="AA236" s="224">
        <f t="shared" ca="1" si="251"/>
        <v>0</v>
      </c>
      <c r="AB236" s="224">
        <f t="shared" ca="1" si="251"/>
        <v>0</v>
      </c>
      <c r="AC236" s="224">
        <f t="shared" ca="1" si="251"/>
        <v>0</v>
      </c>
      <c r="AD236" s="224">
        <f t="shared" ca="1" si="251"/>
        <v>0</v>
      </c>
      <c r="AE236" s="224">
        <f t="shared" ca="1" si="251"/>
        <v>0</v>
      </c>
      <c r="AF236" s="224">
        <f t="shared" ca="1" si="251"/>
        <v>0</v>
      </c>
      <c r="AG236" s="224">
        <f t="shared" ca="1" si="251"/>
        <v>0</v>
      </c>
      <c r="AH236" s="224"/>
      <c r="AI236" s="224"/>
      <c r="AJ236" s="224">
        <f t="shared" ref="AJ236" ca="1" si="252">IFERROR(AJ230/AJ224-1,0)</f>
        <v>8.4871641508834639E-3</v>
      </c>
      <c r="AK236" s="212"/>
      <c r="AL236" s="212"/>
      <c r="AM236" s="504">
        <f ca="1">IFERROR(AM230/AM224-1,0)</f>
        <v>0</v>
      </c>
      <c r="AN236" s="504">
        <f t="shared" ref="AN236:BM236" ca="1" si="253">IFERROR(AN230/AN224-1,0)</f>
        <v>0</v>
      </c>
      <c r="AO236" s="504">
        <f t="shared" ca="1" si="253"/>
        <v>0.14487906668498796</v>
      </c>
      <c r="AP236" s="504">
        <f t="shared" ca="1" si="253"/>
        <v>5.0556035333160221E-3</v>
      </c>
      <c r="AQ236" s="504">
        <f t="shared" ca="1" si="253"/>
        <v>5.0556035333160221E-3</v>
      </c>
      <c r="AR236" s="504">
        <f t="shared" ca="1" si="253"/>
        <v>5.0556035333160221E-3</v>
      </c>
      <c r="AS236" s="504">
        <f t="shared" ca="1" si="253"/>
        <v>5.0556035333160221E-3</v>
      </c>
      <c r="AT236" s="504">
        <f t="shared" ca="1" si="253"/>
        <v>5.0556035333160221E-3</v>
      </c>
      <c r="AU236" s="504">
        <f t="shared" ca="1" si="253"/>
        <v>5.0556035333160221E-3</v>
      </c>
      <c r="AV236" s="504">
        <f t="shared" ca="1" si="253"/>
        <v>5.0556035333160221E-3</v>
      </c>
      <c r="AW236" s="504">
        <f t="shared" ca="1" si="253"/>
        <v>5.0556035333160221E-3</v>
      </c>
      <c r="AX236" s="504">
        <f t="shared" ca="1" si="253"/>
        <v>5.0556035333160221E-3</v>
      </c>
      <c r="AY236" s="504">
        <f t="shared" ca="1" si="253"/>
        <v>5.0556035333160221E-3</v>
      </c>
      <c r="AZ236" s="504">
        <f t="shared" ca="1" si="253"/>
        <v>5.0556035333160221E-3</v>
      </c>
      <c r="BA236" s="504">
        <f t="shared" ca="1" si="253"/>
        <v>5.0556035333160221E-3</v>
      </c>
      <c r="BB236" s="504">
        <f t="shared" ca="1" si="253"/>
        <v>5.0556035333160221E-3</v>
      </c>
      <c r="BC236" s="504">
        <f t="shared" ca="1" si="253"/>
        <v>5.0556035333160221E-3</v>
      </c>
      <c r="BD236" s="504">
        <f t="shared" ca="1" si="253"/>
        <v>5.0556035333160221E-3</v>
      </c>
      <c r="BE236" s="504">
        <f t="shared" ca="1" si="253"/>
        <v>0</v>
      </c>
      <c r="BF236" s="504">
        <f t="shared" ca="1" si="253"/>
        <v>0</v>
      </c>
      <c r="BG236" s="504">
        <f t="shared" ca="1" si="253"/>
        <v>0</v>
      </c>
      <c r="BH236" s="504">
        <f t="shared" ca="1" si="253"/>
        <v>0</v>
      </c>
      <c r="BI236" s="504">
        <f t="shared" ca="1" si="253"/>
        <v>0</v>
      </c>
      <c r="BJ236" s="504">
        <f t="shared" ca="1" si="253"/>
        <v>0</v>
      </c>
      <c r="BK236" s="504">
        <f t="shared" ca="1" si="253"/>
        <v>0</v>
      </c>
      <c r="BL236" s="504">
        <f t="shared" ca="1" si="253"/>
        <v>0</v>
      </c>
      <c r="BM236" s="504">
        <f t="shared" ca="1" si="253"/>
        <v>0</v>
      </c>
      <c r="BN236" s="504"/>
      <c r="BO236" s="504"/>
      <c r="BP236" s="504">
        <f t="shared" ref="BP236" ca="1" si="254">IFERROR(BP230/BP224-1,0)</f>
        <v>1.0022088750544667E-2</v>
      </c>
      <c r="BS236" s="84" t="s">
        <v>242</v>
      </c>
      <c r="BT236" s="51" t="s">
        <v>17</v>
      </c>
    </row>
    <row r="237" spans="1:72" x14ac:dyDescent="0.25">
      <c r="B237" s="243" t="str">
        <f t="shared" si="246"/>
        <v>Small C&amp;I</v>
      </c>
      <c r="C237" s="243" t="str">
        <f t="shared" si="246"/>
        <v>Bills</v>
      </c>
      <c r="D237" s="244" t="str">
        <f t="shared" si="246"/>
        <v>Change in Bills</v>
      </c>
      <c r="E237" s="84" t="s">
        <v>349</v>
      </c>
      <c r="F237" s="84" t="s">
        <v>32</v>
      </c>
      <c r="G237" s="103">
        <f ca="1">G231-G224</f>
        <v>0</v>
      </c>
      <c r="H237" s="103">
        <f t="shared" ref="H237:AG237" ca="1" si="255">H231-H224</f>
        <v>0</v>
      </c>
      <c r="I237" s="103">
        <f t="shared" ca="1" si="255"/>
        <v>272.15889490129621</v>
      </c>
      <c r="J237" s="103">
        <f t="shared" ca="1" si="255"/>
        <v>-31.342734126339565</v>
      </c>
      <c r="K237" s="103">
        <f t="shared" ca="1" si="255"/>
        <v>-31.342734126339565</v>
      </c>
      <c r="L237" s="103">
        <f t="shared" ca="1" si="255"/>
        <v>-31.342734126339565</v>
      </c>
      <c r="M237" s="103">
        <f t="shared" ca="1" si="255"/>
        <v>-31.342734126339565</v>
      </c>
      <c r="N237" s="103">
        <f t="shared" ca="1" si="255"/>
        <v>-31.342734126339565</v>
      </c>
      <c r="O237" s="103">
        <f t="shared" ca="1" si="255"/>
        <v>-31.342734126339565</v>
      </c>
      <c r="P237" s="103">
        <f t="shared" ca="1" si="255"/>
        <v>-31.342734126339565</v>
      </c>
      <c r="Q237" s="103">
        <f t="shared" ca="1" si="255"/>
        <v>-31.342734126339565</v>
      </c>
      <c r="R237" s="103">
        <f t="shared" ca="1" si="255"/>
        <v>-31.342734126339565</v>
      </c>
      <c r="S237" s="103">
        <f t="shared" ca="1" si="255"/>
        <v>-31.342734126339565</v>
      </c>
      <c r="T237" s="103">
        <f t="shared" ca="1" si="255"/>
        <v>-31.342734126339565</v>
      </c>
      <c r="U237" s="103">
        <f t="shared" ca="1" si="255"/>
        <v>-31.342734126339565</v>
      </c>
      <c r="V237" s="103">
        <f t="shared" ca="1" si="255"/>
        <v>-31.342734126339565</v>
      </c>
      <c r="W237" s="103">
        <f t="shared" ca="1" si="255"/>
        <v>-31.342734126339565</v>
      </c>
      <c r="X237" s="103">
        <f t="shared" ca="1" si="255"/>
        <v>-31.342734126339565</v>
      </c>
      <c r="Y237" s="103">
        <f t="shared" ca="1" si="255"/>
        <v>0</v>
      </c>
      <c r="Z237" s="103">
        <f t="shared" ca="1" si="255"/>
        <v>0</v>
      </c>
      <c r="AA237" s="103">
        <f t="shared" ca="1" si="255"/>
        <v>0</v>
      </c>
      <c r="AB237" s="103">
        <f t="shared" ca="1" si="255"/>
        <v>0</v>
      </c>
      <c r="AC237" s="103">
        <f t="shared" ca="1" si="255"/>
        <v>0</v>
      </c>
      <c r="AD237" s="103">
        <f t="shared" ca="1" si="255"/>
        <v>0</v>
      </c>
      <c r="AE237" s="103">
        <f t="shared" ca="1" si="255"/>
        <v>0</v>
      </c>
      <c r="AF237" s="103">
        <f t="shared" ca="1" si="255"/>
        <v>0</v>
      </c>
      <c r="AG237" s="103">
        <f t="shared" ca="1" si="255"/>
        <v>0</v>
      </c>
      <c r="AH237" s="103"/>
      <c r="AI237" s="103">
        <f ca="1">NPV(Lookups!$E$17,G237:AG237)</f>
        <v>-142.65200084653378</v>
      </c>
      <c r="AJ237" s="103">
        <f ca="1">IF($C$4=Year1,-PMT(Lookups!$E$17,25,NPV(Lookups!$E$17,G237:AE237),0,1),IF($C$4=Year2,-PMT(Lookups!$F$17,25,NPV(Lookups!$F$17,H237:AF237),0,1),IF($C$4=Year3,-PMT(Lookups!$G$17,25,NPV(Lookups!$G$17,I237:AG237),0,1),-PMT(Lookups!$G$17,27,NPV(Lookups!$G$17,G237:AG237),0,1))))</f>
        <v>-6.9104683652692529</v>
      </c>
      <c r="AM237" s="149">
        <f ca="1">AM231-AM224</f>
        <v>0</v>
      </c>
      <c r="AN237" s="149">
        <f t="shared" ref="AN237:BM237" ca="1" si="256">AN231-AN224</f>
        <v>0</v>
      </c>
      <c r="AO237" s="149">
        <f t="shared" ca="1" si="256"/>
        <v>327.22714185704854</v>
      </c>
      <c r="AP237" s="149">
        <f t="shared" ca="1" si="256"/>
        <v>-35.827781006104487</v>
      </c>
      <c r="AQ237" s="149">
        <f t="shared" ca="1" si="256"/>
        <v>-35.827781006104487</v>
      </c>
      <c r="AR237" s="149">
        <f t="shared" ca="1" si="256"/>
        <v>-35.827781006104487</v>
      </c>
      <c r="AS237" s="149">
        <f t="shared" ca="1" si="256"/>
        <v>-35.827781006104487</v>
      </c>
      <c r="AT237" s="149">
        <f t="shared" ca="1" si="256"/>
        <v>-35.827781006104487</v>
      </c>
      <c r="AU237" s="149">
        <f t="shared" ca="1" si="256"/>
        <v>-35.827781006104487</v>
      </c>
      <c r="AV237" s="149">
        <f t="shared" ca="1" si="256"/>
        <v>-35.827781006104487</v>
      </c>
      <c r="AW237" s="149">
        <f t="shared" ca="1" si="256"/>
        <v>-35.827781006104487</v>
      </c>
      <c r="AX237" s="149">
        <f t="shared" ca="1" si="256"/>
        <v>-35.827781006104487</v>
      </c>
      <c r="AY237" s="149">
        <f t="shared" ca="1" si="256"/>
        <v>-35.827781006104487</v>
      </c>
      <c r="AZ237" s="149">
        <f t="shared" ca="1" si="256"/>
        <v>-35.827781006104487</v>
      </c>
      <c r="BA237" s="149">
        <f t="shared" ca="1" si="256"/>
        <v>-35.827781006104487</v>
      </c>
      <c r="BB237" s="149">
        <f t="shared" ca="1" si="256"/>
        <v>-35.827781006104487</v>
      </c>
      <c r="BC237" s="149">
        <f t="shared" ca="1" si="256"/>
        <v>-35.827781006104487</v>
      </c>
      <c r="BD237" s="149">
        <f t="shared" ca="1" si="256"/>
        <v>-35.827781006104487</v>
      </c>
      <c r="BE237" s="149">
        <f t="shared" ca="1" si="256"/>
        <v>0</v>
      </c>
      <c r="BF237" s="149">
        <f t="shared" ca="1" si="256"/>
        <v>0</v>
      </c>
      <c r="BG237" s="149">
        <f t="shared" ca="1" si="256"/>
        <v>0</v>
      </c>
      <c r="BH237" s="149">
        <f t="shared" ca="1" si="256"/>
        <v>0</v>
      </c>
      <c r="BI237" s="149">
        <f t="shared" ca="1" si="256"/>
        <v>0</v>
      </c>
      <c r="BJ237" s="149">
        <f t="shared" ca="1" si="256"/>
        <v>0</v>
      </c>
      <c r="BK237" s="149">
        <f t="shared" ca="1" si="256"/>
        <v>0</v>
      </c>
      <c r="BL237" s="149">
        <f t="shared" ca="1" si="256"/>
        <v>0</v>
      </c>
      <c r="BM237" s="149">
        <f t="shared" ca="1" si="256"/>
        <v>0</v>
      </c>
      <c r="BN237" s="149"/>
      <c r="BO237" s="149">
        <f ca="1">NPV(Lookups!$E$17,AM237:BM237)</f>
        <v>-147.6071227299233</v>
      </c>
      <c r="BP237" s="149">
        <f ca="1">IF($C$4=Year1,-PMT(Lookups!$E$17,25,NPV(Lookups!$E$17,AM237:BK237),0,1),IF($C$4=Year2,-PMT(Lookups!$F$17,25,NPV(Lookups!$F$17,AN237:BL237),0,1),IF($C$4=Year3,-PMT(Lookups!$G$17,25,NPV(Lookups!$G$17,AO237:BM237),0,1),-PMT(Lookups!$G$17,27,NPV(Lookups!$G$17,AM237:BM237),0,1))))</f>
        <v>-7.1505085527045082</v>
      </c>
      <c r="BS237" s="84" t="s">
        <v>241</v>
      </c>
      <c r="BT237" s="51" t="s">
        <v>17</v>
      </c>
    </row>
    <row r="238" spans="1:72" x14ac:dyDescent="0.25">
      <c r="B238" s="243" t="str">
        <f t="shared" si="246"/>
        <v>Small C&amp;I</v>
      </c>
      <c r="C238" s="243" t="str">
        <f t="shared" si="246"/>
        <v>Bills</v>
      </c>
      <c r="D238" s="244" t="str">
        <f t="shared" si="246"/>
        <v>Change in Bills</v>
      </c>
      <c r="E238" s="84" t="s">
        <v>349</v>
      </c>
      <c r="F238" s="84" t="s">
        <v>16</v>
      </c>
      <c r="G238" s="223">
        <f ca="1">IFERROR(G231/G224-1,0)</f>
        <v>0</v>
      </c>
      <c r="H238" s="223">
        <f t="shared" ref="H238:AG238" ca="1" si="257">IFERROR(H231/H224-1,0)</f>
        <v>0</v>
      </c>
      <c r="I238" s="223">
        <f t="shared" ca="1" si="257"/>
        <v>0.10223270214328073</v>
      </c>
      <c r="J238" s="223">
        <f t="shared" ca="1" si="257"/>
        <v>-1.1773461982406253E-2</v>
      </c>
      <c r="K238" s="223">
        <f t="shared" ca="1" si="257"/>
        <v>-1.1773461982406253E-2</v>
      </c>
      <c r="L238" s="223">
        <f t="shared" ca="1" si="257"/>
        <v>-1.1773461982406253E-2</v>
      </c>
      <c r="M238" s="223">
        <f t="shared" ca="1" si="257"/>
        <v>-1.1773461982406253E-2</v>
      </c>
      <c r="N238" s="223">
        <f t="shared" ca="1" si="257"/>
        <v>-1.1773461982406253E-2</v>
      </c>
      <c r="O238" s="223">
        <f t="shared" ca="1" si="257"/>
        <v>-1.1773461982406253E-2</v>
      </c>
      <c r="P238" s="223">
        <f t="shared" ca="1" si="257"/>
        <v>-1.1773461982406253E-2</v>
      </c>
      <c r="Q238" s="223">
        <f t="shared" ca="1" si="257"/>
        <v>-1.1773461982406253E-2</v>
      </c>
      <c r="R238" s="223">
        <f t="shared" ca="1" si="257"/>
        <v>-1.1773461982406253E-2</v>
      </c>
      <c r="S238" s="224">
        <f t="shared" ca="1" si="257"/>
        <v>-1.1773461982406253E-2</v>
      </c>
      <c r="T238" s="224">
        <f t="shared" ca="1" si="257"/>
        <v>-1.1773461982406253E-2</v>
      </c>
      <c r="U238" s="224">
        <f t="shared" ca="1" si="257"/>
        <v>-1.1773461982406253E-2</v>
      </c>
      <c r="V238" s="224">
        <f t="shared" ca="1" si="257"/>
        <v>-1.1773461982406253E-2</v>
      </c>
      <c r="W238" s="224">
        <f t="shared" ca="1" si="257"/>
        <v>-1.1773461982406253E-2</v>
      </c>
      <c r="X238" s="224">
        <f t="shared" ca="1" si="257"/>
        <v>-1.1773461982406253E-2</v>
      </c>
      <c r="Y238" s="224">
        <f t="shared" ca="1" si="257"/>
        <v>0</v>
      </c>
      <c r="Z238" s="224">
        <f t="shared" ca="1" si="257"/>
        <v>0</v>
      </c>
      <c r="AA238" s="224">
        <f t="shared" ca="1" si="257"/>
        <v>0</v>
      </c>
      <c r="AB238" s="224">
        <f t="shared" ca="1" si="257"/>
        <v>0</v>
      </c>
      <c r="AC238" s="224">
        <f t="shared" ca="1" si="257"/>
        <v>0</v>
      </c>
      <c r="AD238" s="224">
        <f t="shared" ca="1" si="257"/>
        <v>0</v>
      </c>
      <c r="AE238" s="224">
        <f t="shared" ca="1" si="257"/>
        <v>0</v>
      </c>
      <c r="AF238" s="224">
        <f t="shared" ca="1" si="257"/>
        <v>0</v>
      </c>
      <c r="AG238" s="224">
        <f t="shared" ca="1" si="257"/>
        <v>0</v>
      </c>
      <c r="AH238" s="224"/>
      <c r="AI238" s="224"/>
      <c r="AJ238" s="224">
        <f t="shared" ref="AJ238" ca="1" si="258">IFERROR(AJ231/AJ224-1,0)</f>
        <v>-2.6325365715339499E-3</v>
      </c>
      <c r="AK238" s="212"/>
      <c r="AL238" s="212"/>
      <c r="AM238" s="504">
        <f ca="1">IFERROR(AM231/AM224-1,0)</f>
        <v>0</v>
      </c>
      <c r="AN238" s="504">
        <f t="shared" ref="AN238:BM238" ca="1" si="259">IFERROR(AN231/AN224-1,0)</f>
        <v>0</v>
      </c>
      <c r="AO238" s="504">
        <f t="shared" ca="1" si="259"/>
        <v>0.12291832291133153</v>
      </c>
      <c r="AP238" s="504">
        <f t="shared" ca="1" si="259"/>
        <v>-1.3458207439371539E-2</v>
      </c>
      <c r="AQ238" s="504">
        <f t="shared" ca="1" si="259"/>
        <v>-1.3458207439371539E-2</v>
      </c>
      <c r="AR238" s="504">
        <f t="shared" ca="1" si="259"/>
        <v>-1.3458207439371539E-2</v>
      </c>
      <c r="AS238" s="504">
        <f t="shared" ca="1" si="259"/>
        <v>-1.3458207439371539E-2</v>
      </c>
      <c r="AT238" s="504">
        <f t="shared" ca="1" si="259"/>
        <v>-1.3458207439371539E-2</v>
      </c>
      <c r="AU238" s="504">
        <f t="shared" ca="1" si="259"/>
        <v>-1.3458207439371539E-2</v>
      </c>
      <c r="AV238" s="504">
        <f t="shared" ca="1" si="259"/>
        <v>-1.3458207439371539E-2</v>
      </c>
      <c r="AW238" s="504">
        <f t="shared" ca="1" si="259"/>
        <v>-1.3458207439371539E-2</v>
      </c>
      <c r="AX238" s="504">
        <f t="shared" ca="1" si="259"/>
        <v>-1.3458207439371539E-2</v>
      </c>
      <c r="AY238" s="504">
        <f t="shared" ca="1" si="259"/>
        <v>-1.3458207439371539E-2</v>
      </c>
      <c r="AZ238" s="504">
        <f t="shared" ca="1" si="259"/>
        <v>-1.3458207439371539E-2</v>
      </c>
      <c r="BA238" s="504">
        <f t="shared" ca="1" si="259"/>
        <v>-1.3458207439371539E-2</v>
      </c>
      <c r="BB238" s="504">
        <f t="shared" ca="1" si="259"/>
        <v>-1.3458207439371539E-2</v>
      </c>
      <c r="BC238" s="504">
        <f t="shared" ca="1" si="259"/>
        <v>-1.3458207439371539E-2</v>
      </c>
      <c r="BD238" s="504">
        <f t="shared" ca="1" si="259"/>
        <v>-1.3458207439371539E-2</v>
      </c>
      <c r="BE238" s="504">
        <f t="shared" ca="1" si="259"/>
        <v>0</v>
      </c>
      <c r="BF238" s="504">
        <f t="shared" ca="1" si="259"/>
        <v>0</v>
      </c>
      <c r="BG238" s="504">
        <f t="shared" ca="1" si="259"/>
        <v>0</v>
      </c>
      <c r="BH238" s="504">
        <f t="shared" ca="1" si="259"/>
        <v>0</v>
      </c>
      <c r="BI238" s="504">
        <f t="shared" ca="1" si="259"/>
        <v>0</v>
      </c>
      <c r="BJ238" s="504">
        <f t="shared" ca="1" si="259"/>
        <v>0</v>
      </c>
      <c r="BK238" s="504">
        <f t="shared" ca="1" si="259"/>
        <v>0</v>
      </c>
      <c r="BL238" s="504">
        <f t="shared" ca="1" si="259"/>
        <v>0</v>
      </c>
      <c r="BM238" s="504">
        <f t="shared" ca="1" si="259"/>
        <v>0</v>
      </c>
      <c r="BN238" s="504"/>
      <c r="BO238" s="504"/>
      <c r="BP238" s="504">
        <f t="shared" ref="BP238" ca="1" si="260">IFERROR(BP231/BP224-1,0)</f>
        <v>-2.723979660288478E-3</v>
      </c>
      <c r="BS238" s="84" t="s">
        <v>242</v>
      </c>
      <c r="BT238" s="51" t="s">
        <v>17</v>
      </c>
    </row>
    <row r="239" spans="1:72" x14ac:dyDescent="0.25">
      <c r="B239" s="243" t="str">
        <f t="shared" si="246"/>
        <v>Small C&amp;I</v>
      </c>
      <c r="C239" s="243" t="str">
        <f t="shared" si="246"/>
        <v>Bills</v>
      </c>
      <c r="D239" s="244" t="str">
        <f t="shared" si="246"/>
        <v>Change in Bills</v>
      </c>
      <c r="E239" s="84" t="str">
        <f>'EE Inputs'!$N$15&amp;" Participant Annual Bill"</f>
        <v>Low Savings Participant Annual Bill</v>
      </c>
      <c r="F239" s="84" t="s">
        <v>32</v>
      </c>
      <c r="G239" s="103">
        <f ca="1">G232-G224</f>
        <v>0</v>
      </c>
      <c r="H239" s="103">
        <f t="shared" ref="H239:AG239" ca="1" si="261">H232-H224</f>
        <v>0</v>
      </c>
      <c r="I239" s="103">
        <f t="shared" ca="1" si="261"/>
        <v>206.55022372835765</v>
      </c>
      <c r="J239" s="103">
        <f t="shared" ca="1" si="261"/>
        <v>-88.13279268170163</v>
      </c>
      <c r="K239" s="103">
        <f t="shared" ca="1" si="261"/>
        <v>-88.13279268170163</v>
      </c>
      <c r="L239" s="103">
        <f t="shared" ca="1" si="261"/>
        <v>-88.13279268170163</v>
      </c>
      <c r="M239" s="103">
        <f t="shared" ca="1" si="261"/>
        <v>-88.13279268170163</v>
      </c>
      <c r="N239" s="103">
        <f t="shared" ca="1" si="261"/>
        <v>-88.13279268170163</v>
      </c>
      <c r="O239" s="103">
        <f t="shared" ca="1" si="261"/>
        <v>-88.13279268170163</v>
      </c>
      <c r="P239" s="103">
        <f t="shared" ca="1" si="261"/>
        <v>-88.13279268170163</v>
      </c>
      <c r="Q239" s="103">
        <f t="shared" ca="1" si="261"/>
        <v>-88.13279268170163</v>
      </c>
      <c r="R239" s="103">
        <f t="shared" ca="1" si="261"/>
        <v>-88.13279268170163</v>
      </c>
      <c r="S239" s="103">
        <f t="shared" ca="1" si="261"/>
        <v>-88.13279268170163</v>
      </c>
      <c r="T239" s="103">
        <f t="shared" ca="1" si="261"/>
        <v>-88.13279268170163</v>
      </c>
      <c r="U239" s="103">
        <f t="shared" ca="1" si="261"/>
        <v>-88.13279268170163</v>
      </c>
      <c r="V239" s="103">
        <f t="shared" ca="1" si="261"/>
        <v>-88.13279268170163</v>
      </c>
      <c r="W239" s="103">
        <f t="shared" ca="1" si="261"/>
        <v>-88.13279268170163</v>
      </c>
      <c r="X239" s="103">
        <f t="shared" ca="1" si="261"/>
        <v>-88.13279268170163</v>
      </c>
      <c r="Y239" s="103">
        <f t="shared" ca="1" si="261"/>
        <v>0</v>
      </c>
      <c r="Z239" s="103">
        <f t="shared" ca="1" si="261"/>
        <v>0</v>
      </c>
      <c r="AA239" s="103">
        <f t="shared" ca="1" si="261"/>
        <v>0</v>
      </c>
      <c r="AB239" s="103">
        <f t="shared" ca="1" si="261"/>
        <v>0</v>
      </c>
      <c r="AC239" s="103">
        <f t="shared" ca="1" si="261"/>
        <v>0</v>
      </c>
      <c r="AD239" s="103">
        <f t="shared" ca="1" si="261"/>
        <v>0</v>
      </c>
      <c r="AE239" s="103">
        <f t="shared" ca="1" si="261"/>
        <v>0</v>
      </c>
      <c r="AF239" s="103">
        <f t="shared" ca="1" si="261"/>
        <v>0</v>
      </c>
      <c r="AG239" s="103">
        <f t="shared" ca="1" si="261"/>
        <v>0</v>
      </c>
      <c r="AH239" s="103"/>
      <c r="AI239" s="103">
        <f ca="1">NPV(Lookups!$E$17,G239:AG239)</f>
        <v>-936.80558772329084</v>
      </c>
      <c r="AJ239" s="103">
        <f ca="1">IF($C$4=Year1,-PMT(Lookups!$E$17,25,NPV(Lookups!$E$17,G239:AE239),0,1),IF($C$4=Year2,-PMT(Lookups!$F$17,25,NPV(Lookups!$F$17,H239:AF239),0,1),IF($C$4=Year3,-PMT(Lookups!$G$17,25,NPV(Lookups!$G$17,I239:AG239),0,1),-PMT(Lookups!$G$17,27,NPV(Lookups!$G$17,G239:AG239),0,1))))</f>
        <v>-45.381525249924849</v>
      </c>
      <c r="AM239" s="149">
        <f ca="1">AM232-AM224</f>
        <v>0</v>
      </c>
      <c r="AN239" s="149">
        <f t="shared" ref="AN239:BM239" ca="1" si="262">AN232-AN224</f>
        <v>0</v>
      </c>
      <c r="AO239" s="149">
        <f t="shared" ca="1" si="262"/>
        <v>243.3986985903889</v>
      </c>
      <c r="AP239" s="149">
        <f t="shared" ca="1" si="262"/>
        <v>-106.49860931544936</v>
      </c>
      <c r="AQ239" s="149">
        <f t="shared" ca="1" si="262"/>
        <v>-106.49860931544936</v>
      </c>
      <c r="AR239" s="149">
        <f t="shared" ca="1" si="262"/>
        <v>-106.49860931544936</v>
      </c>
      <c r="AS239" s="149">
        <f t="shared" ca="1" si="262"/>
        <v>-106.49860931544936</v>
      </c>
      <c r="AT239" s="149">
        <f t="shared" ca="1" si="262"/>
        <v>-106.49860931544936</v>
      </c>
      <c r="AU239" s="149">
        <f t="shared" ca="1" si="262"/>
        <v>-106.49860931544936</v>
      </c>
      <c r="AV239" s="149">
        <f t="shared" ca="1" si="262"/>
        <v>-106.49860931544936</v>
      </c>
      <c r="AW239" s="149">
        <f t="shared" ca="1" si="262"/>
        <v>-106.49860931544936</v>
      </c>
      <c r="AX239" s="149">
        <f t="shared" ca="1" si="262"/>
        <v>-106.49860931544936</v>
      </c>
      <c r="AY239" s="149">
        <f t="shared" ca="1" si="262"/>
        <v>-106.49860931544936</v>
      </c>
      <c r="AZ239" s="149">
        <f t="shared" ca="1" si="262"/>
        <v>-106.49860931544936</v>
      </c>
      <c r="BA239" s="149">
        <f t="shared" ca="1" si="262"/>
        <v>-106.49860931544936</v>
      </c>
      <c r="BB239" s="149">
        <f t="shared" ca="1" si="262"/>
        <v>-106.49860931544936</v>
      </c>
      <c r="BC239" s="149">
        <f t="shared" ca="1" si="262"/>
        <v>-106.49860931544936</v>
      </c>
      <c r="BD239" s="149">
        <f t="shared" ca="1" si="262"/>
        <v>-106.49860931544936</v>
      </c>
      <c r="BE239" s="149">
        <f t="shared" ca="1" si="262"/>
        <v>0</v>
      </c>
      <c r="BF239" s="149">
        <f t="shared" ca="1" si="262"/>
        <v>0</v>
      </c>
      <c r="BG239" s="149">
        <f t="shared" ca="1" si="262"/>
        <v>0</v>
      </c>
      <c r="BH239" s="149">
        <f t="shared" ca="1" si="262"/>
        <v>0</v>
      </c>
      <c r="BI239" s="149">
        <f t="shared" ca="1" si="262"/>
        <v>0</v>
      </c>
      <c r="BJ239" s="149">
        <f t="shared" ca="1" si="262"/>
        <v>0</v>
      </c>
      <c r="BK239" s="149">
        <f t="shared" ca="1" si="262"/>
        <v>0</v>
      </c>
      <c r="BL239" s="149">
        <f t="shared" ca="1" si="262"/>
        <v>0</v>
      </c>
      <c r="BM239" s="149">
        <f t="shared" ca="1" si="262"/>
        <v>0</v>
      </c>
      <c r="BN239" s="149"/>
      <c r="BO239" s="149">
        <f ca="1">NPV(Lookups!$E$17,AM239:BM239)</f>
        <v>-1137.9631814678455</v>
      </c>
      <c r="BP239" s="149">
        <f ca="1">IF($C$4=Year1,-PMT(Lookups!$E$17,25,NPV(Lookups!$E$17,AM239:BK239),0,1),IF($C$4=Year2,-PMT(Lookups!$F$17,25,NPV(Lookups!$F$17,AN239:BL239),0,1),IF($C$4=Year3,-PMT(Lookups!$G$17,25,NPV(Lookups!$G$17,AO239:BM239),0,1),-PMT(Lookups!$G$17,27,NPV(Lookups!$G$17,AM239:BM239),0,1))))</f>
        <v>-55.12617081925621</v>
      </c>
      <c r="BS239" s="84" t="s">
        <v>241</v>
      </c>
      <c r="BT239" s="51" t="s">
        <v>17</v>
      </c>
    </row>
    <row r="240" spans="1:72" x14ac:dyDescent="0.25">
      <c r="B240" s="243" t="str">
        <f t="shared" si="246"/>
        <v>Small C&amp;I</v>
      </c>
      <c r="C240" s="243" t="str">
        <f t="shared" si="246"/>
        <v>Bills</v>
      </c>
      <c r="D240" s="244" t="str">
        <f t="shared" si="246"/>
        <v>Change in Bills</v>
      </c>
      <c r="E240" s="84" t="str">
        <f>'EE Inputs'!$N$15&amp;" Participant Annual Bill"</f>
        <v>Low Savings Participant Annual Bill</v>
      </c>
      <c r="F240" s="84" t="s">
        <v>16</v>
      </c>
      <c r="G240" s="223">
        <f ca="1">IFERROR(G232/G224-1,0)</f>
        <v>0</v>
      </c>
      <c r="H240" s="223">
        <f t="shared" ref="H240:AG240" ca="1" si="263">IFERROR(H232/H224-1,0)</f>
        <v>0</v>
      </c>
      <c r="I240" s="223">
        <f t="shared" ca="1" si="263"/>
        <v>7.7587717673924805E-2</v>
      </c>
      <c r="J240" s="223">
        <f t="shared" ca="1" si="263"/>
        <v>-3.3105857321149013E-2</v>
      </c>
      <c r="K240" s="223">
        <f t="shared" ca="1" si="263"/>
        <v>-3.3105857321149013E-2</v>
      </c>
      <c r="L240" s="223">
        <f t="shared" ca="1" si="263"/>
        <v>-3.3105857321149013E-2</v>
      </c>
      <c r="M240" s="223">
        <f t="shared" ca="1" si="263"/>
        <v>-3.3105857321149013E-2</v>
      </c>
      <c r="N240" s="223">
        <f t="shared" ca="1" si="263"/>
        <v>-3.3105857321149013E-2</v>
      </c>
      <c r="O240" s="223">
        <f t="shared" ca="1" si="263"/>
        <v>-3.3105857321149013E-2</v>
      </c>
      <c r="P240" s="223">
        <f t="shared" ca="1" si="263"/>
        <v>-3.3105857321149013E-2</v>
      </c>
      <c r="Q240" s="223">
        <f t="shared" ca="1" si="263"/>
        <v>-3.3105857321149013E-2</v>
      </c>
      <c r="R240" s="223">
        <f t="shared" ca="1" si="263"/>
        <v>-3.3105857321149013E-2</v>
      </c>
      <c r="S240" s="224">
        <f t="shared" ca="1" si="263"/>
        <v>-3.3105857321149013E-2</v>
      </c>
      <c r="T240" s="224">
        <f t="shared" ca="1" si="263"/>
        <v>-3.3105857321149013E-2</v>
      </c>
      <c r="U240" s="224">
        <f t="shared" ca="1" si="263"/>
        <v>-3.3105857321149013E-2</v>
      </c>
      <c r="V240" s="224">
        <f t="shared" ca="1" si="263"/>
        <v>-3.3105857321149013E-2</v>
      </c>
      <c r="W240" s="224">
        <f t="shared" ca="1" si="263"/>
        <v>-3.3105857321149013E-2</v>
      </c>
      <c r="X240" s="224">
        <f t="shared" ca="1" si="263"/>
        <v>-3.3105857321149013E-2</v>
      </c>
      <c r="Y240" s="224">
        <f t="shared" ca="1" si="263"/>
        <v>0</v>
      </c>
      <c r="Z240" s="224">
        <f t="shared" ca="1" si="263"/>
        <v>0</v>
      </c>
      <c r="AA240" s="224">
        <f t="shared" ca="1" si="263"/>
        <v>0</v>
      </c>
      <c r="AB240" s="224">
        <f t="shared" ca="1" si="263"/>
        <v>0</v>
      </c>
      <c r="AC240" s="224">
        <f t="shared" ca="1" si="263"/>
        <v>0</v>
      </c>
      <c r="AD240" s="224">
        <f t="shared" ca="1" si="263"/>
        <v>0</v>
      </c>
      <c r="AE240" s="224">
        <f t="shared" ca="1" si="263"/>
        <v>0</v>
      </c>
      <c r="AF240" s="224">
        <f t="shared" ca="1" si="263"/>
        <v>0</v>
      </c>
      <c r="AG240" s="224">
        <f t="shared" ca="1" si="263"/>
        <v>0</v>
      </c>
      <c r="AH240" s="224"/>
      <c r="AI240" s="224"/>
      <c r="AJ240" s="224">
        <f t="shared" ref="AJ240" ca="1" si="264">IFERROR(AJ232/AJ224-1,0)</f>
        <v>-1.7288050328518212E-2</v>
      </c>
      <c r="AK240" s="212"/>
      <c r="AL240" s="212"/>
      <c r="AM240" s="504">
        <f ca="1">IFERROR(AM232/AM224-1,0)</f>
        <v>0</v>
      </c>
      <c r="AN240" s="504">
        <f t="shared" ref="AN240:BM240" ca="1" si="265">IFERROR(AN232/AN224-1,0)</f>
        <v>0</v>
      </c>
      <c r="AO240" s="504">
        <f t="shared" ca="1" si="265"/>
        <v>9.1429334558687847E-2</v>
      </c>
      <c r="AP240" s="504">
        <f t="shared" ca="1" si="265"/>
        <v>-4.0004720803883953E-2</v>
      </c>
      <c r="AQ240" s="504">
        <f t="shared" ca="1" si="265"/>
        <v>-4.0004720803883953E-2</v>
      </c>
      <c r="AR240" s="504">
        <f t="shared" ca="1" si="265"/>
        <v>-4.0004720803883953E-2</v>
      </c>
      <c r="AS240" s="504">
        <f t="shared" ca="1" si="265"/>
        <v>-4.0004720803883953E-2</v>
      </c>
      <c r="AT240" s="504">
        <f t="shared" ca="1" si="265"/>
        <v>-4.0004720803883953E-2</v>
      </c>
      <c r="AU240" s="504">
        <f t="shared" ca="1" si="265"/>
        <v>-4.0004720803883953E-2</v>
      </c>
      <c r="AV240" s="504">
        <f t="shared" ca="1" si="265"/>
        <v>-4.0004720803883953E-2</v>
      </c>
      <c r="AW240" s="504">
        <f t="shared" ca="1" si="265"/>
        <v>-4.0004720803883953E-2</v>
      </c>
      <c r="AX240" s="504">
        <f t="shared" ca="1" si="265"/>
        <v>-4.0004720803883953E-2</v>
      </c>
      <c r="AY240" s="504">
        <f t="shared" ca="1" si="265"/>
        <v>-4.0004720803883953E-2</v>
      </c>
      <c r="AZ240" s="504">
        <f t="shared" ca="1" si="265"/>
        <v>-4.0004720803883953E-2</v>
      </c>
      <c r="BA240" s="504">
        <f t="shared" ca="1" si="265"/>
        <v>-4.0004720803883953E-2</v>
      </c>
      <c r="BB240" s="504">
        <f t="shared" ca="1" si="265"/>
        <v>-4.0004720803883953E-2</v>
      </c>
      <c r="BC240" s="504">
        <f t="shared" ca="1" si="265"/>
        <v>-4.0004720803883953E-2</v>
      </c>
      <c r="BD240" s="504">
        <f t="shared" ca="1" si="265"/>
        <v>-4.0004720803883953E-2</v>
      </c>
      <c r="BE240" s="504">
        <f t="shared" ca="1" si="265"/>
        <v>0</v>
      </c>
      <c r="BF240" s="504">
        <f t="shared" ca="1" si="265"/>
        <v>0</v>
      </c>
      <c r="BG240" s="504">
        <f t="shared" ca="1" si="265"/>
        <v>0</v>
      </c>
      <c r="BH240" s="504">
        <f t="shared" ca="1" si="265"/>
        <v>0</v>
      </c>
      <c r="BI240" s="504">
        <f t="shared" ca="1" si="265"/>
        <v>0</v>
      </c>
      <c r="BJ240" s="504">
        <f t="shared" ca="1" si="265"/>
        <v>0</v>
      </c>
      <c r="BK240" s="504">
        <f t="shared" ca="1" si="265"/>
        <v>0</v>
      </c>
      <c r="BL240" s="504">
        <f t="shared" ca="1" si="265"/>
        <v>0</v>
      </c>
      <c r="BM240" s="504">
        <f t="shared" ca="1" si="265"/>
        <v>0</v>
      </c>
      <c r="BN240" s="504"/>
      <c r="BO240" s="504"/>
      <c r="BP240" s="504">
        <f t="shared" ref="BP240" ca="1" si="266">IFERROR(BP232/BP224-1,0)</f>
        <v>-2.1000264100717425E-2</v>
      </c>
      <c r="BS240" s="84" t="s">
        <v>242</v>
      </c>
      <c r="BT240" s="51" t="s">
        <v>17</v>
      </c>
    </row>
    <row r="241" spans="1:72" x14ac:dyDescent="0.25">
      <c r="B241" s="243" t="str">
        <f t="shared" si="246"/>
        <v>Small C&amp;I</v>
      </c>
      <c r="C241" s="243" t="str">
        <f t="shared" si="246"/>
        <v>Bills</v>
      </c>
      <c r="D241" s="244" t="str">
        <f t="shared" si="246"/>
        <v>Change in Bills</v>
      </c>
      <c r="E241" s="84" t="str">
        <f>'EE Inputs'!$N$16&amp;" Participant Annual Bill"</f>
        <v>High Savings Participant Annual Bill</v>
      </c>
      <c r="F241" s="84" t="s">
        <v>32</v>
      </c>
      <c r="G241" s="103">
        <f ca="1">G233-G224</f>
        <v>0</v>
      </c>
      <c r="H241" s="103">
        <f t="shared" ref="H241:AG241" ca="1" si="267">H233-H224</f>
        <v>0</v>
      </c>
      <c r="I241" s="103">
        <f t="shared" ca="1" si="267"/>
        <v>91.161735871004112</v>
      </c>
      <c r="J241" s="103">
        <f t="shared" ca="1" si="267"/>
        <v>-188.01164809641978</v>
      </c>
      <c r="K241" s="103">
        <f t="shared" ca="1" si="267"/>
        <v>-188.01164809641978</v>
      </c>
      <c r="L241" s="103">
        <f t="shared" ca="1" si="267"/>
        <v>-188.01164809641978</v>
      </c>
      <c r="M241" s="103">
        <f t="shared" ca="1" si="267"/>
        <v>-188.01164809641978</v>
      </c>
      <c r="N241" s="103">
        <f t="shared" ca="1" si="267"/>
        <v>-188.01164809641978</v>
      </c>
      <c r="O241" s="103">
        <f t="shared" ca="1" si="267"/>
        <v>-188.01164809641978</v>
      </c>
      <c r="P241" s="103">
        <f t="shared" ca="1" si="267"/>
        <v>-188.01164809641978</v>
      </c>
      <c r="Q241" s="103">
        <f t="shared" ca="1" si="267"/>
        <v>-188.01164809641978</v>
      </c>
      <c r="R241" s="103">
        <f t="shared" ca="1" si="267"/>
        <v>-188.01164809641978</v>
      </c>
      <c r="S241" s="103">
        <f t="shared" ca="1" si="267"/>
        <v>-188.01164809641978</v>
      </c>
      <c r="T241" s="103">
        <f t="shared" ca="1" si="267"/>
        <v>-188.01164809641978</v>
      </c>
      <c r="U241" s="103">
        <f t="shared" ca="1" si="267"/>
        <v>-188.01164809641978</v>
      </c>
      <c r="V241" s="103">
        <f t="shared" ca="1" si="267"/>
        <v>-188.01164809641978</v>
      </c>
      <c r="W241" s="103">
        <f t="shared" ca="1" si="267"/>
        <v>-188.01164809641978</v>
      </c>
      <c r="X241" s="103">
        <f t="shared" ca="1" si="267"/>
        <v>-188.01164809641978</v>
      </c>
      <c r="Y241" s="103">
        <f t="shared" ca="1" si="267"/>
        <v>0</v>
      </c>
      <c r="Z241" s="103">
        <f t="shared" ca="1" si="267"/>
        <v>0</v>
      </c>
      <c r="AA241" s="103">
        <f t="shared" ca="1" si="267"/>
        <v>0</v>
      </c>
      <c r="AB241" s="103">
        <f t="shared" ca="1" si="267"/>
        <v>0</v>
      </c>
      <c r="AC241" s="103">
        <f t="shared" ca="1" si="267"/>
        <v>0</v>
      </c>
      <c r="AD241" s="103">
        <f t="shared" ca="1" si="267"/>
        <v>0</v>
      </c>
      <c r="AE241" s="103">
        <f t="shared" ca="1" si="267"/>
        <v>0</v>
      </c>
      <c r="AF241" s="103">
        <f t="shared" ca="1" si="267"/>
        <v>0</v>
      </c>
      <c r="AG241" s="103">
        <f t="shared" ca="1" si="267"/>
        <v>0</v>
      </c>
      <c r="AH241" s="103"/>
      <c r="AI241" s="103">
        <f ca="1">NPV(Lookups!$E$17,G241:AG241)</f>
        <v>-2333.5139782141869</v>
      </c>
      <c r="AJ241" s="103">
        <f ca="1">IF($C$4=Year1,-PMT(Lookups!$E$17,25,NPV(Lookups!$E$17,G241:AE241),0,1),IF($C$4=Year2,-PMT(Lookups!$F$17,25,NPV(Lookups!$F$17,H241:AF241),0,1),IF($C$4=Year3,-PMT(Lookups!$G$17,25,NPV(Lookups!$G$17,I241:AG241),0,1),-PMT(Lookups!$G$17,27,NPV(Lookups!$G$17,G241:AG241),0,1))))</f>
        <v>-113.04204939761681</v>
      </c>
      <c r="AM241" s="149">
        <f ca="1">AM233-AM224</f>
        <v>0</v>
      </c>
      <c r="AN241" s="149">
        <f t="shared" ref="AN241:BM241" ca="1" si="268">AN233-AN224</f>
        <v>0</v>
      </c>
      <c r="AO241" s="149">
        <f t="shared" ca="1" si="268"/>
        <v>101.10743832538492</v>
      </c>
      <c r="AP241" s="149">
        <f t="shared" ca="1" si="268"/>
        <v>-226.4559988630599</v>
      </c>
      <c r="AQ241" s="149">
        <f t="shared" ca="1" si="268"/>
        <v>-226.4559988630599</v>
      </c>
      <c r="AR241" s="149">
        <f t="shared" ca="1" si="268"/>
        <v>-226.4559988630599</v>
      </c>
      <c r="AS241" s="149">
        <f t="shared" ca="1" si="268"/>
        <v>-226.4559988630599</v>
      </c>
      <c r="AT241" s="149">
        <f t="shared" ca="1" si="268"/>
        <v>-226.4559988630599</v>
      </c>
      <c r="AU241" s="149">
        <f t="shared" ca="1" si="268"/>
        <v>-226.4559988630599</v>
      </c>
      <c r="AV241" s="149">
        <f t="shared" ca="1" si="268"/>
        <v>-226.4559988630599</v>
      </c>
      <c r="AW241" s="149">
        <f t="shared" ca="1" si="268"/>
        <v>-226.4559988630599</v>
      </c>
      <c r="AX241" s="149">
        <f t="shared" ca="1" si="268"/>
        <v>-226.4559988630599</v>
      </c>
      <c r="AY241" s="149">
        <f t="shared" ca="1" si="268"/>
        <v>-226.4559988630599</v>
      </c>
      <c r="AZ241" s="149">
        <f t="shared" ca="1" si="268"/>
        <v>-226.4559988630599</v>
      </c>
      <c r="BA241" s="149">
        <f t="shared" ca="1" si="268"/>
        <v>-226.4559988630599</v>
      </c>
      <c r="BB241" s="149">
        <f t="shared" ca="1" si="268"/>
        <v>-226.4559988630599</v>
      </c>
      <c r="BC241" s="149">
        <f t="shared" ca="1" si="268"/>
        <v>-226.4559988630599</v>
      </c>
      <c r="BD241" s="149">
        <f t="shared" ca="1" si="268"/>
        <v>-226.4559988630599</v>
      </c>
      <c r="BE241" s="149">
        <f t="shared" ca="1" si="268"/>
        <v>0</v>
      </c>
      <c r="BF241" s="149">
        <f t="shared" ca="1" si="268"/>
        <v>0</v>
      </c>
      <c r="BG241" s="149">
        <f t="shared" ca="1" si="268"/>
        <v>0</v>
      </c>
      <c r="BH241" s="149">
        <f t="shared" ca="1" si="268"/>
        <v>0</v>
      </c>
      <c r="BI241" s="149">
        <f t="shared" ca="1" si="268"/>
        <v>0</v>
      </c>
      <c r="BJ241" s="149">
        <f t="shared" ca="1" si="268"/>
        <v>0</v>
      </c>
      <c r="BK241" s="149">
        <f t="shared" ca="1" si="268"/>
        <v>0</v>
      </c>
      <c r="BL241" s="149">
        <f t="shared" ca="1" si="268"/>
        <v>0</v>
      </c>
      <c r="BM241" s="149">
        <f t="shared" ca="1" si="268"/>
        <v>0</v>
      </c>
      <c r="BN241" s="149"/>
      <c r="BO241" s="149">
        <f ca="1">NPV(Lookups!$E$17,AM241:BM241)</f>
        <v>-2819.0037235263017</v>
      </c>
      <c r="BP241" s="149">
        <f ca="1">IF($C$4=Year1,-PMT(Lookups!$E$17,25,NPV(Lookups!$E$17,AM241:BK241),0,1),IF($C$4=Year2,-PMT(Lookups!$F$17,25,NPV(Lookups!$F$17,AN241:BL241),0,1),IF($C$4=Year3,-PMT(Lookups!$G$17,25,NPV(Lookups!$G$17,AO241:BM241),0,1),-PMT(Lookups!$G$17,27,NPV(Lookups!$G$17,AM241:BM241),0,1))))</f>
        <v>-136.56055251522324</v>
      </c>
      <c r="BS241" s="84" t="s">
        <v>241</v>
      </c>
      <c r="BT241" s="51" t="s">
        <v>17</v>
      </c>
    </row>
    <row r="242" spans="1:72" x14ac:dyDescent="0.25">
      <c r="B242" s="243" t="str">
        <f t="shared" si="246"/>
        <v>Small C&amp;I</v>
      </c>
      <c r="C242" s="243" t="str">
        <f t="shared" si="246"/>
        <v>Bills</v>
      </c>
      <c r="D242" s="244" t="str">
        <f t="shared" si="246"/>
        <v>Change in Bills</v>
      </c>
      <c r="E242" s="84" t="str">
        <f>'EE Inputs'!$N$16&amp;" Participant Annual Bill"</f>
        <v>High Savings Participant Annual Bill</v>
      </c>
      <c r="F242" s="84" t="s">
        <v>16</v>
      </c>
      <c r="G242" s="223">
        <f ca="1">IFERROR(G233/G224-1,0)</f>
        <v>0</v>
      </c>
      <c r="H242" s="223">
        <f t="shared" ref="H242:AG242" ca="1" si="269">IFERROR(H233/H224-1,0)</f>
        <v>0</v>
      </c>
      <c r="I242" s="223">
        <f t="shared" ca="1" si="269"/>
        <v>3.4243637686524053E-2</v>
      </c>
      <c r="J242" s="223">
        <f t="shared" ca="1" si="269"/>
        <v>-7.0623959677229897E-2</v>
      </c>
      <c r="K242" s="223">
        <f t="shared" ca="1" si="269"/>
        <v>-7.0623959677229897E-2</v>
      </c>
      <c r="L242" s="223">
        <f t="shared" ca="1" si="269"/>
        <v>-7.0623959677229897E-2</v>
      </c>
      <c r="M242" s="223">
        <f t="shared" ca="1" si="269"/>
        <v>-7.0623959677229897E-2</v>
      </c>
      <c r="N242" s="223">
        <f t="shared" ca="1" si="269"/>
        <v>-7.0623959677229897E-2</v>
      </c>
      <c r="O242" s="223">
        <f t="shared" ca="1" si="269"/>
        <v>-7.0623959677229897E-2</v>
      </c>
      <c r="P242" s="223">
        <f t="shared" ca="1" si="269"/>
        <v>-7.0623959677229897E-2</v>
      </c>
      <c r="Q242" s="223">
        <f t="shared" ca="1" si="269"/>
        <v>-7.0623959677229897E-2</v>
      </c>
      <c r="R242" s="223">
        <f t="shared" ca="1" si="269"/>
        <v>-7.0623959677229897E-2</v>
      </c>
      <c r="S242" s="224">
        <f t="shared" ca="1" si="269"/>
        <v>-7.0623959677229897E-2</v>
      </c>
      <c r="T242" s="224">
        <f t="shared" ca="1" si="269"/>
        <v>-7.0623959677229897E-2</v>
      </c>
      <c r="U242" s="224">
        <f t="shared" ca="1" si="269"/>
        <v>-7.0623959677229897E-2</v>
      </c>
      <c r="V242" s="224">
        <f t="shared" ca="1" si="269"/>
        <v>-7.0623959677229897E-2</v>
      </c>
      <c r="W242" s="224">
        <f t="shared" ca="1" si="269"/>
        <v>-7.0623959677229897E-2</v>
      </c>
      <c r="X242" s="224">
        <f t="shared" ca="1" si="269"/>
        <v>-7.0623959677229897E-2</v>
      </c>
      <c r="Y242" s="224">
        <f t="shared" ca="1" si="269"/>
        <v>0</v>
      </c>
      <c r="Z242" s="224">
        <f t="shared" ca="1" si="269"/>
        <v>0</v>
      </c>
      <c r="AA242" s="224">
        <f t="shared" ca="1" si="269"/>
        <v>0</v>
      </c>
      <c r="AB242" s="224">
        <f t="shared" ca="1" si="269"/>
        <v>0</v>
      </c>
      <c r="AC242" s="224">
        <f t="shared" ca="1" si="269"/>
        <v>0</v>
      </c>
      <c r="AD242" s="224">
        <f t="shared" ca="1" si="269"/>
        <v>0</v>
      </c>
      <c r="AE242" s="224">
        <f t="shared" ca="1" si="269"/>
        <v>0</v>
      </c>
      <c r="AF242" s="224">
        <f t="shared" ca="1" si="269"/>
        <v>0</v>
      </c>
      <c r="AG242" s="224">
        <f t="shared" ca="1" si="269"/>
        <v>0</v>
      </c>
      <c r="AH242" s="224"/>
      <c r="AI242" s="224"/>
      <c r="AJ242" s="224">
        <f t="shared" ref="AJ242" ca="1" si="270">IFERROR(AJ233/AJ224-1,0)</f>
        <v>-4.3063264807920332E-2</v>
      </c>
      <c r="AK242" s="212"/>
      <c r="AL242" s="212"/>
      <c r="AM242" s="504">
        <f ca="1">IFERROR(AM233/AM224-1,0)</f>
        <v>0</v>
      </c>
      <c r="AN242" s="504">
        <f t="shared" ref="AN242:BM242" ca="1" si="271">IFERROR(AN233/AN224-1,0)</f>
        <v>0</v>
      </c>
      <c r="AO242" s="504">
        <f t="shared" ca="1" si="271"/>
        <v>3.7979602432387516E-2</v>
      </c>
      <c r="AP242" s="504">
        <f t="shared" ca="1" si="271"/>
        <v>-8.5065045141084039E-2</v>
      </c>
      <c r="AQ242" s="504">
        <f t="shared" ca="1" si="271"/>
        <v>-8.5065045141084039E-2</v>
      </c>
      <c r="AR242" s="504">
        <f t="shared" ca="1" si="271"/>
        <v>-8.5065045141084039E-2</v>
      </c>
      <c r="AS242" s="504">
        <f t="shared" ca="1" si="271"/>
        <v>-8.5065045141084039E-2</v>
      </c>
      <c r="AT242" s="504">
        <f t="shared" ca="1" si="271"/>
        <v>-8.5065045141084039E-2</v>
      </c>
      <c r="AU242" s="504">
        <f t="shared" ca="1" si="271"/>
        <v>-8.5065045141084039E-2</v>
      </c>
      <c r="AV242" s="504">
        <f t="shared" ca="1" si="271"/>
        <v>-8.5065045141084039E-2</v>
      </c>
      <c r="AW242" s="504">
        <f t="shared" ca="1" si="271"/>
        <v>-8.5065045141084039E-2</v>
      </c>
      <c r="AX242" s="504">
        <f t="shared" ca="1" si="271"/>
        <v>-8.5065045141084039E-2</v>
      </c>
      <c r="AY242" s="504">
        <f t="shared" ca="1" si="271"/>
        <v>-8.5065045141084039E-2</v>
      </c>
      <c r="AZ242" s="504">
        <f t="shared" ca="1" si="271"/>
        <v>-8.5065045141084039E-2</v>
      </c>
      <c r="BA242" s="504">
        <f t="shared" ca="1" si="271"/>
        <v>-8.5065045141084039E-2</v>
      </c>
      <c r="BB242" s="504">
        <f t="shared" ca="1" si="271"/>
        <v>-8.5065045141084039E-2</v>
      </c>
      <c r="BC242" s="504">
        <f t="shared" ca="1" si="271"/>
        <v>-8.5065045141084039E-2</v>
      </c>
      <c r="BD242" s="504">
        <f t="shared" ca="1" si="271"/>
        <v>-8.5065045141084039E-2</v>
      </c>
      <c r="BE242" s="504">
        <f t="shared" ca="1" si="271"/>
        <v>0</v>
      </c>
      <c r="BF242" s="504">
        <f t="shared" ca="1" si="271"/>
        <v>0</v>
      </c>
      <c r="BG242" s="504">
        <f t="shared" ca="1" si="271"/>
        <v>0</v>
      </c>
      <c r="BH242" s="504">
        <f t="shared" ca="1" si="271"/>
        <v>0</v>
      </c>
      <c r="BI242" s="504">
        <f t="shared" ca="1" si="271"/>
        <v>0</v>
      </c>
      <c r="BJ242" s="504">
        <f t="shared" ca="1" si="271"/>
        <v>0</v>
      </c>
      <c r="BK242" s="504">
        <f t="shared" ca="1" si="271"/>
        <v>0</v>
      </c>
      <c r="BL242" s="504">
        <f t="shared" ca="1" si="271"/>
        <v>0</v>
      </c>
      <c r="BM242" s="504">
        <f t="shared" ca="1" si="271"/>
        <v>0</v>
      </c>
      <c r="BN242" s="504"/>
      <c r="BO242" s="504"/>
      <c r="BP242" s="504">
        <f t="shared" ref="BP242" ca="1" si="272">IFERROR(BP233/BP224-1,0)</f>
        <v>-5.2022616951979628E-2</v>
      </c>
      <c r="BS242" s="84" t="s">
        <v>242</v>
      </c>
      <c r="BT242" s="51" t="s">
        <v>17</v>
      </c>
    </row>
    <row r="243" spans="1:72" x14ac:dyDescent="0.25">
      <c r="B243" s="243" t="str">
        <f t="shared" si="246"/>
        <v>Small C&amp;I</v>
      </c>
      <c r="C243" s="243" t="str">
        <f t="shared" si="246"/>
        <v>Bills</v>
      </c>
      <c r="D243" s="244" t="str">
        <f t="shared" si="246"/>
        <v>Change in Bills</v>
      </c>
      <c r="E243" s="84" t="s">
        <v>17</v>
      </c>
      <c r="F243" s="84"/>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S243" s="84"/>
      <c r="BT243" s="51" t="s">
        <v>17</v>
      </c>
    </row>
    <row r="244" spans="1:72" x14ac:dyDescent="0.25">
      <c r="B244" t="s">
        <v>17</v>
      </c>
      <c r="BT244" s="51" t="s">
        <v>17</v>
      </c>
    </row>
    <row r="245" spans="1:72" x14ac:dyDescent="0.25">
      <c r="B245" t="s">
        <v>17</v>
      </c>
      <c r="BT245" s="51" t="s">
        <v>17</v>
      </c>
    </row>
    <row r="246" spans="1:72" s="51" customFormat="1" ht="23.25" x14ac:dyDescent="0.25">
      <c r="A246" s="52"/>
      <c r="B246" s="195" t="str">
        <f>Lookups!$D$29</f>
        <v>Large C&amp;I</v>
      </c>
      <c r="C246" s="196"/>
      <c r="D246" s="196"/>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51" t="s">
        <v>17</v>
      </c>
    </row>
    <row r="247" spans="1:72" s="5" customFormat="1" ht="15.75" x14ac:dyDescent="0.25">
      <c r="A247" s="52"/>
      <c r="B247" s="241" t="str">
        <f>B246</f>
        <v>Large C&amp;I</v>
      </c>
      <c r="C247" s="63" t="s">
        <v>3</v>
      </c>
      <c r="D247" s="61"/>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M247" s="63"/>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S247" s="62"/>
      <c r="BT247" s="51" t="s">
        <v>17</v>
      </c>
    </row>
    <row r="248" spans="1:72" s="5" customFormat="1" x14ac:dyDescent="0.25">
      <c r="A248" s="52"/>
      <c r="B248" s="242" t="str">
        <f t="shared" ref="B248:C259" si="273">B247</f>
        <v>Large C&amp;I</v>
      </c>
      <c r="C248" s="242" t="str">
        <f>C247</f>
        <v>Customers</v>
      </c>
      <c r="D248" s="244" t="s">
        <v>3</v>
      </c>
      <c r="E248" s="77" t="s">
        <v>3</v>
      </c>
      <c r="F248" s="76" t="s">
        <v>48</v>
      </c>
      <c r="G248" s="64">
        <f>IF(G$8=0,0,INDEX('Multi-Year Inputs'!$E$12:$AE$15,MATCH($B248,'Multi-Year Inputs'!$D$12:$D$15,0),MATCH(G$7,'Multi-Year Inputs'!$E$4:$AE$4,0)))</f>
        <v>0</v>
      </c>
      <c r="H248" s="64">
        <f>IF(H$8=0,0,INDEX('Multi-Year Inputs'!$E$12:$AE$15,MATCH($B248,'Multi-Year Inputs'!$D$12:$D$15,0),MATCH(H$7,'Multi-Year Inputs'!$E$4:$AE$4,0)))</f>
        <v>0</v>
      </c>
      <c r="I248" s="64">
        <f>IF(I$8=0,0,INDEX('Multi-Year Inputs'!$E$12:$AE$15,MATCH($B248,'Multi-Year Inputs'!$D$12:$D$15,0),MATCH(I$7,'Multi-Year Inputs'!$E$4:$AE$4,0)))</f>
        <v>55.255527025440614</v>
      </c>
      <c r="J248" s="64">
        <f>IF(J$8=0,0,INDEX('Multi-Year Inputs'!$E$12:$AE$15,MATCH($B248,'Multi-Year Inputs'!$D$12:$D$15,0),MATCH(J$7,'Multi-Year Inputs'!$E$4:$AE$4,0)))</f>
        <v>55.255527025440614</v>
      </c>
      <c r="K248" s="64">
        <f>IF(K$8=0,0,INDEX('Multi-Year Inputs'!$E$12:$AE$15,MATCH($B248,'Multi-Year Inputs'!$D$12:$D$15,0),MATCH(K$7,'Multi-Year Inputs'!$E$4:$AE$4,0)))</f>
        <v>55.255527025440614</v>
      </c>
      <c r="L248" s="64">
        <f>IF(L$8=0,0,INDEX('Multi-Year Inputs'!$E$12:$AE$15,MATCH($B248,'Multi-Year Inputs'!$D$12:$D$15,0),MATCH(L$7,'Multi-Year Inputs'!$E$4:$AE$4,0)))</f>
        <v>55.255527025440614</v>
      </c>
      <c r="M248" s="64">
        <f>IF(M$8=0,0,INDEX('Multi-Year Inputs'!$E$12:$AE$15,MATCH($B248,'Multi-Year Inputs'!$D$12:$D$15,0),MATCH(M$7,'Multi-Year Inputs'!$E$4:$AE$4,0)))</f>
        <v>55.255527025440614</v>
      </c>
      <c r="N248" s="64">
        <f>IF(N$8=0,0,INDEX('Multi-Year Inputs'!$E$12:$AE$15,MATCH($B248,'Multi-Year Inputs'!$D$12:$D$15,0),MATCH(N$7,'Multi-Year Inputs'!$E$4:$AE$4,0)))</f>
        <v>55.255527025440614</v>
      </c>
      <c r="O248" s="64">
        <f>IF(O$8=0,0,INDEX('Multi-Year Inputs'!$E$12:$AE$15,MATCH($B248,'Multi-Year Inputs'!$D$12:$D$15,0),MATCH(O$7,'Multi-Year Inputs'!$E$4:$AE$4,0)))</f>
        <v>55.255527025440614</v>
      </c>
      <c r="P248" s="64">
        <f>IF(P$8=0,0,INDEX('Multi-Year Inputs'!$E$12:$AE$15,MATCH($B248,'Multi-Year Inputs'!$D$12:$D$15,0),MATCH(P$7,'Multi-Year Inputs'!$E$4:$AE$4,0)))</f>
        <v>55.255527025440614</v>
      </c>
      <c r="Q248" s="64">
        <f>IF(Q$8=0,0,INDEX('Multi-Year Inputs'!$E$12:$AE$15,MATCH($B248,'Multi-Year Inputs'!$D$12:$D$15,0),MATCH(Q$7,'Multi-Year Inputs'!$E$4:$AE$4,0)))</f>
        <v>55.255527025440614</v>
      </c>
      <c r="R248" s="64">
        <f>IF(R$8=0,0,INDEX('Multi-Year Inputs'!$E$12:$AE$15,MATCH($B248,'Multi-Year Inputs'!$D$12:$D$15,0),MATCH(R$7,'Multi-Year Inputs'!$E$4:$AE$4,0)))</f>
        <v>55.255527025440614</v>
      </c>
      <c r="S248" s="64">
        <f>IF(S$8=0,0,INDEX('Multi-Year Inputs'!$E$12:$AE$15,MATCH($B248,'Multi-Year Inputs'!$D$12:$D$15,0),MATCH(S$7,'Multi-Year Inputs'!$E$4:$AE$4,0)))</f>
        <v>55.255527025440614</v>
      </c>
      <c r="T248" s="64">
        <f>IF(T$8=0,0,INDEX('Multi-Year Inputs'!$E$12:$AE$15,MATCH($B248,'Multi-Year Inputs'!$D$12:$D$15,0),MATCH(T$7,'Multi-Year Inputs'!$E$4:$AE$4,0)))</f>
        <v>55.255527025440614</v>
      </c>
      <c r="U248" s="64">
        <f>IF(U$8=0,0,INDEX('Multi-Year Inputs'!$E$12:$AE$15,MATCH($B248,'Multi-Year Inputs'!$D$12:$D$15,0),MATCH(U$7,'Multi-Year Inputs'!$E$4:$AE$4,0)))</f>
        <v>55.255527025440614</v>
      </c>
      <c r="V248" s="64">
        <f>IF(V$8=0,0,INDEX('Multi-Year Inputs'!$E$12:$AE$15,MATCH($B248,'Multi-Year Inputs'!$D$12:$D$15,0),MATCH(V$7,'Multi-Year Inputs'!$E$4:$AE$4,0)))</f>
        <v>55.255527025440614</v>
      </c>
      <c r="W248" s="64">
        <f>IF(W$8=0,0,INDEX('Multi-Year Inputs'!$E$12:$AE$15,MATCH($B248,'Multi-Year Inputs'!$D$12:$D$15,0),MATCH(W$7,'Multi-Year Inputs'!$E$4:$AE$4,0)))</f>
        <v>55.255527025440614</v>
      </c>
      <c r="X248" s="64">
        <f>IF(X$8=0,0,INDEX('Multi-Year Inputs'!$E$12:$AE$15,MATCH($B248,'Multi-Year Inputs'!$D$12:$D$15,0),MATCH(X$7,'Multi-Year Inputs'!$E$4:$AE$4,0)))</f>
        <v>55.255527025440614</v>
      </c>
      <c r="Y248" s="64">
        <f>IF(Y$8=0,0,INDEX('Multi-Year Inputs'!$E$12:$AE$15,MATCH($B248,'Multi-Year Inputs'!$D$12:$D$15,0),MATCH(Y$7,'Multi-Year Inputs'!$E$4:$AE$4,0)))</f>
        <v>55.255527025440614</v>
      </c>
      <c r="Z248" s="64">
        <f>IF(Z$8=0,0,INDEX('Multi-Year Inputs'!$E$12:$AE$15,MATCH($B248,'Multi-Year Inputs'!$D$12:$D$15,0),MATCH(Z$7,'Multi-Year Inputs'!$E$4:$AE$4,0)))</f>
        <v>55.255527025440614</v>
      </c>
      <c r="AA248" s="64">
        <f>IF(AA$8=0,0,INDEX('Multi-Year Inputs'!$E$12:$AE$15,MATCH($B248,'Multi-Year Inputs'!$D$12:$D$15,0),MATCH(AA$7,'Multi-Year Inputs'!$E$4:$AE$4,0)))</f>
        <v>55.255527025440614</v>
      </c>
      <c r="AB248" s="64">
        <f>IF(AB$8=0,0,INDEX('Multi-Year Inputs'!$E$12:$AE$15,MATCH($B248,'Multi-Year Inputs'!$D$12:$D$15,0),MATCH(AB$7,'Multi-Year Inputs'!$E$4:$AE$4,0)))</f>
        <v>55.255527025440614</v>
      </c>
      <c r="AC248" s="64">
        <f>IF(AC$8=0,0,INDEX('Multi-Year Inputs'!$E$12:$AE$15,MATCH($B248,'Multi-Year Inputs'!$D$12:$D$15,0),MATCH(AC$7,'Multi-Year Inputs'!$E$4:$AE$4,0)))</f>
        <v>55.255527025440614</v>
      </c>
      <c r="AD248" s="64">
        <f>IF(AD$8=0,0,INDEX('Multi-Year Inputs'!$E$12:$AE$15,MATCH($B248,'Multi-Year Inputs'!$D$12:$D$15,0),MATCH(AD$7,'Multi-Year Inputs'!$E$4:$AE$4,0)))</f>
        <v>55.255527025440614</v>
      </c>
      <c r="AE248" s="64">
        <f>IF(AE$8=0,0,INDEX('Multi-Year Inputs'!$E$12:$AE$15,MATCH($B248,'Multi-Year Inputs'!$D$12:$D$15,0),MATCH(AE$7,'Multi-Year Inputs'!$E$4:$AE$4,0)))</f>
        <v>55.255527025440614</v>
      </c>
      <c r="AF248" s="64">
        <f>IF(AF$8=0,0,INDEX('Multi-Year Inputs'!$E$12:$AE$15,MATCH($B248,'Multi-Year Inputs'!$D$12:$D$15,0),MATCH(AF$7,'Multi-Year Inputs'!$E$4:$AE$4,0)))</f>
        <v>55.255527025440614</v>
      </c>
      <c r="AG248" s="64">
        <f>IF(AG$8=0,0,INDEX('Multi-Year Inputs'!$E$12:$AE$15,MATCH($B248,'Multi-Year Inputs'!$D$12:$D$15,0),MATCH(AG$7,'Multi-Year Inputs'!$E$4:$AE$4,0)))</f>
        <v>55.255527025440614</v>
      </c>
      <c r="AH248" s="64"/>
      <c r="AI248" s="64"/>
      <c r="AJ248" s="64"/>
      <c r="AM248" s="71">
        <f>IF(AM$8=0,0,INDEX('Multi-Year Inputs'!$E$12:$AE$15,MATCH($B248,'Multi-Year Inputs'!$D$12:$D$15,0),MATCH(AM$7,'Multi-Year Inputs'!$E$4:$AE$4,0)))</f>
        <v>0</v>
      </c>
      <c r="AN248" s="71">
        <f>IF(AN$8=0,0,INDEX('Multi-Year Inputs'!$E$12:$AE$15,MATCH($B248,'Multi-Year Inputs'!$D$12:$D$15,0),MATCH(AN$7,'Multi-Year Inputs'!$E$4:$AE$4,0)))</f>
        <v>0</v>
      </c>
      <c r="AO248" s="71">
        <f>IF(AO$8=0,0,INDEX('Multi-Year Inputs'!$E$12:$AE$15,MATCH($B248,'Multi-Year Inputs'!$D$12:$D$15,0),MATCH(AO$7,'Multi-Year Inputs'!$E$4:$AE$4,0)))</f>
        <v>55.255527025440614</v>
      </c>
      <c r="AP248" s="71">
        <f>IF(AP$8=0,0,INDEX('Multi-Year Inputs'!$E$12:$AE$15,MATCH($B248,'Multi-Year Inputs'!$D$12:$D$15,0),MATCH(AP$7,'Multi-Year Inputs'!$E$4:$AE$4,0)))</f>
        <v>55.255527025440614</v>
      </c>
      <c r="AQ248" s="71">
        <f>IF(AQ$8=0,0,INDEX('Multi-Year Inputs'!$E$12:$AE$15,MATCH($B248,'Multi-Year Inputs'!$D$12:$D$15,0),MATCH(AQ$7,'Multi-Year Inputs'!$E$4:$AE$4,0)))</f>
        <v>55.255527025440614</v>
      </c>
      <c r="AR248" s="71">
        <f>IF(AR$8=0,0,INDEX('Multi-Year Inputs'!$E$12:$AE$15,MATCH($B248,'Multi-Year Inputs'!$D$12:$D$15,0),MATCH(AR$7,'Multi-Year Inputs'!$E$4:$AE$4,0)))</f>
        <v>55.255527025440614</v>
      </c>
      <c r="AS248" s="71">
        <f>IF(AS$8=0,0,INDEX('Multi-Year Inputs'!$E$12:$AE$15,MATCH($B248,'Multi-Year Inputs'!$D$12:$D$15,0),MATCH(AS$7,'Multi-Year Inputs'!$E$4:$AE$4,0)))</f>
        <v>55.255527025440614</v>
      </c>
      <c r="AT248" s="71">
        <f>IF(AT$8=0,0,INDEX('Multi-Year Inputs'!$E$12:$AE$15,MATCH($B248,'Multi-Year Inputs'!$D$12:$D$15,0),MATCH(AT$7,'Multi-Year Inputs'!$E$4:$AE$4,0)))</f>
        <v>55.255527025440614</v>
      </c>
      <c r="AU248" s="71">
        <f>IF(AU$8=0,0,INDEX('Multi-Year Inputs'!$E$12:$AE$15,MATCH($B248,'Multi-Year Inputs'!$D$12:$D$15,0),MATCH(AU$7,'Multi-Year Inputs'!$E$4:$AE$4,0)))</f>
        <v>55.255527025440614</v>
      </c>
      <c r="AV248" s="71">
        <f>IF(AV$8=0,0,INDEX('Multi-Year Inputs'!$E$12:$AE$15,MATCH($B248,'Multi-Year Inputs'!$D$12:$D$15,0),MATCH(AV$7,'Multi-Year Inputs'!$E$4:$AE$4,0)))</f>
        <v>55.255527025440614</v>
      </c>
      <c r="AW248" s="71">
        <f>IF(AW$8=0,0,INDEX('Multi-Year Inputs'!$E$12:$AE$15,MATCH($B248,'Multi-Year Inputs'!$D$12:$D$15,0),MATCH(AW$7,'Multi-Year Inputs'!$E$4:$AE$4,0)))</f>
        <v>55.255527025440614</v>
      </c>
      <c r="AX248" s="71">
        <f>IF(AX$8=0,0,INDEX('Multi-Year Inputs'!$E$12:$AE$15,MATCH($B248,'Multi-Year Inputs'!$D$12:$D$15,0),MATCH(AX$7,'Multi-Year Inputs'!$E$4:$AE$4,0)))</f>
        <v>55.255527025440614</v>
      </c>
      <c r="AY248" s="71">
        <f>IF(AY$8=0,0,INDEX('Multi-Year Inputs'!$E$12:$AE$15,MATCH($B248,'Multi-Year Inputs'!$D$12:$D$15,0),MATCH(AY$7,'Multi-Year Inputs'!$E$4:$AE$4,0)))</f>
        <v>55.255527025440614</v>
      </c>
      <c r="AZ248" s="71">
        <f>IF(AZ$8=0,0,INDEX('Multi-Year Inputs'!$E$12:$AE$15,MATCH($B248,'Multi-Year Inputs'!$D$12:$D$15,0),MATCH(AZ$7,'Multi-Year Inputs'!$E$4:$AE$4,0)))</f>
        <v>55.255527025440614</v>
      </c>
      <c r="BA248" s="71">
        <f>IF(BA$8=0,0,INDEX('Multi-Year Inputs'!$E$12:$AE$15,MATCH($B248,'Multi-Year Inputs'!$D$12:$D$15,0),MATCH(BA$7,'Multi-Year Inputs'!$E$4:$AE$4,0)))</f>
        <v>55.255527025440614</v>
      </c>
      <c r="BB248" s="71">
        <f>IF(BB$8=0,0,INDEX('Multi-Year Inputs'!$E$12:$AE$15,MATCH($B248,'Multi-Year Inputs'!$D$12:$D$15,0),MATCH(BB$7,'Multi-Year Inputs'!$E$4:$AE$4,0)))</f>
        <v>55.255527025440614</v>
      </c>
      <c r="BC248" s="71">
        <f>IF(BC$8=0,0,INDEX('Multi-Year Inputs'!$E$12:$AE$15,MATCH($B248,'Multi-Year Inputs'!$D$12:$D$15,0),MATCH(BC$7,'Multi-Year Inputs'!$E$4:$AE$4,0)))</f>
        <v>55.255527025440614</v>
      </c>
      <c r="BD248" s="71">
        <f>IF(BD$8=0,0,INDEX('Multi-Year Inputs'!$E$12:$AE$15,MATCH($B248,'Multi-Year Inputs'!$D$12:$D$15,0),MATCH(BD$7,'Multi-Year Inputs'!$E$4:$AE$4,0)))</f>
        <v>55.255527025440614</v>
      </c>
      <c r="BE248" s="71">
        <f>IF(BE$8=0,0,INDEX('Multi-Year Inputs'!$E$12:$AE$15,MATCH($B248,'Multi-Year Inputs'!$D$12:$D$15,0),MATCH(BE$7,'Multi-Year Inputs'!$E$4:$AE$4,0)))</f>
        <v>55.255527025440614</v>
      </c>
      <c r="BF248" s="71">
        <f>IF(BF$8=0,0,INDEX('Multi-Year Inputs'!$E$12:$AE$15,MATCH($B248,'Multi-Year Inputs'!$D$12:$D$15,0),MATCH(BF$7,'Multi-Year Inputs'!$E$4:$AE$4,0)))</f>
        <v>55.255527025440614</v>
      </c>
      <c r="BG248" s="71">
        <f>IF(BG$8=0,0,INDEX('Multi-Year Inputs'!$E$12:$AE$15,MATCH($B248,'Multi-Year Inputs'!$D$12:$D$15,0),MATCH(BG$7,'Multi-Year Inputs'!$E$4:$AE$4,0)))</f>
        <v>55.255527025440614</v>
      </c>
      <c r="BH248" s="71">
        <f>IF(BH$8=0,0,INDEX('Multi-Year Inputs'!$E$12:$AE$15,MATCH($B248,'Multi-Year Inputs'!$D$12:$D$15,0),MATCH(BH$7,'Multi-Year Inputs'!$E$4:$AE$4,0)))</f>
        <v>55.255527025440614</v>
      </c>
      <c r="BI248" s="71">
        <f>IF(BI$8=0,0,INDEX('Multi-Year Inputs'!$E$12:$AE$15,MATCH($B248,'Multi-Year Inputs'!$D$12:$D$15,0),MATCH(BI$7,'Multi-Year Inputs'!$E$4:$AE$4,0)))</f>
        <v>55.255527025440614</v>
      </c>
      <c r="BJ248" s="71">
        <f>IF(BJ$8=0,0,INDEX('Multi-Year Inputs'!$E$12:$AE$15,MATCH($B248,'Multi-Year Inputs'!$D$12:$D$15,0),MATCH(BJ$7,'Multi-Year Inputs'!$E$4:$AE$4,0)))</f>
        <v>55.255527025440614</v>
      </c>
      <c r="BK248" s="71">
        <f>IF(BK$8=0,0,INDEX('Multi-Year Inputs'!$E$12:$AE$15,MATCH($B248,'Multi-Year Inputs'!$D$12:$D$15,0),MATCH(BK$7,'Multi-Year Inputs'!$E$4:$AE$4,0)))</f>
        <v>55.255527025440614</v>
      </c>
      <c r="BL248" s="71">
        <f>IF(BL$8=0,0,INDEX('Multi-Year Inputs'!$E$12:$AE$15,MATCH($B248,'Multi-Year Inputs'!$D$12:$D$15,0),MATCH(BL$7,'Multi-Year Inputs'!$E$4:$AE$4,0)))</f>
        <v>55.255527025440614</v>
      </c>
      <c r="BM248" s="71">
        <f>IF(BM$8=0,0,INDEX('Multi-Year Inputs'!$E$12:$AE$15,MATCH($B248,'Multi-Year Inputs'!$D$12:$D$15,0),MATCH(BM$7,'Multi-Year Inputs'!$E$4:$AE$4,0)))</f>
        <v>55.255527025440614</v>
      </c>
      <c r="BN248" s="72"/>
      <c r="BO248" s="72"/>
      <c r="BP248" s="72"/>
      <c r="BS248" s="76" t="s">
        <v>89</v>
      </c>
      <c r="BT248" s="51" t="s">
        <v>17</v>
      </c>
    </row>
    <row r="249" spans="1:72" s="5" customFormat="1" x14ac:dyDescent="0.25">
      <c r="A249" s="52"/>
      <c r="B249" s="242" t="str">
        <f t="shared" si="273"/>
        <v>Large C&amp;I</v>
      </c>
      <c r="C249" s="242" t="str">
        <f>C248</f>
        <v>Customers</v>
      </c>
      <c r="D249" s="244" t="s">
        <v>40</v>
      </c>
      <c r="E249" s="77" t="s">
        <v>40</v>
      </c>
      <c r="F249" s="76" t="s">
        <v>2</v>
      </c>
      <c r="G249" s="65">
        <f ca="1">IF($C$4=Lookups!$D$40,IF(SUM(INDIRECT("'Yr1'!"&amp;ADDRESS(ROW(G249),COLUMN(G249))),INDIRECT("'Yr2'!"&amp;ADDRESS(ROW(G249),COLUMN(G249))),INDIRECT("'Yr3'!"&amp;ADDRESS(ROW(G249),COLUMN(G249))))&gt;0,"3 Yr. total",0),
IF(G$7&lt;$C$4,0,IF(G$8&lt;=SUMIFS('EE Inputs'!$V$9:$V$32,'EE Inputs'!$C$9:$C$32,$G$6,'EE Inputs'!$D$9:$D$32,$C$4,'EE Inputs'!$E$9:$E$32,$B249),SUMIFS('EE Inputs'!$V$9:$V$32,'EE Inputs'!$C$9:$C$32,$G$6,'EE Inputs'!$D$9:$D$32,$C$4,'EE Inputs'!$E$9:$E$32,$B249),0)))</f>
        <v>0</v>
      </c>
      <c r="H249" s="65">
        <f ca="1">IF($C$4=Lookups!$D$40,IF(SUM(INDIRECT("'Yr1'!"&amp;ADDRESS(ROW(H249),COLUMN(H249))),INDIRECT("'Yr2'!"&amp;ADDRESS(ROW(H249),COLUMN(H249))),INDIRECT("'Yr3'!"&amp;ADDRESS(ROW(H249),COLUMN(H249))))&gt;0,"3 Yr. total",0),
IF(H$7&lt;$C$4,0,IF(H$8&lt;=SUMIFS('EE Inputs'!$V$9:$V$32,'EE Inputs'!$C$9:$C$32,$G$6,'EE Inputs'!$D$9:$D$32,$C$4,'EE Inputs'!$E$9:$E$32,$B249),SUMIFS('EE Inputs'!$V$9:$V$32,'EE Inputs'!$C$9:$C$32,$G$6,'EE Inputs'!$D$9:$D$32,$C$4,'EE Inputs'!$E$9:$E$32,$B249),0)))</f>
        <v>0</v>
      </c>
      <c r="I249" s="65">
        <f ca="1">IF($C$4=Lookups!$D$40,IF(SUM(INDIRECT("'Yr1'!"&amp;ADDRESS(ROW(I249),COLUMN(I249))),INDIRECT("'Yr2'!"&amp;ADDRESS(ROW(I249),COLUMN(I249))),INDIRECT("'Yr3'!"&amp;ADDRESS(ROW(I249),COLUMN(I249))))&gt;0,"3 Yr. total",0),
IF(I$7&lt;$C$4,0,IF(I$8&lt;=SUMIFS('EE Inputs'!$V$9:$V$32,'EE Inputs'!$C$9:$C$32,$G$6,'EE Inputs'!$D$9:$D$32,$C$4,'EE Inputs'!$E$9:$E$32,$B249),SUMIFS('EE Inputs'!$V$9:$V$32,'EE Inputs'!$C$9:$C$32,$G$6,'EE Inputs'!$D$9:$D$32,$C$4,'EE Inputs'!$E$9:$E$32,$B249),0)))</f>
        <v>13</v>
      </c>
      <c r="J249" s="65">
        <f ca="1">IF($C$4=Lookups!$D$40,IF(SUM(INDIRECT("'Yr1'!"&amp;ADDRESS(ROW(J249),COLUMN(J249))),INDIRECT("'Yr2'!"&amp;ADDRESS(ROW(J249),COLUMN(J249))),INDIRECT("'Yr3'!"&amp;ADDRESS(ROW(J249),COLUMN(J249))))&gt;0,"3 Yr. total",0),
IF(J$7&lt;$C$4,0,IF(J$8&lt;=SUMIFS('EE Inputs'!$V$9:$V$32,'EE Inputs'!$C$9:$C$32,$G$6,'EE Inputs'!$D$9:$D$32,$C$4,'EE Inputs'!$E$9:$E$32,$B249),SUMIFS('EE Inputs'!$V$9:$V$32,'EE Inputs'!$C$9:$C$32,$G$6,'EE Inputs'!$D$9:$D$32,$C$4,'EE Inputs'!$E$9:$E$32,$B249),0)))</f>
        <v>13</v>
      </c>
      <c r="K249" s="65">
        <f ca="1">IF($C$4=Lookups!$D$40,IF(SUM(INDIRECT("'Yr1'!"&amp;ADDRESS(ROW(K249),COLUMN(K249))),INDIRECT("'Yr2'!"&amp;ADDRESS(ROW(K249),COLUMN(K249))),INDIRECT("'Yr3'!"&amp;ADDRESS(ROW(K249),COLUMN(K249))))&gt;0,"3 Yr. total",0),
IF(K$7&lt;$C$4,0,IF(K$8&lt;=SUMIFS('EE Inputs'!$V$9:$V$32,'EE Inputs'!$C$9:$C$32,$G$6,'EE Inputs'!$D$9:$D$32,$C$4,'EE Inputs'!$E$9:$E$32,$B249),SUMIFS('EE Inputs'!$V$9:$V$32,'EE Inputs'!$C$9:$C$32,$G$6,'EE Inputs'!$D$9:$D$32,$C$4,'EE Inputs'!$E$9:$E$32,$B249),0)))</f>
        <v>13</v>
      </c>
      <c r="L249" s="65">
        <f ca="1">IF($C$4=Lookups!$D$40,IF(SUM(INDIRECT("'Yr1'!"&amp;ADDRESS(ROW(L249),COLUMN(L249))),INDIRECT("'Yr2'!"&amp;ADDRESS(ROW(L249),COLUMN(L249))),INDIRECT("'Yr3'!"&amp;ADDRESS(ROW(L249),COLUMN(L249))))&gt;0,"3 Yr. total",0),
IF(L$7&lt;$C$4,0,IF(L$8&lt;=SUMIFS('EE Inputs'!$V$9:$V$32,'EE Inputs'!$C$9:$C$32,$G$6,'EE Inputs'!$D$9:$D$32,$C$4,'EE Inputs'!$E$9:$E$32,$B249),SUMIFS('EE Inputs'!$V$9:$V$32,'EE Inputs'!$C$9:$C$32,$G$6,'EE Inputs'!$D$9:$D$32,$C$4,'EE Inputs'!$E$9:$E$32,$B249),0)))</f>
        <v>13</v>
      </c>
      <c r="M249" s="65">
        <f ca="1">IF($C$4=Lookups!$D$40,IF(SUM(INDIRECT("'Yr1'!"&amp;ADDRESS(ROW(M249),COLUMN(M249))),INDIRECT("'Yr2'!"&amp;ADDRESS(ROW(M249),COLUMN(M249))),INDIRECT("'Yr3'!"&amp;ADDRESS(ROW(M249),COLUMN(M249))))&gt;0,"3 Yr. total",0),
IF(M$7&lt;$C$4,0,IF(M$8&lt;=SUMIFS('EE Inputs'!$V$9:$V$32,'EE Inputs'!$C$9:$C$32,$G$6,'EE Inputs'!$D$9:$D$32,$C$4,'EE Inputs'!$E$9:$E$32,$B249),SUMIFS('EE Inputs'!$V$9:$V$32,'EE Inputs'!$C$9:$C$32,$G$6,'EE Inputs'!$D$9:$D$32,$C$4,'EE Inputs'!$E$9:$E$32,$B249),0)))</f>
        <v>13</v>
      </c>
      <c r="N249" s="65">
        <f ca="1">IF($C$4=Lookups!$D$40,IF(SUM(INDIRECT("'Yr1'!"&amp;ADDRESS(ROW(N249),COLUMN(N249))),INDIRECT("'Yr2'!"&amp;ADDRESS(ROW(N249),COLUMN(N249))),INDIRECT("'Yr3'!"&amp;ADDRESS(ROW(N249),COLUMN(N249))))&gt;0,"3 Yr. total",0),
IF(N$7&lt;$C$4,0,IF(N$8&lt;=SUMIFS('EE Inputs'!$V$9:$V$32,'EE Inputs'!$C$9:$C$32,$G$6,'EE Inputs'!$D$9:$D$32,$C$4,'EE Inputs'!$E$9:$E$32,$B249),SUMIFS('EE Inputs'!$V$9:$V$32,'EE Inputs'!$C$9:$C$32,$G$6,'EE Inputs'!$D$9:$D$32,$C$4,'EE Inputs'!$E$9:$E$32,$B249),0)))</f>
        <v>13</v>
      </c>
      <c r="O249" s="65">
        <f ca="1">IF($C$4=Lookups!$D$40,IF(SUM(INDIRECT("'Yr1'!"&amp;ADDRESS(ROW(O249),COLUMN(O249))),INDIRECT("'Yr2'!"&amp;ADDRESS(ROW(O249),COLUMN(O249))),INDIRECT("'Yr3'!"&amp;ADDRESS(ROW(O249),COLUMN(O249))))&gt;0,"3 Yr. total",0),
IF(O$7&lt;$C$4,0,IF(O$8&lt;=SUMIFS('EE Inputs'!$V$9:$V$32,'EE Inputs'!$C$9:$C$32,$G$6,'EE Inputs'!$D$9:$D$32,$C$4,'EE Inputs'!$E$9:$E$32,$B249),SUMIFS('EE Inputs'!$V$9:$V$32,'EE Inputs'!$C$9:$C$32,$G$6,'EE Inputs'!$D$9:$D$32,$C$4,'EE Inputs'!$E$9:$E$32,$B249),0)))</f>
        <v>13</v>
      </c>
      <c r="P249" s="65">
        <f ca="1">IF($C$4=Lookups!$D$40,IF(SUM(INDIRECT("'Yr1'!"&amp;ADDRESS(ROW(P249),COLUMN(P249))),INDIRECT("'Yr2'!"&amp;ADDRESS(ROW(P249),COLUMN(P249))),INDIRECT("'Yr3'!"&amp;ADDRESS(ROW(P249),COLUMN(P249))))&gt;0,"3 Yr. total",0),
IF(P$7&lt;$C$4,0,IF(P$8&lt;=SUMIFS('EE Inputs'!$V$9:$V$32,'EE Inputs'!$C$9:$C$32,$G$6,'EE Inputs'!$D$9:$D$32,$C$4,'EE Inputs'!$E$9:$E$32,$B249),SUMIFS('EE Inputs'!$V$9:$V$32,'EE Inputs'!$C$9:$C$32,$G$6,'EE Inputs'!$D$9:$D$32,$C$4,'EE Inputs'!$E$9:$E$32,$B249),0)))</f>
        <v>13</v>
      </c>
      <c r="Q249" s="65">
        <f ca="1">IF($C$4=Lookups!$D$40,IF(SUM(INDIRECT("'Yr1'!"&amp;ADDRESS(ROW(Q249),COLUMN(Q249))),INDIRECT("'Yr2'!"&amp;ADDRESS(ROW(Q249),COLUMN(Q249))),INDIRECT("'Yr3'!"&amp;ADDRESS(ROW(Q249),COLUMN(Q249))))&gt;0,"3 Yr. total",0),
IF(Q$7&lt;$C$4,0,IF(Q$8&lt;=SUMIFS('EE Inputs'!$V$9:$V$32,'EE Inputs'!$C$9:$C$32,$G$6,'EE Inputs'!$D$9:$D$32,$C$4,'EE Inputs'!$E$9:$E$32,$B249),SUMIFS('EE Inputs'!$V$9:$V$32,'EE Inputs'!$C$9:$C$32,$G$6,'EE Inputs'!$D$9:$D$32,$C$4,'EE Inputs'!$E$9:$E$32,$B249),0)))</f>
        <v>13</v>
      </c>
      <c r="R249" s="65">
        <f ca="1">IF($C$4=Lookups!$D$40,IF(SUM(INDIRECT("'Yr1'!"&amp;ADDRESS(ROW(R249),COLUMN(R249))),INDIRECT("'Yr2'!"&amp;ADDRESS(ROW(R249),COLUMN(R249))),INDIRECT("'Yr3'!"&amp;ADDRESS(ROW(R249),COLUMN(R249))))&gt;0,"3 Yr. total",0),
IF(R$7&lt;$C$4,0,IF(R$8&lt;=SUMIFS('EE Inputs'!$V$9:$V$32,'EE Inputs'!$C$9:$C$32,$G$6,'EE Inputs'!$D$9:$D$32,$C$4,'EE Inputs'!$E$9:$E$32,$B249),SUMIFS('EE Inputs'!$V$9:$V$32,'EE Inputs'!$C$9:$C$32,$G$6,'EE Inputs'!$D$9:$D$32,$C$4,'EE Inputs'!$E$9:$E$32,$B249),0)))</f>
        <v>13</v>
      </c>
      <c r="S249" s="65">
        <f ca="1">IF($C$4=Lookups!$D$40,IF(SUM(INDIRECT("'Yr1'!"&amp;ADDRESS(ROW(S249),COLUMN(S249))),INDIRECT("'Yr2'!"&amp;ADDRESS(ROW(S249),COLUMN(S249))),INDIRECT("'Yr3'!"&amp;ADDRESS(ROW(S249),COLUMN(S249))))&gt;0,"3 Yr. total",0),
IF(S$7&lt;$C$4,0,IF(S$8&lt;=SUMIFS('EE Inputs'!$V$9:$V$32,'EE Inputs'!$C$9:$C$32,$G$6,'EE Inputs'!$D$9:$D$32,$C$4,'EE Inputs'!$E$9:$E$32,$B249),SUMIFS('EE Inputs'!$V$9:$V$32,'EE Inputs'!$C$9:$C$32,$G$6,'EE Inputs'!$D$9:$D$32,$C$4,'EE Inputs'!$E$9:$E$32,$B249),0)))</f>
        <v>13</v>
      </c>
      <c r="T249" s="65">
        <f ca="1">IF($C$4=Lookups!$D$40,IF(SUM(INDIRECT("'Yr1'!"&amp;ADDRESS(ROW(T249),COLUMN(T249))),INDIRECT("'Yr2'!"&amp;ADDRESS(ROW(T249),COLUMN(T249))),INDIRECT("'Yr3'!"&amp;ADDRESS(ROW(T249),COLUMN(T249))))&gt;0,"3 Yr. total",0),
IF(T$7&lt;$C$4,0,IF(T$8&lt;=SUMIFS('EE Inputs'!$V$9:$V$32,'EE Inputs'!$C$9:$C$32,$G$6,'EE Inputs'!$D$9:$D$32,$C$4,'EE Inputs'!$E$9:$E$32,$B249),SUMIFS('EE Inputs'!$V$9:$V$32,'EE Inputs'!$C$9:$C$32,$G$6,'EE Inputs'!$D$9:$D$32,$C$4,'EE Inputs'!$E$9:$E$32,$B249),0)))</f>
        <v>13</v>
      </c>
      <c r="U249" s="65">
        <f ca="1">IF($C$4=Lookups!$D$40,IF(SUM(INDIRECT("'Yr1'!"&amp;ADDRESS(ROW(U249),COLUMN(U249))),INDIRECT("'Yr2'!"&amp;ADDRESS(ROW(U249),COLUMN(U249))),INDIRECT("'Yr3'!"&amp;ADDRESS(ROW(U249),COLUMN(U249))))&gt;0,"3 Yr. total",0),
IF(U$7&lt;$C$4,0,IF(U$8&lt;=SUMIFS('EE Inputs'!$V$9:$V$32,'EE Inputs'!$C$9:$C$32,$G$6,'EE Inputs'!$D$9:$D$32,$C$4,'EE Inputs'!$E$9:$E$32,$B249),SUMIFS('EE Inputs'!$V$9:$V$32,'EE Inputs'!$C$9:$C$32,$G$6,'EE Inputs'!$D$9:$D$32,$C$4,'EE Inputs'!$E$9:$E$32,$B249),0)))</f>
        <v>13</v>
      </c>
      <c r="V249" s="65">
        <f ca="1">IF($C$4=Lookups!$D$40,IF(SUM(INDIRECT("'Yr1'!"&amp;ADDRESS(ROW(V249),COLUMN(V249))),INDIRECT("'Yr2'!"&amp;ADDRESS(ROW(V249),COLUMN(V249))),INDIRECT("'Yr3'!"&amp;ADDRESS(ROW(V249),COLUMN(V249))))&gt;0,"3 Yr. total",0),
IF(V$7&lt;$C$4,0,IF(V$8&lt;=SUMIFS('EE Inputs'!$V$9:$V$32,'EE Inputs'!$C$9:$C$32,$G$6,'EE Inputs'!$D$9:$D$32,$C$4,'EE Inputs'!$E$9:$E$32,$B249),SUMIFS('EE Inputs'!$V$9:$V$32,'EE Inputs'!$C$9:$C$32,$G$6,'EE Inputs'!$D$9:$D$32,$C$4,'EE Inputs'!$E$9:$E$32,$B249),0)))</f>
        <v>0</v>
      </c>
      <c r="W249" s="65">
        <f ca="1">IF($C$4=Lookups!$D$40,IF(SUM(INDIRECT("'Yr1'!"&amp;ADDRESS(ROW(W249),COLUMN(W249))),INDIRECT("'Yr2'!"&amp;ADDRESS(ROW(W249),COLUMN(W249))),INDIRECT("'Yr3'!"&amp;ADDRESS(ROW(W249),COLUMN(W249))))&gt;0,"3 Yr. total",0),
IF(W$7&lt;$C$4,0,IF(W$8&lt;=SUMIFS('EE Inputs'!$V$9:$V$32,'EE Inputs'!$C$9:$C$32,$G$6,'EE Inputs'!$D$9:$D$32,$C$4,'EE Inputs'!$E$9:$E$32,$B249),SUMIFS('EE Inputs'!$V$9:$V$32,'EE Inputs'!$C$9:$C$32,$G$6,'EE Inputs'!$D$9:$D$32,$C$4,'EE Inputs'!$E$9:$E$32,$B249),0)))</f>
        <v>0</v>
      </c>
      <c r="X249" s="65">
        <f ca="1">IF($C$4=Lookups!$D$40,IF(SUM(INDIRECT("'Yr1'!"&amp;ADDRESS(ROW(X249),COLUMN(X249))),INDIRECT("'Yr2'!"&amp;ADDRESS(ROW(X249),COLUMN(X249))),INDIRECT("'Yr3'!"&amp;ADDRESS(ROW(X249),COLUMN(X249))))&gt;0,"3 Yr. total",0),
IF(X$7&lt;$C$4,0,IF(X$8&lt;=SUMIFS('EE Inputs'!$V$9:$V$32,'EE Inputs'!$C$9:$C$32,$G$6,'EE Inputs'!$D$9:$D$32,$C$4,'EE Inputs'!$E$9:$E$32,$B249),SUMIFS('EE Inputs'!$V$9:$V$32,'EE Inputs'!$C$9:$C$32,$G$6,'EE Inputs'!$D$9:$D$32,$C$4,'EE Inputs'!$E$9:$E$32,$B249),0)))</f>
        <v>0</v>
      </c>
      <c r="Y249" s="65">
        <f ca="1">IF($C$4=Lookups!$D$40,IF(SUM(INDIRECT("'Yr1'!"&amp;ADDRESS(ROW(Y249),COLUMN(Y249))),INDIRECT("'Yr2'!"&amp;ADDRESS(ROW(Y249),COLUMN(Y249))),INDIRECT("'Yr3'!"&amp;ADDRESS(ROW(Y249),COLUMN(Y249))))&gt;0,"3 Yr. total",0),
IF(Y$7&lt;$C$4,0,IF(Y$8&lt;=SUMIFS('EE Inputs'!$V$9:$V$32,'EE Inputs'!$C$9:$C$32,$G$6,'EE Inputs'!$D$9:$D$32,$C$4,'EE Inputs'!$E$9:$E$32,$B249),SUMIFS('EE Inputs'!$V$9:$V$32,'EE Inputs'!$C$9:$C$32,$G$6,'EE Inputs'!$D$9:$D$32,$C$4,'EE Inputs'!$E$9:$E$32,$B249),0)))</f>
        <v>0</v>
      </c>
      <c r="Z249" s="65">
        <f ca="1">IF($C$4=Lookups!$D$40,IF(SUM(INDIRECT("'Yr1'!"&amp;ADDRESS(ROW(Z249),COLUMN(Z249))),INDIRECT("'Yr2'!"&amp;ADDRESS(ROW(Z249),COLUMN(Z249))),INDIRECT("'Yr3'!"&amp;ADDRESS(ROW(Z249),COLUMN(Z249))))&gt;0,"3 Yr. total",0),
IF(Z$7&lt;$C$4,0,IF(Z$8&lt;=SUMIFS('EE Inputs'!$V$9:$V$32,'EE Inputs'!$C$9:$C$32,$G$6,'EE Inputs'!$D$9:$D$32,$C$4,'EE Inputs'!$E$9:$E$32,$B249),SUMIFS('EE Inputs'!$V$9:$V$32,'EE Inputs'!$C$9:$C$32,$G$6,'EE Inputs'!$D$9:$D$32,$C$4,'EE Inputs'!$E$9:$E$32,$B249),0)))</f>
        <v>0</v>
      </c>
      <c r="AA249" s="65">
        <f ca="1">IF($C$4=Lookups!$D$40,IF(SUM(INDIRECT("'Yr1'!"&amp;ADDRESS(ROW(AA249),COLUMN(AA249))),INDIRECT("'Yr2'!"&amp;ADDRESS(ROW(AA249),COLUMN(AA249))),INDIRECT("'Yr3'!"&amp;ADDRESS(ROW(AA249),COLUMN(AA249))))&gt;0,"3 Yr. total",0),
IF(AA$7&lt;$C$4,0,IF(AA$8&lt;=SUMIFS('EE Inputs'!$V$9:$V$32,'EE Inputs'!$C$9:$C$32,$G$6,'EE Inputs'!$D$9:$D$32,$C$4,'EE Inputs'!$E$9:$E$32,$B249),SUMIFS('EE Inputs'!$V$9:$V$32,'EE Inputs'!$C$9:$C$32,$G$6,'EE Inputs'!$D$9:$D$32,$C$4,'EE Inputs'!$E$9:$E$32,$B249),0)))</f>
        <v>0</v>
      </c>
      <c r="AB249" s="65">
        <f ca="1">IF($C$4=Lookups!$D$40,IF(SUM(INDIRECT("'Yr1'!"&amp;ADDRESS(ROW(AB249),COLUMN(AB249))),INDIRECT("'Yr2'!"&amp;ADDRESS(ROW(AB249),COLUMN(AB249))),INDIRECT("'Yr3'!"&amp;ADDRESS(ROW(AB249),COLUMN(AB249))))&gt;0,"3 Yr. total",0),
IF(AB$7&lt;$C$4,0,IF(AB$8&lt;=SUMIFS('EE Inputs'!$V$9:$V$32,'EE Inputs'!$C$9:$C$32,$G$6,'EE Inputs'!$D$9:$D$32,$C$4,'EE Inputs'!$E$9:$E$32,$B249),SUMIFS('EE Inputs'!$V$9:$V$32,'EE Inputs'!$C$9:$C$32,$G$6,'EE Inputs'!$D$9:$D$32,$C$4,'EE Inputs'!$E$9:$E$32,$B249),0)))</f>
        <v>0</v>
      </c>
      <c r="AC249" s="65">
        <f ca="1">IF($C$4=Lookups!$D$40,IF(SUM(INDIRECT("'Yr1'!"&amp;ADDRESS(ROW(AC249),COLUMN(AC249))),INDIRECT("'Yr2'!"&amp;ADDRESS(ROW(AC249),COLUMN(AC249))),INDIRECT("'Yr3'!"&amp;ADDRESS(ROW(AC249),COLUMN(AC249))))&gt;0,"3 Yr. total",0),
IF(AC$7&lt;$C$4,0,IF(AC$8&lt;=SUMIFS('EE Inputs'!$V$9:$V$32,'EE Inputs'!$C$9:$C$32,$G$6,'EE Inputs'!$D$9:$D$32,$C$4,'EE Inputs'!$E$9:$E$32,$B249),SUMIFS('EE Inputs'!$V$9:$V$32,'EE Inputs'!$C$9:$C$32,$G$6,'EE Inputs'!$D$9:$D$32,$C$4,'EE Inputs'!$E$9:$E$32,$B249),0)))</f>
        <v>0</v>
      </c>
      <c r="AD249" s="65">
        <f ca="1">IF($C$4=Lookups!$D$40,IF(SUM(INDIRECT("'Yr1'!"&amp;ADDRESS(ROW(AD249),COLUMN(AD249))),INDIRECT("'Yr2'!"&amp;ADDRESS(ROW(AD249),COLUMN(AD249))),INDIRECT("'Yr3'!"&amp;ADDRESS(ROW(AD249),COLUMN(AD249))))&gt;0,"3 Yr. total",0),
IF(AD$7&lt;$C$4,0,IF(AD$8&lt;=SUMIFS('EE Inputs'!$V$9:$V$32,'EE Inputs'!$C$9:$C$32,$G$6,'EE Inputs'!$D$9:$D$32,$C$4,'EE Inputs'!$E$9:$E$32,$B249),SUMIFS('EE Inputs'!$V$9:$V$32,'EE Inputs'!$C$9:$C$32,$G$6,'EE Inputs'!$D$9:$D$32,$C$4,'EE Inputs'!$E$9:$E$32,$B249),0)))</f>
        <v>0</v>
      </c>
      <c r="AE249" s="65">
        <f ca="1">IF($C$4=Lookups!$D$40,IF(SUM(INDIRECT("'Yr1'!"&amp;ADDRESS(ROW(AE249),COLUMN(AE249))),INDIRECT("'Yr2'!"&amp;ADDRESS(ROW(AE249),COLUMN(AE249))),INDIRECT("'Yr3'!"&amp;ADDRESS(ROW(AE249),COLUMN(AE249))))&gt;0,"3 Yr. total",0),
IF(AE$7&lt;$C$4,0,IF(AE$8&lt;=SUMIFS('EE Inputs'!$V$9:$V$32,'EE Inputs'!$C$9:$C$32,$G$6,'EE Inputs'!$D$9:$D$32,$C$4,'EE Inputs'!$E$9:$E$32,$B249),SUMIFS('EE Inputs'!$V$9:$V$32,'EE Inputs'!$C$9:$C$32,$G$6,'EE Inputs'!$D$9:$D$32,$C$4,'EE Inputs'!$E$9:$E$32,$B249),0)))</f>
        <v>0</v>
      </c>
      <c r="AF249" s="65">
        <f ca="1">IF($C$4=Lookups!$D$40,IF(SUM(INDIRECT("'Yr1'!"&amp;ADDRESS(ROW(AF249),COLUMN(AF249))),INDIRECT("'Yr2'!"&amp;ADDRESS(ROW(AF249),COLUMN(AF249))),INDIRECT("'Yr3'!"&amp;ADDRESS(ROW(AF249),COLUMN(AF249))))&gt;0,"3 Yr. total",0),
IF(AF$7&lt;$C$4,0,IF(AF$8&lt;=SUMIFS('EE Inputs'!$V$9:$V$32,'EE Inputs'!$C$9:$C$32,$G$6,'EE Inputs'!$D$9:$D$32,$C$4,'EE Inputs'!$E$9:$E$32,$B249),SUMIFS('EE Inputs'!$V$9:$V$32,'EE Inputs'!$C$9:$C$32,$G$6,'EE Inputs'!$D$9:$D$32,$C$4,'EE Inputs'!$E$9:$E$32,$B249),0)))</f>
        <v>0</v>
      </c>
      <c r="AG249" s="65">
        <f ca="1">IF($C$4=Lookups!$D$40,IF(SUM(INDIRECT("'Yr1'!"&amp;ADDRESS(ROW(AG249),COLUMN(AG249))),INDIRECT("'Yr2'!"&amp;ADDRESS(ROW(AG249),COLUMN(AG249))),INDIRECT("'Yr3'!"&amp;ADDRESS(ROW(AG249),COLUMN(AG249))))&gt;0,"3 Yr. total",0),
IF(AG$7&lt;$C$4,0,IF(AG$8&lt;=SUMIFS('EE Inputs'!$V$9:$V$32,'EE Inputs'!$C$9:$C$32,$G$6,'EE Inputs'!$D$9:$D$32,$C$4,'EE Inputs'!$E$9:$E$32,$B249),SUMIFS('EE Inputs'!$V$9:$V$32,'EE Inputs'!$C$9:$C$32,$G$6,'EE Inputs'!$D$9:$D$32,$C$4,'EE Inputs'!$E$9:$E$32,$B249),0)))</f>
        <v>0</v>
      </c>
      <c r="AH249" s="65"/>
      <c r="AI249" s="65"/>
      <c r="AJ249" s="65"/>
      <c r="AM249" s="72">
        <f ca="1">IF($C$4=Lookups!$D$40,IF(SUM(INDIRECT("'Yr1'!"&amp;ADDRESS(ROW(AM249),COLUMN(AM249))),INDIRECT("'Yr2'!"&amp;ADDRESS(ROW(AM249),COLUMN(AM249))),INDIRECT("'Yr3'!"&amp;ADDRESS(ROW(AM249),COLUMN(AM249))))&gt;0,"3 Yr. total",0),
IF(AM$7&lt;$C$4,0,IF(AM$8&lt;=SUMIFS('EE Inputs'!$V$9:$V$32,'EE Inputs'!$C$9:$C$32,$AM$6,'EE Inputs'!$D$9:$D$32,$C$4,'EE Inputs'!$E$9:$E$32,$B249),SUMIFS('EE Inputs'!$V$9:$V$32,'EE Inputs'!$C$9:$C$32,$AM$6,'EE Inputs'!$D$9:$D$32,$C$4,'EE Inputs'!$E$9:$E$32,$B249),0)))</f>
        <v>0</v>
      </c>
      <c r="AN249" s="72">
        <f ca="1">IF($C$4=Lookups!$D$40,IF(SUM(INDIRECT("'Yr1'!"&amp;ADDRESS(ROW(AN249),COLUMN(AN249))),INDIRECT("'Yr2'!"&amp;ADDRESS(ROW(AN249),COLUMN(AN249))),INDIRECT("'Yr3'!"&amp;ADDRESS(ROW(AN249),COLUMN(AN249))))&gt;0,"3 Yr. total",0),
IF(AN$7&lt;$C$4,0,IF(AN$8&lt;=SUMIFS('EE Inputs'!$V$9:$V$32,'EE Inputs'!$C$9:$C$32,$AM$6,'EE Inputs'!$D$9:$D$32,$C$4,'EE Inputs'!$E$9:$E$32,$B249),SUMIFS('EE Inputs'!$V$9:$V$32,'EE Inputs'!$C$9:$C$32,$AM$6,'EE Inputs'!$D$9:$D$32,$C$4,'EE Inputs'!$E$9:$E$32,$B249),0)))</f>
        <v>0</v>
      </c>
      <c r="AO249" s="72">
        <f ca="1">IF($C$4=Lookups!$D$40,IF(SUM(INDIRECT("'Yr1'!"&amp;ADDRESS(ROW(AO249),COLUMN(AO249))),INDIRECT("'Yr2'!"&amp;ADDRESS(ROW(AO249),COLUMN(AO249))),INDIRECT("'Yr3'!"&amp;ADDRESS(ROW(AO249),COLUMN(AO249))))&gt;0,"3 Yr. total",0),
IF(AO$7&lt;$C$4,0,IF(AO$8&lt;=SUMIFS('EE Inputs'!$V$9:$V$32,'EE Inputs'!$C$9:$C$32,$AM$6,'EE Inputs'!$D$9:$D$32,$C$4,'EE Inputs'!$E$9:$E$32,$B249),SUMIFS('EE Inputs'!$V$9:$V$32,'EE Inputs'!$C$9:$C$32,$AM$6,'EE Inputs'!$D$9:$D$32,$C$4,'EE Inputs'!$E$9:$E$32,$B249),0)))</f>
        <v>13</v>
      </c>
      <c r="AP249" s="72">
        <f ca="1">IF($C$4=Lookups!$D$40,IF(SUM(INDIRECT("'Yr1'!"&amp;ADDRESS(ROW(AP249),COLUMN(AP249))),INDIRECT("'Yr2'!"&amp;ADDRESS(ROW(AP249),COLUMN(AP249))),INDIRECT("'Yr3'!"&amp;ADDRESS(ROW(AP249),COLUMN(AP249))))&gt;0,"3 Yr. total",0),
IF(AP$7&lt;$C$4,0,IF(AP$8&lt;=SUMIFS('EE Inputs'!$V$9:$V$32,'EE Inputs'!$C$9:$C$32,$AM$6,'EE Inputs'!$D$9:$D$32,$C$4,'EE Inputs'!$E$9:$E$32,$B249),SUMIFS('EE Inputs'!$V$9:$V$32,'EE Inputs'!$C$9:$C$32,$AM$6,'EE Inputs'!$D$9:$D$32,$C$4,'EE Inputs'!$E$9:$E$32,$B249),0)))</f>
        <v>13</v>
      </c>
      <c r="AQ249" s="72">
        <f ca="1">IF($C$4=Lookups!$D$40,IF(SUM(INDIRECT("'Yr1'!"&amp;ADDRESS(ROW(AQ249),COLUMN(AQ249))),INDIRECT("'Yr2'!"&amp;ADDRESS(ROW(AQ249),COLUMN(AQ249))),INDIRECT("'Yr3'!"&amp;ADDRESS(ROW(AQ249),COLUMN(AQ249))))&gt;0,"3 Yr. total",0),
IF(AQ$7&lt;$C$4,0,IF(AQ$8&lt;=SUMIFS('EE Inputs'!$V$9:$V$32,'EE Inputs'!$C$9:$C$32,$AM$6,'EE Inputs'!$D$9:$D$32,$C$4,'EE Inputs'!$E$9:$E$32,$B249),SUMIFS('EE Inputs'!$V$9:$V$32,'EE Inputs'!$C$9:$C$32,$AM$6,'EE Inputs'!$D$9:$D$32,$C$4,'EE Inputs'!$E$9:$E$32,$B249),0)))</f>
        <v>13</v>
      </c>
      <c r="AR249" s="72">
        <f ca="1">IF($C$4=Lookups!$D$40,IF(SUM(INDIRECT("'Yr1'!"&amp;ADDRESS(ROW(AR249),COLUMN(AR249))),INDIRECT("'Yr2'!"&amp;ADDRESS(ROW(AR249),COLUMN(AR249))),INDIRECT("'Yr3'!"&amp;ADDRESS(ROW(AR249),COLUMN(AR249))))&gt;0,"3 Yr. total",0),
IF(AR$7&lt;$C$4,0,IF(AR$8&lt;=SUMIFS('EE Inputs'!$V$9:$V$32,'EE Inputs'!$C$9:$C$32,$AM$6,'EE Inputs'!$D$9:$D$32,$C$4,'EE Inputs'!$E$9:$E$32,$B249),SUMIFS('EE Inputs'!$V$9:$V$32,'EE Inputs'!$C$9:$C$32,$AM$6,'EE Inputs'!$D$9:$D$32,$C$4,'EE Inputs'!$E$9:$E$32,$B249),0)))</f>
        <v>13</v>
      </c>
      <c r="AS249" s="72">
        <f ca="1">IF($C$4=Lookups!$D$40,IF(SUM(INDIRECT("'Yr1'!"&amp;ADDRESS(ROW(AS249),COLUMN(AS249))),INDIRECT("'Yr2'!"&amp;ADDRESS(ROW(AS249),COLUMN(AS249))),INDIRECT("'Yr3'!"&amp;ADDRESS(ROW(AS249),COLUMN(AS249))))&gt;0,"3 Yr. total",0),
IF(AS$7&lt;$C$4,0,IF(AS$8&lt;=SUMIFS('EE Inputs'!$V$9:$V$32,'EE Inputs'!$C$9:$C$32,$AM$6,'EE Inputs'!$D$9:$D$32,$C$4,'EE Inputs'!$E$9:$E$32,$B249),SUMIFS('EE Inputs'!$V$9:$V$32,'EE Inputs'!$C$9:$C$32,$AM$6,'EE Inputs'!$D$9:$D$32,$C$4,'EE Inputs'!$E$9:$E$32,$B249),0)))</f>
        <v>13</v>
      </c>
      <c r="AT249" s="72">
        <f ca="1">IF($C$4=Lookups!$D$40,IF(SUM(INDIRECT("'Yr1'!"&amp;ADDRESS(ROW(AT249),COLUMN(AT249))),INDIRECT("'Yr2'!"&amp;ADDRESS(ROW(AT249),COLUMN(AT249))),INDIRECT("'Yr3'!"&amp;ADDRESS(ROW(AT249),COLUMN(AT249))))&gt;0,"3 Yr. total",0),
IF(AT$7&lt;$C$4,0,IF(AT$8&lt;=SUMIFS('EE Inputs'!$V$9:$V$32,'EE Inputs'!$C$9:$C$32,$AM$6,'EE Inputs'!$D$9:$D$32,$C$4,'EE Inputs'!$E$9:$E$32,$B249),SUMIFS('EE Inputs'!$V$9:$V$32,'EE Inputs'!$C$9:$C$32,$AM$6,'EE Inputs'!$D$9:$D$32,$C$4,'EE Inputs'!$E$9:$E$32,$B249),0)))</f>
        <v>13</v>
      </c>
      <c r="AU249" s="72">
        <f ca="1">IF($C$4=Lookups!$D$40,IF(SUM(INDIRECT("'Yr1'!"&amp;ADDRESS(ROW(AU249),COLUMN(AU249))),INDIRECT("'Yr2'!"&amp;ADDRESS(ROW(AU249),COLUMN(AU249))),INDIRECT("'Yr3'!"&amp;ADDRESS(ROW(AU249),COLUMN(AU249))))&gt;0,"3 Yr. total",0),
IF(AU$7&lt;$C$4,0,IF(AU$8&lt;=SUMIFS('EE Inputs'!$V$9:$V$32,'EE Inputs'!$C$9:$C$32,$AM$6,'EE Inputs'!$D$9:$D$32,$C$4,'EE Inputs'!$E$9:$E$32,$B249),SUMIFS('EE Inputs'!$V$9:$V$32,'EE Inputs'!$C$9:$C$32,$AM$6,'EE Inputs'!$D$9:$D$32,$C$4,'EE Inputs'!$E$9:$E$32,$B249),0)))</f>
        <v>13</v>
      </c>
      <c r="AV249" s="72">
        <f ca="1">IF($C$4=Lookups!$D$40,IF(SUM(INDIRECT("'Yr1'!"&amp;ADDRESS(ROW(AV249),COLUMN(AV249))),INDIRECT("'Yr2'!"&amp;ADDRESS(ROW(AV249),COLUMN(AV249))),INDIRECT("'Yr3'!"&amp;ADDRESS(ROW(AV249),COLUMN(AV249))))&gt;0,"3 Yr. total",0),
IF(AV$7&lt;$C$4,0,IF(AV$8&lt;=SUMIFS('EE Inputs'!$V$9:$V$32,'EE Inputs'!$C$9:$C$32,$AM$6,'EE Inputs'!$D$9:$D$32,$C$4,'EE Inputs'!$E$9:$E$32,$B249),SUMIFS('EE Inputs'!$V$9:$V$32,'EE Inputs'!$C$9:$C$32,$AM$6,'EE Inputs'!$D$9:$D$32,$C$4,'EE Inputs'!$E$9:$E$32,$B249),0)))</f>
        <v>13</v>
      </c>
      <c r="AW249" s="72">
        <f ca="1">IF($C$4=Lookups!$D$40,IF(SUM(INDIRECT("'Yr1'!"&amp;ADDRESS(ROW(AW249),COLUMN(AW249))),INDIRECT("'Yr2'!"&amp;ADDRESS(ROW(AW249),COLUMN(AW249))),INDIRECT("'Yr3'!"&amp;ADDRESS(ROW(AW249),COLUMN(AW249))))&gt;0,"3 Yr. total",0),
IF(AW$7&lt;$C$4,0,IF(AW$8&lt;=SUMIFS('EE Inputs'!$V$9:$V$32,'EE Inputs'!$C$9:$C$32,$AM$6,'EE Inputs'!$D$9:$D$32,$C$4,'EE Inputs'!$E$9:$E$32,$B249),SUMIFS('EE Inputs'!$V$9:$V$32,'EE Inputs'!$C$9:$C$32,$AM$6,'EE Inputs'!$D$9:$D$32,$C$4,'EE Inputs'!$E$9:$E$32,$B249),0)))</f>
        <v>13</v>
      </c>
      <c r="AX249" s="72">
        <f ca="1">IF($C$4=Lookups!$D$40,IF(SUM(INDIRECT("'Yr1'!"&amp;ADDRESS(ROW(AX249),COLUMN(AX249))),INDIRECT("'Yr2'!"&amp;ADDRESS(ROW(AX249),COLUMN(AX249))),INDIRECT("'Yr3'!"&amp;ADDRESS(ROW(AX249),COLUMN(AX249))))&gt;0,"3 Yr. total",0),
IF(AX$7&lt;$C$4,0,IF(AX$8&lt;=SUMIFS('EE Inputs'!$V$9:$V$32,'EE Inputs'!$C$9:$C$32,$AM$6,'EE Inputs'!$D$9:$D$32,$C$4,'EE Inputs'!$E$9:$E$32,$B249),SUMIFS('EE Inputs'!$V$9:$V$32,'EE Inputs'!$C$9:$C$32,$AM$6,'EE Inputs'!$D$9:$D$32,$C$4,'EE Inputs'!$E$9:$E$32,$B249),0)))</f>
        <v>13</v>
      </c>
      <c r="AY249" s="72">
        <f ca="1">IF($C$4=Lookups!$D$40,IF(SUM(INDIRECT("'Yr1'!"&amp;ADDRESS(ROW(AY249),COLUMN(AY249))),INDIRECT("'Yr2'!"&amp;ADDRESS(ROW(AY249),COLUMN(AY249))),INDIRECT("'Yr3'!"&amp;ADDRESS(ROW(AY249),COLUMN(AY249))))&gt;0,"3 Yr. total",0),
IF(AY$7&lt;$C$4,0,IF(AY$8&lt;=SUMIFS('EE Inputs'!$V$9:$V$32,'EE Inputs'!$C$9:$C$32,$AM$6,'EE Inputs'!$D$9:$D$32,$C$4,'EE Inputs'!$E$9:$E$32,$B249),SUMIFS('EE Inputs'!$V$9:$V$32,'EE Inputs'!$C$9:$C$32,$AM$6,'EE Inputs'!$D$9:$D$32,$C$4,'EE Inputs'!$E$9:$E$32,$B249),0)))</f>
        <v>13</v>
      </c>
      <c r="AZ249" s="72">
        <f ca="1">IF($C$4=Lookups!$D$40,IF(SUM(INDIRECT("'Yr1'!"&amp;ADDRESS(ROW(AZ249),COLUMN(AZ249))),INDIRECT("'Yr2'!"&amp;ADDRESS(ROW(AZ249),COLUMN(AZ249))),INDIRECT("'Yr3'!"&amp;ADDRESS(ROW(AZ249),COLUMN(AZ249))))&gt;0,"3 Yr. total",0),
IF(AZ$7&lt;$C$4,0,IF(AZ$8&lt;=SUMIFS('EE Inputs'!$V$9:$V$32,'EE Inputs'!$C$9:$C$32,$AM$6,'EE Inputs'!$D$9:$D$32,$C$4,'EE Inputs'!$E$9:$E$32,$B249),SUMIFS('EE Inputs'!$V$9:$V$32,'EE Inputs'!$C$9:$C$32,$AM$6,'EE Inputs'!$D$9:$D$32,$C$4,'EE Inputs'!$E$9:$E$32,$B249),0)))</f>
        <v>13</v>
      </c>
      <c r="BA249" s="72">
        <f ca="1">IF($C$4=Lookups!$D$40,IF(SUM(INDIRECT("'Yr1'!"&amp;ADDRESS(ROW(BA249),COLUMN(BA249))),INDIRECT("'Yr2'!"&amp;ADDRESS(ROW(BA249),COLUMN(BA249))),INDIRECT("'Yr3'!"&amp;ADDRESS(ROW(BA249),COLUMN(BA249))))&gt;0,"3 Yr. total",0),
IF(BA$7&lt;$C$4,0,IF(BA$8&lt;=SUMIFS('EE Inputs'!$V$9:$V$32,'EE Inputs'!$C$9:$C$32,$AM$6,'EE Inputs'!$D$9:$D$32,$C$4,'EE Inputs'!$E$9:$E$32,$B249),SUMIFS('EE Inputs'!$V$9:$V$32,'EE Inputs'!$C$9:$C$32,$AM$6,'EE Inputs'!$D$9:$D$32,$C$4,'EE Inputs'!$E$9:$E$32,$B249),0)))</f>
        <v>13</v>
      </c>
      <c r="BB249" s="72">
        <f ca="1">IF($C$4=Lookups!$D$40,IF(SUM(INDIRECT("'Yr1'!"&amp;ADDRESS(ROW(BB249),COLUMN(BB249))),INDIRECT("'Yr2'!"&amp;ADDRESS(ROW(BB249),COLUMN(BB249))),INDIRECT("'Yr3'!"&amp;ADDRESS(ROW(BB249),COLUMN(BB249))))&gt;0,"3 Yr. total",0),
IF(BB$7&lt;$C$4,0,IF(BB$8&lt;=SUMIFS('EE Inputs'!$V$9:$V$32,'EE Inputs'!$C$9:$C$32,$AM$6,'EE Inputs'!$D$9:$D$32,$C$4,'EE Inputs'!$E$9:$E$32,$B249),SUMIFS('EE Inputs'!$V$9:$V$32,'EE Inputs'!$C$9:$C$32,$AM$6,'EE Inputs'!$D$9:$D$32,$C$4,'EE Inputs'!$E$9:$E$32,$B249),0)))</f>
        <v>0</v>
      </c>
      <c r="BC249" s="72">
        <f ca="1">IF($C$4=Lookups!$D$40,IF(SUM(INDIRECT("'Yr1'!"&amp;ADDRESS(ROW(BC249),COLUMN(BC249))),INDIRECT("'Yr2'!"&amp;ADDRESS(ROW(BC249),COLUMN(BC249))),INDIRECT("'Yr3'!"&amp;ADDRESS(ROW(BC249),COLUMN(BC249))))&gt;0,"3 Yr. total",0),
IF(BC$7&lt;$C$4,0,IF(BC$8&lt;=SUMIFS('EE Inputs'!$V$9:$V$32,'EE Inputs'!$C$9:$C$32,$AM$6,'EE Inputs'!$D$9:$D$32,$C$4,'EE Inputs'!$E$9:$E$32,$B249),SUMIFS('EE Inputs'!$V$9:$V$32,'EE Inputs'!$C$9:$C$32,$AM$6,'EE Inputs'!$D$9:$D$32,$C$4,'EE Inputs'!$E$9:$E$32,$B249),0)))</f>
        <v>0</v>
      </c>
      <c r="BD249" s="72">
        <f ca="1">IF($C$4=Lookups!$D$40,IF(SUM(INDIRECT("'Yr1'!"&amp;ADDRESS(ROW(BD249),COLUMN(BD249))),INDIRECT("'Yr2'!"&amp;ADDRESS(ROW(BD249),COLUMN(BD249))),INDIRECT("'Yr3'!"&amp;ADDRESS(ROW(BD249),COLUMN(BD249))))&gt;0,"3 Yr. total",0),
IF(BD$7&lt;$C$4,0,IF(BD$8&lt;=SUMIFS('EE Inputs'!$V$9:$V$32,'EE Inputs'!$C$9:$C$32,$AM$6,'EE Inputs'!$D$9:$D$32,$C$4,'EE Inputs'!$E$9:$E$32,$B249),SUMIFS('EE Inputs'!$V$9:$V$32,'EE Inputs'!$C$9:$C$32,$AM$6,'EE Inputs'!$D$9:$D$32,$C$4,'EE Inputs'!$E$9:$E$32,$B249),0)))</f>
        <v>0</v>
      </c>
      <c r="BE249" s="72">
        <f ca="1">IF($C$4=Lookups!$D$40,IF(SUM(INDIRECT("'Yr1'!"&amp;ADDRESS(ROW(BE249),COLUMN(BE249))),INDIRECT("'Yr2'!"&amp;ADDRESS(ROW(BE249),COLUMN(BE249))),INDIRECT("'Yr3'!"&amp;ADDRESS(ROW(BE249),COLUMN(BE249))))&gt;0,"3 Yr. total",0),
IF(BE$7&lt;$C$4,0,IF(BE$8&lt;=SUMIFS('EE Inputs'!$V$9:$V$32,'EE Inputs'!$C$9:$C$32,$AM$6,'EE Inputs'!$D$9:$D$32,$C$4,'EE Inputs'!$E$9:$E$32,$B249),SUMIFS('EE Inputs'!$V$9:$V$32,'EE Inputs'!$C$9:$C$32,$AM$6,'EE Inputs'!$D$9:$D$32,$C$4,'EE Inputs'!$E$9:$E$32,$B249),0)))</f>
        <v>0</v>
      </c>
      <c r="BF249" s="72">
        <f ca="1">IF($C$4=Lookups!$D$40,IF(SUM(INDIRECT("'Yr1'!"&amp;ADDRESS(ROW(BF249),COLUMN(BF249))),INDIRECT("'Yr2'!"&amp;ADDRESS(ROW(BF249),COLUMN(BF249))),INDIRECT("'Yr3'!"&amp;ADDRESS(ROW(BF249),COLUMN(BF249))))&gt;0,"3 Yr. total",0),
IF(BF$7&lt;$C$4,0,IF(BF$8&lt;=SUMIFS('EE Inputs'!$V$9:$V$32,'EE Inputs'!$C$9:$C$32,$AM$6,'EE Inputs'!$D$9:$D$32,$C$4,'EE Inputs'!$E$9:$E$32,$B249),SUMIFS('EE Inputs'!$V$9:$V$32,'EE Inputs'!$C$9:$C$32,$AM$6,'EE Inputs'!$D$9:$D$32,$C$4,'EE Inputs'!$E$9:$E$32,$B249),0)))</f>
        <v>0</v>
      </c>
      <c r="BG249" s="72">
        <f ca="1">IF($C$4=Lookups!$D$40,IF(SUM(INDIRECT("'Yr1'!"&amp;ADDRESS(ROW(BG249),COLUMN(BG249))),INDIRECT("'Yr2'!"&amp;ADDRESS(ROW(BG249),COLUMN(BG249))),INDIRECT("'Yr3'!"&amp;ADDRESS(ROW(BG249),COLUMN(BG249))))&gt;0,"3 Yr. total",0),
IF(BG$7&lt;$C$4,0,IF(BG$8&lt;=SUMIFS('EE Inputs'!$V$9:$V$32,'EE Inputs'!$C$9:$C$32,$AM$6,'EE Inputs'!$D$9:$D$32,$C$4,'EE Inputs'!$E$9:$E$32,$B249),SUMIFS('EE Inputs'!$V$9:$V$32,'EE Inputs'!$C$9:$C$32,$AM$6,'EE Inputs'!$D$9:$D$32,$C$4,'EE Inputs'!$E$9:$E$32,$B249),0)))</f>
        <v>0</v>
      </c>
      <c r="BH249" s="72">
        <f ca="1">IF($C$4=Lookups!$D$40,IF(SUM(INDIRECT("'Yr1'!"&amp;ADDRESS(ROW(BH249),COLUMN(BH249))),INDIRECT("'Yr2'!"&amp;ADDRESS(ROW(BH249),COLUMN(BH249))),INDIRECT("'Yr3'!"&amp;ADDRESS(ROW(BH249),COLUMN(BH249))))&gt;0,"3 Yr. total",0),
IF(BH$7&lt;$C$4,0,IF(BH$8&lt;=SUMIFS('EE Inputs'!$V$9:$V$32,'EE Inputs'!$C$9:$C$32,$AM$6,'EE Inputs'!$D$9:$D$32,$C$4,'EE Inputs'!$E$9:$E$32,$B249),SUMIFS('EE Inputs'!$V$9:$V$32,'EE Inputs'!$C$9:$C$32,$AM$6,'EE Inputs'!$D$9:$D$32,$C$4,'EE Inputs'!$E$9:$E$32,$B249),0)))</f>
        <v>0</v>
      </c>
      <c r="BI249" s="72">
        <f ca="1">IF($C$4=Lookups!$D$40,IF(SUM(INDIRECT("'Yr1'!"&amp;ADDRESS(ROW(BI249),COLUMN(BI249))),INDIRECT("'Yr2'!"&amp;ADDRESS(ROW(BI249),COLUMN(BI249))),INDIRECT("'Yr3'!"&amp;ADDRESS(ROW(BI249),COLUMN(BI249))))&gt;0,"3 Yr. total",0),
IF(BI$7&lt;$C$4,0,IF(BI$8&lt;=SUMIFS('EE Inputs'!$V$9:$V$32,'EE Inputs'!$C$9:$C$32,$AM$6,'EE Inputs'!$D$9:$D$32,$C$4,'EE Inputs'!$E$9:$E$32,$B249),SUMIFS('EE Inputs'!$V$9:$V$32,'EE Inputs'!$C$9:$C$32,$AM$6,'EE Inputs'!$D$9:$D$32,$C$4,'EE Inputs'!$E$9:$E$32,$B249),0)))</f>
        <v>0</v>
      </c>
      <c r="BJ249" s="72">
        <f ca="1">IF($C$4=Lookups!$D$40,IF(SUM(INDIRECT("'Yr1'!"&amp;ADDRESS(ROW(BJ249),COLUMN(BJ249))),INDIRECT("'Yr2'!"&amp;ADDRESS(ROW(BJ249),COLUMN(BJ249))),INDIRECT("'Yr3'!"&amp;ADDRESS(ROW(BJ249),COLUMN(BJ249))))&gt;0,"3 Yr. total",0),
IF(BJ$7&lt;$C$4,0,IF(BJ$8&lt;=SUMIFS('EE Inputs'!$V$9:$V$32,'EE Inputs'!$C$9:$C$32,$AM$6,'EE Inputs'!$D$9:$D$32,$C$4,'EE Inputs'!$E$9:$E$32,$B249),SUMIFS('EE Inputs'!$V$9:$V$32,'EE Inputs'!$C$9:$C$32,$AM$6,'EE Inputs'!$D$9:$D$32,$C$4,'EE Inputs'!$E$9:$E$32,$B249),0)))</f>
        <v>0</v>
      </c>
      <c r="BK249" s="72">
        <f ca="1">IF($C$4=Lookups!$D$40,IF(SUM(INDIRECT("'Yr1'!"&amp;ADDRESS(ROW(BK249),COLUMN(BK249))),INDIRECT("'Yr2'!"&amp;ADDRESS(ROW(BK249),COLUMN(BK249))),INDIRECT("'Yr3'!"&amp;ADDRESS(ROW(BK249),COLUMN(BK249))))&gt;0,"3 Yr. total",0),
IF(BK$7&lt;$C$4,0,IF(BK$8&lt;=SUMIFS('EE Inputs'!$V$9:$V$32,'EE Inputs'!$C$9:$C$32,$AM$6,'EE Inputs'!$D$9:$D$32,$C$4,'EE Inputs'!$E$9:$E$32,$B249),SUMIFS('EE Inputs'!$V$9:$V$32,'EE Inputs'!$C$9:$C$32,$AM$6,'EE Inputs'!$D$9:$D$32,$C$4,'EE Inputs'!$E$9:$E$32,$B249),0)))</f>
        <v>0</v>
      </c>
      <c r="BL249" s="72">
        <f ca="1">IF($C$4=Lookups!$D$40,IF(SUM(INDIRECT("'Yr1'!"&amp;ADDRESS(ROW(BL249),COLUMN(BL249))),INDIRECT("'Yr2'!"&amp;ADDRESS(ROW(BL249),COLUMN(BL249))),INDIRECT("'Yr3'!"&amp;ADDRESS(ROW(BL249),COLUMN(BL249))))&gt;0,"3 Yr. total",0),
IF(BL$7&lt;$C$4,0,IF(BL$8&lt;=SUMIFS('EE Inputs'!$V$9:$V$32,'EE Inputs'!$C$9:$C$32,$AM$6,'EE Inputs'!$D$9:$D$32,$C$4,'EE Inputs'!$E$9:$E$32,$B249),SUMIFS('EE Inputs'!$V$9:$V$32,'EE Inputs'!$C$9:$C$32,$AM$6,'EE Inputs'!$D$9:$D$32,$C$4,'EE Inputs'!$E$9:$E$32,$B249),0)))</f>
        <v>0</v>
      </c>
      <c r="BM249" s="72">
        <f ca="1">IF($C$4=Lookups!$D$40,IF(SUM(INDIRECT("'Yr1'!"&amp;ADDRESS(ROW(BM249),COLUMN(BM249))),INDIRECT("'Yr2'!"&amp;ADDRESS(ROW(BM249),COLUMN(BM249))),INDIRECT("'Yr3'!"&amp;ADDRESS(ROW(BM249),COLUMN(BM249))))&gt;0,"3 Yr. total",0),
IF(BM$7&lt;$C$4,0,IF(BM$8&lt;=SUMIFS('EE Inputs'!$V$9:$V$32,'EE Inputs'!$C$9:$C$32,$AM$6,'EE Inputs'!$D$9:$D$32,$C$4,'EE Inputs'!$E$9:$E$32,$B249),SUMIFS('EE Inputs'!$V$9:$V$32,'EE Inputs'!$C$9:$C$32,$AM$6,'EE Inputs'!$D$9:$D$32,$C$4,'EE Inputs'!$E$9:$E$32,$B249),0)))</f>
        <v>0</v>
      </c>
      <c r="BN249" s="72"/>
      <c r="BO249" s="72"/>
      <c r="BP249" s="72"/>
      <c r="BS249" s="76" t="s">
        <v>90</v>
      </c>
      <c r="BT249" s="51" t="s">
        <v>17</v>
      </c>
    </row>
    <row r="250" spans="1:72" s="5" customFormat="1" x14ac:dyDescent="0.25">
      <c r="A250" s="52"/>
      <c r="B250" s="242" t="str">
        <f t="shared" si="273"/>
        <v>Large C&amp;I</v>
      </c>
      <c r="C250" s="242" t="str">
        <f>C249</f>
        <v>Customers</v>
      </c>
      <c r="D250" s="77" t="s">
        <v>17</v>
      </c>
      <c r="E250" s="76"/>
      <c r="F250" s="76"/>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S250" s="76"/>
      <c r="BT250" s="51" t="s">
        <v>17</v>
      </c>
    </row>
    <row r="251" spans="1:72" s="5" customFormat="1" ht="15.75" x14ac:dyDescent="0.25">
      <c r="A251" s="52"/>
      <c r="B251" s="241" t="str">
        <f t="shared" si="273"/>
        <v>Large C&amp;I</v>
      </c>
      <c r="C251" s="63" t="s">
        <v>4</v>
      </c>
      <c r="D251" s="61"/>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2"/>
      <c r="BO251" s="62"/>
      <c r="BP251" s="62"/>
      <c r="BS251" s="62"/>
      <c r="BT251" s="51" t="s">
        <v>17</v>
      </c>
    </row>
    <row r="252" spans="1:72" x14ac:dyDescent="0.25">
      <c r="B252" s="243" t="str">
        <f t="shared" si="273"/>
        <v>Large C&amp;I</v>
      </c>
      <c r="C252" s="243" t="str">
        <f>C251</f>
        <v>Sales</v>
      </c>
      <c r="D252" s="244" t="str">
        <f>"Sales before DSM ("&amp;Lookups!$D$22&amp;" Scenario)"</f>
        <v>Sales before DSM (No EE Scenario)</v>
      </c>
      <c r="E252" s="85" t="str">
        <f>"Sales before DSM ("&amp;Lookups!$D$22&amp;" Scenario)"</f>
        <v>Sales before DSM (No EE Scenario)</v>
      </c>
      <c r="F252" s="84" t="s">
        <v>195</v>
      </c>
      <c r="G252" s="64">
        <f>IF(G$8=0,0,INDEX('Multi-Year Inputs'!$E$41:$AE$44,MATCH($B252,'Multi-Year Inputs'!$D$41:$D$44,0),MATCH(G$7,'Multi-Year Inputs'!$E$4:$AE$4,0)))</f>
        <v>0</v>
      </c>
      <c r="H252" s="64">
        <f>IF(H$8=0,0,INDEX('Multi-Year Inputs'!$E$41:$AE$44,MATCH($B252,'Multi-Year Inputs'!$D$41:$D$44,0),MATCH(H$7,'Multi-Year Inputs'!$E$4:$AE$4,0)))</f>
        <v>0</v>
      </c>
      <c r="I252" s="64">
        <f>IF(I$8=0,0,INDEX('Multi-Year Inputs'!$E$41:$AE$44,MATCH($B252,'Multi-Year Inputs'!$D$41:$D$44,0),MATCH(I$7,'Multi-Year Inputs'!$E$4:$AE$4,0)))</f>
        <v>11263405.136430969</v>
      </c>
      <c r="J252" s="64">
        <f>IF(J$8=0,0,INDEX('Multi-Year Inputs'!$E$41:$AE$44,MATCH($B252,'Multi-Year Inputs'!$D$41:$D$44,0),MATCH(J$7,'Multi-Year Inputs'!$E$4:$AE$4,0)))</f>
        <v>11263405.136430969</v>
      </c>
      <c r="K252" s="64">
        <f>IF(K$8=0,0,INDEX('Multi-Year Inputs'!$E$41:$AE$44,MATCH($B252,'Multi-Year Inputs'!$D$41:$D$44,0),MATCH(K$7,'Multi-Year Inputs'!$E$4:$AE$4,0)))</f>
        <v>11263405.136430969</v>
      </c>
      <c r="L252" s="64">
        <f>IF(L$8=0,0,INDEX('Multi-Year Inputs'!$E$41:$AE$44,MATCH($B252,'Multi-Year Inputs'!$D$41:$D$44,0),MATCH(L$7,'Multi-Year Inputs'!$E$4:$AE$4,0)))</f>
        <v>11263405.136430969</v>
      </c>
      <c r="M252" s="64">
        <f>IF(M$8=0,0,INDEX('Multi-Year Inputs'!$E$41:$AE$44,MATCH($B252,'Multi-Year Inputs'!$D$41:$D$44,0),MATCH(M$7,'Multi-Year Inputs'!$E$4:$AE$4,0)))</f>
        <v>11263405.136430969</v>
      </c>
      <c r="N252" s="64">
        <f>IF(N$8=0,0,INDEX('Multi-Year Inputs'!$E$41:$AE$44,MATCH($B252,'Multi-Year Inputs'!$D$41:$D$44,0),MATCH(N$7,'Multi-Year Inputs'!$E$4:$AE$4,0)))</f>
        <v>11263405.136430969</v>
      </c>
      <c r="O252" s="64">
        <f>IF(O$8=0,0,INDEX('Multi-Year Inputs'!$E$41:$AE$44,MATCH($B252,'Multi-Year Inputs'!$D$41:$D$44,0),MATCH(O$7,'Multi-Year Inputs'!$E$4:$AE$4,0)))</f>
        <v>11263405.136430969</v>
      </c>
      <c r="P252" s="64">
        <f>IF(P$8=0,0,INDEX('Multi-Year Inputs'!$E$41:$AE$44,MATCH($B252,'Multi-Year Inputs'!$D$41:$D$44,0),MATCH(P$7,'Multi-Year Inputs'!$E$4:$AE$4,0)))</f>
        <v>11263405.136430969</v>
      </c>
      <c r="Q252" s="64">
        <f>IF(Q$8=0,0,INDEX('Multi-Year Inputs'!$E$41:$AE$44,MATCH($B252,'Multi-Year Inputs'!$D$41:$D$44,0),MATCH(Q$7,'Multi-Year Inputs'!$E$4:$AE$4,0)))</f>
        <v>11263405.136430969</v>
      </c>
      <c r="R252" s="64">
        <f>IF(R$8=0,0,INDEX('Multi-Year Inputs'!$E$41:$AE$44,MATCH($B252,'Multi-Year Inputs'!$D$41:$D$44,0),MATCH(R$7,'Multi-Year Inputs'!$E$4:$AE$4,0)))</f>
        <v>11263405.136430969</v>
      </c>
      <c r="S252" s="64">
        <f>IF(S$8=0,0,INDEX('Multi-Year Inputs'!$E$41:$AE$44,MATCH($B252,'Multi-Year Inputs'!$D$41:$D$44,0),MATCH(S$7,'Multi-Year Inputs'!$E$4:$AE$4,0)))</f>
        <v>11263405.136430969</v>
      </c>
      <c r="T252" s="64">
        <f>IF(T$8=0,0,INDEX('Multi-Year Inputs'!$E$41:$AE$44,MATCH($B252,'Multi-Year Inputs'!$D$41:$D$44,0),MATCH(T$7,'Multi-Year Inputs'!$E$4:$AE$4,0)))</f>
        <v>11263405.136430969</v>
      </c>
      <c r="U252" s="64">
        <f>IF(U$8=0,0,INDEX('Multi-Year Inputs'!$E$41:$AE$44,MATCH($B252,'Multi-Year Inputs'!$D$41:$D$44,0),MATCH(U$7,'Multi-Year Inputs'!$E$4:$AE$4,0)))</f>
        <v>11263405.136430969</v>
      </c>
      <c r="V252" s="64">
        <f>IF(V$8=0,0,INDEX('Multi-Year Inputs'!$E$41:$AE$44,MATCH($B252,'Multi-Year Inputs'!$D$41:$D$44,0),MATCH(V$7,'Multi-Year Inputs'!$E$4:$AE$4,0)))</f>
        <v>11263405.136430969</v>
      </c>
      <c r="W252" s="64">
        <f>IF(W$8=0,0,INDEX('Multi-Year Inputs'!$E$41:$AE$44,MATCH($B252,'Multi-Year Inputs'!$D$41:$D$44,0),MATCH(W$7,'Multi-Year Inputs'!$E$4:$AE$4,0)))</f>
        <v>11263405.136430969</v>
      </c>
      <c r="X252" s="64">
        <f>IF(X$8=0,0,INDEX('Multi-Year Inputs'!$E$41:$AE$44,MATCH($B252,'Multi-Year Inputs'!$D$41:$D$44,0),MATCH(X$7,'Multi-Year Inputs'!$E$4:$AE$4,0)))</f>
        <v>11263405.136430969</v>
      </c>
      <c r="Y252" s="64">
        <f>IF(Y$8=0,0,INDEX('Multi-Year Inputs'!$E$41:$AE$44,MATCH($B252,'Multi-Year Inputs'!$D$41:$D$44,0),MATCH(Y$7,'Multi-Year Inputs'!$E$4:$AE$4,0)))</f>
        <v>11263405.136430969</v>
      </c>
      <c r="Z252" s="64">
        <f>IF(Z$8=0,0,INDEX('Multi-Year Inputs'!$E$41:$AE$44,MATCH($B252,'Multi-Year Inputs'!$D$41:$D$44,0),MATCH(Z$7,'Multi-Year Inputs'!$E$4:$AE$4,0)))</f>
        <v>11263405.136430969</v>
      </c>
      <c r="AA252" s="64">
        <f>IF(AA$8=0,0,INDEX('Multi-Year Inputs'!$E$41:$AE$44,MATCH($B252,'Multi-Year Inputs'!$D$41:$D$44,0),MATCH(AA$7,'Multi-Year Inputs'!$E$4:$AE$4,0)))</f>
        <v>11263405.136430969</v>
      </c>
      <c r="AB252" s="64">
        <f>IF(AB$8=0,0,INDEX('Multi-Year Inputs'!$E$41:$AE$44,MATCH($B252,'Multi-Year Inputs'!$D$41:$D$44,0),MATCH(AB$7,'Multi-Year Inputs'!$E$4:$AE$4,0)))</f>
        <v>11263405.136430969</v>
      </c>
      <c r="AC252" s="64">
        <f>IF(AC$8=0,0,INDEX('Multi-Year Inputs'!$E$41:$AE$44,MATCH($B252,'Multi-Year Inputs'!$D$41:$D$44,0),MATCH(AC$7,'Multi-Year Inputs'!$E$4:$AE$4,0)))</f>
        <v>11263405.136430969</v>
      </c>
      <c r="AD252" s="64">
        <f>IF(AD$8=0,0,INDEX('Multi-Year Inputs'!$E$41:$AE$44,MATCH($B252,'Multi-Year Inputs'!$D$41:$D$44,0),MATCH(AD$7,'Multi-Year Inputs'!$E$4:$AE$4,0)))</f>
        <v>11263405.136430969</v>
      </c>
      <c r="AE252" s="64">
        <f>IF(AE$8=0,0,INDEX('Multi-Year Inputs'!$E$41:$AE$44,MATCH($B252,'Multi-Year Inputs'!$D$41:$D$44,0),MATCH(AE$7,'Multi-Year Inputs'!$E$4:$AE$4,0)))</f>
        <v>11263405.136430969</v>
      </c>
      <c r="AF252" s="64">
        <f>IF(AF$8=0,0,INDEX('Multi-Year Inputs'!$E$41:$AE$44,MATCH($B252,'Multi-Year Inputs'!$D$41:$D$44,0),MATCH(AF$7,'Multi-Year Inputs'!$E$4:$AE$4,0)))</f>
        <v>11263405.136430969</v>
      </c>
      <c r="AG252" s="64">
        <f>IF(AG$8=0,0,INDEX('Multi-Year Inputs'!$E$41:$AE$44,MATCH($B252,'Multi-Year Inputs'!$D$41:$D$44,0),MATCH(AG$7,'Multi-Year Inputs'!$E$4:$AE$4,0)))</f>
        <v>11263405.136430969</v>
      </c>
      <c r="AH252" s="64"/>
      <c r="AI252" s="64">
        <f t="shared" ref="AI252:AI254" si="274">SUM(G252:AG252)</f>
        <v>281585128.41077429</v>
      </c>
      <c r="AJ252" s="64"/>
      <c r="AM252" s="71">
        <f>IF(AM$8=0,0,INDEX('Multi-Year Inputs'!$E$41:$AE$44,MATCH($B252,'Multi-Year Inputs'!$D$41:$D$44,0),MATCH(AM$7,'Multi-Year Inputs'!$E$4:$AE$4,0)))</f>
        <v>0</v>
      </c>
      <c r="AN252" s="71">
        <f>IF(AN$8=0,0,INDEX('Multi-Year Inputs'!$E$41:$AE$44,MATCH($B252,'Multi-Year Inputs'!$D$41:$D$44,0),MATCH(AN$7,'Multi-Year Inputs'!$E$4:$AE$4,0)))</f>
        <v>0</v>
      </c>
      <c r="AO252" s="71">
        <f>IF(AO$8=0,0,INDEX('Multi-Year Inputs'!$E$41:$AE$44,MATCH($B252,'Multi-Year Inputs'!$D$41:$D$44,0),MATCH(AO$7,'Multi-Year Inputs'!$E$4:$AE$4,0)))</f>
        <v>11263405.136430969</v>
      </c>
      <c r="AP252" s="71">
        <f>IF(AP$8=0,0,INDEX('Multi-Year Inputs'!$E$41:$AE$44,MATCH($B252,'Multi-Year Inputs'!$D$41:$D$44,0),MATCH(AP$7,'Multi-Year Inputs'!$E$4:$AE$4,0)))</f>
        <v>11263405.136430969</v>
      </c>
      <c r="AQ252" s="71">
        <f>IF(AQ$8=0,0,INDEX('Multi-Year Inputs'!$E$41:$AE$44,MATCH($B252,'Multi-Year Inputs'!$D$41:$D$44,0),MATCH(AQ$7,'Multi-Year Inputs'!$E$4:$AE$4,0)))</f>
        <v>11263405.136430969</v>
      </c>
      <c r="AR252" s="71">
        <f>IF(AR$8=0,0,INDEX('Multi-Year Inputs'!$E$41:$AE$44,MATCH($B252,'Multi-Year Inputs'!$D$41:$D$44,0),MATCH(AR$7,'Multi-Year Inputs'!$E$4:$AE$4,0)))</f>
        <v>11263405.136430969</v>
      </c>
      <c r="AS252" s="71">
        <f>IF(AS$8=0,0,INDEX('Multi-Year Inputs'!$E$41:$AE$44,MATCH($B252,'Multi-Year Inputs'!$D$41:$D$44,0),MATCH(AS$7,'Multi-Year Inputs'!$E$4:$AE$4,0)))</f>
        <v>11263405.136430969</v>
      </c>
      <c r="AT252" s="71">
        <f>IF(AT$8=0,0,INDEX('Multi-Year Inputs'!$E$41:$AE$44,MATCH($B252,'Multi-Year Inputs'!$D$41:$D$44,0),MATCH(AT$7,'Multi-Year Inputs'!$E$4:$AE$4,0)))</f>
        <v>11263405.136430969</v>
      </c>
      <c r="AU252" s="71">
        <f>IF(AU$8=0,0,INDEX('Multi-Year Inputs'!$E$41:$AE$44,MATCH($B252,'Multi-Year Inputs'!$D$41:$D$44,0),MATCH(AU$7,'Multi-Year Inputs'!$E$4:$AE$4,0)))</f>
        <v>11263405.136430969</v>
      </c>
      <c r="AV252" s="71">
        <f>IF(AV$8=0,0,INDEX('Multi-Year Inputs'!$E$41:$AE$44,MATCH($B252,'Multi-Year Inputs'!$D$41:$D$44,0),MATCH(AV$7,'Multi-Year Inputs'!$E$4:$AE$4,0)))</f>
        <v>11263405.136430969</v>
      </c>
      <c r="AW252" s="71">
        <f>IF(AW$8=0,0,INDEX('Multi-Year Inputs'!$E$41:$AE$44,MATCH($B252,'Multi-Year Inputs'!$D$41:$D$44,0),MATCH(AW$7,'Multi-Year Inputs'!$E$4:$AE$4,0)))</f>
        <v>11263405.136430969</v>
      </c>
      <c r="AX252" s="71">
        <f>IF(AX$8=0,0,INDEX('Multi-Year Inputs'!$E$41:$AE$44,MATCH($B252,'Multi-Year Inputs'!$D$41:$D$44,0),MATCH(AX$7,'Multi-Year Inputs'!$E$4:$AE$4,0)))</f>
        <v>11263405.136430969</v>
      </c>
      <c r="AY252" s="71">
        <f>IF(AY$8=0,0,INDEX('Multi-Year Inputs'!$E$41:$AE$44,MATCH($B252,'Multi-Year Inputs'!$D$41:$D$44,0),MATCH(AY$7,'Multi-Year Inputs'!$E$4:$AE$4,0)))</f>
        <v>11263405.136430969</v>
      </c>
      <c r="AZ252" s="71">
        <f>IF(AZ$8=0,0,INDEX('Multi-Year Inputs'!$E$41:$AE$44,MATCH($B252,'Multi-Year Inputs'!$D$41:$D$44,0),MATCH(AZ$7,'Multi-Year Inputs'!$E$4:$AE$4,0)))</f>
        <v>11263405.136430969</v>
      </c>
      <c r="BA252" s="71">
        <f>IF(BA$8=0,0,INDEX('Multi-Year Inputs'!$E$41:$AE$44,MATCH($B252,'Multi-Year Inputs'!$D$41:$D$44,0),MATCH(BA$7,'Multi-Year Inputs'!$E$4:$AE$4,0)))</f>
        <v>11263405.136430969</v>
      </c>
      <c r="BB252" s="71">
        <f>IF(BB$8=0,0,INDEX('Multi-Year Inputs'!$E$41:$AE$44,MATCH($B252,'Multi-Year Inputs'!$D$41:$D$44,0),MATCH(BB$7,'Multi-Year Inputs'!$E$4:$AE$4,0)))</f>
        <v>11263405.136430969</v>
      </c>
      <c r="BC252" s="71">
        <f>IF(BC$8=0,0,INDEX('Multi-Year Inputs'!$E$41:$AE$44,MATCH($B252,'Multi-Year Inputs'!$D$41:$D$44,0),MATCH(BC$7,'Multi-Year Inputs'!$E$4:$AE$4,0)))</f>
        <v>11263405.136430969</v>
      </c>
      <c r="BD252" s="71">
        <f>IF(BD$8=0,0,INDEX('Multi-Year Inputs'!$E$41:$AE$44,MATCH($B252,'Multi-Year Inputs'!$D$41:$D$44,0),MATCH(BD$7,'Multi-Year Inputs'!$E$4:$AE$4,0)))</f>
        <v>11263405.136430969</v>
      </c>
      <c r="BE252" s="71">
        <f>IF(BE$8=0,0,INDEX('Multi-Year Inputs'!$E$41:$AE$44,MATCH($B252,'Multi-Year Inputs'!$D$41:$D$44,0),MATCH(BE$7,'Multi-Year Inputs'!$E$4:$AE$4,0)))</f>
        <v>11263405.136430969</v>
      </c>
      <c r="BF252" s="71">
        <f>IF(BF$8=0,0,INDEX('Multi-Year Inputs'!$E$41:$AE$44,MATCH($B252,'Multi-Year Inputs'!$D$41:$D$44,0),MATCH(BF$7,'Multi-Year Inputs'!$E$4:$AE$4,0)))</f>
        <v>11263405.136430969</v>
      </c>
      <c r="BG252" s="71">
        <f>IF(BG$8=0,0,INDEX('Multi-Year Inputs'!$E$41:$AE$44,MATCH($B252,'Multi-Year Inputs'!$D$41:$D$44,0),MATCH(BG$7,'Multi-Year Inputs'!$E$4:$AE$4,0)))</f>
        <v>11263405.136430969</v>
      </c>
      <c r="BH252" s="71">
        <f>IF(BH$8=0,0,INDEX('Multi-Year Inputs'!$E$41:$AE$44,MATCH($B252,'Multi-Year Inputs'!$D$41:$D$44,0),MATCH(BH$7,'Multi-Year Inputs'!$E$4:$AE$4,0)))</f>
        <v>11263405.136430969</v>
      </c>
      <c r="BI252" s="71">
        <f>IF(BI$8=0,0,INDEX('Multi-Year Inputs'!$E$41:$AE$44,MATCH($B252,'Multi-Year Inputs'!$D$41:$D$44,0),MATCH(BI$7,'Multi-Year Inputs'!$E$4:$AE$4,0)))</f>
        <v>11263405.136430969</v>
      </c>
      <c r="BJ252" s="71">
        <f>IF(BJ$8=0,0,INDEX('Multi-Year Inputs'!$E$41:$AE$44,MATCH($B252,'Multi-Year Inputs'!$D$41:$D$44,0),MATCH(BJ$7,'Multi-Year Inputs'!$E$4:$AE$4,0)))</f>
        <v>11263405.136430969</v>
      </c>
      <c r="BK252" s="71">
        <f>IF(BK$8=0,0,INDEX('Multi-Year Inputs'!$E$41:$AE$44,MATCH($B252,'Multi-Year Inputs'!$D$41:$D$44,0),MATCH(BK$7,'Multi-Year Inputs'!$E$4:$AE$4,0)))</f>
        <v>11263405.136430969</v>
      </c>
      <c r="BL252" s="71">
        <f>IF(BL$8=0,0,INDEX('Multi-Year Inputs'!$E$41:$AE$44,MATCH($B252,'Multi-Year Inputs'!$D$41:$D$44,0),MATCH(BL$7,'Multi-Year Inputs'!$E$4:$AE$4,0)))</f>
        <v>11263405.136430969</v>
      </c>
      <c r="BM252" s="71">
        <f>IF(BM$8=0,0,INDEX('Multi-Year Inputs'!$E$41:$AE$44,MATCH($B252,'Multi-Year Inputs'!$D$41:$D$44,0),MATCH(BM$7,'Multi-Year Inputs'!$E$4:$AE$4,0)))</f>
        <v>11263405.136430969</v>
      </c>
      <c r="BN252" s="72"/>
      <c r="BO252" s="72">
        <f t="shared" ref="BO252:BO254" si="275">SUM(AM252:BM252)</f>
        <v>281585128.41077429</v>
      </c>
      <c r="BP252" s="72"/>
      <c r="BS252" s="76" t="s">
        <v>91</v>
      </c>
      <c r="BT252" s="51" t="s">
        <v>17</v>
      </c>
    </row>
    <row r="253" spans="1:72" x14ac:dyDescent="0.25">
      <c r="A253" s="246"/>
      <c r="B253" s="243" t="str">
        <f t="shared" si="273"/>
        <v>Large C&amp;I</v>
      </c>
      <c r="C253" s="243" t="str">
        <f>C252</f>
        <v>Sales</v>
      </c>
      <c r="D253" s="244" t="s">
        <v>108</v>
      </c>
      <c r="E253" s="85" t="s">
        <v>108</v>
      </c>
      <c r="F253" s="84" t="s">
        <v>195</v>
      </c>
      <c r="G253" s="64">
        <f ca="1">IF($C$4=Lookups!$D$40,SUM(INDIRECT("'Yr1'!"&amp;ADDRESS(ROW(G253),COLUMN(G253))),INDIRECT("'Yr2'!"&amp;ADDRESS(ROW(G253),COLUMN(G253))),INDIRECT("'Yr3'!"&amp;ADDRESS(ROW(G253),COLUMN(G253)))),
IF(G249&gt;0,SUMIFS('EE Inputs'!$I$9:$I$32,'EE Inputs'!$C$9:$C$32,$G$6,'EE Inputs'!$D$9:$D$32,$C$4,'EE Inputs'!$E$9:$E$32,$B253)/SUMIFS('EE Inputs'!$V$9:$V$32,'EE Inputs'!$C$9:$C$32,$G$6,'EE Inputs'!$D$9:$D$32,$C$4,'EE Inputs'!$E$9:$E$32,$B253)*10,0))</f>
        <v>0</v>
      </c>
      <c r="H253" s="64">
        <f ca="1">IF($C$4=Lookups!$D$40,SUM(INDIRECT("'Yr1'!"&amp;ADDRESS(ROW(H253),COLUMN(H253))),INDIRECT("'Yr2'!"&amp;ADDRESS(ROW(H253),COLUMN(H253))),INDIRECT("'Yr3'!"&amp;ADDRESS(ROW(H253),COLUMN(H253)))),
IF(H249&gt;0,SUMIFS('EE Inputs'!$I$9:$I$32,'EE Inputs'!$C$9:$C$32,$G$6,'EE Inputs'!$D$9:$D$32,$C$4,'EE Inputs'!$E$9:$E$32,$B253)/SUMIFS('EE Inputs'!$V$9:$V$32,'EE Inputs'!$C$9:$C$32,$G$6,'EE Inputs'!$D$9:$D$32,$C$4,'EE Inputs'!$E$9:$E$32,$B253)*10,0))</f>
        <v>0</v>
      </c>
      <c r="I253" s="64">
        <f ca="1">IF($C$4=Lookups!$D$40,SUM(INDIRECT("'Yr1'!"&amp;ADDRESS(ROW(I253),COLUMN(I253))),INDIRECT("'Yr2'!"&amp;ADDRESS(ROW(I253),COLUMN(I253))),INDIRECT("'Yr3'!"&amp;ADDRESS(ROW(I253),COLUMN(I253)))),
IF(I249&gt;0,SUMIFS('EE Inputs'!$I$9:$I$32,'EE Inputs'!$C$9:$C$32,$G$6,'EE Inputs'!$D$9:$D$32,$C$4,'EE Inputs'!$E$9:$E$32,$B253)/SUMIFS('EE Inputs'!$V$9:$V$32,'EE Inputs'!$C$9:$C$32,$G$6,'EE Inputs'!$D$9:$D$32,$C$4,'EE Inputs'!$E$9:$E$32,$B253)*10,0))</f>
        <v>1025860.8461905766</v>
      </c>
      <c r="J253" s="64">
        <f ca="1">IF($C$4=Lookups!$D$40,SUM(INDIRECT("'Yr1'!"&amp;ADDRESS(ROW(J253),COLUMN(J253))),INDIRECT("'Yr2'!"&amp;ADDRESS(ROW(J253),COLUMN(J253))),INDIRECT("'Yr3'!"&amp;ADDRESS(ROW(J253),COLUMN(J253)))),
IF(J249&gt;0,SUMIFS('EE Inputs'!$I$9:$I$32,'EE Inputs'!$C$9:$C$32,$G$6,'EE Inputs'!$D$9:$D$32,$C$4,'EE Inputs'!$E$9:$E$32,$B253)/SUMIFS('EE Inputs'!$V$9:$V$32,'EE Inputs'!$C$9:$C$32,$G$6,'EE Inputs'!$D$9:$D$32,$C$4,'EE Inputs'!$E$9:$E$32,$B253)*10,0))</f>
        <v>1025860.8461905766</v>
      </c>
      <c r="K253" s="64">
        <f ca="1">IF($C$4=Lookups!$D$40,SUM(INDIRECT("'Yr1'!"&amp;ADDRESS(ROW(K253),COLUMN(K253))),INDIRECT("'Yr2'!"&amp;ADDRESS(ROW(K253),COLUMN(K253))),INDIRECT("'Yr3'!"&amp;ADDRESS(ROW(K253),COLUMN(K253)))),
IF(K249&gt;0,SUMIFS('EE Inputs'!$I$9:$I$32,'EE Inputs'!$C$9:$C$32,$G$6,'EE Inputs'!$D$9:$D$32,$C$4,'EE Inputs'!$E$9:$E$32,$B253)/SUMIFS('EE Inputs'!$V$9:$V$32,'EE Inputs'!$C$9:$C$32,$G$6,'EE Inputs'!$D$9:$D$32,$C$4,'EE Inputs'!$E$9:$E$32,$B253)*10,0))</f>
        <v>1025860.8461905766</v>
      </c>
      <c r="L253" s="64">
        <f ca="1">IF($C$4=Lookups!$D$40,SUM(INDIRECT("'Yr1'!"&amp;ADDRESS(ROW(L253),COLUMN(L253))),INDIRECT("'Yr2'!"&amp;ADDRESS(ROW(L253),COLUMN(L253))),INDIRECT("'Yr3'!"&amp;ADDRESS(ROW(L253),COLUMN(L253)))),
IF(L249&gt;0,SUMIFS('EE Inputs'!$I$9:$I$32,'EE Inputs'!$C$9:$C$32,$G$6,'EE Inputs'!$D$9:$D$32,$C$4,'EE Inputs'!$E$9:$E$32,$B253)/SUMIFS('EE Inputs'!$V$9:$V$32,'EE Inputs'!$C$9:$C$32,$G$6,'EE Inputs'!$D$9:$D$32,$C$4,'EE Inputs'!$E$9:$E$32,$B253)*10,0))</f>
        <v>1025860.8461905766</v>
      </c>
      <c r="M253" s="64">
        <f ca="1">IF($C$4=Lookups!$D$40,SUM(INDIRECT("'Yr1'!"&amp;ADDRESS(ROW(M253),COLUMN(M253))),INDIRECT("'Yr2'!"&amp;ADDRESS(ROW(M253),COLUMN(M253))),INDIRECT("'Yr3'!"&amp;ADDRESS(ROW(M253),COLUMN(M253)))),
IF(M249&gt;0,SUMIFS('EE Inputs'!$I$9:$I$32,'EE Inputs'!$C$9:$C$32,$G$6,'EE Inputs'!$D$9:$D$32,$C$4,'EE Inputs'!$E$9:$E$32,$B253)/SUMIFS('EE Inputs'!$V$9:$V$32,'EE Inputs'!$C$9:$C$32,$G$6,'EE Inputs'!$D$9:$D$32,$C$4,'EE Inputs'!$E$9:$E$32,$B253)*10,0))</f>
        <v>1025860.8461905766</v>
      </c>
      <c r="N253" s="64">
        <f ca="1">IF($C$4=Lookups!$D$40,SUM(INDIRECT("'Yr1'!"&amp;ADDRESS(ROW(N253),COLUMN(N253))),INDIRECT("'Yr2'!"&amp;ADDRESS(ROW(N253),COLUMN(N253))),INDIRECT("'Yr3'!"&amp;ADDRESS(ROW(N253),COLUMN(N253)))),
IF(N249&gt;0,SUMIFS('EE Inputs'!$I$9:$I$32,'EE Inputs'!$C$9:$C$32,$G$6,'EE Inputs'!$D$9:$D$32,$C$4,'EE Inputs'!$E$9:$E$32,$B253)/SUMIFS('EE Inputs'!$V$9:$V$32,'EE Inputs'!$C$9:$C$32,$G$6,'EE Inputs'!$D$9:$D$32,$C$4,'EE Inputs'!$E$9:$E$32,$B253)*10,0))</f>
        <v>1025860.8461905766</v>
      </c>
      <c r="O253" s="64">
        <f ca="1">IF($C$4=Lookups!$D$40,SUM(INDIRECT("'Yr1'!"&amp;ADDRESS(ROW(O253),COLUMN(O253))),INDIRECT("'Yr2'!"&amp;ADDRESS(ROW(O253),COLUMN(O253))),INDIRECT("'Yr3'!"&amp;ADDRESS(ROW(O253),COLUMN(O253)))),
IF(O249&gt;0,SUMIFS('EE Inputs'!$I$9:$I$32,'EE Inputs'!$C$9:$C$32,$G$6,'EE Inputs'!$D$9:$D$32,$C$4,'EE Inputs'!$E$9:$E$32,$B253)/SUMIFS('EE Inputs'!$V$9:$V$32,'EE Inputs'!$C$9:$C$32,$G$6,'EE Inputs'!$D$9:$D$32,$C$4,'EE Inputs'!$E$9:$E$32,$B253)*10,0))</f>
        <v>1025860.8461905766</v>
      </c>
      <c r="P253" s="64">
        <f ca="1">IF($C$4=Lookups!$D$40,SUM(INDIRECT("'Yr1'!"&amp;ADDRESS(ROW(P253),COLUMN(P253))),INDIRECT("'Yr2'!"&amp;ADDRESS(ROW(P253),COLUMN(P253))),INDIRECT("'Yr3'!"&amp;ADDRESS(ROW(P253),COLUMN(P253)))),
IF(P249&gt;0,SUMIFS('EE Inputs'!$I$9:$I$32,'EE Inputs'!$C$9:$C$32,$G$6,'EE Inputs'!$D$9:$D$32,$C$4,'EE Inputs'!$E$9:$E$32,$B253)/SUMIFS('EE Inputs'!$V$9:$V$32,'EE Inputs'!$C$9:$C$32,$G$6,'EE Inputs'!$D$9:$D$32,$C$4,'EE Inputs'!$E$9:$E$32,$B253)*10,0))</f>
        <v>1025860.8461905766</v>
      </c>
      <c r="Q253" s="64">
        <f ca="1">IF($C$4=Lookups!$D$40,SUM(INDIRECT("'Yr1'!"&amp;ADDRESS(ROW(Q253),COLUMN(Q253))),INDIRECT("'Yr2'!"&amp;ADDRESS(ROW(Q253),COLUMN(Q253))),INDIRECT("'Yr3'!"&amp;ADDRESS(ROW(Q253),COLUMN(Q253)))),
IF(Q249&gt;0,SUMIFS('EE Inputs'!$I$9:$I$32,'EE Inputs'!$C$9:$C$32,$G$6,'EE Inputs'!$D$9:$D$32,$C$4,'EE Inputs'!$E$9:$E$32,$B253)/SUMIFS('EE Inputs'!$V$9:$V$32,'EE Inputs'!$C$9:$C$32,$G$6,'EE Inputs'!$D$9:$D$32,$C$4,'EE Inputs'!$E$9:$E$32,$B253)*10,0))</f>
        <v>1025860.8461905766</v>
      </c>
      <c r="R253" s="64">
        <f ca="1">IF($C$4=Lookups!$D$40,SUM(INDIRECT("'Yr1'!"&amp;ADDRESS(ROW(R253),COLUMN(R253))),INDIRECT("'Yr2'!"&amp;ADDRESS(ROW(R253),COLUMN(R253))),INDIRECT("'Yr3'!"&amp;ADDRESS(ROW(R253),COLUMN(R253)))),
IF(R249&gt;0,SUMIFS('EE Inputs'!$I$9:$I$32,'EE Inputs'!$C$9:$C$32,$G$6,'EE Inputs'!$D$9:$D$32,$C$4,'EE Inputs'!$E$9:$E$32,$B253)/SUMIFS('EE Inputs'!$V$9:$V$32,'EE Inputs'!$C$9:$C$32,$G$6,'EE Inputs'!$D$9:$D$32,$C$4,'EE Inputs'!$E$9:$E$32,$B253)*10,0))</f>
        <v>1025860.8461905766</v>
      </c>
      <c r="S253" s="64">
        <f ca="1">IF($C$4=Lookups!$D$40,SUM(INDIRECT("'Yr1'!"&amp;ADDRESS(ROW(S253),COLUMN(S253))),INDIRECT("'Yr2'!"&amp;ADDRESS(ROW(S253),COLUMN(S253))),INDIRECT("'Yr3'!"&amp;ADDRESS(ROW(S253),COLUMN(S253)))),
IF(S249&gt;0,SUMIFS('EE Inputs'!$I$9:$I$32,'EE Inputs'!$C$9:$C$32,$G$6,'EE Inputs'!$D$9:$D$32,$C$4,'EE Inputs'!$E$9:$E$32,$B253)/SUMIFS('EE Inputs'!$V$9:$V$32,'EE Inputs'!$C$9:$C$32,$G$6,'EE Inputs'!$D$9:$D$32,$C$4,'EE Inputs'!$E$9:$E$32,$B253)*10,0))</f>
        <v>1025860.8461905766</v>
      </c>
      <c r="T253" s="64">
        <f ca="1">IF($C$4=Lookups!$D$40,SUM(INDIRECT("'Yr1'!"&amp;ADDRESS(ROW(T253),COLUMN(T253))),INDIRECT("'Yr2'!"&amp;ADDRESS(ROW(T253),COLUMN(T253))),INDIRECT("'Yr3'!"&amp;ADDRESS(ROW(T253),COLUMN(T253)))),
IF(T249&gt;0,SUMIFS('EE Inputs'!$I$9:$I$32,'EE Inputs'!$C$9:$C$32,$G$6,'EE Inputs'!$D$9:$D$32,$C$4,'EE Inputs'!$E$9:$E$32,$B253)/SUMIFS('EE Inputs'!$V$9:$V$32,'EE Inputs'!$C$9:$C$32,$G$6,'EE Inputs'!$D$9:$D$32,$C$4,'EE Inputs'!$E$9:$E$32,$B253)*10,0))</f>
        <v>1025860.8461905766</v>
      </c>
      <c r="U253" s="64">
        <f ca="1">IF($C$4=Lookups!$D$40,SUM(INDIRECT("'Yr1'!"&amp;ADDRESS(ROW(U253),COLUMN(U253))),INDIRECT("'Yr2'!"&amp;ADDRESS(ROW(U253),COLUMN(U253))),INDIRECT("'Yr3'!"&amp;ADDRESS(ROW(U253),COLUMN(U253)))),
IF(U249&gt;0,SUMIFS('EE Inputs'!$I$9:$I$32,'EE Inputs'!$C$9:$C$32,$G$6,'EE Inputs'!$D$9:$D$32,$C$4,'EE Inputs'!$E$9:$E$32,$B253)/SUMIFS('EE Inputs'!$V$9:$V$32,'EE Inputs'!$C$9:$C$32,$G$6,'EE Inputs'!$D$9:$D$32,$C$4,'EE Inputs'!$E$9:$E$32,$B253)*10,0))</f>
        <v>1025860.8461905766</v>
      </c>
      <c r="V253" s="64">
        <f ca="1">IF($C$4=Lookups!$D$40,SUM(INDIRECT("'Yr1'!"&amp;ADDRESS(ROW(V253),COLUMN(V253))),INDIRECT("'Yr2'!"&amp;ADDRESS(ROW(V253),COLUMN(V253))),INDIRECT("'Yr3'!"&amp;ADDRESS(ROW(V253),COLUMN(V253)))),
IF(V249&gt;0,SUMIFS('EE Inputs'!$I$9:$I$32,'EE Inputs'!$C$9:$C$32,$G$6,'EE Inputs'!$D$9:$D$32,$C$4,'EE Inputs'!$E$9:$E$32,$B253)/SUMIFS('EE Inputs'!$V$9:$V$32,'EE Inputs'!$C$9:$C$32,$G$6,'EE Inputs'!$D$9:$D$32,$C$4,'EE Inputs'!$E$9:$E$32,$B253)*10,0))</f>
        <v>0</v>
      </c>
      <c r="W253" s="64">
        <f ca="1">IF($C$4=Lookups!$D$40,SUM(INDIRECT("'Yr1'!"&amp;ADDRESS(ROW(W253),COLUMN(W253))),INDIRECT("'Yr2'!"&amp;ADDRESS(ROW(W253),COLUMN(W253))),INDIRECT("'Yr3'!"&amp;ADDRESS(ROW(W253),COLUMN(W253)))),
IF(W249&gt;0,SUMIFS('EE Inputs'!$I$9:$I$32,'EE Inputs'!$C$9:$C$32,$G$6,'EE Inputs'!$D$9:$D$32,$C$4,'EE Inputs'!$E$9:$E$32,$B253)/SUMIFS('EE Inputs'!$V$9:$V$32,'EE Inputs'!$C$9:$C$32,$G$6,'EE Inputs'!$D$9:$D$32,$C$4,'EE Inputs'!$E$9:$E$32,$B253)*10,0))</f>
        <v>0</v>
      </c>
      <c r="X253" s="64">
        <f ca="1">IF($C$4=Lookups!$D$40,SUM(INDIRECT("'Yr1'!"&amp;ADDRESS(ROW(X253),COLUMN(X253))),INDIRECT("'Yr2'!"&amp;ADDRESS(ROW(X253),COLUMN(X253))),INDIRECT("'Yr3'!"&amp;ADDRESS(ROW(X253),COLUMN(X253)))),
IF(X249&gt;0,SUMIFS('EE Inputs'!$I$9:$I$32,'EE Inputs'!$C$9:$C$32,$G$6,'EE Inputs'!$D$9:$D$32,$C$4,'EE Inputs'!$E$9:$E$32,$B253)/SUMIFS('EE Inputs'!$V$9:$V$32,'EE Inputs'!$C$9:$C$32,$G$6,'EE Inputs'!$D$9:$D$32,$C$4,'EE Inputs'!$E$9:$E$32,$B253)*10,0))</f>
        <v>0</v>
      </c>
      <c r="Y253" s="64">
        <f ca="1">IF($C$4=Lookups!$D$40,SUM(INDIRECT("'Yr1'!"&amp;ADDRESS(ROW(Y253),COLUMN(Y253))),INDIRECT("'Yr2'!"&amp;ADDRESS(ROW(Y253),COLUMN(Y253))),INDIRECT("'Yr3'!"&amp;ADDRESS(ROW(Y253),COLUMN(Y253)))),
IF(Y249&gt;0,SUMIFS('EE Inputs'!$I$9:$I$32,'EE Inputs'!$C$9:$C$32,$G$6,'EE Inputs'!$D$9:$D$32,$C$4,'EE Inputs'!$E$9:$E$32,$B253)/SUMIFS('EE Inputs'!$V$9:$V$32,'EE Inputs'!$C$9:$C$32,$G$6,'EE Inputs'!$D$9:$D$32,$C$4,'EE Inputs'!$E$9:$E$32,$B253)*10,0))</f>
        <v>0</v>
      </c>
      <c r="Z253" s="64">
        <f ca="1">IF($C$4=Lookups!$D$40,SUM(INDIRECT("'Yr1'!"&amp;ADDRESS(ROW(Z253),COLUMN(Z253))),INDIRECT("'Yr2'!"&amp;ADDRESS(ROW(Z253),COLUMN(Z253))),INDIRECT("'Yr3'!"&amp;ADDRESS(ROW(Z253),COLUMN(Z253)))),
IF(Z249&gt;0,SUMIFS('EE Inputs'!$I$9:$I$32,'EE Inputs'!$C$9:$C$32,$G$6,'EE Inputs'!$D$9:$D$32,$C$4,'EE Inputs'!$E$9:$E$32,$B253)/SUMIFS('EE Inputs'!$V$9:$V$32,'EE Inputs'!$C$9:$C$32,$G$6,'EE Inputs'!$D$9:$D$32,$C$4,'EE Inputs'!$E$9:$E$32,$B253)*10,0))</f>
        <v>0</v>
      </c>
      <c r="AA253" s="64">
        <f ca="1">IF($C$4=Lookups!$D$40,SUM(INDIRECT("'Yr1'!"&amp;ADDRESS(ROW(AA253),COLUMN(AA253))),INDIRECT("'Yr2'!"&amp;ADDRESS(ROW(AA253),COLUMN(AA253))),INDIRECT("'Yr3'!"&amp;ADDRESS(ROW(AA253),COLUMN(AA253)))),
IF(AA249&gt;0,SUMIFS('EE Inputs'!$I$9:$I$32,'EE Inputs'!$C$9:$C$32,$G$6,'EE Inputs'!$D$9:$D$32,$C$4,'EE Inputs'!$E$9:$E$32,$B253)/SUMIFS('EE Inputs'!$V$9:$V$32,'EE Inputs'!$C$9:$C$32,$G$6,'EE Inputs'!$D$9:$D$32,$C$4,'EE Inputs'!$E$9:$E$32,$B253)*10,0))</f>
        <v>0</v>
      </c>
      <c r="AB253" s="64">
        <f ca="1">IF($C$4=Lookups!$D$40,SUM(INDIRECT("'Yr1'!"&amp;ADDRESS(ROW(AB253),COLUMN(AB253))),INDIRECT("'Yr2'!"&amp;ADDRESS(ROW(AB253),COLUMN(AB253))),INDIRECT("'Yr3'!"&amp;ADDRESS(ROW(AB253),COLUMN(AB253)))),
IF(AB249&gt;0,SUMIFS('EE Inputs'!$I$9:$I$32,'EE Inputs'!$C$9:$C$32,$G$6,'EE Inputs'!$D$9:$D$32,$C$4,'EE Inputs'!$E$9:$E$32,$B253)/SUMIFS('EE Inputs'!$V$9:$V$32,'EE Inputs'!$C$9:$C$32,$G$6,'EE Inputs'!$D$9:$D$32,$C$4,'EE Inputs'!$E$9:$E$32,$B253)*10,0))</f>
        <v>0</v>
      </c>
      <c r="AC253" s="64">
        <f ca="1">IF($C$4=Lookups!$D$40,SUM(INDIRECT("'Yr1'!"&amp;ADDRESS(ROW(AC253),COLUMN(AC253))),INDIRECT("'Yr2'!"&amp;ADDRESS(ROW(AC253),COLUMN(AC253))),INDIRECT("'Yr3'!"&amp;ADDRESS(ROW(AC253),COLUMN(AC253)))),
IF(AC249&gt;0,SUMIFS('EE Inputs'!$I$9:$I$32,'EE Inputs'!$C$9:$C$32,$G$6,'EE Inputs'!$D$9:$D$32,$C$4,'EE Inputs'!$E$9:$E$32,$B253)/SUMIFS('EE Inputs'!$V$9:$V$32,'EE Inputs'!$C$9:$C$32,$G$6,'EE Inputs'!$D$9:$D$32,$C$4,'EE Inputs'!$E$9:$E$32,$B253)*10,0))</f>
        <v>0</v>
      </c>
      <c r="AD253" s="64">
        <f ca="1">IF($C$4=Lookups!$D$40,SUM(INDIRECT("'Yr1'!"&amp;ADDRESS(ROW(AD253),COLUMN(AD253))),INDIRECT("'Yr2'!"&amp;ADDRESS(ROW(AD253),COLUMN(AD253))),INDIRECT("'Yr3'!"&amp;ADDRESS(ROW(AD253),COLUMN(AD253)))),
IF(AD249&gt;0,SUMIFS('EE Inputs'!$I$9:$I$32,'EE Inputs'!$C$9:$C$32,$G$6,'EE Inputs'!$D$9:$D$32,$C$4,'EE Inputs'!$E$9:$E$32,$B253)/SUMIFS('EE Inputs'!$V$9:$V$32,'EE Inputs'!$C$9:$C$32,$G$6,'EE Inputs'!$D$9:$D$32,$C$4,'EE Inputs'!$E$9:$E$32,$B253)*10,0))</f>
        <v>0</v>
      </c>
      <c r="AE253" s="64">
        <f ca="1">IF($C$4=Lookups!$D$40,SUM(INDIRECT("'Yr1'!"&amp;ADDRESS(ROW(AE253),COLUMN(AE253))),INDIRECT("'Yr2'!"&amp;ADDRESS(ROW(AE253),COLUMN(AE253))),INDIRECT("'Yr3'!"&amp;ADDRESS(ROW(AE253),COLUMN(AE253)))),
IF(AE249&gt;0,SUMIFS('EE Inputs'!$I$9:$I$32,'EE Inputs'!$C$9:$C$32,$G$6,'EE Inputs'!$D$9:$D$32,$C$4,'EE Inputs'!$E$9:$E$32,$B253)/SUMIFS('EE Inputs'!$V$9:$V$32,'EE Inputs'!$C$9:$C$32,$G$6,'EE Inputs'!$D$9:$D$32,$C$4,'EE Inputs'!$E$9:$E$32,$B253)*10,0))</f>
        <v>0</v>
      </c>
      <c r="AF253" s="64">
        <f ca="1">IF($C$4=Lookups!$D$40,SUM(INDIRECT("'Yr1'!"&amp;ADDRESS(ROW(AF253),COLUMN(AF253))),INDIRECT("'Yr2'!"&amp;ADDRESS(ROW(AF253),COLUMN(AF253))),INDIRECT("'Yr3'!"&amp;ADDRESS(ROW(AF253),COLUMN(AF253)))),
IF(AF249&gt;0,SUMIFS('EE Inputs'!$I$9:$I$32,'EE Inputs'!$C$9:$C$32,$G$6,'EE Inputs'!$D$9:$D$32,$C$4,'EE Inputs'!$E$9:$E$32,$B253)/SUMIFS('EE Inputs'!$V$9:$V$32,'EE Inputs'!$C$9:$C$32,$G$6,'EE Inputs'!$D$9:$D$32,$C$4,'EE Inputs'!$E$9:$E$32,$B253)*10,0))</f>
        <v>0</v>
      </c>
      <c r="AG253" s="64">
        <f ca="1">IF($C$4=Lookups!$D$40,SUM(INDIRECT("'Yr1'!"&amp;ADDRESS(ROW(AG253),COLUMN(AG253))),INDIRECT("'Yr2'!"&amp;ADDRESS(ROW(AG253),COLUMN(AG253))),INDIRECT("'Yr3'!"&amp;ADDRESS(ROW(AG253),COLUMN(AG253)))),
IF(AG249&gt;0,SUMIFS('EE Inputs'!$I$9:$I$32,'EE Inputs'!$C$9:$C$32,$G$6,'EE Inputs'!$D$9:$D$32,$C$4,'EE Inputs'!$E$9:$E$32,$B253)/SUMIFS('EE Inputs'!$V$9:$V$32,'EE Inputs'!$C$9:$C$32,$G$6,'EE Inputs'!$D$9:$D$32,$C$4,'EE Inputs'!$E$9:$E$32,$B253)*10,0))</f>
        <v>0</v>
      </c>
      <c r="AH253" s="64"/>
      <c r="AI253" s="64">
        <f t="shared" ca="1" si="274"/>
        <v>13336191.000477498</v>
      </c>
      <c r="AJ253" s="64"/>
      <c r="AM253" s="71">
        <f ca="1">IF($C$4=Lookups!$D$40,SUM(INDIRECT("'Yr1'!"&amp;ADDRESS(ROW(AM253),COLUMN(AM253))),INDIRECT("'Yr2'!"&amp;ADDRESS(ROW(AM253),COLUMN(AM253))),INDIRECT("'Yr3'!"&amp;ADDRESS(ROW(AM253),COLUMN(AM253)))),
IF(AM249&gt;0,SUMIFS('EE Inputs'!$I$9:$I$32,'EE Inputs'!$C$9:$C$32,$AM$6,'EE Inputs'!$D$9:$D$32,$C$4,'EE Inputs'!$E$9:$E$32,$B253)/SUMIFS('EE Inputs'!$V$9:$V$32,'EE Inputs'!$C$9:$C$32,$AM$6,'EE Inputs'!$D$9:$D$32,$C$4,'EE Inputs'!$E$9:$E$32,$B253)*10,0))</f>
        <v>0</v>
      </c>
      <c r="AN253" s="71">
        <f ca="1">IF($C$4=Lookups!$D$40,SUM(INDIRECT("'Yr1'!"&amp;ADDRESS(ROW(AN253),COLUMN(AN253))),INDIRECT("'Yr2'!"&amp;ADDRESS(ROW(AN253),COLUMN(AN253))),INDIRECT("'Yr3'!"&amp;ADDRESS(ROW(AN253),COLUMN(AN253)))),
IF(AN249&gt;0,SUMIFS('EE Inputs'!$I$9:$I$32,'EE Inputs'!$C$9:$C$32,$AM$6,'EE Inputs'!$D$9:$D$32,$C$4,'EE Inputs'!$E$9:$E$32,$B253)/SUMIFS('EE Inputs'!$V$9:$V$32,'EE Inputs'!$C$9:$C$32,$AM$6,'EE Inputs'!$D$9:$D$32,$C$4,'EE Inputs'!$E$9:$E$32,$B253)*10,0))</f>
        <v>0</v>
      </c>
      <c r="AO253" s="71">
        <f ca="1">IF($C$4=Lookups!$D$40,SUM(INDIRECT("'Yr1'!"&amp;ADDRESS(ROW(AO253),COLUMN(AO253))),INDIRECT("'Yr2'!"&amp;ADDRESS(ROW(AO253),COLUMN(AO253))),INDIRECT("'Yr3'!"&amp;ADDRESS(ROW(AO253),COLUMN(AO253)))),
IF(AO249&gt;0,SUMIFS('EE Inputs'!$I$9:$I$32,'EE Inputs'!$C$9:$C$32,$AM$6,'EE Inputs'!$D$9:$D$32,$C$4,'EE Inputs'!$E$9:$E$32,$B253)/SUMIFS('EE Inputs'!$V$9:$V$32,'EE Inputs'!$C$9:$C$32,$AM$6,'EE Inputs'!$D$9:$D$32,$C$4,'EE Inputs'!$E$9:$E$32,$B253)*10,0))</f>
        <v>1172412.3956463733</v>
      </c>
      <c r="AP253" s="71">
        <f ca="1">IF($C$4=Lookups!$D$40,SUM(INDIRECT("'Yr1'!"&amp;ADDRESS(ROW(AP253),COLUMN(AP253))),INDIRECT("'Yr2'!"&amp;ADDRESS(ROW(AP253),COLUMN(AP253))),INDIRECT("'Yr3'!"&amp;ADDRESS(ROW(AP253),COLUMN(AP253)))),
IF(AP249&gt;0,SUMIFS('EE Inputs'!$I$9:$I$32,'EE Inputs'!$C$9:$C$32,$AM$6,'EE Inputs'!$D$9:$D$32,$C$4,'EE Inputs'!$E$9:$E$32,$B253)/SUMIFS('EE Inputs'!$V$9:$V$32,'EE Inputs'!$C$9:$C$32,$AM$6,'EE Inputs'!$D$9:$D$32,$C$4,'EE Inputs'!$E$9:$E$32,$B253)*10,0))</f>
        <v>1172412.3956463733</v>
      </c>
      <c r="AQ253" s="71">
        <f ca="1">IF($C$4=Lookups!$D$40,SUM(INDIRECT("'Yr1'!"&amp;ADDRESS(ROW(AQ253),COLUMN(AQ253))),INDIRECT("'Yr2'!"&amp;ADDRESS(ROW(AQ253),COLUMN(AQ253))),INDIRECT("'Yr3'!"&amp;ADDRESS(ROW(AQ253),COLUMN(AQ253)))),
IF(AQ249&gt;0,SUMIFS('EE Inputs'!$I$9:$I$32,'EE Inputs'!$C$9:$C$32,$AM$6,'EE Inputs'!$D$9:$D$32,$C$4,'EE Inputs'!$E$9:$E$32,$B253)/SUMIFS('EE Inputs'!$V$9:$V$32,'EE Inputs'!$C$9:$C$32,$AM$6,'EE Inputs'!$D$9:$D$32,$C$4,'EE Inputs'!$E$9:$E$32,$B253)*10,0))</f>
        <v>1172412.3956463733</v>
      </c>
      <c r="AR253" s="71">
        <f ca="1">IF($C$4=Lookups!$D$40,SUM(INDIRECT("'Yr1'!"&amp;ADDRESS(ROW(AR253),COLUMN(AR253))),INDIRECT("'Yr2'!"&amp;ADDRESS(ROW(AR253),COLUMN(AR253))),INDIRECT("'Yr3'!"&amp;ADDRESS(ROW(AR253),COLUMN(AR253)))),
IF(AR249&gt;0,SUMIFS('EE Inputs'!$I$9:$I$32,'EE Inputs'!$C$9:$C$32,$AM$6,'EE Inputs'!$D$9:$D$32,$C$4,'EE Inputs'!$E$9:$E$32,$B253)/SUMIFS('EE Inputs'!$V$9:$V$32,'EE Inputs'!$C$9:$C$32,$AM$6,'EE Inputs'!$D$9:$D$32,$C$4,'EE Inputs'!$E$9:$E$32,$B253)*10,0))</f>
        <v>1172412.3956463733</v>
      </c>
      <c r="AS253" s="71">
        <f ca="1">IF($C$4=Lookups!$D$40,SUM(INDIRECT("'Yr1'!"&amp;ADDRESS(ROW(AS253),COLUMN(AS253))),INDIRECT("'Yr2'!"&amp;ADDRESS(ROW(AS253),COLUMN(AS253))),INDIRECT("'Yr3'!"&amp;ADDRESS(ROW(AS253),COLUMN(AS253)))),
IF(AS249&gt;0,SUMIFS('EE Inputs'!$I$9:$I$32,'EE Inputs'!$C$9:$C$32,$AM$6,'EE Inputs'!$D$9:$D$32,$C$4,'EE Inputs'!$E$9:$E$32,$B253)/SUMIFS('EE Inputs'!$V$9:$V$32,'EE Inputs'!$C$9:$C$32,$AM$6,'EE Inputs'!$D$9:$D$32,$C$4,'EE Inputs'!$E$9:$E$32,$B253)*10,0))</f>
        <v>1172412.3956463733</v>
      </c>
      <c r="AT253" s="71">
        <f ca="1">IF($C$4=Lookups!$D$40,SUM(INDIRECT("'Yr1'!"&amp;ADDRESS(ROW(AT253),COLUMN(AT253))),INDIRECT("'Yr2'!"&amp;ADDRESS(ROW(AT253),COLUMN(AT253))),INDIRECT("'Yr3'!"&amp;ADDRESS(ROW(AT253),COLUMN(AT253)))),
IF(AT249&gt;0,SUMIFS('EE Inputs'!$I$9:$I$32,'EE Inputs'!$C$9:$C$32,$AM$6,'EE Inputs'!$D$9:$D$32,$C$4,'EE Inputs'!$E$9:$E$32,$B253)/SUMIFS('EE Inputs'!$V$9:$V$32,'EE Inputs'!$C$9:$C$32,$AM$6,'EE Inputs'!$D$9:$D$32,$C$4,'EE Inputs'!$E$9:$E$32,$B253)*10,0))</f>
        <v>1172412.3956463733</v>
      </c>
      <c r="AU253" s="71">
        <f ca="1">IF($C$4=Lookups!$D$40,SUM(INDIRECT("'Yr1'!"&amp;ADDRESS(ROW(AU253),COLUMN(AU253))),INDIRECT("'Yr2'!"&amp;ADDRESS(ROW(AU253),COLUMN(AU253))),INDIRECT("'Yr3'!"&amp;ADDRESS(ROW(AU253),COLUMN(AU253)))),
IF(AU249&gt;0,SUMIFS('EE Inputs'!$I$9:$I$32,'EE Inputs'!$C$9:$C$32,$AM$6,'EE Inputs'!$D$9:$D$32,$C$4,'EE Inputs'!$E$9:$E$32,$B253)/SUMIFS('EE Inputs'!$V$9:$V$32,'EE Inputs'!$C$9:$C$32,$AM$6,'EE Inputs'!$D$9:$D$32,$C$4,'EE Inputs'!$E$9:$E$32,$B253)*10,0))</f>
        <v>1172412.3956463733</v>
      </c>
      <c r="AV253" s="71">
        <f ca="1">IF($C$4=Lookups!$D$40,SUM(INDIRECT("'Yr1'!"&amp;ADDRESS(ROW(AV253),COLUMN(AV253))),INDIRECT("'Yr2'!"&amp;ADDRESS(ROW(AV253),COLUMN(AV253))),INDIRECT("'Yr3'!"&amp;ADDRESS(ROW(AV253),COLUMN(AV253)))),
IF(AV249&gt;0,SUMIFS('EE Inputs'!$I$9:$I$32,'EE Inputs'!$C$9:$C$32,$AM$6,'EE Inputs'!$D$9:$D$32,$C$4,'EE Inputs'!$E$9:$E$32,$B253)/SUMIFS('EE Inputs'!$V$9:$V$32,'EE Inputs'!$C$9:$C$32,$AM$6,'EE Inputs'!$D$9:$D$32,$C$4,'EE Inputs'!$E$9:$E$32,$B253)*10,0))</f>
        <v>1172412.3956463733</v>
      </c>
      <c r="AW253" s="71">
        <f ca="1">IF($C$4=Lookups!$D$40,SUM(INDIRECT("'Yr1'!"&amp;ADDRESS(ROW(AW253),COLUMN(AW253))),INDIRECT("'Yr2'!"&amp;ADDRESS(ROW(AW253),COLUMN(AW253))),INDIRECT("'Yr3'!"&amp;ADDRESS(ROW(AW253),COLUMN(AW253)))),
IF(AW249&gt;0,SUMIFS('EE Inputs'!$I$9:$I$32,'EE Inputs'!$C$9:$C$32,$AM$6,'EE Inputs'!$D$9:$D$32,$C$4,'EE Inputs'!$E$9:$E$32,$B253)/SUMIFS('EE Inputs'!$V$9:$V$32,'EE Inputs'!$C$9:$C$32,$AM$6,'EE Inputs'!$D$9:$D$32,$C$4,'EE Inputs'!$E$9:$E$32,$B253)*10,0))</f>
        <v>1172412.3956463733</v>
      </c>
      <c r="AX253" s="71">
        <f ca="1">IF($C$4=Lookups!$D$40,SUM(INDIRECT("'Yr1'!"&amp;ADDRESS(ROW(AX253),COLUMN(AX253))),INDIRECT("'Yr2'!"&amp;ADDRESS(ROW(AX253),COLUMN(AX253))),INDIRECT("'Yr3'!"&amp;ADDRESS(ROW(AX253),COLUMN(AX253)))),
IF(AX249&gt;0,SUMIFS('EE Inputs'!$I$9:$I$32,'EE Inputs'!$C$9:$C$32,$AM$6,'EE Inputs'!$D$9:$D$32,$C$4,'EE Inputs'!$E$9:$E$32,$B253)/SUMIFS('EE Inputs'!$V$9:$V$32,'EE Inputs'!$C$9:$C$32,$AM$6,'EE Inputs'!$D$9:$D$32,$C$4,'EE Inputs'!$E$9:$E$32,$B253)*10,0))</f>
        <v>1172412.3956463733</v>
      </c>
      <c r="AY253" s="71">
        <f ca="1">IF($C$4=Lookups!$D$40,SUM(INDIRECT("'Yr1'!"&amp;ADDRESS(ROW(AY253),COLUMN(AY253))),INDIRECT("'Yr2'!"&amp;ADDRESS(ROW(AY253),COLUMN(AY253))),INDIRECT("'Yr3'!"&amp;ADDRESS(ROW(AY253),COLUMN(AY253)))),
IF(AY249&gt;0,SUMIFS('EE Inputs'!$I$9:$I$32,'EE Inputs'!$C$9:$C$32,$AM$6,'EE Inputs'!$D$9:$D$32,$C$4,'EE Inputs'!$E$9:$E$32,$B253)/SUMIFS('EE Inputs'!$V$9:$V$32,'EE Inputs'!$C$9:$C$32,$AM$6,'EE Inputs'!$D$9:$D$32,$C$4,'EE Inputs'!$E$9:$E$32,$B253)*10,0))</f>
        <v>1172412.3956463733</v>
      </c>
      <c r="AZ253" s="71">
        <f ca="1">IF($C$4=Lookups!$D$40,SUM(INDIRECT("'Yr1'!"&amp;ADDRESS(ROW(AZ253),COLUMN(AZ253))),INDIRECT("'Yr2'!"&amp;ADDRESS(ROW(AZ253),COLUMN(AZ253))),INDIRECT("'Yr3'!"&amp;ADDRESS(ROW(AZ253),COLUMN(AZ253)))),
IF(AZ249&gt;0,SUMIFS('EE Inputs'!$I$9:$I$32,'EE Inputs'!$C$9:$C$32,$AM$6,'EE Inputs'!$D$9:$D$32,$C$4,'EE Inputs'!$E$9:$E$32,$B253)/SUMIFS('EE Inputs'!$V$9:$V$32,'EE Inputs'!$C$9:$C$32,$AM$6,'EE Inputs'!$D$9:$D$32,$C$4,'EE Inputs'!$E$9:$E$32,$B253)*10,0))</f>
        <v>1172412.3956463733</v>
      </c>
      <c r="BA253" s="71">
        <f ca="1">IF($C$4=Lookups!$D$40,SUM(INDIRECT("'Yr1'!"&amp;ADDRESS(ROW(BA253),COLUMN(BA253))),INDIRECT("'Yr2'!"&amp;ADDRESS(ROW(BA253),COLUMN(BA253))),INDIRECT("'Yr3'!"&amp;ADDRESS(ROW(BA253),COLUMN(BA253)))),
IF(BA249&gt;0,SUMIFS('EE Inputs'!$I$9:$I$32,'EE Inputs'!$C$9:$C$32,$AM$6,'EE Inputs'!$D$9:$D$32,$C$4,'EE Inputs'!$E$9:$E$32,$B253)/SUMIFS('EE Inputs'!$V$9:$V$32,'EE Inputs'!$C$9:$C$32,$AM$6,'EE Inputs'!$D$9:$D$32,$C$4,'EE Inputs'!$E$9:$E$32,$B253)*10,0))</f>
        <v>1172412.3956463733</v>
      </c>
      <c r="BB253" s="71">
        <f ca="1">IF($C$4=Lookups!$D$40,SUM(INDIRECT("'Yr1'!"&amp;ADDRESS(ROW(BB253),COLUMN(BB253))),INDIRECT("'Yr2'!"&amp;ADDRESS(ROW(BB253),COLUMN(BB253))),INDIRECT("'Yr3'!"&amp;ADDRESS(ROW(BB253),COLUMN(BB253)))),
IF(BB249&gt;0,SUMIFS('EE Inputs'!$I$9:$I$32,'EE Inputs'!$C$9:$C$32,$AM$6,'EE Inputs'!$D$9:$D$32,$C$4,'EE Inputs'!$E$9:$E$32,$B253)/SUMIFS('EE Inputs'!$V$9:$V$32,'EE Inputs'!$C$9:$C$32,$AM$6,'EE Inputs'!$D$9:$D$32,$C$4,'EE Inputs'!$E$9:$E$32,$B253)*10,0))</f>
        <v>0</v>
      </c>
      <c r="BC253" s="71">
        <f ca="1">IF($C$4=Lookups!$D$40,SUM(INDIRECT("'Yr1'!"&amp;ADDRESS(ROW(BC253),COLUMN(BC253))),INDIRECT("'Yr2'!"&amp;ADDRESS(ROW(BC253),COLUMN(BC253))),INDIRECT("'Yr3'!"&amp;ADDRESS(ROW(BC253),COLUMN(BC253)))),
IF(BC249&gt;0,SUMIFS('EE Inputs'!$I$9:$I$32,'EE Inputs'!$C$9:$C$32,$AM$6,'EE Inputs'!$D$9:$D$32,$C$4,'EE Inputs'!$E$9:$E$32,$B253)/SUMIFS('EE Inputs'!$V$9:$V$32,'EE Inputs'!$C$9:$C$32,$AM$6,'EE Inputs'!$D$9:$D$32,$C$4,'EE Inputs'!$E$9:$E$32,$B253)*10,0))</f>
        <v>0</v>
      </c>
      <c r="BD253" s="71">
        <f ca="1">IF($C$4=Lookups!$D$40,SUM(INDIRECT("'Yr1'!"&amp;ADDRESS(ROW(BD253),COLUMN(BD253))),INDIRECT("'Yr2'!"&amp;ADDRESS(ROW(BD253),COLUMN(BD253))),INDIRECT("'Yr3'!"&amp;ADDRESS(ROW(BD253),COLUMN(BD253)))),
IF(BD249&gt;0,SUMIFS('EE Inputs'!$I$9:$I$32,'EE Inputs'!$C$9:$C$32,$AM$6,'EE Inputs'!$D$9:$D$32,$C$4,'EE Inputs'!$E$9:$E$32,$B253)/SUMIFS('EE Inputs'!$V$9:$V$32,'EE Inputs'!$C$9:$C$32,$AM$6,'EE Inputs'!$D$9:$D$32,$C$4,'EE Inputs'!$E$9:$E$32,$B253)*10,0))</f>
        <v>0</v>
      </c>
      <c r="BE253" s="71">
        <f ca="1">IF($C$4=Lookups!$D$40,SUM(INDIRECT("'Yr1'!"&amp;ADDRESS(ROW(BE253),COLUMN(BE253))),INDIRECT("'Yr2'!"&amp;ADDRESS(ROW(BE253),COLUMN(BE253))),INDIRECT("'Yr3'!"&amp;ADDRESS(ROW(BE253),COLUMN(BE253)))),
IF(BE249&gt;0,SUMIFS('EE Inputs'!$I$9:$I$32,'EE Inputs'!$C$9:$C$32,$AM$6,'EE Inputs'!$D$9:$D$32,$C$4,'EE Inputs'!$E$9:$E$32,$B253)/SUMIFS('EE Inputs'!$V$9:$V$32,'EE Inputs'!$C$9:$C$32,$AM$6,'EE Inputs'!$D$9:$D$32,$C$4,'EE Inputs'!$E$9:$E$32,$B253)*10,0))</f>
        <v>0</v>
      </c>
      <c r="BF253" s="71">
        <f ca="1">IF($C$4=Lookups!$D$40,SUM(INDIRECT("'Yr1'!"&amp;ADDRESS(ROW(BF253),COLUMN(BF253))),INDIRECT("'Yr2'!"&amp;ADDRESS(ROW(BF253),COLUMN(BF253))),INDIRECT("'Yr3'!"&amp;ADDRESS(ROW(BF253),COLUMN(BF253)))),
IF(BF249&gt;0,SUMIFS('EE Inputs'!$I$9:$I$32,'EE Inputs'!$C$9:$C$32,$AM$6,'EE Inputs'!$D$9:$D$32,$C$4,'EE Inputs'!$E$9:$E$32,$B253)/SUMIFS('EE Inputs'!$V$9:$V$32,'EE Inputs'!$C$9:$C$32,$AM$6,'EE Inputs'!$D$9:$D$32,$C$4,'EE Inputs'!$E$9:$E$32,$B253)*10,0))</f>
        <v>0</v>
      </c>
      <c r="BG253" s="71">
        <f ca="1">IF($C$4=Lookups!$D$40,SUM(INDIRECT("'Yr1'!"&amp;ADDRESS(ROW(BG253),COLUMN(BG253))),INDIRECT("'Yr2'!"&amp;ADDRESS(ROW(BG253),COLUMN(BG253))),INDIRECT("'Yr3'!"&amp;ADDRESS(ROW(BG253),COLUMN(BG253)))),
IF(BG249&gt;0,SUMIFS('EE Inputs'!$I$9:$I$32,'EE Inputs'!$C$9:$C$32,$AM$6,'EE Inputs'!$D$9:$D$32,$C$4,'EE Inputs'!$E$9:$E$32,$B253)/SUMIFS('EE Inputs'!$V$9:$V$32,'EE Inputs'!$C$9:$C$32,$AM$6,'EE Inputs'!$D$9:$D$32,$C$4,'EE Inputs'!$E$9:$E$32,$B253)*10,0))</f>
        <v>0</v>
      </c>
      <c r="BH253" s="71">
        <f ca="1">IF($C$4=Lookups!$D$40,SUM(INDIRECT("'Yr1'!"&amp;ADDRESS(ROW(BH253),COLUMN(BH253))),INDIRECT("'Yr2'!"&amp;ADDRESS(ROW(BH253),COLUMN(BH253))),INDIRECT("'Yr3'!"&amp;ADDRESS(ROW(BH253),COLUMN(BH253)))),
IF(BH249&gt;0,SUMIFS('EE Inputs'!$I$9:$I$32,'EE Inputs'!$C$9:$C$32,$AM$6,'EE Inputs'!$D$9:$D$32,$C$4,'EE Inputs'!$E$9:$E$32,$B253)/SUMIFS('EE Inputs'!$V$9:$V$32,'EE Inputs'!$C$9:$C$32,$AM$6,'EE Inputs'!$D$9:$D$32,$C$4,'EE Inputs'!$E$9:$E$32,$B253)*10,0))</f>
        <v>0</v>
      </c>
      <c r="BI253" s="71">
        <f ca="1">IF($C$4=Lookups!$D$40,SUM(INDIRECT("'Yr1'!"&amp;ADDRESS(ROW(BI253),COLUMN(BI253))),INDIRECT("'Yr2'!"&amp;ADDRESS(ROW(BI253),COLUMN(BI253))),INDIRECT("'Yr3'!"&amp;ADDRESS(ROW(BI253),COLUMN(BI253)))),
IF(BI249&gt;0,SUMIFS('EE Inputs'!$I$9:$I$32,'EE Inputs'!$C$9:$C$32,$AM$6,'EE Inputs'!$D$9:$D$32,$C$4,'EE Inputs'!$E$9:$E$32,$B253)/SUMIFS('EE Inputs'!$V$9:$V$32,'EE Inputs'!$C$9:$C$32,$AM$6,'EE Inputs'!$D$9:$D$32,$C$4,'EE Inputs'!$E$9:$E$32,$B253)*10,0))</f>
        <v>0</v>
      </c>
      <c r="BJ253" s="71">
        <f ca="1">IF($C$4=Lookups!$D$40,SUM(INDIRECT("'Yr1'!"&amp;ADDRESS(ROW(BJ253),COLUMN(BJ253))),INDIRECT("'Yr2'!"&amp;ADDRESS(ROW(BJ253),COLUMN(BJ253))),INDIRECT("'Yr3'!"&amp;ADDRESS(ROW(BJ253),COLUMN(BJ253)))),
IF(BJ249&gt;0,SUMIFS('EE Inputs'!$I$9:$I$32,'EE Inputs'!$C$9:$C$32,$AM$6,'EE Inputs'!$D$9:$D$32,$C$4,'EE Inputs'!$E$9:$E$32,$B253)/SUMIFS('EE Inputs'!$V$9:$V$32,'EE Inputs'!$C$9:$C$32,$AM$6,'EE Inputs'!$D$9:$D$32,$C$4,'EE Inputs'!$E$9:$E$32,$B253)*10,0))</f>
        <v>0</v>
      </c>
      <c r="BK253" s="71">
        <f ca="1">IF($C$4=Lookups!$D$40,SUM(INDIRECT("'Yr1'!"&amp;ADDRESS(ROW(BK253),COLUMN(BK253))),INDIRECT("'Yr2'!"&amp;ADDRESS(ROW(BK253),COLUMN(BK253))),INDIRECT("'Yr3'!"&amp;ADDRESS(ROW(BK253),COLUMN(BK253)))),
IF(BK249&gt;0,SUMIFS('EE Inputs'!$I$9:$I$32,'EE Inputs'!$C$9:$C$32,$AM$6,'EE Inputs'!$D$9:$D$32,$C$4,'EE Inputs'!$E$9:$E$32,$B253)/SUMIFS('EE Inputs'!$V$9:$V$32,'EE Inputs'!$C$9:$C$32,$AM$6,'EE Inputs'!$D$9:$D$32,$C$4,'EE Inputs'!$E$9:$E$32,$B253)*10,0))</f>
        <v>0</v>
      </c>
      <c r="BL253" s="71">
        <f ca="1">IF($C$4=Lookups!$D$40,SUM(INDIRECT("'Yr1'!"&amp;ADDRESS(ROW(BL253),COLUMN(BL253))),INDIRECT("'Yr2'!"&amp;ADDRESS(ROW(BL253),COLUMN(BL253))),INDIRECT("'Yr3'!"&amp;ADDRESS(ROW(BL253),COLUMN(BL253)))),
IF(BL249&gt;0,SUMIFS('EE Inputs'!$I$9:$I$32,'EE Inputs'!$C$9:$C$32,$AM$6,'EE Inputs'!$D$9:$D$32,$C$4,'EE Inputs'!$E$9:$E$32,$B253)/SUMIFS('EE Inputs'!$V$9:$V$32,'EE Inputs'!$C$9:$C$32,$AM$6,'EE Inputs'!$D$9:$D$32,$C$4,'EE Inputs'!$E$9:$E$32,$B253)*10,0))</f>
        <v>0</v>
      </c>
      <c r="BM253" s="71">
        <f ca="1">IF($C$4=Lookups!$D$40,SUM(INDIRECT("'Yr1'!"&amp;ADDRESS(ROW(BM253),COLUMN(BM253))),INDIRECT("'Yr2'!"&amp;ADDRESS(ROW(BM253),COLUMN(BM253))),INDIRECT("'Yr3'!"&amp;ADDRESS(ROW(BM253),COLUMN(BM253)))),
IF(BM249&gt;0,SUMIFS('EE Inputs'!$I$9:$I$32,'EE Inputs'!$C$9:$C$32,$AM$6,'EE Inputs'!$D$9:$D$32,$C$4,'EE Inputs'!$E$9:$E$32,$B253)/SUMIFS('EE Inputs'!$V$9:$V$32,'EE Inputs'!$C$9:$C$32,$AM$6,'EE Inputs'!$D$9:$D$32,$C$4,'EE Inputs'!$E$9:$E$32,$B253)*10,0))</f>
        <v>0</v>
      </c>
      <c r="BN253" s="71"/>
      <c r="BO253" s="71">
        <f t="shared" ca="1" si="275"/>
        <v>15241361.143402848</v>
      </c>
      <c r="BP253" s="71"/>
      <c r="BS253" s="84" t="s">
        <v>92</v>
      </c>
      <c r="BT253" s="51" t="s">
        <v>17</v>
      </c>
    </row>
    <row r="254" spans="1:72" x14ac:dyDescent="0.25">
      <c r="B254" s="243" t="str">
        <f t="shared" si="273"/>
        <v>Large C&amp;I</v>
      </c>
      <c r="C254" s="243" t="str">
        <f>C253</f>
        <v>Sales</v>
      </c>
      <c r="D254" s="244" t="s">
        <v>109</v>
      </c>
      <c r="E254" s="85" t="s">
        <v>109</v>
      </c>
      <c r="F254" s="84" t="s">
        <v>195</v>
      </c>
      <c r="G254" s="65">
        <f ca="1">G252-G253</f>
        <v>0</v>
      </c>
      <c r="H254" s="65">
        <f t="shared" ref="H254:AG254" ca="1" si="276">H252-H253</f>
        <v>0</v>
      </c>
      <c r="I254" s="65">
        <f t="shared" ca="1" si="276"/>
        <v>10237544.290240392</v>
      </c>
      <c r="J254" s="65">
        <f t="shared" ca="1" si="276"/>
        <v>10237544.290240392</v>
      </c>
      <c r="K254" s="65">
        <f t="shared" ca="1" si="276"/>
        <v>10237544.290240392</v>
      </c>
      <c r="L254" s="65">
        <f t="shared" ca="1" si="276"/>
        <v>10237544.290240392</v>
      </c>
      <c r="M254" s="65">
        <f t="shared" ca="1" si="276"/>
        <v>10237544.290240392</v>
      </c>
      <c r="N254" s="65">
        <f t="shared" ca="1" si="276"/>
        <v>10237544.290240392</v>
      </c>
      <c r="O254" s="65">
        <f t="shared" ca="1" si="276"/>
        <v>10237544.290240392</v>
      </c>
      <c r="P254" s="65">
        <f t="shared" ca="1" si="276"/>
        <v>10237544.290240392</v>
      </c>
      <c r="Q254" s="65">
        <f t="shared" ca="1" si="276"/>
        <v>10237544.290240392</v>
      </c>
      <c r="R254" s="65">
        <f t="shared" ca="1" si="276"/>
        <v>10237544.290240392</v>
      </c>
      <c r="S254" s="65">
        <f t="shared" ca="1" si="276"/>
        <v>10237544.290240392</v>
      </c>
      <c r="T254" s="65">
        <f t="shared" ca="1" si="276"/>
        <v>10237544.290240392</v>
      </c>
      <c r="U254" s="65">
        <f t="shared" ca="1" si="276"/>
        <v>10237544.290240392</v>
      </c>
      <c r="V254" s="65">
        <f t="shared" ca="1" si="276"/>
        <v>11263405.136430969</v>
      </c>
      <c r="W254" s="65">
        <f t="shared" ca="1" si="276"/>
        <v>11263405.136430969</v>
      </c>
      <c r="X254" s="65">
        <f t="shared" ca="1" si="276"/>
        <v>11263405.136430969</v>
      </c>
      <c r="Y254" s="65">
        <f t="shared" ca="1" si="276"/>
        <v>11263405.136430969</v>
      </c>
      <c r="Z254" s="65">
        <f t="shared" ca="1" si="276"/>
        <v>11263405.136430969</v>
      </c>
      <c r="AA254" s="65">
        <f t="shared" ca="1" si="276"/>
        <v>11263405.136430969</v>
      </c>
      <c r="AB254" s="65">
        <f t="shared" ca="1" si="276"/>
        <v>11263405.136430969</v>
      </c>
      <c r="AC254" s="65">
        <f t="shared" ca="1" si="276"/>
        <v>11263405.136430969</v>
      </c>
      <c r="AD254" s="65">
        <f t="shared" ca="1" si="276"/>
        <v>11263405.136430969</v>
      </c>
      <c r="AE254" s="65">
        <f t="shared" ca="1" si="276"/>
        <v>11263405.136430969</v>
      </c>
      <c r="AF254" s="65">
        <f t="shared" ca="1" si="276"/>
        <v>11263405.136430969</v>
      </c>
      <c r="AG254" s="65">
        <f t="shared" ca="1" si="276"/>
        <v>11263405.136430969</v>
      </c>
      <c r="AH254" s="65"/>
      <c r="AI254" s="65">
        <f t="shared" ca="1" si="274"/>
        <v>268248937.41029683</v>
      </c>
      <c r="AJ254" s="65"/>
      <c r="AM254" s="72">
        <f ca="1">AM252-AM253</f>
        <v>0</v>
      </c>
      <c r="AN254" s="72">
        <f t="shared" ref="AN254:BM254" ca="1" si="277">AN252-AN253</f>
        <v>0</v>
      </c>
      <c r="AO254" s="72">
        <f t="shared" ca="1" si="277"/>
        <v>10090992.740784597</v>
      </c>
      <c r="AP254" s="72">
        <f t="shared" ca="1" si="277"/>
        <v>10090992.740784597</v>
      </c>
      <c r="AQ254" s="72">
        <f t="shared" ca="1" si="277"/>
        <v>10090992.740784597</v>
      </c>
      <c r="AR254" s="72">
        <f t="shared" ca="1" si="277"/>
        <v>10090992.740784597</v>
      </c>
      <c r="AS254" s="72">
        <f t="shared" ca="1" si="277"/>
        <v>10090992.740784597</v>
      </c>
      <c r="AT254" s="72">
        <f t="shared" ca="1" si="277"/>
        <v>10090992.740784597</v>
      </c>
      <c r="AU254" s="72">
        <f t="shared" ca="1" si="277"/>
        <v>10090992.740784597</v>
      </c>
      <c r="AV254" s="72">
        <f t="shared" ca="1" si="277"/>
        <v>10090992.740784597</v>
      </c>
      <c r="AW254" s="72">
        <f t="shared" ca="1" si="277"/>
        <v>10090992.740784597</v>
      </c>
      <c r="AX254" s="72">
        <f t="shared" ca="1" si="277"/>
        <v>10090992.740784597</v>
      </c>
      <c r="AY254" s="72">
        <f t="shared" ca="1" si="277"/>
        <v>10090992.740784597</v>
      </c>
      <c r="AZ254" s="72">
        <f t="shared" ca="1" si="277"/>
        <v>10090992.740784597</v>
      </c>
      <c r="BA254" s="72">
        <f t="shared" ca="1" si="277"/>
        <v>10090992.740784597</v>
      </c>
      <c r="BB254" s="72">
        <f t="shared" ca="1" si="277"/>
        <v>11263405.136430969</v>
      </c>
      <c r="BC254" s="72">
        <f t="shared" ca="1" si="277"/>
        <v>11263405.136430969</v>
      </c>
      <c r="BD254" s="72">
        <f t="shared" ca="1" si="277"/>
        <v>11263405.136430969</v>
      </c>
      <c r="BE254" s="72">
        <f t="shared" ca="1" si="277"/>
        <v>11263405.136430969</v>
      </c>
      <c r="BF254" s="72">
        <f t="shared" ca="1" si="277"/>
        <v>11263405.136430969</v>
      </c>
      <c r="BG254" s="72">
        <f t="shared" ca="1" si="277"/>
        <v>11263405.136430969</v>
      </c>
      <c r="BH254" s="72">
        <f t="shared" ca="1" si="277"/>
        <v>11263405.136430969</v>
      </c>
      <c r="BI254" s="72">
        <f t="shared" ca="1" si="277"/>
        <v>11263405.136430969</v>
      </c>
      <c r="BJ254" s="72">
        <f t="shared" ca="1" si="277"/>
        <v>11263405.136430969</v>
      </c>
      <c r="BK254" s="72">
        <f t="shared" ca="1" si="277"/>
        <v>11263405.136430969</v>
      </c>
      <c r="BL254" s="72">
        <f t="shared" ca="1" si="277"/>
        <v>11263405.136430969</v>
      </c>
      <c r="BM254" s="72">
        <f t="shared" ca="1" si="277"/>
        <v>11263405.136430969</v>
      </c>
      <c r="BN254" s="72"/>
      <c r="BO254" s="72">
        <f t="shared" ca="1" si="275"/>
        <v>266343767.26737154</v>
      </c>
      <c r="BP254" s="72"/>
      <c r="BS254" s="84" t="s">
        <v>93</v>
      </c>
      <c r="BT254" s="51" t="s">
        <v>17</v>
      </c>
    </row>
    <row r="255" spans="1:72" s="5" customFormat="1" x14ac:dyDescent="0.25">
      <c r="A255" s="52"/>
      <c r="B255" s="242" t="str">
        <f t="shared" si="273"/>
        <v>Large C&amp;I</v>
      </c>
      <c r="C255" s="243" t="str">
        <f>C254</f>
        <v>Sales</v>
      </c>
      <c r="D255" s="77" t="s">
        <v>17</v>
      </c>
      <c r="E255" s="76"/>
      <c r="F255" s="76"/>
      <c r="G255" s="468"/>
      <c r="H255" s="468"/>
      <c r="I255" s="468"/>
      <c r="J255" s="468"/>
      <c r="K255" s="468"/>
      <c r="L255" s="468"/>
      <c r="M255" s="468"/>
      <c r="N255" s="468"/>
      <c r="O255" s="468"/>
      <c r="P255" s="468"/>
      <c r="Q255" s="468"/>
      <c r="R255" s="468"/>
      <c r="S255" s="468"/>
      <c r="T255" s="468"/>
      <c r="U255" s="468"/>
      <c r="V255" s="468"/>
      <c r="W255" s="468"/>
      <c r="X255" s="468"/>
      <c r="Y255" s="468"/>
      <c r="Z255" s="468"/>
      <c r="AA255" s="468"/>
      <c r="AB255" s="468"/>
      <c r="AC255" s="468"/>
      <c r="AD255" s="468"/>
      <c r="AE255" s="468"/>
      <c r="AF255" s="468"/>
      <c r="AG255" s="468"/>
      <c r="AH255" s="48"/>
      <c r="AI255" s="235"/>
      <c r="AJ255" s="48"/>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S255" s="76"/>
      <c r="BT255" s="51" t="s">
        <v>17</v>
      </c>
    </row>
    <row r="256" spans="1:72" s="5" customFormat="1" ht="15.75" x14ac:dyDescent="0.25">
      <c r="A256" s="52"/>
      <c r="B256" s="241" t="str">
        <f t="shared" si="273"/>
        <v>Large C&amp;I</v>
      </c>
      <c r="C256" s="63" t="s">
        <v>124</v>
      </c>
      <c r="D256" s="61"/>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2"/>
      <c r="BO256" s="62"/>
      <c r="BP256" s="62"/>
      <c r="BS256" s="62"/>
      <c r="BT256" s="51" t="s">
        <v>17</v>
      </c>
    </row>
    <row r="257" spans="1:72" x14ac:dyDescent="0.25">
      <c r="B257" s="243" t="str">
        <f t="shared" si="273"/>
        <v>Large C&amp;I</v>
      </c>
      <c r="C257" s="243" t="str">
        <f t="shared" si="273"/>
        <v>Revenue Requirements</v>
      </c>
      <c r="D257" s="114" t="str">
        <f>"Revenue Requirement before DSM ("&amp;Lookups!$D$22&amp;" Scenario)"</f>
        <v>Revenue Requirement before DSM (No EE Scenario)</v>
      </c>
      <c r="E257" s="84"/>
      <c r="F257" s="84"/>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S257" s="84"/>
      <c r="BT257" s="51" t="s">
        <v>17</v>
      </c>
    </row>
    <row r="258" spans="1:72" x14ac:dyDescent="0.25">
      <c r="B258" s="243" t="str">
        <f t="shared" si="273"/>
        <v>Large C&amp;I</v>
      </c>
      <c r="C258" s="243" t="str">
        <f t="shared" si="273"/>
        <v>Revenue Requirements</v>
      </c>
      <c r="D258" s="244" t="str">
        <f>D257</f>
        <v>Revenue Requirement before DSM (No EE Scenario)</v>
      </c>
      <c r="E258" s="84" t="s">
        <v>26</v>
      </c>
      <c r="F258" s="84" t="s">
        <v>32</v>
      </c>
      <c r="G258" s="65">
        <f>G275*G252</f>
        <v>0</v>
      </c>
      <c r="H258" s="65">
        <f t="shared" ref="H258:AG258" si="278">H275*H252</f>
        <v>0</v>
      </c>
      <c r="I258" s="65">
        <f t="shared" si="278"/>
        <v>1330208.1466124975</v>
      </c>
      <c r="J258" s="65">
        <f t="shared" si="278"/>
        <v>1330208.1466124975</v>
      </c>
      <c r="K258" s="65">
        <f t="shared" si="278"/>
        <v>1330208.1466124975</v>
      </c>
      <c r="L258" s="65">
        <f t="shared" si="278"/>
        <v>1330208.1466124975</v>
      </c>
      <c r="M258" s="65">
        <f t="shared" si="278"/>
        <v>1330208.1466124975</v>
      </c>
      <c r="N258" s="65">
        <f t="shared" si="278"/>
        <v>1330208.1466124975</v>
      </c>
      <c r="O258" s="65">
        <f t="shared" si="278"/>
        <v>1330208.1466124975</v>
      </c>
      <c r="P258" s="65">
        <f t="shared" si="278"/>
        <v>1330208.1466124975</v>
      </c>
      <c r="Q258" s="65">
        <f t="shared" si="278"/>
        <v>1330208.1466124975</v>
      </c>
      <c r="R258" s="65">
        <f t="shared" si="278"/>
        <v>1330208.1466124975</v>
      </c>
      <c r="S258" s="65">
        <f t="shared" si="278"/>
        <v>1330208.1466124975</v>
      </c>
      <c r="T258" s="65">
        <f t="shared" si="278"/>
        <v>1330208.1466124975</v>
      </c>
      <c r="U258" s="65">
        <f t="shared" si="278"/>
        <v>1330208.1466124975</v>
      </c>
      <c r="V258" s="65">
        <f t="shared" si="278"/>
        <v>1330208.1466124975</v>
      </c>
      <c r="W258" s="65">
        <f t="shared" si="278"/>
        <v>1330208.1466124975</v>
      </c>
      <c r="X258" s="65">
        <f t="shared" si="278"/>
        <v>1330208.1466124975</v>
      </c>
      <c r="Y258" s="65">
        <f t="shared" si="278"/>
        <v>1330208.1466124975</v>
      </c>
      <c r="Z258" s="65">
        <f t="shared" si="278"/>
        <v>1330208.1466124975</v>
      </c>
      <c r="AA258" s="65">
        <f t="shared" si="278"/>
        <v>1330208.1466124975</v>
      </c>
      <c r="AB258" s="65">
        <f t="shared" si="278"/>
        <v>1330208.1466124975</v>
      </c>
      <c r="AC258" s="65">
        <f t="shared" si="278"/>
        <v>1330208.1466124975</v>
      </c>
      <c r="AD258" s="65">
        <f t="shared" si="278"/>
        <v>1330208.1466124975</v>
      </c>
      <c r="AE258" s="65">
        <f t="shared" si="278"/>
        <v>1330208.1466124975</v>
      </c>
      <c r="AF258" s="65">
        <f t="shared" si="278"/>
        <v>1330208.1466124975</v>
      </c>
      <c r="AG258" s="65">
        <f t="shared" si="278"/>
        <v>1330208.1466124975</v>
      </c>
      <c r="AH258" s="65"/>
      <c r="AI258" s="65">
        <f>NPV(Lookups!$E$17,G258:AG258)</f>
        <v>27076365.295164563</v>
      </c>
      <c r="AJ258" s="65"/>
      <c r="AM258" s="72">
        <f>AM275*AM252</f>
        <v>0</v>
      </c>
      <c r="AN258" s="72">
        <f t="shared" ref="AN258:BM258" si="279">AN275*AN252</f>
        <v>0</v>
      </c>
      <c r="AO258" s="72">
        <f t="shared" si="279"/>
        <v>1330208.1466124975</v>
      </c>
      <c r="AP258" s="72">
        <f t="shared" si="279"/>
        <v>1330208.1466124975</v>
      </c>
      <c r="AQ258" s="72">
        <f t="shared" si="279"/>
        <v>1330208.1466124975</v>
      </c>
      <c r="AR258" s="72">
        <f t="shared" si="279"/>
        <v>1330208.1466124975</v>
      </c>
      <c r="AS258" s="72">
        <f t="shared" si="279"/>
        <v>1330208.1466124975</v>
      </c>
      <c r="AT258" s="72">
        <f t="shared" si="279"/>
        <v>1330208.1466124975</v>
      </c>
      <c r="AU258" s="72">
        <f t="shared" si="279"/>
        <v>1330208.1466124975</v>
      </c>
      <c r="AV258" s="72">
        <f t="shared" si="279"/>
        <v>1330208.1466124975</v>
      </c>
      <c r="AW258" s="72">
        <f t="shared" si="279"/>
        <v>1330208.1466124975</v>
      </c>
      <c r="AX258" s="72">
        <f t="shared" si="279"/>
        <v>1330208.1466124975</v>
      </c>
      <c r="AY258" s="72">
        <f t="shared" si="279"/>
        <v>1330208.1466124975</v>
      </c>
      <c r="AZ258" s="72">
        <f t="shared" si="279"/>
        <v>1330208.1466124975</v>
      </c>
      <c r="BA258" s="72">
        <f t="shared" si="279"/>
        <v>1330208.1466124975</v>
      </c>
      <c r="BB258" s="72">
        <f t="shared" si="279"/>
        <v>1330208.1466124975</v>
      </c>
      <c r="BC258" s="72">
        <f t="shared" si="279"/>
        <v>1330208.1466124975</v>
      </c>
      <c r="BD258" s="72">
        <f t="shared" si="279"/>
        <v>1330208.1466124975</v>
      </c>
      <c r="BE258" s="72">
        <f t="shared" si="279"/>
        <v>1330208.1466124975</v>
      </c>
      <c r="BF258" s="72">
        <f t="shared" si="279"/>
        <v>1330208.1466124975</v>
      </c>
      <c r="BG258" s="72">
        <f t="shared" si="279"/>
        <v>1330208.1466124975</v>
      </c>
      <c r="BH258" s="72">
        <f t="shared" si="279"/>
        <v>1330208.1466124975</v>
      </c>
      <c r="BI258" s="72">
        <f t="shared" si="279"/>
        <v>1330208.1466124975</v>
      </c>
      <c r="BJ258" s="72">
        <f t="shared" si="279"/>
        <v>1330208.1466124975</v>
      </c>
      <c r="BK258" s="72">
        <f t="shared" si="279"/>
        <v>1330208.1466124975</v>
      </c>
      <c r="BL258" s="72">
        <f t="shared" si="279"/>
        <v>1330208.1466124975</v>
      </c>
      <c r="BM258" s="72">
        <f t="shared" si="279"/>
        <v>1330208.1466124975</v>
      </c>
      <c r="BN258" s="72"/>
      <c r="BO258" s="72">
        <f>NPV(Lookups!$E$17,AM258:BM258)</f>
        <v>27076365.295164563</v>
      </c>
      <c r="BP258" s="72"/>
      <c r="BS258" s="84" t="str">
        <f>"No EE Scenario "&amp;E258&amp;" rate multiplied by No EE Scenario sales."</f>
        <v>No EE Scenario Distribution rate multiplied by No EE Scenario sales.</v>
      </c>
      <c r="BT258" s="51" t="s">
        <v>17</v>
      </c>
    </row>
    <row r="259" spans="1:72" x14ac:dyDescent="0.25">
      <c r="B259" s="243" t="str">
        <f t="shared" si="273"/>
        <v>Large C&amp;I</v>
      </c>
      <c r="C259" s="243" t="str">
        <f t="shared" si="273"/>
        <v>Revenue Requirements</v>
      </c>
      <c r="D259" s="244" t="str">
        <f>D258</f>
        <v>Revenue Requirement before DSM (No EE Scenario)</v>
      </c>
      <c r="E259" s="84" t="s">
        <v>407</v>
      </c>
      <c r="F259" s="84" t="s">
        <v>32</v>
      </c>
      <c r="G259" s="65">
        <f>G276*G252</f>
        <v>0</v>
      </c>
      <c r="H259" s="65">
        <f t="shared" ref="H259:AG259" si="280">H276*H252</f>
        <v>0</v>
      </c>
      <c r="I259" s="65">
        <f t="shared" si="280"/>
        <v>58569.706709441074</v>
      </c>
      <c r="J259" s="65">
        <f t="shared" si="280"/>
        <v>58569.706709441074</v>
      </c>
      <c r="K259" s="65">
        <f t="shared" si="280"/>
        <v>58569.706709441074</v>
      </c>
      <c r="L259" s="65">
        <f t="shared" si="280"/>
        <v>58569.706709441074</v>
      </c>
      <c r="M259" s="65">
        <f t="shared" si="280"/>
        <v>58569.706709441074</v>
      </c>
      <c r="N259" s="65">
        <f t="shared" si="280"/>
        <v>58569.706709441074</v>
      </c>
      <c r="O259" s="65">
        <f t="shared" si="280"/>
        <v>58569.706709441074</v>
      </c>
      <c r="P259" s="65">
        <f t="shared" si="280"/>
        <v>58569.706709441074</v>
      </c>
      <c r="Q259" s="65">
        <f t="shared" si="280"/>
        <v>58569.706709441074</v>
      </c>
      <c r="R259" s="65">
        <f t="shared" si="280"/>
        <v>58569.706709441074</v>
      </c>
      <c r="S259" s="65">
        <f t="shared" si="280"/>
        <v>58569.706709441074</v>
      </c>
      <c r="T259" s="65">
        <f t="shared" si="280"/>
        <v>58569.706709441074</v>
      </c>
      <c r="U259" s="65">
        <f t="shared" si="280"/>
        <v>58569.706709441074</v>
      </c>
      <c r="V259" s="65">
        <f t="shared" si="280"/>
        <v>58569.706709441074</v>
      </c>
      <c r="W259" s="65">
        <f t="shared" si="280"/>
        <v>58569.706709441074</v>
      </c>
      <c r="X259" s="65">
        <f t="shared" si="280"/>
        <v>58569.706709441074</v>
      </c>
      <c r="Y259" s="65">
        <f t="shared" si="280"/>
        <v>58569.706709441074</v>
      </c>
      <c r="Z259" s="65">
        <f t="shared" si="280"/>
        <v>58569.706709441074</v>
      </c>
      <c r="AA259" s="65">
        <f t="shared" si="280"/>
        <v>58569.706709441074</v>
      </c>
      <c r="AB259" s="65">
        <f t="shared" si="280"/>
        <v>58569.706709441074</v>
      </c>
      <c r="AC259" s="65">
        <f t="shared" si="280"/>
        <v>58569.706709441074</v>
      </c>
      <c r="AD259" s="65">
        <f t="shared" si="280"/>
        <v>58569.706709441074</v>
      </c>
      <c r="AE259" s="65">
        <f t="shared" si="280"/>
        <v>58569.706709441074</v>
      </c>
      <c r="AF259" s="65">
        <f t="shared" si="280"/>
        <v>58569.706709441074</v>
      </c>
      <c r="AG259" s="65">
        <f t="shared" si="280"/>
        <v>58569.706709441074</v>
      </c>
      <c r="AH259" s="65"/>
      <c r="AI259" s="65">
        <f>NPV(Lookups!$E$17,G259:AG259)</f>
        <v>1192185.4321325643</v>
      </c>
      <c r="AJ259" s="65"/>
      <c r="AM259" s="72">
        <f>AM276*AM252</f>
        <v>0</v>
      </c>
      <c r="AN259" s="72">
        <f t="shared" ref="AN259:BM259" si="281">AN276*AN252</f>
        <v>0</v>
      </c>
      <c r="AO259" s="72">
        <f t="shared" si="281"/>
        <v>58569.706709441074</v>
      </c>
      <c r="AP259" s="72">
        <f t="shared" si="281"/>
        <v>58569.706709441074</v>
      </c>
      <c r="AQ259" s="72">
        <f t="shared" si="281"/>
        <v>58569.706709441074</v>
      </c>
      <c r="AR259" s="72">
        <f t="shared" si="281"/>
        <v>58569.706709441074</v>
      </c>
      <c r="AS259" s="72">
        <f t="shared" si="281"/>
        <v>58569.706709441074</v>
      </c>
      <c r="AT259" s="72">
        <f t="shared" si="281"/>
        <v>58569.706709441074</v>
      </c>
      <c r="AU259" s="72">
        <f t="shared" si="281"/>
        <v>58569.706709441074</v>
      </c>
      <c r="AV259" s="72">
        <f t="shared" si="281"/>
        <v>58569.706709441074</v>
      </c>
      <c r="AW259" s="72">
        <f t="shared" si="281"/>
        <v>58569.706709441074</v>
      </c>
      <c r="AX259" s="72">
        <f t="shared" si="281"/>
        <v>58569.706709441074</v>
      </c>
      <c r="AY259" s="72">
        <f t="shared" si="281"/>
        <v>58569.706709441074</v>
      </c>
      <c r="AZ259" s="72">
        <f t="shared" si="281"/>
        <v>58569.706709441074</v>
      </c>
      <c r="BA259" s="72">
        <f t="shared" si="281"/>
        <v>58569.706709441074</v>
      </c>
      <c r="BB259" s="72">
        <f t="shared" si="281"/>
        <v>58569.706709441074</v>
      </c>
      <c r="BC259" s="72">
        <f t="shared" si="281"/>
        <v>58569.706709441074</v>
      </c>
      <c r="BD259" s="72">
        <f t="shared" si="281"/>
        <v>58569.706709441074</v>
      </c>
      <c r="BE259" s="72">
        <f t="shared" si="281"/>
        <v>58569.706709441074</v>
      </c>
      <c r="BF259" s="72">
        <f t="shared" si="281"/>
        <v>58569.706709441074</v>
      </c>
      <c r="BG259" s="72">
        <f t="shared" si="281"/>
        <v>58569.706709441074</v>
      </c>
      <c r="BH259" s="72">
        <f t="shared" si="281"/>
        <v>58569.706709441074</v>
      </c>
      <c r="BI259" s="72">
        <f t="shared" si="281"/>
        <v>58569.706709441074</v>
      </c>
      <c r="BJ259" s="72">
        <f t="shared" si="281"/>
        <v>58569.706709441074</v>
      </c>
      <c r="BK259" s="72">
        <f t="shared" si="281"/>
        <v>58569.706709441074</v>
      </c>
      <c r="BL259" s="72">
        <f t="shared" si="281"/>
        <v>58569.706709441074</v>
      </c>
      <c r="BM259" s="72">
        <f t="shared" si="281"/>
        <v>58569.706709441074</v>
      </c>
      <c r="BN259" s="72"/>
      <c r="BO259" s="72">
        <f>NPV(Lookups!$E$17,AM259:BM259)</f>
        <v>1192185.4321325643</v>
      </c>
      <c r="BP259" s="72"/>
      <c r="BS259" s="84" t="str">
        <f>"No EE Scenario "&amp;E259&amp;" rate multiplied by No EE Scenario sales."</f>
        <v>No EE Scenario LDAC, Non-EE rate multiplied by No EE Scenario sales.</v>
      </c>
      <c r="BT259" s="51" t="s">
        <v>17</v>
      </c>
    </row>
    <row r="260" spans="1:72" x14ac:dyDescent="0.25">
      <c r="A260" s="1"/>
      <c r="B260" s="243" t="str">
        <f>B258</f>
        <v>Large C&amp;I</v>
      </c>
      <c r="C260" s="243" t="str">
        <f>C258</f>
        <v>Revenue Requirements</v>
      </c>
      <c r="D260" s="244" t="str">
        <f>D258</f>
        <v>Revenue Requirement before DSM (No EE Scenario)</v>
      </c>
      <c r="E260" s="84" t="s">
        <v>197</v>
      </c>
      <c r="F260" s="84" t="s">
        <v>32</v>
      </c>
      <c r="G260" s="65">
        <f>G277*G252</f>
        <v>0</v>
      </c>
      <c r="H260" s="65">
        <f t="shared" ref="H260:AG260" si="282">H277*H252</f>
        <v>0</v>
      </c>
      <c r="I260" s="65">
        <f t="shared" si="282"/>
        <v>6972047.7794507705</v>
      </c>
      <c r="J260" s="65">
        <f t="shared" si="282"/>
        <v>6972047.7794507705</v>
      </c>
      <c r="K260" s="65">
        <f t="shared" si="282"/>
        <v>6972047.7794507705</v>
      </c>
      <c r="L260" s="65">
        <f t="shared" si="282"/>
        <v>6972047.7794507705</v>
      </c>
      <c r="M260" s="65">
        <f t="shared" si="282"/>
        <v>6972047.7794507705</v>
      </c>
      <c r="N260" s="65">
        <f t="shared" si="282"/>
        <v>6972047.7794507705</v>
      </c>
      <c r="O260" s="65">
        <f t="shared" si="282"/>
        <v>6972047.7794507705</v>
      </c>
      <c r="P260" s="65">
        <f t="shared" si="282"/>
        <v>6972047.7794507705</v>
      </c>
      <c r="Q260" s="65">
        <f t="shared" si="282"/>
        <v>6972047.7794507705</v>
      </c>
      <c r="R260" s="65">
        <f t="shared" si="282"/>
        <v>6972047.7794507705</v>
      </c>
      <c r="S260" s="65">
        <f t="shared" si="282"/>
        <v>6972047.7794507705</v>
      </c>
      <c r="T260" s="65">
        <f t="shared" si="282"/>
        <v>6972047.7794507705</v>
      </c>
      <c r="U260" s="65">
        <f t="shared" si="282"/>
        <v>6972047.7794507705</v>
      </c>
      <c r="V260" s="65">
        <f t="shared" si="282"/>
        <v>6972047.7794507705</v>
      </c>
      <c r="W260" s="65">
        <f t="shared" si="282"/>
        <v>6972047.7794507705</v>
      </c>
      <c r="X260" s="65">
        <f t="shared" si="282"/>
        <v>6972047.7794507705</v>
      </c>
      <c r="Y260" s="65">
        <f t="shared" si="282"/>
        <v>6972047.7794507705</v>
      </c>
      <c r="Z260" s="65">
        <f t="shared" si="282"/>
        <v>6972047.7794507705</v>
      </c>
      <c r="AA260" s="65">
        <f t="shared" si="282"/>
        <v>6972047.7794507705</v>
      </c>
      <c r="AB260" s="65">
        <f t="shared" si="282"/>
        <v>6972047.7794507705</v>
      </c>
      <c r="AC260" s="65">
        <f t="shared" si="282"/>
        <v>6972047.7794507705</v>
      </c>
      <c r="AD260" s="65">
        <f t="shared" si="282"/>
        <v>6972047.7794507705</v>
      </c>
      <c r="AE260" s="65">
        <f t="shared" si="282"/>
        <v>6972047.7794507705</v>
      </c>
      <c r="AF260" s="65">
        <f t="shared" si="282"/>
        <v>6972047.7794507705</v>
      </c>
      <c r="AG260" s="65">
        <f t="shared" si="282"/>
        <v>6972047.7794507705</v>
      </c>
      <c r="AH260" s="65"/>
      <c r="AI260" s="65">
        <f>NPV(Lookups!$E$17,G260:AG260)</f>
        <v>141915919.70962635</v>
      </c>
      <c r="AJ260" s="65"/>
      <c r="AM260" s="72">
        <f>AM277*AM252</f>
        <v>0</v>
      </c>
      <c r="AN260" s="72">
        <f t="shared" ref="AN260:BM260" si="283">AN277*AN252</f>
        <v>0</v>
      </c>
      <c r="AO260" s="72">
        <f t="shared" si="283"/>
        <v>6972047.7794507705</v>
      </c>
      <c r="AP260" s="72">
        <f t="shared" si="283"/>
        <v>6972047.7794507705</v>
      </c>
      <c r="AQ260" s="72">
        <f t="shared" si="283"/>
        <v>6972047.7794507705</v>
      </c>
      <c r="AR260" s="72">
        <f t="shared" si="283"/>
        <v>6972047.7794507705</v>
      </c>
      <c r="AS260" s="72">
        <f t="shared" si="283"/>
        <v>6972047.7794507705</v>
      </c>
      <c r="AT260" s="72">
        <f t="shared" si="283"/>
        <v>6972047.7794507705</v>
      </c>
      <c r="AU260" s="72">
        <f t="shared" si="283"/>
        <v>6972047.7794507705</v>
      </c>
      <c r="AV260" s="72">
        <f t="shared" si="283"/>
        <v>6972047.7794507705</v>
      </c>
      <c r="AW260" s="72">
        <f t="shared" si="283"/>
        <v>6972047.7794507705</v>
      </c>
      <c r="AX260" s="72">
        <f t="shared" si="283"/>
        <v>6972047.7794507705</v>
      </c>
      <c r="AY260" s="72">
        <f t="shared" si="283"/>
        <v>6972047.7794507705</v>
      </c>
      <c r="AZ260" s="72">
        <f t="shared" si="283"/>
        <v>6972047.7794507705</v>
      </c>
      <c r="BA260" s="72">
        <f t="shared" si="283"/>
        <v>6972047.7794507705</v>
      </c>
      <c r="BB260" s="72">
        <f t="shared" si="283"/>
        <v>6972047.7794507705</v>
      </c>
      <c r="BC260" s="72">
        <f t="shared" si="283"/>
        <v>6972047.7794507705</v>
      </c>
      <c r="BD260" s="72">
        <f t="shared" si="283"/>
        <v>6972047.7794507705</v>
      </c>
      <c r="BE260" s="72">
        <f t="shared" si="283"/>
        <v>6972047.7794507705</v>
      </c>
      <c r="BF260" s="72">
        <f t="shared" si="283"/>
        <v>6972047.7794507705</v>
      </c>
      <c r="BG260" s="72">
        <f t="shared" si="283"/>
        <v>6972047.7794507705</v>
      </c>
      <c r="BH260" s="72">
        <f t="shared" si="283"/>
        <v>6972047.7794507705</v>
      </c>
      <c r="BI260" s="72">
        <f t="shared" si="283"/>
        <v>6972047.7794507705</v>
      </c>
      <c r="BJ260" s="72">
        <f t="shared" si="283"/>
        <v>6972047.7794507705</v>
      </c>
      <c r="BK260" s="72">
        <f t="shared" si="283"/>
        <v>6972047.7794507705</v>
      </c>
      <c r="BL260" s="72">
        <f t="shared" si="283"/>
        <v>6972047.7794507705</v>
      </c>
      <c r="BM260" s="72">
        <f t="shared" si="283"/>
        <v>6972047.7794507705</v>
      </c>
      <c r="BN260" s="72"/>
      <c r="BO260" s="72">
        <f>NPV(Lookups!$E$17,AM260:BM260)</f>
        <v>141915919.70962635</v>
      </c>
      <c r="BP260" s="72"/>
      <c r="BS260" s="84" t="str">
        <f>"No EE Scenario "&amp;E260&amp;" rate multiplied by No EE Scenario sales."</f>
        <v>No EE Scenario Cost of Gas rate multiplied by No EE Scenario sales.</v>
      </c>
      <c r="BT260" s="51" t="s">
        <v>17</v>
      </c>
    </row>
    <row r="261" spans="1:72" x14ac:dyDescent="0.25">
      <c r="B261" s="243" t="str">
        <f t="shared" ref="B261:C263" si="284">B260</f>
        <v>Large C&amp;I</v>
      </c>
      <c r="C261" s="243" t="str">
        <f t="shared" si="284"/>
        <v>Revenue Requirements</v>
      </c>
      <c r="D261" s="114" t="s">
        <v>24</v>
      </c>
      <c r="E261" s="84"/>
      <c r="F261" s="84"/>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S261" s="84"/>
      <c r="BT261" s="51" t="s">
        <v>17</v>
      </c>
    </row>
    <row r="262" spans="1:72" x14ac:dyDescent="0.25">
      <c r="A262" s="246"/>
      <c r="B262" s="243" t="str">
        <f t="shared" si="284"/>
        <v>Large C&amp;I</v>
      </c>
      <c r="C262" s="243" t="str">
        <f t="shared" si="284"/>
        <v>Revenue Requirements</v>
      </c>
      <c r="D262" s="244" t="str">
        <f>D261</f>
        <v>Avoided Costs</v>
      </c>
      <c r="E262" s="84" t="s">
        <v>45</v>
      </c>
      <c r="F262" s="84" t="s">
        <v>32</v>
      </c>
      <c r="G262" s="65">
        <f ca="1">IF($C$4=Lookups!$D$40,SUM(INDIRECT("'Yr1'!"&amp;ADDRESS(ROW(G262),COLUMN(G262))),INDIRECT("'Yr2'!"&amp;ADDRESS(ROW(G262),COLUMN(G262))),INDIRECT("'Yr3'!"&amp;ADDRESS(ROW(G262),COLUMN(G262)))),
IF(G249=0,0,-PMT(INDEX(Lookups!$E$17:$G$17,MATCH($C$4,Lookups!$E$14:$G$14,0)),G249,SUMIFS('EE Inputs'!$J$9:$J$32,'EE Inputs'!$C$9:$C$32,$G$6,'EE Inputs'!$D$9:$D$32,$C$4,'EE Inputs'!$E$9:$E$32,$B262),0,1)))-G263</f>
        <v>0</v>
      </c>
      <c r="H262" s="65">
        <f ca="1">IF($C$4=Lookups!$D$40,SUM(INDIRECT("'Yr1'!"&amp;ADDRESS(ROW(H262),COLUMN(H262))),INDIRECT("'Yr2'!"&amp;ADDRESS(ROW(H262),COLUMN(H262))),INDIRECT("'Yr3'!"&amp;ADDRESS(ROW(H262),COLUMN(H262)))),
IF(H249=0,0,-PMT(INDEX(Lookups!$E$17:$G$17,MATCH($C$4,Lookups!$E$14:$G$14,0)),H249,SUMIFS('EE Inputs'!$J$9:$J$32,'EE Inputs'!$C$9:$C$32,$G$6,'EE Inputs'!$D$9:$D$32,$C$4,'EE Inputs'!$E$9:$E$32,$B262),0,1)))-H263</f>
        <v>0</v>
      </c>
      <c r="I262" s="65">
        <f ca="1">IF($C$4=Lookups!$D$40,SUM(INDIRECT("'Yr1'!"&amp;ADDRESS(ROW(I262),COLUMN(I262))),INDIRECT("'Yr2'!"&amp;ADDRESS(ROW(I262),COLUMN(I262))),INDIRECT("'Yr3'!"&amp;ADDRESS(ROW(I262),COLUMN(I262)))),
IF(I249=0,0,-PMT(INDEX(Lookups!$E$17:$G$17,MATCH($C$4,Lookups!$E$14:$G$14,0)),I249,SUMIFS('EE Inputs'!$J$9:$J$32,'EE Inputs'!$C$9:$C$32,$G$6,'EE Inputs'!$D$9:$D$32,$C$4,'EE Inputs'!$E$9:$E$32,$B262),0,1)))-I263</f>
        <v>691140.698518057</v>
      </c>
      <c r="J262" s="65">
        <f ca="1">IF($C$4=Lookups!$D$40,SUM(INDIRECT("'Yr1'!"&amp;ADDRESS(ROW(J262),COLUMN(J262))),INDIRECT("'Yr2'!"&amp;ADDRESS(ROW(J262),COLUMN(J262))),INDIRECT("'Yr3'!"&amp;ADDRESS(ROW(J262),COLUMN(J262)))),
IF(J249=0,0,-PMT(INDEX(Lookups!$E$17:$G$17,MATCH($C$4,Lookups!$E$14:$G$14,0)),J249,SUMIFS('EE Inputs'!$J$9:$J$32,'EE Inputs'!$C$9:$C$32,$G$6,'EE Inputs'!$D$9:$D$32,$C$4,'EE Inputs'!$E$9:$E$32,$B262),0,1)))-J263</f>
        <v>691140.698518057</v>
      </c>
      <c r="K262" s="65">
        <f ca="1">IF($C$4=Lookups!$D$40,SUM(INDIRECT("'Yr1'!"&amp;ADDRESS(ROW(K262),COLUMN(K262))),INDIRECT("'Yr2'!"&amp;ADDRESS(ROW(K262),COLUMN(K262))),INDIRECT("'Yr3'!"&amp;ADDRESS(ROW(K262),COLUMN(K262)))),
IF(K249=0,0,-PMT(INDEX(Lookups!$E$17:$G$17,MATCH($C$4,Lookups!$E$14:$G$14,0)),K249,SUMIFS('EE Inputs'!$J$9:$J$32,'EE Inputs'!$C$9:$C$32,$G$6,'EE Inputs'!$D$9:$D$32,$C$4,'EE Inputs'!$E$9:$E$32,$B262),0,1)))-K263</f>
        <v>691140.698518057</v>
      </c>
      <c r="L262" s="65">
        <f ca="1">IF($C$4=Lookups!$D$40,SUM(INDIRECT("'Yr1'!"&amp;ADDRESS(ROW(L262),COLUMN(L262))),INDIRECT("'Yr2'!"&amp;ADDRESS(ROW(L262),COLUMN(L262))),INDIRECT("'Yr3'!"&amp;ADDRESS(ROW(L262),COLUMN(L262)))),
IF(L249=0,0,-PMT(INDEX(Lookups!$E$17:$G$17,MATCH($C$4,Lookups!$E$14:$G$14,0)),L249,SUMIFS('EE Inputs'!$J$9:$J$32,'EE Inputs'!$C$9:$C$32,$G$6,'EE Inputs'!$D$9:$D$32,$C$4,'EE Inputs'!$E$9:$E$32,$B262),0,1)))-L263</f>
        <v>691140.698518057</v>
      </c>
      <c r="M262" s="65">
        <f ca="1">IF($C$4=Lookups!$D$40,SUM(INDIRECT("'Yr1'!"&amp;ADDRESS(ROW(M262),COLUMN(M262))),INDIRECT("'Yr2'!"&amp;ADDRESS(ROW(M262),COLUMN(M262))),INDIRECT("'Yr3'!"&amp;ADDRESS(ROW(M262),COLUMN(M262)))),
IF(M249=0,0,-PMT(INDEX(Lookups!$E$17:$G$17,MATCH($C$4,Lookups!$E$14:$G$14,0)),M249,SUMIFS('EE Inputs'!$J$9:$J$32,'EE Inputs'!$C$9:$C$32,$G$6,'EE Inputs'!$D$9:$D$32,$C$4,'EE Inputs'!$E$9:$E$32,$B262),0,1)))-M263</f>
        <v>691140.698518057</v>
      </c>
      <c r="N262" s="65">
        <f ca="1">IF($C$4=Lookups!$D$40,SUM(INDIRECT("'Yr1'!"&amp;ADDRESS(ROW(N262),COLUMN(N262))),INDIRECT("'Yr2'!"&amp;ADDRESS(ROW(N262),COLUMN(N262))),INDIRECT("'Yr3'!"&amp;ADDRESS(ROW(N262),COLUMN(N262)))),
IF(N249=0,0,-PMT(INDEX(Lookups!$E$17:$G$17,MATCH($C$4,Lookups!$E$14:$G$14,0)),N249,SUMIFS('EE Inputs'!$J$9:$J$32,'EE Inputs'!$C$9:$C$32,$G$6,'EE Inputs'!$D$9:$D$32,$C$4,'EE Inputs'!$E$9:$E$32,$B262),0,1)))-N263</f>
        <v>691140.698518057</v>
      </c>
      <c r="O262" s="65">
        <f ca="1">IF($C$4=Lookups!$D$40,SUM(INDIRECT("'Yr1'!"&amp;ADDRESS(ROW(O262),COLUMN(O262))),INDIRECT("'Yr2'!"&amp;ADDRESS(ROW(O262),COLUMN(O262))),INDIRECT("'Yr3'!"&amp;ADDRESS(ROW(O262),COLUMN(O262)))),
IF(O249=0,0,-PMT(INDEX(Lookups!$E$17:$G$17,MATCH($C$4,Lookups!$E$14:$G$14,0)),O249,SUMIFS('EE Inputs'!$J$9:$J$32,'EE Inputs'!$C$9:$C$32,$G$6,'EE Inputs'!$D$9:$D$32,$C$4,'EE Inputs'!$E$9:$E$32,$B262),0,1)))-O263</f>
        <v>691140.698518057</v>
      </c>
      <c r="P262" s="65">
        <f ca="1">IF($C$4=Lookups!$D$40,SUM(INDIRECT("'Yr1'!"&amp;ADDRESS(ROW(P262),COLUMN(P262))),INDIRECT("'Yr2'!"&amp;ADDRESS(ROW(P262),COLUMN(P262))),INDIRECT("'Yr3'!"&amp;ADDRESS(ROW(P262),COLUMN(P262)))),
IF(P249=0,0,-PMT(INDEX(Lookups!$E$17:$G$17,MATCH($C$4,Lookups!$E$14:$G$14,0)),P249,SUMIFS('EE Inputs'!$J$9:$J$32,'EE Inputs'!$C$9:$C$32,$G$6,'EE Inputs'!$D$9:$D$32,$C$4,'EE Inputs'!$E$9:$E$32,$B262),0,1)))-P263</f>
        <v>691140.698518057</v>
      </c>
      <c r="Q262" s="65">
        <f ca="1">IF($C$4=Lookups!$D$40,SUM(INDIRECT("'Yr1'!"&amp;ADDRESS(ROW(Q262),COLUMN(Q262))),INDIRECT("'Yr2'!"&amp;ADDRESS(ROW(Q262),COLUMN(Q262))),INDIRECT("'Yr3'!"&amp;ADDRESS(ROW(Q262),COLUMN(Q262)))),
IF(Q249=0,0,-PMT(INDEX(Lookups!$E$17:$G$17,MATCH($C$4,Lookups!$E$14:$G$14,0)),Q249,SUMIFS('EE Inputs'!$J$9:$J$32,'EE Inputs'!$C$9:$C$32,$G$6,'EE Inputs'!$D$9:$D$32,$C$4,'EE Inputs'!$E$9:$E$32,$B262),0,1)))-Q263</f>
        <v>691140.698518057</v>
      </c>
      <c r="R262" s="65">
        <f ca="1">IF($C$4=Lookups!$D$40,SUM(INDIRECT("'Yr1'!"&amp;ADDRESS(ROW(R262),COLUMN(R262))),INDIRECT("'Yr2'!"&amp;ADDRESS(ROW(R262),COLUMN(R262))),INDIRECT("'Yr3'!"&amp;ADDRESS(ROW(R262),COLUMN(R262)))),
IF(R249=0,0,-PMT(INDEX(Lookups!$E$17:$G$17,MATCH($C$4,Lookups!$E$14:$G$14,0)),R249,SUMIFS('EE Inputs'!$J$9:$J$32,'EE Inputs'!$C$9:$C$32,$G$6,'EE Inputs'!$D$9:$D$32,$C$4,'EE Inputs'!$E$9:$E$32,$B262),0,1)))-R263</f>
        <v>691140.698518057</v>
      </c>
      <c r="S262" s="65">
        <f ca="1">IF($C$4=Lookups!$D$40,SUM(INDIRECT("'Yr1'!"&amp;ADDRESS(ROW(S262),COLUMN(S262))),INDIRECT("'Yr2'!"&amp;ADDRESS(ROW(S262),COLUMN(S262))),INDIRECT("'Yr3'!"&amp;ADDRESS(ROW(S262),COLUMN(S262)))),
IF(S249=0,0,-PMT(INDEX(Lookups!$E$17:$G$17,MATCH($C$4,Lookups!$E$14:$G$14,0)),S249,SUMIFS('EE Inputs'!$J$9:$J$32,'EE Inputs'!$C$9:$C$32,$G$6,'EE Inputs'!$D$9:$D$32,$C$4,'EE Inputs'!$E$9:$E$32,$B262),0,1)))-S263</f>
        <v>691140.698518057</v>
      </c>
      <c r="T262" s="65">
        <f ca="1">IF($C$4=Lookups!$D$40,SUM(INDIRECT("'Yr1'!"&amp;ADDRESS(ROW(T262),COLUMN(T262))),INDIRECT("'Yr2'!"&amp;ADDRESS(ROW(T262),COLUMN(T262))),INDIRECT("'Yr3'!"&amp;ADDRESS(ROW(T262),COLUMN(T262)))),
IF(T249=0,0,-PMT(INDEX(Lookups!$E$17:$G$17,MATCH($C$4,Lookups!$E$14:$G$14,0)),T249,SUMIFS('EE Inputs'!$J$9:$J$32,'EE Inputs'!$C$9:$C$32,$G$6,'EE Inputs'!$D$9:$D$32,$C$4,'EE Inputs'!$E$9:$E$32,$B262),0,1)))-T263</f>
        <v>691140.698518057</v>
      </c>
      <c r="U262" s="65">
        <f ca="1">IF($C$4=Lookups!$D$40,SUM(INDIRECT("'Yr1'!"&amp;ADDRESS(ROW(U262),COLUMN(U262))),INDIRECT("'Yr2'!"&amp;ADDRESS(ROW(U262),COLUMN(U262))),INDIRECT("'Yr3'!"&amp;ADDRESS(ROW(U262),COLUMN(U262)))),
IF(U249=0,0,-PMT(INDEX(Lookups!$E$17:$G$17,MATCH($C$4,Lookups!$E$14:$G$14,0)),U249,SUMIFS('EE Inputs'!$J$9:$J$32,'EE Inputs'!$C$9:$C$32,$G$6,'EE Inputs'!$D$9:$D$32,$C$4,'EE Inputs'!$E$9:$E$32,$B262),0,1)))-U263</f>
        <v>691140.698518057</v>
      </c>
      <c r="V262" s="65">
        <f ca="1">IF($C$4=Lookups!$D$40,SUM(INDIRECT("'Yr1'!"&amp;ADDRESS(ROW(V262),COLUMN(V262))),INDIRECT("'Yr2'!"&amp;ADDRESS(ROW(V262),COLUMN(V262))),INDIRECT("'Yr3'!"&amp;ADDRESS(ROW(V262),COLUMN(V262)))),
IF(V249=0,0,-PMT(INDEX(Lookups!$E$17:$G$17,MATCH($C$4,Lookups!$E$14:$G$14,0)),V249,SUMIFS('EE Inputs'!$J$9:$J$32,'EE Inputs'!$C$9:$C$32,$G$6,'EE Inputs'!$D$9:$D$32,$C$4,'EE Inputs'!$E$9:$E$32,$B262),0,1)))-V263</f>
        <v>0</v>
      </c>
      <c r="W262" s="65">
        <f ca="1">IF($C$4=Lookups!$D$40,SUM(INDIRECT("'Yr1'!"&amp;ADDRESS(ROW(W262),COLUMN(W262))),INDIRECT("'Yr2'!"&amp;ADDRESS(ROW(W262),COLUMN(W262))),INDIRECT("'Yr3'!"&amp;ADDRESS(ROW(W262),COLUMN(W262)))),
IF(W249=0,0,-PMT(INDEX(Lookups!$E$17:$G$17,MATCH($C$4,Lookups!$E$14:$G$14,0)),W249,SUMIFS('EE Inputs'!$J$9:$J$32,'EE Inputs'!$C$9:$C$32,$G$6,'EE Inputs'!$D$9:$D$32,$C$4,'EE Inputs'!$E$9:$E$32,$B262),0,1)))-W263</f>
        <v>0</v>
      </c>
      <c r="X262" s="65">
        <f ca="1">IF($C$4=Lookups!$D$40,SUM(INDIRECT("'Yr1'!"&amp;ADDRESS(ROW(X262),COLUMN(X262))),INDIRECT("'Yr2'!"&amp;ADDRESS(ROW(X262),COLUMN(X262))),INDIRECT("'Yr3'!"&amp;ADDRESS(ROW(X262),COLUMN(X262)))),
IF(X249=0,0,-PMT(INDEX(Lookups!$E$17:$G$17,MATCH($C$4,Lookups!$E$14:$G$14,0)),X249,SUMIFS('EE Inputs'!$J$9:$J$32,'EE Inputs'!$C$9:$C$32,$G$6,'EE Inputs'!$D$9:$D$32,$C$4,'EE Inputs'!$E$9:$E$32,$B262),0,1)))-X263</f>
        <v>0</v>
      </c>
      <c r="Y262" s="65">
        <f ca="1">IF($C$4=Lookups!$D$40,SUM(INDIRECT("'Yr1'!"&amp;ADDRESS(ROW(Y262),COLUMN(Y262))),INDIRECT("'Yr2'!"&amp;ADDRESS(ROW(Y262),COLUMN(Y262))),INDIRECT("'Yr3'!"&amp;ADDRESS(ROW(Y262),COLUMN(Y262)))),
IF(Y249=0,0,-PMT(INDEX(Lookups!$E$17:$G$17,MATCH($C$4,Lookups!$E$14:$G$14,0)),Y249,SUMIFS('EE Inputs'!$J$9:$J$32,'EE Inputs'!$C$9:$C$32,$G$6,'EE Inputs'!$D$9:$D$32,$C$4,'EE Inputs'!$E$9:$E$32,$B262),0,1)))-Y263</f>
        <v>0</v>
      </c>
      <c r="Z262" s="65">
        <f ca="1">IF($C$4=Lookups!$D$40,SUM(INDIRECT("'Yr1'!"&amp;ADDRESS(ROW(Z262),COLUMN(Z262))),INDIRECT("'Yr2'!"&amp;ADDRESS(ROW(Z262),COLUMN(Z262))),INDIRECT("'Yr3'!"&amp;ADDRESS(ROW(Z262),COLUMN(Z262)))),
IF(Z249=0,0,-PMT(INDEX(Lookups!$E$17:$G$17,MATCH($C$4,Lookups!$E$14:$G$14,0)),Z249,SUMIFS('EE Inputs'!$J$9:$J$32,'EE Inputs'!$C$9:$C$32,$G$6,'EE Inputs'!$D$9:$D$32,$C$4,'EE Inputs'!$E$9:$E$32,$B262),0,1)))-Z263</f>
        <v>0</v>
      </c>
      <c r="AA262" s="65">
        <f ca="1">IF($C$4=Lookups!$D$40,SUM(INDIRECT("'Yr1'!"&amp;ADDRESS(ROW(AA262),COLUMN(AA262))),INDIRECT("'Yr2'!"&amp;ADDRESS(ROW(AA262),COLUMN(AA262))),INDIRECT("'Yr3'!"&amp;ADDRESS(ROW(AA262),COLUMN(AA262)))),
IF(AA249=0,0,-PMT(INDEX(Lookups!$E$17:$G$17,MATCH($C$4,Lookups!$E$14:$G$14,0)),AA249,SUMIFS('EE Inputs'!$J$9:$J$32,'EE Inputs'!$C$9:$C$32,$G$6,'EE Inputs'!$D$9:$D$32,$C$4,'EE Inputs'!$E$9:$E$32,$B262),0,1)))-AA263</f>
        <v>0</v>
      </c>
      <c r="AB262" s="65">
        <f ca="1">IF($C$4=Lookups!$D$40,SUM(INDIRECT("'Yr1'!"&amp;ADDRESS(ROW(AB262),COLUMN(AB262))),INDIRECT("'Yr2'!"&amp;ADDRESS(ROW(AB262),COLUMN(AB262))),INDIRECT("'Yr3'!"&amp;ADDRESS(ROW(AB262),COLUMN(AB262)))),
IF(AB249=0,0,-PMT(INDEX(Lookups!$E$17:$G$17,MATCH($C$4,Lookups!$E$14:$G$14,0)),AB249,SUMIFS('EE Inputs'!$J$9:$J$32,'EE Inputs'!$C$9:$C$32,$G$6,'EE Inputs'!$D$9:$D$32,$C$4,'EE Inputs'!$E$9:$E$32,$B262),0,1)))-AB263</f>
        <v>0</v>
      </c>
      <c r="AC262" s="65">
        <f ca="1">IF($C$4=Lookups!$D$40,SUM(INDIRECT("'Yr1'!"&amp;ADDRESS(ROW(AC262),COLUMN(AC262))),INDIRECT("'Yr2'!"&amp;ADDRESS(ROW(AC262),COLUMN(AC262))),INDIRECT("'Yr3'!"&amp;ADDRESS(ROW(AC262),COLUMN(AC262)))),
IF(AC249=0,0,-PMT(INDEX(Lookups!$E$17:$G$17,MATCH($C$4,Lookups!$E$14:$G$14,0)),AC249,SUMIFS('EE Inputs'!$J$9:$J$32,'EE Inputs'!$C$9:$C$32,$G$6,'EE Inputs'!$D$9:$D$32,$C$4,'EE Inputs'!$E$9:$E$32,$B262),0,1)))-AC263</f>
        <v>0</v>
      </c>
      <c r="AD262" s="65">
        <f ca="1">IF($C$4=Lookups!$D$40,SUM(INDIRECT("'Yr1'!"&amp;ADDRESS(ROW(AD262),COLUMN(AD262))),INDIRECT("'Yr2'!"&amp;ADDRESS(ROW(AD262),COLUMN(AD262))),INDIRECT("'Yr3'!"&amp;ADDRESS(ROW(AD262),COLUMN(AD262)))),
IF(AD249=0,0,-PMT(INDEX(Lookups!$E$17:$G$17,MATCH($C$4,Lookups!$E$14:$G$14,0)),AD249,SUMIFS('EE Inputs'!$J$9:$J$32,'EE Inputs'!$C$9:$C$32,$G$6,'EE Inputs'!$D$9:$D$32,$C$4,'EE Inputs'!$E$9:$E$32,$B262),0,1)))-AD263</f>
        <v>0</v>
      </c>
      <c r="AE262" s="65">
        <f ca="1">IF($C$4=Lookups!$D$40,SUM(INDIRECT("'Yr1'!"&amp;ADDRESS(ROW(AE262),COLUMN(AE262))),INDIRECT("'Yr2'!"&amp;ADDRESS(ROW(AE262),COLUMN(AE262))),INDIRECT("'Yr3'!"&amp;ADDRESS(ROW(AE262),COLUMN(AE262)))),
IF(AE249=0,0,-PMT(INDEX(Lookups!$E$17:$G$17,MATCH($C$4,Lookups!$E$14:$G$14,0)),AE249,SUMIFS('EE Inputs'!$J$9:$J$32,'EE Inputs'!$C$9:$C$32,$G$6,'EE Inputs'!$D$9:$D$32,$C$4,'EE Inputs'!$E$9:$E$32,$B262),0,1)))-AE263</f>
        <v>0</v>
      </c>
      <c r="AF262" s="65">
        <f ca="1">IF($C$4=Lookups!$D$40,SUM(INDIRECT("'Yr1'!"&amp;ADDRESS(ROW(AF262),COLUMN(AF262))),INDIRECT("'Yr2'!"&amp;ADDRESS(ROW(AF262),COLUMN(AF262))),INDIRECT("'Yr3'!"&amp;ADDRESS(ROW(AF262),COLUMN(AF262)))),
IF(AF249=0,0,-PMT(INDEX(Lookups!$E$17:$G$17,MATCH($C$4,Lookups!$E$14:$G$14,0)),AF249,SUMIFS('EE Inputs'!$J$9:$J$32,'EE Inputs'!$C$9:$C$32,$G$6,'EE Inputs'!$D$9:$D$32,$C$4,'EE Inputs'!$E$9:$E$32,$B262),0,1)))-AF263</f>
        <v>0</v>
      </c>
      <c r="AG262" s="65">
        <f ca="1">IF($C$4=Lookups!$D$40,SUM(INDIRECT("'Yr1'!"&amp;ADDRESS(ROW(AG262),COLUMN(AG262))),INDIRECT("'Yr2'!"&amp;ADDRESS(ROW(AG262),COLUMN(AG262))),INDIRECT("'Yr3'!"&amp;ADDRESS(ROW(AG262),COLUMN(AG262)))),
IF(AG249=0,0,-PMT(INDEX(Lookups!$E$17:$G$17,MATCH($C$4,Lookups!$E$14:$G$14,0)),AG249,SUMIFS('EE Inputs'!$J$9:$J$32,'EE Inputs'!$C$9:$C$32,$G$6,'EE Inputs'!$D$9:$D$32,$C$4,'EE Inputs'!$E$9:$E$32,$B262),0,1)))-AG263</f>
        <v>0</v>
      </c>
      <c r="AH262" s="65"/>
      <c r="AI262" s="65">
        <f ca="1">NPV(Lookups!$E$17,G262:AG262)</f>
        <v>7928896.0952636572</v>
      </c>
      <c r="AJ262" s="65"/>
      <c r="AM262" s="72">
        <f ca="1">IF($C$4=Lookups!$D$40,SUM(INDIRECT("'Yr1'!"&amp;ADDRESS(ROW(AM262),COLUMN(AM262))),INDIRECT("'Yr2'!"&amp;ADDRESS(ROW(AM262),COLUMN(AM262))),INDIRECT("'Yr3'!"&amp;ADDRESS(ROW(AM262),COLUMN(AM262)))),
IF(AM249=0,0,-PMT(INDEX(Lookups!$E$17:$G$17,MATCH($C$4,Lookups!$E$14:$G$14,0)),AM249,SUMIFS('EE Inputs'!$J$9:$J$32,'EE Inputs'!$C$9:$C$32,$AM$6,'EE Inputs'!$D$9:$D$32,$C$4,'EE Inputs'!$E$9:$E$32,$B262),0,1)))-AM263</f>
        <v>0</v>
      </c>
      <c r="AN262" s="72">
        <f ca="1">IF($C$4=Lookups!$D$40,SUM(INDIRECT("'Yr1'!"&amp;ADDRESS(ROW(AN262),COLUMN(AN262))),INDIRECT("'Yr2'!"&amp;ADDRESS(ROW(AN262),COLUMN(AN262))),INDIRECT("'Yr3'!"&amp;ADDRESS(ROW(AN262),COLUMN(AN262)))),
IF(AN249=0,0,-PMT(INDEX(Lookups!$E$17:$G$17,MATCH($C$4,Lookups!$E$14:$G$14,0)),AN249,SUMIFS('EE Inputs'!$J$9:$J$32,'EE Inputs'!$C$9:$C$32,$AM$6,'EE Inputs'!$D$9:$D$32,$C$4,'EE Inputs'!$E$9:$E$32,$B262),0,1)))-AN263</f>
        <v>0</v>
      </c>
      <c r="AO262" s="72">
        <f ca="1">IF($C$4=Lookups!$D$40,SUM(INDIRECT("'Yr1'!"&amp;ADDRESS(ROW(AO262),COLUMN(AO262))),INDIRECT("'Yr2'!"&amp;ADDRESS(ROW(AO262),COLUMN(AO262))),INDIRECT("'Yr3'!"&amp;ADDRESS(ROW(AO262),COLUMN(AO262)))),
IF(AO249=0,0,-PMT(INDEX(Lookups!$E$17:$G$17,MATCH($C$4,Lookups!$E$14:$G$14,0)),AO249,SUMIFS('EE Inputs'!$J$9:$J$32,'EE Inputs'!$C$9:$C$32,$AM$6,'EE Inputs'!$D$9:$D$32,$C$4,'EE Inputs'!$E$9:$E$32,$B262),0,1)))-AO263</f>
        <v>789875.08402063663</v>
      </c>
      <c r="AP262" s="72">
        <f ca="1">IF($C$4=Lookups!$D$40,SUM(INDIRECT("'Yr1'!"&amp;ADDRESS(ROW(AP262),COLUMN(AP262))),INDIRECT("'Yr2'!"&amp;ADDRESS(ROW(AP262),COLUMN(AP262))),INDIRECT("'Yr3'!"&amp;ADDRESS(ROW(AP262),COLUMN(AP262)))),
IF(AP249=0,0,-PMT(INDEX(Lookups!$E$17:$G$17,MATCH($C$4,Lookups!$E$14:$G$14,0)),AP249,SUMIFS('EE Inputs'!$J$9:$J$32,'EE Inputs'!$C$9:$C$32,$AM$6,'EE Inputs'!$D$9:$D$32,$C$4,'EE Inputs'!$E$9:$E$32,$B262),0,1)))-AP263</f>
        <v>789875.08402063663</v>
      </c>
      <c r="AQ262" s="72">
        <f ca="1">IF($C$4=Lookups!$D$40,SUM(INDIRECT("'Yr1'!"&amp;ADDRESS(ROW(AQ262),COLUMN(AQ262))),INDIRECT("'Yr2'!"&amp;ADDRESS(ROW(AQ262),COLUMN(AQ262))),INDIRECT("'Yr3'!"&amp;ADDRESS(ROW(AQ262),COLUMN(AQ262)))),
IF(AQ249=0,0,-PMT(INDEX(Lookups!$E$17:$G$17,MATCH($C$4,Lookups!$E$14:$G$14,0)),AQ249,SUMIFS('EE Inputs'!$J$9:$J$32,'EE Inputs'!$C$9:$C$32,$AM$6,'EE Inputs'!$D$9:$D$32,$C$4,'EE Inputs'!$E$9:$E$32,$B262),0,1)))-AQ263</f>
        <v>789875.08402063663</v>
      </c>
      <c r="AR262" s="72">
        <f ca="1">IF($C$4=Lookups!$D$40,SUM(INDIRECT("'Yr1'!"&amp;ADDRESS(ROW(AR262),COLUMN(AR262))),INDIRECT("'Yr2'!"&amp;ADDRESS(ROW(AR262),COLUMN(AR262))),INDIRECT("'Yr3'!"&amp;ADDRESS(ROW(AR262),COLUMN(AR262)))),
IF(AR249=0,0,-PMT(INDEX(Lookups!$E$17:$G$17,MATCH($C$4,Lookups!$E$14:$G$14,0)),AR249,SUMIFS('EE Inputs'!$J$9:$J$32,'EE Inputs'!$C$9:$C$32,$AM$6,'EE Inputs'!$D$9:$D$32,$C$4,'EE Inputs'!$E$9:$E$32,$B262),0,1)))-AR263</f>
        <v>789875.08402063663</v>
      </c>
      <c r="AS262" s="72">
        <f ca="1">IF($C$4=Lookups!$D$40,SUM(INDIRECT("'Yr1'!"&amp;ADDRESS(ROW(AS262),COLUMN(AS262))),INDIRECT("'Yr2'!"&amp;ADDRESS(ROW(AS262),COLUMN(AS262))),INDIRECT("'Yr3'!"&amp;ADDRESS(ROW(AS262),COLUMN(AS262)))),
IF(AS249=0,0,-PMT(INDEX(Lookups!$E$17:$G$17,MATCH($C$4,Lookups!$E$14:$G$14,0)),AS249,SUMIFS('EE Inputs'!$J$9:$J$32,'EE Inputs'!$C$9:$C$32,$AM$6,'EE Inputs'!$D$9:$D$32,$C$4,'EE Inputs'!$E$9:$E$32,$B262),0,1)))-AS263</f>
        <v>789875.08402063663</v>
      </c>
      <c r="AT262" s="72">
        <f ca="1">IF($C$4=Lookups!$D$40,SUM(INDIRECT("'Yr1'!"&amp;ADDRESS(ROW(AT262),COLUMN(AT262))),INDIRECT("'Yr2'!"&amp;ADDRESS(ROW(AT262),COLUMN(AT262))),INDIRECT("'Yr3'!"&amp;ADDRESS(ROW(AT262),COLUMN(AT262)))),
IF(AT249=0,0,-PMT(INDEX(Lookups!$E$17:$G$17,MATCH($C$4,Lookups!$E$14:$G$14,0)),AT249,SUMIFS('EE Inputs'!$J$9:$J$32,'EE Inputs'!$C$9:$C$32,$AM$6,'EE Inputs'!$D$9:$D$32,$C$4,'EE Inputs'!$E$9:$E$32,$B262),0,1)))-AT263</f>
        <v>789875.08402063663</v>
      </c>
      <c r="AU262" s="72">
        <f ca="1">IF($C$4=Lookups!$D$40,SUM(INDIRECT("'Yr1'!"&amp;ADDRESS(ROW(AU262),COLUMN(AU262))),INDIRECT("'Yr2'!"&amp;ADDRESS(ROW(AU262),COLUMN(AU262))),INDIRECT("'Yr3'!"&amp;ADDRESS(ROW(AU262),COLUMN(AU262)))),
IF(AU249=0,0,-PMT(INDEX(Lookups!$E$17:$G$17,MATCH($C$4,Lookups!$E$14:$G$14,0)),AU249,SUMIFS('EE Inputs'!$J$9:$J$32,'EE Inputs'!$C$9:$C$32,$AM$6,'EE Inputs'!$D$9:$D$32,$C$4,'EE Inputs'!$E$9:$E$32,$B262),0,1)))-AU263</f>
        <v>789875.08402063663</v>
      </c>
      <c r="AV262" s="72">
        <f ca="1">IF($C$4=Lookups!$D$40,SUM(INDIRECT("'Yr1'!"&amp;ADDRESS(ROW(AV262),COLUMN(AV262))),INDIRECT("'Yr2'!"&amp;ADDRESS(ROW(AV262),COLUMN(AV262))),INDIRECT("'Yr3'!"&amp;ADDRESS(ROW(AV262),COLUMN(AV262)))),
IF(AV249=0,0,-PMT(INDEX(Lookups!$E$17:$G$17,MATCH($C$4,Lookups!$E$14:$G$14,0)),AV249,SUMIFS('EE Inputs'!$J$9:$J$32,'EE Inputs'!$C$9:$C$32,$AM$6,'EE Inputs'!$D$9:$D$32,$C$4,'EE Inputs'!$E$9:$E$32,$B262),0,1)))-AV263</f>
        <v>789875.08402063663</v>
      </c>
      <c r="AW262" s="72">
        <f ca="1">IF($C$4=Lookups!$D$40,SUM(INDIRECT("'Yr1'!"&amp;ADDRESS(ROW(AW262),COLUMN(AW262))),INDIRECT("'Yr2'!"&amp;ADDRESS(ROW(AW262),COLUMN(AW262))),INDIRECT("'Yr3'!"&amp;ADDRESS(ROW(AW262),COLUMN(AW262)))),
IF(AW249=0,0,-PMT(INDEX(Lookups!$E$17:$G$17,MATCH($C$4,Lookups!$E$14:$G$14,0)),AW249,SUMIFS('EE Inputs'!$J$9:$J$32,'EE Inputs'!$C$9:$C$32,$AM$6,'EE Inputs'!$D$9:$D$32,$C$4,'EE Inputs'!$E$9:$E$32,$B262),0,1)))-AW263</f>
        <v>789875.08402063663</v>
      </c>
      <c r="AX262" s="72">
        <f ca="1">IF($C$4=Lookups!$D$40,SUM(INDIRECT("'Yr1'!"&amp;ADDRESS(ROW(AX262),COLUMN(AX262))),INDIRECT("'Yr2'!"&amp;ADDRESS(ROW(AX262),COLUMN(AX262))),INDIRECT("'Yr3'!"&amp;ADDRESS(ROW(AX262),COLUMN(AX262)))),
IF(AX249=0,0,-PMT(INDEX(Lookups!$E$17:$G$17,MATCH($C$4,Lookups!$E$14:$G$14,0)),AX249,SUMIFS('EE Inputs'!$J$9:$J$32,'EE Inputs'!$C$9:$C$32,$AM$6,'EE Inputs'!$D$9:$D$32,$C$4,'EE Inputs'!$E$9:$E$32,$B262),0,1)))-AX263</f>
        <v>789875.08402063663</v>
      </c>
      <c r="AY262" s="72">
        <f ca="1">IF($C$4=Lookups!$D$40,SUM(INDIRECT("'Yr1'!"&amp;ADDRESS(ROW(AY262),COLUMN(AY262))),INDIRECT("'Yr2'!"&amp;ADDRESS(ROW(AY262),COLUMN(AY262))),INDIRECT("'Yr3'!"&amp;ADDRESS(ROW(AY262),COLUMN(AY262)))),
IF(AY249=0,0,-PMT(INDEX(Lookups!$E$17:$G$17,MATCH($C$4,Lookups!$E$14:$G$14,0)),AY249,SUMIFS('EE Inputs'!$J$9:$J$32,'EE Inputs'!$C$9:$C$32,$AM$6,'EE Inputs'!$D$9:$D$32,$C$4,'EE Inputs'!$E$9:$E$32,$B262),0,1)))-AY263</f>
        <v>789875.08402063663</v>
      </c>
      <c r="AZ262" s="72">
        <f ca="1">IF($C$4=Lookups!$D$40,SUM(INDIRECT("'Yr1'!"&amp;ADDRESS(ROW(AZ262),COLUMN(AZ262))),INDIRECT("'Yr2'!"&amp;ADDRESS(ROW(AZ262),COLUMN(AZ262))),INDIRECT("'Yr3'!"&amp;ADDRESS(ROW(AZ262),COLUMN(AZ262)))),
IF(AZ249=0,0,-PMT(INDEX(Lookups!$E$17:$G$17,MATCH($C$4,Lookups!$E$14:$G$14,0)),AZ249,SUMIFS('EE Inputs'!$J$9:$J$32,'EE Inputs'!$C$9:$C$32,$AM$6,'EE Inputs'!$D$9:$D$32,$C$4,'EE Inputs'!$E$9:$E$32,$B262),0,1)))-AZ263</f>
        <v>789875.08402063663</v>
      </c>
      <c r="BA262" s="72">
        <f ca="1">IF($C$4=Lookups!$D$40,SUM(INDIRECT("'Yr1'!"&amp;ADDRESS(ROW(BA262),COLUMN(BA262))),INDIRECT("'Yr2'!"&amp;ADDRESS(ROW(BA262),COLUMN(BA262))),INDIRECT("'Yr3'!"&amp;ADDRESS(ROW(BA262),COLUMN(BA262)))),
IF(BA249=0,0,-PMT(INDEX(Lookups!$E$17:$G$17,MATCH($C$4,Lookups!$E$14:$G$14,0)),BA249,SUMIFS('EE Inputs'!$J$9:$J$32,'EE Inputs'!$C$9:$C$32,$AM$6,'EE Inputs'!$D$9:$D$32,$C$4,'EE Inputs'!$E$9:$E$32,$B262),0,1)))-BA263</f>
        <v>789875.08402063663</v>
      </c>
      <c r="BB262" s="72">
        <f ca="1">IF($C$4=Lookups!$D$40,SUM(INDIRECT("'Yr1'!"&amp;ADDRESS(ROW(BB262),COLUMN(BB262))),INDIRECT("'Yr2'!"&amp;ADDRESS(ROW(BB262),COLUMN(BB262))),INDIRECT("'Yr3'!"&amp;ADDRESS(ROW(BB262),COLUMN(BB262)))),
IF(BB249=0,0,-PMT(INDEX(Lookups!$E$17:$G$17,MATCH($C$4,Lookups!$E$14:$G$14,0)),BB249,SUMIFS('EE Inputs'!$J$9:$J$32,'EE Inputs'!$C$9:$C$32,$AM$6,'EE Inputs'!$D$9:$D$32,$C$4,'EE Inputs'!$E$9:$E$32,$B262),0,1)))-BB263</f>
        <v>0</v>
      </c>
      <c r="BC262" s="72">
        <f ca="1">IF($C$4=Lookups!$D$40,SUM(INDIRECT("'Yr1'!"&amp;ADDRESS(ROW(BC262),COLUMN(BC262))),INDIRECT("'Yr2'!"&amp;ADDRESS(ROW(BC262),COLUMN(BC262))),INDIRECT("'Yr3'!"&amp;ADDRESS(ROW(BC262),COLUMN(BC262)))),
IF(BC249=0,0,-PMT(INDEX(Lookups!$E$17:$G$17,MATCH($C$4,Lookups!$E$14:$G$14,0)),BC249,SUMIFS('EE Inputs'!$J$9:$J$32,'EE Inputs'!$C$9:$C$32,$AM$6,'EE Inputs'!$D$9:$D$32,$C$4,'EE Inputs'!$E$9:$E$32,$B262),0,1)))-BC263</f>
        <v>0</v>
      </c>
      <c r="BD262" s="72">
        <f ca="1">IF($C$4=Lookups!$D$40,SUM(INDIRECT("'Yr1'!"&amp;ADDRESS(ROW(BD262),COLUMN(BD262))),INDIRECT("'Yr2'!"&amp;ADDRESS(ROW(BD262),COLUMN(BD262))),INDIRECT("'Yr3'!"&amp;ADDRESS(ROW(BD262),COLUMN(BD262)))),
IF(BD249=0,0,-PMT(INDEX(Lookups!$E$17:$G$17,MATCH($C$4,Lookups!$E$14:$G$14,0)),BD249,SUMIFS('EE Inputs'!$J$9:$J$32,'EE Inputs'!$C$9:$C$32,$AM$6,'EE Inputs'!$D$9:$D$32,$C$4,'EE Inputs'!$E$9:$E$32,$B262),0,1)))-BD263</f>
        <v>0</v>
      </c>
      <c r="BE262" s="72">
        <f ca="1">IF($C$4=Lookups!$D$40,SUM(INDIRECT("'Yr1'!"&amp;ADDRESS(ROW(BE262),COLUMN(BE262))),INDIRECT("'Yr2'!"&amp;ADDRESS(ROW(BE262),COLUMN(BE262))),INDIRECT("'Yr3'!"&amp;ADDRESS(ROW(BE262),COLUMN(BE262)))),
IF(BE249=0,0,-PMT(INDEX(Lookups!$E$17:$G$17,MATCH($C$4,Lookups!$E$14:$G$14,0)),BE249,SUMIFS('EE Inputs'!$J$9:$J$32,'EE Inputs'!$C$9:$C$32,$AM$6,'EE Inputs'!$D$9:$D$32,$C$4,'EE Inputs'!$E$9:$E$32,$B262),0,1)))-BE263</f>
        <v>0</v>
      </c>
      <c r="BF262" s="72">
        <f ca="1">IF($C$4=Lookups!$D$40,SUM(INDIRECT("'Yr1'!"&amp;ADDRESS(ROW(BF262),COLUMN(BF262))),INDIRECT("'Yr2'!"&amp;ADDRESS(ROW(BF262),COLUMN(BF262))),INDIRECT("'Yr3'!"&amp;ADDRESS(ROW(BF262),COLUMN(BF262)))),
IF(BF249=0,0,-PMT(INDEX(Lookups!$E$17:$G$17,MATCH($C$4,Lookups!$E$14:$G$14,0)),BF249,SUMIFS('EE Inputs'!$J$9:$J$32,'EE Inputs'!$C$9:$C$32,$AM$6,'EE Inputs'!$D$9:$D$32,$C$4,'EE Inputs'!$E$9:$E$32,$B262),0,1)))-BF263</f>
        <v>0</v>
      </c>
      <c r="BG262" s="72">
        <f ca="1">IF($C$4=Lookups!$D$40,SUM(INDIRECT("'Yr1'!"&amp;ADDRESS(ROW(BG262),COLUMN(BG262))),INDIRECT("'Yr2'!"&amp;ADDRESS(ROW(BG262),COLUMN(BG262))),INDIRECT("'Yr3'!"&amp;ADDRESS(ROW(BG262),COLUMN(BG262)))),
IF(BG249=0,0,-PMT(INDEX(Lookups!$E$17:$G$17,MATCH($C$4,Lookups!$E$14:$G$14,0)),BG249,SUMIFS('EE Inputs'!$J$9:$J$32,'EE Inputs'!$C$9:$C$32,$AM$6,'EE Inputs'!$D$9:$D$32,$C$4,'EE Inputs'!$E$9:$E$32,$B262),0,1)))-BG263</f>
        <v>0</v>
      </c>
      <c r="BH262" s="72">
        <f ca="1">IF($C$4=Lookups!$D$40,SUM(INDIRECT("'Yr1'!"&amp;ADDRESS(ROW(BH262),COLUMN(BH262))),INDIRECT("'Yr2'!"&amp;ADDRESS(ROW(BH262),COLUMN(BH262))),INDIRECT("'Yr3'!"&amp;ADDRESS(ROW(BH262),COLUMN(BH262)))),
IF(BH249=0,0,-PMT(INDEX(Lookups!$E$17:$G$17,MATCH($C$4,Lookups!$E$14:$G$14,0)),BH249,SUMIFS('EE Inputs'!$J$9:$J$32,'EE Inputs'!$C$9:$C$32,$AM$6,'EE Inputs'!$D$9:$D$32,$C$4,'EE Inputs'!$E$9:$E$32,$B262),0,1)))-BH263</f>
        <v>0</v>
      </c>
      <c r="BI262" s="72">
        <f ca="1">IF($C$4=Lookups!$D$40,SUM(INDIRECT("'Yr1'!"&amp;ADDRESS(ROW(BI262),COLUMN(BI262))),INDIRECT("'Yr2'!"&amp;ADDRESS(ROW(BI262),COLUMN(BI262))),INDIRECT("'Yr3'!"&amp;ADDRESS(ROW(BI262),COLUMN(BI262)))),
IF(BI249=0,0,-PMT(INDEX(Lookups!$E$17:$G$17,MATCH($C$4,Lookups!$E$14:$G$14,0)),BI249,SUMIFS('EE Inputs'!$J$9:$J$32,'EE Inputs'!$C$9:$C$32,$AM$6,'EE Inputs'!$D$9:$D$32,$C$4,'EE Inputs'!$E$9:$E$32,$B262),0,1)))-BI263</f>
        <v>0</v>
      </c>
      <c r="BJ262" s="72">
        <f ca="1">IF($C$4=Lookups!$D$40,SUM(INDIRECT("'Yr1'!"&amp;ADDRESS(ROW(BJ262),COLUMN(BJ262))),INDIRECT("'Yr2'!"&amp;ADDRESS(ROW(BJ262),COLUMN(BJ262))),INDIRECT("'Yr3'!"&amp;ADDRESS(ROW(BJ262),COLUMN(BJ262)))),
IF(BJ249=0,0,-PMT(INDEX(Lookups!$E$17:$G$17,MATCH($C$4,Lookups!$E$14:$G$14,0)),BJ249,SUMIFS('EE Inputs'!$J$9:$J$32,'EE Inputs'!$C$9:$C$32,$AM$6,'EE Inputs'!$D$9:$D$32,$C$4,'EE Inputs'!$E$9:$E$32,$B262),0,1)))-BJ263</f>
        <v>0</v>
      </c>
      <c r="BK262" s="72">
        <f ca="1">IF($C$4=Lookups!$D$40,SUM(INDIRECT("'Yr1'!"&amp;ADDRESS(ROW(BK262),COLUMN(BK262))),INDIRECT("'Yr2'!"&amp;ADDRESS(ROW(BK262),COLUMN(BK262))),INDIRECT("'Yr3'!"&amp;ADDRESS(ROW(BK262),COLUMN(BK262)))),
IF(BK249=0,0,-PMT(INDEX(Lookups!$E$17:$G$17,MATCH($C$4,Lookups!$E$14:$G$14,0)),BK249,SUMIFS('EE Inputs'!$J$9:$J$32,'EE Inputs'!$C$9:$C$32,$AM$6,'EE Inputs'!$D$9:$D$32,$C$4,'EE Inputs'!$E$9:$E$32,$B262),0,1)))-BK263</f>
        <v>0</v>
      </c>
      <c r="BL262" s="72">
        <f ca="1">IF($C$4=Lookups!$D$40,SUM(INDIRECT("'Yr1'!"&amp;ADDRESS(ROW(BL262),COLUMN(BL262))),INDIRECT("'Yr2'!"&amp;ADDRESS(ROW(BL262),COLUMN(BL262))),INDIRECT("'Yr3'!"&amp;ADDRESS(ROW(BL262),COLUMN(BL262)))),
IF(BL249=0,0,-PMT(INDEX(Lookups!$E$17:$G$17,MATCH($C$4,Lookups!$E$14:$G$14,0)),BL249,SUMIFS('EE Inputs'!$J$9:$J$32,'EE Inputs'!$C$9:$C$32,$AM$6,'EE Inputs'!$D$9:$D$32,$C$4,'EE Inputs'!$E$9:$E$32,$B262),0,1)))-BL263</f>
        <v>0</v>
      </c>
      <c r="BM262" s="72">
        <f ca="1">IF($C$4=Lookups!$D$40,SUM(INDIRECT("'Yr1'!"&amp;ADDRESS(ROW(BM262),COLUMN(BM262))),INDIRECT("'Yr2'!"&amp;ADDRESS(ROW(BM262),COLUMN(BM262))),INDIRECT("'Yr3'!"&amp;ADDRESS(ROW(BM262),COLUMN(BM262)))),
IF(BM249=0,0,-PMT(INDEX(Lookups!$E$17:$G$17,MATCH($C$4,Lookups!$E$14:$G$14,0)),BM249,SUMIFS('EE Inputs'!$J$9:$J$32,'EE Inputs'!$C$9:$C$32,$AM$6,'EE Inputs'!$D$9:$D$32,$C$4,'EE Inputs'!$E$9:$E$32,$B262),0,1)))-BM263</f>
        <v>0</v>
      </c>
      <c r="BN262" s="72"/>
      <c r="BO262" s="72">
        <f ca="1">NPV(Lookups!$E$17,AM262:BM262)</f>
        <v>9061595.5374441799</v>
      </c>
      <c r="BP262" s="72"/>
      <c r="BS262" s="84" t="str">
        <f>"Avoided "&amp;E262&amp;" costs, less the retail margin."</f>
        <v>Avoided Gas costs, less the retail margin.</v>
      </c>
      <c r="BT262" s="51" t="s">
        <v>17</v>
      </c>
    </row>
    <row r="263" spans="1:72" x14ac:dyDescent="0.25">
      <c r="A263" s="246"/>
      <c r="B263" s="243" t="str">
        <f t="shared" si="284"/>
        <v>Large C&amp;I</v>
      </c>
      <c r="C263" s="243" t="str">
        <f t="shared" si="284"/>
        <v>Revenue Requirements</v>
      </c>
      <c r="D263" s="244" t="str">
        <f>D262</f>
        <v>Avoided Costs</v>
      </c>
      <c r="E263" s="84" t="s">
        <v>412</v>
      </c>
      <c r="F263" s="84" t="s">
        <v>32</v>
      </c>
      <c r="G263" s="65">
        <f ca="1">IF($C$4=Lookups!$D$40,SUM(INDIRECT("'Yr1'!"&amp;ADDRESS(ROW(G263),COLUMN(G263))),INDIRECT("'Yr2'!"&amp;ADDRESS(ROW(G263),COLUMN(G263))),INDIRECT("'Yr3'!"&amp;ADDRESS(ROW(G263),COLUMN(G263)))),
IF(G249=0,0,-PMT(INDEX(Lookups!$E$17:$G$17,MATCH($C$4,Lookups!$E$14:$G$14,0)),G249,SUMIFS('EE Inputs'!$W$9:$W$32,'EE Inputs'!$C$9:$C$32,$G$6,'EE Inputs'!$D$9:$D$32,$C$4,'EE Inputs'!$E$9:$E$32,$B263),0,1)))</f>
        <v>0</v>
      </c>
      <c r="H263" s="65">
        <f ca="1">IF($C$4=Lookups!$D$40,SUM(INDIRECT("'Yr1'!"&amp;ADDRESS(ROW(H263),COLUMN(H263))),INDIRECT("'Yr2'!"&amp;ADDRESS(ROW(H263),COLUMN(H263))),INDIRECT("'Yr3'!"&amp;ADDRESS(ROW(H263),COLUMN(H263)))),
IF(H249=0,0,-PMT(INDEX(Lookups!$E$17:$G$17,MATCH($C$4,Lookups!$E$14:$G$14,0)),H249,SUMIFS('EE Inputs'!$W$9:$W$32,'EE Inputs'!$C$9:$C$32,$G$6,'EE Inputs'!$D$9:$D$32,$C$4,'EE Inputs'!$E$9:$E$32,$B263),0,1)))</f>
        <v>0</v>
      </c>
      <c r="I263" s="65">
        <f ca="1">IF($C$4=Lookups!$D$40,SUM(INDIRECT("'Yr1'!"&amp;ADDRESS(ROW(I263),COLUMN(I263))),INDIRECT("'Yr2'!"&amp;ADDRESS(ROW(I263),COLUMN(I263))),INDIRECT("'Yr3'!"&amp;ADDRESS(ROW(I263),COLUMN(I263)))),
IF(I249=0,0,-PMT(INDEX(Lookups!$E$17:$G$17,MATCH($C$4,Lookups!$E$14:$G$14,0)),I249,SUMIFS('EE Inputs'!$W$9:$W$32,'EE Inputs'!$C$9:$C$32,$G$6,'EE Inputs'!$D$9:$D$32,$C$4,'EE Inputs'!$E$9:$E$32,$B263),0,1)))</f>
        <v>44115.363735195126</v>
      </c>
      <c r="J263" s="65">
        <f ca="1">IF($C$4=Lookups!$D$40,SUM(INDIRECT("'Yr1'!"&amp;ADDRESS(ROW(J263),COLUMN(J263))),INDIRECT("'Yr2'!"&amp;ADDRESS(ROW(J263),COLUMN(J263))),INDIRECT("'Yr3'!"&amp;ADDRESS(ROW(J263),COLUMN(J263)))),
IF(J249=0,0,-PMT(INDEX(Lookups!$E$17:$G$17,MATCH($C$4,Lookups!$E$14:$G$14,0)),J249,SUMIFS('EE Inputs'!$W$9:$W$32,'EE Inputs'!$C$9:$C$32,$G$6,'EE Inputs'!$D$9:$D$32,$C$4,'EE Inputs'!$E$9:$E$32,$B263),0,1)))</f>
        <v>44115.363735195126</v>
      </c>
      <c r="K263" s="65">
        <f ca="1">IF($C$4=Lookups!$D$40,SUM(INDIRECT("'Yr1'!"&amp;ADDRESS(ROW(K263),COLUMN(K263))),INDIRECT("'Yr2'!"&amp;ADDRESS(ROW(K263),COLUMN(K263))),INDIRECT("'Yr3'!"&amp;ADDRESS(ROW(K263),COLUMN(K263)))),
IF(K249=0,0,-PMT(INDEX(Lookups!$E$17:$G$17,MATCH($C$4,Lookups!$E$14:$G$14,0)),K249,SUMIFS('EE Inputs'!$W$9:$W$32,'EE Inputs'!$C$9:$C$32,$G$6,'EE Inputs'!$D$9:$D$32,$C$4,'EE Inputs'!$E$9:$E$32,$B263),0,1)))</f>
        <v>44115.363735195126</v>
      </c>
      <c r="L263" s="65">
        <f ca="1">IF($C$4=Lookups!$D$40,SUM(INDIRECT("'Yr1'!"&amp;ADDRESS(ROW(L263),COLUMN(L263))),INDIRECT("'Yr2'!"&amp;ADDRESS(ROW(L263),COLUMN(L263))),INDIRECT("'Yr3'!"&amp;ADDRESS(ROW(L263),COLUMN(L263)))),
IF(L249=0,0,-PMT(INDEX(Lookups!$E$17:$G$17,MATCH($C$4,Lookups!$E$14:$G$14,0)),L249,SUMIFS('EE Inputs'!$W$9:$W$32,'EE Inputs'!$C$9:$C$32,$G$6,'EE Inputs'!$D$9:$D$32,$C$4,'EE Inputs'!$E$9:$E$32,$B263),0,1)))</f>
        <v>44115.363735195126</v>
      </c>
      <c r="M263" s="65">
        <f ca="1">IF($C$4=Lookups!$D$40,SUM(INDIRECT("'Yr1'!"&amp;ADDRESS(ROW(M263),COLUMN(M263))),INDIRECT("'Yr2'!"&amp;ADDRESS(ROW(M263),COLUMN(M263))),INDIRECT("'Yr3'!"&amp;ADDRESS(ROW(M263),COLUMN(M263)))),
IF(M249=0,0,-PMT(INDEX(Lookups!$E$17:$G$17,MATCH($C$4,Lookups!$E$14:$G$14,0)),M249,SUMIFS('EE Inputs'!$W$9:$W$32,'EE Inputs'!$C$9:$C$32,$G$6,'EE Inputs'!$D$9:$D$32,$C$4,'EE Inputs'!$E$9:$E$32,$B263),0,1)))</f>
        <v>44115.363735195126</v>
      </c>
      <c r="N263" s="65">
        <f ca="1">IF($C$4=Lookups!$D$40,SUM(INDIRECT("'Yr1'!"&amp;ADDRESS(ROW(N263),COLUMN(N263))),INDIRECT("'Yr2'!"&amp;ADDRESS(ROW(N263),COLUMN(N263))),INDIRECT("'Yr3'!"&amp;ADDRESS(ROW(N263),COLUMN(N263)))),
IF(N249=0,0,-PMT(INDEX(Lookups!$E$17:$G$17,MATCH($C$4,Lookups!$E$14:$G$14,0)),N249,SUMIFS('EE Inputs'!$W$9:$W$32,'EE Inputs'!$C$9:$C$32,$G$6,'EE Inputs'!$D$9:$D$32,$C$4,'EE Inputs'!$E$9:$E$32,$B263),0,1)))</f>
        <v>44115.363735195126</v>
      </c>
      <c r="O263" s="65">
        <f ca="1">IF($C$4=Lookups!$D$40,SUM(INDIRECT("'Yr1'!"&amp;ADDRESS(ROW(O263),COLUMN(O263))),INDIRECT("'Yr2'!"&amp;ADDRESS(ROW(O263),COLUMN(O263))),INDIRECT("'Yr3'!"&amp;ADDRESS(ROW(O263),COLUMN(O263)))),
IF(O249=0,0,-PMT(INDEX(Lookups!$E$17:$G$17,MATCH($C$4,Lookups!$E$14:$G$14,0)),O249,SUMIFS('EE Inputs'!$W$9:$W$32,'EE Inputs'!$C$9:$C$32,$G$6,'EE Inputs'!$D$9:$D$32,$C$4,'EE Inputs'!$E$9:$E$32,$B263),0,1)))</f>
        <v>44115.363735195126</v>
      </c>
      <c r="P263" s="65">
        <f ca="1">IF($C$4=Lookups!$D$40,SUM(INDIRECT("'Yr1'!"&amp;ADDRESS(ROW(P263),COLUMN(P263))),INDIRECT("'Yr2'!"&amp;ADDRESS(ROW(P263),COLUMN(P263))),INDIRECT("'Yr3'!"&amp;ADDRESS(ROW(P263),COLUMN(P263)))),
IF(P249=0,0,-PMT(INDEX(Lookups!$E$17:$G$17,MATCH($C$4,Lookups!$E$14:$G$14,0)),P249,SUMIFS('EE Inputs'!$W$9:$W$32,'EE Inputs'!$C$9:$C$32,$G$6,'EE Inputs'!$D$9:$D$32,$C$4,'EE Inputs'!$E$9:$E$32,$B263),0,1)))</f>
        <v>44115.363735195126</v>
      </c>
      <c r="Q263" s="65">
        <f ca="1">IF($C$4=Lookups!$D$40,SUM(INDIRECT("'Yr1'!"&amp;ADDRESS(ROW(Q263),COLUMN(Q263))),INDIRECT("'Yr2'!"&amp;ADDRESS(ROW(Q263),COLUMN(Q263))),INDIRECT("'Yr3'!"&amp;ADDRESS(ROW(Q263),COLUMN(Q263)))),
IF(Q249=0,0,-PMT(INDEX(Lookups!$E$17:$G$17,MATCH($C$4,Lookups!$E$14:$G$14,0)),Q249,SUMIFS('EE Inputs'!$W$9:$W$32,'EE Inputs'!$C$9:$C$32,$G$6,'EE Inputs'!$D$9:$D$32,$C$4,'EE Inputs'!$E$9:$E$32,$B263),0,1)))</f>
        <v>44115.363735195126</v>
      </c>
      <c r="R263" s="65">
        <f ca="1">IF($C$4=Lookups!$D$40,SUM(INDIRECT("'Yr1'!"&amp;ADDRESS(ROW(R263),COLUMN(R263))),INDIRECT("'Yr2'!"&amp;ADDRESS(ROW(R263),COLUMN(R263))),INDIRECT("'Yr3'!"&amp;ADDRESS(ROW(R263),COLUMN(R263)))),
IF(R249=0,0,-PMT(INDEX(Lookups!$E$17:$G$17,MATCH($C$4,Lookups!$E$14:$G$14,0)),R249,SUMIFS('EE Inputs'!$W$9:$W$32,'EE Inputs'!$C$9:$C$32,$G$6,'EE Inputs'!$D$9:$D$32,$C$4,'EE Inputs'!$E$9:$E$32,$B263),0,1)))</f>
        <v>44115.363735195126</v>
      </c>
      <c r="S263" s="65">
        <f ca="1">IF($C$4=Lookups!$D$40,SUM(INDIRECT("'Yr1'!"&amp;ADDRESS(ROW(S263),COLUMN(S263))),INDIRECT("'Yr2'!"&amp;ADDRESS(ROW(S263),COLUMN(S263))),INDIRECT("'Yr3'!"&amp;ADDRESS(ROW(S263),COLUMN(S263)))),
IF(S249=0,0,-PMT(INDEX(Lookups!$E$17:$G$17,MATCH($C$4,Lookups!$E$14:$G$14,0)),S249,SUMIFS('EE Inputs'!$W$9:$W$32,'EE Inputs'!$C$9:$C$32,$G$6,'EE Inputs'!$D$9:$D$32,$C$4,'EE Inputs'!$E$9:$E$32,$B263),0,1)))</f>
        <v>44115.363735195126</v>
      </c>
      <c r="T263" s="65">
        <f ca="1">IF($C$4=Lookups!$D$40,SUM(INDIRECT("'Yr1'!"&amp;ADDRESS(ROW(T263),COLUMN(T263))),INDIRECT("'Yr2'!"&amp;ADDRESS(ROW(T263),COLUMN(T263))),INDIRECT("'Yr3'!"&amp;ADDRESS(ROW(T263),COLUMN(T263)))),
IF(T249=0,0,-PMT(INDEX(Lookups!$E$17:$G$17,MATCH($C$4,Lookups!$E$14:$G$14,0)),T249,SUMIFS('EE Inputs'!$W$9:$W$32,'EE Inputs'!$C$9:$C$32,$G$6,'EE Inputs'!$D$9:$D$32,$C$4,'EE Inputs'!$E$9:$E$32,$B263),0,1)))</f>
        <v>44115.363735195126</v>
      </c>
      <c r="U263" s="65">
        <f ca="1">IF($C$4=Lookups!$D$40,SUM(INDIRECT("'Yr1'!"&amp;ADDRESS(ROW(U263),COLUMN(U263))),INDIRECT("'Yr2'!"&amp;ADDRESS(ROW(U263),COLUMN(U263))),INDIRECT("'Yr3'!"&amp;ADDRESS(ROW(U263),COLUMN(U263)))),
IF(U249=0,0,-PMT(INDEX(Lookups!$E$17:$G$17,MATCH($C$4,Lookups!$E$14:$G$14,0)),U249,SUMIFS('EE Inputs'!$W$9:$W$32,'EE Inputs'!$C$9:$C$32,$G$6,'EE Inputs'!$D$9:$D$32,$C$4,'EE Inputs'!$E$9:$E$32,$B263),0,1)))</f>
        <v>44115.363735195126</v>
      </c>
      <c r="V263" s="65">
        <f ca="1">IF($C$4=Lookups!$D$40,SUM(INDIRECT("'Yr1'!"&amp;ADDRESS(ROW(V263),COLUMN(V263))),INDIRECT("'Yr2'!"&amp;ADDRESS(ROW(V263),COLUMN(V263))),INDIRECT("'Yr3'!"&amp;ADDRESS(ROW(V263),COLUMN(V263)))),
IF(V249=0,0,-PMT(INDEX(Lookups!$E$17:$G$17,MATCH($C$4,Lookups!$E$14:$G$14,0)),V249,SUMIFS('EE Inputs'!$W$9:$W$32,'EE Inputs'!$C$9:$C$32,$G$6,'EE Inputs'!$D$9:$D$32,$C$4,'EE Inputs'!$E$9:$E$32,$B263),0,1)))</f>
        <v>0</v>
      </c>
      <c r="W263" s="65">
        <f ca="1">IF($C$4=Lookups!$D$40,SUM(INDIRECT("'Yr1'!"&amp;ADDRESS(ROW(W263),COLUMN(W263))),INDIRECT("'Yr2'!"&amp;ADDRESS(ROW(W263),COLUMN(W263))),INDIRECT("'Yr3'!"&amp;ADDRESS(ROW(W263),COLUMN(W263)))),
IF(W249=0,0,-PMT(INDEX(Lookups!$E$17:$G$17,MATCH($C$4,Lookups!$E$14:$G$14,0)),W249,SUMIFS('EE Inputs'!$W$9:$W$32,'EE Inputs'!$C$9:$C$32,$G$6,'EE Inputs'!$D$9:$D$32,$C$4,'EE Inputs'!$E$9:$E$32,$B263),0,1)))</f>
        <v>0</v>
      </c>
      <c r="X263" s="65">
        <f ca="1">IF($C$4=Lookups!$D$40,SUM(INDIRECT("'Yr1'!"&amp;ADDRESS(ROW(X263),COLUMN(X263))),INDIRECT("'Yr2'!"&amp;ADDRESS(ROW(X263),COLUMN(X263))),INDIRECT("'Yr3'!"&amp;ADDRESS(ROW(X263),COLUMN(X263)))),
IF(X249=0,0,-PMT(INDEX(Lookups!$E$17:$G$17,MATCH($C$4,Lookups!$E$14:$G$14,0)),X249,SUMIFS('EE Inputs'!$W$9:$W$32,'EE Inputs'!$C$9:$C$32,$G$6,'EE Inputs'!$D$9:$D$32,$C$4,'EE Inputs'!$E$9:$E$32,$B263),0,1)))</f>
        <v>0</v>
      </c>
      <c r="Y263" s="65">
        <f ca="1">IF($C$4=Lookups!$D$40,SUM(INDIRECT("'Yr1'!"&amp;ADDRESS(ROW(Y263),COLUMN(Y263))),INDIRECT("'Yr2'!"&amp;ADDRESS(ROW(Y263),COLUMN(Y263))),INDIRECT("'Yr3'!"&amp;ADDRESS(ROW(Y263),COLUMN(Y263)))),
IF(Y249=0,0,-PMT(INDEX(Lookups!$E$17:$G$17,MATCH($C$4,Lookups!$E$14:$G$14,0)),Y249,SUMIFS('EE Inputs'!$W$9:$W$32,'EE Inputs'!$C$9:$C$32,$G$6,'EE Inputs'!$D$9:$D$32,$C$4,'EE Inputs'!$E$9:$E$32,$B263),0,1)))</f>
        <v>0</v>
      </c>
      <c r="Z263" s="65">
        <f ca="1">IF($C$4=Lookups!$D$40,SUM(INDIRECT("'Yr1'!"&amp;ADDRESS(ROW(Z263),COLUMN(Z263))),INDIRECT("'Yr2'!"&amp;ADDRESS(ROW(Z263),COLUMN(Z263))),INDIRECT("'Yr3'!"&amp;ADDRESS(ROW(Z263),COLUMN(Z263)))),
IF(Z249=0,0,-PMT(INDEX(Lookups!$E$17:$G$17,MATCH($C$4,Lookups!$E$14:$G$14,0)),Z249,SUMIFS('EE Inputs'!$W$9:$W$32,'EE Inputs'!$C$9:$C$32,$G$6,'EE Inputs'!$D$9:$D$32,$C$4,'EE Inputs'!$E$9:$E$32,$B263),0,1)))</f>
        <v>0</v>
      </c>
      <c r="AA263" s="65">
        <f ca="1">IF($C$4=Lookups!$D$40,SUM(INDIRECT("'Yr1'!"&amp;ADDRESS(ROW(AA263),COLUMN(AA263))),INDIRECT("'Yr2'!"&amp;ADDRESS(ROW(AA263),COLUMN(AA263))),INDIRECT("'Yr3'!"&amp;ADDRESS(ROW(AA263),COLUMN(AA263)))),
IF(AA249=0,0,-PMT(INDEX(Lookups!$E$17:$G$17,MATCH($C$4,Lookups!$E$14:$G$14,0)),AA249,SUMIFS('EE Inputs'!$W$9:$W$32,'EE Inputs'!$C$9:$C$32,$G$6,'EE Inputs'!$D$9:$D$32,$C$4,'EE Inputs'!$E$9:$E$32,$B263),0,1)))</f>
        <v>0</v>
      </c>
      <c r="AB263" s="65">
        <f ca="1">IF($C$4=Lookups!$D$40,SUM(INDIRECT("'Yr1'!"&amp;ADDRESS(ROW(AB263),COLUMN(AB263))),INDIRECT("'Yr2'!"&amp;ADDRESS(ROW(AB263),COLUMN(AB263))),INDIRECT("'Yr3'!"&amp;ADDRESS(ROW(AB263),COLUMN(AB263)))),
IF(AB249=0,0,-PMT(INDEX(Lookups!$E$17:$G$17,MATCH($C$4,Lookups!$E$14:$G$14,0)),AB249,SUMIFS('EE Inputs'!$W$9:$W$32,'EE Inputs'!$C$9:$C$32,$G$6,'EE Inputs'!$D$9:$D$32,$C$4,'EE Inputs'!$E$9:$E$32,$B263),0,1)))</f>
        <v>0</v>
      </c>
      <c r="AC263" s="65">
        <f ca="1">IF($C$4=Lookups!$D$40,SUM(INDIRECT("'Yr1'!"&amp;ADDRESS(ROW(AC263),COLUMN(AC263))),INDIRECT("'Yr2'!"&amp;ADDRESS(ROW(AC263),COLUMN(AC263))),INDIRECT("'Yr3'!"&amp;ADDRESS(ROW(AC263),COLUMN(AC263)))),
IF(AC249=0,0,-PMT(INDEX(Lookups!$E$17:$G$17,MATCH($C$4,Lookups!$E$14:$G$14,0)),AC249,SUMIFS('EE Inputs'!$W$9:$W$32,'EE Inputs'!$C$9:$C$32,$G$6,'EE Inputs'!$D$9:$D$32,$C$4,'EE Inputs'!$E$9:$E$32,$B263),0,1)))</f>
        <v>0</v>
      </c>
      <c r="AD263" s="65">
        <f ca="1">IF($C$4=Lookups!$D$40,SUM(INDIRECT("'Yr1'!"&amp;ADDRESS(ROW(AD263),COLUMN(AD263))),INDIRECT("'Yr2'!"&amp;ADDRESS(ROW(AD263),COLUMN(AD263))),INDIRECT("'Yr3'!"&amp;ADDRESS(ROW(AD263),COLUMN(AD263)))),
IF(AD249=0,0,-PMT(INDEX(Lookups!$E$17:$G$17,MATCH($C$4,Lookups!$E$14:$G$14,0)),AD249,SUMIFS('EE Inputs'!$W$9:$W$32,'EE Inputs'!$C$9:$C$32,$G$6,'EE Inputs'!$D$9:$D$32,$C$4,'EE Inputs'!$E$9:$E$32,$B263),0,1)))</f>
        <v>0</v>
      </c>
      <c r="AE263" s="65">
        <f ca="1">IF($C$4=Lookups!$D$40,SUM(INDIRECT("'Yr1'!"&amp;ADDRESS(ROW(AE263),COLUMN(AE263))),INDIRECT("'Yr2'!"&amp;ADDRESS(ROW(AE263),COLUMN(AE263))),INDIRECT("'Yr3'!"&amp;ADDRESS(ROW(AE263),COLUMN(AE263)))),
IF(AE249=0,0,-PMT(INDEX(Lookups!$E$17:$G$17,MATCH($C$4,Lookups!$E$14:$G$14,0)),AE249,SUMIFS('EE Inputs'!$W$9:$W$32,'EE Inputs'!$C$9:$C$32,$G$6,'EE Inputs'!$D$9:$D$32,$C$4,'EE Inputs'!$E$9:$E$32,$B263),0,1)))</f>
        <v>0</v>
      </c>
      <c r="AF263" s="65">
        <f ca="1">IF($C$4=Lookups!$D$40,SUM(INDIRECT("'Yr1'!"&amp;ADDRESS(ROW(AF263),COLUMN(AF263))),INDIRECT("'Yr2'!"&amp;ADDRESS(ROW(AF263),COLUMN(AF263))),INDIRECT("'Yr3'!"&amp;ADDRESS(ROW(AF263),COLUMN(AF263)))),
IF(AF249=0,0,-PMT(INDEX(Lookups!$E$17:$G$17,MATCH($C$4,Lookups!$E$14:$G$14,0)),AF249,SUMIFS('EE Inputs'!$W$9:$W$32,'EE Inputs'!$C$9:$C$32,$G$6,'EE Inputs'!$D$9:$D$32,$C$4,'EE Inputs'!$E$9:$E$32,$B263),0,1)))</f>
        <v>0</v>
      </c>
      <c r="AG263" s="65">
        <f ca="1">IF($C$4=Lookups!$D$40,SUM(INDIRECT("'Yr1'!"&amp;ADDRESS(ROW(AG263),COLUMN(AG263))),INDIRECT("'Yr2'!"&amp;ADDRESS(ROW(AG263),COLUMN(AG263))),INDIRECT("'Yr3'!"&amp;ADDRESS(ROW(AG263),COLUMN(AG263)))),
IF(AG249=0,0,-PMT(INDEX(Lookups!$E$17:$G$17,MATCH($C$4,Lookups!$E$14:$G$14,0)),AG249,SUMIFS('EE Inputs'!$W$9:$W$32,'EE Inputs'!$C$9:$C$32,$G$6,'EE Inputs'!$D$9:$D$32,$C$4,'EE Inputs'!$E$9:$E$32,$B263),0,1)))</f>
        <v>0</v>
      </c>
      <c r="AH263" s="65"/>
      <c r="AI263" s="65">
        <f ca="1">NPV(Lookups!$E$17,G263:AG263)</f>
        <v>506099.75076151005</v>
      </c>
      <c r="AJ263" s="65"/>
      <c r="AM263" s="72">
        <f ca="1">IF($C$4=Lookups!$D$40,SUM(INDIRECT("'Yr1'!"&amp;ADDRESS(ROW(AM263),COLUMN(AM263))),INDIRECT("'Yr2'!"&amp;ADDRESS(ROW(AM263),COLUMN(AM263))),INDIRECT("'Yr3'!"&amp;ADDRESS(ROW(AM263),COLUMN(AM263)))),
IF(AM249=0,0,-PMT(INDEX(Lookups!$E$17:$G$17,MATCH($C$4,Lookups!$E$14:$G$14,0)),AM249,SUMIFS('EE Inputs'!$W$9:$W$32,'EE Inputs'!$C$9:$C$32,$AM$6,'EE Inputs'!$D$9:$D$32,$C$4,'EE Inputs'!$E$9:$E$32,$B263),0,1)))</f>
        <v>0</v>
      </c>
      <c r="AN263" s="72">
        <f ca="1">IF($C$4=Lookups!$D$40,SUM(INDIRECT("'Yr1'!"&amp;ADDRESS(ROW(AN263),COLUMN(AN263))),INDIRECT("'Yr2'!"&amp;ADDRESS(ROW(AN263),COLUMN(AN263))),INDIRECT("'Yr3'!"&amp;ADDRESS(ROW(AN263),COLUMN(AN263)))),
IF(AN249=0,0,-PMT(INDEX(Lookups!$E$17:$G$17,MATCH($C$4,Lookups!$E$14:$G$14,0)),AN249,SUMIFS('EE Inputs'!$W$9:$W$32,'EE Inputs'!$C$9:$C$32,$AM$6,'EE Inputs'!$D$9:$D$32,$C$4,'EE Inputs'!$E$9:$E$32,$B263),0,1)))</f>
        <v>0</v>
      </c>
      <c r="AO263" s="72">
        <f ca="1">IF($C$4=Lookups!$D$40,SUM(INDIRECT("'Yr1'!"&amp;ADDRESS(ROW(AO263),COLUMN(AO263))),INDIRECT("'Yr2'!"&amp;ADDRESS(ROW(AO263),COLUMN(AO263))),INDIRECT("'Yr3'!"&amp;ADDRESS(ROW(AO263),COLUMN(AO263)))),
IF(AO249=0,0,-PMT(INDEX(Lookups!$E$17:$G$17,MATCH($C$4,Lookups!$E$14:$G$14,0)),AO249,SUMIFS('EE Inputs'!$W$9:$W$32,'EE Inputs'!$C$9:$C$32,$AM$6,'EE Inputs'!$D$9:$D$32,$C$4,'EE Inputs'!$E$9:$E$32,$B263),0,1)))</f>
        <v>50417.558554508709</v>
      </c>
      <c r="AP263" s="72">
        <f ca="1">IF($C$4=Lookups!$D$40,SUM(INDIRECT("'Yr1'!"&amp;ADDRESS(ROW(AP263),COLUMN(AP263))),INDIRECT("'Yr2'!"&amp;ADDRESS(ROW(AP263),COLUMN(AP263))),INDIRECT("'Yr3'!"&amp;ADDRESS(ROW(AP263),COLUMN(AP263)))),
IF(AP249=0,0,-PMT(INDEX(Lookups!$E$17:$G$17,MATCH($C$4,Lookups!$E$14:$G$14,0)),AP249,SUMIFS('EE Inputs'!$W$9:$W$32,'EE Inputs'!$C$9:$C$32,$AM$6,'EE Inputs'!$D$9:$D$32,$C$4,'EE Inputs'!$E$9:$E$32,$B263),0,1)))</f>
        <v>50417.558554508709</v>
      </c>
      <c r="AQ263" s="72">
        <f ca="1">IF($C$4=Lookups!$D$40,SUM(INDIRECT("'Yr1'!"&amp;ADDRESS(ROW(AQ263),COLUMN(AQ263))),INDIRECT("'Yr2'!"&amp;ADDRESS(ROW(AQ263),COLUMN(AQ263))),INDIRECT("'Yr3'!"&amp;ADDRESS(ROW(AQ263),COLUMN(AQ263)))),
IF(AQ249=0,0,-PMT(INDEX(Lookups!$E$17:$G$17,MATCH($C$4,Lookups!$E$14:$G$14,0)),AQ249,SUMIFS('EE Inputs'!$W$9:$W$32,'EE Inputs'!$C$9:$C$32,$AM$6,'EE Inputs'!$D$9:$D$32,$C$4,'EE Inputs'!$E$9:$E$32,$B263),0,1)))</f>
        <v>50417.558554508709</v>
      </c>
      <c r="AR263" s="72">
        <f ca="1">IF($C$4=Lookups!$D$40,SUM(INDIRECT("'Yr1'!"&amp;ADDRESS(ROW(AR263),COLUMN(AR263))),INDIRECT("'Yr2'!"&amp;ADDRESS(ROW(AR263),COLUMN(AR263))),INDIRECT("'Yr3'!"&amp;ADDRESS(ROW(AR263),COLUMN(AR263)))),
IF(AR249=0,0,-PMT(INDEX(Lookups!$E$17:$G$17,MATCH($C$4,Lookups!$E$14:$G$14,0)),AR249,SUMIFS('EE Inputs'!$W$9:$W$32,'EE Inputs'!$C$9:$C$32,$AM$6,'EE Inputs'!$D$9:$D$32,$C$4,'EE Inputs'!$E$9:$E$32,$B263),0,1)))</f>
        <v>50417.558554508709</v>
      </c>
      <c r="AS263" s="72">
        <f ca="1">IF($C$4=Lookups!$D$40,SUM(INDIRECT("'Yr1'!"&amp;ADDRESS(ROW(AS263),COLUMN(AS263))),INDIRECT("'Yr2'!"&amp;ADDRESS(ROW(AS263),COLUMN(AS263))),INDIRECT("'Yr3'!"&amp;ADDRESS(ROW(AS263),COLUMN(AS263)))),
IF(AS249=0,0,-PMT(INDEX(Lookups!$E$17:$G$17,MATCH($C$4,Lookups!$E$14:$G$14,0)),AS249,SUMIFS('EE Inputs'!$W$9:$W$32,'EE Inputs'!$C$9:$C$32,$AM$6,'EE Inputs'!$D$9:$D$32,$C$4,'EE Inputs'!$E$9:$E$32,$B263),0,1)))</f>
        <v>50417.558554508709</v>
      </c>
      <c r="AT263" s="72">
        <f ca="1">IF($C$4=Lookups!$D$40,SUM(INDIRECT("'Yr1'!"&amp;ADDRESS(ROW(AT263),COLUMN(AT263))),INDIRECT("'Yr2'!"&amp;ADDRESS(ROW(AT263),COLUMN(AT263))),INDIRECT("'Yr3'!"&amp;ADDRESS(ROW(AT263),COLUMN(AT263)))),
IF(AT249=0,0,-PMT(INDEX(Lookups!$E$17:$G$17,MATCH($C$4,Lookups!$E$14:$G$14,0)),AT249,SUMIFS('EE Inputs'!$W$9:$W$32,'EE Inputs'!$C$9:$C$32,$AM$6,'EE Inputs'!$D$9:$D$32,$C$4,'EE Inputs'!$E$9:$E$32,$B263),0,1)))</f>
        <v>50417.558554508709</v>
      </c>
      <c r="AU263" s="72">
        <f ca="1">IF($C$4=Lookups!$D$40,SUM(INDIRECT("'Yr1'!"&amp;ADDRESS(ROW(AU263),COLUMN(AU263))),INDIRECT("'Yr2'!"&amp;ADDRESS(ROW(AU263),COLUMN(AU263))),INDIRECT("'Yr3'!"&amp;ADDRESS(ROW(AU263),COLUMN(AU263)))),
IF(AU249=0,0,-PMT(INDEX(Lookups!$E$17:$G$17,MATCH($C$4,Lookups!$E$14:$G$14,0)),AU249,SUMIFS('EE Inputs'!$W$9:$W$32,'EE Inputs'!$C$9:$C$32,$AM$6,'EE Inputs'!$D$9:$D$32,$C$4,'EE Inputs'!$E$9:$E$32,$B263),0,1)))</f>
        <v>50417.558554508709</v>
      </c>
      <c r="AV263" s="72">
        <f ca="1">IF($C$4=Lookups!$D$40,SUM(INDIRECT("'Yr1'!"&amp;ADDRESS(ROW(AV263),COLUMN(AV263))),INDIRECT("'Yr2'!"&amp;ADDRESS(ROW(AV263),COLUMN(AV263))),INDIRECT("'Yr3'!"&amp;ADDRESS(ROW(AV263),COLUMN(AV263)))),
IF(AV249=0,0,-PMT(INDEX(Lookups!$E$17:$G$17,MATCH($C$4,Lookups!$E$14:$G$14,0)),AV249,SUMIFS('EE Inputs'!$W$9:$W$32,'EE Inputs'!$C$9:$C$32,$AM$6,'EE Inputs'!$D$9:$D$32,$C$4,'EE Inputs'!$E$9:$E$32,$B263),0,1)))</f>
        <v>50417.558554508709</v>
      </c>
      <c r="AW263" s="72">
        <f ca="1">IF($C$4=Lookups!$D$40,SUM(INDIRECT("'Yr1'!"&amp;ADDRESS(ROW(AW263),COLUMN(AW263))),INDIRECT("'Yr2'!"&amp;ADDRESS(ROW(AW263),COLUMN(AW263))),INDIRECT("'Yr3'!"&amp;ADDRESS(ROW(AW263),COLUMN(AW263)))),
IF(AW249=0,0,-PMT(INDEX(Lookups!$E$17:$G$17,MATCH($C$4,Lookups!$E$14:$G$14,0)),AW249,SUMIFS('EE Inputs'!$W$9:$W$32,'EE Inputs'!$C$9:$C$32,$AM$6,'EE Inputs'!$D$9:$D$32,$C$4,'EE Inputs'!$E$9:$E$32,$B263),0,1)))</f>
        <v>50417.558554508709</v>
      </c>
      <c r="AX263" s="72">
        <f ca="1">IF($C$4=Lookups!$D$40,SUM(INDIRECT("'Yr1'!"&amp;ADDRESS(ROW(AX263),COLUMN(AX263))),INDIRECT("'Yr2'!"&amp;ADDRESS(ROW(AX263),COLUMN(AX263))),INDIRECT("'Yr3'!"&amp;ADDRESS(ROW(AX263),COLUMN(AX263)))),
IF(AX249=0,0,-PMT(INDEX(Lookups!$E$17:$G$17,MATCH($C$4,Lookups!$E$14:$G$14,0)),AX249,SUMIFS('EE Inputs'!$W$9:$W$32,'EE Inputs'!$C$9:$C$32,$AM$6,'EE Inputs'!$D$9:$D$32,$C$4,'EE Inputs'!$E$9:$E$32,$B263),0,1)))</f>
        <v>50417.558554508709</v>
      </c>
      <c r="AY263" s="72">
        <f ca="1">IF($C$4=Lookups!$D$40,SUM(INDIRECT("'Yr1'!"&amp;ADDRESS(ROW(AY263),COLUMN(AY263))),INDIRECT("'Yr2'!"&amp;ADDRESS(ROW(AY263),COLUMN(AY263))),INDIRECT("'Yr3'!"&amp;ADDRESS(ROW(AY263),COLUMN(AY263)))),
IF(AY249=0,0,-PMT(INDEX(Lookups!$E$17:$G$17,MATCH($C$4,Lookups!$E$14:$G$14,0)),AY249,SUMIFS('EE Inputs'!$W$9:$W$32,'EE Inputs'!$C$9:$C$32,$AM$6,'EE Inputs'!$D$9:$D$32,$C$4,'EE Inputs'!$E$9:$E$32,$B263),0,1)))</f>
        <v>50417.558554508709</v>
      </c>
      <c r="AZ263" s="72">
        <f ca="1">IF($C$4=Lookups!$D$40,SUM(INDIRECT("'Yr1'!"&amp;ADDRESS(ROW(AZ263),COLUMN(AZ263))),INDIRECT("'Yr2'!"&amp;ADDRESS(ROW(AZ263),COLUMN(AZ263))),INDIRECT("'Yr3'!"&amp;ADDRESS(ROW(AZ263),COLUMN(AZ263)))),
IF(AZ249=0,0,-PMT(INDEX(Lookups!$E$17:$G$17,MATCH($C$4,Lookups!$E$14:$G$14,0)),AZ249,SUMIFS('EE Inputs'!$W$9:$W$32,'EE Inputs'!$C$9:$C$32,$AM$6,'EE Inputs'!$D$9:$D$32,$C$4,'EE Inputs'!$E$9:$E$32,$B263),0,1)))</f>
        <v>50417.558554508709</v>
      </c>
      <c r="BA263" s="72">
        <f ca="1">IF($C$4=Lookups!$D$40,SUM(INDIRECT("'Yr1'!"&amp;ADDRESS(ROW(BA263),COLUMN(BA263))),INDIRECT("'Yr2'!"&amp;ADDRESS(ROW(BA263),COLUMN(BA263))),INDIRECT("'Yr3'!"&amp;ADDRESS(ROW(BA263),COLUMN(BA263)))),
IF(BA249=0,0,-PMT(INDEX(Lookups!$E$17:$G$17,MATCH($C$4,Lookups!$E$14:$G$14,0)),BA249,SUMIFS('EE Inputs'!$W$9:$W$32,'EE Inputs'!$C$9:$C$32,$AM$6,'EE Inputs'!$D$9:$D$32,$C$4,'EE Inputs'!$E$9:$E$32,$B263),0,1)))</f>
        <v>50417.558554508709</v>
      </c>
      <c r="BB263" s="72">
        <f ca="1">IF($C$4=Lookups!$D$40,SUM(INDIRECT("'Yr1'!"&amp;ADDRESS(ROW(BB263),COLUMN(BB263))),INDIRECT("'Yr2'!"&amp;ADDRESS(ROW(BB263),COLUMN(BB263))),INDIRECT("'Yr3'!"&amp;ADDRESS(ROW(BB263),COLUMN(BB263)))),
IF(BB249=0,0,-PMT(INDEX(Lookups!$E$17:$G$17,MATCH($C$4,Lookups!$E$14:$G$14,0)),BB249,SUMIFS('EE Inputs'!$W$9:$W$32,'EE Inputs'!$C$9:$C$32,$AM$6,'EE Inputs'!$D$9:$D$32,$C$4,'EE Inputs'!$E$9:$E$32,$B263),0,1)))</f>
        <v>0</v>
      </c>
      <c r="BC263" s="72">
        <f ca="1">IF($C$4=Lookups!$D$40,SUM(INDIRECT("'Yr1'!"&amp;ADDRESS(ROW(BC263),COLUMN(BC263))),INDIRECT("'Yr2'!"&amp;ADDRESS(ROW(BC263),COLUMN(BC263))),INDIRECT("'Yr3'!"&amp;ADDRESS(ROW(BC263),COLUMN(BC263)))),
IF(BC249=0,0,-PMT(INDEX(Lookups!$E$17:$G$17,MATCH($C$4,Lookups!$E$14:$G$14,0)),BC249,SUMIFS('EE Inputs'!$W$9:$W$32,'EE Inputs'!$C$9:$C$32,$AM$6,'EE Inputs'!$D$9:$D$32,$C$4,'EE Inputs'!$E$9:$E$32,$B263),0,1)))</f>
        <v>0</v>
      </c>
      <c r="BD263" s="72">
        <f ca="1">IF($C$4=Lookups!$D$40,SUM(INDIRECT("'Yr1'!"&amp;ADDRESS(ROW(BD263),COLUMN(BD263))),INDIRECT("'Yr2'!"&amp;ADDRESS(ROW(BD263),COLUMN(BD263))),INDIRECT("'Yr3'!"&amp;ADDRESS(ROW(BD263),COLUMN(BD263)))),
IF(BD249=0,0,-PMT(INDEX(Lookups!$E$17:$G$17,MATCH($C$4,Lookups!$E$14:$G$14,0)),BD249,SUMIFS('EE Inputs'!$W$9:$W$32,'EE Inputs'!$C$9:$C$32,$AM$6,'EE Inputs'!$D$9:$D$32,$C$4,'EE Inputs'!$E$9:$E$32,$B263),0,1)))</f>
        <v>0</v>
      </c>
      <c r="BE263" s="72">
        <f ca="1">IF($C$4=Lookups!$D$40,SUM(INDIRECT("'Yr1'!"&amp;ADDRESS(ROW(BE263),COLUMN(BE263))),INDIRECT("'Yr2'!"&amp;ADDRESS(ROW(BE263),COLUMN(BE263))),INDIRECT("'Yr3'!"&amp;ADDRESS(ROW(BE263),COLUMN(BE263)))),
IF(BE249=0,0,-PMT(INDEX(Lookups!$E$17:$G$17,MATCH($C$4,Lookups!$E$14:$G$14,0)),BE249,SUMIFS('EE Inputs'!$W$9:$W$32,'EE Inputs'!$C$9:$C$32,$AM$6,'EE Inputs'!$D$9:$D$32,$C$4,'EE Inputs'!$E$9:$E$32,$B263),0,1)))</f>
        <v>0</v>
      </c>
      <c r="BF263" s="72">
        <f ca="1">IF($C$4=Lookups!$D$40,SUM(INDIRECT("'Yr1'!"&amp;ADDRESS(ROW(BF263),COLUMN(BF263))),INDIRECT("'Yr2'!"&amp;ADDRESS(ROW(BF263),COLUMN(BF263))),INDIRECT("'Yr3'!"&amp;ADDRESS(ROW(BF263),COLUMN(BF263)))),
IF(BF249=0,0,-PMT(INDEX(Lookups!$E$17:$G$17,MATCH($C$4,Lookups!$E$14:$G$14,0)),BF249,SUMIFS('EE Inputs'!$W$9:$W$32,'EE Inputs'!$C$9:$C$32,$AM$6,'EE Inputs'!$D$9:$D$32,$C$4,'EE Inputs'!$E$9:$E$32,$B263),0,1)))</f>
        <v>0</v>
      </c>
      <c r="BG263" s="72">
        <f ca="1">IF($C$4=Lookups!$D$40,SUM(INDIRECT("'Yr1'!"&amp;ADDRESS(ROW(BG263),COLUMN(BG263))),INDIRECT("'Yr2'!"&amp;ADDRESS(ROW(BG263),COLUMN(BG263))),INDIRECT("'Yr3'!"&amp;ADDRESS(ROW(BG263),COLUMN(BG263)))),
IF(BG249=0,0,-PMT(INDEX(Lookups!$E$17:$G$17,MATCH($C$4,Lookups!$E$14:$G$14,0)),BG249,SUMIFS('EE Inputs'!$W$9:$W$32,'EE Inputs'!$C$9:$C$32,$AM$6,'EE Inputs'!$D$9:$D$32,$C$4,'EE Inputs'!$E$9:$E$32,$B263),0,1)))</f>
        <v>0</v>
      </c>
      <c r="BH263" s="72">
        <f ca="1">IF($C$4=Lookups!$D$40,SUM(INDIRECT("'Yr1'!"&amp;ADDRESS(ROW(BH263),COLUMN(BH263))),INDIRECT("'Yr2'!"&amp;ADDRESS(ROW(BH263),COLUMN(BH263))),INDIRECT("'Yr3'!"&amp;ADDRESS(ROW(BH263),COLUMN(BH263)))),
IF(BH249=0,0,-PMT(INDEX(Lookups!$E$17:$G$17,MATCH($C$4,Lookups!$E$14:$G$14,0)),BH249,SUMIFS('EE Inputs'!$W$9:$W$32,'EE Inputs'!$C$9:$C$32,$AM$6,'EE Inputs'!$D$9:$D$32,$C$4,'EE Inputs'!$E$9:$E$32,$B263),0,1)))</f>
        <v>0</v>
      </c>
      <c r="BI263" s="72">
        <f ca="1">IF($C$4=Lookups!$D$40,SUM(INDIRECT("'Yr1'!"&amp;ADDRESS(ROW(BI263),COLUMN(BI263))),INDIRECT("'Yr2'!"&amp;ADDRESS(ROW(BI263),COLUMN(BI263))),INDIRECT("'Yr3'!"&amp;ADDRESS(ROW(BI263),COLUMN(BI263)))),
IF(BI249=0,0,-PMT(INDEX(Lookups!$E$17:$G$17,MATCH($C$4,Lookups!$E$14:$G$14,0)),BI249,SUMIFS('EE Inputs'!$W$9:$W$32,'EE Inputs'!$C$9:$C$32,$AM$6,'EE Inputs'!$D$9:$D$32,$C$4,'EE Inputs'!$E$9:$E$32,$B263),0,1)))</f>
        <v>0</v>
      </c>
      <c r="BJ263" s="72">
        <f ca="1">IF($C$4=Lookups!$D$40,SUM(INDIRECT("'Yr1'!"&amp;ADDRESS(ROW(BJ263),COLUMN(BJ263))),INDIRECT("'Yr2'!"&amp;ADDRESS(ROW(BJ263),COLUMN(BJ263))),INDIRECT("'Yr3'!"&amp;ADDRESS(ROW(BJ263),COLUMN(BJ263)))),
IF(BJ249=0,0,-PMT(INDEX(Lookups!$E$17:$G$17,MATCH($C$4,Lookups!$E$14:$G$14,0)),BJ249,SUMIFS('EE Inputs'!$W$9:$W$32,'EE Inputs'!$C$9:$C$32,$AM$6,'EE Inputs'!$D$9:$D$32,$C$4,'EE Inputs'!$E$9:$E$32,$B263),0,1)))</f>
        <v>0</v>
      </c>
      <c r="BK263" s="72">
        <f ca="1">IF($C$4=Lookups!$D$40,SUM(INDIRECT("'Yr1'!"&amp;ADDRESS(ROW(BK263),COLUMN(BK263))),INDIRECT("'Yr2'!"&amp;ADDRESS(ROW(BK263),COLUMN(BK263))),INDIRECT("'Yr3'!"&amp;ADDRESS(ROW(BK263),COLUMN(BK263)))),
IF(BK249=0,0,-PMT(INDEX(Lookups!$E$17:$G$17,MATCH($C$4,Lookups!$E$14:$G$14,0)),BK249,SUMIFS('EE Inputs'!$W$9:$W$32,'EE Inputs'!$C$9:$C$32,$AM$6,'EE Inputs'!$D$9:$D$32,$C$4,'EE Inputs'!$E$9:$E$32,$B263),0,1)))</f>
        <v>0</v>
      </c>
      <c r="BL263" s="72">
        <f ca="1">IF($C$4=Lookups!$D$40,SUM(INDIRECT("'Yr1'!"&amp;ADDRESS(ROW(BL263),COLUMN(BL263))),INDIRECT("'Yr2'!"&amp;ADDRESS(ROW(BL263),COLUMN(BL263))),INDIRECT("'Yr3'!"&amp;ADDRESS(ROW(BL263),COLUMN(BL263)))),
IF(BL249=0,0,-PMT(INDEX(Lookups!$E$17:$G$17,MATCH($C$4,Lookups!$E$14:$G$14,0)),BL249,SUMIFS('EE Inputs'!$W$9:$W$32,'EE Inputs'!$C$9:$C$32,$AM$6,'EE Inputs'!$D$9:$D$32,$C$4,'EE Inputs'!$E$9:$E$32,$B263),0,1)))</f>
        <v>0</v>
      </c>
      <c r="BM263" s="72">
        <f ca="1">IF($C$4=Lookups!$D$40,SUM(INDIRECT("'Yr1'!"&amp;ADDRESS(ROW(BM263),COLUMN(BM263))),INDIRECT("'Yr2'!"&amp;ADDRESS(ROW(BM263),COLUMN(BM263))),INDIRECT("'Yr3'!"&amp;ADDRESS(ROW(BM263),COLUMN(BM263)))),
IF(BM249=0,0,-PMT(INDEX(Lookups!$E$17:$G$17,MATCH($C$4,Lookups!$E$14:$G$14,0)),BM249,SUMIFS('EE Inputs'!$W$9:$W$32,'EE Inputs'!$C$9:$C$32,$AM$6,'EE Inputs'!$D$9:$D$32,$C$4,'EE Inputs'!$E$9:$E$32,$B263),0,1)))</f>
        <v>0</v>
      </c>
      <c r="BN263" s="72"/>
      <c r="BO263" s="72">
        <f ca="1">NPV(Lookups!$E$17,AM263:BM263)</f>
        <v>578399.7151560114</v>
      </c>
      <c r="BP263" s="72"/>
      <c r="BS263" s="84" t="s">
        <v>413</v>
      </c>
      <c r="BT263" s="51"/>
    </row>
    <row r="264" spans="1:72" x14ac:dyDescent="0.25">
      <c r="A264" s="246"/>
      <c r="B264" s="243" t="str">
        <f t="shared" ref="B264:C264" si="285">B262</f>
        <v>Large C&amp;I</v>
      </c>
      <c r="C264" s="243" t="str">
        <f t="shared" si="285"/>
        <v>Revenue Requirements</v>
      </c>
      <c r="D264" s="244" t="str">
        <f>D262</f>
        <v>Avoided Costs</v>
      </c>
      <c r="E264" s="86" t="s">
        <v>175</v>
      </c>
      <c r="F264" s="84" t="s">
        <v>32</v>
      </c>
      <c r="G264" s="65">
        <f ca="1">IF($C$4=Lookups!$D$40,SUM(INDIRECT("'Yr1'!"&amp;ADDRESS(ROW(G264),COLUMN(G264))),INDIRECT("'Yr2'!"&amp;ADDRESS(ROW(G264),COLUMN(G264))),INDIRECT("'Yr3'!"&amp;ADDRESS(ROW(G264),COLUMN(G264)))),
IF(G249=0,0,-PMT(INDEX(Lookups!$E$17:$G$17,MATCH($C$4,Lookups!$E$14:$G$14,0)),G249,SUMIFS('EE Inputs'!$K$9:$K$32,'EE Inputs'!$C$9:$C$32,$G$6,'EE Inputs'!$D$9:$D$32,$C$4,'EE Inputs'!$E$9:$E$32,$B264),0,1)))</f>
        <v>0</v>
      </c>
      <c r="H264" s="65">
        <f ca="1">IF($C$4=Lookups!$D$40,SUM(INDIRECT("'Yr1'!"&amp;ADDRESS(ROW(H264),COLUMN(H264))),INDIRECT("'Yr2'!"&amp;ADDRESS(ROW(H264),COLUMN(H264))),INDIRECT("'Yr3'!"&amp;ADDRESS(ROW(H264),COLUMN(H264)))),
IF(H249=0,0,-PMT(INDEX(Lookups!$E$17:$G$17,MATCH($C$4,Lookups!$E$14:$G$14,0)),H249,SUMIFS('EE Inputs'!$K$9:$K$32,'EE Inputs'!$C$9:$C$32,$G$6,'EE Inputs'!$D$9:$D$32,$C$4,'EE Inputs'!$E$9:$E$32,$B264),0,1)))</f>
        <v>0</v>
      </c>
      <c r="I264" s="65">
        <f ca="1">IF($C$4=Lookups!$D$40,SUM(INDIRECT("'Yr1'!"&amp;ADDRESS(ROW(I264),COLUMN(I264))),INDIRECT("'Yr2'!"&amp;ADDRESS(ROW(I264),COLUMN(I264))),INDIRECT("'Yr3'!"&amp;ADDRESS(ROW(I264),COLUMN(I264)))),
IF(I249=0,0,-PMT(INDEX(Lookups!$E$17:$G$17,MATCH($C$4,Lookups!$E$14:$G$14,0)),I249,SUMIFS('EE Inputs'!$K$9:$K$32,'EE Inputs'!$C$9:$C$32,$G$6,'EE Inputs'!$D$9:$D$32,$C$4,'EE Inputs'!$E$9:$E$32,$B264),0,1)))</f>
        <v>34948.774283488034</v>
      </c>
      <c r="J264" s="65">
        <f ca="1">IF($C$4=Lookups!$D$40,SUM(INDIRECT("'Yr1'!"&amp;ADDRESS(ROW(J264),COLUMN(J264))),INDIRECT("'Yr2'!"&amp;ADDRESS(ROW(J264),COLUMN(J264))),INDIRECT("'Yr3'!"&amp;ADDRESS(ROW(J264),COLUMN(J264)))),
IF(J249=0,0,-PMT(INDEX(Lookups!$E$17:$G$17,MATCH($C$4,Lookups!$E$14:$G$14,0)),J249,SUMIFS('EE Inputs'!$K$9:$K$32,'EE Inputs'!$C$9:$C$32,$G$6,'EE Inputs'!$D$9:$D$32,$C$4,'EE Inputs'!$E$9:$E$32,$B264),0,1)))</f>
        <v>34948.774283488034</v>
      </c>
      <c r="K264" s="65">
        <f ca="1">IF($C$4=Lookups!$D$40,SUM(INDIRECT("'Yr1'!"&amp;ADDRESS(ROW(K264),COLUMN(K264))),INDIRECT("'Yr2'!"&amp;ADDRESS(ROW(K264),COLUMN(K264))),INDIRECT("'Yr3'!"&amp;ADDRESS(ROW(K264),COLUMN(K264)))),
IF(K249=0,0,-PMT(INDEX(Lookups!$E$17:$G$17,MATCH($C$4,Lookups!$E$14:$G$14,0)),K249,SUMIFS('EE Inputs'!$K$9:$K$32,'EE Inputs'!$C$9:$C$32,$G$6,'EE Inputs'!$D$9:$D$32,$C$4,'EE Inputs'!$E$9:$E$32,$B264),0,1)))</f>
        <v>34948.774283488034</v>
      </c>
      <c r="L264" s="65">
        <f ca="1">IF($C$4=Lookups!$D$40,SUM(INDIRECT("'Yr1'!"&amp;ADDRESS(ROW(L264),COLUMN(L264))),INDIRECT("'Yr2'!"&amp;ADDRESS(ROW(L264),COLUMN(L264))),INDIRECT("'Yr3'!"&amp;ADDRESS(ROW(L264),COLUMN(L264)))),
IF(L249=0,0,-PMT(INDEX(Lookups!$E$17:$G$17,MATCH($C$4,Lookups!$E$14:$G$14,0)),L249,SUMIFS('EE Inputs'!$K$9:$K$32,'EE Inputs'!$C$9:$C$32,$G$6,'EE Inputs'!$D$9:$D$32,$C$4,'EE Inputs'!$E$9:$E$32,$B264),0,1)))</f>
        <v>34948.774283488034</v>
      </c>
      <c r="M264" s="65">
        <f ca="1">IF($C$4=Lookups!$D$40,SUM(INDIRECT("'Yr1'!"&amp;ADDRESS(ROW(M264),COLUMN(M264))),INDIRECT("'Yr2'!"&amp;ADDRESS(ROW(M264),COLUMN(M264))),INDIRECT("'Yr3'!"&amp;ADDRESS(ROW(M264),COLUMN(M264)))),
IF(M249=0,0,-PMT(INDEX(Lookups!$E$17:$G$17,MATCH($C$4,Lookups!$E$14:$G$14,0)),M249,SUMIFS('EE Inputs'!$K$9:$K$32,'EE Inputs'!$C$9:$C$32,$G$6,'EE Inputs'!$D$9:$D$32,$C$4,'EE Inputs'!$E$9:$E$32,$B264),0,1)))</f>
        <v>34948.774283488034</v>
      </c>
      <c r="N264" s="65">
        <f ca="1">IF($C$4=Lookups!$D$40,SUM(INDIRECT("'Yr1'!"&amp;ADDRESS(ROW(N264),COLUMN(N264))),INDIRECT("'Yr2'!"&amp;ADDRESS(ROW(N264),COLUMN(N264))),INDIRECT("'Yr3'!"&amp;ADDRESS(ROW(N264),COLUMN(N264)))),
IF(N249=0,0,-PMT(INDEX(Lookups!$E$17:$G$17,MATCH($C$4,Lookups!$E$14:$G$14,0)),N249,SUMIFS('EE Inputs'!$K$9:$K$32,'EE Inputs'!$C$9:$C$32,$G$6,'EE Inputs'!$D$9:$D$32,$C$4,'EE Inputs'!$E$9:$E$32,$B264),0,1)))</f>
        <v>34948.774283488034</v>
      </c>
      <c r="O264" s="65">
        <f ca="1">IF($C$4=Lookups!$D$40,SUM(INDIRECT("'Yr1'!"&amp;ADDRESS(ROW(O264),COLUMN(O264))),INDIRECT("'Yr2'!"&amp;ADDRESS(ROW(O264),COLUMN(O264))),INDIRECT("'Yr3'!"&amp;ADDRESS(ROW(O264),COLUMN(O264)))),
IF(O249=0,0,-PMT(INDEX(Lookups!$E$17:$G$17,MATCH($C$4,Lookups!$E$14:$G$14,0)),O249,SUMIFS('EE Inputs'!$K$9:$K$32,'EE Inputs'!$C$9:$C$32,$G$6,'EE Inputs'!$D$9:$D$32,$C$4,'EE Inputs'!$E$9:$E$32,$B264),0,1)))</f>
        <v>34948.774283488034</v>
      </c>
      <c r="P264" s="65">
        <f ca="1">IF($C$4=Lookups!$D$40,SUM(INDIRECT("'Yr1'!"&amp;ADDRESS(ROW(P264),COLUMN(P264))),INDIRECT("'Yr2'!"&amp;ADDRESS(ROW(P264),COLUMN(P264))),INDIRECT("'Yr3'!"&amp;ADDRESS(ROW(P264),COLUMN(P264)))),
IF(P249=0,0,-PMT(INDEX(Lookups!$E$17:$G$17,MATCH($C$4,Lookups!$E$14:$G$14,0)),P249,SUMIFS('EE Inputs'!$K$9:$K$32,'EE Inputs'!$C$9:$C$32,$G$6,'EE Inputs'!$D$9:$D$32,$C$4,'EE Inputs'!$E$9:$E$32,$B264),0,1)))</f>
        <v>34948.774283488034</v>
      </c>
      <c r="Q264" s="65">
        <f ca="1">IF($C$4=Lookups!$D$40,SUM(INDIRECT("'Yr1'!"&amp;ADDRESS(ROW(Q264),COLUMN(Q264))),INDIRECT("'Yr2'!"&amp;ADDRESS(ROW(Q264),COLUMN(Q264))),INDIRECT("'Yr3'!"&amp;ADDRESS(ROW(Q264),COLUMN(Q264)))),
IF(Q249=0,0,-PMT(INDEX(Lookups!$E$17:$G$17,MATCH($C$4,Lookups!$E$14:$G$14,0)),Q249,SUMIFS('EE Inputs'!$K$9:$K$32,'EE Inputs'!$C$9:$C$32,$G$6,'EE Inputs'!$D$9:$D$32,$C$4,'EE Inputs'!$E$9:$E$32,$B264),0,1)))</f>
        <v>34948.774283488034</v>
      </c>
      <c r="R264" s="65">
        <f ca="1">IF($C$4=Lookups!$D$40,SUM(INDIRECT("'Yr1'!"&amp;ADDRESS(ROW(R264),COLUMN(R264))),INDIRECT("'Yr2'!"&amp;ADDRESS(ROW(R264),COLUMN(R264))),INDIRECT("'Yr3'!"&amp;ADDRESS(ROW(R264),COLUMN(R264)))),
IF(R249=0,0,-PMT(INDEX(Lookups!$E$17:$G$17,MATCH($C$4,Lookups!$E$14:$G$14,0)),R249,SUMIFS('EE Inputs'!$K$9:$K$32,'EE Inputs'!$C$9:$C$32,$G$6,'EE Inputs'!$D$9:$D$32,$C$4,'EE Inputs'!$E$9:$E$32,$B264),0,1)))</f>
        <v>34948.774283488034</v>
      </c>
      <c r="S264" s="65">
        <f ca="1">IF($C$4=Lookups!$D$40,SUM(INDIRECT("'Yr1'!"&amp;ADDRESS(ROW(S264),COLUMN(S264))),INDIRECT("'Yr2'!"&amp;ADDRESS(ROW(S264),COLUMN(S264))),INDIRECT("'Yr3'!"&amp;ADDRESS(ROW(S264),COLUMN(S264)))),
IF(S249=0,0,-PMT(INDEX(Lookups!$E$17:$G$17,MATCH($C$4,Lookups!$E$14:$G$14,0)),S249,SUMIFS('EE Inputs'!$K$9:$K$32,'EE Inputs'!$C$9:$C$32,$G$6,'EE Inputs'!$D$9:$D$32,$C$4,'EE Inputs'!$E$9:$E$32,$B264),0,1)))</f>
        <v>34948.774283488034</v>
      </c>
      <c r="T264" s="65">
        <f ca="1">IF($C$4=Lookups!$D$40,SUM(INDIRECT("'Yr1'!"&amp;ADDRESS(ROW(T264),COLUMN(T264))),INDIRECT("'Yr2'!"&amp;ADDRESS(ROW(T264),COLUMN(T264))),INDIRECT("'Yr3'!"&amp;ADDRESS(ROW(T264),COLUMN(T264)))),
IF(T249=0,0,-PMT(INDEX(Lookups!$E$17:$G$17,MATCH($C$4,Lookups!$E$14:$G$14,0)),T249,SUMIFS('EE Inputs'!$K$9:$K$32,'EE Inputs'!$C$9:$C$32,$G$6,'EE Inputs'!$D$9:$D$32,$C$4,'EE Inputs'!$E$9:$E$32,$B264),0,1)))</f>
        <v>34948.774283488034</v>
      </c>
      <c r="U264" s="65">
        <f ca="1">IF($C$4=Lookups!$D$40,SUM(INDIRECT("'Yr1'!"&amp;ADDRESS(ROW(U264),COLUMN(U264))),INDIRECT("'Yr2'!"&amp;ADDRESS(ROW(U264),COLUMN(U264))),INDIRECT("'Yr3'!"&amp;ADDRESS(ROW(U264),COLUMN(U264)))),
IF(U249=0,0,-PMT(INDEX(Lookups!$E$17:$G$17,MATCH($C$4,Lookups!$E$14:$G$14,0)),U249,SUMIFS('EE Inputs'!$K$9:$K$32,'EE Inputs'!$C$9:$C$32,$G$6,'EE Inputs'!$D$9:$D$32,$C$4,'EE Inputs'!$E$9:$E$32,$B264),0,1)))</f>
        <v>34948.774283488034</v>
      </c>
      <c r="V264" s="65">
        <f ca="1">IF($C$4=Lookups!$D$40,SUM(INDIRECT("'Yr1'!"&amp;ADDRESS(ROW(V264),COLUMN(V264))),INDIRECT("'Yr2'!"&amp;ADDRESS(ROW(V264),COLUMN(V264))),INDIRECT("'Yr3'!"&amp;ADDRESS(ROW(V264),COLUMN(V264)))),
IF(V249=0,0,-PMT(INDEX(Lookups!$E$17:$G$17,MATCH($C$4,Lookups!$E$14:$G$14,0)),V249,SUMIFS('EE Inputs'!$K$9:$K$32,'EE Inputs'!$C$9:$C$32,$G$6,'EE Inputs'!$D$9:$D$32,$C$4,'EE Inputs'!$E$9:$E$32,$B264),0,1)))</f>
        <v>0</v>
      </c>
      <c r="W264" s="65">
        <f ca="1">IF($C$4=Lookups!$D$40,SUM(INDIRECT("'Yr1'!"&amp;ADDRESS(ROW(W264),COLUMN(W264))),INDIRECT("'Yr2'!"&amp;ADDRESS(ROW(W264),COLUMN(W264))),INDIRECT("'Yr3'!"&amp;ADDRESS(ROW(W264),COLUMN(W264)))),
IF(W249=0,0,-PMT(INDEX(Lookups!$E$17:$G$17,MATCH($C$4,Lookups!$E$14:$G$14,0)),W249,SUMIFS('EE Inputs'!$K$9:$K$32,'EE Inputs'!$C$9:$C$32,$G$6,'EE Inputs'!$D$9:$D$32,$C$4,'EE Inputs'!$E$9:$E$32,$B264),0,1)))</f>
        <v>0</v>
      </c>
      <c r="X264" s="65">
        <f ca="1">IF($C$4=Lookups!$D$40,SUM(INDIRECT("'Yr1'!"&amp;ADDRESS(ROW(X264),COLUMN(X264))),INDIRECT("'Yr2'!"&amp;ADDRESS(ROW(X264),COLUMN(X264))),INDIRECT("'Yr3'!"&amp;ADDRESS(ROW(X264),COLUMN(X264)))),
IF(X249=0,0,-PMT(INDEX(Lookups!$E$17:$G$17,MATCH($C$4,Lookups!$E$14:$G$14,0)),X249,SUMIFS('EE Inputs'!$K$9:$K$32,'EE Inputs'!$C$9:$C$32,$G$6,'EE Inputs'!$D$9:$D$32,$C$4,'EE Inputs'!$E$9:$E$32,$B264),0,1)))</f>
        <v>0</v>
      </c>
      <c r="Y264" s="65">
        <f ca="1">IF($C$4=Lookups!$D$40,SUM(INDIRECT("'Yr1'!"&amp;ADDRESS(ROW(Y264),COLUMN(Y264))),INDIRECT("'Yr2'!"&amp;ADDRESS(ROW(Y264),COLUMN(Y264))),INDIRECT("'Yr3'!"&amp;ADDRESS(ROW(Y264),COLUMN(Y264)))),
IF(Y249=0,0,-PMT(INDEX(Lookups!$E$17:$G$17,MATCH($C$4,Lookups!$E$14:$G$14,0)),Y249,SUMIFS('EE Inputs'!$K$9:$K$32,'EE Inputs'!$C$9:$C$32,$G$6,'EE Inputs'!$D$9:$D$32,$C$4,'EE Inputs'!$E$9:$E$32,$B264),0,1)))</f>
        <v>0</v>
      </c>
      <c r="Z264" s="65">
        <f ca="1">IF($C$4=Lookups!$D$40,SUM(INDIRECT("'Yr1'!"&amp;ADDRESS(ROW(Z264),COLUMN(Z264))),INDIRECT("'Yr2'!"&amp;ADDRESS(ROW(Z264),COLUMN(Z264))),INDIRECT("'Yr3'!"&amp;ADDRESS(ROW(Z264),COLUMN(Z264)))),
IF(Z249=0,0,-PMT(INDEX(Lookups!$E$17:$G$17,MATCH($C$4,Lookups!$E$14:$G$14,0)),Z249,SUMIFS('EE Inputs'!$K$9:$K$32,'EE Inputs'!$C$9:$C$32,$G$6,'EE Inputs'!$D$9:$D$32,$C$4,'EE Inputs'!$E$9:$E$32,$B264),0,1)))</f>
        <v>0</v>
      </c>
      <c r="AA264" s="65">
        <f ca="1">IF($C$4=Lookups!$D$40,SUM(INDIRECT("'Yr1'!"&amp;ADDRESS(ROW(AA264),COLUMN(AA264))),INDIRECT("'Yr2'!"&amp;ADDRESS(ROW(AA264),COLUMN(AA264))),INDIRECT("'Yr3'!"&amp;ADDRESS(ROW(AA264),COLUMN(AA264)))),
IF(AA249=0,0,-PMT(INDEX(Lookups!$E$17:$G$17,MATCH($C$4,Lookups!$E$14:$G$14,0)),AA249,SUMIFS('EE Inputs'!$K$9:$K$32,'EE Inputs'!$C$9:$C$32,$G$6,'EE Inputs'!$D$9:$D$32,$C$4,'EE Inputs'!$E$9:$E$32,$B264),0,1)))</f>
        <v>0</v>
      </c>
      <c r="AB264" s="65">
        <f ca="1">IF($C$4=Lookups!$D$40,SUM(INDIRECT("'Yr1'!"&amp;ADDRESS(ROW(AB264),COLUMN(AB264))),INDIRECT("'Yr2'!"&amp;ADDRESS(ROW(AB264),COLUMN(AB264))),INDIRECT("'Yr3'!"&amp;ADDRESS(ROW(AB264),COLUMN(AB264)))),
IF(AB249=0,0,-PMT(INDEX(Lookups!$E$17:$G$17,MATCH($C$4,Lookups!$E$14:$G$14,0)),AB249,SUMIFS('EE Inputs'!$K$9:$K$32,'EE Inputs'!$C$9:$C$32,$G$6,'EE Inputs'!$D$9:$D$32,$C$4,'EE Inputs'!$E$9:$E$32,$B264),0,1)))</f>
        <v>0</v>
      </c>
      <c r="AC264" s="65">
        <f ca="1">IF($C$4=Lookups!$D$40,SUM(INDIRECT("'Yr1'!"&amp;ADDRESS(ROW(AC264),COLUMN(AC264))),INDIRECT("'Yr2'!"&amp;ADDRESS(ROW(AC264),COLUMN(AC264))),INDIRECT("'Yr3'!"&amp;ADDRESS(ROW(AC264),COLUMN(AC264)))),
IF(AC249=0,0,-PMT(INDEX(Lookups!$E$17:$G$17,MATCH($C$4,Lookups!$E$14:$G$14,0)),AC249,SUMIFS('EE Inputs'!$K$9:$K$32,'EE Inputs'!$C$9:$C$32,$G$6,'EE Inputs'!$D$9:$D$32,$C$4,'EE Inputs'!$E$9:$E$32,$B264),0,1)))</f>
        <v>0</v>
      </c>
      <c r="AD264" s="65">
        <f ca="1">IF($C$4=Lookups!$D$40,SUM(INDIRECT("'Yr1'!"&amp;ADDRESS(ROW(AD264),COLUMN(AD264))),INDIRECT("'Yr2'!"&amp;ADDRESS(ROW(AD264),COLUMN(AD264))),INDIRECT("'Yr3'!"&amp;ADDRESS(ROW(AD264),COLUMN(AD264)))),
IF(AD249=0,0,-PMT(INDEX(Lookups!$E$17:$G$17,MATCH($C$4,Lookups!$E$14:$G$14,0)),AD249,SUMIFS('EE Inputs'!$K$9:$K$32,'EE Inputs'!$C$9:$C$32,$G$6,'EE Inputs'!$D$9:$D$32,$C$4,'EE Inputs'!$E$9:$E$32,$B264),0,1)))</f>
        <v>0</v>
      </c>
      <c r="AE264" s="65">
        <f ca="1">IF($C$4=Lookups!$D$40,SUM(INDIRECT("'Yr1'!"&amp;ADDRESS(ROW(AE264),COLUMN(AE264))),INDIRECT("'Yr2'!"&amp;ADDRESS(ROW(AE264),COLUMN(AE264))),INDIRECT("'Yr3'!"&amp;ADDRESS(ROW(AE264),COLUMN(AE264)))),
IF(AE249=0,0,-PMT(INDEX(Lookups!$E$17:$G$17,MATCH($C$4,Lookups!$E$14:$G$14,0)),AE249,SUMIFS('EE Inputs'!$K$9:$K$32,'EE Inputs'!$C$9:$C$32,$G$6,'EE Inputs'!$D$9:$D$32,$C$4,'EE Inputs'!$E$9:$E$32,$B264),0,1)))</f>
        <v>0</v>
      </c>
      <c r="AF264" s="65">
        <f ca="1">IF($C$4=Lookups!$D$40,SUM(INDIRECT("'Yr1'!"&amp;ADDRESS(ROW(AF264),COLUMN(AF264))),INDIRECT("'Yr2'!"&amp;ADDRESS(ROW(AF264),COLUMN(AF264))),INDIRECT("'Yr3'!"&amp;ADDRESS(ROW(AF264),COLUMN(AF264)))),
IF(AF249=0,0,-PMT(INDEX(Lookups!$E$17:$G$17,MATCH($C$4,Lookups!$E$14:$G$14,0)),AF249,SUMIFS('EE Inputs'!$K$9:$K$32,'EE Inputs'!$C$9:$C$32,$G$6,'EE Inputs'!$D$9:$D$32,$C$4,'EE Inputs'!$E$9:$E$32,$B264),0,1)))</f>
        <v>0</v>
      </c>
      <c r="AG264" s="65">
        <f ca="1">IF($C$4=Lookups!$D$40,SUM(INDIRECT("'Yr1'!"&amp;ADDRESS(ROW(AG264),COLUMN(AG264))),INDIRECT("'Yr2'!"&amp;ADDRESS(ROW(AG264),COLUMN(AG264))),INDIRECT("'Yr3'!"&amp;ADDRESS(ROW(AG264),COLUMN(AG264)))),
IF(AG249=0,0,-PMT(INDEX(Lookups!$E$17:$G$17,MATCH($C$4,Lookups!$E$14:$G$14,0)),AG249,SUMIFS('EE Inputs'!$K$9:$K$32,'EE Inputs'!$C$9:$C$32,$G$6,'EE Inputs'!$D$9:$D$32,$C$4,'EE Inputs'!$E$9:$E$32,$B264),0,1)))</f>
        <v>0</v>
      </c>
      <c r="AH264" s="65"/>
      <c r="AI264" s="65">
        <f ca="1">NPV(Lookups!$E$17,G264:AG264)</f>
        <v>400938.9123586092</v>
      </c>
      <c r="AJ264" s="65"/>
      <c r="AM264" s="72">
        <f ca="1">IF($C$4=Lookups!$D$40,SUM(INDIRECT("'Yr1'!"&amp;ADDRESS(ROW(AM264),COLUMN(AM264))),INDIRECT("'Yr2'!"&amp;ADDRESS(ROW(AM264),COLUMN(AM264))),INDIRECT("'Yr3'!"&amp;ADDRESS(ROW(AM264),COLUMN(AM264)))),
IF(AM249=0,0,-PMT(INDEX(Lookups!$E$17:$G$17,MATCH($C$4,Lookups!$E$14:$G$14,0)),AM249,SUMIFS('EE Inputs'!$K$9:$K$32,'EE Inputs'!$C$9:$C$32,$AM$6,'EE Inputs'!$D$9:$D$32,$C$4,'EE Inputs'!$E$9:$E$32,$B264),0,1)))</f>
        <v>0</v>
      </c>
      <c r="AN264" s="72">
        <f ca="1">IF($C$4=Lookups!$D$40,SUM(INDIRECT("'Yr1'!"&amp;ADDRESS(ROW(AN264),COLUMN(AN264))),INDIRECT("'Yr2'!"&amp;ADDRESS(ROW(AN264),COLUMN(AN264))),INDIRECT("'Yr3'!"&amp;ADDRESS(ROW(AN264),COLUMN(AN264)))),
IF(AN249=0,0,-PMT(INDEX(Lookups!$E$17:$G$17,MATCH($C$4,Lookups!$E$14:$G$14,0)),AN249,SUMIFS('EE Inputs'!$K$9:$K$32,'EE Inputs'!$C$9:$C$32,$AM$6,'EE Inputs'!$D$9:$D$32,$C$4,'EE Inputs'!$E$9:$E$32,$B264),0,1)))</f>
        <v>0</v>
      </c>
      <c r="AO264" s="72">
        <f ca="1">IF($C$4=Lookups!$D$40,SUM(INDIRECT("'Yr1'!"&amp;ADDRESS(ROW(AO264),COLUMN(AO264))),INDIRECT("'Yr2'!"&amp;ADDRESS(ROW(AO264),COLUMN(AO264))),INDIRECT("'Yr3'!"&amp;ADDRESS(ROW(AO264),COLUMN(AO264)))),
IF(AO249=0,0,-PMT(INDEX(Lookups!$E$17:$G$17,MATCH($C$4,Lookups!$E$14:$G$14,0)),AO249,SUMIFS('EE Inputs'!$K$9:$K$32,'EE Inputs'!$C$9:$C$32,$AM$6,'EE Inputs'!$D$9:$D$32,$C$4,'EE Inputs'!$E$9:$E$32,$B264),0,1)))</f>
        <v>39941.456323986327</v>
      </c>
      <c r="AP264" s="72">
        <f ca="1">IF($C$4=Lookups!$D$40,SUM(INDIRECT("'Yr1'!"&amp;ADDRESS(ROW(AP264),COLUMN(AP264))),INDIRECT("'Yr2'!"&amp;ADDRESS(ROW(AP264),COLUMN(AP264))),INDIRECT("'Yr3'!"&amp;ADDRESS(ROW(AP264),COLUMN(AP264)))),
IF(AP249=0,0,-PMT(INDEX(Lookups!$E$17:$G$17,MATCH($C$4,Lookups!$E$14:$G$14,0)),AP249,SUMIFS('EE Inputs'!$K$9:$K$32,'EE Inputs'!$C$9:$C$32,$AM$6,'EE Inputs'!$D$9:$D$32,$C$4,'EE Inputs'!$E$9:$E$32,$B264),0,1)))</f>
        <v>39941.456323986327</v>
      </c>
      <c r="AQ264" s="72">
        <f ca="1">IF($C$4=Lookups!$D$40,SUM(INDIRECT("'Yr1'!"&amp;ADDRESS(ROW(AQ264),COLUMN(AQ264))),INDIRECT("'Yr2'!"&amp;ADDRESS(ROW(AQ264),COLUMN(AQ264))),INDIRECT("'Yr3'!"&amp;ADDRESS(ROW(AQ264),COLUMN(AQ264)))),
IF(AQ249=0,0,-PMT(INDEX(Lookups!$E$17:$G$17,MATCH($C$4,Lookups!$E$14:$G$14,0)),AQ249,SUMIFS('EE Inputs'!$K$9:$K$32,'EE Inputs'!$C$9:$C$32,$AM$6,'EE Inputs'!$D$9:$D$32,$C$4,'EE Inputs'!$E$9:$E$32,$B264),0,1)))</f>
        <v>39941.456323986327</v>
      </c>
      <c r="AR264" s="72">
        <f ca="1">IF($C$4=Lookups!$D$40,SUM(INDIRECT("'Yr1'!"&amp;ADDRESS(ROW(AR264),COLUMN(AR264))),INDIRECT("'Yr2'!"&amp;ADDRESS(ROW(AR264),COLUMN(AR264))),INDIRECT("'Yr3'!"&amp;ADDRESS(ROW(AR264),COLUMN(AR264)))),
IF(AR249=0,0,-PMT(INDEX(Lookups!$E$17:$G$17,MATCH($C$4,Lookups!$E$14:$G$14,0)),AR249,SUMIFS('EE Inputs'!$K$9:$K$32,'EE Inputs'!$C$9:$C$32,$AM$6,'EE Inputs'!$D$9:$D$32,$C$4,'EE Inputs'!$E$9:$E$32,$B264),0,1)))</f>
        <v>39941.456323986327</v>
      </c>
      <c r="AS264" s="72">
        <f ca="1">IF($C$4=Lookups!$D$40,SUM(INDIRECT("'Yr1'!"&amp;ADDRESS(ROW(AS264),COLUMN(AS264))),INDIRECT("'Yr2'!"&amp;ADDRESS(ROW(AS264),COLUMN(AS264))),INDIRECT("'Yr3'!"&amp;ADDRESS(ROW(AS264),COLUMN(AS264)))),
IF(AS249=0,0,-PMT(INDEX(Lookups!$E$17:$G$17,MATCH($C$4,Lookups!$E$14:$G$14,0)),AS249,SUMIFS('EE Inputs'!$K$9:$K$32,'EE Inputs'!$C$9:$C$32,$AM$6,'EE Inputs'!$D$9:$D$32,$C$4,'EE Inputs'!$E$9:$E$32,$B264),0,1)))</f>
        <v>39941.456323986327</v>
      </c>
      <c r="AT264" s="72">
        <f ca="1">IF($C$4=Lookups!$D$40,SUM(INDIRECT("'Yr1'!"&amp;ADDRESS(ROW(AT264),COLUMN(AT264))),INDIRECT("'Yr2'!"&amp;ADDRESS(ROW(AT264),COLUMN(AT264))),INDIRECT("'Yr3'!"&amp;ADDRESS(ROW(AT264),COLUMN(AT264)))),
IF(AT249=0,0,-PMT(INDEX(Lookups!$E$17:$G$17,MATCH($C$4,Lookups!$E$14:$G$14,0)),AT249,SUMIFS('EE Inputs'!$K$9:$K$32,'EE Inputs'!$C$9:$C$32,$AM$6,'EE Inputs'!$D$9:$D$32,$C$4,'EE Inputs'!$E$9:$E$32,$B264),0,1)))</f>
        <v>39941.456323986327</v>
      </c>
      <c r="AU264" s="72">
        <f ca="1">IF($C$4=Lookups!$D$40,SUM(INDIRECT("'Yr1'!"&amp;ADDRESS(ROW(AU264),COLUMN(AU264))),INDIRECT("'Yr2'!"&amp;ADDRESS(ROW(AU264),COLUMN(AU264))),INDIRECT("'Yr3'!"&amp;ADDRESS(ROW(AU264),COLUMN(AU264)))),
IF(AU249=0,0,-PMT(INDEX(Lookups!$E$17:$G$17,MATCH($C$4,Lookups!$E$14:$G$14,0)),AU249,SUMIFS('EE Inputs'!$K$9:$K$32,'EE Inputs'!$C$9:$C$32,$AM$6,'EE Inputs'!$D$9:$D$32,$C$4,'EE Inputs'!$E$9:$E$32,$B264),0,1)))</f>
        <v>39941.456323986327</v>
      </c>
      <c r="AV264" s="72">
        <f ca="1">IF($C$4=Lookups!$D$40,SUM(INDIRECT("'Yr1'!"&amp;ADDRESS(ROW(AV264),COLUMN(AV264))),INDIRECT("'Yr2'!"&amp;ADDRESS(ROW(AV264),COLUMN(AV264))),INDIRECT("'Yr3'!"&amp;ADDRESS(ROW(AV264),COLUMN(AV264)))),
IF(AV249=0,0,-PMT(INDEX(Lookups!$E$17:$G$17,MATCH($C$4,Lookups!$E$14:$G$14,0)),AV249,SUMIFS('EE Inputs'!$K$9:$K$32,'EE Inputs'!$C$9:$C$32,$AM$6,'EE Inputs'!$D$9:$D$32,$C$4,'EE Inputs'!$E$9:$E$32,$B264),0,1)))</f>
        <v>39941.456323986327</v>
      </c>
      <c r="AW264" s="72">
        <f ca="1">IF($C$4=Lookups!$D$40,SUM(INDIRECT("'Yr1'!"&amp;ADDRESS(ROW(AW264),COLUMN(AW264))),INDIRECT("'Yr2'!"&amp;ADDRESS(ROW(AW264),COLUMN(AW264))),INDIRECT("'Yr3'!"&amp;ADDRESS(ROW(AW264),COLUMN(AW264)))),
IF(AW249=0,0,-PMT(INDEX(Lookups!$E$17:$G$17,MATCH($C$4,Lookups!$E$14:$G$14,0)),AW249,SUMIFS('EE Inputs'!$K$9:$K$32,'EE Inputs'!$C$9:$C$32,$AM$6,'EE Inputs'!$D$9:$D$32,$C$4,'EE Inputs'!$E$9:$E$32,$B264),0,1)))</f>
        <v>39941.456323986327</v>
      </c>
      <c r="AX264" s="72">
        <f ca="1">IF($C$4=Lookups!$D$40,SUM(INDIRECT("'Yr1'!"&amp;ADDRESS(ROW(AX264),COLUMN(AX264))),INDIRECT("'Yr2'!"&amp;ADDRESS(ROW(AX264),COLUMN(AX264))),INDIRECT("'Yr3'!"&amp;ADDRESS(ROW(AX264),COLUMN(AX264)))),
IF(AX249=0,0,-PMT(INDEX(Lookups!$E$17:$G$17,MATCH($C$4,Lookups!$E$14:$G$14,0)),AX249,SUMIFS('EE Inputs'!$K$9:$K$32,'EE Inputs'!$C$9:$C$32,$AM$6,'EE Inputs'!$D$9:$D$32,$C$4,'EE Inputs'!$E$9:$E$32,$B264),0,1)))</f>
        <v>39941.456323986327</v>
      </c>
      <c r="AY264" s="72">
        <f ca="1">IF($C$4=Lookups!$D$40,SUM(INDIRECT("'Yr1'!"&amp;ADDRESS(ROW(AY264),COLUMN(AY264))),INDIRECT("'Yr2'!"&amp;ADDRESS(ROW(AY264),COLUMN(AY264))),INDIRECT("'Yr3'!"&amp;ADDRESS(ROW(AY264),COLUMN(AY264)))),
IF(AY249=0,0,-PMT(INDEX(Lookups!$E$17:$G$17,MATCH($C$4,Lookups!$E$14:$G$14,0)),AY249,SUMIFS('EE Inputs'!$K$9:$K$32,'EE Inputs'!$C$9:$C$32,$AM$6,'EE Inputs'!$D$9:$D$32,$C$4,'EE Inputs'!$E$9:$E$32,$B264),0,1)))</f>
        <v>39941.456323986327</v>
      </c>
      <c r="AZ264" s="72">
        <f ca="1">IF($C$4=Lookups!$D$40,SUM(INDIRECT("'Yr1'!"&amp;ADDRESS(ROW(AZ264),COLUMN(AZ264))),INDIRECT("'Yr2'!"&amp;ADDRESS(ROW(AZ264),COLUMN(AZ264))),INDIRECT("'Yr3'!"&amp;ADDRESS(ROW(AZ264),COLUMN(AZ264)))),
IF(AZ249=0,0,-PMT(INDEX(Lookups!$E$17:$G$17,MATCH($C$4,Lookups!$E$14:$G$14,0)),AZ249,SUMIFS('EE Inputs'!$K$9:$K$32,'EE Inputs'!$C$9:$C$32,$AM$6,'EE Inputs'!$D$9:$D$32,$C$4,'EE Inputs'!$E$9:$E$32,$B264),0,1)))</f>
        <v>39941.456323986327</v>
      </c>
      <c r="BA264" s="72">
        <f ca="1">IF($C$4=Lookups!$D$40,SUM(INDIRECT("'Yr1'!"&amp;ADDRESS(ROW(BA264),COLUMN(BA264))),INDIRECT("'Yr2'!"&amp;ADDRESS(ROW(BA264),COLUMN(BA264))),INDIRECT("'Yr3'!"&amp;ADDRESS(ROW(BA264),COLUMN(BA264)))),
IF(BA249=0,0,-PMT(INDEX(Lookups!$E$17:$G$17,MATCH($C$4,Lookups!$E$14:$G$14,0)),BA249,SUMIFS('EE Inputs'!$K$9:$K$32,'EE Inputs'!$C$9:$C$32,$AM$6,'EE Inputs'!$D$9:$D$32,$C$4,'EE Inputs'!$E$9:$E$32,$B264),0,1)))</f>
        <v>39941.456323986327</v>
      </c>
      <c r="BB264" s="72">
        <f ca="1">IF($C$4=Lookups!$D$40,SUM(INDIRECT("'Yr1'!"&amp;ADDRESS(ROW(BB264),COLUMN(BB264))),INDIRECT("'Yr2'!"&amp;ADDRESS(ROW(BB264),COLUMN(BB264))),INDIRECT("'Yr3'!"&amp;ADDRESS(ROW(BB264),COLUMN(BB264)))),
IF(BB249=0,0,-PMT(INDEX(Lookups!$E$17:$G$17,MATCH($C$4,Lookups!$E$14:$G$14,0)),BB249,SUMIFS('EE Inputs'!$K$9:$K$32,'EE Inputs'!$C$9:$C$32,$AM$6,'EE Inputs'!$D$9:$D$32,$C$4,'EE Inputs'!$E$9:$E$32,$B264),0,1)))</f>
        <v>0</v>
      </c>
      <c r="BC264" s="72">
        <f ca="1">IF($C$4=Lookups!$D$40,SUM(INDIRECT("'Yr1'!"&amp;ADDRESS(ROW(BC264),COLUMN(BC264))),INDIRECT("'Yr2'!"&amp;ADDRESS(ROW(BC264),COLUMN(BC264))),INDIRECT("'Yr3'!"&amp;ADDRESS(ROW(BC264),COLUMN(BC264)))),
IF(BC249=0,0,-PMT(INDEX(Lookups!$E$17:$G$17,MATCH($C$4,Lookups!$E$14:$G$14,0)),BC249,SUMIFS('EE Inputs'!$K$9:$K$32,'EE Inputs'!$C$9:$C$32,$AM$6,'EE Inputs'!$D$9:$D$32,$C$4,'EE Inputs'!$E$9:$E$32,$B264),0,1)))</f>
        <v>0</v>
      </c>
      <c r="BD264" s="72">
        <f ca="1">IF($C$4=Lookups!$D$40,SUM(INDIRECT("'Yr1'!"&amp;ADDRESS(ROW(BD264),COLUMN(BD264))),INDIRECT("'Yr2'!"&amp;ADDRESS(ROW(BD264),COLUMN(BD264))),INDIRECT("'Yr3'!"&amp;ADDRESS(ROW(BD264),COLUMN(BD264)))),
IF(BD249=0,0,-PMT(INDEX(Lookups!$E$17:$G$17,MATCH($C$4,Lookups!$E$14:$G$14,0)),BD249,SUMIFS('EE Inputs'!$K$9:$K$32,'EE Inputs'!$C$9:$C$32,$AM$6,'EE Inputs'!$D$9:$D$32,$C$4,'EE Inputs'!$E$9:$E$32,$B264),0,1)))</f>
        <v>0</v>
      </c>
      <c r="BE264" s="72">
        <f ca="1">IF($C$4=Lookups!$D$40,SUM(INDIRECT("'Yr1'!"&amp;ADDRESS(ROW(BE264),COLUMN(BE264))),INDIRECT("'Yr2'!"&amp;ADDRESS(ROW(BE264),COLUMN(BE264))),INDIRECT("'Yr3'!"&amp;ADDRESS(ROW(BE264),COLUMN(BE264)))),
IF(BE249=0,0,-PMT(INDEX(Lookups!$E$17:$G$17,MATCH($C$4,Lookups!$E$14:$G$14,0)),BE249,SUMIFS('EE Inputs'!$K$9:$K$32,'EE Inputs'!$C$9:$C$32,$AM$6,'EE Inputs'!$D$9:$D$32,$C$4,'EE Inputs'!$E$9:$E$32,$B264),0,1)))</f>
        <v>0</v>
      </c>
      <c r="BF264" s="72">
        <f ca="1">IF($C$4=Lookups!$D$40,SUM(INDIRECT("'Yr1'!"&amp;ADDRESS(ROW(BF264),COLUMN(BF264))),INDIRECT("'Yr2'!"&amp;ADDRESS(ROW(BF264),COLUMN(BF264))),INDIRECT("'Yr3'!"&amp;ADDRESS(ROW(BF264),COLUMN(BF264)))),
IF(BF249=0,0,-PMT(INDEX(Lookups!$E$17:$G$17,MATCH($C$4,Lookups!$E$14:$G$14,0)),BF249,SUMIFS('EE Inputs'!$K$9:$K$32,'EE Inputs'!$C$9:$C$32,$AM$6,'EE Inputs'!$D$9:$D$32,$C$4,'EE Inputs'!$E$9:$E$32,$B264),0,1)))</f>
        <v>0</v>
      </c>
      <c r="BG264" s="72">
        <f ca="1">IF($C$4=Lookups!$D$40,SUM(INDIRECT("'Yr1'!"&amp;ADDRESS(ROW(BG264),COLUMN(BG264))),INDIRECT("'Yr2'!"&amp;ADDRESS(ROW(BG264),COLUMN(BG264))),INDIRECT("'Yr3'!"&amp;ADDRESS(ROW(BG264),COLUMN(BG264)))),
IF(BG249=0,0,-PMT(INDEX(Lookups!$E$17:$G$17,MATCH($C$4,Lookups!$E$14:$G$14,0)),BG249,SUMIFS('EE Inputs'!$K$9:$K$32,'EE Inputs'!$C$9:$C$32,$AM$6,'EE Inputs'!$D$9:$D$32,$C$4,'EE Inputs'!$E$9:$E$32,$B264),0,1)))</f>
        <v>0</v>
      </c>
      <c r="BH264" s="72">
        <f ca="1">IF($C$4=Lookups!$D$40,SUM(INDIRECT("'Yr1'!"&amp;ADDRESS(ROW(BH264),COLUMN(BH264))),INDIRECT("'Yr2'!"&amp;ADDRESS(ROW(BH264),COLUMN(BH264))),INDIRECT("'Yr3'!"&amp;ADDRESS(ROW(BH264),COLUMN(BH264)))),
IF(BH249=0,0,-PMT(INDEX(Lookups!$E$17:$G$17,MATCH($C$4,Lookups!$E$14:$G$14,0)),BH249,SUMIFS('EE Inputs'!$K$9:$K$32,'EE Inputs'!$C$9:$C$32,$AM$6,'EE Inputs'!$D$9:$D$32,$C$4,'EE Inputs'!$E$9:$E$32,$B264),0,1)))</f>
        <v>0</v>
      </c>
      <c r="BI264" s="72">
        <f ca="1">IF($C$4=Lookups!$D$40,SUM(INDIRECT("'Yr1'!"&amp;ADDRESS(ROW(BI264),COLUMN(BI264))),INDIRECT("'Yr2'!"&amp;ADDRESS(ROW(BI264),COLUMN(BI264))),INDIRECT("'Yr3'!"&amp;ADDRESS(ROW(BI264),COLUMN(BI264)))),
IF(BI249=0,0,-PMT(INDEX(Lookups!$E$17:$G$17,MATCH($C$4,Lookups!$E$14:$G$14,0)),BI249,SUMIFS('EE Inputs'!$K$9:$K$32,'EE Inputs'!$C$9:$C$32,$AM$6,'EE Inputs'!$D$9:$D$32,$C$4,'EE Inputs'!$E$9:$E$32,$B264),0,1)))</f>
        <v>0</v>
      </c>
      <c r="BJ264" s="72">
        <f ca="1">IF($C$4=Lookups!$D$40,SUM(INDIRECT("'Yr1'!"&amp;ADDRESS(ROW(BJ264),COLUMN(BJ264))),INDIRECT("'Yr2'!"&amp;ADDRESS(ROW(BJ264),COLUMN(BJ264))),INDIRECT("'Yr3'!"&amp;ADDRESS(ROW(BJ264),COLUMN(BJ264)))),
IF(BJ249=0,0,-PMT(INDEX(Lookups!$E$17:$G$17,MATCH($C$4,Lookups!$E$14:$G$14,0)),BJ249,SUMIFS('EE Inputs'!$K$9:$K$32,'EE Inputs'!$C$9:$C$32,$AM$6,'EE Inputs'!$D$9:$D$32,$C$4,'EE Inputs'!$E$9:$E$32,$B264),0,1)))</f>
        <v>0</v>
      </c>
      <c r="BK264" s="72">
        <f ca="1">IF($C$4=Lookups!$D$40,SUM(INDIRECT("'Yr1'!"&amp;ADDRESS(ROW(BK264),COLUMN(BK264))),INDIRECT("'Yr2'!"&amp;ADDRESS(ROW(BK264),COLUMN(BK264))),INDIRECT("'Yr3'!"&amp;ADDRESS(ROW(BK264),COLUMN(BK264)))),
IF(BK249=0,0,-PMT(INDEX(Lookups!$E$17:$G$17,MATCH($C$4,Lookups!$E$14:$G$14,0)),BK249,SUMIFS('EE Inputs'!$K$9:$K$32,'EE Inputs'!$C$9:$C$32,$AM$6,'EE Inputs'!$D$9:$D$32,$C$4,'EE Inputs'!$E$9:$E$32,$B264),0,1)))</f>
        <v>0</v>
      </c>
      <c r="BL264" s="72">
        <f ca="1">IF($C$4=Lookups!$D$40,SUM(INDIRECT("'Yr1'!"&amp;ADDRESS(ROW(BL264),COLUMN(BL264))),INDIRECT("'Yr2'!"&amp;ADDRESS(ROW(BL264),COLUMN(BL264))),INDIRECT("'Yr3'!"&amp;ADDRESS(ROW(BL264),COLUMN(BL264)))),
IF(BL249=0,0,-PMT(INDEX(Lookups!$E$17:$G$17,MATCH($C$4,Lookups!$E$14:$G$14,0)),BL249,SUMIFS('EE Inputs'!$K$9:$K$32,'EE Inputs'!$C$9:$C$32,$AM$6,'EE Inputs'!$D$9:$D$32,$C$4,'EE Inputs'!$E$9:$E$32,$B264),0,1)))</f>
        <v>0</v>
      </c>
      <c r="BM264" s="72">
        <f ca="1">IF($C$4=Lookups!$D$40,SUM(INDIRECT("'Yr1'!"&amp;ADDRESS(ROW(BM264),COLUMN(BM264))),INDIRECT("'Yr2'!"&amp;ADDRESS(ROW(BM264),COLUMN(BM264))),INDIRECT("'Yr3'!"&amp;ADDRESS(ROW(BM264),COLUMN(BM264)))),
IF(BM249=0,0,-PMT(INDEX(Lookups!$E$17:$G$17,MATCH($C$4,Lookups!$E$14:$G$14,0)),BM249,SUMIFS('EE Inputs'!$K$9:$K$32,'EE Inputs'!$C$9:$C$32,$AM$6,'EE Inputs'!$D$9:$D$32,$C$4,'EE Inputs'!$E$9:$E$32,$B264),0,1)))</f>
        <v>0</v>
      </c>
      <c r="BN264" s="72"/>
      <c r="BO264" s="72">
        <f ca="1">NPV(Lookups!$E$17,AM264:BM264)</f>
        <v>458215.89983841055</v>
      </c>
      <c r="BP264" s="72"/>
      <c r="BS264" s="84" t="str">
        <f>"Avoided "&amp;E264&amp;" costs."</f>
        <v>Avoided Gas DRIPE costs.</v>
      </c>
      <c r="BT264" s="51" t="s">
        <v>17</v>
      </c>
    </row>
    <row r="265" spans="1:72" x14ac:dyDescent="0.25">
      <c r="B265" s="243" t="str">
        <f t="shared" ref="B265:C267" si="286">B264</f>
        <v>Large C&amp;I</v>
      </c>
      <c r="C265" s="243" t="str">
        <f t="shared" si="286"/>
        <v>Revenue Requirements</v>
      </c>
      <c r="D265" s="114" t="s">
        <v>165</v>
      </c>
      <c r="E265" s="84"/>
      <c r="F265" s="84"/>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S265" s="84"/>
      <c r="BT265" s="51" t="s">
        <v>17</v>
      </c>
    </row>
    <row r="266" spans="1:72" x14ac:dyDescent="0.25">
      <c r="A266" s="476"/>
      <c r="B266" s="243" t="str">
        <f t="shared" si="286"/>
        <v>Large C&amp;I</v>
      </c>
      <c r="C266" s="243" t="str">
        <f t="shared" si="286"/>
        <v>Revenue Requirements</v>
      </c>
      <c r="D266" s="244" t="str">
        <f>D265</f>
        <v>Increased Costs and Cost Shifting</v>
      </c>
      <c r="E266" s="84" t="s">
        <v>406</v>
      </c>
      <c r="F266" s="84" t="s">
        <v>32</v>
      </c>
      <c r="G266" s="64">
        <f ca="1">IF($C$4=Lookups!$D$40,SUM(INDIRECT("'Yr1'!"&amp;ADDRESS(ROW(G266),COLUMN(G266))),INDIRECT("'Yr2'!"&amp;ADDRESS(ROW(G266),COLUMN(G266))),INDIRECT("'Yr3'!"&amp;ADDRESS(ROW(G266),COLUMN(G266)))),
IF($C$4=G$7,G286*G254,0))</f>
        <v>0</v>
      </c>
      <c r="H266" s="64">
        <f ca="1">IF($C$4=Lookups!$D$40,SUM(INDIRECT("'Yr1'!"&amp;ADDRESS(ROW(H266),COLUMN(H266))),INDIRECT("'Yr2'!"&amp;ADDRESS(ROW(H266),COLUMN(H266))),INDIRECT("'Yr3'!"&amp;ADDRESS(ROW(H266),COLUMN(H266)))),
IF($C$4=H$7,H286*H254,0))</f>
        <v>0</v>
      </c>
      <c r="I266" s="64">
        <f ca="1">IF($C$4=Lookups!$D$40,SUM(INDIRECT("'Yr1'!"&amp;ADDRESS(ROW(I266),COLUMN(I266))),INDIRECT("'Yr2'!"&amp;ADDRESS(ROW(I266),COLUMN(I266))),INDIRECT("'Yr3'!"&amp;ADDRESS(ROW(I266),COLUMN(I266)))),
IF($C$4=I$7,I286*I254,0))</f>
        <v>1625220.5044105044</v>
      </c>
      <c r="J266" s="64">
        <f ca="1">IF($C$4=Lookups!$D$40,SUM(INDIRECT("'Yr1'!"&amp;ADDRESS(ROW(J266),COLUMN(J266))),INDIRECT("'Yr2'!"&amp;ADDRESS(ROW(J266),COLUMN(J266))),INDIRECT("'Yr3'!"&amp;ADDRESS(ROW(J266),COLUMN(J266)))),
IF($C$4=J$7,J286*J254,0))</f>
        <v>0</v>
      </c>
      <c r="K266" s="64">
        <f ca="1">IF($C$4=Lookups!$D$40,SUM(INDIRECT("'Yr1'!"&amp;ADDRESS(ROW(K266),COLUMN(K266))),INDIRECT("'Yr2'!"&amp;ADDRESS(ROW(K266),COLUMN(K266))),INDIRECT("'Yr3'!"&amp;ADDRESS(ROW(K266),COLUMN(K266)))),
IF($C$4=K$7,K286*K254,0))</f>
        <v>0</v>
      </c>
      <c r="L266" s="64">
        <f ca="1">IF($C$4=Lookups!$D$40,SUM(INDIRECT("'Yr1'!"&amp;ADDRESS(ROW(L266),COLUMN(L266))),INDIRECT("'Yr2'!"&amp;ADDRESS(ROW(L266),COLUMN(L266))),INDIRECT("'Yr3'!"&amp;ADDRESS(ROW(L266),COLUMN(L266)))),
IF($C$4=L$7,L286*L254,0))</f>
        <v>0</v>
      </c>
      <c r="M266" s="64">
        <f ca="1">IF($C$4=Lookups!$D$40,SUM(INDIRECT("'Yr1'!"&amp;ADDRESS(ROW(M266),COLUMN(M266))),INDIRECT("'Yr2'!"&amp;ADDRESS(ROW(M266),COLUMN(M266))),INDIRECT("'Yr3'!"&amp;ADDRESS(ROW(M266),COLUMN(M266)))),
IF($C$4=M$7,M286*M254,0))</f>
        <v>0</v>
      </c>
      <c r="N266" s="64">
        <f ca="1">IF($C$4=Lookups!$D$40,SUM(INDIRECT("'Yr1'!"&amp;ADDRESS(ROW(N266),COLUMN(N266))),INDIRECT("'Yr2'!"&amp;ADDRESS(ROW(N266),COLUMN(N266))),INDIRECT("'Yr3'!"&amp;ADDRESS(ROW(N266),COLUMN(N266)))),
IF($C$4=N$7,N286*N254,0))</f>
        <v>0</v>
      </c>
      <c r="O266" s="64">
        <f ca="1">IF($C$4=Lookups!$D$40,SUM(INDIRECT("'Yr1'!"&amp;ADDRESS(ROW(O266),COLUMN(O266))),INDIRECT("'Yr2'!"&amp;ADDRESS(ROW(O266),COLUMN(O266))),INDIRECT("'Yr3'!"&amp;ADDRESS(ROW(O266),COLUMN(O266)))),
IF($C$4=O$7,O286*O254,0))</f>
        <v>0</v>
      </c>
      <c r="P266" s="64">
        <f ca="1">IF($C$4=Lookups!$D$40,SUM(INDIRECT("'Yr1'!"&amp;ADDRESS(ROW(P266),COLUMN(P266))),INDIRECT("'Yr2'!"&amp;ADDRESS(ROW(P266),COLUMN(P266))),INDIRECT("'Yr3'!"&amp;ADDRESS(ROW(P266),COLUMN(P266)))),
IF($C$4=P$7,P286*P254,0))</f>
        <v>0</v>
      </c>
      <c r="Q266" s="64">
        <f ca="1">IF($C$4=Lookups!$D$40,SUM(INDIRECT("'Yr1'!"&amp;ADDRESS(ROW(Q266),COLUMN(Q266))),INDIRECT("'Yr2'!"&amp;ADDRESS(ROW(Q266),COLUMN(Q266))),INDIRECT("'Yr3'!"&amp;ADDRESS(ROW(Q266),COLUMN(Q266)))),
IF($C$4=Q$7,Q286*Q254,0))</f>
        <v>0</v>
      </c>
      <c r="R266" s="64">
        <f ca="1">IF($C$4=Lookups!$D$40,SUM(INDIRECT("'Yr1'!"&amp;ADDRESS(ROW(R266),COLUMN(R266))),INDIRECT("'Yr2'!"&amp;ADDRESS(ROW(R266),COLUMN(R266))),INDIRECT("'Yr3'!"&amp;ADDRESS(ROW(R266),COLUMN(R266)))),
IF($C$4=R$7,R286*R254,0))</f>
        <v>0</v>
      </c>
      <c r="S266" s="64">
        <f ca="1">IF($C$4=Lookups!$D$40,SUM(INDIRECT("'Yr1'!"&amp;ADDRESS(ROW(S266),COLUMN(S266))),INDIRECT("'Yr2'!"&amp;ADDRESS(ROW(S266),COLUMN(S266))),INDIRECT("'Yr3'!"&amp;ADDRESS(ROW(S266),COLUMN(S266)))),
IF($C$4=S$7,S286*S254,0))</f>
        <v>0</v>
      </c>
      <c r="T266" s="64">
        <f ca="1">IF($C$4=Lookups!$D$40,SUM(INDIRECT("'Yr1'!"&amp;ADDRESS(ROW(T266),COLUMN(T266))),INDIRECT("'Yr2'!"&amp;ADDRESS(ROW(T266),COLUMN(T266))),INDIRECT("'Yr3'!"&amp;ADDRESS(ROW(T266),COLUMN(T266)))),
IF($C$4=T$7,T286*T254,0))</f>
        <v>0</v>
      </c>
      <c r="U266" s="64">
        <f ca="1">IF($C$4=Lookups!$D$40,SUM(INDIRECT("'Yr1'!"&amp;ADDRESS(ROW(U266),COLUMN(U266))),INDIRECT("'Yr2'!"&amp;ADDRESS(ROW(U266),COLUMN(U266))),INDIRECT("'Yr3'!"&amp;ADDRESS(ROW(U266),COLUMN(U266)))),
IF($C$4=U$7,U286*U254,0))</f>
        <v>0</v>
      </c>
      <c r="V266" s="64">
        <f ca="1">IF($C$4=Lookups!$D$40,SUM(INDIRECT("'Yr1'!"&amp;ADDRESS(ROW(V266),COLUMN(V266))),INDIRECT("'Yr2'!"&amp;ADDRESS(ROW(V266),COLUMN(V266))),INDIRECT("'Yr3'!"&amp;ADDRESS(ROW(V266),COLUMN(V266)))),
IF($C$4=V$7,V286*V254,0))</f>
        <v>0</v>
      </c>
      <c r="W266" s="64">
        <f ca="1">IF($C$4=Lookups!$D$40,SUM(INDIRECT("'Yr1'!"&amp;ADDRESS(ROW(W266),COLUMN(W266))),INDIRECT("'Yr2'!"&amp;ADDRESS(ROW(W266),COLUMN(W266))),INDIRECT("'Yr3'!"&amp;ADDRESS(ROW(W266),COLUMN(W266)))),
IF($C$4=W$7,W286*W254,0))</f>
        <v>0</v>
      </c>
      <c r="X266" s="64">
        <f ca="1">IF($C$4=Lookups!$D$40,SUM(INDIRECT("'Yr1'!"&amp;ADDRESS(ROW(X266),COLUMN(X266))),INDIRECT("'Yr2'!"&amp;ADDRESS(ROW(X266),COLUMN(X266))),INDIRECT("'Yr3'!"&amp;ADDRESS(ROW(X266),COLUMN(X266)))),
IF($C$4=X$7,X286*X254,0))</f>
        <v>0</v>
      </c>
      <c r="Y266" s="64">
        <f ca="1">IF($C$4=Lookups!$D$40,SUM(INDIRECT("'Yr1'!"&amp;ADDRESS(ROW(Y266),COLUMN(Y266))),INDIRECT("'Yr2'!"&amp;ADDRESS(ROW(Y266),COLUMN(Y266))),INDIRECT("'Yr3'!"&amp;ADDRESS(ROW(Y266),COLUMN(Y266)))),
IF($C$4=Y$7,Y286*Y254,0))</f>
        <v>0</v>
      </c>
      <c r="Z266" s="64">
        <f ca="1">IF($C$4=Lookups!$D$40,SUM(INDIRECT("'Yr1'!"&amp;ADDRESS(ROW(Z266),COLUMN(Z266))),INDIRECT("'Yr2'!"&amp;ADDRESS(ROW(Z266),COLUMN(Z266))),INDIRECT("'Yr3'!"&amp;ADDRESS(ROW(Z266),COLUMN(Z266)))),
IF($C$4=Z$7,Z286*Z254,0))</f>
        <v>0</v>
      </c>
      <c r="AA266" s="64">
        <f ca="1">IF($C$4=Lookups!$D$40,SUM(INDIRECT("'Yr1'!"&amp;ADDRESS(ROW(AA266),COLUMN(AA266))),INDIRECT("'Yr2'!"&amp;ADDRESS(ROW(AA266),COLUMN(AA266))),INDIRECT("'Yr3'!"&amp;ADDRESS(ROW(AA266),COLUMN(AA266)))),
IF($C$4=AA$7,AA286*AA254,0))</f>
        <v>0</v>
      </c>
      <c r="AB266" s="64">
        <f ca="1">IF($C$4=Lookups!$D$40,SUM(INDIRECT("'Yr1'!"&amp;ADDRESS(ROW(AB266),COLUMN(AB266))),INDIRECT("'Yr2'!"&amp;ADDRESS(ROW(AB266),COLUMN(AB266))),INDIRECT("'Yr3'!"&amp;ADDRESS(ROW(AB266),COLUMN(AB266)))),
IF($C$4=AB$7,AB286*AB254,0))</f>
        <v>0</v>
      </c>
      <c r="AC266" s="64">
        <f ca="1">IF($C$4=Lookups!$D$40,SUM(INDIRECT("'Yr1'!"&amp;ADDRESS(ROW(AC266),COLUMN(AC266))),INDIRECT("'Yr2'!"&amp;ADDRESS(ROW(AC266),COLUMN(AC266))),INDIRECT("'Yr3'!"&amp;ADDRESS(ROW(AC266),COLUMN(AC266)))),
IF($C$4=AC$7,AC286*AC254,0))</f>
        <v>0</v>
      </c>
      <c r="AD266" s="64">
        <f ca="1">IF($C$4=Lookups!$D$40,SUM(INDIRECT("'Yr1'!"&amp;ADDRESS(ROW(AD266),COLUMN(AD266))),INDIRECT("'Yr2'!"&amp;ADDRESS(ROW(AD266),COLUMN(AD266))),INDIRECT("'Yr3'!"&amp;ADDRESS(ROW(AD266),COLUMN(AD266)))),
IF($C$4=AD$7,AD286*AD254,0))</f>
        <v>0</v>
      </c>
      <c r="AE266" s="64">
        <f ca="1">IF($C$4=Lookups!$D$40,SUM(INDIRECT("'Yr1'!"&amp;ADDRESS(ROW(AE266),COLUMN(AE266))),INDIRECT("'Yr2'!"&amp;ADDRESS(ROW(AE266),COLUMN(AE266))),INDIRECT("'Yr3'!"&amp;ADDRESS(ROW(AE266),COLUMN(AE266)))),
IF($C$4=AE$7,AE286*AE254,0))</f>
        <v>0</v>
      </c>
      <c r="AF266" s="64">
        <f ca="1">IF($C$4=Lookups!$D$40,SUM(INDIRECT("'Yr1'!"&amp;ADDRESS(ROW(AF266),COLUMN(AF266))),INDIRECT("'Yr2'!"&amp;ADDRESS(ROW(AF266),COLUMN(AF266))),INDIRECT("'Yr3'!"&amp;ADDRESS(ROW(AF266),COLUMN(AF266)))),
IF($C$4=AF$7,AF286*AF254,0))</f>
        <v>0</v>
      </c>
      <c r="AG266" s="64">
        <f ca="1">IF($C$4=Lookups!$D$40,SUM(INDIRECT("'Yr1'!"&amp;ADDRESS(ROW(AG266),COLUMN(AG266))),INDIRECT("'Yr2'!"&amp;ADDRESS(ROW(AG266),COLUMN(AG266))),INDIRECT("'Yr3'!"&amp;ADDRESS(ROW(AG266),COLUMN(AG266)))),
IF($C$4=AG$7,AG286*AG254,0))</f>
        <v>0</v>
      </c>
      <c r="AH266" s="49"/>
      <c r="AI266" s="64">
        <f ca="1">NPV(Lookups!$E$17,G266:AG266)</f>
        <v>1558164.9261184609</v>
      </c>
      <c r="AJ266" s="65"/>
      <c r="AM266" s="71">
        <f ca="1">IF($C$4=Lookups!$D$40,SUM(INDIRECT("'Yr1'!"&amp;ADDRESS(ROW(AM266),COLUMN(AM266))),INDIRECT("'Yr2'!"&amp;ADDRESS(ROW(AM266),COLUMN(AM266))),INDIRECT("'Yr3'!"&amp;ADDRESS(ROW(AM266),COLUMN(AM266)))),
IF($C$4=AM$7,AM286*AM254,0))</f>
        <v>0</v>
      </c>
      <c r="AN266" s="71">
        <f ca="1">IF($C$4=Lookups!$D$40,SUM(INDIRECT("'Yr1'!"&amp;ADDRESS(ROW(AN266),COLUMN(AN266))),INDIRECT("'Yr2'!"&amp;ADDRESS(ROW(AN266),COLUMN(AN266))),INDIRECT("'Yr3'!"&amp;ADDRESS(ROW(AN266),COLUMN(AN266)))),
IF($C$4=AN$7,AN286*AN254,0))</f>
        <v>0</v>
      </c>
      <c r="AO266" s="71">
        <f ca="1">IF($C$4=Lookups!$D$40,SUM(INDIRECT("'Yr1'!"&amp;ADDRESS(ROW(AO266),COLUMN(AO266))),INDIRECT("'Yr2'!"&amp;ADDRESS(ROW(AO266),COLUMN(AO266))),INDIRECT("'Yr3'!"&amp;ADDRESS(ROW(AO266),COLUMN(AO266)))),
IF($C$4=AO$7,AO286*AO254,0))</f>
        <v>1922346.3573562426</v>
      </c>
      <c r="AP266" s="71">
        <f ca="1">IF($C$4=Lookups!$D$40,SUM(INDIRECT("'Yr1'!"&amp;ADDRESS(ROW(AP266),COLUMN(AP266))),INDIRECT("'Yr2'!"&amp;ADDRESS(ROW(AP266),COLUMN(AP266))),INDIRECT("'Yr3'!"&amp;ADDRESS(ROW(AP266),COLUMN(AP266)))),
IF($C$4=AP$7,AP286*AP254,0))</f>
        <v>0</v>
      </c>
      <c r="AQ266" s="71">
        <f ca="1">IF($C$4=Lookups!$D$40,SUM(INDIRECT("'Yr1'!"&amp;ADDRESS(ROW(AQ266),COLUMN(AQ266))),INDIRECT("'Yr2'!"&amp;ADDRESS(ROW(AQ266),COLUMN(AQ266))),INDIRECT("'Yr3'!"&amp;ADDRESS(ROW(AQ266),COLUMN(AQ266)))),
IF($C$4=AQ$7,AQ286*AQ254,0))</f>
        <v>0</v>
      </c>
      <c r="AR266" s="71">
        <f ca="1">IF($C$4=Lookups!$D$40,SUM(INDIRECT("'Yr1'!"&amp;ADDRESS(ROW(AR266),COLUMN(AR266))),INDIRECT("'Yr2'!"&amp;ADDRESS(ROW(AR266),COLUMN(AR266))),INDIRECT("'Yr3'!"&amp;ADDRESS(ROW(AR266),COLUMN(AR266)))),
IF($C$4=AR$7,AR286*AR254,0))</f>
        <v>0</v>
      </c>
      <c r="AS266" s="71">
        <f ca="1">IF($C$4=Lookups!$D$40,SUM(INDIRECT("'Yr1'!"&amp;ADDRESS(ROW(AS266),COLUMN(AS266))),INDIRECT("'Yr2'!"&amp;ADDRESS(ROW(AS266),COLUMN(AS266))),INDIRECT("'Yr3'!"&amp;ADDRESS(ROW(AS266),COLUMN(AS266)))),
IF($C$4=AS$7,AS286*AS254,0))</f>
        <v>0</v>
      </c>
      <c r="AT266" s="71">
        <f ca="1">IF($C$4=Lookups!$D$40,SUM(INDIRECT("'Yr1'!"&amp;ADDRESS(ROW(AT266),COLUMN(AT266))),INDIRECT("'Yr2'!"&amp;ADDRESS(ROW(AT266),COLUMN(AT266))),INDIRECT("'Yr3'!"&amp;ADDRESS(ROW(AT266),COLUMN(AT266)))),
IF($C$4=AT$7,AT286*AT254,0))</f>
        <v>0</v>
      </c>
      <c r="AU266" s="71">
        <f ca="1">IF($C$4=Lookups!$D$40,SUM(INDIRECT("'Yr1'!"&amp;ADDRESS(ROW(AU266),COLUMN(AU266))),INDIRECT("'Yr2'!"&amp;ADDRESS(ROW(AU266),COLUMN(AU266))),INDIRECT("'Yr3'!"&amp;ADDRESS(ROW(AU266),COLUMN(AU266)))),
IF($C$4=AU$7,AU286*AU254,0))</f>
        <v>0</v>
      </c>
      <c r="AV266" s="71">
        <f ca="1">IF($C$4=Lookups!$D$40,SUM(INDIRECT("'Yr1'!"&amp;ADDRESS(ROW(AV266),COLUMN(AV266))),INDIRECT("'Yr2'!"&amp;ADDRESS(ROW(AV266),COLUMN(AV266))),INDIRECT("'Yr3'!"&amp;ADDRESS(ROW(AV266),COLUMN(AV266)))),
IF($C$4=AV$7,AV286*AV254,0))</f>
        <v>0</v>
      </c>
      <c r="AW266" s="71">
        <f ca="1">IF($C$4=Lookups!$D$40,SUM(INDIRECT("'Yr1'!"&amp;ADDRESS(ROW(AW266),COLUMN(AW266))),INDIRECT("'Yr2'!"&amp;ADDRESS(ROW(AW266),COLUMN(AW266))),INDIRECT("'Yr3'!"&amp;ADDRESS(ROW(AW266),COLUMN(AW266)))),
IF($C$4=AW$7,AW286*AW254,0))</f>
        <v>0</v>
      </c>
      <c r="AX266" s="71">
        <f ca="1">IF($C$4=Lookups!$D$40,SUM(INDIRECT("'Yr1'!"&amp;ADDRESS(ROW(AX266),COLUMN(AX266))),INDIRECT("'Yr2'!"&amp;ADDRESS(ROW(AX266),COLUMN(AX266))),INDIRECT("'Yr3'!"&amp;ADDRESS(ROW(AX266),COLUMN(AX266)))),
IF($C$4=AX$7,AX286*AX254,0))</f>
        <v>0</v>
      </c>
      <c r="AY266" s="71">
        <f ca="1">IF($C$4=Lookups!$D$40,SUM(INDIRECT("'Yr1'!"&amp;ADDRESS(ROW(AY266),COLUMN(AY266))),INDIRECT("'Yr2'!"&amp;ADDRESS(ROW(AY266),COLUMN(AY266))),INDIRECT("'Yr3'!"&amp;ADDRESS(ROW(AY266),COLUMN(AY266)))),
IF($C$4=AY$7,AY286*AY254,0))</f>
        <v>0</v>
      </c>
      <c r="AZ266" s="71">
        <f ca="1">IF($C$4=Lookups!$D$40,SUM(INDIRECT("'Yr1'!"&amp;ADDRESS(ROW(AZ266),COLUMN(AZ266))),INDIRECT("'Yr2'!"&amp;ADDRESS(ROW(AZ266),COLUMN(AZ266))),INDIRECT("'Yr3'!"&amp;ADDRESS(ROW(AZ266),COLUMN(AZ266)))),
IF($C$4=AZ$7,AZ286*AZ254,0))</f>
        <v>0</v>
      </c>
      <c r="BA266" s="71">
        <f ca="1">IF($C$4=Lookups!$D$40,SUM(INDIRECT("'Yr1'!"&amp;ADDRESS(ROW(BA266),COLUMN(BA266))),INDIRECT("'Yr2'!"&amp;ADDRESS(ROW(BA266),COLUMN(BA266))),INDIRECT("'Yr3'!"&amp;ADDRESS(ROW(BA266),COLUMN(BA266)))),
IF($C$4=BA$7,BA286*BA254,0))</f>
        <v>0</v>
      </c>
      <c r="BB266" s="71">
        <f ca="1">IF($C$4=Lookups!$D$40,SUM(INDIRECT("'Yr1'!"&amp;ADDRESS(ROW(BB266),COLUMN(BB266))),INDIRECT("'Yr2'!"&amp;ADDRESS(ROW(BB266),COLUMN(BB266))),INDIRECT("'Yr3'!"&amp;ADDRESS(ROW(BB266),COLUMN(BB266)))),
IF($C$4=BB$7,BB286*BB254,0))</f>
        <v>0</v>
      </c>
      <c r="BC266" s="71">
        <f ca="1">IF($C$4=Lookups!$D$40,SUM(INDIRECT("'Yr1'!"&amp;ADDRESS(ROW(BC266),COLUMN(BC266))),INDIRECT("'Yr2'!"&amp;ADDRESS(ROW(BC266),COLUMN(BC266))),INDIRECT("'Yr3'!"&amp;ADDRESS(ROW(BC266),COLUMN(BC266)))),
IF($C$4=BC$7,BC286*BC254,0))</f>
        <v>0</v>
      </c>
      <c r="BD266" s="71">
        <f ca="1">IF($C$4=Lookups!$D$40,SUM(INDIRECT("'Yr1'!"&amp;ADDRESS(ROW(BD266),COLUMN(BD266))),INDIRECT("'Yr2'!"&amp;ADDRESS(ROW(BD266),COLUMN(BD266))),INDIRECT("'Yr3'!"&amp;ADDRESS(ROW(BD266),COLUMN(BD266)))),
IF($C$4=BD$7,BD286*BD254,0))</f>
        <v>0</v>
      </c>
      <c r="BE266" s="71">
        <f ca="1">IF($C$4=Lookups!$D$40,SUM(INDIRECT("'Yr1'!"&amp;ADDRESS(ROW(BE266),COLUMN(BE266))),INDIRECT("'Yr2'!"&amp;ADDRESS(ROW(BE266),COLUMN(BE266))),INDIRECT("'Yr3'!"&amp;ADDRESS(ROW(BE266),COLUMN(BE266)))),
IF($C$4=BE$7,BE286*BE254,0))</f>
        <v>0</v>
      </c>
      <c r="BF266" s="71">
        <f ca="1">IF($C$4=Lookups!$D$40,SUM(INDIRECT("'Yr1'!"&amp;ADDRESS(ROW(BF266),COLUMN(BF266))),INDIRECT("'Yr2'!"&amp;ADDRESS(ROW(BF266),COLUMN(BF266))),INDIRECT("'Yr3'!"&amp;ADDRESS(ROW(BF266),COLUMN(BF266)))),
IF($C$4=BF$7,BF286*BF254,0))</f>
        <v>0</v>
      </c>
      <c r="BG266" s="71">
        <f ca="1">IF($C$4=Lookups!$D$40,SUM(INDIRECT("'Yr1'!"&amp;ADDRESS(ROW(BG266),COLUMN(BG266))),INDIRECT("'Yr2'!"&amp;ADDRESS(ROW(BG266),COLUMN(BG266))),INDIRECT("'Yr3'!"&amp;ADDRESS(ROW(BG266),COLUMN(BG266)))),
IF($C$4=BG$7,BG286*BG254,0))</f>
        <v>0</v>
      </c>
      <c r="BH266" s="71">
        <f ca="1">IF($C$4=Lookups!$D$40,SUM(INDIRECT("'Yr1'!"&amp;ADDRESS(ROW(BH266),COLUMN(BH266))),INDIRECT("'Yr2'!"&amp;ADDRESS(ROW(BH266),COLUMN(BH266))),INDIRECT("'Yr3'!"&amp;ADDRESS(ROW(BH266),COLUMN(BH266)))),
IF($C$4=BH$7,BH286*BH254,0))</f>
        <v>0</v>
      </c>
      <c r="BI266" s="71">
        <f ca="1">IF($C$4=Lookups!$D$40,SUM(INDIRECT("'Yr1'!"&amp;ADDRESS(ROW(BI266),COLUMN(BI266))),INDIRECT("'Yr2'!"&amp;ADDRESS(ROW(BI266),COLUMN(BI266))),INDIRECT("'Yr3'!"&amp;ADDRESS(ROW(BI266),COLUMN(BI266)))),
IF($C$4=BI$7,BI286*BI254,0))</f>
        <v>0</v>
      </c>
      <c r="BJ266" s="71">
        <f ca="1">IF($C$4=Lookups!$D$40,SUM(INDIRECT("'Yr1'!"&amp;ADDRESS(ROW(BJ266),COLUMN(BJ266))),INDIRECT("'Yr2'!"&amp;ADDRESS(ROW(BJ266),COLUMN(BJ266))),INDIRECT("'Yr3'!"&amp;ADDRESS(ROW(BJ266),COLUMN(BJ266)))),
IF($C$4=BJ$7,BJ286*BJ254,0))</f>
        <v>0</v>
      </c>
      <c r="BK266" s="71">
        <f ca="1">IF($C$4=Lookups!$D$40,SUM(INDIRECT("'Yr1'!"&amp;ADDRESS(ROW(BK266),COLUMN(BK266))),INDIRECT("'Yr2'!"&amp;ADDRESS(ROW(BK266),COLUMN(BK266))),INDIRECT("'Yr3'!"&amp;ADDRESS(ROW(BK266),COLUMN(BK266)))),
IF($C$4=BK$7,BK286*BK254,0))</f>
        <v>0</v>
      </c>
      <c r="BL266" s="71">
        <f ca="1">IF($C$4=Lookups!$D$40,SUM(INDIRECT("'Yr1'!"&amp;ADDRESS(ROW(BL266),COLUMN(BL266))),INDIRECT("'Yr2'!"&amp;ADDRESS(ROW(BL266),COLUMN(BL266))),INDIRECT("'Yr3'!"&amp;ADDRESS(ROW(BL266),COLUMN(BL266)))),
IF($C$4=BL$7,BL286*BL254,0))</f>
        <v>0</v>
      </c>
      <c r="BM266" s="71">
        <f ca="1">IF($C$4=Lookups!$D$40,SUM(INDIRECT("'Yr1'!"&amp;ADDRESS(ROW(BM266),COLUMN(BM266))),INDIRECT("'Yr2'!"&amp;ADDRESS(ROW(BM266),COLUMN(BM266))),INDIRECT("'Yr3'!"&amp;ADDRESS(ROW(BM266),COLUMN(BM266)))),
IF($C$4=BM$7,BM286*BM254,0))</f>
        <v>0</v>
      </c>
      <c r="BN266" s="71"/>
      <c r="BO266" s="71">
        <f ca="1">NPV(Lookups!$E$17,AM266:BM266)</f>
        <v>1843031.5527987641</v>
      </c>
      <c r="BP266" s="72"/>
      <c r="BS266" s="84" t="str">
        <f>E266&amp;" rate multiplied by After DSM sales."</f>
        <v>LDAC, EE Only rate multiplied by After DSM sales.</v>
      </c>
      <c r="BT266" s="51" t="s">
        <v>17</v>
      </c>
    </row>
    <row r="267" spans="1:72" x14ac:dyDescent="0.25">
      <c r="A267" s="476"/>
      <c r="B267" s="243" t="str">
        <f t="shared" si="286"/>
        <v>Large C&amp;I</v>
      </c>
      <c r="C267" s="243" t="str">
        <f t="shared" si="286"/>
        <v>Revenue Requirements</v>
      </c>
      <c r="D267" s="244" t="str">
        <f>D266</f>
        <v>Increased Costs and Cost Shifting</v>
      </c>
      <c r="E267" s="86" t="s">
        <v>198</v>
      </c>
      <c r="F267" s="84" t="s">
        <v>32</v>
      </c>
      <c r="G267" s="64">
        <f ca="1">IF($C$4=Lookups!$D$40,SUM(INDIRECT("'Yr1'!"&amp;ADDRESS(ROW(G267),COLUMN(G267))),INDIRECT("'Yr2'!"&amp;ADDRESS(ROW(G267),COLUMN(G267))),INDIRECT("'Yr3'!"&amp;ADDRESS(ROW(G267),COLUMN(G267)))),
G287*G254)</f>
        <v>0</v>
      </c>
      <c r="H267" s="64">
        <f ca="1">IF($C$4=Lookups!$D$40,SUM(INDIRECT("'Yr1'!"&amp;ADDRESS(ROW(H267),COLUMN(H267))),INDIRECT("'Yr2'!"&amp;ADDRESS(ROW(H267),COLUMN(H267))),INDIRECT("'Yr3'!"&amp;ADDRESS(ROW(H267),COLUMN(H267)))),
H287*H254)</f>
        <v>0</v>
      </c>
      <c r="I267" s="64">
        <f ca="1">IF($C$4=Lookups!$D$40,SUM(INDIRECT("'Yr1'!"&amp;ADDRESS(ROW(I267),COLUMN(I267))),INDIRECT("'Yr2'!"&amp;ADDRESS(ROW(I267),COLUMN(I267))),INDIRECT("'Yr3'!"&amp;ADDRESS(ROW(I267),COLUMN(I267)))),
I287*I254)</f>
        <v>117136.17813983433</v>
      </c>
      <c r="J267" s="64">
        <f ca="1">IF($C$4=Lookups!$D$40,SUM(INDIRECT("'Yr1'!"&amp;ADDRESS(ROW(J267),COLUMN(J267))),INDIRECT("'Yr2'!"&amp;ADDRESS(ROW(J267),COLUMN(J267))),INDIRECT("'Yr3'!"&amp;ADDRESS(ROW(J267),COLUMN(J267)))),
J287*J254)</f>
        <v>117136.17813983433</v>
      </c>
      <c r="K267" s="64">
        <f ca="1">IF($C$4=Lookups!$D$40,SUM(INDIRECT("'Yr1'!"&amp;ADDRESS(ROW(K267),COLUMN(K267))),INDIRECT("'Yr2'!"&amp;ADDRESS(ROW(K267),COLUMN(K267))),INDIRECT("'Yr3'!"&amp;ADDRESS(ROW(K267),COLUMN(K267)))),
K287*K254)</f>
        <v>117136.17813983433</v>
      </c>
      <c r="L267" s="64">
        <f ca="1">IF($C$4=Lookups!$D$40,SUM(INDIRECT("'Yr1'!"&amp;ADDRESS(ROW(L267),COLUMN(L267))),INDIRECT("'Yr2'!"&amp;ADDRESS(ROW(L267),COLUMN(L267))),INDIRECT("'Yr3'!"&amp;ADDRESS(ROW(L267),COLUMN(L267)))),
L287*L254)</f>
        <v>117136.17813983433</v>
      </c>
      <c r="M267" s="64">
        <f ca="1">IF($C$4=Lookups!$D$40,SUM(INDIRECT("'Yr1'!"&amp;ADDRESS(ROW(M267),COLUMN(M267))),INDIRECT("'Yr2'!"&amp;ADDRESS(ROW(M267),COLUMN(M267))),INDIRECT("'Yr3'!"&amp;ADDRESS(ROW(M267),COLUMN(M267)))),
M287*M254)</f>
        <v>117136.17813983433</v>
      </c>
      <c r="N267" s="64">
        <f ca="1">IF($C$4=Lookups!$D$40,SUM(INDIRECT("'Yr1'!"&amp;ADDRESS(ROW(N267),COLUMN(N267))),INDIRECT("'Yr2'!"&amp;ADDRESS(ROW(N267),COLUMN(N267))),INDIRECT("'Yr3'!"&amp;ADDRESS(ROW(N267),COLUMN(N267)))),
N287*N254)</f>
        <v>117136.17813983433</v>
      </c>
      <c r="O267" s="64">
        <f ca="1">IF($C$4=Lookups!$D$40,SUM(INDIRECT("'Yr1'!"&amp;ADDRESS(ROW(O267),COLUMN(O267))),INDIRECT("'Yr2'!"&amp;ADDRESS(ROW(O267),COLUMN(O267))),INDIRECT("'Yr3'!"&amp;ADDRESS(ROW(O267),COLUMN(O267)))),
O287*O254)</f>
        <v>117136.17813983433</v>
      </c>
      <c r="P267" s="64">
        <f ca="1">IF($C$4=Lookups!$D$40,SUM(INDIRECT("'Yr1'!"&amp;ADDRESS(ROW(P267),COLUMN(P267))),INDIRECT("'Yr2'!"&amp;ADDRESS(ROW(P267),COLUMN(P267))),INDIRECT("'Yr3'!"&amp;ADDRESS(ROW(P267),COLUMN(P267)))),
P287*P254)</f>
        <v>117136.17813983433</v>
      </c>
      <c r="Q267" s="64">
        <f ca="1">IF($C$4=Lookups!$D$40,SUM(INDIRECT("'Yr1'!"&amp;ADDRESS(ROW(Q267),COLUMN(Q267))),INDIRECT("'Yr2'!"&amp;ADDRESS(ROW(Q267),COLUMN(Q267))),INDIRECT("'Yr3'!"&amp;ADDRESS(ROW(Q267),COLUMN(Q267)))),
Q287*Q254)</f>
        <v>117136.17813983433</v>
      </c>
      <c r="R267" s="64">
        <f ca="1">IF($C$4=Lookups!$D$40,SUM(INDIRECT("'Yr1'!"&amp;ADDRESS(ROW(R267),COLUMN(R267))),INDIRECT("'Yr2'!"&amp;ADDRESS(ROW(R267),COLUMN(R267))),INDIRECT("'Yr3'!"&amp;ADDRESS(ROW(R267),COLUMN(R267)))),
R287*R254)</f>
        <v>117136.17813983433</v>
      </c>
      <c r="S267" s="64">
        <f ca="1">IF($C$4=Lookups!$D$40,SUM(INDIRECT("'Yr1'!"&amp;ADDRESS(ROW(S267),COLUMN(S267))),INDIRECT("'Yr2'!"&amp;ADDRESS(ROW(S267),COLUMN(S267))),INDIRECT("'Yr3'!"&amp;ADDRESS(ROW(S267),COLUMN(S267)))),
S287*S254)</f>
        <v>117136.17813983433</v>
      </c>
      <c r="T267" s="64">
        <f ca="1">IF($C$4=Lookups!$D$40,SUM(INDIRECT("'Yr1'!"&amp;ADDRESS(ROW(T267),COLUMN(T267))),INDIRECT("'Yr2'!"&amp;ADDRESS(ROW(T267),COLUMN(T267))),INDIRECT("'Yr3'!"&amp;ADDRESS(ROW(T267),COLUMN(T267)))),
T287*T254)</f>
        <v>117136.17813983433</v>
      </c>
      <c r="U267" s="64">
        <f ca="1">IF($C$4=Lookups!$D$40,SUM(INDIRECT("'Yr1'!"&amp;ADDRESS(ROW(U267),COLUMN(U267))),INDIRECT("'Yr2'!"&amp;ADDRESS(ROW(U267),COLUMN(U267))),INDIRECT("'Yr3'!"&amp;ADDRESS(ROW(U267),COLUMN(U267)))),
U287*U254)</f>
        <v>117136.17813983433</v>
      </c>
      <c r="V267" s="64">
        <f ca="1">IF($C$4=Lookups!$D$40,SUM(INDIRECT("'Yr1'!"&amp;ADDRESS(ROW(V267),COLUMN(V267))),INDIRECT("'Yr2'!"&amp;ADDRESS(ROW(V267),COLUMN(V267))),INDIRECT("'Yr3'!"&amp;ADDRESS(ROW(V267),COLUMN(V267)))),
V287*V254)</f>
        <v>0</v>
      </c>
      <c r="W267" s="64">
        <f ca="1">IF($C$4=Lookups!$D$40,SUM(INDIRECT("'Yr1'!"&amp;ADDRESS(ROW(W267),COLUMN(W267))),INDIRECT("'Yr2'!"&amp;ADDRESS(ROW(W267),COLUMN(W267))),INDIRECT("'Yr3'!"&amp;ADDRESS(ROW(W267),COLUMN(W267)))),
W287*W254)</f>
        <v>0</v>
      </c>
      <c r="X267" s="64">
        <f ca="1">IF($C$4=Lookups!$D$40,SUM(INDIRECT("'Yr1'!"&amp;ADDRESS(ROW(X267),COLUMN(X267))),INDIRECT("'Yr2'!"&amp;ADDRESS(ROW(X267),COLUMN(X267))),INDIRECT("'Yr3'!"&amp;ADDRESS(ROW(X267),COLUMN(X267)))),
X287*X254)</f>
        <v>0</v>
      </c>
      <c r="Y267" s="64">
        <f ca="1">IF($C$4=Lookups!$D$40,SUM(INDIRECT("'Yr1'!"&amp;ADDRESS(ROW(Y267),COLUMN(Y267))),INDIRECT("'Yr2'!"&amp;ADDRESS(ROW(Y267),COLUMN(Y267))),INDIRECT("'Yr3'!"&amp;ADDRESS(ROW(Y267),COLUMN(Y267)))),
Y287*Y254)</f>
        <v>0</v>
      </c>
      <c r="Z267" s="64">
        <f ca="1">IF($C$4=Lookups!$D$40,SUM(INDIRECT("'Yr1'!"&amp;ADDRESS(ROW(Z267),COLUMN(Z267))),INDIRECT("'Yr2'!"&amp;ADDRESS(ROW(Z267),COLUMN(Z267))),INDIRECT("'Yr3'!"&amp;ADDRESS(ROW(Z267),COLUMN(Z267)))),
Z287*Z254)</f>
        <v>0</v>
      </c>
      <c r="AA267" s="64">
        <f ca="1">IF($C$4=Lookups!$D$40,SUM(INDIRECT("'Yr1'!"&amp;ADDRESS(ROW(AA267),COLUMN(AA267))),INDIRECT("'Yr2'!"&amp;ADDRESS(ROW(AA267),COLUMN(AA267))),INDIRECT("'Yr3'!"&amp;ADDRESS(ROW(AA267),COLUMN(AA267)))),
AA287*AA254)</f>
        <v>0</v>
      </c>
      <c r="AB267" s="64">
        <f ca="1">IF($C$4=Lookups!$D$40,SUM(INDIRECT("'Yr1'!"&amp;ADDRESS(ROW(AB267),COLUMN(AB267))),INDIRECT("'Yr2'!"&amp;ADDRESS(ROW(AB267),COLUMN(AB267))),INDIRECT("'Yr3'!"&amp;ADDRESS(ROW(AB267),COLUMN(AB267)))),
AB287*AB254)</f>
        <v>0</v>
      </c>
      <c r="AC267" s="64">
        <f ca="1">IF($C$4=Lookups!$D$40,SUM(INDIRECT("'Yr1'!"&amp;ADDRESS(ROW(AC267),COLUMN(AC267))),INDIRECT("'Yr2'!"&amp;ADDRESS(ROW(AC267),COLUMN(AC267))),INDIRECT("'Yr3'!"&amp;ADDRESS(ROW(AC267),COLUMN(AC267)))),
AC287*AC254)</f>
        <v>0</v>
      </c>
      <c r="AD267" s="64">
        <f ca="1">IF($C$4=Lookups!$D$40,SUM(INDIRECT("'Yr1'!"&amp;ADDRESS(ROW(AD267),COLUMN(AD267))),INDIRECT("'Yr2'!"&amp;ADDRESS(ROW(AD267),COLUMN(AD267))),INDIRECT("'Yr3'!"&amp;ADDRESS(ROW(AD267),COLUMN(AD267)))),
AD287*AD254)</f>
        <v>0</v>
      </c>
      <c r="AE267" s="64">
        <f ca="1">IF($C$4=Lookups!$D$40,SUM(INDIRECT("'Yr1'!"&amp;ADDRESS(ROW(AE267),COLUMN(AE267))),INDIRECT("'Yr2'!"&amp;ADDRESS(ROW(AE267),COLUMN(AE267))),INDIRECT("'Yr3'!"&amp;ADDRESS(ROW(AE267),COLUMN(AE267)))),
AE287*AE254)</f>
        <v>0</v>
      </c>
      <c r="AF267" s="64">
        <f ca="1">IF($C$4=Lookups!$D$40,SUM(INDIRECT("'Yr1'!"&amp;ADDRESS(ROW(AF267),COLUMN(AF267))),INDIRECT("'Yr2'!"&amp;ADDRESS(ROW(AF267),COLUMN(AF267))),INDIRECT("'Yr3'!"&amp;ADDRESS(ROW(AF267),COLUMN(AF267)))),
AF287*AF254)</f>
        <v>0</v>
      </c>
      <c r="AG267" s="64">
        <f ca="1">IF($C$4=Lookups!$D$40,SUM(INDIRECT("'Yr1'!"&amp;ADDRESS(ROW(AG267),COLUMN(AG267))),INDIRECT("'Yr2'!"&amp;ADDRESS(ROW(AG267),COLUMN(AG267))),INDIRECT("'Yr3'!"&amp;ADDRESS(ROW(AG267),COLUMN(AG267)))),
AG287*AG254)</f>
        <v>0</v>
      </c>
      <c r="AH267" s="49"/>
      <c r="AI267" s="64">
        <f ca="1">NPV(Lookups!$E$17,G267:AG267)</f>
        <v>1343808.2686470179</v>
      </c>
      <c r="AJ267" s="65"/>
      <c r="AM267" s="71">
        <f ca="1">IF($C$4=Lookups!$D$40,SUM(INDIRECT("'Yr1'!"&amp;ADDRESS(ROW(AM267),COLUMN(AM267))),INDIRECT("'Yr2'!"&amp;ADDRESS(ROW(AM267),COLUMN(AM267))),INDIRECT("'Yr3'!"&amp;ADDRESS(ROW(AM267),COLUMN(AM267)))),
AM287*AM254)</f>
        <v>0</v>
      </c>
      <c r="AN267" s="71">
        <f ca="1">IF($C$4=Lookups!$D$40,SUM(INDIRECT("'Yr1'!"&amp;ADDRESS(ROW(AN267),COLUMN(AN267))),INDIRECT("'Yr2'!"&amp;ADDRESS(ROW(AN267),COLUMN(AN267))),INDIRECT("'Yr3'!"&amp;ADDRESS(ROW(AN267),COLUMN(AN267)))),
AN287*AN254)</f>
        <v>0</v>
      </c>
      <c r="AO267" s="71">
        <f ca="1">IF($C$4=Lookups!$D$40,SUM(INDIRECT("'Yr1'!"&amp;ADDRESS(ROW(AO267),COLUMN(AO267))),INDIRECT("'Yr2'!"&amp;ADDRESS(ROW(AO267),COLUMN(AO267))),INDIRECT("'Yr3'!"&amp;ADDRESS(ROW(AO267),COLUMN(AO267)))),
AO287*AO254)</f>
        <v>133213.91986670485</v>
      </c>
      <c r="AP267" s="71">
        <f ca="1">IF($C$4=Lookups!$D$40,SUM(INDIRECT("'Yr1'!"&amp;ADDRESS(ROW(AP267),COLUMN(AP267))),INDIRECT("'Yr2'!"&amp;ADDRESS(ROW(AP267),COLUMN(AP267))),INDIRECT("'Yr3'!"&amp;ADDRESS(ROW(AP267),COLUMN(AP267)))),
AP287*AP254)</f>
        <v>133213.91986670485</v>
      </c>
      <c r="AQ267" s="71">
        <f ca="1">IF($C$4=Lookups!$D$40,SUM(INDIRECT("'Yr1'!"&amp;ADDRESS(ROW(AQ267),COLUMN(AQ267))),INDIRECT("'Yr2'!"&amp;ADDRESS(ROW(AQ267),COLUMN(AQ267))),INDIRECT("'Yr3'!"&amp;ADDRESS(ROW(AQ267),COLUMN(AQ267)))),
AQ287*AQ254)</f>
        <v>133213.91986670485</v>
      </c>
      <c r="AR267" s="71">
        <f ca="1">IF($C$4=Lookups!$D$40,SUM(INDIRECT("'Yr1'!"&amp;ADDRESS(ROW(AR267),COLUMN(AR267))),INDIRECT("'Yr2'!"&amp;ADDRESS(ROW(AR267),COLUMN(AR267))),INDIRECT("'Yr3'!"&amp;ADDRESS(ROW(AR267),COLUMN(AR267)))),
AR287*AR254)</f>
        <v>133213.91986670485</v>
      </c>
      <c r="AS267" s="71">
        <f ca="1">IF($C$4=Lookups!$D$40,SUM(INDIRECT("'Yr1'!"&amp;ADDRESS(ROW(AS267),COLUMN(AS267))),INDIRECT("'Yr2'!"&amp;ADDRESS(ROW(AS267),COLUMN(AS267))),INDIRECT("'Yr3'!"&amp;ADDRESS(ROW(AS267),COLUMN(AS267)))),
AS287*AS254)</f>
        <v>133213.91986670485</v>
      </c>
      <c r="AT267" s="71">
        <f ca="1">IF($C$4=Lookups!$D$40,SUM(INDIRECT("'Yr1'!"&amp;ADDRESS(ROW(AT267),COLUMN(AT267))),INDIRECT("'Yr2'!"&amp;ADDRESS(ROW(AT267),COLUMN(AT267))),INDIRECT("'Yr3'!"&amp;ADDRESS(ROW(AT267),COLUMN(AT267)))),
AT287*AT254)</f>
        <v>133213.91986670485</v>
      </c>
      <c r="AU267" s="71">
        <f ca="1">IF($C$4=Lookups!$D$40,SUM(INDIRECT("'Yr1'!"&amp;ADDRESS(ROW(AU267),COLUMN(AU267))),INDIRECT("'Yr2'!"&amp;ADDRESS(ROW(AU267),COLUMN(AU267))),INDIRECT("'Yr3'!"&amp;ADDRESS(ROW(AU267),COLUMN(AU267)))),
AU287*AU254)</f>
        <v>133213.91986670485</v>
      </c>
      <c r="AV267" s="71">
        <f ca="1">IF($C$4=Lookups!$D$40,SUM(INDIRECT("'Yr1'!"&amp;ADDRESS(ROW(AV267),COLUMN(AV267))),INDIRECT("'Yr2'!"&amp;ADDRESS(ROW(AV267),COLUMN(AV267))),INDIRECT("'Yr3'!"&amp;ADDRESS(ROW(AV267),COLUMN(AV267)))),
AV287*AV254)</f>
        <v>133213.91986670485</v>
      </c>
      <c r="AW267" s="71">
        <f ca="1">IF($C$4=Lookups!$D$40,SUM(INDIRECT("'Yr1'!"&amp;ADDRESS(ROW(AW267),COLUMN(AW267))),INDIRECT("'Yr2'!"&amp;ADDRESS(ROW(AW267),COLUMN(AW267))),INDIRECT("'Yr3'!"&amp;ADDRESS(ROW(AW267),COLUMN(AW267)))),
AW287*AW254)</f>
        <v>133213.91986670485</v>
      </c>
      <c r="AX267" s="71">
        <f ca="1">IF($C$4=Lookups!$D$40,SUM(INDIRECT("'Yr1'!"&amp;ADDRESS(ROW(AX267),COLUMN(AX267))),INDIRECT("'Yr2'!"&amp;ADDRESS(ROW(AX267),COLUMN(AX267))),INDIRECT("'Yr3'!"&amp;ADDRESS(ROW(AX267),COLUMN(AX267)))),
AX287*AX254)</f>
        <v>133213.91986670485</v>
      </c>
      <c r="AY267" s="71">
        <f ca="1">IF($C$4=Lookups!$D$40,SUM(INDIRECT("'Yr1'!"&amp;ADDRESS(ROW(AY267),COLUMN(AY267))),INDIRECT("'Yr2'!"&amp;ADDRESS(ROW(AY267),COLUMN(AY267))),INDIRECT("'Yr3'!"&amp;ADDRESS(ROW(AY267),COLUMN(AY267)))),
AY287*AY254)</f>
        <v>133213.91986670485</v>
      </c>
      <c r="AZ267" s="71">
        <f ca="1">IF($C$4=Lookups!$D$40,SUM(INDIRECT("'Yr1'!"&amp;ADDRESS(ROW(AZ267),COLUMN(AZ267))),INDIRECT("'Yr2'!"&amp;ADDRESS(ROW(AZ267),COLUMN(AZ267))),INDIRECT("'Yr3'!"&amp;ADDRESS(ROW(AZ267),COLUMN(AZ267)))),
AZ287*AZ254)</f>
        <v>133213.91986670485</v>
      </c>
      <c r="BA267" s="71">
        <f ca="1">IF($C$4=Lookups!$D$40,SUM(INDIRECT("'Yr1'!"&amp;ADDRESS(ROW(BA267),COLUMN(BA267))),INDIRECT("'Yr2'!"&amp;ADDRESS(ROW(BA267),COLUMN(BA267))),INDIRECT("'Yr3'!"&amp;ADDRESS(ROW(BA267),COLUMN(BA267)))),
BA287*BA254)</f>
        <v>133213.91986670485</v>
      </c>
      <c r="BB267" s="71">
        <f ca="1">IF($C$4=Lookups!$D$40,SUM(INDIRECT("'Yr1'!"&amp;ADDRESS(ROW(BB267),COLUMN(BB267))),INDIRECT("'Yr2'!"&amp;ADDRESS(ROW(BB267),COLUMN(BB267))),INDIRECT("'Yr3'!"&amp;ADDRESS(ROW(BB267),COLUMN(BB267)))),
BB287*BB254)</f>
        <v>0</v>
      </c>
      <c r="BC267" s="71">
        <f ca="1">IF($C$4=Lookups!$D$40,SUM(INDIRECT("'Yr1'!"&amp;ADDRESS(ROW(BC267),COLUMN(BC267))),INDIRECT("'Yr2'!"&amp;ADDRESS(ROW(BC267),COLUMN(BC267))),INDIRECT("'Yr3'!"&amp;ADDRESS(ROW(BC267),COLUMN(BC267)))),
BC287*BC254)</f>
        <v>0</v>
      </c>
      <c r="BD267" s="71">
        <f ca="1">IF($C$4=Lookups!$D$40,SUM(INDIRECT("'Yr1'!"&amp;ADDRESS(ROW(BD267),COLUMN(BD267))),INDIRECT("'Yr2'!"&amp;ADDRESS(ROW(BD267),COLUMN(BD267))),INDIRECT("'Yr3'!"&amp;ADDRESS(ROW(BD267),COLUMN(BD267)))),
BD287*BD254)</f>
        <v>0</v>
      </c>
      <c r="BE267" s="71">
        <f ca="1">IF($C$4=Lookups!$D$40,SUM(INDIRECT("'Yr1'!"&amp;ADDRESS(ROW(BE267),COLUMN(BE267))),INDIRECT("'Yr2'!"&amp;ADDRESS(ROW(BE267),COLUMN(BE267))),INDIRECT("'Yr3'!"&amp;ADDRESS(ROW(BE267),COLUMN(BE267)))),
BE287*BE254)</f>
        <v>0</v>
      </c>
      <c r="BF267" s="71">
        <f ca="1">IF($C$4=Lookups!$D$40,SUM(INDIRECT("'Yr1'!"&amp;ADDRESS(ROW(BF267),COLUMN(BF267))),INDIRECT("'Yr2'!"&amp;ADDRESS(ROW(BF267),COLUMN(BF267))),INDIRECT("'Yr3'!"&amp;ADDRESS(ROW(BF267),COLUMN(BF267)))),
BF287*BF254)</f>
        <v>0</v>
      </c>
      <c r="BG267" s="71">
        <f ca="1">IF($C$4=Lookups!$D$40,SUM(INDIRECT("'Yr1'!"&amp;ADDRESS(ROW(BG267),COLUMN(BG267))),INDIRECT("'Yr2'!"&amp;ADDRESS(ROW(BG267),COLUMN(BG267))),INDIRECT("'Yr3'!"&amp;ADDRESS(ROW(BG267),COLUMN(BG267)))),
BG287*BG254)</f>
        <v>0</v>
      </c>
      <c r="BH267" s="71">
        <f ca="1">IF($C$4=Lookups!$D$40,SUM(INDIRECT("'Yr1'!"&amp;ADDRESS(ROW(BH267),COLUMN(BH267))),INDIRECT("'Yr2'!"&amp;ADDRESS(ROW(BH267),COLUMN(BH267))),INDIRECT("'Yr3'!"&amp;ADDRESS(ROW(BH267),COLUMN(BH267)))),
BH287*BH254)</f>
        <v>0</v>
      </c>
      <c r="BI267" s="71">
        <f ca="1">IF($C$4=Lookups!$D$40,SUM(INDIRECT("'Yr1'!"&amp;ADDRESS(ROW(BI267),COLUMN(BI267))),INDIRECT("'Yr2'!"&amp;ADDRESS(ROW(BI267),COLUMN(BI267))),INDIRECT("'Yr3'!"&amp;ADDRESS(ROW(BI267),COLUMN(BI267)))),
BI287*BI254)</f>
        <v>0</v>
      </c>
      <c r="BJ267" s="71">
        <f ca="1">IF($C$4=Lookups!$D$40,SUM(INDIRECT("'Yr1'!"&amp;ADDRESS(ROW(BJ267),COLUMN(BJ267))),INDIRECT("'Yr2'!"&amp;ADDRESS(ROW(BJ267),COLUMN(BJ267))),INDIRECT("'Yr3'!"&amp;ADDRESS(ROW(BJ267),COLUMN(BJ267)))),
BJ287*BJ254)</f>
        <v>0</v>
      </c>
      <c r="BK267" s="71">
        <f ca="1">IF($C$4=Lookups!$D$40,SUM(INDIRECT("'Yr1'!"&amp;ADDRESS(ROW(BK267),COLUMN(BK267))),INDIRECT("'Yr2'!"&amp;ADDRESS(ROW(BK267),COLUMN(BK267))),INDIRECT("'Yr3'!"&amp;ADDRESS(ROW(BK267),COLUMN(BK267)))),
BK287*BK254)</f>
        <v>0</v>
      </c>
      <c r="BL267" s="71">
        <f ca="1">IF($C$4=Lookups!$D$40,SUM(INDIRECT("'Yr1'!"&amp;ADDRESS(ROW(BL267),COLUMN(BL267))),INDIRECT("'Yr2'!"&amp;ADDRESS(ROW(BL267),COLUMN(BL267))),INDIRECT("'Yr3'!"&amp;ADDRESS(ROW(BL267),COLUMN(BL267)))),
BL287*BL254)</f>
        <v>0</v>
      </c>
      <c r="BM267" s="71">
        <f ca="1">IF($C$4=Lookups!$D$40,SUM(INDIRECT("'Yr1'!"&amp;ADDRESS(ROW(BM267),COLUMN(BM267))),INDIRECT("'Yr2'!"&amp;ADDRESS(ROW(BM267),COLUMN(BM267))),INDIRECT("'Yr3'!"&amp;ADDRESS(ROW(BM267),COLUMN(BM267)))),
BM287*BM254)</f>
        <v>0</v>
      </c>
      <c r="BN267" s="71"/>
      <c r="BO267" s="71">
        <f ca="1">NPV(Lookups!$E$17,AM267:BM267)</f>
        <v>1528255.1459213279</v>
      </c>
      <c r="BP267" s="72"/>
      <c r="BS267" s="84" t="str">
        <f>E267&amp;" rate multiplied by After DSM sales."</f>
        <v>Distribution Lost Revenue rate multiplied by After DSM sales.</v>
      </c>
      <c r="BT267" s="51" t="s">
        <v>17</v>
      </c>
    </row>
    <row r="268" spans="1:72" x14ac:dyDescent="0.25">
      <c r="B268" s="243" t="str">
        <f>B266</f>
        <v>Large C&amp;I</v>
      </c>
      <c r="C268" s="243" t="str">
        <f>C266</f>
        <v>Revenue Requirements</v>
      </c>
      <c r="D268" s="114" t="s">
        <v>125</v>
      </c>
      <c r="E268" s="84"/>
      <c r="F268" s="84"/>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S268" s="84"/>
      <c r="BT268" s="51" t="s">
        <v>17</v>
      </c>
    </row>
    <row r="269" spans="1:72" x14ac:dyDescent="0.25">
      <c r="A269" s="1"/>
      <c r="B269" s="243" t="str">
        <f t="shared" ref="B269:C270" si="287">B268</f>
        <v>Large C&amp;I</v>
      </c>
      <c r="C269" s="243" t="str">
        <f t="shared" si="287"/>
        <v>Revenue Requirements</v>
      </c>
      <c r="D269" s="244" t="str">
        <f>D268</f>
        <v>Revenue Requirement after DSM Scenario</v>
      </c>
      <c r="E269" s="84" t="s">
        <v>26</v>
      </c>
      <c r="F269" s="84" t="s">
        <v>32</v>
      </c>
      <c r="G269" s="64">
        <f ca="1">G258-G263</f>
        <v>0</v>
      </c>
      <c r="H269" s="64">
        <f t="shared" ref="H269:AG269" ca="1" si="288">H258-H263</f>
        <v>0</v>
      </c>
      <c r="I269" s="64">
        <f t="shared" ca="1" si="288"/>
        <v>1286092.7828773025</v>
      </c>
      <c r="J269" s="64">
        <f t="shared" ca="1" si="288"/>
        <v>1286092.7828773025</v>
      </c>
      <c r="K269" s="64">
        <f t="shared" ca="1" si="288"/>
        <v>1286092.7828773025</v>
      </c>
      <c r="L269" s="64">
        <f t="shared" ca="1" si="288"/>
        <v>1286092.7828773025</v>
      </c>
      <c r="M269" s="64">
        <f t="shared" ca="1" si="288"/>
        <v>1286092.7828773025</v>
      </c>
      <c r="N269" s="64">
        <f t="shared" ca="1" si="288"/>
        <v>1286092.7828773025</v>
      </c>
      <c r="O269" s="64">
        <f t="shared" ca="1" si="288"/>
        <v>1286092.7828773025</v>
      </c>
      <c r="P269" s="64">
        <f t="shared" ca="1" si="288"/>
        <v>1286092.7828773025</v>
      </c>
      <c r="Q269" s="64">
        <f t="shared" ca="1" si="288"/>
        <v>1286092.7828773025</v>
      </c>
      <c r="R269" s="64">
        <f t="shared" ca="1" si="288"/>
        <v>1286092.7828773025</v>
      </c>
      <c r="S269" s="64">
        <f t="shared" ca="1" si="288"/>
        <v>1286092.7828773025</v>
      </c>
      <c r="T269" s="64">
        <f t="shared" ca="1" si="288"/>
        <v>1286092.7828773025</v>
      </c>
      <c r="U269" s="64">
        <f t="shared" ca="1" si="288"/>
        <v>1286092.7828773025</v>
      </c>
      <c r="V269" s="64">
        <f t="shared" ca="1" si="288"/>
        <v>1330208.1466124975</v>
      </c>
      <c r="W269" s="64">
        <f t="shared" ca="1" si="288"/>
        <v>1330208.1466124975</v>
      </c>
      <c r="X269" s="64">
        <f t="shared" ca="1" si="288"/>
        <v>1330208.1466124975</v>
      </c>
      <c r="Y269" s="64">
        <f t="shared" ca="1" si="288"/>
        <v>1330208.1466124975</v>
      </c>
      <c r="Z269" s="64">
        <f t="shared" ca="1" si="288"/>
        <v>1330208.1466124975</v>
      </c>
      <c r="AA269" s="64">
        <f t="shared" ca="1" si="288"/>
        <v>1330208.1466124975</v>
      </c>
      <c r="AB269" s="64">
        <f t="shared" ca="1" si="288"/>
        <v>1330208.1466124975</v>
      </c>
      <c r="AC269" s="64">
        <f t="shared" ca="1" si="288"/>
        <v>1330208.1466124975</v>
      </c>
      <c r="AD269" s="64">
        <f t="shared" ca="1" si="288"/>
        <v>1330208.1466124975</v>
      </c>
      <c r="AE269" s="64">
        <f t="shared" ca="1" si="288"/>
        <v>1330208.1466124975</v>
      </c>
      <c r="AF269" s="64">
        <f t="shared" ca="1" si="288"/>
        <v>1330208.1466124975</v>
      </c>
      <c r="AG269" s="64">
        <f t="shared" ca="1" si="288"/>
        <v>1330208.1466124975</v>
      </c>
      <c r="AH269" s="64"/>
      <c r="AI269" s="64">
        <f ca="1">NPV(Lookups!$E$17,G269:AG269)</f>
        <v>26570265.544403054</v>
      </c>
      <c r="AJ269" s="64"/>
      <c r="AM269" s="71">
        <f ca="1">AM258-AM263</f>
        <v>0</v>
      </c>
      <c r="AN269" s="71">
        <f t="shared" ref="AN269:BM269" ca="1" si="289">AN258-AN263</f>
        <v>0</v>
      </c>
      <c r="AO269" s="71">
        <f t="shared" ca="1" si="289"/>
        <v>1279790.5880579888</v>
      </c>
      <c r="AP269" s="71">
        <f t="shared" ca="1" si="289"/>
        <v>1279790.5880579888</v>
      </c>
      <c r="AQ269" s="71">
        <f t="shared" ca="1" si="289"/>
        <v>1279790.5880579888</v>
      </c>
      <c r="AR269" s="71">
        <f t="shared" ca="1" si="289"/>
        <v>1279790.5880579888</v>
      </c>
      <c r="AS269" s="71">
        <f t="shared" ca="1" si="289"/>
        <v>1279790.5880579888</v>
      </c>
      <c r="AT269" s="71">
        <f t="shared" ca="1" si="289"/>
        <v>1279790.5880579888</v>
      </c>
      <c r="AU269" s="71">
        <f t="shared" ca="1" si="289"/>
        <v>1279790.5880579888</v>
      </c>
      <c r="AV269" s="71">
        <f t="shared" ca="1" si="289"/>
        <v>1279790.5880579888</v>
      </c>
      <c r="AW269" s="71">
        <f t="shared" ca="1" si="289"/>
        <v>1279790.5880579888</v>
      </c>
      <c r="AX269" s="71">
        <f t="shared" ca="1" si="289"/>
        <v>1279790.5880579888</v>
      </c>
      <c r="AY269" s="71">
        <f t="shared" ca="1" si="289"/>
        <v>1279790.5880579888</v>
      </c>
      <c r="AZ269" s="71">
        <f t="shared" ca="1" si="289"/>
        <v>1279790.5880579888</v>
      </c>
      <c r="BA269" s="71">
        <f t="shared" ca="1" si="289"/>
        <v>1279790.5880579888</v>
      </c>
      <c r="BB269" s="71">
        <f t="shared" ca="1" si="289"/>
        <v>1330208.1466124975</v>
      </c>
      <c r="BC269" s="71">
        <f t="shared" ca="1" si="289"/>
        <v>1330208.1466124975</v>
      </c>
      <c r="BD269" s="71">
        <f t="shared" ca="1" si="289"/>
        <v>1330208.1466124975</v>
      </c>
      <c r="BE269" s="71">
        <f t="shared" ca="1" si="289"/>
        <v>1330208.1466124975</v>
      </c>
      <c r="BF269" s="71">
        <f t="shared" ca="1" si="289"/>
        <v>1330208.1466124975</v>
      </c>
      <c r="BG269" s="71">
        <f t="shared" ca="1" si="289"/>
        <v>1330208.1466124975</v>
      </c>
      <c r="BH269" s="71">
        <f t="shared" ca="1" si="289"/>
        <v>1330208.1466124975</v>
      </c>
      <c r="BI269" s="71">
        <f t="shared" ca="1" si="289"/>
        <v>1330208.1466124975</v>
      </c>
      <c r="BJ269" s="71">
        <f t="shared" ca="1" si="289"/>
        <v>1330208.1466124975</v>
      </c>
      <c r="BK269" s="71">
        <f t="shared" ca="1" si="289"/>
        <v>1330208.1466124975</v>
      </c>
      <c r="BL269" s="71">
        <f t="shared" ca="1" si="289"/>
        <v>1330208.1466124975</v>
      </c>
      <c r="BM269" s="71">
        <f t="shared" ca="1" si="289"/>
        <v>1330208.1466124975</v>
      </c>
      <c r="BN269" s="71"/>
      <c r="BO269" s="71">
        <f ca="1">NPV(Lookups!$E$17,AM269:BM269)</f>
        <v>26497965.580008555</v>
      </c>
      <c r="BP269" s="71"/>
      <c r="BS269" s="84" t="s">
        <v>229</v>
      </c>
      <c r="BT269" s="51" t="s">
        <v>17</v>
      </c>
    </row>
    <row r="270" spans="1:72" x14ac:dyDescent="0.25">
      <c r="A270" s="1"/>
      <c r="B270" s="243" t="str">
        <f t="shared" si="287"/>
        <v>Large C&amp;I</v>
      </c>
      <c r="C270" s="243" t="str">
        <f t="shared" si="287"/>
        <v>Revenue Requirements</v>
      </c>
      <c r="D270" s="244" t="str">
        <f>D269</f>
        <v>Revenue Requirement after DSM Scenario</v>
      </c>
      <c r="E270" s="84" t="s">
        <v>407</v>
      </c>
      <c r="F270" s="84" t="s">
        <v>32</v>
      </c>
      <c r="G270" s="64">
        <f>G259</f>
        <v>0</v>
      </c>
      <c r="H270" s="64">
        <f t="shared" ref="H270:AG270" si="290">H259</f>
        <v>0</v>
      </c>
      <c r="I270" s="64">
        <f t="shared" si="290"/>
        <v>58569.706709441074</v>
      </c>
      <c r="J270" s="64">
        <f t="shared" si="290"/>
        <v>58569.706709441074</v>
      </c>
      <c r="K270" s="64">
        <f t="shared" si="290"/>
        <v>58569.706709441074</v>
      </c>
      <c r="L270" s="64">
        <f t="shared" si="290"/>
        <v>58569.706709441074</v>
      </c>
      <c r="M270" s="64">
        <f t="shared" si="290"/>
        <v>58569.706709441074</v>
      </c>
      <c r="N270" s="64">
        <f t="shared" si="290"/>
        <v>58569.706709441074</v>
      </c>
      <c r="O270" s="64">
        <f t="shared" si="290"/>
        <v>58569.706709441074</v>
      </c>
      <c r="P270" s="64">
        <f t="shared" si="290"/>
        <v>58569.706709441074</v>
      </c>
      <c r="Q270" s="64">
        <f t="shared" si="290"/>
        <v>58569.706709441074</v>
      </c>
      <c r="R270" s="64">
        <f t="shared" si="290"/>
        <v>58569.706709441074</v>
      </c>
      <c r="S270" s="64">
        <f t="shared" si="290"/>
        <v>58569.706709441074</v>
      </c>
      <c r="T270" s="64">
        <f t="shared" si="290"/>
        <v>58569.706709441074</v>
      </c>
      <c r="U270" s="64">
        <f t="shared" si="290"/>
        <v>58569.706709441074</v>
      </c>
      <c r="V270" s="64">
        <f t="shared" si="290"/>
        <v>58569.706709441074</v>
      </c>
      <c r="W270" s="64">
        <f t="shared" si="290"/>
        <v>58569.706709441074</v>
      </c>
      <c r="X270" s="64">
        <f t="shared" si="290"/>
        <v>58569.706709441074</v>
      </c>
      <c r="Y270" s="64">
        <f t="shared" si="290"/>
        <v>58569.706709441074</v>
      </c>
      <c r="Z270" s="64">
        <f t="shared" si="290"/>
        <v>58569.706709441074</v>
      </c>
      <c r="AA270" s="64">
        <f t="shared" si="290"/>
        <v>58569.706709441074</v>
      </c>
      <c r="AB270" s="64">
        <f t="shared" si="290"/>
        <v>58569.706709441074</v>
      </c>
      <c r="AC270" s="64">
        <f t="shared" si="290"/>
        <v>58569.706709441074</v>
      </c>
      <c r="AD270" s="64">
        <f t="shared" si="290"/>
        <v>58569.706709441074</v>
      </c>
      <c r="AE270" s="64">
        <f t="shared" si="290"/>
        <v>58569.706709441074</v>
      </c>
      <c r="AF270" s="64">
        <f t="shared" si="290"/>
        <v>58569.706709441074</v>
      </c>
      <c r="AG270" s="64">
        <f t="shared" si="290"/>
        <v>58569.706709441074</v>
      </c>
      <c r="AH270" s="64"/>
      <c r="AI270" s="64">
        <f>NPV(Lookups!$E$17,G270:AG270)</f>
        <v>1192185.4321325643</v>
      </c>
      <c r="AJ270" s="64"/>
      <c r="AM270" s="71">
        <f>AM259</f>
        <v>0</v>
      </c>
      <c r="AN270" s="71">
        <f t="shared" ref="AN270:BM270" si="291">AN259</f>
        <v>0</v>
      </c>
      <c r="AO270" s="71">
        <f t="shared" si="291"/>
        <v>58569.706709441074</v>
      </c>
      <c r="AP270" s="71">
        <f t="shared" si="291"/>
        <v>58569.706709441074</v>
      </c>
      <c r="AQ270" s="71">
        <f t="shared" si="291"/>
        <v>58569.706709441074</v>
      </c>
      <c r="AR270" s="71">
        <f t="shared" si="291"/>
        <v>58569.706709441074</v>
      </c>
      <c r="AS270" s="71">
        <f t="shared" si="291"/>
        <v>58569.706709441074</v>
      </c>
      <c r="AT270" s="71">
        <f t="shared" si="291"/>
        <v>58569.706709441074</v>
      </c>
      <c r="AU270" s="71">
        <f t="shared" si="291"/>
        <v>58569.706709441074</v>
      </c>
      <c r="AV270" s="71">
        <f t="shared" si="291"/>
        <v>58569.706709441074</v>
      </c>
      <c r="AW270" s="71">
        <f t="shared" si="291"/>
        <v>58569.706709441074</v>
      </c>
      <c r="AX270" s="71">
        <f t="shared" si="291"/>
        <v>58569.706709441074</v>
      </c>
      <c r="AY270" s="71">
        <f t="shared" si="291"/>
        <v>58569.706709441074</v>
      </c>
      <c r="AZ270" s="71">
        <f t="shared" si="291"/>
        <v>58569.706709441074</v>
      </c>
      <c r="BA270" s="71">
        <f t="shared" si="291"/>
        <v>58569.706709441074</v>
      </c>
      <c r="BB270" s="71">
        <f t="shared" si="291"/>
        <v>58569.706709441074</v>
      </c>
      <c r="BC270" s="71">
        <f t="shared" si="291"/>
        <v>58569.706709441074</v>
      </c>
      <c r="BD270" s="71">
        <f t="shared" si="291"/>
        <v>58569.706709441074</v>
      </c>
      <c r="BE270" s="71">
        <f t="shared" si="291"/>
        <v>58569.706709441074</v>
      </c>
      <c r="BF270" s="71">
        <f t="shared" si="291"/>
        <v>58569.706709441074</v>
      </c>
      <c r="BG270" s="71">
        <f t="shared" si="291"/>
        <v>58569.706709441074</v>
      </c>
      <c r="BH270" s="71">
        <f t="shared" si="291"/>
        <v>58569.706709441074</v>
      </c>
      <c r="BI270" s="71">
        <f t="shared" si="291"/>
        <v>58569.706709441074</v>
      </c>
      <c r="BJ270" s="71">
        <f t="shared" si="291"/>
        <v>58569.706709441074</v>
      </c>
      <c r="BK270" s="71">
        <f t="shared" si="291"/>
        <v>58569.706709441074</v>
      </c>
      <c r="BL270" s="71">
        <f t="shared" si="291"/>
        <v>58569.706709441074</v>
      </c>
      <c r="BM270" s="71">
        <f t="shared" si="291"/>
        <v>58569.706709441074</v>
      </c>
      <c r="BN270" s="71"/>
      <c r="BO270" s="71">
        <f>NPV(Lookups!$E$17,AM270:BM270)</f>
        <v>1192185.4321325643</v>
      </c>
      <c r="BP270" s="71"/>
      <c r="BS270" s="84" t="s">
        <v>230</v>
      </c>
      <c r="BT270" s="51" t="s">
        <v>17</v>
      </c>
    </row>
    <row r="271" spans="1:72" x14ac:dyDescent="0.25">
      <c r="A271" s="1"/>
      <c r="B271" s="243" t="str">
        <f>B269</f>
        <v>Large C&amp;I</v>
      </c>
      <c r="C271" s="243" t="str">
        <f>C269</f>
        <v>Revenue Requirements</v>
      </c>
      <c r="D271" s="244" t="str">
        <f>D269</f>
        <v>Revenue Requirement after DSM Scenario</v>
      </c>
      <c r="E271" s="84" t="s">
        <v>197</v>
      </c>
      <c r="F271" s="84" t="s">
        <v>32</v>
      </c>
      <c r="G271" s="64">
        <f ca="1">G260-G262-G264</f>
        <v>0</v>
      </c>
      <c r="H271" s="64">
        <f t="shared" ref="H271:AG271" ca="1" si="292">H260-H262-H264</f>
        <v>0</v>
      </c>
      <c r="I271" s="64">
        <f t="shared" ca="1" si="292"/>
        <v>6245958.3066492248</v>
      </c>
      <c r="J271" s="64">
        <f t="shared" ca="1" si="292"/>
        <v>6245958.3066492248</v>
      </c>
      <c r="K271" s="64">
        <f t="shared" ca="1" si="292"/>
        <v>6245958.3066492248</v>
      </c>
      <c r="L271" s="64">
        <f t="shared" ca="1" si="292"/>
        <v>6245958.3066492248</v>
      </c>
      <c r="M271" s="64">
        <f t="shared" ca="1" si="292"/>
        <v>6245958.3066492248</v>
      </c>
      <c r="N271" s="64">
        <f t="shared" ca="1" si="292"/>
        <v>6245958.3066492248</v>
      </c>
      <c r="O271" s="64">
        <f t="shared" ca="1" si="292"/>
        <v>6245958.3066492248</v>
      </c>
      <c r="P271" s="64">
        <f t="shared" ca="1" si="292"/>
        <v>6245958.3066492248</v>
      </c>
      <c r="Q271" s="64">
        <f t="shared" ca="1" si="292"/>
        <v>6245958.3066492248</v>
      </c>
      <c r="R271" s="64">
        <f t="shared" ca="1" si="292"/>
        <v>6245958.3066492248</v>
      </c>
      <c r="S271" s="64">
        <f t="shared" ca="1" si="292"/>
        <v>6245958.3066492248</v>
      </c>
      <c r="T271" s="64">
        <f t="shared" ca="1" si="292"/>
        <v>6245958.3066492248</v>
      </c>
      <c r="U271" s="64">
        <f t="shared" ca="1" si="292"/>
        <v>6245958.3066492248</v>
      </c>
      <c r="V271" s="64">
        <f t="shared" ca="1" si="292"/>
        <v>6972047.7794507705</v>
      </c>
      <c r="W271" s="64">
        <f t="shared" ca="1" si="292"/>
        <v>6972047.7794507705</v>
      </c>
      <c r="X271" s="64">
        <f t="shared" ca="1" si="292"/>
        <v>6972047.7794507705</v>
      </c>
      <c r="Y271" s="64">
        <f t="shared" ca="1" si="292"/>
        <v>6972047.7794507705</v>
      </c>
      <c r="Z271" s="64">
        <f t="shared" ca="1" si="292"/>
        <v>6972047.7794507705</v>
      </c>
      <c r="AA271" s="64">
        <f t="shared" ca="1" si="292"/>
        <v>6972047.7794507705</v>
      </c>
      <c r="AB271" s="64">
        <f t="shared" ca="1" si="292"/>
        <v>6972047.7794507705</v>
      </c>
      <c r="AC271" s="64">
        <f t="shared" ca="1" si="292"/>
        <v>6972047.7794507705</v>
      </c>
      <c r="AD271" s="64">
        <f t="shared" ca="1" si="292"/>
        <v>6972047.7794507705</v>
      </c>
      <c r="AE271" s="64">
        <f t="shared" ca="1" si="292"/>
        <v>6972047.7794507705</v>
      </c>
      <c r="AF271" s="64">
        <f t="shared" ca="1" si="292"/>
        <v>6972047.7794507705</v>
      </c>
      <c r="AG271" s="64">
        <f t="shared" ca="1" si="292"/>
        <v>6972047.7794507705</v>
      </c>
      <c r="AH271" s="64"/>
      <c r="AI271" s="64">
        <f ca="1">NPV(Lookups!$E$17,G271:AG271)</f>
        <v>133586084.70200409</v>
      </c>
      <c r="AJ271" s="64"/>
      <c r="AM271" s="71">
        <f ca="1">AM260-AM262-AM264</f>
        <v>0</v>
      </c>
      <c r="AN271" s="71">
        <f t="shared" ref="AN271:BM271" ca="1" si="293">AN260-AN262-AN264</f>
        <v>0</v>
      </c>
      <c r="AO271" s="71">
        <f t="shared" ca="1" si="293"/>
        <v>6142231.2391061476</v>
      </c>
      <c r="AP271" s="71">
        <f t="shared" ca="1" si="293"/>
        <v>6142231.2391061476</v>
      </c>
      <c r="AQ271" s="71">
        <f t="shared" ca="1" si="293"/>
        <v>6142231.2391061476</v>
      </c>
      <c r="AR271" s="71">
        <f t="shared" ca="1" si="293"/>
        <v>6142231.2391061476</v>
      </c>
      <c r="AS271" s="71">
        <f t="shared" ca="1" si="293"/>
        <v>6142231.2391061476</v>
      </c>
      <c r="AT271" s="71">
        <f t="shared" ca="1" si="293"/>
        <v>6142231.2391061476</v>
      </c>
      <c r="AU271" s="71">
        <f t="shared" ca="1" si="293"/>
        <v>6142231.2391061476</v>
      </c>
      <c r="AV271" s="71">
        <f t="shared" ca="1" si="293"/>
        <v>6142231.2391061476</v>
      </c>
      <c r="AW271" s="71">
        <f t="shared" ca="1" si="293"/>
        <v>6142231.2391061476</v>
      </c>
      <c r="AX271" s="71">
        <f t="shared" ca="1" si="293"/>
        <v>6142231.2391061476</v>
      </c>
      <c r="AY271" s="71">
        <f t="shared" ca="1" si="293"/>
        <v>6142231.2391061476</v>
      </c>
      <c r="AZ271" s="71">
        <f t="shared" ca="1" si="293"/>
        <v>6142231.2391061476</v>
      </c>
      <c r="BA271" s="71">
        <f t="shared" ca="1" si="293"/>
        <v>6142231.2391061476</v>
      </c>
      <c r="BB271" s="71">
        <f t="shared" ca="1" si="293"/>
        <v>6972047.7794507705</v>
      </c>
      <c r="BC271" s="71">
        <f t="shared" ca="1" si="293"/>
        <v>6972047.7794507705</v>
      </c>
      <c r="BD271" s="71">
        <f t="shared" ca="1" si="293"/>
        <v>6972047.7794507705</v>
      </c>
      <c r="BE271" s="71">
        <f t="shared" ca="1" si="293"/>
        <v>6972047.7794507705</v>
      </c>
      <c r="BF271" s="71">
        <f t="shared" ca="1" si="293"/>
        <v>6972047.7794507705</v>
      </c>
      <c r="BG271" s="71">
        <f t="shared" ca="1" si="293"/>
        <v>6972047.7794507705</v>
      </c>
      <c r="BH271" s="71">
        <f t="shared" ca="1" si="293"/>
        <v>6972047.7794507705</v>
      </c>
      <c r="BI271" s="71">
        <f t="shared" ca="1" si="293"/>
        <v>6972047.7794507705</v>
      </c>
      <c r="BJ271" s="71">
        <f t="shared" ca="1" si="293"/>
        <v>6972047.7794507705</v>
      </c>
      <c r="BK271" s="71">
        <f t="shared" ca="1" si="293"/>
        <v>6972047.7794507705</v>
      </c>
      <c r="BL271" s="71">
        <f t="shared" ca="1" si="293"/>
        <v>6972047.7794507705</v>
      </c>
      <c r="BM271" s="71">
        <f t="shared" ca="1" si="293"/>
        <v>6972047.7794507705</v>
      </c>
      <c r="BN271" s="71"/>
      <c r="BO271" s="71">
        <f ca="1">NPV(Lookups!$E$17,AM271:BM271)</f>
        <v>132396108.27234374</v>
      </c>
      <c r="BP271" s="71"/>
      <c r="BS271" s="84" t="s">
        <v>231</v>
      </c>
      <c r="BT271" s="51" t="s">
        <v>17</v>
      </c>
    </row>
    <row r="272" spans="1:72" x14ac:dyDescent="0.25">
      <c r="B272" s="243" t="str">
        <f t="shared" ref="B272:C276" si="294">B271</f>
        <v>Large C&amp;I</v>
      </c>
      <c r="C272" s="243" t="str">
        <f t="shared" si="294"/>
        <v>Revenue Requirements</v>
      </c>
      <c r="D272" s="244"/>
      <c r="E272" s="84" t="s">
        <v>17</v>
      </c>
      <c r="F272" s="84"/>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S272" s="84"/>
      <c r="BT272" s="51" t="s">
        <v>17</v>
      </c>
    </row>
    <row r="273" spans="1:72" s="5" customFormat="1" ht="15.75" x14ac:dyDescent="0.25">
      <c r="A273" s="52"/>
      <c r="B273" s="241" t="str">
        <f t="shared" si="294"/>
        <v>Large C&amp;I</v>
      </c>
      <c r="C273" s="63" t="s">
        <v>30</v>
      </c>
      <c r="D273" s="61"/>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2"/>
      <c r="BO273" s="62"/>
      <c r="BP273" s="62"/>
      <c r="BS273" s="62"/>
      <c r="BT273" s="51" t="s">
        <v>17</v>
      </c>
    </row>
    <row r="274" spans="1:72" x14ac:dyDescent="0.25">
      <c r="B274" s="243" t="str">
        <f t="shared" si="294"/>
        <v>Large C&amp;I</v>
      </c>
      <c r="C274" s="243" t="str">
        <f t="shared" si="294"/>
        <v>Rates</v>
      </c>
      <c r="D274" s="114" t="str">
        <f>"Rates before DSM ("&amp;Lookups!$D$22&amp;" Scenario)"</f>
        <v>Rates before DSM (No EE Scenario)</v>
      </c>
      <c r="E274" s="84"/>
      <c r="F274" s="8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S274" s="84"/>
      <c r="BT274" s="51" t="s">
        <v>17</v>
      </c>
    </row>
    <row r="275" spans="1:72" x14ac:dyDescent="0.25">
      <c r="B275" s="243" t="str">
        <f t="shared" si="294"/>
        <v>Large C&amp;I</v>
      </c>
      <c r="C275" s="243" t="str">
        <f t="shared" si="294"/>
        <v>Rates</v>
      </c>
      <c r="D275" s="244" t="str">
        <f>D274</f>
        <v>Rates before DSM (No EE Scenario)</v>
      </c>
      <c r="E275" s="84" t="s">
        <v>26</v>
      </c>
      <c r="F275" s="84" t="s">
        <v>182</v>
      </c>
      <c r="G275" s="506">
        <f>IF(G$8=0,0,INDEX('R&amp;B Inputs'!$I$78:$V$78,MATCH($B275,'R&amp;B Inputs'!$I$4:$V$4,0))*(1+INDEX('R&amp;B Inputs'!$I$48:$V$48,MATCH($B275,'R&amp;B Inputs'!$I$4:$V$4,0)))^(G$7-Year1))</f>
        <v>0</v>
      </c>
      <c r="H275" s="506">
        <f>IF(H$8=0,0,INDEX('R&amp;B Inputs'!$I$78:$V$78,MATCH($B275,'R&amp;B Inputs'!$I$4:$V$4,0))*(1+INDEX('R&amp;B Inputs'!$I$48:$V$48,MATCH($B275,'R&amp;B Inputs'!$I$4:$V$4,0)))^(H$7-Year1))</f>
        <v>0</v>
      </c>
      <c r="I275" s="506">
        <f>IF(I$8=0,0,INDEX('R&amp;B Inputs'!$I$78:$V$78,MATCH($B275,'R&amp;B Inputs'!$I$4:$V$4,0))*(1+INDEX('R&amp;B Inputs'!$I$48:$V$48,MATCH($B275,'R&amp;B Inputs'!$I$4:$V$4,0)))^(I$7-Year1))</f>
        <v>0.1181</v>
      </c>
      <c r="J275" s="506">
        <f>IF(J$8=0,0,INDEX('R&amp;B Inputs'!$I$78:$V$78,MATCH($B275,'R&amp;B Inputs'!$I$4:$V$4,0))*(1+INDEX('R&amp;B Inputs'!$I$48:$V$48,MATCH($B275,'R&amp;B Inputs'!$I$4:$V$4,0)))^(J$7-Year1))</f>
        <v>0.1181</v>
      </c>
      <c r="K275" s="506">
        <f>IF(K$8=0,0,INDEX('R&amp;B Inputs'!$I$78:$V$78,MATCH($B275,'R&amp;B Inputs'!$I$4:$V$4,0))*(1+INDEX('R&amp;B Inputs'!$I$48:$V$48,MATCH($B275,'R&amp;B Inputs'!$I$4:$V$4,0)))^(K$7-Year1))</f>
        <v>0.1181</v>
      </c>
      <c r="L275" s="506">
        <f>IF(L$8=0,0,INDEX('R&amp;B Inputs'!$I$78:$V$78,MATCH($B275,'R&amp;B Inputs'!$I$4:$V$4,0))*(1+INDEX('R&amp;B Inputs'!$I$48:$V$48,MATCH($B275,'R&amp;B Inputs'!$I$4:$V$4,0)))^(L$7-Year1))</f>
        <v>0.1181</v>
      </c>
      <c r="M275" s="506">
        <f>IF(M$8=0,0,INDEX('R&amp;B Inputs'!$I$78:$V$78,MATCH($B275,'R&amp;B Inputs'!$I$4:$V$4,0))*(1+INDEX('R&amp;B Inputs'!$I$48:$V$48,MATCH($B275,'R&amp;B Inputs'!$I$4:$V$4,0)))^(M$7-Year1))</f>
        <v>0.1181</v>
      </c>
      <c r="N275" s="506">
        <f>IF(N$8=0,0,INDEX('R&amp;B Inputs'!$I$78:$V$78,MATCH($B275,'R&amp;B Inputs'!$I$4:$V$4,0))*(1+INDEX('R&amp;B Inputs'!$I$48:$V$48,MATCH($B275,'R&amp;B Inputs'!$I$4:$V$4,0)))^(N$7-Year1))</f>
        <v>0.1181</v>
      </c>
      <c r="O275" s="506">
        <f>IF(O$8=0,0,INDEX('R&amp;B Inputs'!$I$78:$V$78,MATCH($B275,'R&amp;B Inputs'!$I$4:$V$4,0))*(1+INDEX('R&amp;B Inputs'!$I$48:$V$48,MATCH($B275,'R&amp;B Inputs'!$I$4:$V$4,0)))^(O$7-Year1))</f>
        <v>0.1181</v>
      </c>
      <c r="P275" s="506">
        <f>IF(P$8=0,0,INDEX('R&amp;B Inputs'!$I$78:$V$78,MATCH($B275,'R&amp;B Inputs'!$I$4:$V$4,0))*(1+INDEX('R&amp;B Inputs'!$I$48:$V$48,MATCH($B275,'R&amp;B Inputs'!$I$4:$V$4,0)))^(P$7-Year1))</f>
        <v>0.1181</v>
      </c>
      <c r="Q275" s="506">
        <f>IF(Q$8=0,0,INDEX('R&amp;B Inputs'!$I$78:$V$78,MATCH($B275,'R&amp;B Inputs'!$I$4:$V$4,0))*(1+INDEX('R&amp;B Inputs'!$I$48:$V$48,MATCH($B275,'R&amp;B Inputs'!$I$4:$V$4,0)))^(Q$7-Year1))</f>
        <v>0.1181</v>
      </c>
      <c r="R275" s="506">
        <f>IF(R$8=0,0,INDEX('R&amp;B Inputs'!$I$78:$V$78,MATCH($B275,'R&amp;B Inputs'!$I$4:$V$4,0))*(1+INDEX('R&amp;B Inputs'!$I$48:$V$48,MATCH($B275,'R&amp;B Inputs'!$I$4:$V$4,0)))^(R$7-Year1))</f>
        <v>0.1181</v>
      </c>
      <c r="S275" s="506">
        <f>IF(S$8=0,0,INDEX('R&amp;B Inputs'!$I$78:$V$78,MATCH($B275,'R&amp;B Inputs'!$I$4:$V$4,0))*(1+INDEX('R&amp;B Inputs'!$I$48:$V$48,MATCH($B275,'R&amp;B Inputs'!$I$4:$V$4,0)))^(S$7-Year1))</f>
        <v>0.1181</v>
      </c>
      <c r="T275" s="506">
        <f>IF(T$8=0,0,INDEX('R&amp;B Inputs'!$I$78:$V$78,MATCH($B275,'R&amp;B Inputs'!$I$4:$V$4,0))*(1+INDEX('R&amp;B Inputs'!$I$48:$V$48,MATCH($B275,'R&amp;B Inputs'!$I$4:$V$4,0)))^(T$7-Year1))</f>
        <v>0.1181</v>
      </c>
      <c r="U275" s="506">
        <f>IF(U$8=0,0,INDEX('R&amp;B Inputs'!$I$78:$V$78,MATCH($B275,'R&amp;B Inputs'!$I$4:$V$4,0))*(1+INDEX('R&amp;B Inputs'!$I$48:$V$48,MATCH($B275,'R&amp;B Inputs'!$I$4:$V$4,0)))^(U$7-Year1))</f>
        <v>0.1181</v>
      </c>
      <c r="V275" s="506">
        <f>IF(V$8=0,0,INDEX('R&amp;B Inputs'!$I$78:$V$78,MATCH($B275,'R&amp;B Inputs'!$I$4:$V$4,0))*(1+INDEX('R&amp;B Inputs'!$I$48:$V$48,MATCH($B275,'R&amp;B Inputs'!$I$4:$V$4,0)))^(V$7-Year1))</f>
        <v>0.1181</v>
      </c>
      <c r="W275" s="506">
        <f>IF(W$8=0,0,INDEX('R&amp;B Inputs'!$I$78:$V$78,MATCH($B275,'R&amp;B Inputs'!$I$4:$V$4,0))*(1+INDEX('R&amp;B Inputs'!$I$48:$V$48,MATCH($B275,'R&amp;B Inputs'!$I$4:$V$4,0)))^(W$7-Year1))</f>
        <v>0.1181</v>
      </c>
      <c r="X275" s="506">
        <f>IF(X$8=0,0,INDEX('R&amp;B Inputs'!$I$78:$V$78,MATCH($B275,'R&amp;B Inputs'!$I$4:$V$4,0))*(1+INDEX('R&amp;B Inputs'!$I$48:$V$48,MATCH($B275,'R&amp;B Inputs'!$I$4:$V$4,0)))^(X$7-Year1))</f>
        <v>0.1181</v>
      </c>
      <c r="Y275" s="506">
        <f>IF(Y$8=0,0,INDEX('R&amp;B Inputs'!$I$78:$V$78,MATCH($B275,'R&amp;B Inputs'!$I$4:$V$4,0))*(1+INDEX('R&amp;B Inputs'!$I$48:$V$48,MATCH($B275,'R&amp;B Inputs'!$I$4:$V$4,0)))^(Y$7-Year1))</f>
        <v>0.1181</v>
      </c>
      <c r="Z275" s="506">
        <f>IF(Z$8=0,0,INDEX('R&amp;B Inputs'!$I$78:$V$78,MATCH($B275,'R&amp;B Inputs'!$I$4:$V$4,0))*(1+INDEX('R&amp;B Inputs'!$I$48:$V$48,MATCH($B275,'R&amp;B Inputs'!$I$4:$V$4,0)))^(Z$7-Year1))</f>
        <v>0.1181</v>
      </c>
      <c r="AA275" s="506">
        <f>IF(AA$8=0,0,INDEX('R&amp;B Inputs'!$I$78:$V$78,MATCH($B275,'R&amp;B Inputs'!$I$4:$V$4,0))*(1+INDEX('R&amp;B Inputs'!$I$48:$V$48,MATCH($B275,'R&amp;B Inputs'!$I$4:$V$4,0)))^(AA$7-Year1))</f>
        <v>0.1181</v>
      </c>
      <c r="AB275" s="506">
        <f>IF(AB$8=0,0,INDEX('R&amp;B Inputs'!$I$78:$V$78,MATCH($B275,'R&amp;B Inputs'!$I$4:$V$4,0))*(1+INDEX('R&amp;B Inputs'!$I$48:$V$48,MATCH($B275,'R&amp;B Inputs'!$I$4:$V$4,0)))^(AB$7-Year1))</f>
        <v>0.1181</v>
      </c>
      <c r="AC275" s="506">
        <f>IF(AC$8=0,0,INDEX('R&amp;B Inputs'!$I$78:$V$78,MATCH($B275,'R&amp;B Inputs'!$I$4:$V$4,0))*(1+INDEX('R&amp;B Inputs'!$I$48:$V$48,MATCH($B275,'R&amp;B Inputs'!$I$4:$V$4,0)))^(AC$7-Year1))</f>
        <v>0.1181</v>
      </c>
      <c r="AD275" s="506">
        <f>IF(AD$8=0,0,INDEX('R&amp;B Inputs'!$I$78:$V$78,MATCH($B275,'R&amp;B Inputs'!$I$4:$V$4,0))*(1+INDEX('R&amp;B Inputs'!$I$48:$V$48,MATCH($B275,'R&amp;B Inputs'!$I$4:$V$4,0)))^(AD$7-Year1))</f>
        <v>0.1181</v>
      </c>
      <c r="AE275" s="506">
        <f>IF(AE$8=0,0,INDEX('R&amp;B Inputs'!$I$78:$V$78,MATCH($B275,'R&amp;B Inputs'!$I$4:$V$4,0))*(1+INDEX('R&amp;B Inputs'!$I$48:$V$48,MATCH($B275,'R&amp;B Inputs'!$I$4:$V$4,0)))^(AE$7-Year1))</f>
        <v>0.1181</v>
      </c>
      <c r="AF275" s="506">
        <f>IF(AF$8=0,0,INDEX('R&amp;B Inputs'!$I$78:$V$78,MATCH($B275,'R&amp;B Inputs'!$I$4:$V$4,0))*(1+INDEX('R&amp;B Inputs'!$I$48:$V$48,MATCH($B275,'R&amp;B Inputs'!$I$4:$V$4,0)))^(AF$7-Year1))</f>
        <v>0.1181</v>
      </c>
      <c r="AG275" s="506">
        <f>IF(AG$8=0,0,INDEX('R&amp;B Inputs'!$I$78:$V$78,MATCH($B275,'R&amp;B Inputs'!$I$4:$V$4,0))*(1+INDEX('R&amp;B Inputs'!$I$48:$V$48,MATCH($B275,'R&amp;B Inputs'!$I$4:$V$4,0)))^(AG$7-Year1))</f>
        <v>0.1181</v>
      </c>
      <c r="AH275" s="506"/>
      <c r="AI275" s="506"/>
      <c r="AJ275" s="506">
        <f>IF($C$4=Year1,-PMT(Lookups!$E$17,25,NPV(Lookups!$E$17,G275:AE275),0,1),IF($C$4=Year2,-PMT(Lookups!$F$17,25,NPV(Lookups!$F$17,H275:AF275),0,1),IF($C$4=Year3,-PMT(Lookups!$G$17,25,NPV(Lookups!$G$17,I275:AG275),0,1),-PMT(Lookups!$G$17,27,NPV(Lookups!$G$17,G275:AG275),0,1))))</f>
        <v>0.11645289104116224</v>
      </c>
      <c r="AK275" s="507"/>
      <c r="AL275" s="507"/>
      <c r="AM275" s="508">
        <f>IF(AM$8=0,0,INDEX('R&amp;B Inputs'!$I$78:$V$78,MATCH($B275,'R&amp;B Inputs'!$I$4:$V$4,0))*(1+INDEX('R&amp;B Inputs'!$I$48:$V$48,MATCH($B275,'R&amp;B Inputs'!$I$4:$V$4,0)))^(AM$7-Year1))</f>
        <v>0</v>
      </c>
      <c r="AN275" s="508">
        <f>IF(AN$8=0,0,INDEX('R&amp;B Inputs'!$I$78:$V$78,MATCH($B275,'R&amp;B Inputs'!$I$4:$V$4,0))*(1+INDEX('R&amp;B Inputs'!$I$48:$V$48,MATCH($B275,'R&amp;B Inputs'!$I$4:$V$4,0)))^(AN$7-Year1))</f>
        <v>0</v>
      </c>
      <c r="AO275" s="508">
        <f>IF(AO$8=0,0,INDEX('R&amp;B Inputs'!$I$78:$V$78,MATCH($B275,'R&amp;B Inputs'!$I$4:$V$4,0))*(1+INDEX('R&amp;B Inputs'!$I$48:$V$48,MATCH($B275,'R&amp;B Inputs'!$I$4:$V$4,0)))^(AO$7-Year1))</f>
        <v>0.1181</v>
      </c>
      <c r="AP275" s="508">
        <f>IF(AP$8=0,0,INDEX('R&amp;B Inputs'!$I$78:$V$78,MATCH($B275,'R&amp;B Inputs'!$I$4:$V$4,0))*(1+INDEX('R&amp;B Inputs'!$I$48:$V$48,MATCH($B275,'R&amp;B Inputs'!$I$4:$V$4,0)))^(AP$7-Year1))</f>
        <v>0.1181</v>
      </c>
      <c r="AQ275" s="508">
        <f>IF(AQ$8=0,0,INDEX('R&amp;B Inputs'!$I$78:$V$78,MATCH($B275,'R&amp;B Inputs'!$I$4:$V$4,0))*(1+INDEX('R&amp;B Inputs'!$I$48:$V$48,MATCH($B275,'R&amp;B Inputs'!$I$4:$V$4,0)))^(AQ$7-Year1))</f>
        <v>0.1181</v>
      </c>
      <c r="AR275" s="508">
        <f>IF(AR$8=0,0,INDEX('R&amp;B Inputs'!$I$78:$V$78,MATCH($B275,'R&amp;B Inputs'!$I$4:$V$4,0))*(1+INDEX('R&amp;B Inputs'!$I$48:$V$48,MATCH($B275,'R&amp;B Inputs'!$I$4:$V$4,0)))^(AR$7-Year1))</f>
        <v>0.1181</v>
      </c>
      <c r="AS275" s="508">
        <f>IF(AS$8=0,0,INDEX('R&amp;B Inputs'!$I$78:$V$78,MATCH($B275,'R&amp;B Inputs'!$I$4:$V$4,0))*(1+INDEX('R&amp;B Inputs'!$I$48:$V$48,MATCH($B275,'R&amp;B Inputs'!$I$4:$V$4,0)))^(AS$7-Year1))</f>
        <v>0.1181</v>
      </c>
      <c r="AT275" s="508">
        <f>IF(AT$8=0,0,INDEX('R&amp;B Inputs'!$I$78:$V$78,MATCH($B275,'R&amp;B Inputs'!$I$4:$V$4,0))*(1+INDEX('R&amp;B Inputs'!$I$48:$V$48,MATCH($B275,'R&amp;B Inputs'!$I$4:$V$4,0)))^(AT$7-Year1))</f>
        <v>0.1181</v>
      </c>
      <c r="AU275" s="508">
        <f>IF(AU$8=0,0,INDEX('R&amp;B Inputs'!$I$78:$V$78,MATCH($B275,'R&amp;B Inputs'!$I$4:$V$4,0))*(1+INDEX('R&amp;B Inputs'!$I$48:$V$48,MATCH($B275,'R&amp;B Inputs'!$I$4:$V$4,0)))^(AU$7-Year1))</f>
        <v>0.1181</v>
      </c>
      <c r="AV275" s="508">
        <f>IF(AV$8=0,0,INDEX('R&amp;B Inputs'!$I$78:$V$78,MATCH($B275,'R&amp;B Inputs'!$I$4:$V$4,0))*(1+INDEX('R&amp;B Inputs'!$I$48:$V$48,MATCH($B275,'R&amp;B Inputs'!$I$4:$V$4,0)))^(AV$7-Year1))</f>
        <v>0.1181</v>
      </c>
      <c r="AW275" s="508">
        <f>IF(AW$8=0,0,INDEX('R&amp;B Inputs'!$I$78:$V$78,MATCH($B275,'R&amp;B Inputs'!$I$4:$V$4,0))*(1+INDEX('R&amp;B Inputs'!$I$48:$V$48,MATCH($B275,'R&amp;B Inputs'!$I$4:$V$4,0)))^(AW$7-Year1))</f>
        <v>0.1181</v>
      </c>
      <c r="AX275" s="508">
        <f>IF(AX$8=0,0,INDEX('R&amp;B Inputs'!$I$78:$V$78,MATCH($B275,'R&amp;B Inputs'!$I$4:$V$4,0))*(1+INDEX('R&amp;B Inputs'!$I$48:$V$48,MATCH($B275,'R&amp;B Inputs'!$I$4:$V$4,0)))^(AX$7-Year1))</f>
        <v>0.1181</v>
      </c>
      <c r="AY275" s="508">
        <f>IF(AY$8=0,0,INDEX('R&amp;B Inputs'!$I$78:$V$78,MATCH($B275,'R&amp;B Inputs'!$I$4:$V$4,0))*(1+INDEX('R&amp;B Inputs'!$I$48:$V$48,MATCH($B275,'R&amp;B Inputs'!$I$4:$V$4,0)))^(AY$7-Year1))</f>
        <v>0.1181</v>
      </c>
      <c r="AZ275" s="508">
        <f>IF(AZ$8=0,0,INDEX('R&amp;B Inputs'!$I$78:$V$78,MATCH($B275,'R&amp;B Inputs'!$I$4:$V$4,0))*(1+INDEX('R&amp;B Inputs'!$I$48:$V$48,MATCH($B275,'R&amp;B Inputs'!$I$4:$V$4,0)))^(AZ$7-Year1))</f>
        <v>0.1181</v>
      </c>
      <c r="BA275" s="508">
        <f>IF(BA$8=0,0,INDEX('R&amp;B Inputs'!$I$78:$V$78,MATCH($B275,'R&amp;B Inputs'!$I$4:$V$4,0))*(1+INDEX('R&amp;B Inputs'!$I$48:$V$48,MATCH($B275,'R&amp;B Inputs'!$I$4:$V$4,0)))^(BA$7-Year1))</f>
        <v>0.1181</v>
      </c>
      <c r="BB275" s="508">
        <f>IF(BB$8=0,0,INDEX('R&amp;B Inputs'!$I$78:$V$78,MATCH($B275,'R&amp;B Inputs'!$I$4:$V$4,0))*(1+INDEX('R&amp;B Inputs'!$I$48:$V$48,MATCH($B275,'R&amp;B Inputs'!$I$4:$V$4,0)))^(BB$7-Year1))</f>
        <v>0.1181</v>
      </c>
      <c r="BC275" s="508">
        <f>IF(BC$8=0,0,INDEX('R&amp;B Inputs'!$I$78:$V$78,MATCH($B275,'R&amp;B Inputs'!$I$4:$V$4,0))*(1+INDEX('R&amp;B Inputs'!$I$48:$V$48,MATCH($B275,'R&amp;B Inputs'!$I$4:$V$4,0)))^(BC$7-Year1))</f>
        <v>0.1181</v>
      </c>
      <c r="BD275" s="508">
        <f>IF(BD$8=0,0,INDEX('R&amp;B Inputs'!$I$78:$V$78,MATCH($B275,'R&amp;B Inputs'!$I$4:$V$4,0))*(1+INDEX('R&amp;B Inputs'!$I$48:$V$48,MATCH($B275,'R&amp;B Inputs'!$I$4:$V$4,0)))^(BD$7-Year1))</f>
        <v>0.1181</v>
      </c>
      <c r="BE275" s="508">
        <f>IF(BE$8=0,0,INDEX('R&amp;B Inputs'!$I$78:$V$78,MATCH($B275,'R&amp;B Inputs'!$I$4:$V$4,0))*(1+INDEX('R&amp;B Inputs'!$I$48:$V$48,MATCH($B275,'R&amp;B Inputs'!$I$4:$V$4,0)))^(BE$7-Year1))</f>
        <v>0.1181</v>
      </c>
      <c r="BF275" s="508">
        <f>IF(BF$8=0,0,INDEX('R&amp;B Inputs'!$I$78:$V$78,MATCH($B275,'R&amp;B Inputs'!$I$4:$V$4,0))*(1+INDEX('R&amp;B Inputs'!$I$48:$V$48,MATCH($B275,'R&amp;B Inputs'!$I$4:$V$4,0)))^(BF$7-Year1))</f>
        <v>0.1181</v>
      </c>
      <c r="BG275" s="508">
        <f>IF(BG$8=0,0,INDEX('R&amp;B Inputs'!$I$78:$V$78,MATCH($B275,'R&amp;B Inputs'!$I$4:$V$4,0))*(1+INDEX('R&amp;B Inputs'!$I$48:$V$48,MATCH($B275,'R&amp;B Inputs'!$I$4:$V$4,0)))^(BG$7-Year1))</f>
        <v>0.1181</v>
      </c>
      <c r="BH275" s="508">
        <f>IF(BH$8=0,0,INDEX('R&amp;B Inputs'!$I$78:$V$78,MATCH($B275,'R&amp;B Inputs'!$I$4:$V$4,0))*(1+INDEX('R&amp;B Inputs'!$I$48:$V$48,MATCH($B275,'R&amp;B Inputs'!$I$4:$V$4,0)))^(BH$7-Year1))</f>
        <v>0.1181</v>
      </c>
      <c r="BI275" s="508">
        <f>IF(BI$8=0,0,INDEX('R&amp;B Inputs'!$I$78:$V$78,MATCH($B275,'R&amp;B Inputs'!$I$4:$V$4,0))*(1+INDEX('R&amp;B Inputs'!$I$48:$V$48,MATCH($B275,'R&amp;B Inputs'!$I$4:$V$4,0)))^(BI$7-Year1))</f>
        <v>0.1181</v>
      </c>
      <c r="BJ275" s="508">
        <f>IF(BJ$8=0,0,INDEX('R&amp;B Inputs'!$I$78:$V$78,MATCH($B275,'R&amp;B Inputs'!$I$4:$V$4,0))*(1+INDEX('R&amp;B Inputs'!$I$48:$V$48,MATCH($B275,'R&amp;B Inputs'!$I$4:$V$4,0)))^(BJ$7-Year1))</f>
        <v>0.1181</v>
      </c>
      <c r="BK275" s="508">
        <f>IF(BK$8=0,0,INDEX('R&amp;B Inputs'!$I$78:$V$78,MATCH($B275,'R&amp;B Inputs'!$I$4:$V$4,0))*(1+INDEX('R&amp;B Inputs'!$I$48:$V$48,MATCH($B275,'R&amp;B Inputs'!$I$4:$V$4,0)))^(BK$7-Year1))</f>
        <v>0.1181</v>
      </c>
      <c r="BL275" s="508">
        <f>IF(BL$8=0,0,INDEX('R&amp;B Inputs'!$I$78:$V$78,MATCH($B275,'R&amp;B Inputs'!$I$4:$V$4,0))*(1+INDEX('R&amp;B Inputs'!$I$48:$V$48,MATCH($B275,'R&amp;B Inputs'!$I$4:$V$4,0)))^(BL$7-Year1))</f>
        <v>0.1181</v>
      </c>
      <c r="BM275" s="508">
        <f>IF(BM$8=0,0,INDEX('R&amp;B Inputs'!$I$78:$V$78,MATCH($B275,'R&amp;B Inputs'!$I$4:$V$4,0))*(1+INDEX('R&amp;B Inputs'!$I$48:$V$48,MATCH($B275,'R&amp;B Inputs'!$I$4:$V$4,0)))^(BM$7-Year1))</f>
        <v>0.1181</v>
      </c>
      <c r="BN275" s="508"/>
      <c r="BO275" s="508"/>
      <c r="BP275" s="508">
        <f>IF($C$4=Year1,-PMT(Lookups!$E$17,25,NPV(Lookups!$E$17,AM275:BK275),0,1),IF($C$4=Year2,-PMT(Lookups!$F$17,25,NPV(Lookups!$F$17,AN275:BL275),0,1),IF($C$4=Year3,-PMT(Lookups!$G$17,25,NPV(Lookups!$G$17,AO275:BM275),0,1),-PMT(Lookups!$G$17,27,NPV(Lookups!$G$17,AM275:BM275),0,1))))</f>
        <v>0.11645289104116224</v>
      </c>
      <c r="BS275" s="76" t="str">
        <f t="shared" ref="BS275:BS277" si="295">E275&amp;" charge from the R&amp;B Inputs tab, escalated annually by the growth rate included on the R&amp;B Inputs tab."</f>
        <v>Distribution charge from the R&amp;B Inputs tab, escalated annually by the growth rate included on the R&amp;B Inputs tab.</v>
      </c>
      <c r="BT275" s="51" t="s">
        <v>17</v>
      </c>
    </row>
    <row r="276" spans="1:72" x14ac:dyDescent="0.25">
      <c r="B276" s="243" t="str">
        <f t="shared" si="294"/>
        <v>Large C&amp;I</v>
      </c>
      <c r="C276" s="243" t="str">
        <f t="shared" si="294"/>
        <v>Rates</v>
      </c>
      <c r="D276" s="244" t="str">
        <f>D275</f>
        <v>Rates before DSM (No EE Scenario)</v>
      </c>
      <c r="E276" s="84" t="s">
        <v>407</v>
      </c>
      <c r="F276" s="84" t="s">
        <v>182</v>
      </c>
      <c r="G276" s="506">
        <f>IF(G$8=0,0,INDEX('R&amp;B Inputs'!$I$82:$V$82,MATCH($B276,'R&amp;B Inputs'!$I$4:$V$4,0))*(1+INDEX('R&amp;B Inputs'!$I$62:$V$62,MATCH($B276,'R&amp;B Inputs'!$I$4:$V$4,0)))^(G$7-Year1))</f>
        <v>0</v>
      </c>
      <c r="H276" s="506">
        <f>IF(H$8=0,0,INDEX('R&amp;B Inputs'!$I$82:$V$82,MATCH($B276,'R&amp;B Inputs'!$I$4:$V$4,0))*(1+INDEX('R&amp;B Inputs'!$I$62:$V$62,MATCH($B276,'R&amp;B Inputs'!$I$4:$V$4,0)))^(H$7-Year1))</f>
        <v>0</v>
      </c>
      <c r="I276" s="506">
        <f>IF(I$8=0,0,INDEX('R&amp;B Inputs'!$I$82:$V$82,MATCH($B276,'R&amp;B Inputs'!$I$4:$V$4,0))*(1+INDEX('R&amp;B Inputs'!$I$62:$V$62,MATCH($B276,'R&amp;B Inputs'!$I$4:$V$4,0)))^(I$7-Year1))</f>
        <v>5.2000000000000032E-3</v>
      </c>
      <c r="J276" s="506">
        <f>IF(J$8=0,0,INDEX('R&amp;B Inputs'!$I$82:$V$82,MATCH($B276,'R&amp;B Inputs'!$I$4:$V$4,0))*(1+INDEX('R&amp;B Inputs'!$I$62:$V$62,MATCH($B276,'R&amp;B Inputs'!$I$4:$V$4,0)))^(J$7-Year1))</f>
        <v>5.2000000000000032E-3</v>
      </c>
      <c r="K276" s="506">
        <f>IF(K$8=0,0,INDEX('R&amp;B Inputs'!$I$82:$V$82,MATCH($B276,'R&amp;B Inputs'!$I$4:$V$4,0))*(1+INDEX('R&amp;B Inputs'!$I$62:$V$62,MATCH($B276,'R&amp;B Inputs'!$I$4:$V$4,0)))^(K$7-Year1))</f>
        <v>5.2000000000000032E-3</v>
      </c>
      <c r="L276" s="506">
        <f>IF(L$8=0,0,INDEX('R&amp;B Inputs'!$I$82:$V$82,MATCH($B276,'R&amp;B Inputs'!$I$4:$V$4,0))*(1+INDEX('R&amp;B Inputs'!$I$62:$V$62,MATCH($B276,'R&amp;B Inputs'!$I$4:$V$4,0)))^(L$7-Year1))</f>
        <v>5.2000000000000032E-3</v>
      </c>
      <c r="M276" s="506">
        <f>IF(M$8=0,0,INDEX('R&amp;B Inputs'!$I$82:$V$82,MATCH($B276,'R&amp;B Inputs'!$I$4:$V$4,0))*(1+INDEX('R&amp;B Inputs'!$I$62:$V$62,MATCH($B276,'R&amp;B Inputs'!$I$4:$V$4,0)))^(M$7-Year1))</f>
        <v>5.2000000000000032E-3</v>
      </c>
      <c r="N276" s="506">
        <f>IF(N$8=0,0,INDEX('R&amp;B Inputs'!$I$82:$V$82,MATCH($B276,'R&amp;B Inputs'!$I$4:$V$4,0))*(1+INDEX('R&amp;B Inputs'!$I$62:$V$62,MATCH($B276,'R&amp;B Inputs'!$I$4:$V$4,0)))^(N$7-Year1))</f>
        <v>5.2000000000000032E-3</v>
      </c>
      <c r="O276" s="506">
        <f>IF(O$8=0,0,INDEX('R&amp;B Inputs'!$I$82:$V$82,MATCH($B276,'R&amp;B Inputs'!$I$4:$V$4,0))*(1+INDEX('R&amp;B Inputs'!$I$62:$V$62,MATCH($B276,'R&amp;B Inputs'!$I$4:$V$4,0)))^(O$7-Year1))</f>
        <v>5.2000000000000032E-3</v>
      </c>
      <c r="P276" s="506">
        <f>IF(P$8=0,0,INDEX('R&amp;B Inputs'!$I$82:$V$82,MATCH($B276,'R&amp;B Inputs'!$I$4:$V$4,0))*(1+INDEX('R&amp;B Inputs'!$I$62:$V$62,MATCH($B276,'R&amp;B Inputs'!$I$4:$V$4,0)))^(P$7-Year1))</f>
        <v>5.2000000000000032E-3</v>
      </c>
      <c r="Q276" s="506">
        <f>IF(Q$8=0,0,INDEX('R&amp;B Inputs'!$I$82:$V$82,MATCH($B276,'R&amp;B Inputs'!$I$4:$V$4,0))*(1+INDEX('R&amp;B Inputs'!$I$62:$V$62,MATCH($B276,'R&amp;B Inputs'!$I$4:$V$4,0)))^(Q$7-Year1))</f>
        <v>5.2000000000000032E-3</v>
      </c>
      <c r="R276" s="506">
        <f>IF(R$8=0,0,INDEX('R&amp;B Inputs'!$I$82:$V$82,MATCH($B276,'R&amp;B Inputs'!$I$4:$V$4,0))*(1+INDEX('R&amp;B Inputs'!$I$62:$V$62,MATCH($B276,'R&amp;B Inputs'!$I$4:$V$4,0)))^(R$7-Year1))</f>
        <v>5.2000000000000032E-3</v>
      </c>
      <c r="S276" s="506">
        <f>IF(S$8=0,0,INDEX('R&amp;B Inputs'!$I$82:$V$82,MATCH($B276,'R&amp;B Inputs'!$I$4:$V$4,0))*(1+INDEX('R&amp;B Inputs'!$I$62:$V$62,MATCH($B276,'R&amp;B Inputs'!$I$4:$V$4,0)))^(S$7-Year1))</f>
        <v>5.2000000000000032E-3</v>
      </c>
      <c r="T276" s="506">
        <f>IF(T$8=0,0,INDEX('R&amp;B Inputs'!$I$82:$V$82,MATCH($B276,'R&amp;B Inputs'!$I$4:$V$4,0))*(1+INDEX('R&amp;B Inputs'!$I$62:$V$62,MATCH($B276,'R&amp;B Inputs'!$I$4:$V$4,0)))^(T$7-Year1))</f>
        <v>5.2000000000000032E-3</v>
      </c>
      <c r="U276" s="506">
        <f>IF(U$8=0,0,INDEX('R&amp;B Inputs'!$I$82:$V$82,MATCH($B276,'R&amp;B Inputs'!$I$4:$V$4,0))*(1+INDEX('R&amp;B Inputs'!$I$62:$V$62,MATCH($B276,'R&amp;B Inputs'!$I$4:$V$4,0)))^(U$7-Year1))</f>
        <v>5.2000000000000032E-3</v>
      </c>
      <c r="V276" s="506">
        <f>IF(V$8=0,0,INDEX('R&amp;B Inputs'!$I$82:$V$82,MATCH($B276,'R&amp;B Inputs'!$I$4:$V$4,0))*(1+INDEX('R&amp;B Inputs'!$I$62:$V$62,MATCH($B276,'R&amp;B Inputs'!$I$4:$V$4,0)))^(V$7-Year1))</f>
        <v>5.2000000000000032E-3</v>
      </c>
      <c r="W276" s="506">
        <f>IF(W$8=0,0,INDEX('R&amp;B Inputs'!$I$82:$V$82,MATCH($B276,'R&amp;B Inputs'!$I$4:$V$4,0))*(1+INDEX('R&amp;B Inputs'!$I$62:$V$62,MATCH($B276,'R&amp;B Inputs'!$I$4:$V$4,0)))^(W$7-Year1))</f>
        <v>5.2000000000000032E-3</v>
      </c>
      <c r="X276" s="506">
        <f>IF(X$8=0,0,INDEX('R&amp;B Inputs'!$I$82:$V$82,MATCH($B276,'R&amp;B Inputs'!$I$4:$V$4,0))*(1+INDEX('R&amp;B Inputs'!$I$62:$V$62,MATCH($B276,'R&amp;B Inputs'!$I$4:$V$4,0)))^(X$7-Year1))</f>
        <v>5.2000000000000032E-3</v>
      </c>
      <c r="Y276" s="506">
        <f>IF(Y$8=0,0,INDEX('R&amp;B Inputs'!$I$82:$V$82,MATCH($B276,'R&amp;B Inputs'!$I$4:$V$4,0))*(1+INDEX('R&amp;B Inputs'!$I$62:$V$62,MATCH($B276,'R&amp;B Inputs'!$I$4:$V$4,0)))^(Y$7-Year1))</f>
        <v>5.2000000000000032E-3</v>
      </c>
      <c r="Z276" s="506">
        <f>IF(Z$8=0,0,INDEX('R&amp;B Inputs'!$I$82:$V$82,MATCH($B276,'R&amp;B Inputs'!$I$4:$V$4,0))*(1+INDEX('R&amp;B Inputs'!$I$62:$V$62,MATCH($B276,'R&amp;B Inputs'!$I$4:$V$4,0)))^(Z$7-Year1))</f>
        <v>5.2000000000000032E-3</v>
      </c>
      <c r="AA276" s="506">
        <f>IF(AA$8=0,0,INDEX('R&amp;B Inputs'!$I$82:$V$82,MATCH($B276,'R&amp;B Inputs'!$I$4:$V$4,0))*(1+INDEX('R&amp;B Inputs'!$I$62:$V$62,MATCH($B276,'R&amp;B Inputs'!$I$4:$V$4,0)))^(AA$7-Year1))</f>
        <v>5.2000000000000032E-3</v>
      </c>
      <c r="AB276" s="506">
        <f>IF(AB$8=0,0,INDEX('R&amp;B Inputs'!$I$82:$V$82,MATCH($B276,'R&amp;B Inputs'!$I$4:$V$4,0))*(1+INDEX('R&amp;B Inputs'!$I$62:$V$62,MATCH($B276,'R&amp;B Inputs'!$I$4:$V$4,0)))^(AB$7-Year1))</f>
        <v>5.2000000000000032E-3</v>
      </c>
      <c r="AC276" s="506">
        <f>IF(AC$8=0,0,INDEX('R&amp;B Inputs'!$I$82:$V$82,MATCH($B276,'R&amp;B Inputs'!$I$4:$V$4,0))*(1+INDEX('R&amp;B Inputs'!$I$62:$V$62,MATCH($B276,'R&amp;B Inputs'!$I$4:$V$4,0)))^(AC$7-Year1))</f>
        <v>5.2000000000000032E-3</v>
      </c>
      <c r="AD276" s="506">
        <f>IF(AD$8=0,0,INDEX('R&amp;B Inputs'!$I$82:$V$82,MATCH($B276,'R&amp;B Inputs'!$I$4:$V$4,0))*(1+INDEX('R&amp;B Inputs'!$I$62:$V$62,MATCH($B276,'R&amp;B Inputs'!$I$4:$V$4,0)))^(AD$7-Year1))</f>
        <v>5.2000000000000032E-3</v>
      </c>
      <c r="AE276" s="506">
        <f>IF(AE$8=0,0,INDEX('R&amp;B Inputs'!$I$82:$V$82,MATCH($B276,'R&amp;B Inputs'!$I$4:$V$4,0))*(1+INDEX('R&amp;B Inputs'!$I$62:$V$62,MATCH($B276,'R&amp;B Inputs'!$I$4:$V$4,0)))^(AE$7-Year1))</f>
        <v>5.2000000000000032E-3</v>
      </c>
      <c r="AF276" s="506">
        <f>IF(AF$8=0,0,INDEX('R&amp;B Inputs'!$I$82:$V$82,MATCH($B276,'R&amp;B Inputs'!$I$4:$V$4,0))*(1+INDEX('R&amp;B Inputs'!$I$62:$V$62,MATCH($B276,'R&amp;B Inputs'!$I$4:$V$4,0)))^(AF$7-Year1))</f>
        <v>5.2000000000000032E-3</v>
      </c>
      <c r="AG276" s="506">
        <f>IF(AG$8=0,0,INDEX('R&amp;B Inputs'!$I$82:$V$82,MATCH($B276,'R&amp;B Inputs'!$I$4:$V$4,0))*(1+INDEX('R&amp;B Inputs'!$I$62:$V$62,MATCH($B276,'R&amp;B Inputs'!$I$4:$V$4,0)))^(AG$7-Year1))</f>
        <v>5.2000000000000032E-3</v>
      </c>
      <c r="AH276" s="506"/>
      <c r="AI276" s="506"/>
      <c r="AJ276" s="506">
        <f>IF($C$4=Year1,-PMT(Lookups!$E$17,25,NPV(Lookups!$E$17,G276:AE276),0,1),IF($C$4=Year2,-PMT(Lookups!$F$17,25,NPV(Lookups!$F$17,H276:AF276),0,1),IF($C$4=Year3,-PMT(Lookups!$G$17,25,NPV(Lookups!$G$17,I276:AG276),0,1),-PMT(Lookups!$G$17,27,NPV(Lookups!$G$17,G276:AG276),0,1))))</f>
        <v>5.1274769975786939E-3</v>
      </c>
      <c r="AK276" s="507"/>
      <c r="AL276" s="507"/>
      <c r="AM276" s="508">
        <f>IF(AM$8=0,0,INDEX('R&amp;B Inputs'!$I$82:$V$82,MATCH($B276,'R&amp;B Inputs'!$I$4:$V$4,0))*(1+INDEX('R&amp;B Inputs'!$I$62:$V$62,MATCH($B276,'R&amp;B Inputs'!$I$4:$V$4,0)))^(AM$7-Year1))</f>
        <v>0</v>
      </c>
      <c r="AN276" s="508">
        <f>IF(AN$8=0,0,INDEX('R&amp;B Inputs'!$I$82:$V$82,MATCH($B276,'R&amp;B Inputs'!$I$4:$V$4,0))*(1+INDEX('R&amp;B Inputs'!$I$62:$V$62,MATCH($B276,'R&amp;B Inputs'!$I$4:$V$4,0)))^(AN$7-Year1))</f>
        <v>0</v>
      </c>
      <c r="AO276" s="508">
        <f>IF(AO$8=0,0,INDEX('R&amp;B Inputs'!$I$82:$V$82,MATCH($B276,'R&amp;B Inputs'!$I$4:$V$4,0))*(1+INDEX('R&amp;B Inputs'!$I$62:$V$62,MATCH($B276,'R&amp;B Inputs'!$I$4:$V$4,0)))^(AO$7-Year1))</f>
        <v>5.2000000000000032E-3</v>
      </c>
      <c r="AP276" s="508">
        <f>IF(AP$8=0,0,INDEX('R&amp;B Inputs'!$I$82:$V$82,MATCH($B276,'R&amp;B Inputs'!$I$4:$V$4,0))*(1+INDEX('R&amp;B Inputs'!$I$62:$V$62,MATCH($B276,'R&amp;B Inputs'!$I$4:$V$4,0)))^(AP$7-Year1))</f>
        <v>5.2000000000000032E-3</v>
      </c>
      <c r="AQ276" s="508">
        <f>IF(AQ$8=0,0,INDEX('R&amp;B Inputs'!$I$82:$V$82,MATCH($B276,'R&amp;B Inputs'!$I$4:$V$4,0))*(1+INDEX('R&amp;B Inputs'!$I$62:$V$62,MATCH($B276,'R&amp;B Inputs'!$I$4:$V$4,0)))^(AQ$7-Year1))</f>
        <v>5.2000000000000032E-3</v>
      </c>
      <c r="AR276" s="508">
        <f>IF(AR$8=0,0,INDEX('R&amp;B Inputs'!$I$82:$V$82,MATCH($B276,'R&amp;B Inputs'!$I$4:$V$4,0))*(1+INDEX('R&amp;B Inputs'!$I$62:$V$62,MATCH($B276,'R&amp;B Inputs'!$I$4:$V$4,0)))^(AR$7-Year1))</f>
        <v>5.2000000000000032E-3</v>
      </c>
      <c r="AS276" s="508">
        <f>IF(AS$8=0,0,INDEX('R&amp;B Inputs'!$I$82:$V$82,MATCH($B276,'R&amp;B Inputs'!$I$4:$V$4,0))*(1+INDEX('R&amp;B Inputs'!$I$62:$V$62,MATCH($B276,'R&amp;B Inputs'!$I$4:$V$4,0)))^(AS$7-Year1))</f>
        <v>5.2000000000000032E-3</v>
      </c>
      <c r="AT276" s="508">
        <f>IF(AT$8=0,0,INDEX('R&amp;B Inputs'!$I$82:$V$82,MATCH($B276,'R&amp;B Inputs'!$I$4:$V$4,0))*(1+INDEX('R&amp;B Inputs'!$I$62:$V$62,MATCH($B276,'R&amp;B Inputs'!$I$4:$V$4,0)))^(AT$7-Year1))</f>
        <v>5.2000000000000032E-3</v>
      </c>
      <c r="AU276" s="508">
        <f>IF(AU$8=0,0,INDEX('R&amp;B Inputs'!$I$82:$V$82,MATCH($B276,'R&amp;B Inputs'!$I$4:$V$4,0))*(1+INDEX('R&amp;B Inputs'!$I$62:$V$62,MATCH($B276,'R&amp;B Inputs'!$I$4:$V$4,0)))^(AU$7-Year1))</f>
        <v>5.2000000000000032E-3</v>
      </c>
      <c r="AV276" s="508">
        <f>IF(AV$8=0,0,INDEX('R&amp;B Inputs'!$I$82:$V$82,MATCH($B276,'R&amp;B Inputs'!$I$4:$V$4,0))*(1+INDEX('R&amp;B Inputs'!$I$62:$V$62,MATCH($B276,'R&amp;B Inputs'!$I$4:$V$4,0)))^(AV$7-Year1))</f>
        <v>5.2000000000000032E-3</v>
      </c>
      <c r="AW276" s="508">
        <f>IF(AW$8=0,0,INDEX('R&amp;B Inputs'!$I$82:$V$82,MATCH($B276,'R&amp;B Inputs'!$I$4:$V$4,0))*(1+INDEX('R&amp;B Inputs'!$I$62:$V$62,MATCH($B276,'R&amp;B Inputs'!$I$4:$V$4,0)))^(AW$7-Year1))</f>
        <v>5.2000000000000032E-3</v>
      </c>
      <c r="AX276" s="508">
        <f>IF(AX$8=0,0,INDEX('R&amp;B Inputs'!$I$82:$V$82,MATCH($B276,'R&amp;B Inputs'!$I$4:$V$4,0))*(1+INDEX('R&amp;B Inputs'!$I$62:$V$62,MATCH($B276,'R&amp;B Inputs'!$I$4:$V$4,0)))^(AX$7-Year1))</f>
        <v>5.2000000000000032E-3</v>
      </c>
      <c r="AY276" s="508">
        <f>IF(AY$8=0,0,INDEX('R&amp;B Inputs'!$I$82:$V$82,MATCH($B276,'R&amp;B Inputs'!$I$4:$V$4,0))*(1+INDEX('R&amp;B Inputs'!$I$62:$V$62,MATCH($B276,'R&amp;B Inputs'!$I$4:$V$4,0)))^(AY$7-Year1))</f>
        <v>5.2000000000000032E-3</v>
      </c>
      <c r="AZ276" s="508">
        <f>IF(AZ$8=0,0,INDEX('R&amp;B Inputs'!$I$82:$V$82,MATCH($B276,'R&amp;B Inputs'!$I$4:$V$4,0))*(1+INDEX('R&amp;B Inputs'!$I$62:$V$62,MATCH($B276,'R&amp;B Inputs'!$I$4:$V$4,0)))^(AZ$7-Year1))</f>
        <v>5.2000000000000032E-3</v>
      </c>
      <c r="BA276" s="508">
        <f>IF(BA$8=0,0,INDEX('R&amp;B Inputs'!$I$82:$V$82,MATCH($B276,'R&amp;B Inputs'!$I$4:$V$4,0))*(1+INDEX('R&amp;B Inputs'!$I$62:$V$62,MATCH($B276,'R&amp;B Inputs'!$I$4:$V$4,0)))^(BA$7-Year1))</f>
        <v>5.2000000000000032E-3</v>
      </c>
      <c r="BB276" s="508">
        <f>IF(BB$8=0,0,INDEX('R&amp;B Inputs'!$I$82:$V$82,MATCH($B276,'R&amp;B Inputs'!$I$4:$V$4,0))*(1+INDEX('R&amp;B Inputs'!$I$62:$V$62,MATCH($B276,'R&amp;B Inputs'!$I$4:$V$4,0)))^(BB$7-Year1))</f>
        <v>5.2000000000000032E-3</v>
      </c>
      <c r="BC276" s="508">
        <f>IF(BC$8=0,0,INDEX('R&amp;B Inputs'!$I$82:$V$82,MATCH($B276,'R&amp;B Inputs'!$I$4:$V$4,0))*(1+INDEX('R&amp;B Inputs'!$I$62:$V$62,MATCH($B276,'R&amp;B Inputs'!$I$4:$V$4,0)))^(BC$7-Year1))</f>
        <v>5.2000000000000032E-3</v>
      </c>
      <c r="BD276" s="508">
        <f>IF(BD$8=0,0,INDEX('R&amp;B Inputs'!$I$82:$V$82,MATCH($B276,'R&amp;B Inputs'!$I$4:$V$4,0))*(1+INDEX('R&amp;B Inputs'!$I$62:$V$62,MATCH($B276,'R&amp;B Inputs'!$I$4:$V$4,0)))^(BD$7-Year1))</f>
        <v>5.2000000000000032E-3</v>
      </c>
      <c r="BE276" s="508">
        <f>IF(BE$8=0,0,INDEX('R&amp;B Inputs'!$I$82:$V$82,MATCH($B276,'R&amp;B Inputs'!$I$4:$V$4,0))*(1+INDEX('R&amp;B Inputs'!$I$62:$V$62,MATCH($B276,'R&amp;B Inputs'!$I$4:$V$4,0)))^(BE$7-Year1))</f>
        <v>5.2000000000000032E-3</v>
      </c>
      <c r="BF276" s="508">
        <f>IF(BF$8=0,0,INDEX('R&amp;B Inputs'!$I$82:$V$82,MATCH($B276,'R&amp;B Inputs'!$I$4:$V$4,0))*(1+INDEX('R&amp;B Inputs'!$I$62:$V$62,MATCH($B276,'R&amp;B Inputs'!$I$4:$V$4,0)))^(BF$7-Year1))</f>
        <v>5.2000000000000032E-3</v>
      </c>
      <c r="BG276" s="508">
        <f>IF(BG$8=0,0,INDEX('R&amp;B Inputs'!$I$82:$V$82,MATCH($B276,'R&amp;B Inputs'!$I$4:$V$4,0))*(1+INDEX('R&amp;B Inputs'!$I$62:$V$62,MATCH($B276,'R&amp;B Inputs'!$I$4:$V$4,0)))^(BG$7-Year1))</f>
        <v>5.2000000000000032E-3</v>
      </c>
      <c r="BH276" s="508">
        <f>IF(BH$8=0,0,INDEX('R&amp;B Inputs'!$I$82:$V$82,MATCH($B276,'R&amp;B Inputs'!$I$4:$V$4,0))*(1+INDEX('R&amp;B Inputs'!$I$62:$V$62,MATCH($B276,'R&amp;B Inputs'!$I$4:$V$4,0)))^(BH$7-Year1))</f>
        <v>5.2000000000000032E-3</v>
      </c>
      <c r="BI276" s="508">
        <f>IF(BI$8=0,0,INDEX('R&amp;B Inputs'!$I$82:$V$82,MATCH($B276,'R&amp;B Inputs'!$I$4:$V$4,0))*(1+INDEX('R&amp;B Inputs'!$I$62:$V$62,MATCH($B276,'R&amp;B Inputs'!$I$4:$V$4,0)))^(BI$7-Year1))</f>
        <v>5.2000000000000032E-3</v>
      </c>
      <c r="BJ276" s="508">
        <f>IF(BJ$8=0,0,INDEX('R&amp;B Inputs'!$I$82:$V$82,MATCH($B276,'R&amp;B Inputs'!$I$4:$V$4,0))*(1+INDEX('R&amp;B Inputs'!$I$62:$V$62,MATCH($B276,'R&amp;B Inputs'!$I$4:$V$4,0)))^(BJ$7-Year1))</f>
        <v>5.2000000000000032E-3</v>
      </c>
      <c r="BK276" s="508">
        <f>IF(BK$8=0,0,INDEX('R&amp;B Inputs'!$I$82:$V$82,MATCH($B276,'R&amp;B Inputs'!$I$4:$V$4,0))*(1+INDEX('R&amp;B Inputs'!$I$62:$V$62,MATCH($B276,'R&amp;B Inputs'!$I$4:$V$4,0)))^(BK$7-Year1))</f>
        <v>5.2000000000000032E-3</v>
      </c>
      <c r="BL276" s="508">
        <f>IF(BL$8=0,0,INDEX('R&amp;B Inputs'!$I$82:$V$82,MATCH($B276,'R&amp;B Inputs'!$I$4:$V$4,0))*(1+INDEX('R&amp;B Inputs'!$I$62:$V$62,MATCH($B276,'R&amp;B Inputs'!$I$4:$V$4,0)))^(BL$7-Year1))</f>
        <v>5.2000000000000032E-3</v>
      </c>
      <c r="BM276" s="508">
        <f>IF(BM$8=0,0,INDEX('R&amp;B Inputs'!$I$82:$V$82,MATCH($B276,'R&amp;B Inputs'!$I$4:$V$4,0))*(1+INDEX('R&amp;B Inputs'!$I$62:$V$62,MATCH($B276,'R&amp;B Inputs'!$I$4:$V$4,0)))^(BM$7-Year1))</f>
        <v>5.2000000000000032E-3</v>
      </c>
      <c r="BN276" s="508"/>
      <c r="BO276" s="508"/>
      <c r="BP276" s="508">
        <f>IF($C$4=Year1,-PMT(Lookups!$E$17,25,NPV(Lookups!$E$17,AM276:BK276),0,1),IF($C$4=Year2,-PMT(Lookups!$F$17,25,NPV(Lookups!$F$17,AN276:BL276),0,1),IF($C$4=Year3,-PMT(Lookups!$G$17,25,NPV(Lookups!$G$17,AO276:BM276),0,1),-PMT(Lookups!$G$17,27,NPV(Lookups!$G$17,AM276:BM276),0,1))))</f>
        <v>5.1274769975786939E-3</v>
      </c>
      <c r="BS276" s="76" t="str">
        <f t="shared" si="295"/>
        <v>LDAC, Non-EE charge from the R&amp;B Inputs tab, escalated annually by the growth rate included on the R&amp;B Inputs tab.</v>
      </c>
      <c r="BT276" s="51" t="s">
        <v>17</v>
      </c>
    </row>
    <row r="277" spans="1:72" x14ac:dyDescent="0.25">
      <c r="B277" s="243" t="str">
        <f>B275</f>
        <v>Large C&amp;I</v>
      </c>
      <c r="C277" s="243" t="str">
        <f>C275</f>
        <v>Rates</v>
      </c>
      <c r="D277" s="244" t="str">
        <f>D275</f>
        <v>Rates before DSM (No EE Scenario)</v>
      </c>
      <c r="E277" s="84" t="s">
        <v>197</v>
      </c>
      <c r="F277" s="84" t="s">
        <v>182</v>
      </c>
      <c r="G277" s="506">
        <f>IF(G$8=0,0,INDEX('R&amp;B Inputs'!$I$86:$V$86,MATCH($B277,'R&amp;B Inputs'!$I$4:$V$4,0))*(1+INDEX('R&amp;B Inputs'!$I$66:$V$66,MATCH($B277,'R&amp;B Inputs'!$I$4:$V$4,0)))^(G$7-Year1))</f>
        <v>0</v>
      </c>
      <c r="H277" s="506">
        <f>IF(H$8=0,0,INDEX('R&amp;B Inputs'!$I$86:$V$86,MATCH($B277,'R&amp;B Inputs'!$I$4:$V$4,0))*(1+INDEX('R&amp;B Inputs'!$I$66:$V$66,MATCH($B277,'R&amp;B Inputs'!$I$4:$V$4,0)))^(H$7-Year1))</f>
        <v>0</v>
      </c>
      <c r="I277" s="506">
        <f>IF(I$8=0,0,INDEX('R&amp;B Inputs'!$I$86:$V$86,MATCH($B277,'R&amp;B Inputs'!$I$4:$V$4,0))*(1+INDEX('R&amp;B Inputs'!$I$66:$V$66,MATCH($B277,'R&amp;B Inputs'!$I$4:$V$4,0)))^(I$7-Year1))</f>
        <v>0.61899999999999999</v>
      </c>
      <c r="J277" s="506">
        <f>IF(J$8=0,0,INDEX('R&amp;B Inputs'!$I$86:$V$86,MATCH($B277,'R&amp;B Inputs'!$I$4:$V$4,0))*(1+INDEX('R&amp;B Inputs'!$I$66:$V$66,MATCH($B277,'R&amp;B Inputs'!$I$4:$V$4,0)))^(J$7-Year1))</f>
        <v>0.61899999999999999</v>
      </c>
      <c r="K277" s="506">
        <f>IF(K$8=0,0,INDEX('R&amp;B Inputs'!$I$86:$V$86,MATCH($B277,'R&amp;B Inputs'!$I$4:$V$4,0))*(1+INDEX('R&amp;B Inputs'!$I$66:$V$66,MATCH($B277,'R&amp;B Inputs'!$I$4:$V$4,0)))^(K$7-Year1))</f>
        <v>0.61899999999999999</v>
      </c>
      <c r="L277" s="506">
        <f>IF(L$8=0,0,INDEX('R&amp;B Inputs'!$I$86:$V$86,MATCH($B277,'R&amp;B Inputs'!$I$4:$V$4,0))*(1+INDEX('R&amp;B Inputs'!$I$66:$V$66,MATCH($B277,'R&amp;B Inputs'!$I$4:$V$4,0)))^(L$7-Year1))</f>
        <v>0.61899999999999999</v>
      </c>
      <c r="M277" s="506">
        <f>IF(M$8=0,0,INDEX('R&amp;B Inputs'!$I$86:$V$86,MATCH($B277,'R&amp;B Inputs'!$I$4:$V$4,0))*(1+INDEX('R&amp;B Inputs'!$I$66:$V$66,MATCH($B277,'R&amp;B Inputs'!$I$4:$V$4,0)))^(M$7-Year1))</f>
        <v>0.61899999999999999</v>
      </c>
      <c r="N277" s="506">
        <f>IF(N$8=0,0,INDEX('R&amp;B Inputs'!$I$86:$V$86,MATCH($B277,'R&amp;B Inputs'!$I$4:$V$4,0))*(1+INDEX('R&amp;B Inputs'!$I$66:$V$66,MATCH($B277,'R&amp;B Inputs'!$I$4:$V$4,0)))^(N$7-Year1))</f>
        <v>0.61899999999999999</v>
      </c>
      <c r="O277" s="506">
        <f>IF(O$8=0,0,INDEX('R&amp;B Inputs'!$I$86:$V$86,MATCH($B277,'R&amp;B Inputs'!$I$4:$V$4,0))*(1+INDEX('R&amp;B Inputs'!$I$66:$V$66,MATCH($B277,'R&amp;B Inputs'!$I$4:$V$4,0)))^(O$7-Year1))</f>
        <v>0.61899999999999999</v>
      </c>
      <c r="P277" s="506">
        <f>IF(P$8=0,0,INDEX('R&amp;B Inputs'!$I$86:$V$86,MATCH($B277,'R&amp;B Inputs'!$I$4:$V$4,0))*(1+INDEX('R&amp;B Inputs'!$I$66:$V$66,MATCH($B277,'R&amp;B Inputs'!$I$4:$V$4,0)))^(P$7-Year1))</f>
        <v>0.61899999999999999</v>
      </c>
      <c r="Q277" s="506">
        <f>IF(Q$8=0,0,INDEX('R&amp;B Inputs'!$I$86:$V$86,MATCH($B277,'R&amp;B Inputs'!$I$4:$V$4,0))*(1+INDEX('R&amp;B Inputs'!$I$66:$V$66,MATCH($B277,'R&amp;B Inputs'!$I$4:$V$4,0)))^(Q$7-Year1))</f>
        <v>0.61899999999999999</v>
      </c>
      <c r="R277" s="506">
        <f>IF(R$8=0,0,INDEX('R&amp;B Inputs'!$I$86:$V$86,MATCH($B277,'R&amp;B Inputs'!$I$4:$V$4,0))*(1+INDEX('R&amp;B Inputs'!$I$66:$V$66,MATCH($B277,'R&amp;B Inputs'!$I$4:$V$4,0)))^(R$7-Year1))</f>
        <v>0.61899999999999999</v>
      </c>
      <c r="S277" s="506">
        <f>IF(S$8=0,0,INDEX('R&amp;B Inputs'!$I$86:$V$86,MATCH($B277,'R&amp;B Inputs'!$I$4:$V$4,0))*(1+INDEX('R&amp;B Inputs'!$I$66:$V$66,MATCH($B277,'R&amp;B Inputs'!$I$4:$V$4,0)))^(S$7-Year1))</f>
        <v>0.61899999999999999</v>
      </c>
      <c r="T277" s="506">
        <f>IF(T$8=0,0,INDEX('R&amp;B Inputs'!$I$86:$V$86,MATCH($B277,'R&amp;B Inputs'!$I$4:$V$4,0))*(1+INDEX('R&amp;B Inputs'!$I$66:$V$66,MATCH($B277,'R&amp;B Inputs'!$I$4:$V$4,0)))^(T$7-Year1))</f>
        <v>0.61899999999999999</v>
      </c>
      <c r="U277" s="506">
        <f>IF(U$8=0,0,INDEX('R&amp;B Inputs'!$I$86:$V$86,MATCH($B277,'R&amp;B Inputs'!$I$4:$V$4,0))*(1+INDEX('R&amp;B Inputs'!$I$66:$V$66,MATCH($B277,'R&amp;B Inputs'!$I$4:$V$4,0)))^(U$7-Year1))</f>
        <v>0.61899999999999999</v>
      </c>
      <c r="V277" s="506">
        <f>IF(V$8=0,0,INDEX('R&amp;B Inputs'!$I$86:$V$86,MATCH($B277,'R&amp;B Inputs'!$I$4:$V$4,0))*(1+INDEX('R&amp;B Inputs'!$I$66:$V$66,MATCH($B277,'R&amp;B Inputs'!$I$4:$V$4,0)))^(V$7-Year1))</f>
        <v>0.61899999999999999</v>
      </c>
      <c r="W277" s="506">
        <f>IF(W$8=0,0,INDEX('R&amp;B Inputs'!$I$86:$V$86,MATCH($B277,'R&amp;B Inputs'!$I$4:$V$4,0))*(1+INDEX('R&amp;B Inputs'!$I$66:$V$66,MATCH($B277,'R&amp;B Inputs'!$I$4:$V$4,0)))^(W$7-Year1))</f>
        <v>0.61899999999999999</v>
      </c>
      <c r="X277" s="506">
        <f>IF(X$8=0,0,INDEX('R&amp;B Inputs'!$I$86:$V$86,MATCH($B277,'R&amp;B Inputs'!$I$4:$V$4,0))*(1+INDEX('R&amp;B Inputs'!$I$66:$V$66,MATCH($B277,'R&amp;B Inputs'!$I$4:$V$4,0)))^(X$7-Year1))</f>
        <v>0.61899999999999999</v>
      </c>
      <c r="Y277" s="506">
        <f>IF(Y$8=0,0,INDEX('R&amp;B Inputs'!$I$86:$V$86,MATCH($B277,'R&amp;B Inputs'!$I$4:$V$4,0))*(1+INDEX('R&amp;B Inputs'!$I$66:$V$66,MATCH($B277,'R&amp;B Inputs'!$I$4:$V$4,0)))^(Y$7-Year1))</f>
        <v>0.61899999999999999</v>
      </c>
      <c r="Z277" s="506">
        <f>IF(Z$8=0,0,INDEX('R&amp;B Inputs'!$I$86:$V$86,MATCH($B277,'R&amp;B Inputs'!$I$4:$V$4,0))*(1+INDEX('R&amp;B Inputs'!$I$66:$V$66,MATCH($B277,'R&amp;B Inputs'!$I$4:$V$4,0)))^(Z$7-Year1))</f>
        <v>0.61899999999999999</v>
      </c>
      <c r="AA277" s="506">
        <f>IF(AA$8=0,0,INDEX('R&amp;B Inputs'!$I$86:$V$86,MATCH($B277,'R&amp;B Inputs'!$I$4:$V$4,0))*(1+INDEX('R&amp;B Inputs'!$I$66:$V$66,MATCH($B277,'R&amp;B Inputs'!$I$4:$V$4,0)))^(AA$7-Year1))</f>
        <v>0.61899999999999999</v>
      </c>
      <c r="AB277" s="506">
        <f>IF(AB$8=0,0,INDEX('R&amp;B Inputs'!$I$86:$V$86,MATCH($B277,'R&amp;B Inputs'!$I$4:$V$4,0))*(1+INDEX('R&amp;B Inputs'!$I$66:$V$66,MATCH($B277,'R&amp;B Inputs'!$I$4:$V$4,0)))^(AB$7-Year1))</f>
        <v>0.61899999999999999</v>
      </c>
      <c r="AC277" s="506">
        <f>IF(AC$8=0,0,INDEX('R&amp;B Inputs'!$I$86:$V$86,MATCH($B277,'R&amp;B Inputs'!$I$4:$V$4,0))*(1+INDEX('R&amp;B Inputs'!$I$66:$V$66,MATCH($B277,'R&amp;B Inputs'!$I$4:$V$4,0)))^(AC$7-Year1))</f>
        <v>0.61899999999999999</v>
      </c>
      <c r="AD277" s="506">
        <f>IF(AD$8=0,0,INDEX('R&amp;B Inputs'!$I$86:$V$86,MATCH($B277,'R&amp;B Inputs'!$I$4:$V$4,0))*(1+INDEX('R&amp;B Inputs'!$I$66:$V$66,MATCH($B277,'R&amp;B Inputs'!$I$4:$V$4,0)))^(AD$7-Year1))</f>
        <v>0.61899999999999999</v>
      </c>
      <c r="AE277" s="506">
        <f>IF(AE$8=0,0,INDEX('R&amp;B Inputs'!$I$86:$V$86,MATCH($B277,'R&amp;B Inputs'!$I$4:$V$4,0))*(1+INDEX('R&amp;B Inputs'!$I$66:$V$66,MATCH($B277,'R&amp;B Inputs'!$I$4:$V$4,0)))^(AE$7-Year1))</f>
        <v>0.61899999999999999</v>
      </c>
      <c r="AF277" s="506">
        <f>IF(AF$8=0,0,INDEX('R&amp;B Inputs'!$I$86:$V$86,MATCH($B277,'R&amp;B Inputs'!$I$4:$V$4,0))*(1+INDEX('R&amp;B Inputs'!$I$66:$V$66,MATCH($B277,'R&amp;B Inputs'!$I$4:$V$4,0)))^(AF$7-Year1))</f>
        <v>0.61899999999999999</v>
      </c>
      <c r="AG277" s="506">
        <f>IF(AG$8=0,0,INDEX('R&amp;B Inputs'!$I$86:$V$86,MATCH($B277,'R&amp;B Inputs'!$I$4:$V$4,0))*(1+INDEX('R&amp;B Inputs'!$I$66:$V$66,MATCH($B277,'R&amp;B Inputs'!$I$4:$V$4,0)))^(AG$7-Year1))</f>
        <v>0.61899999999999999</v>
      </c>
      <c r="AH277" s="506"/>
      <c r="AI277" s="506"/>
      <c r="AJ277" s="506">
        <f>IF($C$4=Year1,-PMT(Lookups!$E$17,25,NPV(Lookups!$E$17,G277:AE277),0,1),IF($C$4=Year2,-PMT(Lookups!$F$17,25,NPV(Lookups!$F$17,H277:AF277),0,1),IF($C$4=Year3,-PMT(Lookups!$G$17,25,NPV(Lookups!$G$17,I277:AG277),0,1),-PMT(Lookups!$G$17,27,NPV(Lookups!$G$17,G277:AG277),0,1))))</f>
        <v>0.61036697336561752</v>
      </c>
      <c r="AK277" s="507"/>
      <c r="AL277" s="507"/>
      <c r="AM277" s="508">
        <f>IF(AM$8=0,0,INDEX('R&amp;B Inputs'!$I$86:$V$86,MATCH($B277,'R&amp;B Inputs'!$I$4:$V$4,0))*(1+INDEX('R&amp;B Inputs'!$I$66:$V$66,MATCH($B277,'R&amp;B Inputs'!$I$4:$V$4,0)))^(AM$7-Year1))</f>
        <v>0</v>
      </c>
      <c r="AN277" s="508">
        <f>IF(AN$8=0,0,INDEX('R&amp;B Inputs'!$I$86:$V$86,MATCH($B277,'R&amp;B Inputs'!$I$4:$V$4,0))*(1+INDEX('R&amp;B Inputs'!$I$66:$V$66,MATCH($B277,'R&amp;B Inputs'!$I$4:$V$4,0)))^(AN$7-Year1))</f>
        <v>0</v>
      </c>
      <c r="AO277" s="508">
        <f>IF(AO$8=0,0,INDEX('R&amp;B Inputs'!$I$86:$V$86,MATCH($B277,'R&amp;B Inputs'!$I$4:$V$4,0))*(1+INDEX('R&amp;B Inputs'!$I$66:$V$66,MATCH($B277,'R&amp;B Inputs'!$I$4:$V$4,0)))^(AO$7-Year1))</f>
        <v>0.61899999999999999</v>
      </c>
      <c r="AP277" s="508">
        <f>IF(AP$8=0,0,INDEX('R&amp;B Inputs'!$I$86:$V$86,MATCH($B277,'R&amp;B Inputs'!$I$4:$V$4,0))*(1+INDEX('R&amp;B Inputs'!$I$66:$V$66,MATCH($B277,'R&amp;B Inputs'!$I$4:$V$4,0)))^(AP$7-Year1))</f>
        <v>0.61899999999999999</v>
      </c>
      <c r="AQ277" s="508">
        <f>IF(AQ$8=0,0,INDEX('R&amp;B Inputs'!$I$86:$V$86,MATCH($B277,'R&amp;B Inputs'!$I$4:$V$4,0))*(1+INDEX('R&amp;B Inputs'!$I$66:$V$66,MATCH($B277,'R&amp;B Inputs'!$I$4:$V$4,0)))^(AQ$7-Year1))</f>
        <v>0.61899999999999999</v>
      </c>
      <c r="AR277" s="508">
        <f>IF(AR$8=0,0,INDEX('R&amp;B Inputs'!$I$86:$V$86,MATCH($B277,'R&amp;B Inputs'!$I$4:$V$4,0))*(1+INDEX('R&amp;B Inputs'!$I$66:$V$66,MATCH($B277,'R&amp;B Inputs'!$I$4:$V$4,0)))^(AR$7-Year1))</f>
        <v>0.61899999999999999</v>
      </c>
      <c r="AS277" s="508">
        <f>IF(AS$8=0,0,INDEX('R&amp;B Inputs'!$I$86:$V$86,MATCH($B277,'R&amp;B Inputs'!$I$4:$V$4,0))*(1+INDEX('R&amp;B Inputs'!$I$66:$V$66,MATCH($B277,'R&amp;B Inputs'!$I$4:$V$4,0)))^(AS$7-Year1))</f>
        <v>0.61899999999999999</v>
      </c>
      <c r="AT277" s="508">
        <f>IF(AT$8=0,0,INDEX('R&amp;B Inputs'!$I$86:$V$86,MATCH($B277,'R&amp;B Inputs'!$I$4:$V$4,0))*(1+INDEX('R&amp;B Inputs'!$I$66:$V$66,MATCH($B277,'R&amp;B Inputs'!$I$4:$V$4,0)))^(AT$7-Year1))</f>
        <v>0.61899999999999999</v>
      </c>
      <c r="AU277" s="508">
        <f>IF(AU$8=0,0,INDEX('R&amp;B Inputs'!$I$86:$V$86,MATCH($B277,'R&amp;B Inputs'!$I$4:$V$4,0))*(1+INDEX('R&amp;B Inputs'!$I$66:$V$66,MATCH($B277,'R&amp;B Inputs'!$I$4:$V$4,0)))^(AU$7-Year1))</f>
        <v>0.61899999999999999</v>
      </c>
      <c r="AV277" s="508">
        <f>IF(AV$8=0,0,INDEX('R&amp;B Inputs'!$I$86:$V$86,MATCH($B277,'R&amp;B Inputs'!$I$4:$V$4,0))*(1+INDEX('R&amp;B Inputs'!$I$66:$V$66,MATCH($B277,'R&amp;B Inputs'!$I$4:$V$4,0)))^(AV$7-Year1))</f>
        <v>0.61899999999999999</v>
      </c>
      <c r="AW277" s="508">
        <f>IF(AW$8=0,0,INDEX('R&amp;B Inputs'!$I$86:$V$86,MATCH($B277,'R&amp;B Inputs'!$I$4:$V$4,0))*(1+INDEX('R&amp;B Inputs'!$I$66:$V$66,MATCH($B277,'R&amp;B Inputs'!$I$4:$V$4,0)))^(AW$7-Year1))</f>
        <v>0.61899999999999999</v>
      </c>
      <c r="AX277" s="508">
        <f>IF(AX$8=0,0,INDEX('R&amp;B Inputs'!$I$86:$V$86,MATCH($B277,'R&amp;B Inputs'!$I$4:$V$4,0))*(1+INDEX('R&amp;B Inputs'!$I$66:$V$66,MATCH($B277,'R&amp;B Inputs'!$I$4:$V$4,0)))^(AX$7-Year1))</f>
        <v>0.61899999999999999</v>
      </c>
      <c r="AY277" s="508">
        <f>IF(AY$8=0,0,INDEX('R&amp;B Inputs'!$I$86:$V$86,MATCH($B277,'R&amp;B Inputs'!$I$4:$V$4,0))*(1+INDEX('R&amp;B Inputs'!$I$66:$V$66,MATCH($B277,'R&amp;B Inputs'!$I$4:$V$4,0)))^(AY$7-Year1))</f>
        <v>0.61899999999999999</v>
      </c>
      <c r="AZ277" s="508">
        <f>IF(AZ$8=0,0,INDEX('R&amp;B Inputs'!$I$86:$V$86,MATCH($B277,'R&amp;B Inputs'!$I$4:$V$4,0))*(1+INDEX('R&amp;B Inputs'!$I$66:$V$66,MATCH($B277,'R&amp;B Inputs'!$I$4:$V$4,0)))^(AZ$7-Year1))</f>
        <v>0.61899999999999999</v>
      </c>
      <c r="BA277" s="508">
        <f>IF(BA$8=0,0,INDEX('R&amp;B Inputs'!$I$86:$V$86,MATCH($B277,'R&amp;B Inputs'!$I$4:$V$4,0))*(1+INDEX('R&amp;B Inputs'!$I$66:$V$66,MATCH($B277,'R&amp;B Inputs'!$I$4:$V$4,0)))^(BA$7-Year1))</f>
        <v>0.61899999999999999</v>
      </c>
      <c r="BB277" s="508">
        <f>IF(BB$8=0,0,INDEX('R&amp;B Inputs'!$I$86:$V$86,MATCH($B277,'R&amp;B Inputs'!$I$4:$V$4,0))*(1+INDEX('R&amp;B Inputs'!$I$66:$V$66,MATCH($B277,'R&amp;B Inputs'!$I$4:$V$4,0)))^(BB$7-Year1))</f>
        <v>0.61899999999999999</v>
      </c>
      <c r="BC277" s="508">
        <f>IF(BC$8=0,0,INDEX('R&amp;B Inputs'!$I$86:$V$86,MATCH($B277,'R&amp;B Inputs'!$I$4:$V$4,0))*(1+INDEX('R&amp;B Inputs'!$I$66:$V$66,MATCH($B277,'R&amp;B Inputs'!$I$4:$V$4,0)))^(BC$7-Year1))</f>
        <v>0.61899999999999999</v>
      </c>
      <c r="BD277" s="508">
        <f>IF(BD$8=0,0,INDEX('R&amp;B Inputs'!$I$86:$V$86,MATCH($B277,'R&amp;B Inputs'!$I$4:$V$4,0))*(1+INDEX('R&amp;B Inputs'!$I$66:$V$66,MATCH($B277,'R&amp;B Inputs'!$I$4:$V$4,0)))^(BD$7-Year1))</f>
        <v>0.61899999999999999</v>
      </c>
      <c r="BE277" s="508">
        <f>IF(BE$8=0,0,INDEX('R&amp;B Inputs'!$I$86:$V$86,MATCH($B277,'R&amp;B Inputs'!$I$4:$V$4,0))*(1+INDEX('R&amp;B Inputs'!$I$66:$V$66,MATCH($B277,'R&amp;B Inputs'!$I$4:$V$4,0)))^(BE$7-Year1))</f>
        <v>0.61899999999999999</v>
      </c>
      <c r="BF277" s="508">
        <f>IF(BF$8=0,0,INDEX('R&amp;B Inputs'!$I$86:$V$86,MATCH($B277,'R&amp;B Inputs'!$I$4:$V$4,0))*(1+INDEX('R&amp;B Inputs'!$I$66:$V$66,MATCH($B277,'R&amp;B Inputs'!$I$4:$V$4,0)))^(BF$7-Year1))</f>
        <v>0.61899999999999999</v>
      </c>
      <c r="BG277" s="508">
        <f>IF(BG$8=0,0,INDEX('R&amp;B Inputs'!$I$86:$V$86,MATCH($B277,'R&amp;B Inputs'!$I$4:$V$4,0))*(1+INDEX('R&amp;B Inputs'!$I$66:$V$66,MATCH($B277,'R&amp;B Inputs'!$I$4:$V$4,0)))^(BG$7-Year1))</f>
        <v>0.61899999999999999</v>
      </c>
      <c r="BH277" s="508">
        <f>IF(BH$8=0,0,INDEX('R&amp;B Inputs'!$I$86:$V$86,MATCH($B277,'R&amp;B Inputs'!$I$4:$V$4,0))*(1+INDEX('R&amp;B Inputs'!$I$66:$V$66,MATCH($B277,'R&amp;B Inputs'!$I$4:$V$4,0)))^(BH$7-Year1))</f>
        <v>0.61899999999999999</v>
      </c>
      <c r="BI277" s="508">
        <f>IF(BI$8=0,0,INDEX('R&amp;B Inputs'!$I$86:$V$86,MATCH($B277,'R&amp;B Inputs'!$I$4:$V$4,0))*(1+INDEX('R&amp;B Inputs'!$I$66:$V$66,MATCH($B277,'R&amp;B Inputs'!$I$4:$V$4,0)))^(BI$7-Year1))</f>
        <v>0.61899999999999999</v>
      </c>
      <c r="BJ277" s="508">
        <f>IF(BJ$8=0,0,INDEX('R&amp;B Inputs'!$I$86:$V$86,MATCH($B277,'R&amp;B Inputs'!$I$4:$V$4,0))*(1+INDEX('R&amp;B Inputs'!$I$66:$V$66,MATCH($B277,'R&amp;B Inputs'!$I$4:$V$4,0)))^(BJ$7-Year1))</f>
        <v>0.61899999999999999</v>
      </c>
      <c r="BK277" s="508">
        <f>IF(BK$8=0,0,INDEX('R&amp;B Inputs'!$I$86:$V$86,MATCH($B277,'R&amp;B Inputs'!$I$4:$V$4,0))*(1+INDEX('R&amp;B Inputs'!$I$66:$V$66,MATCH($B277,'R&amp;B Inputs'!$I$4:$V$4,0)))^(BK$7-Year1))</f>
        <v>0.61899999999999999</v>
      </c>
      <c r="BL277" s="508">
        <f>IF(BL$8=0,0,INDEX('R&amp;B Inputs'!$I$86:$V$86,MATCH($B277,'R&amp;B Inputs'!$I$4:$V$4,0))*(1+INDEX('R&amp;B Inputs'!$I$66:$V$66,MATCH($B277,'R&amp;B Inputs'!$I$4:$V$4,0)))^(BL$7-Year1))</f>
        <v>0.61899999999999999</v>
      </c>
      <c r="BM277" s="508">
        <f>IF(BM$8=0,0,INDEX('R&amp;B Inputs'!$I$86:$V$86,MATCH($B277,'R&amp;B Inputs'!$I$4:$V$4,0))*(1+INDEX('R&amp;B Inputs'!$I$66:$V$66,MATCH($B277,'R&amp;B Inputs'!$I$4:$V$4,0)))^(BM$7-Year1))</f>
        <v>0.61899999999999999</v>
      </c>
      <c r="BN277" s="508"/>
      <c r="BO277" s="508"/>
      <c r="BP277" s="508">
        <f>IF($C$4=Year1,-PMT(Lookups!$E$17,25,NPV(Lookups!$E$17,AM277:BK277),0,1),IF($C$4=Year2,-PMT(Lookups!$F$17,25,NPV(Lookups!$F$17,AN277:BL277),0,1),IF($C$4=Year3,-PMT(Lookups!$G$17,25,NPV(Lookups!$G$17,AO277:BM277),0,1),-PMT(Lookups!$G$17,27,NPV(Lookups!$G$17,AM277:BM277),0,1))))</f>
        <v>0.61036697336561752</v>
      </c>
      <c r="BS277" s="76" t="str">
        <f t="shared" si="295"/>
        <v>Cost of Gas charge from the R&amp;B Inputs tab, escalated annually by the growth rate included on the R&amp;B Inputs tab.</v>
      </c>
      <c r="BT277" s="51" t="s">
        <v>17</v>
      </c>
    </row>
    <row r="278" spans="1:72" x14ac:dyDescent="0.25">
      <c r="B278" s="243" t="str">
        <f>B279</f>
        <v>Large C&amp;I</v>
      </c>
      <c r="C278" s="243" t="str">
        <f>C279</f>
        <v>Rates</v>
      </c>
      <c r="D278" s="244" t="str">
        <f>D279</f>
        <v>Rates before DSM (No EE Scenario)</v>
      </c>
      <c r="E278" s="86" t="s">
        <v>75</v>
      </c>
      <c r="F278" s="84" t="s">
        <v>182</v>
      </c>
      <c r="G278" s="506">
        <f>IF(G$8=0,0,INDEX('R&amp;B Inputs'!$H$73:$U$73,MATCH($B277,'R&amp;B Inputs'!$H$4:$U$4,0))*(1+INDEX('R&amp;B Inputs'!$H$46:$U$46,MATCH($B277,'R&amp;B Inputs'!$H$4:$U$4,0)))^(G$7-Year1))</f>
        <v>0</v>
      </c>
      <c r="H278" s="506">
        <f>IF(H$8=0,0,INDEX('R&amp;B Inputs'!$H$73:$U$73,MATCH($B277,'R&amp;B Inputs'!$H$4:$U$4,0))*(1+INDEX('R&amp;B Inputs'!$H$46:$U$46,MATCH($B277,'R&amp;B Inputs'!$H$4:$U$4,0)))^(H$7-Year1))</f>
        <v>0</v>
      </c>
      <c r="I278" s="506">
        <f>IF(I$8=0,0,INDEX('R&amp;B Inputs'!$H$73:$U$73,MATCH($B277,'R&amp;B Inputs'!$H$4:$U$4,0))*(1+INDEX('R&amp;B Inputs'!$H$46:$U$46,MATCH($B277,'R&amp;B Inputs'!$H$4:$U$4,0)))^(I$7-Year1))</f>
        <v>4.271893828439878E-2</v>
      </c>
      <c r="J278" s="506">
        <f>IF(J$8=0,0,INDEX('R&amp;B Inputs'!$H$73:$U$73,MATCH($B277,'R&amp;B Inputs'!$H$4:$U$4,0))*(1+INDEX('R&amp;B Inputs'!$H$46:$U$46,MATCH($B277,'R&amp;B Inputs'!$H$4:$U$4,0)))^(J$7-Year1))</f>
        <v>4.271893828439878E-2</v>
      </c>
      <c r="K278" s="506">
        <f>IF(K$8=0,0,INDEX('R&amp;B Inputs'!$H$73:$U$73,MATCH($B277,'R&amp;B Inputs'!$H$4:$U$4,0))*(1+INDEX('R&amp;B Inputs'!$H$46:$U$46,MATCH($B277,'R&amp;B Inputs'!$H$4:$U$4,0)))^(K$7-Year1))</f>
        <v>4.271893828439878E-2</v>
      </c>
      <c r="L278" s="506">
        <f>IF(L$8=0,0,INDEX('R&amp;B Inputs'!$H$73:$U$73,MATCH($B277,'R&amp;B Inputs'!$H$4:$U$4,0))*(1+INDEX('R&amp;B Inputs'!$H$46:$U$46,MATCH($B277,'R&amp;B Inputs'!$H$4:$U$4,0)))^(L$7-Year1))</f>
        <v>4.271893828439878E-2</v>
      </c>
      <c r="M278" s="506">
        <f>IF(M$8=0,0,INDEX('R&amp;B Inputs'!$H$73:$U$73,MATCH($B277,'R&amp;B Inputs'!$H$4:$U$4,0))*(1+INDEX('R&amp;B Inputs'!$H$46:$U$46,MATCH($B277,'R&amp;B Inputs'!$H$4:$U$4,0)))^(M$7-Year1))</f>
        <v>4.271893828439878E-2</v>
      </c>
      <c r="N278" s="506">
        <f>IF(N$8=0,0,INDEX('R&amp;B Inputs'!$H$73:$U$73,MATCH($B277,'R&amp;B Inputs'!$H$4:$U$4,0))*(1+INDEX('R&amp;B Inputs'!$H$46:$U$46,MATCH($B277,'R&amp;B Inputs'!$H$4:$U$4,0)))^(N$7-Year1))</f>
        <v>4.271893828439878E-2</v>
      </c>
      <c r="O278" s="506">
        <f>IF(O$8=0,0,INDEX('R&amp;B Inputs'!$H$73:$U$73,MATCH($B277,'R&amp;B Inputs'!$H$4:$U$4,0))*(1+INDEX('R&amp;B Inputs'!$H$46:$U$46,MATCH($B277,'R&amp;B Inputs'!$H$4:$U$4,0)))^(O$7-Year1))</f>
        <v>4.271893828439878E-2</v>
      </c>
      <c r="P278" s="506">
        <f>IF(P$8=0,0,INDEX('R&amp;B Inputs'!$H$73:$U$73,MATCH($B277,'R&amp;B Inputs'!$H$4:$U$4,0))*(1+INDEX('R&amp;B Inputs'!$H$46:$U$46,MATCH($B277,'R&amp;B Inputs'!$H$4:$U$4,0)))^(P$7-Year1))</f>
        <v>4.271893828439878E-2</v>
      </c>
      <c r="Q278" s="506">
        <f>IF(Q$8=0,0,INDEX('R&amp;B Inputs'!$H$73:$U$73,MATCH($B277,'R&amp;B Inputs'!$H$4:$U$4,0))*(1+INDEX('R&amp;B Inputs'!$H$46:$U$46,MATCH($B277,'R&amp;B Inputs'!$H$4:$U$4,0)))^(Q$7-Year1))</f>
        <v>4.271893828439878E-2</v>
      </c>
      <c r="R278" s="506">
        <f>IF(R$8=0,0,INDEX('R&amp;B Inputs'!$H$73:$U$73,MATCH($B277,'R&amp;B Inputs'!$H$4:$U$4,0))*(1+INDEX('R&amp;B Inputs'!$H$46:$U$46,MATCH($B277,'R&amp;B Inputs'!$H$4:$U$4,0)))^(R$7-Year1))</f>
        <v>4.271893828439878E-2</v>
      </c>
      <c r="S278" s="506">
        <f>IF(S$8=0,0,INDEX('R&amp;B Inputs'!$H$73:$U$73,MATCH($B277,'R&amp;B Inputs'!$H$4:$U$4,0))*(1+INDEX('R&amp;B Inputs'!$H$46:$U$46,MATCH($B277,'R&amp;B Inputs'!$H$4:$U$4,0)))^(S$7-Year1))</f>
        <v>4.271893828439878E-2</v>
      </c>
      <c r="T278" s="506">
        <f>IF(T$8=0,0,INDEX('R&amp;B Inputs'!$H$73:$U$73,MATCH($B277,'R&amp;B Inputs'!$H$4:$U$4,0))*(1+INDEX('R&amp;B Inputs'!$H$46:$U$46,MATCH($B277,'R&amp;B Inputs'!$H$4:$U$4,0)))^(T$7-Year1))</f>
        <v>4.271893828439878E-2</v>
      </c>
      <c r="U278" s="506">
        <f>IF(U$8=0,0,INDEX('R&amp;B Inputs'!$H$73:$U$73,MATCH($B277,'R&amp;B Inputs'!$H$4:$U$4,0))*(1+INDEX('R&amp;B Inputs'!$H$46:$U$46,MATCH($B277,'R&amp;B Inputs'!$H$4:$U$4,0)))^(U$7-Year1))</f>
        <v>4.271893828439878E-2</v>
      </c>
      <c r="V278" s="506">
        <f>IF(V$8=0,0,INDEX('R&amp;B Inputs'!$H$73:$U$73,MATCH($B277,'R&amp;B Inputs'!$H$4:$U$4,0))*(1+INDEX('R&amp;B Inputs'!$H$46:$U$46,MATCH($B277,'R&amp;B Inputs'!$H$4:$U$4,0)))^(V$7-Year1))</f>
        <v>4.271893828439878E-2</v>
      </c>
      <c r="W278" s="506">
        <f>IF(W$8=0,0,INDEX('R&amp;B Inputs'!$H$73:$U$73,MATCH($B277,'R&amp;B Inputs'!$H$4:$U$4,0))*(1+INDEX('R&amp;B Inputs'!$H$46:$U$46,MATCH($B277,'R&amp;B Inputs'!$H$4:$U$4,0)))^(W$7-Year1))</f>
        <v>4.271893828439878E-2</v>
      </c>
      <c r="X278" s="506">
        <f>IF(X$8=0,0,INDEX('R&amp;B Inputs'!$H$73:$U$73,MATCH($B277,'R&amp;B Inputs'!$H$4:$U$4,0))*(1+INDEX('R&amp;B Inputs'!$H$46:$U$46,MATCH($B277,'R&amp;B Inputs'!$H$4:$U$4,0)))^(X$7-Year1))</f>
        <v>4.271893828439878E-2</v>
      </c>
      <c r="Y278" s="506">
        <f>IF(Y$8=0,0,INDEX('R&amp;B Inputs'!$H$73:$U$73,MATCH($B277,'R&amp;B Inputs'!$H$4:$U$4,0))*(1+INDEX('R&amp;B Inputs'!$H$46:$U$46,MATCH($B277,'R&amp;B Inputs'!$H$4:$U$4,0)))^(Y$7-Year1))</f>
        <v>4.271893828439878E-2</v>
      </c>
      <c r="Z278" s="506">
        <f>IF(Z$8=0,0,INDEX('R&amp;B Inputs'!$H$73:$U$73,MATCH($B277,'R&amp;B Inputs'!$H$4:$U$4,0))*(1+INDEX('R&amp;B Inputs'!$H$46:$U$46,MATCH($B277,'R&amp;B Inputs'!$H$4:$U$4,0)))^(Z$7-Year1))</f>
        <v>4.271893828439878E-2</v>
      </c>
      <c r="AA278" s="506">
        <f>IF(AA$8=0,0,INDEX('R&amp;B Inputs'!$H$73:$U$73,MATCH($B277,'R&amp;B Inputs'!$H$4:$U$4,0))*(1+INDEX('R&amp;B Inputs'!$H$46:$U$46,MATCH($B277,'R&amp;B Inputs'!$H$4:$U$4,0)))^(AA$7-Year1))</f>
        <v>4.271893828439878E-2</v>
      </c>
      <c r="AB278" s="506">
        <f>IF(AB$8=0,0,INDEX('R&amp;B Inputs'!$H$73:$U$73,MATCH($B277,'R&amp;B Inputs'!$H$4:$U$4,0))*(1+INDEX('R&amp;B Inputs'!$H$46:$U$46,MATCH($B277,'R&amp;B Inputs'!$H$4:$U$4,0)))^(AB$7-Year1))</f>
        <v>4.271893828439878E-2</v>
      </c>
      <c r="AC278" s="506">
        <f>IF(AC$8=0,0,INDEX('R&amp;B Inputs'!$H$73:$U$73,MATCH($B277,'R&amp;B Inputs'!$H$4:$U$4,0))*(1+INDEX('R&amp;B Inputs'!$H$46:$U$46,MATCH($B277,'R&amp;B Inputs'!$H$4:$U$4,0)))^(AC$7-Year1))</f>
        <v>4.271893828439878E-2</v>
      </c>
      <c r="AD278" s="506">
        <f>IF(AD$8=0,0,INDEX('R&amp;B Inputs'!$H$73:$U$73,MATCH($B277,'R&amp;B Inputs'!$H$4:$U$4,0))*(1+INDEX('R&amp;B Inputs'!$H$46:$U$46,MATCH($B277,'R&amp;B Inputs'!$H$4:$U$4,0)))^(AD$7-Year1))</f>
        <v>4.271893828439878E-2</v>
      </c>
      <c r="AE278" s="506">
        <f>IF(AE$8=0,0,INDEX('R&amp;B Inputs'!$H$73:$U$73,MATCH($B277,'R&amp;B Inputs'!$H$4:$U$4,0))*(1+INDEX('R&amp;B Inputs'!$H$46:$U$46,MATCH($B277,'R&amp;B Inputs'!$H$4:$U$4,0)))^(AE$7-Year1))</f>
        <v>4.271893828439878E-2</v>
      </c>
      <c r="AF278" s="506">
        <f>IF(AF$8=0,0,INDEX('R&amp;B Inputs'!$H$73:$U$73,MATCH($B277,'R&amp;B Inputs'!$H$4:$U$4,0))*(1+INDEX('R&amp;B Inputs'!$H$46:$U$46,MATCH($B277,'R&amp;B Inputs'!$H$4:$U$4,0)))^(AF$7-Year1))</f>
        <v>4.271893828439878E-2</v>
      </c>
      <c r="AG278" s="506">
        <f>IF(AG$8=0,0,INDEX('R&amp;B Inputs'!$H$73:$U$73,MATCH($B277,'R&amp;B Inputs'!$H$4:$U$4,0))*(1+INDEX('R&amp;B Inputs'!$H$46:$U$46,MATCH($B277,'R&amp;B Inputs'!$H$4:$U$4,0)))^(AG$7-Year1))</f>
        <v>4.271893828439878E-2</v>
      </c>
      <c r="AH278" s="506"/>
      <c r="AI278" s="506"/>
      <c r="AJ278" s="506">
        <f>IF($C$4=Year1,-PMT(Lookups!$E$17,25,NPV(Lookups!$E$17,G278:AE278),0,1),IF($C$4=Year2,-PMT(Lookups!$F$17,25,NPV(Lookups!$F$17,H278:AF278),0,1),IF($C$4=Year3,-PMT(Lookups!$G$17,25,NPV(Lookups!$G$17,I278:AG278),0,1),-PMT(Lookups!$G$17,27,NPV(Lookups!$G$17,G278:AG278),0,1))))</f>
        <v>4.2123148733507407E-2</v>
      </c>
      <c r="AK278" s="507"/>
      <c r="AL278" s="507"/>
      <c r="AM278" s="508">
        <f>IF(AM$8=0,0,INDEX('R&amp;B Inputs'!$H$73:$U$73,MATCH($B277,'R&amp;B Inputs'!$H$4:$U$4,0))*(1+INDEX('R&amp;B Inputs'!$H$46:$U$46,MATCH($B277,'R&amp;B Inputs'!$H$4:$U$4,0)))^(AM$7-Year1))</f>
        <v>0</v>
      </c>
      <c r="AN278" s="508">
        <f>IF(AN$8=0,0,INDEX('R&amp;B Inputs'!$H$73:$U$73,MATCH($B277,'R&amp;B Inputs'!$H$4:$U$4,0))*(1+INDEX('R&amp;B Inputs'!$H$46:$U$46,MATCH($B277,'R&amp;B Inputs'!$H$4:$U$4,0)))^(AN$7-Year1))</f>
        <v>0</v>
      </c>
      <c r="AO278" s="508">
        <f>IF(AO$8=0,0,INDEX('R&amp;B Inputs'!$H$73:$U$73,MATCH($B277,'R&amp;B Inputs'!$H$4:$U$4,0))*(1+INDEX('R&amp;B Inputs'!$H$46:$U$46,MATCH($B277,'R&amp;B Inputs'!$H$4:$U$4,0)))^(AO$7-Year1))</f>
        <v>4.271893828439878E-2</v>
      </c>
      <c r="AP278" s="508">
        <f>IF(AP$8=0,0,INDEX('R&amp;B Inputs'!$H$73:$U$73,MATCH($B277,'R&amp;B Inputs'!$H$4:$U$4,0))*(1+INDEX('R&amp;B Inputs'!$H$46:$U$46,MATCH($B277,'R&amp;B Inputs'!$H$4:$U$4,0)))^(AP$7-Year1))</f>
        <v>4.271893828439878E-2</v>
      </c>
      <c r="AQ278" s="508">
        <f>IF(AQ$8=0,0,INDEX('R&amp;B Inputs'!$H$73:$U$73,MATCH($B277,'R&amp;B Inputs'!$H$4:$U$4,0))*(1+INDEX('R&amp;B Inputs'!$H$46:$U$46,MATCH($B277,'R&amp;B Inputs'!$H$4:$U$4,0)))^(AQ$7-Year1))</f>
        <v>4.271893828439878E-2</v>
      </c>
      <c r="AR278" s="508">
        <f>IF(AR$8=0,0,INDEX('R&amp;B Inputs'!$H$73:$U$73,MATCH($B277,'R&amp;B Inputs'!$H$4:$U$4,0))*(1+INDEX('R&amp;B Inputs'!$H$46:$U$46,MATCH($B277,'R&amp;B Inputs'!$H$4:$U$4,0)))^(AR$7-Year1))</f>
        <v>4.271893828439878E-2</v>
      </c>
      <c r="AS278" s="508">
        <f>IF(AS$8=0,0,INDEX('R&amp;B Inputs'!$H$73:$U$73,MATCH($B277,'R&amp;B Inputs'!$H$4:$U$4,0))*(1+INDEX('R&amp;B Inputs'!$H$46:$U$46,MATCH($B277,'R&amp;B Inputs'!$H$4:$U$4,0)))^(AS$7-Year1))</f>
        <v>4.271893828439878E-2</v>
      </c>
      <c r="AT278" s="508">
        <f>IF(AT$8=0,0,INDEX('R&amp;B Inputs'!$H$73:$U$73,MATCH($B277,'R&amp;B Inputs'!$H$4:$U$4,0))*(1+INDEX('R&amp;B Inputs'!$H$46:$U$46,MATCH($B277,'R&amp;B Inputs'!$H$4:$U$4,0)))^(AT$7-Year1))</f>
        <v>4.271893828439878E-2</v>
      </c>
      <c r="AU278" s="508">
        <f>IF(AU$8=0,0,INDEX('R&amp;B Inputs'!$H$73:$U$73,MATCH($B277,'R&amp;B Inputs'!$H$4:$U$4,0))*(1+INDEX('R&amp;B Inputs'!$H$46:$U$46,MATCH($B277,'R&amp;B Inputs'!$H$4:$U$4,0)))^(AU$7-Year1))</f>
        <v>4.271893828439878E-2</v>
      </c>
      <c r="AV278" s="508">
        <f>IF(AV$8=0,0,INDEX('R&amp;B Inputs'!$H$73:$U$73,MATCH($B277,'R&amp;B Inputs'!$H$4:$U$4,0))*(1+INDEX('R&amp;B Inputs'!$H$46:$U$46,MATCH($B277,'R&amp;B Inputs'!$H$4:$U$4,0)))^(AV$7-Year1))</f>
        <v>4.271893828439878E-2</v>
      </c>
      <c r="AW278" s="508">
        <f>IF(AW$8=0,0,INDEX('R&amp;B Inputs'!$H$73:$U$73,MATCH($B277,'R&amp;B Inputs'!$H$4:$U$4,0))*(1+INDEX('R&amp;B Inputs'!$H$46:$U$46,MATCH($B277,'R&amp;B Inputs'!$H$4:$U$4,0)))^(AW$7-Year1))</f>
        <v>4.271893828439878E-2</v>
      </c>
      <c r="AX278" s="508">
        <f>IF(AX$8=0,0,INDEX('R&amp;B Inputs'!$H$73:$U$73,MATCH($B277,'R&amp;B Inputs'!$H$4:$U$4,0))*(1+INDEX('R&amp;B Inputs'!$H$46:$U$46,MATCH($B277,'R&amp;B Inputs'!$H$4:$U$4,0)))^(AX$7-Year1))</f>
        <v>4.271893828439878E-2</v>
      </c>
      <c r="AY278" s="508">
        <f>IF(AY$8=0,0,INDEX('R&amp;B Inputs'!$H$73:$U$73,MATCH($B277,'R&amp;B Inputs'!$H$4:$U$4,0))*(1+INDEX('R&amp;B Inputs'!$H$46:$U$46,MATCH($B277,'R&amp;B Inputs'!$H$4:$U$4,0)))^(AY$7-Year1))</f>
        <v>4.271893828439878E-2</v>
      </c>
      <c r="AZ278" s="508">
        <f>IF(AZ$8=0,0,INDEX('R&amp;B Inputs'!$H$73:$U$73,MATCH($B277,'R&amp;B Inputs'!$H$4:$U$4,0))*(1+INDEX('R&amp;B Inputs'!$H$46:$U$46,MATCH($B277,'R&amp;B Inputs'!$H$4:$U$4,0)))^(AZ$7-Year1))</f>
        <v>4.271893828439878E-2</v>
      </c>
      <c r="BA278" s="508">
        <f>IF(BA$8=0,0,INDEX('R&amp;B Inputs'!$H$73:$U$73,MATCH($B277,'R&amp;B Inputs'!$H$4:$U$4,0))*(1+INDEX('R&amp;B Inputs'!$H$46:$U$46,MATCH($B277,'R&amp;B Inputs'!$H$4:$U$4,0)))^(BA$7-Year1))</f>
        <v>4.271893828439878E-2</v>
      </c>
      <c r="BB278" s="508">
        <f>IF(BB$8=0,0,INDEX('R&amp;B Inputs'!$H$73:$U$73,MATCH($B277,'R&amp;B Inputs'!$H$4:$U$4,0))*(1+INDEX('R&amp;B Inputs'!$H$46:$U$46,MATCH($B277,'R&amp;B Inputs'!$H$4:$U$4,0)))^(BB$7-Year1))</f>
        <v>4.271893828439878E-2</v>
      </c>
      <c r="BC278" s="508">
        <f>IF(BC$8=0,0,INDEX('R&amp;B Inputs'!$H$73:$U$73,MATCH($B277,'R&amp;B Inputs'!$H$4:$U$4,0))*(1+INDEX('R&amp;B Inputs'!$H$46:$U$46,MATCH($B277,'R&amp;B Inputs'!$H$4:$U$4,0)))^(BC$7-Year1))</f>
        <v>4.271893828439878E-2</v>
      </c>
      <c r="BD278" s="508">
        <f>IF(BD$8=0,0,INDEX('R&amp;B Inputs'!$H$73:$U$73,MATCH($B277,'R&amp;B Inputs'!$H$4:$U$4,0))*(1+INDEX('R&amp;B Inputs'!$H$46:$U$46,MATCH($B277,'R&amp;B Inputs'!$H$4:$U$4,0)))^(BD$7-Year1))</f>
        <v>4.271893828439878E-2</v>
      </c>
      <c r="BE278" s="508">
        <f>IF(BE$8=0,0,INDEX('R&amp;B Inputs'!$H$73:$U$73,MATCH($B277,'R&amp;B Inputs'!$H$4:$U$4,0))*(1+INDEX('R&amp;B Inputs'!$H$46:$U$46,MATCH($B277,'R&amp;B Inputs'!$H$4:$U$4,0)))^(BE$7-Year1))</f>
        <v>4.271893828439878E-2</v>
      </c>
      <c r="BF278" s="508">
        <f>IF(BF$8=0,0,INDEX('R&amp;B Inputs'!$H$73:$U$73,MATCH($B277,'R&amp;B Inputs'!$H$4:$U$4,0))*(1+INDEX('R&amp;B Inputs'!$H$46:$U$46,MATCH($B277,'R&amp;B Inputs'!$H$4:$U$4,0)))^(BF$7-Year1))</f>
        <v>4.271893828439878E-2</v>
      </c>
      <c r="BG278" s="508">
        <f>IF(BG$8=0,0,INDEX('R&amp;B Inputs'!$H$73:$U$73,MATCH($B277,'R&amp;B Inputs'!$H$4:$U$4,0))*(1+INDEX('R&amp;B Inputs'!$H$46:$U$46,MATCH($B277,'R&amp;B Inputs'!$H$4:$U$4,0)))^(BG$7-Year1))</f>
        <v>4.271893828439878E-2</v>
      </c>
      <c r="BH278" s="508">
        <f>IF(BH$8=0,0,INDEX('R&amp;B Inputs'!$H$73:$U$73,MATCH($B277,'R&amp;B Inputs'!$H$4:$U$4,0))*(1+INDEX('R&amp;B Inputs'!$H$46:$U$46,MATCH($B277,'R&amp;B Inputs'!$H$4:$U$4,0)))^(BH$7-Year1))</f>
        <v>4.271893828439878E-2</v>
      </c>
      <c r="BI278" s="508">
        <f>IF(BI$8=0,0,INDEX('R&amp;B Inputs'!$H$73:$U$73,MATCH($B277,'R&amp;B Inputs'!$H$4:$U$4,0))*(1+INDEX('R&amp;B Inputs'!$H$46:$U$46,MATCH($B277,'R&amp;B Inputs'!$H$4:$U$4,0)))^(BI$7-Year1))</f>
        <v>4.271893828439878E-2</v>
      </c>
      <c r="BJ278" s="508">
        <f>IF(BJ$8=0,0,INDEX('R&amp;B Inputs'!$H$73:$U$73,MATCH($B277,'R&amp;B Inputs'!$H$4:$U$4,0))*(1+INDEX('R&amp;B Inputs'!$H$46:$U$46,MATCH($B277,'R&amp;B Inputs'!$H$4:$U$4,0)))^(BJ$7-Year1))</f>
        <v>4.271893828439878E-2</v>
      </c>
      <c r="BK278" s="508">
        <f>IF(BK$8=0,0,INDEX('R&amp;B Inputs'!$H$73:$U$73,MATCH($B277,'R&amp;B Inputs'!$H$4:$U$4,0))*(1+INDEX('R&amp;B Inputs'!$H$46:$U$46,MATCH($B277,'R&amp;B Inputs'!$H$4:$U$4,0)))^(BK$7-Year1))</f>
        <v>4.271893828439878E-2</v>
      </c>
      <c r="BL278" s="508">
        <f>IF(BL$8=0,0,INDEX('R&amp;B Inputs'!$H$73:$U$73,MATCH($B277,'R&amp;B Inputs'!$H$4:$U$4,0))*(1+INDEX('R&amp;B Inputs'!$H$46:$U$46,MATCH($B277,'R&amp;B Inputs'!$H$4:$U$4,0)))^(BL$7-Year1))</f>
        <v>4.271893828439878E-2</v>
      </c>
      <c r="BM278" s="508">
        <f>IF(BM$8=0,0,INDEX('R&amp;B Inputs'!$H$73:$U$73,MATCH($B277,'R&amp;B Inputs'!$H$4:$U$4,0))*(1+INDEX('R&amp;B Inputs'!$H$46:$U$46,MATCH($B277,'R&amp;B Inputs'!$H$4:$U$4,0)))^(BM$7-Year1))</f>
        <v>4.271893828439878E-2</v>
      </c>
      <c r="BN278" s="508"/>
      <c r="BO278" s="508"/>
      <c r="BP278" s="508">
        <f>IF($C$4=Year1,-PMT(Lookups!$E$17,25,NPV(Lookups!$E$17,AM278:BK278),0,1),IF($C$4=Year2,-PMT(Lookups!$F$17,25,NPV(Lookups!$F$17,AN278:BL278),0,1),IF($C$4=Year3,-PMT(Lookups!$G$17,25,NPV(Lookups!$G$17,AO278:BM278),0,1),-PMT(Lookups!$G$17,27,NPV(Lookups!$G$17,AM278:BM278),0,1))))</f>
        <v>4.2123148733507407E-2</v>
      </c>
      <c r="BS278" s="84" t="str">
        <f>E278&amp;" charge from the R&amp;B Inputs tab, escalated annually by the growth rate included on the R&amp;B Inputs tab."</f>
        <v>Customer Charge charge from the R&amp;B Inputs tab, escalated annually by the growth rate included on the R&amp;B Inputs tab.</v>
      </c>
      <c r="BT278" s="51" t="s">
        <v>17</v>
      </c>
    </row>
    <row r="279" spans="1:72" x14ac:dyDescent="0.25">
      <c r="B279" s="243" t="str">
        <f>B277</f>
        <v>Large C&amp;I</v>
      </c>
      <c r="C279" s="243" t="str">
        <f>C277</f>
        <v>Rates</v>
      </c>
      <c r="D279" s="244" t="str">
        <f>D277</f>
        <v>Rates before DSM (No EE Scenario)</v>
      </c>
      <c r="E279" s="84" t="s">
        <v>76</v>
      </c>
      <c r="F279" s="84" t="s">
        <v>182</v>
      </c>
      <c r="G279" s="506">
        <f>SUM(G275:G278)</f>
        <v>0</v>
      </c>
      <c r="H279" s="506">
        <f t="shared" ref="H279:AG279" si="296">SUM(H275:H278)</f>
        <v>0</v>
      </c>
      <c r="I279" s="506">
        <f t="shared" si="296"/>
        <v>0.78501893828439873</v>
      </c>
      <c r="J279" s="506">
        <f t="shared" si="296"/>
        <v>0.78501893828439873</v>
      </c>
      <c r="K279" s="506">
        <f t="shared" si="296"/>
        <v>0.78501893828439873</v>
      </c>
      <c r="L279" s="506">
        <f t="shared" si="296"/>
        <v>0.78501893828439873</v>
      </c>
      <c r="M279" s="506">
        <f t="shared" si="296"/>
        <v>0.78501893828439873</v>
      </c>
      <c r="N279" s="506">
        <f t="shared" si="296"/>
        <v>0.78501893828439873</v>
      </c>
      <c r="O279" s="506">
        <f t="shared" si="296"/>
        <v>0.78501893828439873</v>
      </c>
      <c r="P279" s="506">
        <f t="shared" si="296"/>
        <v>0.78501893828439873</v>
      </c>
      <c r="Q279" s="506">
        <f t="shared" si="296"/>
        <v>0.78501893828439873</v>
      </c>
      <c r="R279" s="506">
        <f t="shared" si="296"/>
        <v>0.78501893828439873</v>
      </c>
      <c r="S279" s="506">
        <f t="shared" si="296"/>
        <v>0.78501893828439873</v>
      </c>
      <c r="T279" s="506">
        <f t="shared" si="296"/>
        <v>0.78501893828439873</v>
      </c>
      <c r="U279" s="506">
        <f t="shared" si="296"/>
        <v>0.78501893828439873</v>
      </c>
      <c r="V279" s="506">
        <f t="shared" si="296"/>
        <v>0.78501893828439873</v>
      </c>
      <c r="W279" s="506">
        <f t="shared" si="296"/>
        <v>0.78501893828439873</v>
      </c>
      <c r="X279" s="506">
        <f t="shared" si="296"/>
        <v>0.78501893828439873</v>
      </c>
      <c r="Y279" s="506">
        <f t="shared" si="296"/>
        <v>0.78501893828439873</v>
      </c>
      <c r="Z279" s="506">
        <f t="shared" si="296"/>
        <v>0.78501893828439873</v>
      </c>
      <c r="AA279" s="506">
        <f t="shared" si="296"/>
        <v>0.78501893828439873</v>
      </c>
      <c r="AB279" s="506">
        <f t="shared" si="296"/>
        <v>0.78501893828439873</v>
      </c>
      <c r="AC279" s="506">
        <f t="shared" si="296"/>
        <v>0.78501893828439873</v>
      </c>
      <c r="AD279" s="506">
        <f t="shared" si="296"/>
        <v>0.78501893828439873</v>
      </c>
      <c r="AE279" s="506">
        <f t="shared" si="296"/>
        <v>0.78501893828439873</v>
      </c>
      <c r="AF279" s="506">
        <f t="shared" si="296"/>
        <v>0.78501893828439873</v>
      </c>
      <c r="AG279" s="506">
        <f t="shared" si="296"/>
        <v>0.78501893828439873</v>
      </c>
      <c r="AH279" s="506"/>
      <c r="AI279" s="506"/>
      <c r="AJ279" s="506">
        <f>IF($C$4=Year1,-PMT(Lookups!$E$17,25,NPV(Lookups!$E$17,G279:AE279),0,1),IF($C$4=Year2,-PMT(Lookups!$F$17,25,NPV(Lookups!$F$17,H279:AF279),0,1),IF($C$4=Year3,-PMT(Lookups!$G$17,25,NPV(Lookups!$G$17,I279:AG279),0,1),-PMT(Lookups!$G$17,27,NPV(Lookups!$G$17,G279:AG279),0,1))))</f>
        <v>0.77407049013786566</v>
      </c>
      <c r="AK279" s="507"/>
      <c r="AL279" s="507"/>
      <c r="AM279" s="508">
        <f>SUM(AM275:AM278)</f>
        <v>0</v>
      </c>
      <c r="AN279" s="508">
        <f t="shared" ref="AN279:BM279" si="297">SUM(AN275:AN278)</f>
        <v>0</v>
      </c>
      <c r="AO279" s="508">
        <f t="shared" si="297"/>
        <v>0.78501893828439873</v>
      </c>
      <c r="AP279" s="508">
        <f t="shared" si="297"/>
        <v>0.78501893828439873</v>
      </c>
      <c r="AQ279" s="508">
        <f t="shared" si="297"/>
        <v>0.78501893828439873</v>
      </c>
      <c r="AR279" s="508">
        <f t="shared" si="297"/>
        <v>0.78501893828439873</v>
      </c>
      <c r="AS279" s="508">
        <f t="shared" si="297"/>
        <v>0.78501893828439873</v>
      </c>
      <c r="AT279" s="508">
        <f t="shared" si="297"/>
        <v>0.78501893828439873</v>
      </c>
      <c r="AU279" s="508">
        <f t="shared" si="297"/>
        <v>0.78501893828439873</v>
      </c>
      <c r="AV279" s="508">
        <f t="shared" si="297"/>
        <v>0.78501893828439873</v>
      </c>
      <c r="AW279" s="508">
        <f t="shared" si="297"/>
        <v>0.78501893828439873</v>
      </c>
      <c r="AX279" s="508">
        <f t="shared" si="297"/>
        <v>0.78501893828439873</v>
      </c>
      <c r="AY279" s="508">
        <f t="shared" si="297"/>
        <v>0.78501893828439873</v>
      </c>
      <c r="AZ279" s="508">
        <f t="shared" si="297"/>
        <v>0.78501893828439873</v>
      </c>
      <c r="BA279" s="508">
        <f t="shared" si="297"/>
        <v>0.78501893828439873</v>
      </c>
      <c r="BB279" s="508">
        <f t="shared" si="297"/>
        <v>0.78501893828439873</v>
      </c>
      <c r="BC279" s="508">
        <f t="shared" si="297"/>
        <v>0.78501893828439873</v>
      </c>
      <c r="BD279" s="508">
        <f t="shared" si="297"/>
        <v>0.78501893828439873</v>
      </c>
      <c r="BE279" s="508">
        <f t="shared" si="297"/>
        <v>0.78501893828439873</v>
      </c>
      <c r="BF279" s="508">
        <f t="shared" si="297"/>
        <v>0.78501893828439873</v>
      </c>
      <c r="BG279" s="508">
        <f t="shared" si="297"/>
        <v>0.78501893828439873</v>
      </c>
      <c r="BH279" s="508">
        <f t="shared" si="297"/>
        <v>0.78501893828439873</v>
      </c>
      <c r="BI279" s="508">
        <f t="shared" si="297"/>
        <v>0.78501893828439873</v>
      </c>
      <c r="BJ279" s="508">
        <f t="shared" si="297"/>
        <v>0.78501893828439873</v>
      </c>
      <c r="BK279" s="508">
        <f t="shared" si="297"/>
        <v>0.78501893828439873</v>
      </c>
      <c r="BL279" s="508">
        <f t="shared" si="297"/>
        <v>0.78501893828439873</v>
      </c>
      <c r="BM279" s="508">
        <f t="shared" si="297"/>
        <v>0.78501893828439873</v>
      </c>
      <c r="BN279" s="508"/>
      <c r="BO279" s="508"/>
      <c r="BP279" s="508">
        <f>IF($C$4=Year1,-PMT(Lookups!$E$17,25,NPV(Lookups!$E$17,AM279:BK279),0,1),IF($C$4=Year2,-PMT(Lookups!$F$17,25,NPV(Lookups!$F$17,AN279:BL279),0,1),IF($C$4=Year3,-PMT(Lookups!$G$17,25,NPV(Lookups!$G$17,AO279:BM279),0,1),-PMT(Lookups!$G$17,27,NPV(Lookups!$G$17,AM279:BM279),0,1))))</f>
        <v>0.77407049013786566</v>
      </c>
      <c r="BS279" s="84" t="s">
        <v>94</v>
      </c>
      <c r="BT279" s="51" t="s">
        <v>17</v>
      </c>
    </row>
    <row r="280" spans="1:72" x14ac:dyDescent="0.25">
      <c r="B280" s="243" t="str">
        <f>B278</f>
        <v>Large C&amp;I</v>
      </c>
      <c r="C280" s="243" t="str">
        <f>C278</f>
        <v>Rates</v>
      </c>
      <c r="D280" s="114" t="s">
        <v>24</v>
      </c>
      <c r="E280" s="86"/>
      <c r="F280" s="8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89"/>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S280" s="84"/>
      <c r="BT280" s="51" t="s">
        <v>17</v>
      </c>
    </row>
    <row r="281" spans="1:72" x14ac:dyDescent="0.25">
      <c r="B281" s="243" t="str">
        <f t="shared" ref="B281:D282" si="298">B280</f>
        <v>Large C&amp;I</v>
      </c>
      <c r="C281" s="243" t="str">
        <f t="shared" si="298"/>
        <v>Rates</v>
      </c>
      <c r="D281" s="244" t="str">
        <f t="shared" si="298"/>
        <v>Avoided Costs</v>
      </c>
      <c r="E281" s="84" t="s">
        <v>45</v>
      </c>
      <c r="F281" s="84" t="s">
        <v>182</v>
      </c>
      <c r="G281" s="506">
        <f ca="1">IFERROR(-G262/G254,0)</f>
        <v>0</v>
      </c>
      <c r="H281" s="506">
        <f t="shared" ref="H281:AG281" ca="1" si="299">IFERROR(-H262/H254,0)</f>
        <v>0</v>
      </c>
      <c r="I281" s="506">
        <f t="shared" ca="1" si="299"/>
        <v>-6.7510398873383337E-2</v>
      </c>
      <c r="J281" s="506">
        <f t="shared" ca="1" si="299"/>
        <v>-6.7510398873383337E-2</v>
      </c>
      <c r="K281" s="506">
        <f t="shared" ca="1" si="299"/>
        <v>-6.7510398873383337E-2</v>
      </c>
      <c r="L281" s="506">
        <f t="shared" ca="1" si="299"/>
        <v>-6.7510398873383337E-2</v>
      </c>
      <c r="M281" s="506">
        <f t="shared" ca="1" si="299"/>
        <v>-6.7510398873383337E-2</v>
      </c>
      <c r="N281" s="506">
        <f t="shared" ca="1" si="299"/>
        <v>-6.7510398873383337E-2</v>
      </c>
      <c r="O281" s="506">
        <f t="shared" ca="1" si="299"/>
        <v>-6.7510398873383337E-2</v>
      </c>
      <c r="P281" s="506">
        <f t="shared" ca="1" si="299"/>
        <v>-6.7510398873383337E-2</v>
      </c>
      <c r="Q281" s="506">
        <f t="shared" ca="1" si="299"/>
        <v>-6.7510398873383337E-2</v>
      </c>
      <c r="R281" s="506">
        <f t="shared" ca="1" si="299"/>
        <v>-6.7510398873383337E-2</v>
      </c>
      <c r="S281" s="506">
        <f t="shared" ca="1" si="299"/>
        <v>-6.7510398873383337E-2</v>
      </c>
      <c r="T281" s="506">
        <f t="shared" ca="1" si="299"/>
        <v>-6.7510398873383337E-2</v>
      </c>
      <c r="U281" s="506">
        <f t="shared" ca="1" si="299"/>
        <v>-6.7510398873383337E-2</v>
      </c>
      <c r="V281" s="506">
        <f t="shared" ca="1" si="299"/>
        <v>0</v>
      </c>
      <c r="W281" s="506">
        <f t="shared" ca="1" si="299"/>
        <v>0</v>
      </c>
      <c r="X281" s="506">
        <f t="shared" ca="1" si="299"/>
        <v>0</v>
      </c>
      <c r="Y281" s="506">
        <f t="shared" ca="1" si="299"/>
        <v>0</v>
      </c>
      <c r="Z281" s="506">
        <f t="shared" ca="1" si="299"/>
        <v>0</v>
      </c>
      <c r="AA281" s="506">
        <f t="shared" ca="1" si="299"/>
        <v>0</v>
      </c>
      <c r="AB281" s="506">
        <f t="shared" ca="1" si="299"/>
        <v>0</v>
      </c>
      <c r="AC281" s="506">
        <f t="shared" ca="1" si="299"/>
        <v>0</v>
      </c>
      <c r="AD281" s="506">
        <f t="shared" ca="1" si="299"/>
        <v>0</v>
      </c>
      <c r="AE281" s="506">
        <f t="shared" ca="1" si="299"/>
        <v>0</v>
      </c>
      <c r="AF281" s="506">
        <f t="shared" ca="1" si="299"/>
        <v>0</v>
      </c>
      <c r="AG281" s="506">
        <f t="shared" ca="1" si="299"/>
        <v>0</v>
      </c>
      <c r="AH281" s="506"/>
      <c r="AI281" s="506"/>
      <c r="AJ281" s="506">
        <f ca="1">IF($C$4=Year1,-PMT(Lookups!$E$17,25,NPV(Lookups!$E$17,G281:AE281),0,1),IF($C$4=Year2,-PMT(Lookups!$F$17,25,NPV(Lookups!$F$17,H281:AF281),0,1),IF($C$4=Year3,-PMT(Lookups!$G$17,25,NPV(Lookups!$G$17,I281:AG281),0,1),-PMT(Lookups!$G$17,27,NPV(Lookups!$G$17,G281:AG281),0,1))))</f>
        <v>-3.751859346381925E-2</v>
      </c>
      <c r="AK281" s="507"/>
      <c r="AL281" s="507"/>
      <c r="AM281" s="508">
        <f ca="1">IFERROR(-AM262/AM254,0)</f>
        <v>0</v>
      </c>
      <c r="AN281" s="508">
        <f t="shared" ref="AN281:BM281" ca="1" si="300">IFERROR(-AN262/AN254,0)</f>
        <v>0</v>
      </c>
      <c r="AO281" s="508">
        <f t="shared" ca="1" si="300"/>
        <v>-7.8275260354534956E-2</v>
      </c>
      <c r="AP281" s="508">
        <f t="shared" ca="1" si="300"/>
        <v>-7.8275260354534956E-2</v>
      </c>
      <c r="AQ281" s="508">
        <f t="shared" ca="1" si="300"/>
        <v>-7.8275260354534956E-2</v>
      </c>
      <c r="AR281" s="508">
        <f t="shared" ca="1" si="300"/>
        <v>-7.8275260354534956E-2</v>
      </c>
      <c r="AS281" s="508">
        <f t="shared" ca="1" si="300"/>
        <v>-7.8275260354534956E-2</v>
      </c>
      <c r="AT281" s="508">
        <f t="shared" ca="1" si="300"/>
        <v>-7.8275260354534956E-2</v>
      </c>
      <c r="AU281" s="508">
        <f t="shared" ca="1" si="300"/>
        <v>-7.8275260354534956E-2</v>
      </c>
      <c r="AV281" s="508">
        <f t="shared" ca="1" si="300"/>
        <v>-7.8275260354534956E-2</v>
      </c>
      <c r="AW281" s="508">
        <f t="shared" ca="1" si="300"/>
        <v>-7.8275260354534956E-2</v>
      </c>
      <c r="AX281" s="508">
        <f t="shared" ca="1" si="300"/>
        <v>-7.8275260354534956E-2</v>
      </c>
      <c r="AY281" s="508">
        <f t="shared" ca="1" si="300"/>
        <v>-7.8275260354534956E-2</v>
      </c>
      <c r="AZ281" s="508">
        <f t="shared" ca="1" si="300"/>
        <v>-7.8275260354534956E-2</v>
      </c>
      <c r="BA281" s="508">
        <f t="shared" ca="1" si="300"/>
        <v>-7.8275260354534956E-2</v>
      </c>
      <c r="BB281" s="508">
        <f t="shared" ca="1" si="300"/>
        <v>0</v>
      </c>
      <c r="BC281" s="508">
        <f t="shared" ca="1" si="300"/>
        <v>0</v>
      </c>
      <c r="BD281" s="508">
        <f t="shared" ca="1" si="300"/>
        <v>0</v>
      </c>
      <c r="BE281" s="508">
        <f t="shared" ca="1" si="300"/>
        <v>0</v>
      </c>
      <c r="BF281" s="508">
        <f t="shared" ca="1" si="300"/>
        <v>0</v>
      </c>
      <c r="BG281" s="508">
        <f t="shared" ca="1" si="300"/>
        <v>0</v>
      </c>
      <c r="BH281" s="508">
        <f t="shared" ca="1" si="300"/>
        <v>0</v>
      </c>
      <c r="BI281" s="508">
        <f t="shared" ca="1" si="300"/>
        <v>0</v>
      </c>
      <c r="BJ281" s="508">
        <f t="shared" ca="1" si="300"/>
        <v>0</v>
      </c>
      <c r="BK281" s="508">
        <f t="shared" ca="1" si="300"/>
        <v>0</v>
      </c>
      <c r="BL281" s="508">
        <f t="shared" ca="1" si="300"/>
        <v>0</v>
      </c>
      <c r="BM281" s="508">
        <f t="shared" ca="1" si="300"/>
        <v>0</v>
      </c>
      <c r="BN281" s="508"/>
      <c r="BO281" s="508"/>
      <c r="BP281" s="508">
        <f ca="1">IF($C$4=Year1,-PMT(Lookups!$E$17,25,NPV(Lookups!$E$17,AM281:BK281),0,1),IF($C$4=Year2,-PMT(Lookups!$F$17,25,NPV(Lookups!$F$17,AN281:BL281),0,1),IF($C$4=Year3,-PMT(Lookups!$G$17,25,NPV(Lookups!$G$17,AO281:BM281),0,1),-PMT(Lookups!$G$17,27,NPV(Lookups!$G$17,AM281:BM281),0,1))))</f>
        <v>-4.3501115687738283E-2</v>
      </c>
      <c r="BS281" s="84" t="str">
        <f t="shared" ref="BS281:BS283" si="301">"Avoided "&amp;E281&amp;" avoided costs divided by After Scenario sales."</f>
        <v>Avoided Gas avoided costs divided by After Scenario sales.</v>
      </c>
      <c r="BT281" s="51" t="s">
        <v>17</v>
      </c>
    </row>
    <row r="282" spans="1:72" x14ac:dyDescent="0.25">
      <c r="B282" s="243" t="str">
        <f t="shared" si="298"/>
        <v>Large C&amp;I</v>
      </c>
      <c r="C282" s="243" t="str">
        <f t="shared" si="298"/>
        <v>Rates</v>
      </c>
      <c r="D282" s="244" t="str">
        <f t="shared" si="298"/>
        <v>Avoided Costs</v>
      </c>
      <c r="E282" s="86" t="s">
        <v>412</v>
      </c>
      <c r="F282" s="84" t="s">
        <v>182</v>
      </c>
      <c r="G282" s="506">
        <f ca="1">IFERROR(-G263/G254,0)</f>
        <v>0</v>
      </c>
      <c r="H282" s="506">
        <f t="shared" ref="H282:AG282" ca="1" si="302">IFERROR(-H263/H254,0)</f>
        <v>0</v>
      </c>
      <c r="I282" s="506">
        <f t="shared" ca="1" si="302"/>
        <v>-4.3091743961734047E-3</v>
      </c>
      <c r="J282" s="506">
        <f t="shared" ca="1" si="302"/>
        <v>-4.3091743961734047E-3</v>
      </c>
      <c r="K282" s="506">
        <f t="shared" ca="1" si="302"/>
        <v>-4.3091743961734047E-3</v>
      </c>
      <c r="L282" s="506">
        <f t="shared" ca="1" si="302"/>
        <v>-4.3091743961734047E-3</v>
      </c>
      <c r="M282" s="506">
        <f t="shared" ca="1" si="302"/>
        <v>-4.3091743961734047E-3</v>
      </c>
      <c r="N282" s="506">
        <f t="shared" ca="1" si="302"/>
        <v>-4.3091743961734047E-3</v>
      </c>
      <c r="O282" s="506">
        <f t="shared" ca="1" si="302"/>
        <v>-4.3091743961734047E-3</v>
      </c>
      <c r="P282" s="506">
        <f t="shared" ca="1" si="302"/>
        <v>-4.3091743961734047E-3</v>
      </c>
      <c r="Q282" s="506">
        <f t="shared" ca="1" si="302"/>
        <v>-4.3091743961734047E-3</v>
      </c>
      <c r="R282" s="506">
        <f t="shared" ca="1" si="302"/>
        <v>-4.3091743961734047E-3</v>
      </c>
      <c r="S282" s="506">
        <f t="shared" ca="1" si="302"/>
        <v>-4.3091743961734047E-3</v>
      </c>
      <c r="T282" s="506">
        <f t="shared" ca="1" si="302"/>
        <v>-4.3091743961734047E-3</v>
      </c>
      <c r="U282" s="506">
        <f t="shared" ca="1" si="302"/>
        <v>-4.3091743961734047E-3</v>
      </c>
      <c r="V282" s="506">
        <f t="shared" ca="1" si="302"/>
        <v>0</v>
      </c>
      <c r="W282" s="506">
        <f t="shared" ca="1" si="302"/>
        <v>0</v>
      </c>
      <c r="X282" s="506">
        <f t="shared" ca="1" si="302"/>
        <v>0</v>
      </c>
      <c r="Y282" s="506">
        <f t="shared" ca="1" si="302"/>
        <v>0</v>
      </c>
      <c r="Z282" s="506">
        <f t="shared" ca="1" si="302"/>
        <v>0</v>
      </c>
      <c r="AA282" s="506">
        <f t="shared" ca="1" si="302"/>
        <v>0</v>
      </c>
      <c r="AB282" s="506">
        <f t="shared" ca="1" si="302"/>
        <v>0</v>
      </c>
      <c r="AC282" s="506">
        <f t="shared" ca="1" si="302"/>
        <v>0</v>
      </c>
      <c r="AD282" s="506">
        <f t="shared" ca="1" si="302"/>
        <v>0</v>
      </c>
      <c r="AE282" s="506">
        <f t="shared" ca="1" si="302"/>
        <v>0</v>
      </c>
      <c r="AF282" s="506">
        <f t="shared" ca="1" si="302"/>
        <v>0</v>
      </c>
      <c r="AG282" s="506">
        <f t="shared" ca="1" si="302"/>
        <v>0</v>
      </c>
      <c r="AH282" s="506"/>
      <c r="AI282" s="506"/>
      <c r="AJ282" s="506">
        <f ca="1">IF($C$4=Year1,-PMT(Lookups!$E$17,25,NPV(Lookups!$E$17,G282:AE282),0,1),IF($C$4=Year2,-PMT(Lookups!$F$17,25,NPV(Lookups!$F$17,H282:AF282),0,1),IF($C$4=Year3,-PMT(Lookups!$G$17,25,NPV(Lookups!$G$17,I282:AG282),0,1),-PMT(Lookups!$G$17,27,NPV(Lookups!$G$17,G282:AG282),0,1))))</f>
        <v>-2.3948038381161225E-3</v>
      </c>
      <c r="AK282" s="507"/>
      <c r="AL282" s="507"/>
      <c r="AM282" s="508">
        <f ca="1">IFERROR(-AM263/AM254,0)</f>
        <v>0</v>
      </c>
      <c r="AN282" s="508">
        <f t="shared" ref="AN282:BM282" ca="1" si="303">IFERROR(-AN263/AN254,0)</f>
        <v>0</v>
      </c>
      <c r="AO282" s="508">
        <f t="shared" ca="1" si="303"/>
        <v>-4.9962932141192516E-3</v>
      </c>
      <c r="AP282" s="508">
        <f t="shared" ca="1" si="303"/>
        <v>-4.9962932141192516E-3</v>
      </c>
      <c r="AQ282" s="508">
        <f t="shared" ca="1" si="303"/>
        <v>-4.9962932141192516E-3</v>
      </c>
      <c r="AR282" s="508">
        <f t="shared" ca="1" si="303"/>
        <v>-4.9962932141192516E-3</v>
      </c>
      <c r="AS282" s="508">
        <f t="shared" ca="1" si="303"/>
        <v>-4.9962932141192516E-3</v>
      </c>
      <c r="AT282" s="508">
        <f t="shared" ca="1" si="303"/>
        <v>-4.9962932141192516E-3</v>
      </c>
      <c r="AU282" s="508">
        <f t="shared" ca="1" si="303"/>
        <v>-4.9962932141192516E-3</v>
      </c>
      <c r="AV282" s="508">
        <f t="shared" ca="1" si="303"/>
        <v>-4.9962932141192516E-3</v>
      </c>
      <c r="AW282" s="508">
        <f t="shared" ca="1" si="303"/>
        <v>-4.9962932141192516E-3</v>
      </c>
      <c r="AX282" s="508">
        <f t="shared" ca="1" si="303"/>
        <v>-4.9962932141192516E-3</v>
      </c>
      <c r="AY282" s="508">
        <f t="shared" ca="1" si="303"/>
        <v>-4.9962932141192516E-3</v>
      </c>
      <c r="AZ282" s="508">
        <f t="shared" ca="1" si="303"/>
        <v>-4.9962932141192516E-3</v>
      </c>
      <c r="BA282" s="508">
        <f t="shared" ca="1" si="303"/>
        <v>-4.9962932141192516E-3</v>
      </c>
      <c r="BB282" s="508">
        <f t="shared" ca="1" si="303"/>
        <v>0</v>
      </c>
      <c r="BC282" s="508">
        <f t="shared" ca="1" si="303"/>
        <v>0</v>
      </c>
      <c r="BD282" s="508">
        <f t="shared" ca="1" si="303"/>
        <v>0</v>
      </c>
      <c r="BE282" s="508">
        <f t="shared" ca="1" si="303"/>
        <v>0</v>
      </c>
      <c r="BF282" s="508">
        <f t="shared" ca="1" si="303"/>
        <v>0</v>
      </c>
      <c r="BG282" s="508">
        <f t="shared" ca="1" si="303"/>
        <v>0</v>
      </c>
      <c r="BH282" s="508">
        <f t="shared" ca="1" si="303"/>
        <v>0</v>
      </c>
      <c r="BI282" s="508">
        <f t="shared" ca="1" si="303"/>
        <v>0</v>
      </c>
      <c r="BJ282" s="508">
        <f t="shared" ca="1" si="303"/>
        <v>0</v>
      </c>
      <c r="BK282" s="508">
        <f t="shared" ca="1" si="303"/>
        <v>0</v>
      </c>
      <c r="BL282" s="508">
        <f t="shared" ca="1" si="303"/>
        <v>0</v>
      </c>
      <c r="BM282" s="508">
        <f t="shared" ca="1" si="303"/>
        <v>0</v>
      </c>
      <c r="BN282" s="508"/>
      <c r="BO282" s="508"/>
      <c r="BP282" s="508">
        <f ca="1">IF($C$4=Year1,-PMT(Lookups!$E$17,25,NPV(Lookups!$E$17,AM282:BK282),0,1),IF($C$4=Year2,-PMT(Lookups!$F$17,25,NPV(Lookups!$F$17,AN282:BL282),0,1),IF($C$4=Year3,-PMT(Lookups!$G$17,25,NPV(Lookups!$G$17,AO282:BM282),0,1),-PMT(Lookups!$G$17,27,NPV(Lookups!$G$17,AM282:BM282),0,1))))</f>
        <v>-2.7766669587918047E-3</v>
      </c>
      <c r="BS282" s="84" t="str">
        <f t="shared" si="301"/>
        <v>Avoided Gas, Retail Margin avoided costs divided by After Scenario sales.</v>
      </c>
      <c r="BT282" s="51"/>
    </row>
    <row r="283" spans="1:72" x14ac:dyDescent="0.25">
      <c r="B283" s="243" t="str">
        <f t="shared" ref="B283:D283" si="304">B281</f>
        <v>Large C&amp;I</v>
      </c>
      <c r="C283" s="243" t="str">
        <f t="shared" si="304"/>
        <v>Rates</v>
      </c>
      <c r="D283" s="244" t="str">
        <f t="shared" si="304"/>
        <v>Avoided Costs</v>
      </c>
      <c r="E283" s="86" t="s">
        <v>175</v>
      </c>
      <c r="F283" s="84" t="s">
        <v>182</v>
      </c>
      <c r="G283" s="506">
        <f ca="1">IFERROR(-G264/G254,0)</f>
        <v>0</v>
      </c>
      <c r="H283" s="506">
        <f t="shared" ref="H283:AG283" ca="1" si="305">IFERROR(-H264/H254,0)</f>
        <v>0</v>
      </c>
      <c r="I283" s="506">
        <f t="shared" ca="1" si="305"/>
        <v>-3.4137849168384294E-3</v>
      </c>
      <c r="J283" s="506">
        <f t="shared" ca="1" si="305"/>
        <v>-3.4137849168384294E-3</v>
      </c>
      <c r="K283" s="506">
        <f t="shared" ca="1" si="305"/>
        <v>-3.4137849168384294E-3</v>
      </c>
      <c r="L283" s="506">
        <f t="shared" ca="1" si="305"/>
        <v>-3.4137849168384294E-3</v>
      </c>
      <c r="M283" s="506">
        <f t="shared" ca="1" si="305"/>
        <v>-3.4137849168384294E-3</v>
      </c>
      <c r="N283" s="506">
        <f t="shared" ca="1" si="305"/>
        <v>-3.4137849168384294E-3</v>
      </c>
      <c r="O283" s="506">
        <f t="shared" ca="1" si="305"/>
        <v>-3.4137849168384294E-3</v>
      </c>
      <c r="P283" s="506">
        <f t="shared" ca="1" si="305"/>
        <v>-3.4137849168384294E-3</v>
      </c>
      <c r="Q283" s="506">
        <f t="shared" ca="1" si="305"/>
        <v>-3.4137849168384294E-3</v>
      </c>
      <c r="R283" s="506">
        <f t="shared" ca="1" si="305"/>
        <v>-3.4137849168384294E-3</v>
      </c>
      <c r="S283" s="506">
        <f t="shared" ca="1" si="305"/>
        <v>-3.4137849168384294E-3</v>
      </c>
      <c r="T283" s="506">
        <f t="shared" ca="1" si="305"/>
        <v>-3.4137849168384294E-3</v>
      </c>
      <c r="U283" s="506">
        <f t="shared" ca="1" si="305"/>
        <v>-3.4137849168384294E-3</v>
      </c>
      <c r="V283" s="506">
        <f t="shared" ca="1" si="305"/>
        <v>0</v>
      </c>
      <c r="W283" s="506">
        <f t="shared" ca="1" si="305"/>
        <v>0</v>
      </c>
      <c r="X283" s="506">
        <f t="shared" ca="1" si="305"/>
        <v>0</v>
      </c>
      <c r="Y283" s="506">
        <f t="shared" ca="1" si="305"/>
        <v>0</v>
      </c>
      <c r="Z283" s="506">
        <f t="shared" ca="1" si="305"/>
        <v>0</v>
      </c>
      <c r="AA283" s="506">
        <f t="shared" ca="1" si="305"/>
        <v>0</v>
      </c>
      <c r="AB283" s="506">
        <f t="shared" ca="1" si="305"/>
        <v>0</v>
      </c>
      <c r="AC283" s="506">
        <f t="shared" ca="1" si="305"/>
        <v>0</v>
      </c>
      <c r="AD283" s="506">
        <f t="shared" ca="1" si="305"/>
        <v>0</v>
      </c>
      <c r="AE283" s="506">
        <f t="shared" ca="1" si="305"/>
        <v>0</v>
      </c>
      <c r="AF283" s="506">
        <f t="shared" ca="1" si="305"/>
        <v>0</v>
      </c>
      <c r="AG283" s="506">
        <f t="shared" ca="1" si="305"/>
        <v>0</v>
      </c>
      <c r="AH283" s="506"/>
      <c r="AI283" s="506"/>
      <c r="AJ283" s="506">
        <f ca="1">IF($C$4=Year1,-PMT(Lookups!$E$17,25,NPV(Lookups!$E$17,G283:AE283),0,1),IF($C$4=Year2,-PMT(Lookups!$F$17,25,NPV(Lookups!$F$17,H283:AF283),0,1),IF($C$4=Year3,-PMT(Lookups!$G$17,25,NPV(Lookups!$G$17,I283:AG283),0,1),-PMT(Lookups!$G$17,27,NPV(Lookups!$G$17,G283:AG283),0,1))))</f>
        <v>-1.8971952559189514E-3</v>
      </c>
      <c r="AK283" s="507"/>
      <c r="AL283" s="507"/>
      <c r="AM283" s="508">
        <f ca="1">IFERROR(-AM264/AM254,0)</f>
        <v>0</v>
      </c>
      <c r="AN283" s="508">
        <f t="shared" ref="AN283:BM283" ca="1" si="306">IFERROR(-AN264/AN254,0)</f>
        <v>0</v>
      </c>
      <c r="AO283" s="508">
        <f t="shared" ca="1" si="306"/>
        <v>-3.9581295269944658E-3</v>
      </c>
      <c r="AP283" s="508">
        <f t="shared" ca="1" si="306"/>
        <v>-3.9581295269944658E-3</v>
      </c>
      <c r="AQ283" s="508">
        <f t="shared" ca="1" si="306"/>
        <v>-3.9581295269944658E-3</v>
      </c>
      <c r="AR283" s="508">
        <f t="shared" ca="1" si="306"/>
        <v>-3.9581295269944658E-3</v>
      </c>
      <c r="AS283" s="508">
        <f t="shared" ca="1" si="306"/>
        <v>-3.9581295269944658E-3</v>
      </c>
      <c r="AT283" s="508">
        <f t="shared" ca="1" si="306"/>
        <v>-3.9581295269944658E-3</v>
      </c>
      <c r="AU283" s="508">
        <f t="shared" ca="1" si="306"/>
        <v>-3.9581295269944658E-3</v>
      </c>
      <c r="AV283" s="508">
        <f t="shared" ca="1" si="306"/>
        <v>-3.9581295269944658E-3</v>
      </c>
      <c r="AW283" s="508">
        <f t="shared" ca="1" si="306"/>
        <v>-3.9581295269944658E-3</v>
      </c>
      <c r="AX283" s="508">
        <f t="shared" ca="1" si="306"/>
        <v>-3.9581295269944658E-3</v>
      </c>
      <c r="AY283" s="508">
        <f t="shared" ca="1" si="306"/>
        <v>-3.9581295269944658E-3</v>
      </c>
      <c r="AZ283" s="508">
        <f t="shared" ca="1" si="306"/>
        <v>-3.9581295269944658E-3</v>
      </c>
      <c r="BA283" s="508">
        <f t="shared" ca="1" si="306"/>
        <v>-3.9581295269944658E-3</v>
      </c>
      <c r="BB283" s="508">
        <f t="shared" ca="1" si="306"/>
        <v>0</v>
      </c>
      <c r="BC283" s="508">
        <f t="shared" ca="1" si="306"/>
        <v>0</v>
      </c>
      <c r="BD283" s="508">
        <f t="shared" ca="1" si="306"/>
        <v>0</v>
      </c>
      <c r="BE283" s="508">
        <f t="shared" ca="1" si="306"/>
        <v>0</v>
      </c>
      <c r="BF283" s="508">
        <f t="shared" ca="1" si="306"/>
        <v>0</v>
      </c>
      <c r="BG283" s="508">
        <f t="shared" ca="1" si="306"/>
        <v>0</v>
      </c>
      <c r="BH283" s="508">
        <f t="shared" ca="1" si="306"/>
        <v>0</v>
      </c>
      <c r="BI283" s="508">
        <f t="shared" ca="1" si="306"/>
        <v>0</v>
      </c>
      <c r="BJ283" s="508">
        <f t="shared" ca="1" si="306"/>
        <v>0</v>
      </c>
      <c r="BK283" s="508">
        <f t="shared" ca="1" si="306"/>
        <v>0</v>
      </c>
      <c r="BL283" s="508">
        <f t="shared" ca="1" si="306"/>
        <v>0</v>
      </c>
      <c r="BM283" s="508">
        <f t="shared" ca="1" si="306"/>
        <v>0</v>
      </c>
      <c r="BN283" s="508"/>
      <c r="BO283" s="508"/>
      <c r="BP283" s="508">
        <f ca="1">IF($C$4=Year1,-PMT(Lookups!$E$17,25,NPV(Lookups!$E$17,AM283:BK283),0,1),IF($C$4=Year2,-PMT(Lookups!$F$17,25,NPV(Lookups!$F$17,AN283:BL283),0,1),IF($C$4=Year3,-PMT(Lookups!$G$17,25,NPV(Lookups!$G$17,AO283:BM283),0,1),-PMT(Lookups!$G$17,27,NPV(Lookups!$G$17,AM283:BM283),0,1))))</f>
        <v>-2.1997122677198922E-3</v>
      </c>
      <c r="BS283" s="84" t="str">
        <f t="shared" si="301"/>
        <v>Avoided Gas DRIPE avoided costs divided by After Scenario sales.</v>
      </c>
      <c r="BT283" s="51" t="s">
        <v>17</v>
      </c>
    </row>
    <row r="284" spans="1:72" x14ac:dyDescent="0.25">
      <c r="B284" s="243" t="str">
        <f t="shared" ref="B284:D292" si="307">B283</f>
        <v>Large C&amp;I</v>
      </c>
      <c r="C284" s="243" t="str">
        <f t="shared" si="307"/>
        <v>Rates</v>
      </c>
      <c r="D284" s="244" t="str">
        <f t="shared" si="307"/>
        <v>Avoided Costs</v>
      </c>
      <c r="E284" s="86" t="s">
        <v>76</v>
      </c>
      <c r="F284" s="84" t="s">
        <v>182</v>
      </c>
      <c r="G284" s="506">
        <f ca="1">SUM(G281:G283)</f>
        <v>0</v>
      </c>
      <c r="H284" s="506">
        <f t="shared" ref="H284:AG284" ca="1" si="308">SUM(H281:H283)</f>
        <v>0</v>
      </c>
      <c r="I284" s="506">
        <f t="shared" ca="1" si="308"/>
        <v>-7.5233358186395163E-2</v>
      </c>
      <c r="J284" s="506">
        <f t="shared" ca="1" si="308"/>
        <v>-7.5233358186395163E-2</v>
      </c>
      <c r="K284" s="506">
        <f t="shared" ca="1" si="308"/>
        <v>-7.5233358186395163E-2</v>
      </c>
      <c r="L284" s="506">
        <f t="shared" ca="1" si="308"/>
        <v>-7.5233358186395163E-2</v>
      </c>
      <c r="M284" s="506">
        <f t="shared" ca="1" si="308"/>
        <v>-7.5233358186395163E-2</v>
      </c>
      <c r="N284" s="506">
        <f t="shared" ca="1" si="308"/>
        <v>-7.5233358186395163E-2</v>
      </c>
      <c r="O284" s="506">
        <f t="shared" ca="1" si="308"/>
        <v>-7.5233358186395163E-2</v>
      </c>
      <c r="P284" s="506">
        <f t="shared" ca="1" si="308"/>
        <v>-7.5233358186395163E-2</v>
      </c>
      <c r="Q284" s="506">
        <f t="shared" ca="1" si="308"/>
        <v>-7.5233358186395163E-2</v>
      </c>
      <c r="R284" s="506">
        <f t="shared" ca="1" si="308"/>
        <v>-7.5233358186395163E-2</v>
      </c>
      <c r="S284" s="506">
        <f t="shared" ca="1" si="308"/>
        <v>-7.5233358186395163E-2</v>
      </c>
      <c r="T284" s="506">
        <f t="shared" ca="1" si="308"/>
        <v>-7.5233358186395163E-2</v>
      </c>
      <c r="U284" s="506">
        <f t="shared" ca="1" si="308"/>
        <v>-7.5233358186395163E-2</v>
      </c>
      <c r="V284" s="506">
        <f t="shared" ca="1" si="308"/>
        <v>0</v>
      </c>
      <c r="W284" s="506">
        <f t="shared" ca="1" si="308"/>
        <v>0</v>
      </c>
      <c r="X284" s="506">
        <f t="shared" ca="1" si="308"/>
        <v>0</v>
      </c>
      <c r="Y284" s="506">
        <f t="shared" ca="1" si="308"/>
        <v>0</v>
      </c>
      <c r="Z284" s="506">
        <f t="shared" ca="1" si="308"/>
        <v>0</v>
      </c>
      <c r="AA284" s="506">
        <f t="shared" ca="1" si="308"/>
        <v>0</v>
      </c>
      <c r="AB284" s="506">
        <f t="shared" ca="1" si="308"/>
        <v>0</v>
      </c>
      <c r="AC284" s="506">
        <f t="shared" ca="1" si="308"/>
        <v>0</v>
      </c>
      <c r="AD284" s="506">
        <f t="shared" ca="1" si="308"/>
        <v>0</v>
      </c>
      <c r="AE284" s="506">
        <f t="shared" ca="1" si="308"/>
        <v>0</v>
      </c>
      <c r="AF284" s="506">
        <f t="shared" ca="1" si="308"/>
        <v>0</v>
      </c>
      <c r="AG284" s="506">
        <f t="shared" ca="1" si="308"/>
        <v>0</v>
      </c>
      <c r="AH284" s="506"/>
      <c r="AI284" s="506"/>
      <c r="AJ284" s="506">
        <f ca="1">IF($C$4=Year1,-PMT(Lookups!$E$17,25,NPV(Lookups!$E$17,G284:AE284),0,1),IF($C$4=Year2,-PMT(Lookups!$F$17,25,NPV(Lookups!$F$17,H284:AF284),0,1),IF($C$4=Year3,-PMT(Lookups!$G$17,25,NPV(Lookups!$G$17,I284:AG284),0,1),-PMT(Lookups!$G$17,27,NPV(Lookups!$G$17,G284:AG284),0,1))))</f>
        <v>-4.1810592557854312E-2</v>
      </c>
      <c r="AK284" s="507"/>
      <c r="AL284" s="507"/>
      <c r="AM284" s="508">
        <f ca="1">SUM(AM281:AM283)</f>
        <v>0</v>
      </c>
      <c r="AN284" s="508">
        <f t="shared" ref="AN284:BM284" ca="1" si="309">SUM(AN281:AN283)</f>
        <v>0</v>
      </c>
      <c r="AO284" s="508">
        <f t="shared" ca="1" si="309"/>
        <v>-8.7229683095648672E-2</v>
      </c>
      <c r="AP284" s="508">
        <f t="shared" ca="1" si="309"/>
        <v>-8.7229683095648672E-2</v>
      </c>
      <c r="AQ284" s="508">
        <f t="shared" ca="1" si="309"/>
        <v>-8.7229683095648672E-2</v>
      </c>
      <c r="AR284" s="508">
        <f t="shared" ca="1" si="309"/>
        <v>-8.7229683095648672E-2</v>
      </c>
      <c r="AS284" s="508">
        <f t="shared" ca="1" si="309"/>
        <v>-8.7229683095648672E-2</v>
      </c>
      <c r="AT284" s="508">
        <f t="shared" ca="1" si="309"/>
        <v>-8.7229683095648672E-2</v>
      </c>
      <c r="AU284" s="508">
        <f t="shared" ca="1" si="309"/>
        <v>-8.7229683095648672E-2</v>
      </c>
      <c r="AV284" s="508">
        <f t="shared" ca="1" si="309"/>
        <v>-8.7229683095648672E-2</v>
      </c>
      <c r="AW284" s="508">
        <f t="shared" ca="1" si="309"/>
        <v>-8.7229683095648672E-2</v>
      </c>
      <c r="AX284" s="508">
        <f t="shared" ca="1" si="309"/>
        <v>-8.7229683095648672E-2</v>
      </c>
      <c r="AY284" s="508">
        <f t="shared" ca="1" si="309"/>
        <v>-8.7229683095648672E-2</v>
      </c>
      <c r="AZ284" s="508">
        <f t="shared" ca="1" si="309"/>
        <v>-8.7229683095648672E-2</v>
      </c>
      <c r="BA284" s="508">
        <f t="shared" ca="1" si="309"/>
        <v>-8.7229683095648672E-2</v>
      </c>
      <c r="BB284" s="508">
        <f t="shared" ca="1" si="309"/>
        <v>0</v>
      </c>
      <c r="BC284" s="508">
        <f t="shared" ca="1" si="309"/>
        <v>0</v>
      </c>
      <c r="BD284" s="508">
        <f t="shared" ca="1" si="309"/>
        <v>0</v>
      </c>
      <c r="BE284" s="508">
        <f t="shared" ca="1" si="309"/>
        <v>0</v>
      </c>
      <c r="BF284" s="508">
        <f t="shared" ca="1" si="309"/>
        <v>0</v>
      </c>
      <c r="BG284" s="508">
        <f t="shared" ca="1" si="309"/>
        <v>0</v>
      </c>
      <c r="BH284" s="508">
        <f t="shared" ca="1" si="309"/>
        <v>0</v>
      </c>
      <c r="BI284" s="508">
        <f t="shared" ca="1" si="309"/>
        <v>0</v>
      </c>
      <c r="BJ284" s="508">
        <f t="shared" ca="1" si="309"/>
        <v>0</v>
      </c>
      <c r="BK284" s="508">
        <f t="shared" ca="1" si="309"/>
        <v>0</v>
      </c>
      <c r="BL284" s="508">
        <f t="shared" ca="1" si="309"/>
        <v>0</v>
      </c>
      <c r="BM284" s="508">
        <f t="shared" ca="1" si="309"/>
        <v>0</v>
      </c>
      <c r="BN284" s="508"/>
      <c r="BO284" s="508"/>
      <c r="BP284" s="508">
        <f ca="1">IF($C$4=Year1,-PMT(Lookups!$E$17,25,NPV(Lookups!$E$17,AM284:BK284),0,1),IF($C$4=Year2,-PMT(Lookups!$F$17,25,NPV(Lookups!$F$17,AN284:BL284),0,1),IF($C$4=Year3,-PMT(Lookups!$G$17,25,NPV(Lookups!$G$17,AO284:BM284),0,1),-PMT(Lookups!$G$17,27,NPV(Lookups!$G$17,AM284:BM284),0,1))))</f>
        <v>-4.8477494914249963E-2</v>
      </c>
      <c r="BS284" s="84" t="s">
        <v>232</v>
      </c>
      <c r="BT284" s="51" t="s">
        <v>17</v>
      </c>
    </row>
    <row r="285" spans="1:72" x14ac:dyDescent="0.25">
      <c r="B285" s="243" t="str">
        <f t="shared" si="307"/>
        <v>Large C&amp;I</v>
      </c>
      <c r="C285" s="243" t="str">
        <f t="shared" si="307"/>
        <v>Rates</v>
      </c>
      <c r="D285" s="114" t="s">
        <v>165</v>
      </c>
      <c r="E285" s="86"/>
      <c r="F285" s="86"/>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S285" s="84"/>
      <c r="BT285" s="51" t="s">
        <v>17</v>
      </c>
    </row>
    <row r="286" spans="1:72" x14ac:dyDescent="0.25">
      <c r="A286" s="246"/>
      <c r="B286" s="243" t="str">
        <f t="shared" si="307"/>
        <v>Large C&amp;I</v>
      </c>
      <c r="C286" s="243" t="str">
        <f t="shared" si="307"/>
        <v>Rates</v>
      </c>
      <c r="D286" s="244" t="str">
        <f t="shared" si="307"/>
        <v>Increased Costs and Cost Shifting</v>
      </c>
      <c r="E286" s="84" t="s">
        <v>406</v>
      </c>
      <c r="F286" s="84" t="s">
        <v>182</v>
      </c>
      <c r="G286" s="509">
        <f ca="1">IF($C$4=Lookups!$D$40,SUM(INDIRECT("'Yr1'!"&amp;ADDRESS(ROW(G286),COLUMN(G286))),INDIRECT("'Yr2'!"&amp;ADDRESS(ROW(G286),COLUMN(G286))),INDIRECT("'Yr3'!"&amp;ADDRESS(ROW(G286),COLUMN(G286)))),
IF($C$4=G$7,SUMIFS('EE Inputs'!$L$9:$L$32,'EE Inputs'!$C$9:$C$32,$G$6,'EE Inputs'!$D$9:$D$32,$C$4,'EE Inputs'!$E$9:$E$32,$B286),0))</f>
        <v>0</v>
      </c>
      <c r="H286" s="509">
        <f ca="1">IF($C$4=Lookups!$D$40,SUM(INDIRECT("'Yr1'!"&amp;ADDRESS(ROW(H286),COLUMN(H286))),INDIRECT("'Yr2'!"&amp;ADDRESS(ROW(H286),COLUMN(H286))),INDIRECT("'Yr3'!"&amp;ADDRESS(ROW(H286),COLUMN(H286)))),
IF($C$4=H$7,SUMIFS('EE Inputs'!$L$9:$L$32,'EE Inputs'!$C$9:$C$32,$G$6,'EE Inputs'!$D$9:$D$32,$C$4,'EE Inputs'!$E$9:$E$32,$B286),0))</f>
        <v>0</v>
      </c>
      <c r="I286" s="509">
        <f ca="1">IF($C$4=Lookups!$D$40,SUM(INDIRECT("'Yr1'!"&amp;ADDRESS(ROW(I286),COLUMN(I286))),INDIRECT("'Yr2'!"&amp;ADDRESS(ROW(I286),COLUMN(I286))),INDIRECT("'Yr3'!"&amp;ADDRESS(ROW(I286),COLUMN(I286)))),
IF($C$4=I$7,SUMIFS('EE Inputs'!$L$9:$L$32,'EE Inputs'!$C$9:$C$32,$G$6,'EE Inputs'!$D$9:$D$32,$C$4,'EE Inputs'!$E$9:$E$32,$B286),0))</f>
        <v>0.15875101082198512</v>
      </c>
      <c r="J286" s="509">
        <f ca="1">IF($C$4=Lookups!$D$40,SUM(INDIRECT("'Yr1'!"&amp;ADDRESS(ROW(J286),COLUMN(J286))),INDIRECT("'Yr2'!"&amp;ADDRESS(ROW(J286),COLUMN(J286))),INDIRECT("'Yr3'!"&amp;ADDRESS(ROW(J286),COLUMN(J286)))),
IF($C$4=J$7,SUMIFS('EE Inputs'!$L$9:$L$32,'EE Inputs'!$C$9:$C$32,$G$6,'EE Inputs'!$D$9:$D$32,$C$4,'EE Inputs'!$E$9:$E$32,$B286),0))</f>
        <v>0</v>
      </c>
      <c r="K286" s="509">
        <f ca="1">IF($C$4=Lookups!$D$40,SUM(INDIRECT("'Yr1'!"&amp;ADDRESS(ROW(K286),COLUMN(K286))),INDIRECT("'Yr2'!"&amp;ADDRESS(ROW(K286),COLUMN(K286))),INDIRECT("'Yr3'!"&amp;ADDRESS(ROW(K286),COLUMN(K286)))),
IF($C$4=K$7,SUMIFS('EE Inputs'!$L$9:$L$32,'EE Inputs'!$C$9:$C$32,$G$6,'EE Inputs'!$D$9:$D$32,$C$4,'EE Inputs'!$E$9:$E$32,$B286),0))</f>
        <v>0</v>
      </c>
      <c r="L286" s="509">
        <f ca="1">IF($C$4=Lookups!$D$40,SUM(INDIRECT("'Yr1'!"&amp;ADDRESS(ROW(L286),COLUMN(L286))),INDIRECT("'Yr2'!"&amp;ADDRESS(ROW(L286),COLUMN(L286))),INDIRECT("'Yr3'!"&amp;ADDRESS(ROW(L286),COLUMN(L286)))),
IF($C$4=L$7,SUMIFS('EE Inputs'!$L$9:$L$32,'EE Inputs'!$C$9:$C$32,$G$6,'EE Inputs'!$D$9:$D$32,$C$4,'EE Inputs'!$E$9:$E$32,$B286),0))</f>
        <v>0</v>
      </c>
      <c r="M286" s="509">
        <f ca="1">IF($C$4=Lookups!$D$40,SUM(INDIRECT("'Yr1'!"&amp;ADDRESS(ROW(M286),COLUMN(M286))),INDIRECT("'Yr2'!"&amp;ADDRESS(ROW(M286),COLUMN(M286))),INDIRECT("'Yr3'!"&amp;ADDRESS(ROW(M286),COLUMN(M286)))),
IF($C$4=M$7,SUMIFS('EE Inputs'!$L$9:$L$32,'EE Inputs'!$C$9:$C$32,$G$6,'EE Inputs'!$D$9:$D$32,$C$4,'EE Inputs'!$E$9:$E$32,$B286),0))</f>
        <v>0</v>
      </c>
      <c r="N286" s="509">
        <f ca="1">IF($C$4=Lookups!$D$40,SUM(INDIRECT("'Yr1'!"&amp;ADDRESS(ROW(N286),COLUMN(N286))),INDIRECT("'Yr2'!"&amp;ADDRESS(ROW(N286),COLUMN(N286))),INDIRECT("'Yr3'!"&amp;ADDRESS(ROW(N286),COLUMN(N286)))),
IF($C$4=N$7,SUMIFS('EE Inputs'!$L$9:$L$32,'EE Inputs'!$C$9:$C$32,$G$6,'EE Inputs'!$D$9:$D$32,$C$4,'EE Inputs'!$E$9:$E$32,$B286),0))</f>
        <v>0</v>
      </c>
      <c r="O286" s="509">
        <f ca="1">IF($C$4=Lookups!$D$40,SUM(INDIRECT("'Yr1'!"&amp;ADDRESS(ROW(O286),COLUMN(O286))),INDIRECT("'Yr2'!"&amp;ADDRESS(ROW(O286),COLUMN(O286))),INDIRECT("'Yr3'!"&amp;ADDRESS(ROW(O286),COLUMN(O286)))),
IF($C$4=O$7,SUMIFS('EE Inputs'!$L$9:$L$32,'EE Inputs'!$C$9:$C$32,$G$6,'EE Inputs'!$D$9:$D$32,$C$4,'EE Inputs'!$E$9:$E$32,$B286),0))</f>
        <v>0</v>
      </c>
      <c r="P286" s="509">
        <f ca="1">IF($C$4=Lookups!$D$40,SUM(INDIRECT("'Yr1'!"&amp;ADDRESS(ROW(P286),COLUMN(P286))),INDIRECT("'Yr2'!"&amp;ADDRESS(ROW(P286),COLUMN(P286))),INDIRECT("'Yr3'!"&amp;ADDRESS(ROW(P286),COLUMN(P286)))),
IF($C$4=P$7,SUMIFS('EE Inputs'!$L$9:$L$32,'EE Inputs'!$C$9:$C$32,$G$6,'EE Inputs'!$D$9:$D$32,$C$4,'EE Inputs'!$E$9:$E$32,$B286),0))</f>
        <v>0</v>
      </c>
      <c r="Q286" s="509">
        <f ca="1">IF($C$4=Lookups!$D$40,SUM(INDIRECT("'Yr1'!"&amp;ADDRESS(ROW(Q286),COLUMN(Q286))),INDIRECT("'Yr2'!"&amp;ADDRESS(ROW(Q286),COLUMN(Q286))),INDIRECT("'Yr3'!"&amp;ADDRESS(ROW(Q286),COLUMN(Q286)))),
IF($C$4=Q$7,SUMIFS('EE Inputs'!$L$9:$L$32,'EE Inputs'!$C$9:$C$32,$G$6,'EE Inputs'!$D$9:$D$32,$C$4,'EE Inputs'!$E$9:$E$32,$B286),0))</f>
        <v>0</v>
      </c>
      <c r="R286" s="509">
        <f ca="1">IF($C$4=Lookups!$D$40,SUM(INDIRECT("'Yr1'!"&amp;ADDRESS(ROW(R286),COLUMN(R286))),INDIRECT("'Yr2'!"&amp;ADDRESS(ROW(R286),COLUMN(R286))),INDIRECT("'Yr3'!"&amp;ADDRESS(ROW(R286),COLUMN(R286)))),
IF($C$4=R$7,SUMIFS('EE Inputs'!$L$9:$L$32,'EE Inputs'!$C$9:$C$32,$G$6,'EE Inputs'!$D$9:$D$32,$C$4,'EE Inputs'!$E$9:$E$32,$B286),0))</f>
        <v>0</v>
      </c>
      <c r="S286" s="509">
        <f ca="1">IF($C$4=Lookups!$D$40,SUM(INDIRECT("'Yr1'!"&amp;ADDRESS(ROW(S286),COLUMN(S286))),INDIRECT("'Yr2'!"&amp;ADDRESS(ROW(S286),COLUMN(S286))),INDIRECT("'Yr3'!"&amp;ADDRESS(ROW(S286),COLUMN(S286)))),
IF($C$4=S$7,SUMIFS('EE Inputs'!$L$9:$L$32,'EE Inputs'!$C$9:$C$32,$G$6,'EE Inputs'!$D$9:$D$32,$C$4,'EE Inputs'!$E$9:$E$32,$B286),0))</f>
        <v>0</v>
      </c>
      <c r="T286" s="509">
        <f ca="1">IF($C$4=Lookups!$D$40,SUM(INDIRECT("'Yr1'!"&amp;ADDRESS(ROW(T286),COLUMN(T286))),INDIRECT("'Yr2'!"&amp;ADDRESS(ROW(T286),COLUMN(T286))),INDIRECT("'Yr3'!"&amp;ADDRESS(ROW(T286),COLUMN(T286)))),
IF($C$4=T$7,SUMIFS('EE Inputs'!$L$9:$L$32,'EE Inputs'!$C$9:$C$32,$G$6,'EE Inputs'!$D$9:$D$32,$C$4,'EE Inputs'!$E$9:$E$32,$B286),0))</f>
        <v>0</v>
      </c>
      <c r="U286" s="509">
        <f ca="1">IF($C$4=Lookups!$D$40,SUM(INDIRECT("'Yr1'!"&amp;ADDRESS(ROW(U286),COLUMN(U286))),INDIRECT("'Yr2'!"&amp;ADDRESS(ROW(U286),COLUMN(U286))),INDIRECT("'Yr3'!"&amp;ADDRESS(ROW(U286),COLUMN(U286)))),
IF($C$4=U$7,SUMIFS('EE Inputs'!$L$9:$L$32,'EE Inputs'!$C$9:$C$32,$G$6,'EE Inputs'!$D$9:$D$32,$C$4,'EE Inputs'!$E$9:$E$32,$B286),0))</f>
        <v>0</v>
      </c>
      <c r="V286" s="509">
        <f ca="1">IF($C$4=Lookups!$D$40,SUM(INDIRECT("'Yr1'!"&amp;ADDRESS(ROW(V286),COLUMN(V286))),INDIRECT("'Yr2'!"&amp;ADDRESS(ROW(V286),COLUMN(V286))),INDIRECT("'Yr3'!"&amp;ADDRESS(ROW(V286),COLUMN(V286)))),
IF($C$4=V$7,SUMIFS('EE Inputs'!$L$9:$L$32,'EE Inputs'!$C$9:$C$32,$G$6,'EE Inputs'!$D$9:$D$32,$C$4,'EE Inputs'!$E$9:$E$32,$B286),0))</f>
        <v>0</v>
      </c>
      <c r="W286" s="509">
        <f ca="1">IF($C$4=Lookups!$D$40,SUM(INDIRECT("'Yr1'!"&amp;ADDRESS(ROW(W286),COLUMN(W286))),INDIRECT("'Yr2'!"&amp;ADDRESS(ROW(W286),COLUMN(W286))),INDIRECT("'Yr3'!"&amp;ADDRESS(ROW(W286),COLUMN(W286)))),
IF($C$4=W$7,SUMIFS('EE Inputs'!$L$9:$L$32,'EE Inputs'!$C$9:$C$32,$G$6,'EE Inputs'!$D$9:$D$32,$C$4,'EE Inputs'!$E$9:$E$32,$B286),0))</f>
        <v>0</v>
      </c>
      <c r="X286" s="509">
        <f ca="1">IF($C$4=Lookups!$D$40,SUM(INDIRECT("'Yr1'!"&amp;ADDRESS(ROW(X286),COLUMN(X286))),INDIRECT("'Yr2'!"&amp;ADDRESS(ROW(X286),COLUMN(X286))),INDIRECT("'Yr3'!"&amp;ADDRESS(ROW(X286),COLUMN(X286)))),
IF($C$4=X$7,SUMIFS('EE Inputs'!$L$9:$L$32,'EE Inputs'!$C$9:$C$32,$G$6,'EE Inputs'!$D$9:$D$32,$C$4,'EE Inputs'!$E$9:$E$32,$B286),0))</f>
        <v>0</v>
      </c>
      <c r="Y286" s="509">
        <f ca="1">IF($C$4=Lookups!$D$40,SUM(INDIRECT("'Yr1'!"&amp;ADDRESS(ROW(Y286),COLUMN(Y286))),INDIRECT("'Yr2'!"&amp;ADDRESS(ROW(Y286),COLUMN(Y286))),INDIRECT("'Yr3'!"&amp;ADDRESS(ROW(Y286),COLUMN(Y286)))),
IF($C$4=Y$7,SUMIFS('EE Inputs'!$L$9:$L$32,'EE Inputs'!$C$9:$C$32,$G$6,'EE Inputs'!$D$9:$D$32,$C$4,'EE Inputs'!$E$9:$E$32,$B286),0))</f>
        <v>0</v>
      </c>
      <c r="Z286" s="509">
        <f ca="1">IF($C$4=Lookups!$D$40,SUM(INDIRECT("'Yr1'!"&amp;ADDRESS(ROW(Z286),COLUMN(Z286))),INDIRECT("'Yr2'!"&amp;ADDRESS(ROW(Z286),COLUMN(Z286))),INDIRECT("'Yr3'!"&amp;ADDRESS(ROW(Z286),COLUMN(Z286)))),
IF($C$4=Z$7,SUMIFS('EE Inputs'!$L$9:$L$32,'EE Inputs'!$C$9:$C$32,$G$6,'EE Inputs'!$D$9:$D$32,$C$4,'EE Inputs'!$E$9:$E$32,$B286),0))</f>
        <v>0</v>
      </c>
      <c r="AA286" s="509">
        <f ca="1">IF($C$4=Lookups!$D$40,SUM(INDIRECT("'Yr1'!"&amp;ADDRESS(ROW(AA286),COLUMN(AA286))),INDIRECT("'Yr2'!"&amp;ADDRESS(ROW(AA286),COLUMN(AA286))),INDIRECT("'Yr3'!"&amp;ADDRESS(ROW(AA286),COLUMN(AA286)))),
IF($C$4=AA$7,SUMIFS('EE Inputs'!$L$9:$L$32,'EE Inputs'!$C$9:$C$32,$G$6,'EE Inputs'!$D$9:$D$32,$C$4,'EE Inputs'!$E$9:$E$32,$B286),0))</f>
        <v>0</v>
      </c>
      <c r="AB286" s="509">
        <f ca="1">IF($C$4=Lookups!$D$40,SUM(INDIRECT("'Yr1'!"&amp;ADDRESS(ROW(AB286),COLUMN(AB286))),INDIRECT("'Yr2'!"&amp;ADDRESS(ROW(AB286),COLUMN(AB286))),INDIRECT("'Yr3'!"&amp;ADDRESS(ROW(AB286),COLUMN(AB286)))),
IF($C$4=AB$7,SUMIFS('EE Inputs'!$L$9:$L$32,'EE Inputs'!$C$9:$C$32,$G$6,'EE Inputs'!$D$9:$D$32,$C$4,'EE Inputs'!$E$9:$E$32,$B286),0))</f>
        <v>0</v>
      </c>
      <c r="AC286" s="509">
        <f ca="1">IF($C$4=Lookups!$D$40,SUM(INDIRECT("'Yr1'!"&amp;ADDRESS(ROW(AC286),COLUMN(AC286))),INDIRECT("'Yr2'!"&amp;ADDRESS(ROW(AC286),COLUMN(AC286))),INDIRECT("'Yr3'!"&amp;ADDRESS(ROW(AC286),COLUMN(AC286)))),
IF($C$4=AC$7,SUMIFS('EE Inputs'!$L$9:$L$32,'EE Inputs'!$C$9:$C$32,$G$6,'EE Inputs'!$D$9:$D$32,$C$4,'EE Inputs'!$E$9:$E$32,$B286),0))</f>
        <v>0</v>
      </c>
      <c r="AD286" s="509">
        <f ca="1">IF($C$4=Lookups!$D$40,SUM(INDIRECT("'Yr1'!"&amp;ADDRESS(ROW(AD286),COLUMN(AD286))),INDIRECT("'Yr2'!"&amp;ADDRESS(ROW(AD286),COLUMN(AD286))),INDIRECT("'Yr3'!"&amp;ADDRESS(ROW(AD286),COLUMN(AD286)))),
IF($C$4=AD$7,SUMIFS('EE Inputs'!$L$9:$L$32,'EE Inputs'!$C$9:$C$32,$G$6,'EE Inputs'!$D$9:$D$32,$C$4,'EE Inputs'!$E$9:$E$32,$B286),0))</f>
        <v>0</v>
      </c>
      <c r="AE286" s="509">
        <f ca="1">IF($C$4=Lookups!$D$40,SUM(INDIRECT("'Yr1'!"&amp;ADDRESS(ROW(AE286),COLUMN(AE286))),INDIRECT("'Yr2'!"&amp;ADDRESS(ROW(AE286),COLUMN(AE286))),INDIRECT("'Yr3'!"&amp;ADDRESS(ROW(AE286),COLUMN(AE286)))),
IF($C$4=AE$7,SUMIFS('EE Inputs'!$L$9:$L$32,'EE Inputs'!$C$9:$C$32,$G$6,'EE Inputs'!$D$9:$D$32,$C$4,'EE Inputs'!$E$9:$E$32,$B286),0))</f>
        <v>0</v>
      </c>
      <c r="AF286" s="509">
        <f ca="1">IF($C$4=Lookups!$D$40,SUM(INDIRECT("'Yr1'!"&amp;ADDRESS(ROW(AF286),COLUMN(AF286))),INDIRECT("'Yr2'!"&amp;ADDRESS(ROW(AF286),COLUMN(AF286))),INDIRECT("'Yr3'!"&amp;ADDRESS(ROW(AF286),COLUMN(AF286)))),
IF($C$4=AF$7,SUMIFS('EE Inputs'!$L$9:$L$32,'EE Inputs'!$C$9:$C$32,$G$6,'EE Inputs'!$D$9:$D$32,$C$4,'EE Inputs'!$E$9:$E$32,$B286),0))</f>
        <v>0</v>
      </c>
      <c r="AG286" s="509">
        <f ca="1">IF($C$4=Lookups!$D$40,SUM(INDIRECT("'Yr1'!"&amp;ADDRESS(ROW(AG286),COLUMN(AG286))),INDIRECT("'Yr2'!"&amp;ADDRESS(ROW(AG286),COLUMN(AG286))),INDIRECT("'Yr3'!"&amp;ADDRESS(ROW(AG286),COLUMN(AG286)))),
IF($C$4=AG$7,SUMIFS('EE Inputs'!$L$9:$L$32,'EE Inputs'!$C$9:$C$32,$G$6,'EE Inputs'!$D$9:$D$32,$C$4,'EE Inputs'!$E$9:$E$32,$B286),0))</f>
        <v>0</v>
      </c>
      <c r="AH286" s="509"/>
      <c r="AI286" s="509"/>
      <c r="AJ286" s="509">
        <f ca="1">IF($C$4=Year1,-PMT(Lookups!$E$17,25,NPV(Lookups!$E$17,G286:AE286),0,1),IF($C$4=Year2,-PMT(Lookups!$F$17,25,NPV(Lookups!$F$17,H286:AF286),0,1),IF($C$4=Year3,-PMT(Lookups!$G$17,25,NPV(Lookups!$G$17,I286:AG286),0,1),-PMT(Lookups!$G$17,27,NPV(Lookups!$G$17,G286:AG286),0,1))))</f>
        <v>7.3730511423326364E-3</v>
      </c>
      <c r="AK286" s="507"/>
      <c r="AL286" s="507"/>
      <c r="AM286" s="508">
        <f ca="1">IF($C$4=Lookups!$D$40,SUM(INDIRECT("'Yr1'!"&amp;ADDRESS(ROW(AM286),COLUMN(AM286))),INDIRECT("'Yr2'!"&amp;ADDRESS(ROW(AM286),COLUMN(AM286))),INDIRECT("'Yr3'!"&amp;ADDRESS(ROW(AM286),COLUMN(AM286)))),
IF($C$4=AM$7,SUMIFS('EE Inputs'!$L$9:$L$32,'EE Inputs'!$C$9:$C$32,$AM$6,'EE Inputs'!$D$9:$D$32,$C$4,'EE Inputs'!$E$9:$E$32,$B286),0))</f>
        <v>0</v>
      </c>
      <c r="AN286" s="508">
        <f ca="1">IF($C$4=Lookups!$D$40,SUM(INDIRECT("'Yr1'!"&amp;ADDRESS(ROW(AN286),COLUMN(AN286))),INDIRECT("'Yr2'!"&amp;ADDRESS(ROW(AN286),COLUMN(AN286))),INDIRECT("'Yr3'!"&amp;ADDRESS(ROW(AN286),COLUMN(AN286)))),
IF($C$4=AN$7,SUMIFS('EE Inputs'!$L$9:$L$32,'EE Inputs'!$C$9:$C$32,$AM$6,'EE Inputs'!$D$9:$D$32,$C$4,'EE Inputs'!$E$9:$E$32,$B286),0))</f>
        <v>0</v>
      </c>
      <c r="AO286" s="508">
        <f ca="1">IF($C$4=Lookups!$D$40,SUM(INDIRECT("'Yr1'!"&amp;ADDRESS(ROW(AO286),COLUMN(AO286))),INDIRECT("'Yr2'!"&amp;ADDRESS(ROW(AO286),COLUMN(AO286))),INDIRECT("'Yr3'!"&amp;ADDRESS(ROW(AO286),COLUMN(AO286)))),
IF($C$4=AO$7,SUMIFS('EE Inputs'!$L$9:$L$32,'EE Inputs'!$C$9:$C$32,$AM$6,'EE Inputs'!$D$9:$D$32,$C$4,'EE Inputs'!$E$9:$E$32,$B286),0))</f>
        <v>0.19050121298638215</v>
      </c>
      <c r="AP286" s="508">
        <f ca="1">IF($C$4=Lookups!$D$40,SUM(INDIRECT("'Yr1'!"&amp;ADDRESS(ROW(AP286),COLUMN(AP286))),INDIRECT("'Yr2'!"&amp;ADDRESS(ROW(AP286),COLUMN(AP286))),INDIRECT("'Yr3'!"&amp;ADDRESS(ROW(AP286),COLUMN(AP286)))),
IF($C$4=AP$7,SUMIFS('EE Inputs'!$L$9:$L$32,'EE Inputs'!$C$9:$C$32,$AM$6,'EE Inputs'!$D$9:$D$32,$C$4,'EE Inputs'!$E$9:$E$32,$B286),0))</f>
        <v>0</v>
      </c>
      <c r="AQ286" s="508">
        <f ca="1">IF($C$4=Lookups!$D$40,SUM(INDIRECT("'Yr1'!"&amp;ADDRESS(ROW(AQ286),COLUMN(AQ286))),INDIRECT("'Yr2'!"&amp;ADDRESS(ROW(AQ286),COLUMN(AQ286))),INDIRECT("'Yr3'!"&amp;ADDRESS(ROW(AQ286),COLUMN(AQ286)))),
IF($C$4=AQ$7,SUMIFS('EE Inputs'!$L$9:$L$32,'EE Inputs'!$C$9:$C$32,$AM$6,'EE Inputs'!$D$9:$D$32,$C$4,'EE Inputs'!$E$9:$E$32,$B286),0))</f>
        <v>0</v>
      </c>
      <c r="AR286" s="508">
        <f ca="1">IF($C$4=Lookups!$D$40,SUM(INDIRECT("'Yr1'!"&amp;ADDRESS(ROW(AR286),COLUMN(AR286))),INDIRECT("'Yr2'!"&amp;ADDRESS(ROW(AR286),COLUMN(AR286))),INDIRECT("'Yr3'!"&amp;ADDRESS(ROW(AR286),COLUMN(AR286)))),
IF($C$4=AR$7,SUMIFS('EE Inputs'!$L$9:$L$32,'EE Inputs'!$C$9:$C$32,$AM$6,'EE Inputs'!$D$9:$D$32,$C$4,'EE Inputs'!$E$9:$E$32,$B286),0))</f>
        <v>0</v>
      </c>
      <c r="AS286" s="508">
        <f ca="1">IF($C$4=Lookups!$D$40,SUM(INDIRECT("'Yr1'!"&amp;ADDRESS(ROW(AS286),COLUMN(AS286))),INDIRECT("'Yr2'!"&amp;ADDRESS(ROW(AS286),COLUMN(AS286))),INDIRECT("'Yr3'!"&amp;ADDRESS(ROW(AS286),COLUMN(AS286)))),
IF($C$4=AS$7,SUMIFS('EE Inputs'!$L$9:$L$32,'EE Inputs'!$C$9:$C$32,$AM$6,'EE Inputs'!$D$9:$D$32,$C$4,'EE Inputs'!$E$9:$E$32,$B286),0))</f>
        <v>0</v>
      </c>
      <c r="AT286" s="508">
        <f ca="1">IF($C$4=Lookups!$D$40,SUM(INDIRECT("'Yr1'!"&amp;ADDRESS(ROW(AT286),COLUMN(AT286))),INDIRECT("'Yr2'!"&amp;ADDRESS(ROW(AT286),COLUMN(AT286))),INDIRECT("'Yr3'!"&amp;ADDRESS(ROW(AT286),COLUMN(AT286)))),
IF($C$4=AT$7,SUMIFS('EE Inputs'!$L$9:$L$32,'EE Inputs'!$C$9:$C$32,$AM$6,'EE Inputs'!$D$9:$D$32,$C$4,'EE Inputs'!$E$9:$E$32,$B286),0))</f>
        <v>0</v>
      </c>
      <c r="AU286" s="508">
        <f ca="1">IF($C$4=Lookups!$D$40,SUM(INDIRECT("'Yr1'!"&amp;ADDRESS(ROW(AU286),COLUMN(AU286))),INDIRECT("'Yr2'!"&amp;ADDRESS(ROW(AU286),COLUMN(AU286))),INDIRECT("'Yr3'!"&amp;ADDRESS(ROW(AU286),COLUMN(AU286)))),
IF($C$4=AU$7,SUMIFS('EE Inputs'!$L$9:$L$32,'EE Inputs'!$C$9:$C$32,$AM$6,'EE Inputs'!$D$9:$D$32,$C$4,'EE Inputs'!$E$9:$E$32,$B286),0))</f>
        <v>0</v>
      </c>
      <c r="AV286" s="508">
        <f ca="1">IF($C$4=Lookups!$D$40,SUM(INDIRECT("'Yr1'!"&amp;ADDRESS(ROW(AV286),COLUMN(AV286))),INDIRECT("'Yr2'!"&amp;ADDRESS(ROW(AV286),COLUMN(AV286))),INDIRECT("'Yr3'!"&amp;ADDRESS(ROW(AV286),COLUMN(AV286)))),
IF($C$4=AV$7,SUMIFS('EE Inputs'!$L$9:$L$32,'EE Inputs'!$C$9:$C$32,$AM$6,'EE Inputs'!$D$9:$D$32,$C$4,'EE Inputs'!$E$9:$E$32,$B286),0))</f>
        <v>0</v>
      </c>
      <c r="AW286" s="508">
        <f ca="1">IF($C$4=Lookups!$D$40,SUM(INDIRECT("'Yr1'!"&amp;ADDRESS(ROW(AW286),COLUMN(AW286))),INDIRECT("'Yr2'!"&amp;ADDRESS(ROW(AW286),COLUMN(AW286))),INDIRECT("'Yr3'!"&amp;ADDRESS(ROW(AW286),COLUMN(AW286)))),
IF($C$4=AW$7,SUMIFS('EE Inputs'!$L$9:$L$32,'EE Inputs'!$C$9:$C$32,$AM$6,'EE Inputs'!$D$9:$D$32,$C$4,'EE Inputs'!$E$9:$E$32,$B286),0))</f>
        <v>0</v>
      </c>
      <c r="AX286" s="508">
        <f ca="1">IF($C$4=Lookups!$D$40,SUM(INDIRECT("'Yr1'!"&amp;ADDRESS(ROW(AX286),COLUMN(AX286))),INDIRECT("'Yr2'!"&amp;ADDRESS(ROW(AX286),COLUMN(AX286))),INDIRECT("'Yr3'!"&amp;ADDRESS(ROW(AX286),COLUMN(AX286)))),
IF($C$4=AX$7,SUMIFS('EE Inputs'!$L$9:$L$32,'EE Inputs'!$C$9:$C$32,$AM$6,'EE Inputs'!$D$9:$D$32,$C$4,'EE Inputs'!$E$9:$E$32,$B286),0))</f>
        <v>0</v>
      </c>
      <c r="AY286" s="508">
        <f ca="1">IF($C$4=Lookups!$D$40,SUM(INDIRECT("'Yr1'!"&amp;ADDRESS(ROW(AY286),COLUMN(AY286))),INDIRECT("'Yr2'!"&amp;ADDRESS(ROW(AY286),COLUMN(AY286))),INDIRECT("'Yr3'!"&amp;ADDRESS(ROW(AY286),COLUMN(AY286)))),
IF($C$4=AY$7,SUMIFS('EE Inputs'!$L$9:$L$32,'EE Inputs'!$C$9:$C$32,$AM$6,'EE Inputs'!$D$9:$D$32,$C$4,'EE Inputs'!$E$9:$E$32,$B286),0))</f>
        <v>0</v>
      </c>
      <c r="AZ286" s="508">
        <f ca="1">IF($C$4=Lookups!$D$40,SUM(INDIRECT("'Yr1'!"&amp;ADDRESS(ROW(AZ286),COLUMN(AZ286))),INDIRECT("'Yr2'!"&amp;ADDRESS(ROW(AZ286),COLUMN(AZ286))),INDIRECT("'Yr3'!"&amp;ADDRESS(ROW(AZ286),COLUMN(AZ286)))),
IF($C$4=AZ$7,SUMIFS('EE Inputs'!$L$9:$L$32,'EE Inputs'!$C$9:$C$32,$AM$6,'EE Inputs'!$D$9:$D$32,$C$4,'EE Inputs'!$E$9:$E$32,$B286),0))</f>
        <v>0</v>
      </c>
      <c r="BA286" s="508">
        <f ca="1">IF($C$4=Lookups!$D$40,SUM(INDIRECT("'Yr1'!"&amp;ADDRESS(ROW(BA286),COLUMN(BA286))),INDIRECT("'Yr2'!"&amp;ADDRESS(ROW(BA286),COLUMN(BA286))),INDIRECT("'Yr3'!"&amp;ADDRESS(ROW(BA286),COLUMN(BA286)))),
IF($C$4=BA$7,SUMIFS('EE Inputs'!$L$9:$L$32,'EE Inputs'!$C$9:$C$32,$AM$6,'EE Inputs'!$D$9:$D$32,$C$4,'EE Inputs'!$E$9:$E$32,$B286),0))</f>
        <v>0</v>
      </c>
      <c r="BB286" s="508">
        <f ca="1">IF($C$4=Lookups!$D$40,SUM(INDIRECT("'Yr1'!"&amp;ADDRESS(ROW(BB286),COLUMN(BB286))),INDIRECT("'Yr2'!"&amp;ADDRESS(ROW(BB286),COLUMN(BB286))),INDIRECT("'Yr3'!"&amp;ADDRESS(ROW(BB286),COLUMN(BB286)))),
IF($C$4=BB$7,SUMIFS('EE Inputs'!$L$9:$L$32,'EE Inputs'!$C$9:$C$32,$AM$6,'EE Inputs'!$D$9:$D$32,$C$4,'EE Inputs'!$E$9:$E$32,$B286),0))</f>
        <v>0</v>
      </c>
      <c r="BC286" s="508">
        <f ca="1">IF($C$4=Lookups!$D$40,SUM(INDIRECT("'Yr1'!"&amp;ADDRESS(ROW(BC286),COLUMN(BC286))),INDIRECT("'Yr2'!"&amp;ADDRESS(ROW(BC286),COLUMN(BC286))),INDIRECT("'Yr3'!"&amp;ADDRESS(ROW(BC286),COLUMN(BC286)))),
IF($C$4=BC$7,SUMIFS('EE Inputs'!$L$9:$L$32,'EE Inputs'!$C$9:$C$32,$AM$6,'EE Inputs'!$D$9:$D$32,$C$4,'EE Inputs'!$E$9:$E$32,$B286),0))</f>
        <v>0</v>
      </c>
      <c r="BD286" s="508">
        <f ca="1">IF($C$4=Lookups!$D$40,SUM(INDIRECT("'Yr1'!"&amp;ADDRESS(ROW(BD286),COLUMN(BD286))),INDIRECT("'Yr2'!"&amp;ADDRESS(ROW(BD286),COLUMN(BD286))),INDIRECT("'Yr3'!"&amp;ADDRESS(ROW(BD286),COLUMN(BD286)))),
IF($C$4=BD$7,SUMIFS('EE Inputs'!$L$9:$L$32,'EE Inputs'!$C$9:$C$32,$AM$6,'EE Inputs'!$D$9:$D$32,$C$4,'EE Inputs'!$E$9:$E$32,$B286),0))</f>
        <v>0</v>
      </c>
      <c r="BE286" s="508">
        <f ca="1">IF($C$4=Lookups!$D$40,SUM(INDIRECT("'Yr1'!"&amp;ADDRESS(ROW(BE286),COLUMN(BE286))),INDIRECT("'Yr2'!"&amp;ADDRESS(ROW(BE286),COLUMN(BE286))),INDIRECT("'Yr3'!"&amp;ADDRESS(ROW(BE286),COLUMN(BE286)))),
IF($C$4=BE$7,SUMIFS('EE Inputs'!$L$9:$L$32,'EE Inputs'!$C$9:$C$32,$AM$6,'EE Inputs'!$D$9:$D$32,$C$4,'EE Inputs'!$E$9:$E$32,$B286),0))</f>
        <v>0</v>
      </c>
      <c r="BF286" s="508">
        <f ca="1">IF($C$4=Lookups!$D$40,SUM(INDIRECT("'Yr1'!"&amp;ADDRESS(ROW(BF286),COLUMN(BF286))),INDIRECT("'Yr2'!"&amp;ADDRESS(ROW(BF286),COLUMN(BF286))),INDIRECT("'Yr3'!"&amp;ADDRESS(ROW(BF286),COLUMN(BF286)))),
IF($C$4=BF$7,SUMIFS('EE Inputs'!$L$9:$L$32,'EE Inputs'!$C$9:$C$32,$AM$6,'EE Inputs'!$D$9:$D$32,$C$4,'EE Inputs'!$E$9:$E$32,$B286),0))</f>
        <v>0</v>
      </c>
      <c r="BG286" s="508">
        <f ca="1">IF($C$4=Lookups!$D$40,SUM(INDIRECT("'Yr1'!"&amp;ADDRESS(ROW(BG286),COLUMN(BG286))),INDIRECT("'Yr2'!"&amp;ADDRESS(ROW(BG286),COLUMN(BG286))),INDIRECT("'Yr3'!"&amp;ADDRESS(ROW(BG286),COLUMN(BG286)))),
IF($C$4=BG$7,SUMIFS('EE Inputs'!$L$9:$L$32,'EE Inputs'!$C$9:$C$32,$AM$6,'EE Inputs'!$D$9:$D$32,$C$4,'EE Inputs'!$E$9:$E$32,$B286),0))</f>
        <v>0</v>
      </c>
      <c r="BH286" s="508">
        <f ca="1">IF($C$4=Lookups!$D$40,SUM(INDIRECT("'Yr1'!"&amp;ADDRESS(ROW(BH286),COLUMN(BH286))),INDIRECT("'Yr2'!"&amp;ADDRESS(ROW(BH286),COLUMN(BH286))),INDIRECT("'Yr3'!"&amp;ADDRESS(ROW(BH286),COLUMN(BH286)))),
IF($C$4=BH$7,SUMIFS('EE Inputs'!$L$9:$L$32,'EE Inputs'!$C$9:$C$32,$AM$6,'EE Inputs'!$D$9:$D$32,$C$4,'EE Inputs'!$E$9:$E$32,$B286),0))</f>
        <v>0</v>
      </c>
      <c r="BI286" s="508">
        <f ca="1">IF($C$4=Lookups!$D$40,SUM(INDIRECT("'Yr1'!"&amp;ADDRESS(ROW(BI286),COLUMN(BI286))),INDIRECT("'Yr2'!"&amp;ADDRESS(ROW(BI286),COLUMN(BI286))),INDIRECT("'Yr3'!"&amp;ADDRESS(ROW(BI286),COLUMN(BI286)))),
IF($C$4=BI$7,SUMIFS('EE Inputs'!$L$9:$L$32,'EE Inputs'!$C$9:$C$32,$AM$6,'EE Inputs'!$D$9:$D$32,$C$4,'EE Inputs'!$E$9:$E$32,$B286),0))</f>
        <v>0</v>
      </c>
      <c r="BJ286" s="508">
        <f ca="1">IF($C$4=Lookups!$D$40,SUM(INDIRECT("'Yr1'!"&amp;ADDRESS(ROW(BJ286),COLUMN(BJ286))),INDIRECT("'Yr2'!"&amp;ADDRESS(ROW(BJ286),COLUMN(BJ286))),INDIRECT("'Yr3'!"&amp;ADDRESS(ROW(BJ286),COLUMN(BJ286)))),
IF($C$4=BJ$7,SUMIFS('EE Inputs'!$L$9:$L$32,'EE Inputs'!$C$9:$C$32,$AM$6,'EE Inputs'!$D$9:$D$32,$C$4,'EE Inputs'!$E$9:$E$32,$B286),0))</f>
        <v>0</v>
      </c>
      <c r="BK286" s="508">
        <f ca="1">IF($C$4=Lookups!$D$40,SUM(INDIRECT("'Yr1'!"&amp;ADDRESS(ROW(BK286),COLUMN(BK286))),INDIRECT("'Yr2'!"&amp;ADDRESS(ROW(BK286),COLUMN(BK286))),INDIRECT("'Yr3'!"&amp;ADDRESS(ROW(BK286),COLUMN(BK286)))),
IF($C$4=BK$7,SUMIFS('EE Inputs'!$L$9:$L$32,'EE Inputs'!$C$9:$C$32,$AM$6,'EE Inputs'!$D$9:$D$32,$C$4,'EE Inputs'!$E$9:$E$32,$B286),0))</f>
        <v>0</v>
      </c>
      <c r="BL286" s="508">
        <f ca="1">IF($C$4=Lookups!$D$40,SUM(INDIRECT("'Yr1'!"&amp;ADDRESS(ROW(BL286),COLUMN(BL286))),INDIRECT("'Yr2'!"&amp;ADDRESS(ROW(BL286),COLUMN(BL286))),INDIRECT("'Yr3'!"&amp;ADDRESS(ROW(BL286),COLUMN(BL286)))),
IF($C$4=BL$7,SUMIFS('EE Inputs'!$L$9:$L$32,'EE Inputs'!$C$9:$C$32,$AM$6,'EE Inputs'!$D$9:$D$32,$C$4,'EE Inputs'!$E$9:$E$32,$B286),0))</f>
        <v>0</v>
      </c>
      <c r="BM286" s="508">
        <f ca="1">IF($C$4=Lookups!$D$40,SUM(INDIRECT("'Yr1'!"&amp;ADDRESS(ROW(BM286),COLUMN(BM286))),INDIRECT("'Yr2'!"&amp;ADDRESS(ROW(BM286),COLUMN(BM286))),INDIRECT("'Yr3'!"&amp;ADDRESS(ROW(BM286),COLUMN(BM286)))),
IF($C$4=BM$7,SUMIFS('EE Inputs'!$L$9:$L$32,'EE Inputs'!$C$9:$C$32,$AM$6,'EE Inputs'!$D$9:$D$32,$C$4,'EE Inputs'!$E$9:$E$32,$B286),0))</f>
        <v>0</v>
      </c>
      <c r="BN286" s="508"/>
      <c r="BO286" s="508"/>
      <c r="BP286" s="508">
        <f ca="1">IF($C$4=Year1,-PMT(Lookups!$E$17,25,NPV(Lookups!$E$17,AM286:BK286),0,1),IF($C$4=Year2,-PMT(Lookups!$F$17,25,NPV(Lookups!$F$17,AN286:BL286),0,1),IF($C$4=Year3,-PMT(Lookups!$G$17,25,NPV(Lookups!$G$17,AO286:BM286),0,1),-PMT(Lookups!$G$17,27,NPV(Lookups!$G$17,AM286:BM286),0,1))))</f>
        <v>8.8476613707991637E-3</v>
      </c>
      <c r="BS286" s="86" t="s">
        <v>402</v>
      </c>
      <c r="BT286" s="51" t="s">
        <v>17</v>
      </c>
    </row>
    <row r="287" spans="1:72" x14ac:dyDescent="0.25">
      <c r="A287" s="246"/>
      <c r="B287" s="243" t="str">
        <f t="shared" si="307"/>
        <v>Large C&amp;I</v>
      </c>
      <c r="C287" s="243" t="str">
        <f t="shared" si="307"/>
        <v>Rates</v>
      </c>
      <c r="D287" s="244" t="str">
        <f t="shared" si="307"/>
        <v>Increased Costs and Cost Shifting</v>
      </c>
      <c r="E287" s="86" t="s">
        <v>198</v>
      </c>
      <c r="F287" s="84" t="s">
        <v>182</v>
      </c>
      <c r="G287" s="506">
        <f ca="1">IFERROR((G269/G254)-(G269/G252),0)</f>
        <v>0</v>
      </c>
      <c r="H287" s="506">
        <f t="shared" ref="H287:AG287" ca="1" si="310">IFERROR((H269/H254)-(H269/H252),0)</f>
        <v>0</v>
      </c>
      <c r="I287" s="506">
        <f t="shared" ca="1" si="310"/>
        <v>1.1441823822095895E-2</v>
      </c>
      <c r="J287" s="506">
        <f t="shared" ca="1" si="310"/>
        <v>1.1441823822095895E-2</v>
      </c>
      <c r="K287" s="506">
        <f t="shared" ca="1" si="310"/>
        <v>1.1441823822095895E-2</v>
      </c>
      <c r="L287" s="506">
        <f t="shared" ca="1" si="310"/>
        <v>1.1441823822095895E-2</v>
      </c>
      <c r="M287" s="506">
        <f t="shared" ca="1" si="310"/>
        <v>1.1441823822095895E-2</v>
      </c>
      <c r="N287" s="506">
        <f t="shared" ca="1" si="310"/>
        <v>1.1441823822095895E-2</v>
      </c>
      <c r="O287" s="506">
        <f t="shared" ca="1" si="310"/>
        <v>1.1441823822095895E-2</v>
      </c>
      <c r="P287" s="506">
        <f t="shared" ca="1" si="310"/>
        <v>1.1441823822095895E-2</v>
      </c>
      <c r="Q287" s="506">
        <f t="shared" ca="1" si="310"/>
        <v>1.1441823822095895E-2</v>
      </c>
      <c r="R287" s="506">
        <f t="shared" ca="1" si="310"/>
        <v>1.1441823822095895E-2</v>
      </c>
      <c r="S287" s="506">
        <f t="shared" ca="1" si="310"/>
        <v>1.1441823822095895E-2</v>
      </c>
      <c r="T287" s="506">
        <f t="shared" ca="1" si="310"/>
        <v>1.1441823822095895E-2</v>
      </c>
      <c r="U287" s="506">
        <f t="shared" ca="1" si="310"/>
        <v>1.1441823822095895E-2</v>
      </c>
      <c r="V287" s="506">
        <f t="shared" ca="1" si="310"/>
        <v>0</v>
      </c>
      <c r="W287" s="506">
        <f t="shared" ca="1" si="310"/>
        <v>0</v>
      </c>
      <c r="X287" s="506">
        <f t="shared" ca="1" si="310"/>
        <v>0</v>
      </c>
      <c r="Y287" s="506">
        <f t="shared" ca="1" si="310"/>
        <v>0</v>
      </c>
      <c r="Z287" s="506">
        <f t="shared" ca="1" si="310"/>
        <v>0</v>
      </c>
      <c r="AA287" s="506">
        <f t="shared" ca="1" si="310"/>
        <v>0</v>
      </c>
      <c r="AB287" s="506">
        <f t="shared" ca="1" si="310"/>
        <v>0</v>
      </c>
      <c r="AC287" s="506">
        <f t="shared" ca="1" si="310"/>
        <v>0</v>
      </c>
      <c r="AD287" s="506">
        <f t="shared" ca="1" si="310"/>
        <v>0</v>
      </c>
      <c r="AE287" s="506">
        <f t="shared" ca="1" si="310"/>
        <v>0</v>
      </c>
      <c r="AF287" s="506">
        <f t="shared" ca="1" si="310"/>
        <v>0</v>
      </c>
      <c r="AG287" s="506">
        <f t="shared" ca="1" si="310"/>
        <v>0</v>
      </c>
      <c r="AH287" s="506"/>
      <c r="AI287" s="506"/>
      <c r="AJ287" s="506">
        <f ca="1">IF($C$4=Year1,-PMT(Lookups!$E$17,25,NPV(Lookups!$E$17,G287:AE287),0,1),IF($C$4=Year2,-PMT(Lookups!$F$17,25,NPV(Lookups!$F$17,H287:AF287),0,1),IF($C$4=Year3,-PMT(Lookups!$G$17,25,NPV(Lookups!$G$17,I287:AG287),0,1),-PMT(Lookups!$G$17,27,NPV(Lookups!$G$17,G287:AG287),0,1))))</f>
        <v>6.3587409292453012E-3</v>
      </c>
      <c r="AK287" s="507"/>
      <c r="AL287" s="507"/>
      <c r="AM287" s="508">
        <f ca="1">IFERROR((AM269/AM254)-(AM269/AM252),0)</f>
        <v>0</v>
      </c>
      <c r="AN287" s="508">
        <f t="shared" ref="AN287:BM287" ca="1" si="311">IFERROR((AN269/AN254)-(AN269/AN252),0)</f>
        <v>0</v>
      </c>
      <c r="AO287" s="508">
        <f t="shared" ca="1" si="311"/>
        <v>1.3201270012641708E-2</v>
      </c>
      <c r="AP287" s="508">
        <f t="shared" ca="1" si="311"/>
        <v>1.3201270012641708E-2</v>
      </c>
      <c r="AQ287" s="508">
        <f t="shared" ca="1" si="311"/>
        <v>1.3201270012641708E-2</v>
      </c>
      <c r="AR287" s="508">
        <f t="shared" ca="1" si="311"/>
        <v>1.3201270012641708E-2</v>
      </c>
      <c r="AS287" s="508">
        <f t="shared" ca="1" si="311"/>
        <v>1.3201270012641708E-2</v>
      </c>
      <c r="AT287" s="508">
        <f t="shared" ca="1" si="311"/>
        <v>1.3201270012641708E-2</v>
      </c>
      <c r="AU287" s="508">
        <f t="shared" ca="1" si="311"/>
        <v>1.3201270012641708E-2</v>
      </c>
      <c r="AV287" s="508">
        <f t="shared" ca="1" si="311"/>
        <v>1.3201270012641708E-2</v>
      </c>
      <c r="AW287" s="508">
        <f t="shared" ca="1" si="311"/>
        <v>1.3201270012641708E-2</v>
      </c>
      <c r="AX287" s="508">
        <f t="shared" ca="1" si="311"/>
        <v>1.3201270012641708E-2</v>
      </c>
      <c r="AY287" s="508">
        <f t="shared" ca="1" si="311"/>
        <v>1.3201270012641708E-2</v>
      </c>
      <c r="AZ287" s="508">
        <f t="shared" ca="1" si="311"/>
        <v>1.3201270012641708E-2</v>
      </c>
      <c r="BA287" s="508">
        <f t="shared" ca="1" si="311"/>
        <v>1.3201270012641708E-2</v>
      </c>
      <c r="BB287" s="508">
        <f t="shared" ca="1" si="311"/>
        <v>0</v>
      </c>
      <c r="BC287" s="508">
        <f t="shared" ca="1" si="311"/>
        <v>0</v>
      </c>
      <c r="BD287" s="508">
        <f t="shared" ca="1" si="311"/>
        <v>0</v>
      </c>
      <c r="BE287" s="508">
        <f t="shared" ca="1" si="311"/>
        <v>0</v>
      </c>
      <c r="BF287" s="508">
        <f t="shared" ca="1" si="311"/>
        <v>0</v>
      </c>
      <c r="BG287" s="508">
        <f t="shared" ca="1" si="311"/>
        <v>0</v>
      </c>
      <c r="BH287" s="508">
        <f t="shared" ca="1" si="311"/>
        <v>0</v>
      </c>
      <c r="BI287" s="508">
        <f t="shared" ca="1" si="311"/>
        <v>0</v>
      </c>
      <c r="BJ287" s="508">
        <f t="shared" ca="1" si="311"/>
        <v>0</v>
      </c>
      <c r="BK287" s="508">
        <f t="shared" ca="1" si="311"/>
        <v>0</v>
      </c>
      <c r="BL287" s="508">
        <f t="shared" ca="1" si="311"/>
        <v>0</v>
      </c>
      <c r="BM287" s="508">
        <f t="shared" ca="1" si="311"/>
        <v>0</v>
      </c>
      <c r="BN287" s="508"/>
      <c r="BO287" s="508"/>
      <c r="BP287" s="508">
        <f ca="1">IF($C$4=Year1,-PMT(Lookups!$E$17,25,NPV(Lookups!$E$17,AM287:BK287),0,1),IF($C$4=Year2,-PMT(Lookups!$F$17,25,NPV(Lookups!$F$17,AN287:BL287),0,1),IF($C$4=Year3,-PMT(Lookups!$G$17,25,NPV(Lookups!$G$17,AO287:BM287),0,1),-PMT(Lookups!$G$17,27,NPV(Lookups!$G$17,AM287:BM287),0,1))))</f>
        <v>7.3365450519606752E-3</v>
      </c>
      <c r="BS287" s="84" t="s">
        <v>103</v>
      </c>
      <c r="BT287" s="51" t="s">
        <v>17</v>
      </c>
    </row>
    <row r="288" spans="1:72" x14ac:dyDescent="0.25">
      <c r="B288" s="243" t="str">
        <f t="shared" si="307"/>
        <v>Large C&amp;I</v>
      </c>
      <c r="C288" s="243" t="str">
        <f t="shared" si="307"/>
        <v>Rates</v>
      </c>
      <c r="D288" s="114" t="s">
        <v>110</v>
      </c>
      <c r="E288" s="86"/>
      <c r="F288" s="86"/>
      <c r="G288" s="238"/>
      <c r="H288" s="238"/>
      <c r="I288" s="238"/>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49"/>
      <c r="AI288" s="238"/>
      <c r="AJ288" s="49"/>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S288" s="84"/>
      <c r="BT288" s="51" t="s">
        <v>17</v>
      </c>
    </row>
    <row r="289" spans="1:72" x14ac:dyDescent="0.25">
      <c r="B289" s="243" t="str">
        <f t="shared" si="307"/>
        <v>Large C&amp;I</v>
      </c>
      <c r="C289" s="243" t="str">
        <f t="shared" si="307"/>
        <v>Rates</v>
      </c>
      <c r="D289" s="244" t="str">
        <f>D288</f>
        <v>Rates after DSM Scenario</v>
      </c>
      <c r="E289" s="86" t="s">
        <v>26</v>
      </c>
      <c r="F289" s="84" t="s">
        <v>182</v>
      </c>
      <c r="G289" s="506">
        <f ca="1">IFERROR(G269/G254,0)</f>
        <v>0</v>
      </c>
      <c r="H289" s="506">
        <f t="shared" ref="H289:AG289" ca="1" si="312">IFERROR(H269/H254,0)</f>
        <v>0</v>
      </c>
      <c r="I289" s="506">
        <f t="shared" ca="1" si="312"/>
        <v>0.1256251251682842</v>
      </c>
      <c r="J289" s="506">
        <f t="shared" ca="1" si="312"/>
        <v>0.1256251251682842</v>
      </c>
      <c r="K289" s="506">
        <f t="shared" ca="1" si="312"/>
        <v>0.1256251251682842</v>
      </c>
      <c r="L289" s="506">
        <f t="shared" ca="1" si="312"/>
        <v>0.1256251251682842</v>
      </c>
      <c r="M289" s="506">
        <f t="shared" ca="1" si="312"/>
        <v>0.1256251251682842</v>
      </c>
      <c r="N289" s="506">
        <f t="shared" ca="1" si="312"/>
        <v>0.1256251251682842</v>
      </c>
      <c r="O289" s="506">
        <f t="shared" ca="1" si="312"/>
        <v>0.1256251251682842</v>
      </c>
      <c r="P289" s="506">
        <f t="shared" ca="1" si="312"/>
        <v>0.1256251251682842</v>
      </c>
      <c r="Q289" s="506">
        <f t="shared" ca="1" si="312"/>
        <v>0.1256251251682842</v>
      </c>
      <c r="R289" s="506">
        <f t="shared" ca="1" si="312"/>
        <v>0.1256251251682842</v>
      </c>
      <c r="S289" s="506">
        <f t="shared" ca="1" si="312"/>
        <v>0.1256251251682842</v>
      </c>
      <c r="T289" s="506">
        <f t="shared" ca="1" si="312"/>
        <v>0.1256251251682842</v>
      </c>
      <c r="U289" s="506">
        <f t="shared" ca="1" si="312"/>
        <v>0.1256251251682842</v>
      </c>
      <c r="V289" s="506">
        <f t="shared" ca="1" si="312"/>
        <v>0.1181</v>
      </c>
      <c r="W289" s="506">
        <f t="shared" ca="1" si="312"/>
        <v>0.1181</v>
      </c>
      <c r="X289" s="506">
        <f t="shared" ca="1" si="312"/>
        <v>0.1181</v>
      </c>
      <c r="Y289" s="506">
        <f t="shared" ca="1" si="312"/>
        <v>0.1181</v>
      </c>
      <c r="Z289" s="506">
        <f t="shared" ca="1" si="312"/>
        <v>0.1181</v>
      </c>
      <c r="AA289" s="506">
        <f t="shared" ca="1" si="312"/>
        <v>0.1181</v>
      </c>
      <c r="AB289" s="506">
        <f t="shared" ca="1" si="312"/>
        <v>0.1181</v>
      </c>
      <c r="AC289" s="506">
        <f t="shared" ca="1" si="312"/>
        <v>0.1181</v>
      </c>
      <c r="AD289" s="506">
        <f t="shared" ca="1" si="312"/>
        <v>0.1181</v>
      </c>
      <c r="AE289" s="506">
        <f t="shared" ca="1" si="312"/>
        <v>0.1181</v>
      </c>
      <c r="AF289" s="506">
        <f t="shared" ca="1" si="312"/>
        <v>0.1181</v>
      </c>
      <c r="AG289" s="506">
        <f t="shared" ca="1" si="312"/>
        <v>0.1181</v>
      </c>
      <c r="AH289" s="509"/>
      <c r="AI289" s="506"/>
      <c r="AJ289" s="509">
        <f ca="1">IF($C$4=Year1,-PMT(Lookups!$E$17,25,NPV(Lookups!$E$17,G289:AE289),0,1),IF($C$4=Year2,-PMT(Lookups!$F$17,25,NPV(Lookups!$F$17,H289:AF289),0,1),IF($C$4=Year3,-PMT(Lookups!$G$17,25,NPV(Lookups!$G$17,I289:AG289),0,1),-PMT(Lookups!$G$17,27,NPV(Lookups!$G$17,G289:AG289),0,1))))</f>
        <v>0.12063494471977737</v>
      </c>
      <c r="AK289" s="507"/>
      <c r="AL289" s="507"/>
      <c r="AM289" s="508">
        <f ca="1">IFERROR(AM269/AM254,0)</f>
        <v>0</v>
      </c>
      <c r="AN289" s="508">
        <f t="shared" ref="AN289:BM289" ca="1" si="313">IFERROR(AN269/AN254,0)</f>
        <v>0</v>
      </c>
      <c r="AO289" s="508">
        <f t="shared" ca="1" si="313"/>
        <v>0.12682504297971403</v>
      </c>
      <c r="AP289" s="508">
        <f t="shared" ca="1" si="313"/>
        <v>0.12682504297971403</v>
      </c>
      <c r="AQ289" s="508">
        <f t="shared" ca="1" si="313"/>
        <v>0.12682504297971403</v>
      </c>
      <c r="AR289" s="508">
        <f t="shared" ca="1" si="313"/>
        <v>0.12682504297971403</v>
      </c>
      <c r="AS289" s="508">
        <f t="shared" ca="1" si="313"/>
        <v>0.12682504297971403</v>
      </c>
      <c r="AT289" s="508">
        <f t="shared" ca="1" si="313"/>
        <v>0.12682504297971403</v>
      </c>
      <c r="AU289" s="508">
        <f t="shared" ca="1" si="313"/>
        <v>0.12682504297971403</v>
      </c>
      <c r="AV289" s="508">
        <f t="shared" ca="1" si="313"/>
        <v>0.12682504297971403</v>
      </c>
      <c r="AW289" s="508">
        <f t="shared" ca="1" si="313"/>
        <v>0.12682504297971403</v>
      </c>
      <c r="AX289" s="508">
        <f t="shared" ca="1" si="313"/>
        <v>0.12682504297971403</v>
      </c>
      <c r="AY289" s="508">
        <f t="shared" ca="1" si="313"/>
        <v>0.12682504297971403</v>
      </c>
      <c r="AZ289" s="508">
        <f t="shared" ca="1" si="313"/>
        <v>0.12682504297971403</v>
      </c>
      <c r="BA289" s="508">
        <f t="shared" ca="1" si="313"/>
        <v>0.12682504297971403</v>
      </c>
      <c r="BB289" s="508">
        <f t="shared" ca="1" si="313"/>
        <v>0.1181</v>
      </c>
      <c r="BC289" s="508">
        <f t="shared" ca="1" si="313"/>
        <v>0.1181</v>
      </c>
      <c r="BD289" s="508">
        <f t="shared" ca="1" si="313"/>
        <v>0.1181</v>
      </c>
      <c r="BE289" s="508">
        <f t="shared" ca="1" si="313"/>
        <v>0.1181</v>
      </c>
      <c r="BF289" s="508">
        <f t="shared" ca="1" si="313"/>
        <v>0.1181</v>
      </c>
      <c r="BG289" s="508">
        <f t="shared" ca="1" si="313"/>
        <v>0.1181</v>
      </c>
      <c r="BH289" s="508">
        <f t="shared" ca="1" si="313"/>
        <v>0.1181</v>
      </c>
      <c r="BI289" s="508">
        <f t="shared" ca="1" si="313"/>
        <v>0.1181</v>
      </c>
      <c r="BJ289" s="508">
        <f t="shared" ca="1" si="313"/>
        <v>0.1181</v>
      </c>
      <c r="BK289" s="508">
        <f t="shared" ca="1" si="313"/>
        <v>0.1181</v>
      </c>
      <c r="BL289" s="508">
        <f t="shared" ca="1" si="313"/>
        <v>0.1181</v>
      </c>
      <c r="BM289" s="508">
        <f t="shared" ca="1" si="313"/>
        <v>0.1181</v>
      </c>
      <c r="BN289" s="508"/>
      <c r="BO289" s="508"/>
      <c r="BP289" s="508">
        <f ca="1">IF($C$4=Year1,-PMT(Lookups!$E$17,25,NPV(Lookups!$E$17,AM289:BK289),0,1),IF($C$4=Year2,-PMT(Lookups!$F$17,25,NPV(Lookups!$F$17,AN289:BL289),0,1),IF($C$4=Year3,-PMT(Lookups!$G$17,25,NPV(Lookups!$G$17,AO289:BM289),0,1),-PMT(Lookups!$G$17,27,NPV(Lookups!$G$17,AM289:BM289),0,1))))</f>
        <v>0.12130179352097414</v>
      </c>
      <c r="BS289" s="84" t="s">
        <v>238</v>
      </c>
      <c r="BT289" s="51" t="s">
        <v>17</v>
      </c>
    </row>
    <row r="290" spans="1:72" x14ac:dyDescent="0.25">
      <c r="B290" s="243" t="str">
        <f t="shared" si="307"/>
        <v>Large C&amp;I</v>
      </c>
      <c r="C290" s="243" t="str">
        <f t="shared" si="307"/>
        <v>Rates</v>
      </c>
      <c r="D290" s="244" t="str">
        <f>D289</f>
        <v>Rates after DSM Scenario</v>
      </c>
      <c r="E290" s="84" t="s">
        <v>407</v>
      </c>
      <c r="F290" s="84" t="s">
        <v>182</v>
      </c>
      <c r="G290" s="506">
        <f ca="1">IFERROR(G270/G254,0)</f>
        <v>0</v>
      </c>
      <c r="H290" s="506">
        <f t="shared" ref="H290:AG290" ca="1" si="314">IFERROR(H270/H254,0)</f>
        <v>0</v>
      </c>
      <c r="I290" s="506">
        <f t="shared" ca="1" si="314"/>
        <v>5.7210699215510573E-3</v>
      </c>
      <c r="J290" s="506">
        <f t="shared" ca="1" si="314"/>
        <v>5.7210699215510573E-3</v>
      </c>
      <c r="K290" s="506">
        <f t="shared" ca="1" si="314"/>
        <v>5.7210699215510573E-3</v>
      </c>
      <c r="L290" s="506">
        <f t="shared" ca="1" si="314"/>
        <v>5.7210699215510573E-3</v>
      </c>
      <c r="M290" s="506">
        <f t="shared" ca="1" si="314"/>
        <v>5.7210699215510573E-3</v>
      </c>
      <c r="N290" s="506">
        <f t="shared" ca="1" si="314"/>
        <v>5.7210699215510573E-3</v>
      </c>
      <c r="O290" s="506">
        <f t="shared" ca="1" si="314"/>
        <v>5.7210699215510573E-3</v>
      </c>
      <c r="P290" s="506">
        <f t="shared" ca="1" si="314"/>
        <v>5.7210699215510573E-3</v>
      </c>
      <c r="Q290" s="506">
        <f t="shared" ca="1" si="314"/>
        <v>5.7210699215510573E-3</v>
      </c>
      <c r="R290" s="506">
        <f t="shared" ca="1" si="314"/>
        <v>5.7210699215510573E-3</v>
      </c>
      <c r="S290" s="506">
        <f t="shared" ca="1" si="314"/>
        <v>5.7210699215510573E-3</v>
      </c>
      <c r="T290" s="506">
        <f t="shared" ca="1" si="314"/>
        <v>5.7210699215510573E-3</v>
      </c>
      <c r="U290" s="506">
        <f t="shared" ca="1" si="314"/>
        <v>5.7210699215510573E-3</v>
      </c>
      <c r="V290" s="506">
        <f t="shared" ca="1" si="314"/>
        <v>5.2000000000000032E-3</v>
      </c>
      <c r="W290" s="506">
        <f t="shared" ca="1" si="314"/>
        <v>5.2000000000000032E-3</v>
      </c>
      <c r="X290" s="506">
        <f t="shared" ca="1" si="314"/>
        <v>5.2000000000000032E-3</v>
      </c>
      <c r="Y290" s="506">
        <f t="shared" ca="1" si="314"/>
        <v>5.2000000000000032E-3</v>
      </c>
      <c r="Z290" s="506">
        <f t="shared" ca="1" si="314"/>
        <v>5.2000000000000032E-3</v>
      </c>
      <c r="AA290" s="506">
        <f t="shared" ca="1" si="314"/>
        <v>5.2000000000000032E-3</v>
      </c>
      <c r="AB290" s="506">
        <f t="shared" ca="1" si="314"/>
        <v>5.2000000000000032E-3</v>
      </c>
      <c r="AC290" s="506">
        <f t="shared" ca="1" si="314"/>
        <v>5.2000000000000032E-3</v>
      </c>
      <c r="AD290" s="506">
        <f t="shared" ca="1" si="314"/>
        <v>5.2000000000000032E-3</v>
      </c>
      <c r="AE290" s="506">
        <f t="shared" ca="1" si="314"/>
        <v>5.2000000000000032E-3</v>
      </c>
      <c r="AF290" s="506">
        <f t="shared" ca="1" si="314"/>
        <v>5.2000000000000032E-3</v>
      </c>
      <c r="AG290" s="506">
        <f t="shared" ca="1" si="314"/>
        <v>5.2000000000000032E-3</v>
      </c>
      <c r="AH290" s="509"/>
      <c r="AI290" s="506"/>
      <c r="AJ290" s="509">
        <f ca="1">IF($C$4=Year1,-PMT(Lookups!$E$17,25,NPV(Lookups!$E$17,G290:AE290),0,1),IF($C$4=Year2,-PMT(Lookups!$F$17,25,NPV(Lookups!$F$17,H290:AF290),0,1),IF($C$4=Year3,-PMT(Lookups!$G$17,25,NPV(Lookups!$G$17,I290:AG290),0,1),-PMT(Lookups!$G$17,27,NPV(Lookups!$G$17,G290:AG290),0,1))))</f>
        <v>5.4170592083069126E-3</v>
      </c>
      <c r="AK290" s="507"/>
      <c r="AL290" s="507"/>
      <c r="AM290" s="508">
        <f ca="1">IFERROR(AM270/AM254,0)</f>
        <v>0</v>
      </c>
      <c r="AN290" s="508">
        <f t="shared" ref="AN290:BM290" ca="1" si="315">IFERROR(AN270/AN254,0)</f>
        <v>0</v>
      </c>
      <c r="AO290" s="508">
        <f t="shared" ca="1" si="315"/>
        <v>5.8041570551052787E-3</v>
      </c>
      <c r="AP290" s="508">
        <f t="shared" ca="1" si="315"/>
        <v>5.8041570551052787E-3</v>
      </c>
      <c r="AQ290" s="508">
        <f t="shared" ca="1" si="315"/>
        <v>5.8041570551052787E-3</v>
      </c>
      <c r="AR290" s="508">
        <f t="shared" ca="1" si="315"/>
        <v>5.8041570551052787E-3</v>
      </c>
      <c r="AS290" s="508">
        <f t="shared" ca="1" si="315"/>
        <v>5.8041570551052787E-3</v>
      </c>
      <c r="AT290" s="508">
        <f t="shared" ca="1" si="315"/>
        <v>5.8041570551052787E-3</v>
      </c>
      <c r="AU290" s="508">
        <f t="shared" ca="1" si="315"/>
        <v>5.8041570551052787E-3</v>
      </c>
      <c r="AV290" s="508">
        <f t="shared" ca="1" si="315"/>
        <v>5.8041570551052787E-3</v>
      </c>
      <c r="AW290" s="508">
        <f t="shared" ca="1" si="315"/>
        <v>5.8041570551052787E-3</v>
      </c>
      <c r="AX290" s="508">
        <f t="shared" ca="1" si="315"/>
        <v>5.8041570551052787E-3</v>
      </c>
      <c r="AY290" s="508">
        <f t="shared" ca="1" si="315"/>
        <v>5.8041570551052787E-3</v>
      </c>
      <c r="AZ290" s="508">
        <f t="shared" ca="1" si="315"/>
        <v>5.8041570551052787E-3</v>
      </c>
      <c r="BA290" s="508">
        <f t="shared" ca="1" si="315"/>
        <v>5.8041570551052787E-3</v>
      </c>
      <c r="BB290" s="508">
        <f t="shared" ca="1" si="315"/>
        <v>5.2000000000000032E-3</v>
      </c>
      <c r="BC290" s="508">
        <f t="shared" ca="1" si="315"/>
        <v>5.2000000000000032E-3</v>
      </c>
      <c r="BD290" s="508">
        <f t="shared" ca="1" si="315"/>
        <v>5.2000000000000032E-3</v>
      </c>
      <c r="BE290" s="508">
        <f t="shared" ca="1" si="315"/>
        <v>5.2000000000000032E-3</v>
      </c>
      <c r="BF290" s="508">
        <f t="shared" ca="1" si="315"/>
        <v>5.2000000000000032E-3</v>
      </c>
      <c r="BG290" s="508">
        <f t="shared" ca="1" si="315"/>
        <v>5.2000000000000032E-3</v>
      </c>
      <c r="BH290" s="508">
        <f t="shared" ca="1" si="315"/>
        <v>5.2000000000000032E-3</v>
      </c>
      <c r="BI290" s="508">
        <f t="shared" ca="1" si="315"/>
        <v>5.2000000000000032E-3</v>
      </c>
      <c r="BJ290" s="508">
        <f t="shared" ca="1" si="315"/>
        <v>5.2000000000000032E-3</v>
      </c>
      <c r="BK290" s="508">
        <f t="shared" ca="1" si="315"/>
        <v>5.2000000000000032E-3</v>
      </c>
      <c r="BL290" s="508">
        <f t="shared" ca="1" si="315"/>
        <v>5.2000000000000032E-3</v>
      </c>
      <c r="BM290" s="508">
        <f t="shared" ca="1" si="315"/>
        <v>5.2000000000000032E-3</v>
      </c>
      <c r="BN290" s="508"/>
      <c r="BO290" s="508"/>
      <c r="BP290" s="508">
        <f ca="1">IF($C$4=Year1,-PMT(Lookups!$E$17,25,NPV(Lookups!$E$17,AM290:BK290),0,1),IF($C$4=Year2,-PMT(Lookups!$F$17,25,NPV(Lookups!$F$17,AN290:BL290),0,1),IF($C$4=Year3,-PMT(Lookups!$G$17,25,NPV(Lookups!$G$17,AO290:BM290),0,1),-PMT(Lookups!$G$17,27,NPV(Lookups!$G$17,AM290:BM290),0,1))))</f>
        <v>5.4632345003791964E-3</v>
      </c>
      <c r="BS290" s="84" t="s">
        <v>237</v>
      </c>
      <c r="BT290" s="51" t="s">
        <v>17</v>
      </c>
    </row>
    <row r="291" spans="1:72" x14ac:dyDescent="0.25">
      <c r="B291" s="243" t="str">
        <f t="shared" si="307"/>
        <v>Large C&amp;I</v>
      </c>
      <c r="C291" s="243" t="str">
        <f t="shared" si="307"/>
        <v>Rates</v>
      </c>
      <c r="D291" s="244" t="str">
        <f t="shared" si="307"/>
        <v>Rates after DSM Scenario</v>
      </c>
      <c r="E291" s="84" t="s">
        <v>197</v>
      </c>
      <c r="F291" s="84" t="s">
        <v>182</v>
      </c>
      <c r="G291" s="506">
        <f ca="1">IFERROR(G277+G283,0)</f>
        <v>0</v>
      </c>
      <c r="H291" s="506">
        <f t="shared" ref="H291:AG291" ca="1" si="316">IFERROR(H277+H283,0)</f>
        <v>0</v>
      </c>
      <c r="I291" s="506">
        <f t="shared" ca="1" si="316"/>
        <v>0.61558621508316158</v>
      </c>
      <c r="J291" s="506">
        <f t="shared" ca="1" si="316"/>
        <v>0.61558621508316158</v>
      </c>
      <c r="K291" s="506">
        <f t="shared" ca="1" si="316"/>
        <v>0.61558621508316158</v>
      </c>
      <c r="L291" s="506">
        <f t="shared" ca="1" si="316"/>
        <v>0.61558621508316158</v>
      </c>
      <c r="M291" s="506">
        <f t="shared" ca="1" si="316"/>
        <v>0.61558621508316158</v>
      </c>
      <c r="N291" s="506">
        <f t="shared" ca="1" si="316"/>
        <v>0.61558621508316158</v>
      </c>
      <c r="O291" s="506">
        <f t="shared" ca="1" si="316"/>
        <v>0.61558621508316158</v>
      </c>
      <c r="P291" s="506">
        <f t="shared" ca="1" si="316"/>
        <v>0.61558621508316158</v>
      </c>
      <c r="Q291" s="506">
        <f t="shared" ca="1" si="316"/>
        <v>0.61558621508316158</v>
      </c>
      <c r="R291" s="506">
        <f t="shared" ca="1" si="316"/>
        <v>0.61558621508316158</v>
      </c>
      <c r="S291" s="506">
        <f t="shared" ca="1" si="316"/>
        <v>0.61558621508316158</v>
      </c>
      <c r="T291" s="506">
        <f t="shared" ca="1" si="316"/>
        <v>0.61558621508316158</v>
      </c>
      <c r="U291" s="506">
        <f t="shared" ca="1" si="316"/>
        <v>0.61558621508316158</v>
      </c>
      <c r="V291" s="506">
        <f t="shared" ca="1" si="316"/>
        <v>0.61899999999999999</v>
      </c>
      <c r="W291" s="506">
        <f t="shared" ca="1" si="316"/>
        <v>0.61899999999999999</v>
      </c>
      <c r="X291" s="506">
        <f t="shared" ca="1" si="316"/>
        <v>0.61899999999999999</v>
      </c>
      <c r="Y291" s="506">
        <f t="shared" ca="1" si="316"/>
        <v>0.61899999999999999</v>
      </c>
      <c r="Z291" s="506">
        <f t="shared" ca="1" si="316"/>
        <v>0.61899999999999999</v>
      </c>
      <c r="AA291" s="506">
        <f t="shared" ca="1" si="316"/>
        <v>0.61899999999999999</v>
      </c>
      <c r="AB291" s="506">
        <f t="shared" ca="1" si="316"/>
        <v>0.61899999999999999</v>
      </c>
      <c r="AC291" s="506">
        <f t="shared" ca="1" si="316"/>
        <v>0.61899999999999999</v>
      </c>
      <c r="AD291" s="506">
        <f t="shared" ca="1" si="316"/>
        <v>0.61899999999999999</v>
      </c>
      <c r="AE291" s="506">
        <f t="shared" ca="1" si="316"/>
        <v>0.61899999999999999</v>
      </c>
      <c r="AF291" s="506">
        <f t="shared" ca="1" si="316"/>
        <v>0.61899999999999999</v>
      </c>
      <c r="AG291" s="506">
        <f t="shared" ca="1" si="316"/>
        <v>0.61899999999999999</v>
      </c>
      <c r="AH291" s="509"/>
      <c r="AI291" s="506"/>
      <c r="AJ291" s="509">
        <f ca="1">IF($C$4=Year1,-PMT(Lookups!$E$17,25,NPV(Lookups!$E$17,G291:AE291),0,1),IF($C$4=Year2,-PMT(Lookups!$F$17,25,NPV(Lookups!$F$17,H291:AF291),0,1),IF($C$4=Year3,-PMT(Lookups!$G$17,25,NPV(Lookups!$G$17,I291:AG291),0,1),-PMT(Lookups!$G$17,27,NPV(Lookups!$G$17,G291:AG291),0,1))))</f>
        <v>0.6084697781096986</v>
      </c>
      <c r="AK291" s="507"/>
      <c r="AL291" s="507"/>
      <c r="AM291" s="508">
        <f ca="1">IFERROR(AM277+AM283,0)</f>
        <v>0</v>
      </c>
      <c r="AN291" s="508">
        <f t="shared" ref="AN291:BM291" ca="1" si="317">IFERROR(AN277+AN283,0)</f>
        <v>0</v>
      </c>
      <c r="AO291" s="508">
        <f t="shared" ca="1" si="317"/>
        <v>0.61504187047300551</v>
      </c>
      <c r="AP291" s="508">
        <f t="shared" ca="1" si="317"/>
        <v>0.61504187047300551</v>
      </c>
      <c r="AQ291" s="508">
        <f t="shared" ca="1" si="317"/>
        <v>0.61504187047300551</v>
      </c>
      <c r="AR291" s="508">
        <f t="shared" ca="1" si="317"/>
        <v>0.61504187047300551</v>
      </c>
      <c r="AS291" s="508">
        <f t="shared" ca="1" si="317"/>
        <v>0.61504187047300551</v>
      </c>
      <c r="AT291" s="508">
        <f t="shared" ca="1" si="317"/>
        <v>0.61504187047300551</v>
      </c>
      <c r="AU291" s="508">
        <f t="shared" ca="1" si="317"/>
        <v>0.61504187047300551</v>
      </c>
      <c r="AV291" s="508">
        <f t="shared" ca="1" si="317"/>
        <v>0.61504187047300551</v>
      </c>
      <c r="AW291" s="508">
        <f t="shared" ca="1" si="317"/>
        <v>0.61504187047300551</v>
      </c>
      <c r="AX291" s="508">
        <f t="shared" ca="1" si="317"/>
        <v>0.61504187047300551</v>
      </c>
      <c r="AY291" s="508">
        <f t="shared" ca="1" si="317"/>
        <v>0.61504187047300551</v>
      </c>
      <c r="AZ291" s="508">
        <f t="shared" ca="1" si="317"/>
        <v>0.61504187047300551</v>
      </c>
      <c r="BA291" s="508">
        <f t="shared" ca="1" si="317"/>
        <v>0.61504187047300551</v>
      </c>
      <c r="BB291" s="508">
        <f t="shared" ca="1" si="317"/>
        <v>0.61899999999999999</v>
      </c>
      <c r="BC291" s="508">
        <f t="shared" ca="1" si="317"/>
        <v>0.61899999999999999</v>
      </c>
      <c r="BD291" s="508">
        <f t="shared" ca="1" si="317"/>
        <v>0.61899999999999999</v>
      </c>
      <c r="BE291" s="508">
        <f t="shared" ca="1" si="317"/>
        <v>0.61899999999999999</v>
      </c>
      <c r="BF291" s="508">
        <f t="shared" ca="1" si="317"/>
        <v>0.61899999999999999</v>
      </c>
      <c r="BG291" s="508">
        <f t="shared" ca="1" si="317"/>
        <v>0.61899999999999999</v>
      </c>
      <c r="BH291" s="508">
        <f t="shared" ca="1" si="317"/>
        <v>0.61899999999999999</v>
      </c>
      <c r="BI291" s="508">
        <f t="shared" ca="1" si="317"/>
        <v>0.61899999999999999</v>
      </c>
      <c r="BJ291" s="508">
        <f t="shared" ca="1" si="317"/>
        <v>0.61899999999999999</v>
      </c>
      <c r="BK291" s="508">
        <f t="shared" ca="1" si="317"/>
        <v>0.61899999999999999</v>
      </c>
      <c r="BL291" s="508">
        <f t="shared" ca="1" si="317"/>
        <v>0.61899999999999999</v>
      </c>
      <c r="BM291" s="508">
        <f t="shared" ca="1" si="317"/>
        <v>0.61899999999999999</v>
      </c>
      <c r="BN291" s="508"/>
      <c r="BO291" s="508"/>
      <c r="BP291" s="508">
        <f ca="1">IF($C$4=Year1,-PMT(Lookups!$E$17,25,NPV(Lookups!$E$17,AM291:BK291),0,1),IF($C$4=Year2,-PMT(Lookups!$F$17,25,NPV(Lookups!$F$17,AN291:BL291),0,1),IF($C$4=Year3,-PMT(Lookups!$G$17,25,NPV(Lookups!$G$17,AO291:BM291),0,1),-PMT(Lookups!$G$17,27,NPV(Lookups!$G$17,AM291:BM291),0,1))))</f>
        <v>0.60816726109789754</v>
      </c>
      <c r="BS291" s="86" t="s">
        <v>236</v>
      </c>
      <c r="BT291" s="51" t="s">
        <v>17</v>
      </c>
    </row>
    <row r="292" spans="1:72" x14ac:dyDescent="0.25">
      <c r="B292" s="243" t="str">
        <f t="shared" si="307"/>
        <v>Large C&amp;I</v>
      </c>
      <c r="C292" s="243" t="str">
        <f t="shared" si="307"/>
        <v>Rates</v>
      </c>
      <c r="D292" s="244" t="str">
        <f t="shared" si="307"/>
        <v>Rates after DSM Scenario</v>
      </c>
      <c r="E292" s="84" t="s">
        <v>406</v>
      </c>
      <c r="F292" s="84" t="s">
        <v>182</v>
      </c>
      <c r="G292" s="509">
        <f ca="1">G286</f>
        <v>0</v>
      </c>
      <c r="H292" s="509">
        <f t="shared" ref="H292:AG292" ca="1" si="318">H286</f>
        <v>0</v>
      </c>
      <c r="I292" s="509">
        <f t="shared" ca="1" si="318"/>
        <v>0.15875101082198512</v>
      </c>
      <c r="J292" s="509">
        <f t="shared" ca="1" si="318"/>
        <v>0</v>
      </c>
      <c r="K292" s="509">
        <f t="shared" ca="1" si="318"/>
        <v>0</v>
      </c>
      <c r="L292" s="509">
        <f t="shared" ca="1" si="318"/>
        <v>0</v>
      </c>
      <c r="M292" s="509">
        <f t="shared" ca="1" si="318"/>
        <v>0</v>
      </c>
      <c r="N292" s="509">
        <f t="shared" ca="1" si="318"/>
        <v>0</v>
      </c>
      <c r="O292" s="509">
        <f t="shared" ca="1" si="318"/>
        <v>0</v>
      </c>
      <c r="P292" s="509">
        <f t="shared" ca="1" si="318"/>
        <v>0</v>
      </c>
      <c r="Q292" s="509">
        <f t="shared" ca="1" si="318"/>
        <v>0</v>
      </c>
      <c r="R292" s="509">
        <f t="shared" ca="1" si="318"/>
        <v>0</v>
      </c>
      <c r="S292" s="509">
        <f t="shared" ca="1" si="318"/>
        <v>0</v>
      </c>
      <c r="T292" s="509">
        <f t="shared" ca="1" si="318"/>
        <v>0</v>
      </c>
      <c r="U292" s="509">
        <f t="shared" ca="1" si="318"/>
        <v>0</v>
      </c>
      <c r="V292" s="509">
        <f t="shared" ca="1" si="318"/>
        <v>0</v>
      </c>
      <c r="W292" s="509">
        <f t="shared" ca="1" si="318"/>
        <v>0</v>
      </c>
      <c r="X292" s="509">
        <f t="shared" ca="1" si="318"/>
        <v>0</v>
      </c>
      <c r="Y292" s="509">
        <f t="shared" ca="1" si="318"/>
        <v>0</v>
      </c>
      <c r="Z292" s="509">
        <f t="shared" ca="1" si="318"/>
        <v>0</v>
      </c>
      <c r="AA292" s="509">
        <f t="shared" ca="1" si="318"/>
        <v>0</v>
      </c>
      <c r="AB292" s="509">
        <f t="shared" ca="1" si="318"/>
        <v>0</v>
      </c>
      <c r="AC292" s="509">
        <f t="shared" ca="1" si="318"/>
        <v>0</v>
      </c>
      <c r="AD292" s="509">
        <f t="shared" ca="1" si="318"/>
        <v>0</v>
      </c>
      <c r="AE292" s="509">
        <f t="shared" ca="1" si="318"/>
        <v>0</v>
      </c>
      <c r="AF292" s="509">
        <f t="shared" ca="1" si="318"/>
        <v>0</v>
      </c>
      <c r="AG292" s="509">
        <f t="shared" ca="1" si="318"/>
        <v>0</v>
      </c>
      <c r="AH292" s="509"/>
      <c r="AI292" s="509"/>
      <c r="AJ292" s="509">
        <f ca="1">IF($C$4=Year1,-PMT(Lookups!$E$17,25,NPV(Lookups!$E$17,G292:AE292),0,1),IF($C$4=Year2,-PMT(Lookups!$F$17,25,NPV(Lookups!$F$17,H292:AF292),0,1),IF($C$4=Year3,-PMT(Lookups!$G$17,25,NPV(Lookups!$G$17,I292:AG292),0,1),-PMT(Lookups!$G$17,27,NPV(Lookups!$G$17,G292:AG292),0,1))))</f>
        <v>7.3730511423326364E-3</v>
      </c>
      <c r="AK292" s="507"/>
      <c r="AL292" s="507"/>
      <c r="AM292" s="508">
        <f ca="1">AM286</f>
        <v>0</v>
      </c>
      <c r="AN292" s="508">
        <f t="shared" ref="AN292:BM292" ca="1" si="319">AN286</f>
        <v>0</v>
      </c>
      <c r="AO292" s="508">
        <f t="shared" ca="1" si="319"/>
        <v>0.19050121298638215</v>
      </c>
      <c r="AP292" s="508">
        <f t="shared" ca="1" si="319"/>
        <v>0</v>
      </c>
      <c r="AQ292" s="508">
        <f t="shared" ca="1" si="319"/>
        <v>0</v>
      </c>
      <c r="AR292" s="508">
        <f t="shared" ca="1" si="319"/>
        <v>0</v>
      </c>
      <c r="AS292" s="508">
        <f t="shared" ca="1" si="319"/>
        <v>0</v>
      </c>
      <c r="AT292" s="508">
        <f t="shared" ca="1" si="319"/>
        <v>0</v>
      </c>
      <c r="AU292" s="508">
        <f t="shared" ca="1" si="319"/>
        <v>0</v>
      </c>
      <c r="AV292" s="508">
        <f t="shared" ca="1" si="319"/>
        <v>0</v>
      </c>
      <c r="AW292" s="508">
        <f t="shared" ca="1" si="319"/>
        <v>0</v>
      </c>
      <c r="AX292" s="508">
        <f t="shared" ca="1" si="319"/>
        <v>0</v>
      </c>
      <c r="AY292" s="508">
        <f t="shared" ca="1" si="319"/>
        <v>0</v>
      </c>
      <c r="AZ292" s="508">
        <f t="shared" ca="1" si="319"/>
        <v>0</v>
      </c>
      <c r="BA292" s="508">
        <f t="shared" ca="1" si="319"/>
        <v>0</v>
      </c>
      <c r="BB292" s="508">
        <f t="shared" ca="1" si="319"/>
        <v>0</v>
      </c>
      <c r="BC292" s="508">
        <f t="shared" ca="1" si="319"/>
        <v>0</v>
      </c>
      <c r="BD292" s="508">
        <f t="shared" ca="1" si="319"/>
        <v>0</v>
      </c>
      <c r="BE292" s="508">
        <f t="shared" ca="1" si="319"/>
        <v>0</v>
      </c>
      <c r="BF292" s="508">
        <f t="shared" ca="1" si="319"/>
        <v>0</v>
      </c>
      <c r="BG292" s="508">
        <f t="shared" ca="1" si="319"/>
        <v>0</v>
      </c>
      <c r="BH292" s="508">
        <f t="shared" ca="1" si="319"/>
        <v>0</v>
      </c>
      <c r="BI292" s="508">
        <f t="shared" ca="1" si="319"/>
        <v>0</v>
      </c>
      <c r="BJ292" s="508">
        <f t="shared" ca="1" si="319"/>
        <v>0</v>
      </c>
      <c r="BK292" s="508">
        <f t="shared" ca="1" si="319"/>
        <v>0</v>
      </c>
      <c r="BL292" s="508">
        <f t="shared" ca="1" si="319"/>
        <v>0</v>
      </c>
      <c r="BM292" s="508">
        <f t="shared" ca="1" si="319"/>
        <v>0</v>
      </c>
      <c r="BN292" s="508"/>
      <c r="BO292" s="508"/>
      <c r="BP292" s="508">
        <f ca="1">IF($C$4=Year1,-PMT(Lookups!$E$17,25,NPV(Lookups!$E$17,AM292:BK292),0,1),IF($C$4=Year2,-PMT(Lookups!$F$17,25,NPV(Lookups!$F$17,AN292:BL292),0,1),IF($C$4=Year3,-PMT(Lookups!$G$17,25,NPV(Lookups!$G$17,AO292:BM292),0,1),-PMT(Lookups!$G$17,27,NPV(Lookups!$G$17,AM292:BM292),0,1))))</f>
        <v>8.8476613707991637E-3</v>
      </c>
      <c r="BS292" s="84" t="s">
        <v>403</v>
      </c>
      <c r="BT292" s="51" t="s">
        <v>17</v>
      </c>
    </row>
    <row r="293" spans="1:72" x14ac:dyDescent="0.25">
      <c r="B293" s="243" t="str">
        <f>B294</f>
        <v>Large C&amp;I</v>
      </c>
      <c r="C293" s="243" t="str">
        <f>C294</f>
        <v>Rates</v>
      </c>
      <c r="D293" s="244" t="str">
        <f>D294</f>
        <v>Rates after DSM Scenario</v>
      </c>
      <c r="E293" s="86" t="s">
        <v>75</v>
      </c>
      <c r="F293" s="84" t="s">
        <v>182</v>
      </c>
      <c r="G293" s="506">
        <f>G278</f>
        <v>0</v>
      </c>
      <c r="H293" s="506">
        <f t="shared" ref="H293:AG293" si="320">H278</f>
        <v>0</v>
      </c>
      <c r="I293" s="506">
        <f t="shared" si="320"/>
        <v>4.271893828439878E-2</v>
      </c>
      <c r="J293" s="506">
        <f t="shared" si="320"/>
        <v>4.271893828439878E-2</v>
      </c>
      <c r="K293" s="506">
        <f t="shared" si="320"/>
        <v>4.271893828439878E-2</v>
      </c>
      <c r="L293" s="506">
        <f t="shared" si="320"/>
        <v>4.271893828439878E-2</v>
      </c>
      <c r="M293" s="506">
        <f t="shared" si="320"/>
        <v>4.271893828439878E-2</v>
      </c>
      <c r="N293" s="506">
        <f t="shared" si="320"/>
        <v>4.271893828439878E-2</v>
      </c>
      <c r="O293" s="506">
        <f t="shared" si="320"/>
        <v>4.271893828439878E-2</v>
      </c>
      <c r="P293" s="506">
        <f t="shared" si="320"/>
        <v>4.271893828439878E-2</v>
      </c>
      <c r="Q293" s="506">
        <f t="shared" si="320"/>
        <v>4.271893828439878E-2</v>
      </c>
      <c r="R293" s="506">
        <f t="shared" si="320"/>
        <v>4.271893828439878E-2</v>
      </c>
      <c r="S293" s="506">
        <f t="shared" si="320"/>
        <v>4.271893828439878E-2</v>
      </c>
      <c r="T293" s="506">
        <f t="shared" si="320"/>
        <v>4.271893828439878E-2</v>
      </c>
      <c r="U293" s="506">
        <f t="shared" si="320"/>
        <v>4.271893828439878E-2</v>
      </c>
      <c r="V293" s="506">
        <f t="shared" si="320"/>
        <v>4.271893828439878E-2</v>
      </c>
      <c r="W293" s="506">
        <f t="shared" si="320"/>
        <v>4.271893828439878E-2</v>
      </c>
      <c r="X293" s="506">
        <f t="shared" si="320"/>
        <v>4.271893828439878E-2</v>
      </c>
      <c r="Y293" s="506">
        <f t="shared" si="320"/>
        <v>4.271893828439878E-2</v>
      </c>
      <c r="Z293" s="506">
        <f t="shared" si="320"/>
        <v>4.271893828439878E-2</v>
      </c>
      <c r="AA293" s="506">
        <f t="shared" si="320"/>
        <v>4.271893828439878E-2</v>
      </c>
      <c r="AB293" s="506">
        <f t="shared" si="320"/>
        <v>4.271893828439878E-2</v>
      </c>
      <c r="AC293" s="506">
        <f t="shared" si="320"/>
        <v>4.271893828439878E-2</v>
      </c>
      <c r="AD293" s="506">
        <f t="shared" si="320"/>
        <v>4.271893828439878E-2</v>
      </c>
      <c r="AE293" s="506">
        <f t="shared" si="320"/>
        <v>4.271893828439878E-2</v>
      </c>
      <c r="AF293" s="506">
        <f t="shared" si="320"/>
        <v>4.271893828439878E-2</v>
      </c>
      <c r="AG293" s="506">
        <f t="shared" si="320"/>
        <v>4.271893828439878E-2</v>
      </c>
      <c r="AH293" s="506"/>
      <c r="AI293" s="506"/>
      <c r="AJ293" s="506">
        <f>IF($C$4=Year1,-PMT(Lookups!$E$17,25,NPV(Lookups!$E$17,G293:AE293),0,1),IF($C$4=Year2,-PMT(Lookups!$F$17,25,NPV(Lookups!$F$17,H293:AF293),0,1),IF($C$4=Year3,-PMT(Lookups!$G$17,25,NPV(Lookups!$G$17,I293:AG293),0,1),-PMT(Lookups!$G$17,27,NPV(Lookups!$G$17,G293:AG293),0,1))))</f>
        <v>4.2123148733507407E-2</v>
      </c>
      <c r="AK293" s="507"/>
      <c r="AL293" s="507"/>
      <c r="AM293" s="508">
        <f>AM278</f>
        <v>0</v>
      </c>
      <c r="AN293" s="508">
        <f t="shared" ref="AN293:BM293" si="321">AN278</f>
        <v>0</v>
      </c>
      <c r="AO293" s="508">
        <f t="shared" si="321"/>
        <v>4.271893828439878E-2</v>
      </c>
      <c r="AP293" s="508">
        <f t="shared" si="321"/>
        <v>4.271893828439878E-2</v>
      </c>
      <c r="AQ293" s="508">
        <f t="shared" si="321"/>
        <v>4.271893828439878E-2</v>
      </c>
      <c r="AR293" s="508">
        <f t="shared" si="321"/>
        <v>4.271893828439878E-2</v>
      </c>
      <c r="AS293" s="508">
        <f t="shared" si="321"/>
        <v>4.271893828439878E-2</v>
      </c>
      <c r="AT293" s="508">
        <f t="shared" si="321"/>
        <v>4.271893828439878E-2</v>
      </c>
      <c r="AU293" s="508">
        <f t="shared" si="321"/>
        <v>4.271893828439878E-2</v>
      </c>
      <c r="AV293" s="508">
        <f t="shared" si="321"/>
        <v>4.271893828439878E-2</v>
      </c>
      <c r="AW293" s="508">
        <f t="shared" si="321"/>
        <v>4.271893828439878E-2</v>
      </c>
      <c r="AX293" s="508">
        <f t="shared" si="321"/>
        <v>4.271893828439878E-2</v>
      </c>
      <c r="AY293" s="508">
        <f t="shared" si="321"/>
        <v>4.271893828439878E-2</v>
      </c>
      <c r="AZ293" s="508">
        <f t="shared" si="321"/>
        <v>4.271893828439878E-2</v>
      </c>
      <c r="BA293" s="508">
        <f t="shared" si="321"/>
        <v>4.271893828439878E-2</v>
      </c>
      <c r="BB293" s="508">
        <f t="shared" si="321"/>
        <v>4.271893828439878E-2</v>
      </c>
      <c r="BC293" s="508">
        <f t="shared" si="321"/>
        <v>4.271893828439878E-2</v>
      </c>
      <c r="BD293" s="508">
        <f t="shared" si="321"/>
        <v>4.271893828439878E-2</v>
      </c>
      <c r="BE293" s="508">
        <f t="shared" si="321"/>
        <v>4.271893828439878E-2</v>
      </c>
      <c r="BF293" s="508">
        <f t="shared" si="321"/>
        <v>4.271893828439878E-2</v>
      </c>
      <c r="BG293" s="508">
        <f t="shared" si="321"/>
        <v>4.271893828439878E-2</v>
      </c>
      <c r="BH293" s="508">
        <f t="shared" si="321"/>
        <v>4.271893828439878E-2</v>
      </c>
      <c r="BI293" s="508">
        <f t="shared" si="321"/>
        <v>4.271893828439878E-2</v>
      </c>
      <c r="BJ293" s="508">
        <f t="shared" si="321"/>
        <v>4.271893828439878E-2</v>
      </c>
      <c r="BK293" s="508">
        <f t="shared" si="321"/>
        <v>4.271893828439878E-2</v>
      </c>
      <c r="BL293" s="508">
        <f t="shared" si="321"/>
        <v>4.271893828439878E-2</v>
      </c>
      <c r="BM293" s="508">
        <f t="shared" si="321"/>
        <v>4.271893828439878E-2</v>
      </c>
      <c r="BN293" s="508"/>
      <c r="BO293" s="508"/>
      <c r="BP293" s="508">
        <f>IF($C$4=Year1,-PMT(Lookups!$E$17,25,NPV(Lookups!$E$17,AM293:BK293),0,1),IF($C$4=Year2,-PMT(Lookups!$F$17,25,NPV(Lookups!$F$17,AN293:BL293),0,1),IF($C$4=Year3,-PMT(Lookups!$G$17,25,NPV(Lookups!$G$17,AO293:BM293),0,1),-PMT(Lookups!$G$17,27,NPV(Lookups!$G$17,AM293:BM293),0,1))))</f>
        <v>4.2123148733507407E-2</v>
      </c>
      <c r="BS293" s="84" t="s">
        <v>171</v>
      </c>
      <c r="BT293" s="51" t="s">
        <v>17</v>
      </c>
    </row>
    <row r="294" spans="1:72" x14ac:dyDescent="0.25">
      <c r="B294" s="243" t="str">
        <f>B292</f>
        <v>Large C&amp;I</v>
      </c>
      <c r="C294" s="243" t="str">
        <f>C292</f>
        <v>Rates</v>
      </c>
      <c r="D294" s="244" t="str">
        <f>D292</f>
        <v>Rates after DSM Scenario</v>
      </c>
      <c r="E294" s="84" t="s">
        <v>76</v>
      </c>
      <c r="F294" s="84" t="s">
        <v>182</v>
      </c>
      <c r="G294" s="506">
        <f ca="1">SUM(G289:G293)</f>
        <v>0</v>
      </c>
      <c r="H294" s="506">
        <f t="shared" ref="H294:AG294" ca="1" si="322">SUM(H289:H293)</f>
        <v>0</v>
      </c>
      <c r="I294" s="506">
        <f t="shared" ca="1" si="322"/>
        <v>0.94840235927938077</v>
      </c>
      <c r="J294" s="506">
        <f t="shared" ca="1" si="322"/>
        <v>0.7896513484573956</v>
      </c>
      <c r="K294" s="506">
        <f t="shared" ca="1" si="322"/>
        <v>0.7896513484573956</v>
      </c>
      <c r="L294" s="506">
        <f t="shared" ca="1" si="322"/>
        <v>0.7896513484573956</v>
      </c>
      <c r="M294" s="506">
        <f t="shared" ca="1" si="322"/>
        <v>0.7896513484573956</v>
      </c>
      <c r="N294" s="506">
        <f t="shared" ca="1" si="322"/>
        <v>0.7896513484573956</v>
      </c>
      <c r="O294" s="506">
        <f t="shared" ca="1" si="322"/>
        <v>0.7896513484573956</v>
      </c>
      <c r="P294" s="506">
        <f t="shared" ca="1" si="322"/>
        <v>0.7896513484573956</v>
      </c>
      <c r="Q294" s="506">
        <f t="shared" ca="1" si="322"/>
        <v>0.7896513484573956</v>
      </c>
      <c r="R294" s="506">
        <f t="shared" ca="1" si="322"/>
        <v>0.7896513484573956</v>
      </c>
      <c r="S294" s="506">
        <f t="shared" ca="1" si="322"/>
        <v>0.7896513484573956</v>
      </c>
      <c r="T294" s="506">
        <f t="shared" ca="1" si="322"/>
        <v>0.7896513484573956</v>
      </c>
      <c r="U294" s="506">
        <f t="shared" ca="1" si="322"/>
        <v>0.7896513484573956</v>
      </c>
      <c r="V294" s="506">
        <f t="shared" ca="1" si="322"/>
        <v>0.78501893828439873</v>
      </c>
      <c r="W294" s="506">
        <f t="shared" ca="1" si="322"/>
        <v>0.78501893828439873</v>
      </c>
      <c r="X294" s="506">
        <f t="shared" ca="1" si="322"/>
        <v>0.78501893828439873</v>
      </c>
      <c r="Y294" s="506">
        <f t="shared" ca="1" si="322"/>
        <v>0.78501893828439873</v>
      </c>
      <c r="Z294" s="506">
        <f t="shared" ca="1" si="322"/>
        <v>0.78501893828439873</v>
      </c>
      <c r="AA294" s="506">
        <f t="shared" ca="1" si="322"/>
        <v>0.78501893828439873</v>
      </c>
      <c r="AB294" s="506">
        <f t="shared" ca="1" si="322"/>
        <v>0.78501893828439873</v>
      </c>
      <c r="AC294" s="506">
        <f t="shared" ca="1" si="322"/>
        <v>0.78501893828439873</v>
      </c>
      <c r="AD294" s="506">
        <f t="shared" ca="1" si="322"/>
        <v>0.78501893828439873</v>
      </c>
      <c r="AE294" s="506">
        <f t="shared" ca="1" si="322"/>
        <v>0.78501893828439873</v>
      </c>
      <c r="AF294" s="506">
        <f t="shared" ca="1" si="322"/>
        <v>0.78501893828439873</v>
      </c>
      <c r="AG294" s="506">
        <f t="shared" ca="1" si="322"/>
        <v>0.78501893828439873</v>
      </c>
      <c r="AH294" s="506"/>
      <c r="AI294" s="506"/>
      <c r="AJ294" s="506">
        <f ca="1">IF($C$4=Year1,-PMT(Lookups!$E$17,25,NPV(Lookups!$E$17,G294:AE294),0,1),IF($C$4=Year2,-PMT(Lookups!$F$17,25,NPV(Lookups!$F$17,H294:AF294),0,1),IF($C$4=Year3,-PMT(Lookups!$G$17,25,NPV(Lookups!$G$17,I294:AG294),0,1),-PMT(Lookups!$G$17,27,NPV(Lookups!$G$17,G294:AG294),0,1))))</f>
        <v>0.78401798191362282</v>
      </c>
      <c r="AK294" s="507"/>
      <c r="AL294" s="507"/>
      <c r="AM294" s="508">
        <f ca="1">SUM(AM289:AM293)</f>
        <v>0</v>
      </c>
      <c r="AN294" s="508">
        <f t="shared" ref="AN294:BM294" ca="1" si="323">SUM(AN289:AN293)</f>
        <v>0</v>
      </c>
      <c r="AO294" s="508">
        <f t="shared" ca="1" si="323"/>
        <v>0.98089122177860577</v>
      </c>
      <c r="AP294" s="508">
        <f t="shared" ca="1" si="323"/>
        <v>0.79039000879222365</v>
      </c>
      <c r="AQ294" s="508">
        <f t="shared" ca="1" si="323"/>
        <v>0.79039000879222365</v>
      </c>
      <c r="AR294" s="508">
        <f t="shared" ca="1" si="323"/>
        <v>0.79039000879222365</v>
      </c>
      <c r="AS294" s="508">
        <f t="shared" ca="1" si="323"/>
        <v>0.79039000879222365</v>
      </c>
      <c r="AT294" s="508">
        <f t="shared" ca="1" si="323"/>
        <v>0.79039000879222365</v>
      </c>
      <c r="AU294" s="508">
        <f t="shared" ca="1" si="323"/>
        <v>0.79039000879222365</v>
      </c>
      <c r="AV294" s="508">
        <f t="shared" ca="1" si="323"/>
        <v>0.79039000879222365</v>
      </c>
      <c r="AW294" s="508">
        <f t="shared" ca="1" si="323"/>
        <v>0.79039000879222365</v>
      </c>
      <c r="AX294" s="508">
        <f t="shared" ca="1" si="323"/>
        <v>0.79039000879222365</v>
      </c>
      <c r="AY294" s="508">
        <f t="shared" ca="1" si="323"/>
        <v>0.79039000879222365</v>
      </c>
      <c r="AZ294" s="508">
        <f t="shared" ca="1" si="323"/>
        <v>0.79039000879222365</v>
      </c>
      <c r="BA294" s="508">
        <f t="shared" ca="1" si="323"/>
        <v>0.79039000879222365</v>
      </c>
      <c r="BB294" s="508">
        <f t="shared" ca="1" si="323"/>
        <v>0.78501893828439873</v>
      </c>
      <c r="BC294" s="508">
        <f t="shared" ca="1" si="323"/>
        <v>0.78501893828439873</v>
      </c>
      <c r="BD294" s="508">
        <f t="shared" ca="1" si="323"/>
        <v>0.78501893828439873</v>
      </c>
      <c r="BE294" s="508">
        <f t="shared" ca="1" si="323"/>
        <v>0.78501893828439873</v>
      </c>
      <c r="BF294" s="508">
        <f t="shared" ca="1" si="323"/>
        <v>0.78501893828439873</v>
      </c>
      <c r="BG294" s="508">
        <f t="shared" ca="1" si="323"/>
        <v>0.78501893828439873</v>
      </c>
      <c r="BH294" s="508">
        <f t="shared" ca="1" si="323"/>
        <v>0.78501893828439873</v>
      </c>
      <c r="BI294" s="508">
        <f t="shared" ca="1" si="323"/>
        <v>0.78501893828439873</v>
      </c>
      <c r="BJ294" s="508">
        <f t="shared" ca="1" si="323"/>
        <v>0.78501893828439873</v>
      </c>
      <c r="BK294" s="508">
        <f t="shared" ca="1" si="323"/>
        <v>0.78501893828439873</v>
      </c>
      <c r="BL294" s="508">
        <f t="shared" ca="1" si="323"/>
        <v>0.78501893828439873</v>
      </c>
      <c r="BM294" s="508">
        <f t="shared" ca="1" si="323"/>
        <v>0.78501893828439873</v>
      </c>
      <c r="BN294" s="508"/>
      <c r="BO294" s="508"/>
      <c r="BP294" s="508">
        <f ca="1">IF($C$4=Year1,-PMT(Lookups!$E$17,25,NPV(Lookups!$E$17,AM294:BK294),0,1),IF($C$4=Year2,-PMT(Lookups!$F$17,25,NPV(Lookups!$F$17,AN294:BL294),0,1),IF($C$4=Year3,-PMT(Lookups!$G$17,25,NPV(Lookups!$G$17,AO294:BM294),0,1),-PMT(Lookups!$G$17,27,NPV(Lookups!$G$17,AM294:BM294),0,1))))</f>
        <v>0.78590309922355728</v>
      </c>
      <c r="BS294" s="84" t="s">
        <v>235</v>
      </c>
      <c r="BT294" s="51" t="s">
        <v>17</v>
      </c>
    </row>
    <row r="295" spans="1:72" x14ac:dyDescent="0.25">
      <c r="B295" s="243" t="str">
        <f>B293</f>
        <v>Large C&amp;I</v>
      </c>
      <c r="C295" s="243" t="str">
        <f>C293</f>
        <v>Rates</v>
      </c>
      <c r="D295" s="114" t="s">
        <v>114</v>
      </c>
      <c r="E295" s="84"/>
      <c r="F295" s="84"/>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49"/>
      <c r="AI295" s="109"/>
      <c r="AJ295" s="49"/>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S295" s="84"/>
      <c r="BT295" s="51" t="s">
        <v>17</v>
      </c>
    </row>
    <row r="296" spans="1:72" x14ac:dyDescent="0.25">
      <c r="B296" s="243" t="str">
        <f t="shared" ref="B296:D311" si="324">B295</f>
        <v>Large C&amp;I</v>
      </c>
      <c r="C296" s="243" t="str">
        <f t="shared" si="324"/>
        <v>Rates</v>
      </c>
      <c r="D296" s="244" t="str">
        <f t="shared" si="324"/>
        <v>Change in Rates after DSM Scenario</v>
      </c>
      <c r="E296" s="84" t="s">
        <v>76</v>
      </c>
      <c r="F296" s="84" t="s">
        <v>182</v>
      </c>
      <c r="G296" s="510">
        <f ca="1">G294-G279</f>
        <v>0</v>
      </c>
      <c r="H296" s="510">
        <f t="shared" ref="H296:AG296" ca="1" si="325">H294-H279</f>
        <v>0</v>
      </c>
      <c r="I296" s="510">
        <f t="shared" ca="1" si="325"/>
        <v>0.16338342099498204</v>
      </c>
      <c r="J296" s="510">
        <f t="shared" ca="1" si="325"/>
        <v>4.6324101729968703E-3</v>
      </c>
      <c r="K296" s="510">
        <f t="shared" ca="1" si="325"/>
        <v>4.6324101729968703E-3</v>
      </c>
      <c r="L296" s="510">
        <f t="shared" ca="1" si="325"/>
        <v>4.6324101729968703E-3</v>
      </c>
      <c r="M296" s="510">
        <f t="shared" ca="1" si="325"/>
        <v>4.6324101729968703E-3</v>
      </c>
      <c r="N296" s="510">
        <f t="shared" ca="1" si="325"/>
        <v>4.6324101729968703E-3</v>
      </c>
      <c r="O296" s="510">
        <f t="shared" ca="1" si="325"/>
        <v>4.6324101729968703E-3</v>
      </c>
      <c r="P296" s="510">
        <f t="shared" ca="1" si="325"/>
        <v>4.6324101729968703E-3</v>
      </c>
      <c r="Q296" s="510">
        <f t="shared" ca="1" si="325"/>
        <v>4.6324101729968703E-3</v>
      </c>
      <c r="R296" s="510">
        <f t="shared" ca="1" si="325"/>
        <v>4.6324101729968703E-3</v>
      </c>
      <c r="S296" s="510">
        <f t="shared" ca="1" si="325"/>
        <v>4.6324101729968703E-3</v>
      </c>
      <c r="T296" s="510">
        <f t="shared" ca="1" si="325"/>
        <v>4.6324101729968703E-3</v>
      </c>
      <c r="U296" s="510">
        <f t="shared" ca="1" si="325"/>
        <v>4.6324101729968703E-3</v>
      </c>
      <c r="V296" s="510">
        <f t="shared" ca="1" si="325"/>
        <v>0</v>
      </c>
      <c r="W296" s="510">
        <f t="shared" ca="1" si="325"/>
        <v>0</v>
      </c>
      <c r="X296" s="510">
        <f t="shared" ca="1" si="325"/>
        <v>0</v>
      </c>
      <c r="Y296" s="510">
        <f t="shared" ca="1" si="325"/>
        <v>0</v>
      </c>
      <c r="Z296" s="510">
        <f t="shared" ca="1" si="325"/>
        <v>0</v>
      </c>
      <c r="AA296" s="510">
        <f t="shared" ca="1" si="325"/>
        <v>0</v>
      </c>
      <c r="AB296" s="510">
        <f t="shared" ca="1" si="325"/>
        <v>0</v>
      </c>
      <c r="AC296" s="510">
        <f t="shared" ca="1" si="325"/>
        <v>0</v>
      </c>
      <c r="AD296" s="510">
        <f t="shared" ca="1" si="325"/>
        <v>0</v>
      </c>
      <c r="AE296" s="510">
        <f t="shared" ca="1" si="325"/>
        <v>0</v>
      </c>
      <c r="AF296" s="510">
        <f t="shared" ca="1" si="325"/>
        <v>0</v>
      </c>
      <c r="AG296" s="510">
        <f t="shared" ca="1" si="325"/>
        <v>0</v>
      </c>
      <c r="AH296" s="510"/>
      <c r="AI296" s="510"/>
      <c r="AJ296" s="510">
        <f ca="1">IF($C$4=Year1,-PMT(Lookups!$E$17,25,NPV(Lookups!$E$17,G296:AE296),0,1),IF($C$4=Year2,-PMT(Lookups!$F$17,25,NPV(Lookups!$F$17,H296:AF296),0,1),IF($C$4=Year3,-PMT(Lookups!$G$17,25,NPV(Lookups!$G$17,I296:AG296),0,1),-PMT(Lookups!$G$17,27,NPV(Lookups!$G$17,G296:AG296),0,1))))</f>
        <v>9.9474917757570863E-3</v>
      </c>
      <c r="AK296" s="507"/>
      <c r="AL296" s="507"/>
      <c r="AM296" s="508">
        <f ca="1">AM294-AM279</f>
        <v>0</v>
      </c>
      <c r="AN296" s="508">
        <f t="shared" ref="AN296:BM296" ca="1" si="326">AN294-AN279</f>
        <v>0</v>
      </c>
      <c r="AO296" s="508">
        <f t="shared" ca="1" si="326"/>
        <v>0.19587228349420704</v>
      </c>
      <c r="AP296" s="508">
        <f t="shared" ca="1" si="326"/>
        <v>5.3710705078249266E-3</v>
      </c>
      <c r="AQ296" s="508">
        <f t="shared" ca="1" si="326"/>
        <v>5.3710705078249266E-3</v>
      </c>
      <c r="AR296" s="508">
        <f t="shared" ca="1" si="326"/>
        <v>5.3710705078249266E-3</v>
      </c>
      <c r="AS296" s="508">
        <f t="shared" ca="1" si="326"/>
        <v>5.3710705078249266E-3</v>
      </c>
      <c r="AT296" s="508">
        <f t="shared" ca="1" si="326"/>
        <v>5.3710705078249266E-3</v>
      </c>
      <c r="AU296" s="508">
        <f t="shared" ca="1" si="326"/>
        <v>5.3710705078249266E-3</v>
      </c>
      <c r="AV296" s="508">
        <f t="shared" ca="1" si="326"/>
        <v>5.3710705078249266E-3</v>
      </c>
      <c r="AW296" s="508">
        <f t="shared" ca="1" si="326"/>
        <v>5.3710705078249266E-3</v>
      </c>
      <c r="AX296" s="508">
        <f t="shared" ca="1" si="326"/>
        <v>5.3710705078249266E-3</v>
      </c>
      <c r="AY296" s="508">
        <f t="shared" ca="1" si="326"/>
        <v>5.3710705078249266E-3</v>
      </c>
      <c r="AZ296" s="508">
        <f t="shared" ca="1" si="326"/>
        <v>5.3710705078249266E-3</v>
      </c>
      <c r="BA296" s="508">
        <f t="shared" ca="1" si="326"/>
        <v>5.3710705078249266E-3</v>
      </c>
      <c r="BB296" s="508">
        <f t="shared" ca="1" si="326"/>
        <v>0</v>
      </c>
      <c r="BC296" s="508">
        <f t="shared" ca="1" si="326"/>
        <v>0</v>
      </c>
      <c r="BD296" s="508">
        <f t="shared" ca="1" si="326"/>
        <v>0</v>
      </c>
      <c r="BE296" s="508">
        <f t="shared" ca="1" si="326"/>
        <v>0</v>
      </c>
      <c r="BF296" s="508">
        <f t="shared" ca="1" si="326"/>
        <v>0</v>
      </c>
      <c r="BG296" s="508">
        <f t="shared" ca="1" si="326"/>
        <v>0</v>
      </c>
      <c r="BH296" s="508">
        <f t="shared" ca="1" si="326"/>
        <v>0</v>
      </c>
      <c r="BI296" s="508">
        <f t="shared" ca="1" si="326"/>
        <v>0</v>
      </c>
      <c r="BJ296" s="508">
        <f t="shared" ca="1" si="326"/>
        <v>0</v>
      </c>
      <c r="BK296" s="508">
        <f t="shared" ca="1" si="326"/>
        <v>0</v>
      </c>
      <c r="BL296" s="508">
        <f t="shared" ca="1" si="326"/>
        <v>0</v>
      </c>
      <c r="BM296" s="508">
        <f t="shared" ca="1" si="326"/>
        <v>0</v>
      </c>
      <c r="BN296" s="508"/>
      <c r="BO296" s="508"/>
      <c r="BP296" s="508">
        <f ca="1">IF($C$4=Year1,-PMT(Lookups!$E$17,25,NPV(Lookups!$E$17,AM296:BK296),0,1),IF($C$4=Year2,-PMT(Lookups!$F$17,25,NPV(Lookups!$F$17,AN296:BL296),0,1),IF($C$4=Year3,-PMT(Lookups!$G$17,25,NPV(Lookups!$G$17,AO296:BM296),0,1),-PMT(Lookups!$G$17,27,NPV(Lookups!$G$17,AM296:BM296),0,1))))</f>
        <v>1.1832609085691748E-2</v>
      </c>
      <c r="BS296" s="84" t="s">
        <v>233</v>
      </c>
      <c r="BT296" s="51" t="s">
        <v>17</v>
      </c>
    </row>
    <row r="297" spans="1:72" x14ac:dyDescent="0.25">
      <c r="B297" s="243" t="str">
        <f t="shared" si="324"/>
        <v>Large C&amp;I</v>
      </c>
      <c r="C297" s="243" t="str">
        <f t="shared" si="324"/>
        <v>Rates</v>
      </c>
      <c r="D297" s="244" t="str">
        <f t="shared" si="324"/>
        <v>Change in Rates after DSM Scenario</v>
      </c>
      <c r="E297" s="84" t="s">
        <v>76</v>
      </c>
      <c r="F297" s="84" t="s">
        <v>16</v>
      </c>
      <c r="G297" s="224">
        <f ca="1">IFERROR(G294/G279-1,0)</f>
        <v>0</v>
      </c>
      <c r="H297" s="224">
        <f t="shared" ref="H297:AG297" ca="1" si="327">IFERROR(H294/H279-1,0)</f>
        <v>0</v>
      </c>
      <c r="I297" s="224">
        <f t="shared" ca="1" si="327"/>
        <v>0.20812672539091159</v>
      </c>
      <c r="J297" s="224">
        <f t="shared" ca="1" si="327"/>
        <v>5.9010170928113226E-3</v>
      </c>
      <c r="K297" s="224">
        <f t="shared" ca="1" si="327"/>
        <v>5.9010170928113226E-3</v>
      </c>
      <c r="L297" s="224">
        <f t="shared" ca="1" si="327"/>
        <v>5.9010170928113226E-3</v>
      </c>
      <c r="M297" s="224">
        <f t="shared" ca="1" si="327"/>
        <v>5.9010170928113226E-3</v>
      </c>
      <c r="N297" s="224">
        <f t="shared" ca="1" si="327"/>
        <v>5.9010170928113226E-3</v>
      </c>
      <c r="O297" s="224">
        <f t="shared" ca="1" si="327"/>
        <v>5.9010170928113226E-3</v>
      </c>
      <c r="P297" s="224">
        <f t="shared" ca="1" si="327"/>
        <v>5.9010170928113226E-3</v>
      </c>
      <c r="Q297" s="224">
        <f t="shared" ca="1" si="327"/>
        <v>5.9010170928113226E-3</v>
      </c>
      <c r="R297" s="224">
        <f t="shared" ca="1" si="327"/>
        <v>5.9010170928113226E-3</v>
      </c>
      <c r="S297" s="224">
        <f t="shared" ca="1" si="327"/>
        <v>5.9010170928113226E-3</v>
      </c>
      <c r="T297" s="224">
        <f t="shared" ca="1" si="327"/>
        <v>5.9010170928113226E-3</v>
      </c>
      <c r="U297" s="224">
        <f t="shared" ca="1" si="327"/>
        <v>5.9010170928113226E-3</v>
      </c>
      <c r="V297" s="224">
        <f t="shared" ca="1" si="327"/>
        <v>0</v>
      </c>
      <c r="W297" s="224">
        <f t="shared" ca="1" si="327"/>
        <v>0</v>
      </c>
      <c r="X297" s="224">
        <f t="shared" ca="1" si="327"/>
        <v>0</v>
      </c>
      <c r="Y297" s="224">
        <f t="shared" ca="1" si="327"/>
        <v>0</v>
      </c>
      <c r="Z297" s="224">
        <f t="shared" ca="1" si="327"/>
        <v>0</v>
      </c>
      <c r="AA297" s="224">
        <f t="shared" ca="1" si="327"/>
        <v>0</v>
      </c>
      <c r="AB297" s="224">
        <f t="shared" ca="1" si="327"/>
        <v>0</v>
      </c>
      <c r="AC297" s="224">
        <f t="shared" ca="1" si="327"/>
        <v>0</v>
      </c>
      <c r="AD297" s="224">
        <f t="shared" ca="1" si="327"/>
        <v>0</v>
      </c>
      <c r="AE297" s="224">
        <f t="shared" ca="1" si="327"/>
        <v>0</v>
      </c>
      <c r="AF297" s="224">
        <f t="shared" ca="1" si="327"/>
        <v>0</v>
      </c>
      <c r="AG297" s="224">
        <f t="shared" ca="1" si="327"/>
        <v>0</v>
      </c>
      <c r="AH297" s="224"/>
      <c r="AI297" s="224"/>
      <c r="AJ297" s="224">
        <f ca="1">IFERROR(AJ294/AJ279-1,0)</f>
        <v>1.2850886195113098E-2</v>
      </c>
      <c r="AK297" s="212"/>
      <c r="AL297" s="212"/>
      <c r="AM297" s="504">
        <f ca="1">IFERROR(AM294/AM279-1,0)</f>
        <v>0</v>
      </c>
      <c r="AN297" s="504">
        <f t="shared" ref="AN297:BM297" ca="1" si="328">IFERROR(AN294/AN279-1,0)</f>
        <v>0</v>
      </c>
      <c r="AO297" s="504">
        <f t="shared" ca="1" si="328"/>
        <v>0.24951281292941996</v>
      </c>
      <c r="AP297" s="504">
        <f t="shared" ca="1" si="328"/>
        <v>6.8419629716998109E-3</v>
      </c>
      <c r="AQ297" s="504">
        <f t="shared" ca="1" si="328"/>
        <v>6.8419629716998109E-3</v>
      </c>
      <c r="AR297" s="504">
        <f t="shared" ca="1" si="328"/>
        <v>6.8419629716998109E-3</v>
      </c>
      <c r="AS297" s="504">
        <f t="shared" ca="1" si="328"/>
        <v>6.8419629716998109E-3</v>
      </c>
      <c r="AT297" s="504">
        <f t="shared" ca="1" si="328"/>
        <v>6.8419629716998109E-3</v>
      </c>
      <c r="AU297" s="504">
        <f t="shared" ca="1" si="328"/>
        <v>6.8419629716998109E-3</v>
      </c>
      <c r="AV297" s="504">
        <f t="shared" ca="1" si="328"/>
        <v>6.8419629716998109E-3</v>
      </c>
      <c r="AW297" s="504">
        <f t="shared" ca="1" si="328"/>
        <v>6.8419629716998109E-3</v>
      </c>
      <c r="AX297" s="504">
        <f t="shared" ca="1" si="328"/>
        <v>6.8419629716998109E-3</v>
      </c>
      <c r="AY297" s="504">
        <f t="shared" ca="1" si="328"/>
        <v>6.8419629716998109E-3</v>
      </c>
      <c r="AZ297" s="504">
        <f t="shared" ca="1" si="328"/>
        <v>6.8419629716998109E-3</v>
      </c>
      <c r="BA297" s="504">
        <f t="shared" ca="1" si="328"/>
        <v>6.8419629716998109E-3</v>
      </c>
      <c r="BB297" s="504">
        <f t="shared" ca="1" si="328"/>
        <v>0</v>
      </c>
      <c r="BC297" s="504">
        <f t="shared" ca="1" si="328"/>
        <v>0</v>
      </c>
      <c r="BD297" s="504">
        <f t="shared" ca="1" si="328"/>
        <v>0</v>
      </c>
      <c r="BE297" s="504">
        <f t="shared" ca="1" si="328"/>
        <v>0</v>
      </c>
      <c r="BF297" s="504">
        <f t="shared" ca="1" si="328"/>
        <v>0</v>
      </c>
      <c r="BG297" s="504">
        <f t="shared" ca="1" si="328"/>
        <v>0</v>
      </c>
      <c r="BH297" s="504">
        <f t="shared" ca="1" si="328"/>
        <v>0</v>
      </c>
      <c r="BI297" s="504">
        <f t="shared" ca="1" si="328"/>
        <v>0</v>
      </c>
      <c r="BJ297" s="504">
        <f t="shared" ca="1" si="328"/>
        <v>0</v>
      </c>
      <c r="BK297" s="504">
        <f t="shared" ca="1" si="328"/>
        <v>0</v>
      </c>
      <c r="BL297" s="504">
        <f t="shared" ca="1" si="328"/>
        <v>0</v>
      </c>
      <c r="BM297" s="504">
        <f t="shared" ca="1" si="328"/>
        <v>0</v>
      </c>
      <c r="BN297" s="504"/>
      <c r="BO297" s="504"/>
      <c r="BP297" s="504">
        <f ca="1">IFERROR(BP294/BP279-1,0)</f>
        <v>1.5286216483442194E-2</v>
      </c>
      <c r="BS297" s="84" t="s">
        <v>234</v>
      </c>
      <c r="BT297" s="51" t="s">
        <v>17</v>
      </c>
    </row>
    <row r="298" spans="1:72" x14ac:dyDescent="0.25">
      <c r="B298" s="243" t="str">
        <f t="shared" si="324"/>
        <v>Large C&amp;I</v>
      </c>
      <c r="C298" s="243" t="str">
        <f t="shared" si="324"/>
        <v>Rates</v>
      </c>
      <c r="D298" s="85"/>
      <c r="E298" s="84" t="s">
        <v>17</v>
      </c>
      <c r="F298" s="84"/>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S298" s="84"/>
      <c r="BT298" s="51" t="s">
        <v>17</v>
      </c>
    </row>
    <row r="299" spans="1:72" s="5" customFormat="1" ht="15.75" x14ac:dyDescent="0.25">
      <c r="A299" s="52"/>
      <c r="B299" s="241" t="str">
        <f t="shared" si="324"/>
        <v>Large C&amp;I</v>
      </c>
      <c r="C299" s="63" t="s">
        <v>51</v>
      </c>
      <c r="D299" s="61"/>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2"/>
      <c r="BO299" s="62"/>
      <c r="BP299" s="62"/>
      <c r="BS299" s="62"/>
      <c r="BT299" s="51" t="s">
        <v>17</v>
      </c>
    </row>
    <row r="300" spans="1:72" x14ac:dyDescent="0.25">
      <c r="B300" s="243" t="str">
        <f t="shared" si="324"/>
        <v>Large C&amp;I</v>
      </c>
      <c r="C300" s="243" t="str">
        <f>C299</f>
        <v>Bills</v>
      </c>
      <c r="D300" s="114" t="str">
        <f>"Bills before DSM ("&amp;Lookups!$D$22&amp;" Scenario, Non-Participant)"</f>
        <v>Bills before DSM (No EE Scenario, Non-Participant)</v>
      </c>
      <c r="E300" s="86"/>
      <c r="F300" s="84"/>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S300" s="84"/>
      <c r="BT300" s="51" t="s">
        <v>17</v>
      </c>
    </row>
    <row r="301" spans="1:72" x14ac:dyDescent="0.25">
      <c r="B301" s="243" t="str">
        <f t="shared" si="324"/>
        <v>Large C&amp;I</v>
      </c>
      <c r="C301" s="243" t="str">
        <f t="shared" si="324"/>
        <v>Bills</v>
      </c>
      <c r="D301" s="244" t="str">
        <f>D300</f>
        <v>Bills before DSM (No EE Scenario, Non-Participant)</v>
      </c>
      <c r="E301" s="86" t="s">
        <v>75</v>
      </c>
      <c r="F301" s="84" t="s">
        <v>31</v>
      </c>
      <c r="G301" s="659">
        <f>IF(G$8=0,0,INDEX('R&amp;B Inputs'!$H$45:$U$45,MATCH($B301,'R&amp;B Inputs'!$H$4:$U$4,0))*(1+INDEX('R&amp;B Inputs'!$H$46:$U$46,MATCH($B301,'R&amp;B Inputs'!$H$4:$U$4,0)))^(G$7-Year1)*12)</f>
        <v>0</v>
      </c>
      <c r="H301" s="659">
        <f>IF(H$8=0,0,INDEX('R&amp;B Inputs'!$H$45:$U$45,MATCH($B301,'R&amp;B Inputs'!$H$4:$U$4,0))*(1+INDEX('R&amp;B Inputs'!$H$46:$U$46,MATCH($B301,'R&amp;B Inputs'!$H$4:$U$4,0)))^(H$7-Year1)*12)</f>
        <v>0</v>
      </c>
      <c r="I301" s="659">
        <f>IF(I$8=0,0,INDEX('R&amp;B Inputs'!$H$45:$U$45,MATCH($B301,'R&amp;B Inputs'!$H$4:$U$4,0))*(1+INDEX('R&amp;B Inputs'!$H$46:$U$46,MATCH($B301,'R&amp;B Inputs'!$H$4:$U$4,0)))^(I$7-Year1)*12)</f>
        <v>8707.92</v>
      </c>
      <c r="J301" s="659">
        <f>IF(J$8=0,0,INDEX('R&amp;B Inputs'!$H$45:$U$45,MATCH($B301,'R&amp;B Inputs'!$H$4:$U$4,0))*(1+INDEX('R&amp;B Inputs'!$H$46:$U$46,MATCH($B301,'R&amp;B Inputs'!$H$4:$U$4,0)))^(J$7-Year1)*12)</f>
        <v>8707.92</v>
      </c>
      <c r="K301" s="659">
        <f>IF(K$8=0,0,INDEX('R&amp;B Inputs'!$H$45:$U$45,MATCH($B301,'R&amp;B Inputs'!$H$4:$U$4,0))*(1+INDEX('R&amp;B Inputs'!$H$46:$U$46,MATCH($B301,'R&amp;B Inputs'!$H$4:$U$4,0)))^(K$7-Year1)*12)</f>
        <v>8707.92</v>
      </c>
      <c r="L301" s="659">
        <f>IF(L$8=0,0,INDEX('R&amp;B Inputs'!$H$45:$U$45,MATCH($B301,'R&amp;B Inputs'!$H$4:$U$4,0))*(1+INDEX('R&amp;B Inputs'!$H$46:$U$46,MATCH($B301,'R&amp;B Inputs'!$H$4:$U$4,0)))^(L$7-Year1)*12)</f>
        <v>8707.92</v>
      </c>
      <c r="M301" s="659">
        <f>IF(M$8=0,0,INDEX('R&amp;B Inputs'!$H$45:$U$45,MATCH($B301,'R&amp;B Inputs'!$H$4:$U$4,0))*(1+INDEX('R&amp;B Inputs'!$H$46:$U$46,MATCH($B301,'R&amp;B Inputs'!$H$4:$U$4,0)))^(M$7-Year1)*12)</f>
        <v>8707.92</v>
      </c>
      <c r="N301" s="659">
        <f>IF(N$8=0,0,INDEX('R&amp;B Inputs'!$H$45:$U$45,MATCH($B301,'R&amp;B Inputs'!$H$4:$U$4,0))*(1+INDEX('R&amp;B Inputs'!$H$46:$U$46,MATCH($B301,'R&amp;B Inputs'!$H$4:$U$4,0)))^(N$7-Year1)*12)</f>
        <v>8707.92</v>
      </c>
      <c r="O301" s="659">
        <f>IF(O$8=0,0,INDEX('R&amp;B Inputs'!$H$45:$U$45,MATCH($B301,'R&amp;B Inputs'!$H$4:$U$4,0))*(1+INDEX('R&amp;B Inputs'!$H$46:$U$46,MATCH($B301,'R&amp;B Inputs'!$H$4:$U$4,0)))^(O$7-Year1)*12)</f>
        <v>8707.92</v>
      </c>
      <c r="P301" s="659">
        <f>IF(P$8=0,0,INDEX('R&amp;B Inputs'!$H$45:$U$45,MATCH($B301,'R&amp;B Inputs'!$H$4:$U$4,0))*(1+INDEX('R&amp;B Inputs'!$H$46:$U$46,MATCH($B301,'R&amp;B Inputs'!$H$4:$U$4,0)))^(P$7-Year1)*12)</f>
        <v>8707.92</v>
      </c>
      <c r="Q301" s="659">
        <f>IF(Q$8=0,0,INDEX('R&amp;B Inputs'!$H$45:$U$45,MATCH($B301,'R&amp;B Inputs'!$H$4:$U$4,0))*(1+INDEX('R&amp;B Inputs'!$H$46:$U$46,MATCH($B301,'R&amp;B Inputs'!$H$4:$U$4,0)))^(Q$7-Year1)*12)</f>
        <v>8707.92</v>
      </c>
      <c r="R301" s="659">
        <f>IF(R$8=0,0,INDEX('R&amp;B Inputs'!$H$45:$U$45,MATCH($B301,'R&amp;B Inputs'!$H$4:$U$4,0))*(1+INDEX('R&amp;B Inputs'!$H$46:$U$46,MATCH($B301,'R&amp;B Inputs'!$H$4:$U$4,0)))^(R$7-Year1)*12)</f>
        <v>8707.92</v>
      </c>
      <c r="S301" s="659">
        <f>IF(S$8=0,0,INDEX('R&amp;B Inputs'!$H$45:$U$45,MATCH($B301,'R&amp;B Inputs'!$H$4:$U$4,0))*(1+INDEX('R&amp;B Inputs'!$H$46:$U$46,MATCH($B301,'R&amp;B Inputs'!$H$4:$U$4,0)))^(S$7-Year1)*12)</f>
        <v>8707.92</v>
      </c>
      <c r="T301" s="659">
        <f>IF(T$8=0,0,INDEX('R&amp;B Inputs'!$H$45:$U$45,MATCH($B301,'R&amp;B Inputs'!$H$4:$U$4,0))*(1+INDEX('R&amp;B Inputs'!$H$46:$U$46,MATCH($B301,'R&amp;B Inputs'!$H$4:$U$4,0)))^(T$7-Year1)*12)</f>
        <v>8707.92</v>
      </c>
      <c r="U301" s="659">
        <f>IF(U$8=0,0,INDEX('R&amp;B Inputs'!$H$45:$U$45,MATCH($B301,'R&amp;B Inputs'!$H$4:$U$4,0))*(1+INDEX('R&amp;B Inputs'!$H$46:$U$46,MATCH($B301,'R&amp;B Inputs'!$H$4:$U$4,0)))^(U$7-Year1)*12)</f>
        <v>8707.92</v>
      </c>
      <c r="V301" s="659">
        <f>IF(V$8=0,0,INDEX('R&amp;B Inputs'!$H$45:$U$45,MATCH($B301,'R&amp;B Inputs'!$H$4:$U$4,0))*(1+INDEX('R&amp;B Inputs'!$H$46:$U$46,MATCH($B301,'R&amp;B Inputs'!$H$4:$U$4,0)))^(V$7-Year1)*12)</f>
        <v>8707.92</v>
      </c>
      <c r="W301" s="659">
        <f>IF(W$8=0,0,INDEX('R&amp;B Inputs'!$H$45:$U$45,MATCH($B301,'R&amp;B Inputs'!$H$4:$U$4,0))*(1+INDEX('R&amp;B Inputs'!$H$46:$U$46,MATCH($B301,'R&amp;B Inputs'!$H$4:$U$4,0)))^(W$7-Year1)*12)</f>
        <v>8707.92</v>
      </c>
      <c r="X301" s="659">
        <f>IF(X$8=0,0,INDEX('R&amp;B Inputs'!$H$45:$U$45,MATCH($B301,'R&amp;B Inputs'!$H$4:$U$4,0))*(1+INDEX('R&amp;B Inputs'!$H$46:$U$46,MATCH($B301,'R&amp;B Inputs'!$H$4:$U$4,0)))^(X$7-Year1)*12)</f>
        <v>8707.92</v>
      </c>
      <c r="Y301" s="659">
        <f>IF(Y$8=0,0,INDEX('R&amp;B Inputs'!$H$45:$U$45,MATCH($B301,'R&amp;B Inputs'!$H$4:$U$4,0))*(1+INDEX('R&amp;B Inputs'!$H$46:$U$46,MATCH($B301,'R&amp;B Inputs'!$H$4:$U$4,0)))^(Y$7-Year1)*12)</f>
        <v>8707.92</v>
      </c>
      <c r="Z301" s="659">
        <f>IF(Z$8=0,0,INDEX('R&amp;B Inputs'!$H$45:$U$45,MATCH($B301,'R&amp;B Inputs'!$H$4:$U$4,0))*(1+INDEX('R&amp;B Inputs'!$H$46:$U$46,MATCH($B301,'R&amp;B Inputs'!$H$4:$U$4,0)))^(Z$7-Year1)*12)</f>
        <v>8707.92</v>
      </c>
      <c r="AA301" s="659">
        <f>IF(AA$8=0,0,INDEX('R&amp;B Inputs'!$H$45:$U$45,MATCH($B301,'R&amp;B Inputs'!$H$4:$U$4,0))*(1+INDEX('R&amp;B Inputs'!$H$46:$U$46,MATCH($B301,'R&amp;B Inputs'!$H$4:$U$4,0)))^(AA$7-Year1)*12)</f>
        <v>8707.92</v>
      </c>
      <c r="AB301" s="659">
        <f>IF(AB$8=0,0,INDEX('R&amp;B Inputs'!$H$45:$U$45,MATCH($B301,'R&amp;B Inputs'!$H$4:$U$4,0))*(1+INDEX('R&amp;B Inputs'!$H$46:$U$46,MATCH($B301,'R&amp;B Inputs'!$H$4:$U$4,0)))^(AB$7-Year1)*12)</f>
        <v>8707.92</v>
      </c>
      <c r="AC301" s="659">
        <f>IF(AC$8=0,0,INDEX('R&amp;B Inputs'!$H$45:$U$45,MATCH($B301,'R&amp;B Inputs'!$H$4:$U$4,0))*(1+INDEX('R&amp;B Inputs'!$H$46:$U$46,MATCH($B301,'R&amp;B Inputs'!$H$4:$U$4,0)))^(AC$7-Year1)*12)</f>
        <v>8707.92</v>
      </c>
      <c r="AD301" s="659">
        <f>IF(AD$8=0,0,INDEX('R&amp;B Inputs'!$H$45:$U$45,MATCH($B301,'R&amp;B Inputs'!$H$4:$U$4,0))*(1+INDEX('R&amp;B Inputs'!$H$46:$U$46,MATCH($B301,'R&amp;B Inputs'!$H$4:$U$4,0)))^(AD$7-Year1)*12)</f>
        <v>8707.92</v>
      </c>
      <c r="AE301" s="659">
        <f>IF(AE$8=0,0,INDEX('R&amp;B Inputs'!$H$45:$U$45,MATCH($B301,'R&amp;B Inputs'!$H$4:$U$4,0))*(1+INDEX('R&amp;B Inputs'!$H$46:$U$46,MATCH($B301,'R&amp;B Inputs'!$H$4:$U$4,0)))^(AE$7-Year1)*12)</f>
        <v>8707.92</v>
      </c>
      <c r="AF301" s="659">
        <f>IF(AF$8=0,0,INDEX('R&amp;B Inputs'!$H$45:$U$45,MATCH($B301,'R&amp;B Inputs'!$H$4:$U$4,0))*(1+INDEX('R&amp;B Inputs'!$H$46:$U$46,MATCH($B301,'R&amp;B Inputs'!$H$4:$U$4,0)))^(AF$7-Year1)*12)</f>
        <v>8707.92</v>
      </c>
      <c r="AG301" s="659">
        <f>IF(AG$8=0,0,INDEX('R&amp;B Inputs'!$H$45:$U$45,MATCH($B301,'R&amp;B Inputs'!$H$4:$U$4,0))*(1+INDEX('R&amp;B Inputs'!$H$46:$U$46,MATCH($B301,'R&amp;B Inputs'!$H$4:$U$4,0)))^(AG$7-Year1)*12)</f>
        <v>8707.92</v>
      </c>
      <c r="AH301" s="49"/>
      <c r="AI301" s="49"/>
      <c r="AJ301" s="103">
        <f>IF($C$4=Year1,-PMT(Lookups!$E$17,25,NPV(Lookups!$E$17,G301:AE301),0,1),IF($C$4=Year2,-PMT(Lookups!$F$17,25,NPV(Lookups!$F$17,H301:AF301),0,1),IF($C$4=Year3,-PMT(Lookups!$G$17,25,NPV(Lookups!$G$17,I301:AG301),0,1),-PMT(Lookups!$G$17,27,NPV(Lookups!$G$17,G301:AG301),0,1))))</f>
        <v>8586.4729801452795</v>
      </c>
      <c r="AM301" s="705">
        <f>IF(AM$8=0,0,INDEX('R&amp;B Inputs'!$H$45:$U$45,MATCH($B301,'R&amp;B Inputs'!$H$4:$U$4,0))*(1+INDEX('R&amp;B Inputs'!$H$46:$U$46,MATCH($B301,'R&amp;B Inputs'!$H$4:$U$4,0)))^(AM$7-Year1)*12)</f>
        <v>0</v>
      </c>
      <c r="AN301" s="705">
        <f>IF(AN$8=0,0,INDEX('R&amp;B Inputs'!$H$45:$U$45,MATCH($B301,'R&amp;B Inputs'!$H$4:$U$4,0))*(1+INDEX('R&amp;B Inputs'!$H$46:$U$46,MATCH($B301,'R&amp;B Inputs'!$H$4:$U$4,0)))^(AN$7-Year1)*12)</f>
        <v>0</v>
      </c>
      <c r="AO301" s="705">
        <f>IF(AO$8=0,0,INDEX('R&amp;B Inputs'!$H$45:$U$45,MATCH($B301,'R&amp;B Inputs'!$H$4:$U$4,0))*(1+INDEX('R&amp;B Inputs'!$H$46:$U$46,MATCH($B301,'R&amp;B Inputs'!$H$4:$U$4,0)))^(AO$7-Year1)*12)</f>
        <v>8707.92</v>
      </c>
      <c r="AP301" s="705">
        <f>IF(AP$8=0,0,INDEX('R&amp;B Inputs'!$H$45:$U$45,MATCH($B301,'R&amp;B Inputs'!$H$4:$U$4,0))*(1+INDEX('R&amp;B Inputs'!$H$46:$U$46,MATCH($B301,'R&amp;B Inputs'!$H$4:$U$4,0)))^(AP$7-Year1)*12)</f>
        <v>8707.92</v>
      </c>
      <c r="AQ301" s="705">
        <f>IF(AQ$8=0,0,INDEX('R&amp;B Inputs'!$H$45:$U$45,MATCH($B301,'R&amp;B Inputs'!$H$4:$U$4,0))*(1+INDEX('R&amp;B Inputs'!$H$46:$U$46,MATCH($B301,'R&amp;B Inputs'!$H$4:$U$4,0)))^(AQ$7-Year1)*12)</f>
        <v>8707.92</v>
      </c>
      <c r="AR301" s="705">
        <f>IF(AR$8=0,0,INDEX('R&amp;B Inputs'!$H$45:$U$45,MATCH($B301,'R&amp;B Inputs'!$H$4:$U$4,0))*(1+INDEX('R&amp;B Inputs'!$H$46:$U$46,MATCH($B301,'R&amp;B Inputs'!$H$4:$U$4,0)))^(AR$7-Year1)*12)</f>
        <v>8707.92</v>
      </c>
      <c r="AS301" s="705">
        <f>IF(AS$8=0,0,INDEX('R&amp;B Inputs'!$H$45:$U$45,MATCH($B301,'R&amp;B Inputs'!$H$4:$U$4,0))*(1+INDEX('R&amp;B Inputs'!$H$46:$U$46,MATCH($B301,'R&amp;B Inputs'!$H$4:$U$4,0)))^(AS$7-Year1)*12)</f>
        <v>8707.92</v>
      </c>
      <c r="AT301" s="705">
        <f>IF(AT$8=0,0,INDEX('R&amp;B Inputs'!$H$45:$U$45,MATCH($B301,'R&amp;B Inputs'!$H$4:$U$4,0))*(1+INDEX('R&amp;B Inputs'!$H$46:$U$46,MATCH($B301,'R&amp;B Inputs'!$H$4:$U$4,0)))^(AT$7-Year1)*12)</f>
        <v>8707.92</v>
      </c>
      <c r="AU301" s="705">
        <f>IF(AU$8=0,0,INDEX('R&amp;B Inputs'!$H$45:$U$45,MATCH($B301,'R&amp;B Inputs'!$H$4:$U$4,0))*(1+INDEX('R&amp;B Inputs'!$H$46:$U$46,MATCH($B301,'R&amp;B Inputs'!$H$4:$U$4,0)))^(AU$7-Year1)*12)</f>
        <v>8707.92</v>
      </c>
      <c r="AV301" s="705">
        <f>IF(AV$8=0,0,INDEX('R&amp;B Inputs'!$H$45:$U$45,MATCH($B301,'R&amp;B Inputs'!$H$4:$U$4,0))*(1+INDEX('R&amp;B Inputs'!$H$46:$U$46,MATCH($B301,'R&amp;B Inputs'!$H$4:$U$4,0)))^(AV$7-Year1)*12)</f>
        <v>8707.92</v>
      </c>
      <c r="AW301" s="705">
        <f>IF(AW$8=0,0,INDEX('R&amp;B Inputs'!$H$45:$U$45,MATCH($B301,'R&amp;B Inputs'!$H$4:$U$4,0))*(1+INDEX('R&amp;B Inputs'!$H$46:$U$46,MATCH($B301,'R&amp;B Inputs'!$H$4:$U$4,0)))^(AW$7-Year1)*12)</f>
        <v>8707.92</v>
      </c>
      <c r="AX301" s="705">
        <f>IF(AX$8=0,0,INDEX('R&amp;B Inputs'!$H$45:$U$45,MATCH($B301,'R&amp;B Inputs'!$H$4:$U$4,0))*(1+INDEX('R&amp;B Inputs'!$H$46:$U$46,MATCH($B301,'R&amp;B Inputs'!$H$4:$U$4,0)))^(AX$7-Year1)*12)</f>
        <v>8707.92</v>
      </c>
      <c r="AY301" s="705">
        <f>IF(AY$8=0,0,INDEX('R&amp;B Inputs'!$H$45:$U$45,MATCH($B301,'R&amp;B Inputs'!$H$4:$U$4,0))*(1+INDEX('R&amp;B Inputs'!$H$46:$U$46,MATCH($B301,'R&amp;B Inputs'!$H$4:$U$4,0)))^(AY$7-Year1)*12)</f>
        <v>8707.92</v>
      </c>
      <c r="AZ301" s="705">
        <f>IF(AZ$8=0,0,INDEX('R&amp;B Inputs'!$H$45:$U$45,MATCH($B301,'R&amp;B Inputs'!$H$4:$U$4,0))*(1+INDEX('R&amp;B Inputs'!$H$46:$U$46,MATCH($B301,'R&amp;B Inputs'!$H$4:$U$4,0)))^(AZ$7-Year1)*12)</f>
        <v>8707.92</v>
      </c>
      <c r="BA301" s="705">
        <f>IF(BA$8=0,0,INDEX('R&amp;B Inputs'!$H$45:$U$45,MATCH($B301,'R&amp;B Inputs'!$H$4:$U$4,0))*(1+INDEX('R&amp;B Inputs'!$H$46:$U$46,MATCH($B301,'R&amp;B Inputs'!$H$4:$U$4,0)))^(BA$7-Year1)*12)</f>
        <v>8707.92</v>
      </c>
      <c r="BB301" s="705">
        <f>IF(BB$8=0,0,INDEX('R&amp;B Inputs'!$H$45:$U$45,MATCH($B301,'R&amp;B Inputs'!$H$4:$U$4,0))*(1+INDEX('R&amp;B Inputs'!$H$46:$U$46,MATCH($B301,'R&amp;B Inputs'!$H$4:$U$4,0)))^(BB$7-Year1)*12)</f>
        <v>8707.92</v>
      </c>
      <c r="BC301" s="705">
        <f>IF(BC$8=0,0,INDEX('R&amp;B Inputs'!$H$45:$U$45,MATCH($B301,'R&amp;B Inputs'!$H$4:$U$4,0))*(1+INDEX('R&amp;B Inputs'!$H$46:$U$46,MATCH($B301,'R&amp;B Inputs'!$H$4:$U$4,0)))^(BC$7-Year1)*12)</f>
        <v>8707.92</v>
      </c>
      <c r="BD301" s="705">
        <f>IF(BD$8=0,0,INDEX('R&amp;B Inputs'!$H$45:$U$45,MATCH($B301,'R&amp;B Inputs'!$H$4:$U$4,0))*(1+INDEX('R&amp;B Inputs'!$H$46:$U$46,MATCH($B301,'R&amp;B Inputs'!$H$4:$U$4,0)))^(BD$7-Year1)*12)</f>
        <v>8707.92</v>
      </c>
      <c r="BE301" s="705">
        <f>IF(BE$8=0,0,INDEX('R&amp;B Inputs'!$H$45:$U$45,MATCH($B301,'R&amp;B Inputs'!$H$4:$U$4,0))*(1+INDEX('R&amp;B Inputs'!$H$46:$U$46,MATCH($B301,'R&amp;B Inputs'!$H$4:$U$4,0)))^(BE$7-Year1)*12)</f>
        <v>8707.92</v>
      </c>
      <c r="BF301" s="705">
        <f>IF(BF$8=0,0,INDEX('R&amp;B Inputs'!$H$45:$U$45,MATCH($B301,'R&amp;B Inputs'!$H$4:$U$4,0))*(1+INDEX('R&amp;B Inputs'!$H$46:$U$46,MATCH($B301,'R&amp;B Inputs'!$H$4:$U$4,0)))^(BF$7-Year1)*12)</f>
        <v>8707.92</v>
      </c>
      <c r="BG301" s="705">
        <f>IF(BG$8=0,0,INDEX('R&amp;B Inputs'!$H$45:$U$45,MATCH($B301,'R&amp;B Inputs'!$H$4:$U$4,0))*(1+INDEX('R&amp;B Inputs'!$H$46:$U$46,MATCH($B301,'R&amp;B Inputs'!$H$4:$U$4,0)))^(BG$7-Year1)*12)</f>
        <v>8707.92</v>
      </c>
      <c r="BH301" s="705">
        <f>IF(BH$8=0,0,INDEX('R&amp;B Inputs'!$H$45:$U$45,MATCH($B301,'R&amp;B Inputs'!$H$4:$U$4,0))*(1+INDEX('R&amp;B Inputs'!$H$46:$U$46,MATCH($B301,'R&amp;B Inputs'!$H$4:$U$4,0)))^(BH$7-Year1)*12)</f>
        <v>8707.92</v>
      </c>
      <c r="BI301" s="705">
        <f>IF(BI$8=0,0,INDEX('R&amp;B Inputs'!$H$45:$U$45,MATCH($B301,'R&amp;B Inputs'!$H$4:$U$4,0))*(1+INDEX('R&amp;B Inputs'!$H$46:$U$46,MATCH($B301,'R&amp;B Inputs'!$H$4:$U$4,0)))^(BI$7-Year1)*12)</f>
        <v>8707.92</v>
      </c>
      <c r="BJ301" s="705">
        <f>IF(BJ$8=0,0,INDEX('R&amp;B Inputs'!$H$45:$U$45,MATCH($B301,'R&amp;B Inputs'!$H$4:$U$4,0))*(1+INDEX('R&amp;B Inputs'!$H$46:$U$46,MATCH($B301,'R&amp;B Inputs'!$H$4:$U$4,0)))^(BJ$7-Year1)*12)</f>
        <v>8707.92</v>
      </c>
      <c r="BK301" s="705">
        <f>IF(BK$8=0,0,INDEX('R&amp;B Inputs'!$H$45:$U$45,MATCH($B301,'R&amp;B Inputs'!$H$4:$U$4,0))*(1+INDEX('R&amp;B Inputs'!$H$46:$U$46,MATCH($B301,'R&amp;B Inputs'!$H$4:$U$4,0)))^(BK$7-Year1)*12)</f>
        <v>8707.92</v>
      </c>
      <c r="BL301" s="705">
        <f>IF(BL$8=0,0,INDEX('R&amp;B Inputs'!$H$45:$U$45,MATCH($B301,'R&amp;B Inputs'!$H$4:$U$4,0))*(1+INDEX('R&amp;B Inputs'!$H$46:$U$46,MATCH($B301,'R&amp;B Inputs'!$H$4:$U$4,0)))^(BL$7-Year1)*12)</f>
        <v>8707.92</v>
      </c>
      <c r="BM301" s="705">
        <f>IF(BM$8=0,0,INDEX('R&amp;B Inputs'!$H$45:$U$45,MATCH($B301,'R&amp;B Inputs'!$H$4:$U$4,0))*(1+INDEX('R&amp;B Inputs'!$H$46:$U$46,MATCH($B301,'R&amp;B Inputs'!$H$4:$U$4,0)))^(BM$7-Year1)*12)</f>
        <v>8707.92</v>
      </c>
      <c r="BN301" s="74"/>
      <c r="BO301" s="74"/>
      <c r="BP301" s="149">
        <f>IF($C$4=Year1,-PMT(Lookups!$E$17,25,NPV(Lookups!$E$17,AM301:BK301),0,1),IF($C$4=Year2,-PMT(Lookups!$F$17,25,NPV(Lookups!$F$17,AN301:BL301),0,1),IF($C$4=Year3,-PMT(Lookups!$G$17,25,NPV(Lookups!$G$17,AO301:BM301),0,1),-PMT(Lookups!$G$17,27,NPV(Lookups!$G$17,AM301:BM301),0,1))))</f>
        <v>8586.4729801452795</v>
      </c>
      <c r="BS301" s="84" t="str">
        <f t="shared" ref="BS301" si="329">E301&amp;" charge from the R&amp;B Inputs tab, escalated annually by the growth rate included on the R&amp;B Inputs tab."</f>
        <v>Customer Charge charge from the R&amp;B Inputs tab, escalated annually by the growth rate included on the R&amp;B Inputs tab.</v>
      </c>
      <c r="BT301" s="51" t="s">
        <v>17</v>
      </c>
    </row>
    <row r="302" spans="1:72" x14ac:dyDescent="0.25">
      <c r="B302" s="243" t="str">
        <f t="shared" si="324"/>
        <v>Large C&amp;I</v>
      </c>
      <c r="C302" s="243" t="str">
        <f t="shared" si="324"/>
        <v>Bills</v>
      </c>
      <c r="D302" s="244" t="str">
        <f>D301</f>
        <v>Bills before DSM (No EE Scenario, Non-Participant)</v>
      </c>
      <c r="E302" s="84" t="s">
        <v>309</v>
      </c>
      <c r="F302" s="84" t="s">
        <v>195</v>
      </c>
      <c r="G302" s="64">
        <f>IF(G$8=0,0,INDEX('R&amp;B Inputs'!$I$27:$V$27,MATCH($B302,'R&amp;B Inputs'!$I$4:$V$4,0))+INDEX('R&amp;B Inputs'!$I$28:$V$28,MATCH($B302,'R&amp;B Inputs'!$I$4:$V$4,0)))</f>
        <v>0</v>
      </c>
      <c r="H302" s="64">
        <f>IF(H$8=0,0,INDEX('R&amp;B Inputs'!$I$27:$V$27,MATCH($B302,'R&amp;B Inputs'!$I$4:$V$4,0))+INDEX('R&amp;B Inputs'!$I$28:$V$28,MATCH($B302,'R&amp;B Inputs'!$I$4:$V$4,0)))</f>
        <v>0</v>
      </c>
      <c r="I302" s="64">
        <f>IF(I$8=0,0,INDEX('R&amp;B Inputs'!$I$27:$V$27,MATCH($B302,'R&amp;B Inputs'!$I$4:$V$4,0))+INDEX('R&amp;B Inputs'!$I$28:$V$28,MATCH($B302,'R&amp;B Inputs'!$I$4:$V$4,0)))</f>
        <v>192845.93356180895</v>
      </c>
      <c r="J302" s="64">
        <f>IF(J$8=0,0,INDEX('R&amp;B Inputs'!$I$27:$V$27,MATCH($B302,'R&amp;B Inputs'!$I$4:$V$4,0))+INDEX('R&amp;B Inputs'!$I$28:$V$28,MATCH($B302,'R&amp;B Inputs'!$I$4:$V$4,0)))</f>
        <v>192845.93356180895</v>
      </c>
      <c r="K302" s="64">
        <f>IF(K$8=0,0,INDEX('R&amp;B Inputs'!$I$27:$V$27,MATCH($B302,'R&amp;B Inputs'!$I$4:$V$4,0))+INDEX('R&amp;B Inputs'!$I$28:$V$28,MATCH($B302,'R&amp;B Inputs'!$I$4:$V$4,0)))</f>
        <v>192845.93356180895</v>
      </c>
      <c r="L302" s="64">
        <f>IF(L$8=0,0,INDEX('R&amp;B Inputs'!$I$27:$V$27,MATCH($B302,'R&amp;B Inputs'!$I$4:$V$4,0))+INDEX('R&amp;B Inputs'!$I$28:$V$28,MATCH($B302,'R&amp;B Inputs'!$I$4:$V$4,0)))</f>
        <v>192845.93356180895</v>
      </c>
      <c r="M302" s="64">
        <f>IF(M$8=0,0,INDEX('R&amp;B Inputs'!$I$27:$V$27,MATCH($B302,'R&amp;B Inputs'!$I$4:$V$4,0))+INDEX('R&amp;B Inputs'!$I$28:$V$28,MATCH($B302,'R&amp;B Inputs'!$I$4:$V$4,0)))</f>
        <v>192845.93356180895</v>
      </c>
      <c r="N302" s="64">
        <f>IF(N$8=0,0,INDEX('R&amp;B Inputs'!$I$27:$V$27,MATCH($B302,'R&amp;B Inputs'!$I$4:$V$4,0))+INDEX('R&amp;B Inputs'!$I$28:$V$28,MATCH($B302,'R&amp;B Inputs'!$I$4:$V$4,0)))</f>
        <v>192845.93356180895</v>
      </c>
      <c r="O302" s="64">
        <f>IF(O$8=0,0,INDEX('R&amp;B Inputs'!$I$27:$V$27,MATCH($B302,'R&amp;B Inputs'!$I$4:$V$4,0))+INDEX('R&amp;B Inputs'!$I$28:$V$28,MATCH($B302,'R&amp;B Inputs'!$I$4:$V$4,0)))</f>
        <v>192845.93356180895</v>
      </c>
      <c r="P302" s="64">
        <f>IF(P$8=0,0,INDEX('R&amp;B Inputs'!$I$27:$V$27,MATCH($B302,'R&amp;B Inputs'!$I$4:$V$4,0))+INDEX('R&amp;B Inputs'!$I$28:$V$28,MATCH($B302,'R&amp;B Inputs'!$I$4:$V$4,0)))</f>
        <v>192845.93356180895</v>
      </c>
      <c r="Q302" s="64">
        <f>IF(Q$8=0,0,INDEX('R&amp;B Inputs'!$I$27:$V$27,MATCH($B302,'R&amp;B Inputs'!$I$4:$V$4,0))+INDEX('R&amp;B Inputs'!$I$28:$V$28,MATCH($B302,'R&amp;B Inputs'!$I$4:$V$4,0)))</f>
        <v>192845.93356180895</v>
      </c>
      <c r="R302" s="64">
        <f>IF(R$8=0,0,INDEX('R&amp;B Inputs'!$I$27:$V$27,MATCH($B302,'R&amp;B Inputs'!$I$4:$V$4,0))+INDEX('R&amp;B Inputs'!$I$28:$V$28,MATCH($B302,'R&amp;B Inputs'!$I$4:$V$4,0)))</f>
        <v>192845.93356180895</v>
      </c>
      <c r="S302" s="64">
        <f>IF(S$8=0,0,INDEX('R&amp;B Inputs'!$I$27:$V$27,MATCH($B302,'R&amp;B Inputs'!$I$4:$V$4,0))+INDEX('R&amp;B Inputs'!$I$28:$V$28,MATCH($B302,'R&amp;B Inputs'!$I$4:$V$4,0)))</f>
        <v>192845.93356180895</v>
      </c>
      <c r="T302" s="64">
        <f>IF(T$8=0,0,INDEX('R&amp;B Inputs'!$I$27:$V$27,MATCH($B302,'R&amp;B Inputs'!$I$4:$V$4,0))+INDEX('R&amp;B Inputs'!$I$28:$V$28,MATCH($B302,'R&amp;B Inputs'!$I$4:$V$4,0)))</f>
        <v>192845.93356180895</v>
      </c>
      <c r="U302" s="64">
        <f>IF(U$8=0,0,INDEX('R&amp;B Inputs'!$I$27:$V$27,MATCH($B302,'R&amp;B Inputs'!$I$4:$V$4,0))+INDEX('R&amp;B Inputs'!$I$28:$V$28,MATCH($B302,'R&amp;B Inputs'!$I$4:$V$4,0)))</f>
        <v>192845.93356180895</v>
      </c>
      <c r="V302" s="64">
        <f>IF(V$8=0,0,INDEX('R&amp;B Inputs'!$I$27:$V$27,MATCH($B302,'R&amp;B Inputs'!$I$4:$V$4,0))+INDEX('R&amp;B Inputs'!$I$28:$V$28,MATCH($B302,'R&amp;B Inputs'!$I$4:$V$4,0)))</f>
        <v>192845.93356180895</v>
      </c>
      <c r="W302" s="64">
        <f>IF(W$8=0,0,INDEX('R&amp;B Inputs'!$I$27:$V$27,MATCH($B302,'R&amp;B Inputs'!$I$4:$V$4,0))+INDEX('R&amp;B Inputs'!$I$28:$V$28,MATCH($B302,'R&amp;B Inputs'!$I$4:$V$4,0)))</f>
        <v>192845.93356180895</v>
      </c>
      <c r="X302" s="64">
        <f>IF(X$8=0,0,INDEX('R&amp;B Inputs'!$I$27:$V$27,MATCH($B302,'R&amp;B Inputs'!$I$4:$V$4,0))+INDEX('R&amp;B Inputs'!$I$28:$V$28,MATCH($B302,'R&amp;B Inputs'!$I$4:$V$4,0)))</f>
        <v>192845.93356180895</v>
      </c>
      <c r="Y302" s="64">
        <f>IF(Y$8=0,0,INDEX('R&amp;B Inputs'!$I$27:$V$27,MATCH($B302,'R&amp;B Inputs'!$I$4:$V$4,0))+INDEX('R&amp;B Inputs'!$I$28:$V$28,MATCH($B302,'R&amp;B Inputs'!$I$4:$V$4,0)))</f>
        <v>192845.93356180895</v>
      </c>
      <c r="Z302" s="64">
        <f>IF(Z$8=0,0,INDEX('R&amp;B Inputs'!$I$27:$V$27,MATCH($B302,'R&amp;B Inputs'!$I$4:$V$4,0))+INDEX('R&amp;B Inputs'!$I$28:$V$28,MATCH($B302,'R&amp;B Inputs'!$I$4:$V$4,0)))</f>
        <v>192845.93356180895</v>
      </c>
      <c r="AA302" s="64">
        <f>IF(AA$8=0,0,INDEX('R&amp;B Inputs'!$I$27:$V$27,MATCH($B302,'R&amp;B Inputs'!$I$4:$V$4,0))+INDEX('R&amp;B Inputs'!$I$28:$V$28,MATCH($B302,'R&amp;B Inputs'!$I$4:$V$4,0)))</f>
        <v>192845.93356180895</v>
      </c>
      <c r="AB302" s="64">
        <f>IF(AB$8=0,0,INDEX('R&amp;B Inputs'!$I$27:$V$27,MATCH($B302,'R&amp;B Inputs'!$I$4:$V$4,0))+INDEX('R&amp;B Inputs'!$I$28:$V$28,MATCH($B302,'R&amp;B Inputs'!$I$4:$V$4,0)))</f>
        <v>192845.93356180895</v>
      </c>
      <c r="AC302" s="64">
        <f>IF(AC$8=0,0,INDEX('R&amp;B Inputs'!$I$27:$V$27,MATCH($B302,'R&amp;B Inputs'!$I$4:$V$4,0))+INDEX('R&amp;B Inputs'!$I$28:$V$28,MATCH($B302,'R&amp;B Inputs'!$I$4:$V$4,0)))</f>
        <v>192845.93356180895</v>
      </c>
      <c r="AD302" s="64">
        <f>IF(AD$8=0,0,INDEX('R&amp;B Inputs'!$I$27:$V$27,MATCH($B302,'R&amp;B Inputs'!$I$4:$V$4,0))+INDEX('R&amp;B Inputs'!$I$28:$V$28,MATCH($B302,'R&amp;B Inputs'!$I$4:$V$4,0)))</f>
        <v>192845.93356180895</v>
      </c>
      <c r="AE302" s="64">
        <f>IF(AE$8=0,0,INDEX('R&amp;B Inputs'!$I$27:$V$27,MATCH($B302,'R&amp;B Inputs'!$I$4:$V$4,0))+INDEX('R&amp;B Inputs'!$I$28:$V$28,MATCH($B302,'R&amp;B Inputs'!$I$4:$V$4,0)))</f>
        <v>192845.93356180895</v>
      </c>
      <c r="AF302" s="64">
        <f>IF(AF$8=0,0,INDEX('R&amp;B Inputs'!$I$27:$V$27,MATCH($B302,'R&amp;B Inputs'!$I$4:$V$4,0))+INDEX('R&amp;B Inputs'!$I$28:$V$28,MATCH($B302,'R&amp;B Inputs'!$I$4:$V$4,0)))</f>
        <v>192845.93356180895</v>
      </c>
      <c r="AG302" s="64">
        <f>IF(AG$8=0,0,INDEX('R&amp;B Inputs'!$I$27:$V$27,MATCH($B302,'R&amp;B Inputs'!$I$4:$V$4,0))+INDEX('R&amp;B Inputs'!$I$28:$V$28,MATCH($B302,'R&amp;B Inputs'!$I$4:$V$4,0)))</f>
        <v>192845.93356180895</v>
      </c>
      <c r="AH302" s="64"/>
      <c r="AI302" s="64"/>
      <c r="AJ302" s="103"/>
      <c r="AM302" s="71">
        <f>IF(AM$8=0,0,INDEX('R&amp;B Inputs'!$I$27:$V$27,MATCH($B302,'R&amp;B Inputs'!$I$4:$V$4,0))+INDEX('R&amp;B Inputs'!$I$28:$V$28,MATCH($B302,'R&amp;B Inputs'!$I$4:$V$4,0)))</f>
        <v>0</v>
      </c>
      <c r="AN302" s="71">
        <f>IF(AN$8=0,0,INDEX('R&amp;B Inputs'!$I$27:$V$27,MATCH($B302,'R&amp;B Inputs'!$I$4:$V$4,0))+INDEX('R&amp;B Inputs'!$I$28:$V$28,MATCH($B302,'R&amp;B Inputs'!$I$4:$V$4,0)))</f>
        <v>0</v>
      </c>
      <c r="AO302" s="71">
        <f>IF(AO$8=0,0,INDEX('R&amp;B Inputs'!$I$27:$V$27,MATCH($B302,'R&amp;B Inputs'!$I$4:$V$4,0))+INDEX('R&amp;B Inputs'!$I$28:$V$28,MATCH($B302,'R&amp;B Inputs'!$I$4:$V$4,0)))</f>
        <v>192845.93356180895</v>
      </c>
      <c r="AP302" s="71">
        <f>IF(AP$8=0,0,INDEX('R&amp;B Inputs'!$I$27:$V$27,MATCH($B302,'R&amp;B Inputs'!$I$4:$V$4,0))+INDEX('R&amp;B Inputs'!$I$28:$V$28,MATCH($B302,'R&amp;B Inputs'!$I$4:$V$4,0)))</f>
        <v>192845.93356180895</v>
      </c>
      <c r="AQ302" s="71">
        <f>IF(AQ$8=0,0,INDEX('R&amp;B Inputs'!$I$27:$V$27,MATCH($B302,'R&amp;B Inputs'!$I$4:$V$4,0))+INDEX('R&amp;B Inputs'!$I$28:$V$28,MATCH($B302,'R&amp;B Inputs'!$I$4:$V$4,0)))</f>
        <v>192845.93356180895</v>
      </c>
      <c r="AR302" s="71">
        <f>IF(AR$8=0,0,INDEX('R&amp;B Inputs'!$I$27:$V$27,MATCH($B302,'R&amp;B Inputs'!$I$4:$V$4,0))+INDEX('R&amp;B Inputs'!$I$28:$V$28,MATCH($B302,'R&amp;B Inputs'!$I$4:$V$4,0)))</f>
        <v>192845.93356180895</v>
      </c>
      <c r="AS302" s="71">
        <f>IF(AS$8=0,0,INDEX('R&amp;B Inputs'!$I$27:$V$27,MATCH($B302,'R&amp;B Inputs'!$I$4:$V$4,0))+INDEX('R&amp;B Inputs'!$I$28:$V$28,MATCH($B302,'R&amp;B Inputs'!$I$4:$V$4,0)))</f>
        <v>192845.93356180895</v>
      </c>
      <c r="AT302" s="71">
        <f>IF(AT$8=0,0,INDEX('R&amp;B Inputs'!$I$27:$V$27,MATCH($B302,'R&amp;B Inputs'!$I$4:$V$4,0))+INDEX('R&amp;B Inputs'!$I$28:$V$28,MATCH($B302,'R&amp;B Inputs'!$I$4:$V$4,0)))</f>
        <v>192845.93356180895</v>
      </c>
      <c r="AU302" s="71">
        <f>IF(AU$8=0,0,INDEX('R&amp;B Inputs'!$I$27:$V$27,MATCH($B302,'R&amp;B Inputs'!$I$4:$V$4,0))+INDEX('R&amp;B Inputs'!$I$28:$V$28,MATCH($B302,'R&amp;B Inputs'!$I$4:$V$4,0)))</f>
        <v>192845.93356180895</v>
      </c>
      <c r="AV302" s="71">
        <f>IF(AV$8=0,0,INDEX('R&amp;B Inputs'!$I$27:$V$27,MATCH($B302,'R&amp;B Inputs'!$I$4:$V$4,0))+INDEX('R&amp;B Inputs'!$I$28:$V$28,MATCH($B302,'R&amp;B Inputs'!$I$4:$V$4,0)))</f>
        <v>192845.93356180895</v>
      </c>
      <c r="AW302" s="71">
        <f>IF(AW$8=0,0,INDEX('R&amp;B Inputs'!$I$27:$V$27,MATCH($B302,'R&amp;B Inputs'!$I$4:$V$4,0))+INDEX('R&amp;B Inputs'!$I$28:$V$28,MATCH($B302,'R&amp;B Inputs'!$I$4:$V$4,0)))</f>
        <v>192845.93356180895</v>
      </c>
      <c r="AX302" s="71">
        <f>IF(AX$8=0,0,INDEX('R&amp;B Inputs'!$I$27:$V$27,MATCH($B302,'R&amp;B Inputs'!$I$4:$V$4,0))+INDEX('R&amp;B Inputs'!$I$28:$V$28,MATCH($B302,'R&amp;B Inputs'!$I$4:$V$4,0)))</f>
        <v>192845.93356180895</v>
      </c>
      <c r="AY302" s="71">
        <f>IF(AY$8=0,0,INDEX('R&amp;B Inputs'!$I$27:$V$27,MATCH($B302,'R&amp;B Inputs'!$I$4:$V$4,0))+INDEX('R&amp;B Inputs'!$I$28:$V$28,MATCH($B302,'R&amp;B Inputs'!$I$4:$V$4,0)))</f>
        <v>192845.93356180895</v>
      </c>
      <c r="AZ302" s="71">
        <f>IF(AZ$8=0,0,INDEX('R&amp;B Inputs'!$I$27:$V$27,MATCH($B302,'R&amp;B Inputs'!$I$4:$V$4,0))+INDEX('R&amp;B Inputs'!$I$28:$V$28,MATCH($B302,'R&amp;B Inputs'!$I$4:$V$4,0)))</f>
        <v>192845.93356180895</v>
      </c>
      <c r="BA302" s="71">
        <f>IF(BA$8=0,0,INDEX('R&amp;B Inputs'!$I$27:$V$27,MATCH($B302,'R&amp;B Inputs'!$I$4:$V$4,0))+INDEX('R&amp;B Inputs'!$I$28:$V$28,MATCH($B302,'R&amp;B Inputs'!$I$4:$V$4,0)))</f>
        <v>192845.93356180895</v>
      </c>
      <c r="BB302" s="71">
        <f>IF(BB$8=0,0,INDEX('R&amp;B Inputs'!$I$27:$V$27,MATCH($B302,'R&amp;B Inputs'!$I$4:$V$4,0))+INDEX('R&amp;B Inputs'!$I$28:$V$28,MATCH($B302,'R&amp;B Inputs'!$I$4:$V$4,0)))</f>
        <v>192845.93356180895</v>
      </c>
      <c r="BC302" s="71">
        <f>IF(BC$8=0,0,INDEX('R&amp;B Inputs'!$I$27:$V$27,MATCH($B302,'R&amp;B Inputs'!$I$4:$V$4,0))+INDEX('R&amp;B Inputs'!$I$28:$V$28,MATCH($B302,'R&amp;B Inputs'!$I$4:$V$4,0)))</f>
        <v>192845.93356180895</v>
      </c>
      <c r="BD302" s="71">
        <f>IF(BD$8=0,0,INDEX('R&amp;B Inputs'!$I$27:$V$27,MATCH($B302,'R&amp;B Inputs'!$I$4:$V$4,0))+INDEX('R&amp;B Inputs'!$I$28:$V$28,MATCH($B302,'R&amp;B Inputs'!$I$4:$V$4,0)))</f>
        <v>192845.93356180895</v>
      </c>
      <c r="BE302" s="71">
        <f>IF(BE$8=0,0,INDEX('R&amp;B Inputs'!$I$27:$V$27,MATCH($B302,'R&amp;B Inputs'!$I$4:$V$4,0))+INDEX('R&amp;B Inputs'!$I$28:$V$28,MATCH($B302,'R&amp;B Inputs'!$I$4:$V$4,0)))</f>
        <v>192845.93356180895</v>
      </c>
      <c r="BF302" s="71">
        <f>IF(BF$8=0,0,INDEX('R&amp;B Inputs'!$I$27:$V$27,MATCH($B302,'R&amp;B Inputs'!$I$4:$V$4,0))+INDEX('R&amp;B Inputs'!$I$28:$V$28,MATCH($B302,'R&amp;B Inputs'!$I$4:$V$4,0)))</f>
        <v>192845.93356180895</v>
      </c>
      <c r="BG302" s="71">
        <f>IF(BG$8=0,0,INDEX('R&amp;B Inputs'!$I$27:$V$27,MATCH($B302,'R&amp;B Inputs'!$I$4:$V$4,0))+INDEX('R&amp;B Inputs'!$I$28:$V$28,MATCH($B302,'R&amp;B Inputs'!$I$4:$V$4,0)))</f>
        <v>192845.93356180895</v>
      </c>
      <c r="BH302" s="71">
        <f>IF(BH$8=0,0,INDEX('R&amp;B Inputs'!$I$27:$V$27,MATCH($B302,'R&amp;B Inputs'!$I$4:$V$4,0))+INDEX('R&amp;B Inputs'!$I$28:$V$28,MATCH($B302,'R&amp;B Inputs'!$I$4:$V$4,0)))</f>
        <v>192845.93356180895</v>
      </c>
      <c r="BI302" s="71">
        <f>IF(BI$8=0,0,INDEX('R&amp;B Inputs'!$I$27:$V$27,MATCH($B302,'R&amp;B Inputs'!$I$4:$V$4,0))+INDEX('R&amp;B Inputs'!$I$28:$V$28,MATCH($B302,'R&amp;B Inputs'!$I$4:$V$4,0)))</f>
        <v>192845.93356180895</v>
      </c>
      <c r="BJ302" s="71">
        <f>IF(BJ$8=0,0,INDEX('R&amp;B Inputs'!$I$27:$V$27,MATCH($B302,'R&amp;B Inputs'!$I$4:$V$4,0))+INDEX('R&amp;B Inputs'!$I$28:$V$28,MATCH($B302,'R&amp;B Inputs'!$I$4:$V$4,0)))</f>
        <v>192845.93356180895</v>
      </c>
      <c r="BK302" s="71">
        <f>IF(BK$8=0,0,INDEX('R&amp;B Inputs'!$I$27:$V$27,MATCH($B302,'R&amp;B Inputs'!$I$4:$V$4,0))+INDEX('R&amp;B Inputs'!$I$28:$V$28,MATCH($B302,'R&amp;B Inputs'!$I$4:$V$4,0)))</f>
        <v>192845.93356180895</v>
      </c>
      <c r="BL302" s="71">
        <f>IF(BL$8=0,0,INDEX('R&amp;B Inputs'!$I$27:$V$27,MATCH($B302,'R&amp;B Inputs'!$I$4:$V$4,0))+INDEX('R&amp;B Inputs'!$I$28:$V$28,MATCH($B302,'R&amp;B Inputs'!$I$4:$V$4,0)))</f>
        <v>192845.93356180895</v>
      </c>
      <c r="BM302" s="71">
        <f>IF(BM$8=0,0,INDEX('R&amp;B Inputs'!$I$27:$V$27,MATCH($B302,'R&amp;B Inputs'!$I$4:$V$4,0))+INDEX('R&amp;B Inputs'!$I$28:$V$28,MATCH($B302,'R&amp;B Inputs'!$I$4:$V$4,0)))</f>
        <v>192845.93356180895</v>
      </c>
      <c r="BN302" s="71"/>
      <c r="BO302" s="71"/>
      <c r="BP302" s="149"/>
      <c r="BS302" s="76" t="s">
        <v>96</v>
      </c>
      <c r="BT302" s="51" t="s">
        <v>17</v>
      </c>
    </row>
    <row r="303" spans="1:72" x14ac:dyDescent="0.25">
      <c r="B303" s="243" t="str">
        <f t="shared" si="324"/>
        <v>Large C&amp;I</v>
      </c>
      <c r="C303" s="243" t="str">
        <f t="shared" si="324"/>
        <v>Bills</v>
      </c>
      <c r="D303" s="244" t="str">
        <f>D302</f>
        <v>Bills before DSM (No EE Scenario, Non-Participant)</v>
      </c>
      <c r="E303" s="84" t="s">
        <v>77</v>
      </c>
      <c r="F303" s="84" t="s">
        <v>32</v>
      </c>
      <c r="G303" s="103">
        <f>G301+G302*(G279-G278)</f>
        <v>0</v>
      </c>
      <c r="H303" s="103">
        <f>H301+H302*(H279-H278)</f>
        <v>0</v>
      </c>
      <c r="I303" s="103">
        <f t="shared" ref="I303:AG303" si="330">I301+I302*(I279-I278)</f>
        <v>151857.45648293078</v>
      </c>
      <c r="J303" s="103">
        <f t="shared" si="330"/>
        <v>151857.45648293078</v>
      </c>
      <c r="K303" s="103">
        <f t="shared" si="330"/>
        <v>151857.45648293078</v>
      </c>
      <c r="L303" s="103">
        <f t="shared" si="330"/>
        <v>151857.45648293078</v>
      </c>
      <c r="M303" s="103">
        <f t="shared" si="330"/>
        <v>151857.45648293078</v>
      </c>
      <c r="N303" s="103">
        <f t="shared" si="330"/>
        <v>151857.45648293078</v>
      </c>
      <c r="O303" s="103">
        <f t="shared" si="330"/>
        <v>151857.45648293078</v>
      </c>
      <c r="P303" s="103">
        <f t="shared" si="330"/>
        <v>151857.45648293078</v>
      </c>
      <c r="Q303" s="103">
        <f t="shared" si="330"/>
        <v>151857.45648293078</v>
      </c>
      <c r="R303" s="103">
        <f t="shared" si="330"/>
        <v>151857.45648293078</v>
      </c>
      <c r="S303" s="103">
        <f t="shared" si="330"/>
        <v>151857.45648293078</v>
      </c>
      <c r="T303" s="103">
        <f t="shared" si="330"/>
        <v>151857.45648293078</v>
      </c>
      <c r="U303" s="103">
        <f t="shared" si="330"/>
        <v>151857.45648293078</v>
      </c>
      <c r="V303" s="103">
        <f t="shared" si="330"/>
        <v>151857.45648293078</v>
      </c>
      <c r="W303" s="103">
        <f t="shared" si="330"/>
        <v>151857.45648293078</v>
      </c>
      <c r="X303" s="103">
        <f t="shared" si="330"/>
        <v>151857.45648293078</v>
      </c>
      <c r="Y303" s="103">
        <f t="shared" si="330"/>
        <v>151857.45648293078</v>
      </c>
      <c r="Z303" s="103">
        <f t="shared" si="330"/>
        <v>151857.45648293078</v>
      </c>
      <c r="AA303" s="103">
        <f t="shared" si="330"/>
        <v>151857.45648293078</v>
      </c>
      <c r="AB303" s="103">
        <f t="shared" si="330"/>
        <v>151857.45648293078</v>
      </c>
      <c r="AC303" s="103">
        <f t="shared" si="330"/>
        <v>151857.45648293078</v>
      </c>
      <c r="AD303" s="103">
        <f t="shared" si="330"/>
        <v>151857.45648293078</v>
      </c>
      <c r="AE303" s="103">
        <f t="shared" si="330"/>
        <v>151857.45648293078</v>
      </c>
      <c r="AF303" s="103">
        <f t="shared" si="330"/>
        <v>151857.45648293078</v>
      </c>
      <c r="AG303" s="103">
        <f t="shared" si="330"/>
        <v>151857.45648293078</v>
      </c>
      <c r="AH303" s="103"/>
      <c r="AI303" s="103"/>
      <c r="AJ303" s="103">
        <f>IF($C$4=Year1,-PMT(Lookups!$E$17,25,NPV(Lookups!$E$17,G303:AE303),0,1),IF($C$4=Year2,-PMT(Lookups!$F$17,25,NPV(Lookups!$F$17,H303:AF303),0,1),IF($C$4=Year3,-PMT(Lookups!$G$17,25,NPV(Lookups!$G$17,I303:AG303),0,1),-PMT(Lookups!$G$17,27,NPV(Lookups!$G$17,G303:AG303),0,1))))</f>
        <v>149739.54135135285</v>
      </c>
      <c r="AM303" s="149">
        <f>AM301+AM302*(AM279-AM278)</f>
        <v>0</v>
      </c>
      <c r="AN303" s="149">
        <f t="shared" ref="AN303:BM303" si="331">AN301+AN302*(AN279-AN278)</f>
        <v>0</v>
      </c>
      <c r="AO303" s="149">
        <f t="shared" si="331"/>
        <v>151857.45648293078</v>
      </c>
      <c r="AP303" s="149">
        <f t="shared" si="331"/>
        <v>151857.45648293078</v>
      </c>
      <c r="AQ303" s="149">
        <f t="shared" si="331"/>
        <v>151857.45648293078</v>
      </c>
      <c r="AR303" s="149">
        <f t="shared" si="331"/>
        <v>151857.45648293078</v>
      </c>
      <c r="AS303" s="149">
        <f t="shared" si="331"/>
        <v>151857.45648293078</v>
      </c>
      <c r="AT303" s="149">
        <f t="shared" si="331"/>
        <v>151857.45648293078</v>
      </c>
      <c r="AU303" s="149">
        <f t="shared" si="331"/>
        <v>151857.45648293078</v>
      </c>
      <c r="AV303" s="149">
        <f t="shared" si="331"/>
        <v>151857.45648293078</v>
      </c>
      <c r="AW303" s="149">
        <f t="shared" si="331"/>
        <v>151857.45648293078</v>
      </c>
      <c r="AX303" s="149">
        <f t="shared" si="331"/>
        <v>151857.45648293078</v>
      </c>
      <c r="AY303" s="149">
        <f t="shared" si="331"/>
        <v>151857.45648293078</v>
      </c>
      <c r="AZ303" s="149">
        <f t="shared" si="331"/>
        <v>151857.45648293078</v>
      </c>
      <c r="BA303" s="149">
        <f t="shared" si="331"/>
        <v>151857.45648293078</v>
      </c>
      <c r="BB303" s="149">
        <f t="shared" si="331"/>
        <v>151857.45648293078</v>
      </c>
      <c r="BC303" s="149">
        <f t="shared" si="331"/>
        <v>151857.45648293078</v>
      </c>
      <c r="BD303" s="149">
        <f t="shared" si="331"/>
        <v>151857.45648293078</v>
      </c>
      <c r="BE303" s="149">
        <f t="shared" si="331"/>
        <v>151857.45648293078</v>
      </c>
      <c r="BF303" s="149">
        <f t="shared" si="331"/>
        <v>151857.45648293078</v>
      </c>
      <c r="BG303" s="149">
        <f t="shared" si="331"/>
        <v>151857.45648293078</v>
      </c>
      <c r="BH303" s="149">
        <f t="shared" si="331"/>
        <v>151857.45648293078</v>
      </c>
      <c r="BI303" s="149">
        <f t="shared" si="331"/>
        <v>151857.45648293078</v>
      </c>
      <c r="BJ303" s="149">
        <f t="shared" si="331"/>
        <v>151857.45648293078</v>
      </c>
      <c r="BK303" s="149">
        <f t="shared" si="331"/>
        <v>151857.45648293078</v>
      </c>
      <c r="BL303" s="149">
        <f t="shared" si="331"/>
        <v>151857.45648293078</v>
      </c>
      <c r="BM303" s="149">
        <f t="shared" si="331"/>
        <v>151857.45648293078</v>
      </c>
      <c r="BN303" s="149"/>
      <c r="BO303" s="149"/>
      <c r="BP303" s="149">
        <f>IF($C$4=Year1,-PMT(Lookups!$E$17,25,NPV(Lookups!$E$17,AM303:BK303),0,1),IF($C$4=Year2,-PMT(Lookups!$F$17,25,NPV(Lookups!$F$17,AN303:BL303),0,1),IF($C$4=Year3,-PMT(Lookups!$G$17,25,NPV(Lookups!$G$17,AO303:BM303),0,1),-PMT(Lookups!$G$17,27,NPV(Lookups!$G$17,AM303:BM303),0,1))))</f>
        <v>149739.54135135285</v>
      </c>
      <c r="BS303" s="84" t="s">
        <v>97</v>
      </c>
      <c r="BT303" s="51" t="s">
        <v>17</v>
      </c>
    </row>
    <row r="304" spans="1:72" x14ac:dyDescent="0.25">
      <c r="B304" s="243" t="str">
        <f t="shared" si="324"/>
        <v>Large C&amp;I</v>
      </c>
      <c r="C304" s="243" t="str">
        <f t="shared" si="324"/>
        <v>Bills</v>
      </c>
      <c r="D304" s="114" t="s">
        <v>347</v>
      </c>
      <c r="E304" s="84"/>
      <c r="F304" s="84"/>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S304" s="84"/>
      <c r="BT304" s="51" t="s">
        <v>17</v>
      </c>
    </row>
    <row r="305" spans="1:72" x14ac:dyDescent="0.25">
      <c r="B305" s="243" t="str">
        <f t="shared" si="324"/>
        <v>Large C&amp;I</v>
      </c>
      <c r="C305" s="243" t="str">
        <f t="shared" si="324"/>
        <v>Bills</v>
      </c>
      <c r="D305" s="244" t="str">
        <f>D304</f>
        <v>Annual Savings from DSM Scenario</v>
      </c>
      <c r="E305" s="84" t="s">
        <v>78</v>
      </c>
      <c r="F305" s="84" t="s">
        <v>195</v>
      </c>
      <c r="G305" s="65">
        <f t="shared" ref="G305:AG305" ca="1" si="332">IFERROR(G253/G248,0)</f>
        <v>0</v>
      </c>
      <c r="H305" s="65">
        <f t="shared" ca="1" si="332"/>
        <v>0</v>
      </c>
      <c r="I305" s="65">
        <f t="shared" ca="1" si="332"/>
        <v>18565.759869021829</v>
      </c>
      <c r="J305" s="65">
        <f t="shared" ca="1" si="332"/>
        <v>18565.759869021829</v>
      </c>
      <c r="K305" s="65">
        <f t="shared" ca="1" si="332"/>
        <v>18565.759869021829</v>
      </c>
      <c r="L305" s="65">
        <f t="shared" ca="1" si="332"/>
        <v>18565.759869021829</v>
      </c>
      <c r="M305" s="65">
        <f t="shared" ca="1" si="332"/>
        <v>18565.759869021829</v>
      </c>
      <c r="N305" s="65">
        <f t="shared" ca="1" si="332"/>
        <v>18565.759869021829</v>
      </c>
      <c r="O305" s="65">
        <f t="shared" ca="1" si="332"/>
        <v>18565.759869021829</v>
      </c>
      <c r="P305" s="65">
        <f t="shared" ca="1" si="332"/>
        <v>18565.759869021829</v>
      </c>
      <c r="Q305" s="65">
        <f t="shared" ca="1" si="332"/>
        <v>18565.759869021829</v>
      </c>
      <c r="R305" s="65">
        <f t="shared" ca="1" si="332"/>
        <v>18565.759869021829</v>
      </c>
      <c r="S305" s="65">
        <f t="shared" ca="1" si="332"/>
        <v>18565.759869021829</v>
      </c>
      <c r="T305" s="65">
        <f t="shared" ca="1" si="332"/>
        <v>18565.759869021829</v>
      </c>
      <c r="U305" s="65">
        <f t="shared" ca="1" si="332"/>
        <v>18565.759869021829</v>
      </c>
      <c r="V305" s="65">
        <f t="shared" ca="1" si="332"/>
        <v>0</v>
      </c>
      <c r="W305" s="65">
        <f t="shared" ca="1" si="332"/>
        <v>0</v>
      </c>
      <c r="X305" s="65">
        <f t="shared" ca="1" si="332"/>
        <v>0</v>
      </c>
      <c r="Y305" s="65">
        <f t="shared" ca="1" si="332"/>
        <v>0</v>
      </c>
      <c r="Z305" s="65">
        <f t="shared" ca="1" si="332"/>
        <v>0</v>
      </c>
      <c r="AA305" s="65">
        <f t="shared" ca="1" si="332"/>
        <v>0</v>
      </c>
      <c r="AB305" s="65">
        <f t="shared" ca="1" si="332"/>
        <v>0</v>
      </c>
      <c r="AC305" s="65">
        <f t="shared" ca="1" si="332"/>
        <v>0</v>
      </c>
      <c r="AD305" s="65">
        <f t="shared" ca="1" si="332"/>
        <v>0</v>
      </c>
      <c r="AE305" s="65">
        <f t="shared" ca="1" si="332"/>
        <v>0</v>
      </c>
      <c r="AF305" s="65">
        <f t="shared" ca="1" si="332"/>
        <v>0</v>
      </c>
      <c r="AG305" s="65">
        <f t="shared" ca="1" si="332"/>
        <v>0</v>
      </c>
      <c r="AH305" s="65"/>
      <c r="AI305" s="65"/>
      <c r="AJ305" s="65"/>
      <c r="AM305" s="645">
        <f ca="1">IFERROR(AM253/AM248,0)</f>
        <v>0</v>
      </c>
      <c r="AN305" s="645">
        <f t="shared" ref="AN305:BM305" ca="1" si="333">IFERROR(AN253/AN248,0)</f>
        <v>0</v>
      </c>
      <c r="AO305" s="645">
        <f t="shared" ca="1" si="333"/>
        <v>21218.011278882095</v>
      </c>
      <c r="AP305" s="645">
        <f t="shared" ca="1" si="333"/>
        <v>21218.011278882095</v>
      </c>
      <c r="AQ305" s="645">
        <f t="shared" ca="1" si="333"/>
        <v>21218.011278882095</v>
      </c>
      <c r="AR305" s="645">
        <f t="shared" ca="1" si="333"/>
        <v>21218.011278882095</v>
      </c>
      <c r="AS305" s="645">
        <f t="shared" ca="1" si="333"/>
        <v>21218.011278882095</v>
      </c>
      <c r="AT305" s="645">
        <f t="shared" ca="1" si="333"/>
        <v>21218.011278882095</v>
      </c>
      <c r="AU305" s="645">
        <f t="shared" ca="1" si="333"/>
        <v>21218.011278882095</v>
      </c>
      <c r="AV305" s="645">
        <f t="shared" ca="1" si="333"/>
        <v>21218.011278882095</v>
      </c>
      <c r="AW305" s="645">
        <f t="shared" ca="1" si="333"/>
        <v>21218.011278882095</v>
      </c>
      <c r="AX305" s="645">
        <f t="shared" ca="1" si="333"/>
        <v>21218.011278882095</v>
      </c>
      <c r="AY305" s="645">
        <f t="shared" ca="1" si="333"/>
        <v>21218.011278882095</v>
      </c>
      <c r="AZ305" s="645">
        <f t="shared" ca="1" si="333"/>
        <v>21218.011278882095</v>
      </c>
      <c r="BA305" s="645">
        <f t="shared" ca="1" si="333"/>
        <v>21218.011278882095</v>
      </c>
      <c r="BB305" s="645">
        <f t="shared" ca="1" si="333"/>
        <v>0</v>
      </c>
      <c r="BC305" s="645">
        <f t="shared" ca="1" si="333"/>
        <v>0</v>
      </c>
      <c r="BD305" s="645">
        <f t="shared" ca="1" si="333"/>
        <v>0</v>
      </c>
      <c r="BE305" s="645">
        <f t="shared" ca="1" si="333"/>
        <v>0</v>
      </c>
      <c r="BF305" s="645">
        <f t="shared" ca="1" si="333"/>
        <v>0</v>
      </c>
      <c r="BG305" s="645">
        <f t="shared" ca="1" si="333"/>
        <v>0</v>
      </c>
      <c r="BH305" s="645">
        <f t="shared" ca="1" si="333"/>
        <v>0</v>
      </c>
      <c r="BI305" s="645">
        <f t="shared" ca="1" si="333"/>
        <v>0</v>
      </c>
      <c r="BJ305" s="645">
        <f t="shared" ca="1" si="333"/>
        <v>0</v>
      </c>
      <c r="BK305" s="645">
        <f t="shared" ca="1" si="333"/>
        <v>0</v>
      </c>
      <c r="BL305" s="645">
        <f t="shared" ca="1" si="333"/>
        <v>0</v>
      </c>
      <c r="BM305" s="645">
        <f t="shared" ca="1" si="333"/>
        <v>0</v>
      </c>
      <c r="BN305" s="71"/>
      <c r="BO305" s="71"/>
      <c r="BP305" s="71"/>
      <c r="BS305" s="84" t="s">
        <v>104</v>
      </c>
      <c r="BT305" s="51" t="s">
        <v>17</v>
      </c>
    </row>
    <row r="306" spans="1:72" x14ac:dyDescent="0.25">
      <c r="A306" s="246"/>
      <c r="B306" s="243" t="str">
        <f t="shared" si="324"/>
        <v>Large C&amp;I</v>
      </c>
      <c r="C306" s="243" t="str">
        <f t="shared" si="324"/>
        <v>Bills</v>
      </c>
      <c r="D306" s="244" t="str">
        <f>D305</f>
        <v>Annual Savings from DSM Scenario</v>
      </c>
      <c r="E306" s="84" t="str">
        <f>'EE Inputs'!$N$15&amp;" Participant"</f>
        <v>Low Savings Participant</v>
      </c>
      <c r="F306" s="84" t="s">
        <v>195</v>
      </c>
      <c r="G306" s="64" cm="1">
        <f t="array" aca="1" ref="G306" ca="1">IF($C$4=Lookups!$D$40,INDIRECT("'Yr1'!"&amp;ADDRESS(ROW(G306),COLUMN(G306))),
IF(G249=0,0,SUMIFS('EE Inputs'!$S$9:$S$32,'EE Inputs'!$C$9:$C$32,$G$6,'EE Inputs'!$D$9:$D$32,$C$4,'EE Inputs'!$E$9:$E$32,$B306)))</f>
        <v>0</v>
      </c>
      <c r="H306" s="64" cm="1">
        <f t="array" aca="1" ref="H306" ca="1">IF($C$4=Lookups!$D$40,INDIRECT("'Yr1'!"&amp;ADDRESS(ROW(H306),COLUMN(H306))),
IF(H249=0,0,SUMIFS('EE Inputs'!$S$9:$S$32,'EE Inputs'!$C$9:$C$32,$G$6,'EE Inputs'!$D$9:$D$32,$C$4,'EE Inputs'!$E$9:$E$32,$B306)))</f>
        <v>0</v>
      </c>
      <c r="I306" s="64" cm="1">
        <f t="array" aca="1" ref="I306" ca="1">IF($C$4=Lookups!$D$40,INDIRECT("'Yr1'!"&amp;ADDRESS(ROW(I306),COLUMN(I306))),
IF(I249=0,0,SUMIFS('EE Inputs'!$S$9:$S$32,'EE Inputs'!$C$9:$C$32,$G$6,'EE Inputs'!$D$9:$D$32,$C$4,'EE Inputs'!$E$9:$E$32,$B306)))</f>
        <v>9642.296678090448</v>
      </c>
      <c r="J306" s="64" cm="1">
        <f t="array" aca="1" ref="J306" ca="1">IF($C$4=Lookups!$D$40,INDIRECT("'Yr1'!"&amp;ADDRESS(ROW(J306),COLUMN(J306))),
IF(J249=0,0,SUMIFS('EE Inputs'!$S$9:$S$32,'EE Inputs'!$C$9:$C$32,$G$6,'EE Inputs'!$D$9:$D$32,$C$4,'EE Inputs'!$E$9:$E$32,$B306)))</f>
        <v>9642.296678090448</v>
      </c>
      <c r="K306" s="64" cm="1">
        <f t="array" aca="1" ref="K306" ca="1">IF($C$4=Lookups!$D$40,INDIRECT("'Yr1'!"&amp;ADDRESS(ROW(K306),COLUMN(K306))),
IF(K249=0,0,SUMIFS('EE Inputs'!$S$9:$S$32,'EE Inputs'!$C$9:$C$32,$G$6,'EE Inputs'!$D$9:$D$32,$C$4,'EE Inputs'!$E$9:$E$32,$B306)))</f>
        <v>9642.296678090448</v>
      </c>
      <c r="L306" s="64" cm="1">
        <f t="array" aca="1" ref="L306" ca="1">IF($C$4=Lookups!$D$40,INDIRECT("'Yr1'!"&amp;ADDRESS(ROW(L306),COLUMN(L306))),
IF(L249=0,0,SUMIFS('EE Inputs'!$S$9:$S$32,'EE Inputs'!$C$9:$C$32,$G$6,'EE Inputs'!$D$9:$D$32,$C$4,'EE Inputs'!$E$9:$E$32,$B306)))</f>
        <v>9642.296678090448</v>
      </c>
      <c r="M306" s="64" cm="1">
        <f t="array" aca="1" ref="M306" ca="1">IF($C$4=Lookups!$D$40,INDIRECT("'Yr1'!"&amp;ADDRESS(ROW(M306),COLUMN(M306))),
IF(M249=0,0,SUMIFS('EE Inputs'!$S$9:$S$32,'EE Inputs'!$C$9:$C$32,$G$6,'EE Inputs'!$D$9:$D$32,$C$4,'EE Inputs'!$E$9:$E$32,$B306)))</f>
        <v>9642.296678090448</v>
      </c>
      <c r="N306" s="64" cm="1">
        <f t="array" aca="1" ref="N306" ca="1">IF($C$4=Lookups!$D$40,INDIRECT("'Yr1'!"&amp;ADDRESS(ROW(N306),COLUMN(N306))),
IF(N249=0,0,SUMIFS('EE Inputs'!$S$9:$S$32,'EE Inputs'!$C$9:$C$32,$G$6,'EE Inputs'!$D$9:$D$32,$C$4,'EE Inputs'!$E$9:$E$32,$B306)))</f>
        <v>9642.296678090448</v>
      </c>
      <c r="O306" s="64" cm="1">
        <f t="array" aca="1" ref="O306" ca="1">IF($C$4=Lookups!$D$40,INDIRECT("'Yr1'!"&amp;ADDRESS(ROW(O306),COLUMN(O306))),
IF(O249=0,0,SUMIFS('EE Inputs'!$S$9:$S$32,'EE Inputs'!$C$9:$C$32,$G$6,'EE Inputs'!$D$9:$D$32,$C$4,'EE Inputs'!$E$9:$E$32,$B306)))</f>
        <v>9642.296678090448</v>
      </c>
      <c r="P306" s="64" cm="1">
        <f t="array" aca="1" ref="P306" ca="1">IF($C$4=Lookups!$D$40,INDIRECT("'Yr1'!"&amp;ADDRESS(ROW(P306),COLUMN(P306))),
IF(P249=0,0,SUMIFS('EE Inputs'!$S$9:$S$32,'EE Inputs'!$C$9:$C$32,$G$6,'EE Inputs'!$D$9:$D$32,$C$4,'EE Inputs'!$E$9:$E$32,$B306)))</f>
        <v>9642.296678090448</v>
      </c>
      <c r="Q306" s="64" cm="1">
        <f t="array" aca="1" ref="Q306" ca="1">IF($C$4=Lookups!$D$40,INDIRECT("'Yr1'!"&amp;ADDRESS(ROW(Q306),COLUMN(Q306))),
IF(Q249=0,0,SUMIFS('EE Inputs'!$S$9:$S$32,'EE Inputs'!$C$9:$C$32,$G$6,'EE Inputs'!$D$9:$D$32,$C$4,'EE Inputs'!$E$9:$E$32,$B306)))</f>
        <v>9642.296678090448</v>
      </c>
      <c r="R306" s="64" cm="1">
        <f t="array" aca="1" ref="R306" ca="1">IF($C$4=Lookups!$D$40,INDIRECT("'Yr1'!"&amp;ADDRESS(ROW(R306),COLUMN(R306))),
IF(R249=0,0,SUMIFS('EE Inputs'!$S$9:$S$32,'EE Inputs'!$C$9:$C$32,$G$6,'EE Inputs'!$D$9:$D$32,$C$4,'EE Inputs'!$E$9:$E$32,$B306)))</f>
        <v>9642.296678090448</v>
      </c>
      <c r="S306" s="64" cm="1">
        <f t="array" aca="1" ref="S306" ca="1">IF($C$4=Lookups!$D$40,INDIRECT("'Yr1'!"&amp;ADDRESS(ROW(S306),COLUMN(S306))),
IF(S249=0,0,SUMIFS('EE Inputs'!$S$9:$S$32,'EE Inputs'!$C$9:$C$32,$G$6,'EE Inputs'!$D$9:$D$32,$C$4,'EE Inputs'!$E$9:$E$32,$B306)))</f>
        <v>9642.296678090448</v>
      </c>
      <c r="T306" s="64" cm="1">
        <f t="array" aca="1" ref="T306" ca="1">IF($C$4=Lookups!$D$40,INDIRECT("'Yr1'!"&amp;ADDRESS(ROW(T306),COLUMN(T306))),
IF(T249=0,0,SUMIFS('EE Inputs'!$S$9:$S$32,'EE Inputs'!$C$9:$C$32,$G$6,'EE Inputs'!$D$9:$D$32,$C$4,'EE Inputs'!$E$9:$E$32,$B306)))</f>
        <v>9642.296678090448</v>
      </c>
      <c r="U306" s="64" cm="1">
        <f t="array" aca="1" ref="U306" ca="1">IF($C$4=Lookups!$D$40,INDIRECT("'Yr1'!"&amp;ADDRESS(ROW(U306),COLUMN(U306))),
IF(U249=0,0,SUMIFS('EE Inputs'!$S$9:$S$32,'EE Inputs'!$C$9:$C$32,$G$6,'EE Inputs'!$D$9:$D$32,$C$4,'EE Inputs'!$E$9:$E$32,$B306)))</f>
        <v>9642.296678090448</v>
      </c>
      <c r="V306" s="64" cm="1">
        <f t="array" aca="1" ref="V306" ca="1">IF($C$4=Lookups!$D$40,INDIRECT("'Yr1'!"&amp;ADDRESS(ROW(V306),COLUMN(V306))),
IF(V249=0,0,SUMIFS('EE Inputs'!$S$9:$S$32,'EE Inputs'!$C$9:$C$32,$G$6,'EE Inputs'!$D$9:$D$32,$C$4,'EE Inputs'!$E$9:$E$32,$B306)))</f>
        <v>0</v>
      </c>
      <c r="W306" s="64" cm="1">
        <f t="array" aca="1" ref="W306" ca="1">IF($C$4=Lookups!$D$40,INDIRECT("'Yr1'!"&amp;ADDRESS(ROW(W306),COLUMN(W306))),
IF(W249=0,0,SUMIFS('EE Inputs'!$S$9:$S$32,'EE Inputs'!$C$9:$C$32,$G$6,'EE Inputs'!$D$9:$D$32,$C$4,'EE Inputs'!$E$9:$E$32,$B306)))</f>
        <v>0</v>
      </c>
      <c r="X306" s="64" cm="1">
        <f t="array" aca="1" ref="X306" ca="1">IF($C$4=Lookups!$D$40,INDIRECT("'Yr1'!"&amp;ADDRESS(ROW(X306),COLUMN(X306))),
IF(X249=0,0,SUMIFS('EE Inputs'!$S$9:$S$32,'EE Inputs'!$C$9:$C$32,$G$6,'EE Inputs'!$D$9:$D$32,$C$4,'EE Inputs'!$E$9:$E$32,$B306)))</f>
        <v>0</v>
      </c>
      <c r="Y306" s="64" cm="1">
        <f t="array" aca="1" ref="Y306" ca="1">IF($C$4=Lookups!$D$40,INDIRECT("'Yr1'!"&amp;ADDRESS(ROW(Y306),COLUMN(Y306))),
IF(Y249=0,0,SUMIFS('EE Inputs'!$S$9:$S$32,'EE Inputs'!$C$9:$C$32,$G$6,'EE Inputs'!$D$9:$D$32,$C$4,'EE Inputs'!$E$9:$E$32,$B306)))</f>
        <v>0</v>
      </c>
      <c r="Z306" s="64" cm="1">
        <f t="array" aca="1" ref="Z306" ca="1">IF($C$4=Lookups!$D$40,INDIRECT("'Yr1'!"&amp;ADDRESS(ROW(Z306),COLUMN(Z306))),
IF(Z249=0,0,SUMIFS('EE Inputs'!$S$9:$S$32,'EE Inputs'!$C$9:$C$32,$G$6,'EE Inputs'!$D$9:$D$32,$C$4,'EE Inputs'!$E$9:$E$32,$B306)))</f>
        <v>0</v>
      </c>
      <c r="AA306" s="64" cm="1">
        <f t="array" aca="1" ref="AA306" ca="1">IF($C$4=Lookups!$D$40,INDIRECT("'Yr1'!"&amp;ADDRESS(ROW(AA306),COLUMN(AA306))),
IF(AA249=0,0,SUMIFS('EE Inputs'!$S$9:$S$32,'EE Inputs'!$C$9:$C$32,$G$6,'EE Inputs'!$D$9:$D$32,$C$4,'EE Inputs'!$E$9:$E$32,$B306)))</f>
        <v>0</v>
      </c>
      <c r="AB306" s="64" cm="1">
        <f t="array" aca="1" ref="AB306" ca="1">IF($C$4=Lookups!$D$40,INDIRECT("'Yr1'!"&amp;ADDRESS(ROW(AB306),COLUMN(AB306))),
IF(AB249=0,0,SUMIFS('EE Inputs'!$S$9:$S$32,'EE Inputs'!$C$9:$C$32,$G$6,'EE Inputs'!$D$9:$D$32,$C$4,'EE Inputs'!$E$9:$E$32,$B306)))</f>
        <v>0</v>
      </c>
      <c r="AC306" s="64" cm="1">
        <f t="array" aca="1" ref="AC306" ca="1">IF($C$4=Lookups!$D$40,INDIRECT("'Yr1'!"&amp;ADDRESS(ROW(AC306),COLUMN(AC306))),
IF(AC249=0,0,SUMIFS('EE Inputs'!$S$9:$S$32,'EE Inputs'!$C$9:$C$32,$G$6,'EE Inputs'!$D$9:$D$32,$C$4,'EE Inputs'!$E$9:$E$32,$B306)))</f>
        <v>0</v>
      </c>
      <c r="AD306" s="64" cm="1">
        <f t="array" aca="1" ref="AD306" ca="1">IF($C$4=Lookups!$D$40,INDIRECT("'Yr1'!"&amp;ADDRESS(ROW(AD306),COLUMN(AD306))),
IF(AD249=0,0,SUMIFS('EE Inputs'!$S$9:$S$32,'EE Inputs'!$C$9:$C$32,$G$6,'EE Inputs'!$D$9:$D$32,$C$4,'EE Inputs'!$E$9:$E$32,$B306)))</f>
        <v>0</v>
      </c>
      <c r="AE306" s="64" cm="1">
        <f t="array" aca="1" ref="AE306" ca="1">IF($C$4=Lookups!$D$40,INDIRECT("'Yr1'!"&amp;ADDRESS(ROW(AE306),COLUMN(AE306))),
IF(AE249=0,0,SUMIFS('EE Inputs'!$S$9:$S$32,'EE Inputs'!$C$9:$C$32,$G$6,'EE Inputs'!$D$9:$D$32,$C$4,'EE Inputs'!$E$9:$E$32,$B306)))</f>
        <v>0</v>
      </c>
      <c r="AF306" s="64" cm="1">
        <f t="array" aca="1" ref="AF306" ca="1">IF($C$4=Lookups!$D$40,INDIRECT("'Yr1'!"&amp;ADDRESS(ROW(AF306),COLUMN(AF306))),
IF(AF249=0,0,SUMIFS('EE Inputs'!$S$9:$S$32,'EE Inputs'!$C$9:$C$32,$G$6,'EE Inputs'!$D$9:$D$32,$C$4,'EE Inputs'!$E$9:$E$32,$B306)))</f>
        <v>0</v>
      </c>
      <c r="AG306" s="64" cm="1">
        <f t="array" aca="1" ref="AG306" ca="1">IF($C$4=Lookups!$D$40,INDIRECT("'Yr1'!"&amp;ADDRESS(ROW(AG306),COLUMN(AG306))),
IF(AG249=0,0,SUMIFS('EE Inputs'!$S$9:$S$32,'EE Inputs'!$C$9:$C$32,$G$6,'EE Inputs'!$D$9:$D$32,$C$4,'EE Inputs'!$E$9:$E$32,$B306)))</f>
        <v>0</v>
      </c>
      <c r="AH306" s="64"/>
      <c r="AI306" s="64"/>
      <c r="AJ306" s="64"/>
      <c r="AM306" s="645" cm="1">
        <f t="array" aca="1" ref="AM306" ca="1">IF($C$4=Lookups!$D$40,INDIRECT("'Yr1'!"&amp;ADDRESS(ROW(AM306),COLUMN(AM306))),
IF(AM249=0,0,SUMIFS('EE Inputs'!$S$9:$S$32,'EE Inputs'!$C$9:$C$32,$AM$6,'EE Inputs'!$D$9:$D$32,$C$4,'EE Inputs'!$E$9:$E$32,$B306)))</f>
        <v>0</v>
      </c>
      <c r="AN306" s="645" cm="1">
        <f t="array" aca="1" ref="AN306" ca="1">IF($C$4=Lookups!$D$40,INDIRECT("'Yr1'!"&amp;ADDRESS(ROW(AN306),COLUMN(AN306))),
IF(AN249=0,0,SUMIFS('EE Inputs'!$S$9:$S$32,'EE Inputs'!$C$9:$C$32,$AM$6,'EE Inputs'!$D$9:$D$32,$C$4,'EE Inputs'!$E$9:$E$32,$B306)))</f>
        <v>0</v>
      </c>
      <c r="AO306" s="645" cm="1">
        <f t="array" aca="1" ref="AO306" ca="1">IF($C$4=Lookups!$D$40,INDIRECT("'Yr1'!"&amp;ADDRESS(ROW(AO306),COLUMN(AO306))),
IF(AO249=0,0,SUMIFS('EE Inputs'!$S$9:$S$32,'EE Inputs'!$C$9:$C$32,$AM$6,'EE Inputs'!$D$9:$D$32,$C$4,'EE Inputs'!$E$9:$E$32,$B306)))</f>
        <v>11570.756013708537</v>
      </c>
      <c r="AP306" s="645" cm="1">
        <f t="array" aca="1" ref="AP306" ca="1">IF($C$4=Lookups!$D$40,INDIRECT("'Yr1'!"&amp;ADDRESS(ROW(AP306),COLUMN(AP306))),
IF(AP249=0,0,SUMIFS('EE Inputs'!$S$9:$S$32,'EE Inputs'!$C$9:$C$32,$AM$6,'EE Inputs'!$D$9:$D$32,$C$4,'EE Inputs'!$E$9:$E$32,$B306)))</f>
        <v>11570.756013708537</v>
      </c>
      <c r="AQ306" s="645" cm="1">
        <f t="array" aca="1" ref="AQ306" ca="1">IF($C$4=Lookups!$D$40,INDIRECT("'Yr1'!"&amp;ADDRESS(ROW(AQ306),COLUMN(AQ306))),
IF(AQ249=0,0,SUMIFS('EE Inputs'!$S$9:$S$32,'EE Inputs'!$C$9:$C$32,$AM$6,'EE Inputs'!$D$9:$D$32,$C$4,'EE Inputs'!$E$9:$E$32,$B306)))</f>
        <v>11570.756013708537</v>
      </c>
      <c r="AR306" s="645" cm="1">
        <f t="array" aca="1" ref="AR306" ca="1">IF($C$4=Lookups!$D$40,INDIRECT("'Yr1'!"&amp;ADDRESS(ROW(AR306),COLUMN(AR306))),
IF(AR249=0,0,SUMIFS('EE Inputs'!$S$9:$S$32,'EE Inputs'!$C$9:$C$32,$AM$6,'EE Inputs'!$D$9:$D$32,$C$4,'EE Inputs'!$E$9:$E$32,$B306)))</f>
        <v>11570.756013708537</v>
      </c>
      <c r="AS306" s="645" cm="1">
        <f t="array" aca="1" ref="AS306" ca="1">IF($C$4=Lookups!$D$40,INDIRECT("'Yr1'!"&amp;ADDRESS(ROW(AS306),COLUMN(AS306))),
IF(AS249=0,0,SUMIFS('EE Inputs'!$S$9:$S$32,'EE Inputs'!$C$9:$C$32,$AM$6,'EE Inputs'!$D$9:$D$32,$C$4,'EE Inputs'!$E$9:$E$32,$B306)))</f>
        <v>11570.756013708537</v>
      </c>
      <c r="AT306" s="645" cm="1">
        <f t="array" aca="1" ref="AT306" ca="1">IF($C$4=Lookups!$D$40,INDIRECT("'Yr1'!"&amp;ADDRESS(ROW(AT306),COLUMN(AT306))),
IF(AT249=0,0,SUMIFS('EE Inputs'!$S$9:$S$32,'EE Inputs'!$C$9:$C$32,$AM$6,'EE Inputs'!$D$9:$D$32,$C$4,'EE Inputs'!$E$9:$E$32,$B306)))</f>
        <v>11570.756013708537</v>
      </c>
      <c r="AU306" s="645" cm="1">
        <f t="array" aca="1" ref="AU306" ca="1">IF($C$4=Lookups!$D$40,INDIRECT("'Yr1'!"&amp;ADDRESS(ROW(AU306),COLUMN(AU306))),
IF(AU249=0,0,SUMIFS('EE Inputs'!$S$9:$S$32,'EE Inputs'!$C$9:$C$32,$AM$6,'EE Inputs'!$D$9:$D$32,$C$4,'EE Inputs'!$E$9:$E$32,$B306)))</f>
        <v>11570.756013708537</v>
      </c>
      <c r="AV306" s="645" cm="1">
        <f t="array" aca="1" ref="AV306" ca="1">IF($C$4=Lookups!$D$40,INDIRECT("'Yr1'!"&amp;ADDRESS(ROW(AV306),COLUMN(AV306))),
IF(AV249=0,0,SUMIFS('EE Inputs'!$S$9:$S$32,'EE Inputs'!$C$9:$C$32,$AM$6,'EE Inputs'!$D$9:$D$32,$C$4,'EE Inputs'!$E$9:$E$32,$B306)))</f>
        <v>11570.756013708537</v>
      </c>
      <c r="AW306" s="645" cm="1">
        <f t="array" aca="1" ref="AW306" ca="1">IF($C$4=Lookups!$D$40,INDIRECT("'Yr1'!"&amp;ADDRESS(ROW(AW306),COLUMN(AW306))),
IF(AW249=0,0,SUMIFS('EE Inputs'!$S$9:$S$32,'EE Inputs'!$C$9:$C$32,$AM$6,'EE Inputs'!$D$9:$D$32,$C$4,'EE Inputs'!$E$9:$E$32,$B306)))</f>
        <v>11570.756013708537</v>
      </c>
      <c r="AX306" s="645" cm="1">
        <f t="array" aca="1" ref="AX306" ca="1">IF($C$4=Lookups!$D$40,INDIRECT("'Yr1'!"&amp;ADDRESS(ROW(AX306),COLUMN(AX306))),
IF(AX249=0,0,SUMIFS('EE Inputs'!$S$9:$S$32,'EE Inputs'!$C$9:$C$32,$AM$6,'EE Inputs'!$D$9:$D$32,$C$4,'EE Inputs'!$E$9:$E$32,$B306)))</f>
        <v>11570.756013708537</v>
      </c>
      <c r="AY306" s="645" cm="1">
        <f t="array" aca="1" ref="AY306" ca="1">IF($C$4=Lookups!$D$40,INDIRECT("'Yr1'!"&amp;ADDRESS(ROW(AY306),COLUMN(AY306))),
IF(AY249=0,0,SUMIFS('EE Inputs'!$S$9:$S$32,'EE Inputs'!$C$9:$C$32,$AM$6,'EE Inputs'!$D$9:$D$32,$C$4,'EE Inputs'!$E$9:$E$32,$B306)))</f>
        <v>11570.756013708537</v>
      </c>
      <c r="AZ306" s="645" cm="1">
        <f t="array" aca="1" ref="AZ306" ca="1">IF($C$4=Lookups!$D$40,INDIRECT("'Yr1'!"&amp;ADDRESS(ROW(AZ306),COLUMN(AZ306))),
IF(AZ249=0,0,SUMIFS('EE Inputs'!$S$9:$S$32,'EE Inputs'!$C$9:$C$32,$AM$6,'EE Inputs'!$D$9:$D$32,$C$4,'EE Inputs'!$E$9:$E$32,$B306)))</f>
        <v>11570.756013708537</v>
      </c>
      <c r="BA306" s="645" cm="1">
        <f t="array" aca="1" ref="BA306" ca="1">IF($C$4=Lookups!$D$40,INDIRECT("'Yr1'!"&amp;ADDRESS(ROW(BA306),COLUMN(BA306))),
IF(BA249=0,0,SUMIFS('EE Inputs'!$S$9:$S$32,'EE Inputs'!$C$9:$C$32,$AM$6,'EE Inputs'!$D$9:$D$32,$C$4,'EE Inputs'!$E$9:$E$32,$B306)))</f>
        <v>11570.756013708537</v>
      </c>
      <c r="BB306" s="645" cm="1">
        <f t="array" aca="1" ref="BB306" ca="1">IF($C$4=Lookups!$D$40,INDIRECT("'Yr1'!"&amp;ADDRESS(ROW(BB306),COLUMN(BB306))),
IF(BB249=0,0,SUMIFS('EE Inputs'!$S$9:$S$32,'EE Inputs'!$C$9:$C$32,$AM$6,'EE Inputs'!$D$9:$D$32,$C$4,'EE Inputs'!$E$9:$E$32,$B306)))</f>
        <v>0</v>
      </c>
      <c r="BC306" s="645" cm="1">
        <f t="array" aca="1" ref="BC306" ca="1">IF($C$4=Lookups!$D$40,INDIRECT("'Yr1'!"&amp;ADDRESS(ROW(BC306),COLUMN(BC306))),
IF(BC249=0,0,SUMIFS('EE Inputs'!$S$9:$S$32,'EE Inputs'!$C$9:$C$32,$AM$6,'EE Inputs'!$D$9:$D$32,$C$4,'EE Inputs'!$E$9:$E$32,$B306)))</f>
        <v>0</v>
      </c>
      <c r="BD306" s="645" cm="1">
        <f t="array" aca="1" ref="BD306" ca="1">IF($C$4=Lookups!$D$40,INDIRECT("'Yr1'!"&amp;ADDRESS(ROW(BD306),COLUMN(BD306))),
IF(BD249=0,0,SUMIFS('EE Inputs'!$S$9:$S$32,'EE Inputs'!$C$9:$C$32,$AM$6,'EE Inputs'!$D$9:$D$32,$C$4,'EE Inputs'!$E$9:$E$32,$B306)))</f>
        <v>0</v>
      </c>
      <c r="BE306" s="645" cm="1">
        <f t="array" aca="1" ref="BE306" ca="1">IF($C$4=Lookups!$D$40,INDIRECT("'Yr1'!"&amp;ADDRESS(ROW(BE306),COLUMN(BE306))),
IF(BE249=0,0,SUMIFS('EE Inputs'!$S$9:$S$32,'EE Inputs'!$C$9:$C$32,$AM$6,'EE Inputs'!$D$9:$D$32,$C$4,'EE Inputs'!$E$9:$E$32,$B306)))</f>
        <v>0</v>
      </c>
      <c r="BF306" s="645" cm="1">
        <f t="array" aca="1" ref="BF306" ca="1">IF($C$4=Lookups!$D$40,INDIRECT("'Yr1'!"&amp;ADDRESS(ROW(BF306),COLUMN(BF306))),
IF(BF249=0,0,SUMIFS('EE Inputs'!$S$9:$S$32,'EE Inputs'!$C$9:$C$32,$AM$6,'EE Inputs'!$D$9:$D$32,$C$4,'EE Inputs'!$E$9:$E$32,$B306)))</f>
        <v>0</v>
      </c>
      <c r="BG306" s="645" cm="1">
        <f t="array" aca="1" ref="BG306" ca="1">IF($C$4=Lookups!$D$40,INDIRECT("'Yr1'!"&amp;ADDRESS(ROW(BG306),COLUMN(BG306))),
IF(BG249=0,0,SUMIFS('EE Inputs'!$S$9:$S$32,'EE Inputs'!$C$9:$C$32,$AM$6,'EE Inputs'!$D$9:$D$32,$C$4,'EE Inputs'!$E$9:$E$32,$B306)))</f>
        <v>0</v>
      </c>
      <c r="BH306" s="645" cm="1">
        <f t="array" aca="1" ref="BH306" ca="1">IF($C$4=Lookups!$D$40,INDIRECT("'Yr1'!"&amp;ADDRESS(ROW(BH306),COLUMN(BH306))),
IF(BH249=0,0,SUMIFS('EE Inputs'!$S$9:$S$32,'EE Inputs'!$C$9:$C$32,$AM$6,'EE Inputs'!$D$9:$D$32,$C$4,'EE Inputs'!$E$9:$E$32,$B306)))</f>
        <v>0</v>
      </c>
      <c r="BI306" s="645" cm="1">
        <f t="array" aca="1" ref="BI306" ca="1">IF($C$4=Lookups!$D$40,INDIRECT("'Yr1'!"&amp;ADDRESS(ROW(BI306),COLUMN(BI306))),
IF(BI249=0,0,SUMIFS('EE Inputs'!$S$9:$S$32,'EE Inputs'!$C$9:$C$32,$AM$6,'EE Inputs'!$D$9:$D$32,$C$4,'EE Inputs'!$E$9:$E$32,$B306)))</f>
        <v>0</v>
      </c>
      <c r="BJ306" s="645" cm="1">
        <f t="array" aca="1" ref="BJ306" ca="1">IF($C$4=Lookups!$D$40,INDIRECT("'Yr1'!"&amp;ADDRESS(ROW(BJ306),COLUMN(BJ306))),
IF(BJ249=0,0,SUMIFS('EE Inputs'!$S$9:$S$32,'EE Inputs'!$C$9:$C$32,$AM$6,'EE Inputs'!$D$9:$D$32,$C$4,'EE Inputs'!$E$9:$E$32,$B306)))</f>
        <v>0</v>
      </c>
      <c r="BK306" s="645" cm="1">
        <f t="array" aca="1" ref="BK306" ca="1">IF($C$4=Lookups!$D$40,INDIRECT("'Yr1'!"&amp;ADDRESS(ROW(BK306),COLUMN(BK306))),
IF(BK249=0,0,SUMIFS('EE Inputs'!$S$9:$S$32,'EE Inputs'!$C$9:$C$32,$AM$6,'EE Inputs'!$D$9:$D$32,$C$4,'EE Inputs'!$E$9:$E$32,$B306)))</f>
        <v>0</v>
      </c>
      <c r="BL306" s="645" cm="1">
        <f t="array" aca="1" ref="BL306" ca="1">IF($C$4=Lookups!$D$40,INDIRECT("'Yr1'!"&amp;ADDRESS(ROW(BL306),COLUMN(BL306))),
IF(BL249=0,0,SUMIFS('EE Inputs'!$S$9:$S$32,'EE Inputs'!$C$9:$C$32,$AM$6,'EE Inputs'!$D$9:$D$32,$C$4,'EE Inputs'!$E$9:$E$32,$B306)))</f>
        <v>0</v>
      </c>
      <c r="BM306" s="645" cm="1">
        <f t="array" aca="1" ref="BM306" ca="1">IF($C$4=Lookups!$D$40,INDIRECT("'Yr1'!"&amp;ADDRESS(ROW(BM306),COLUMN(BM306))),
IF(BM249=0,0,SUMIFS('EE Inputs'!$S$9:$S$32,'EE Inputs'!$C$9:$C$32,$AM$6,'EE Inputs'!$D$9:$D$32,$C$4,'EE Inputs'!$E$9:$E$32,$B306)))</f>
        <v>0</v>
      </c>
      <c r="BN306" s="71"/>
      <c r="BO306" s="71"/>
      <c r="BP306" s="71"/>
      <c r="BS306" s="76" t="s">
        <v>96</v>
      </c>
      <c r="BT306" s="51" t="s">
        <v>17</v>
      </c>
    </row>
    <row r="307" spans="1:72" x14ac:dyDescent="0.25">
      <c r="A307" s="246"/>
      <c r="B307" s="243" t="str">
        <f t="shared" si="324"/>
        <v>Large C&amp;I</v>
      </c>
      <c r="C307" s="243" t="str">
        <f t="shared" si="324"/>
        <v>Bills</v>
      </c>
      <c r="D307" s="244" t="str">
        <f t="shared" si="324"/>
        <v>Annual Savings from DSM Scenario</v>
      </c>
      <c r="E307" s="84" t="str">
        <f>'EE Inputs'!$N$16&amp;" Participant"</f>
        <v>High Savings Participant</v>
      </c>
      <c r="F307" s="84" t="s">
        <v>195</v>
      </c>
      <c r="G307" s="704" cm="1">
        <f t="array" aca="1" ref="G307" ca="1">IF($C$4=Lookups!$D$40,INDIRECT("'Yr1'!"&amp;ADDRESS(ROW(G307),COLUMN(G307))),
IF(G249=0,0,SUMIFS('EE Inputs'!$T$9:$T$32,'EE Inputs'!$C$9:$C$32,$G$6,'EE Inputs'!$D$9:$D$32,$C$4,'EE Inputs'!$E$9:$E$32,$B307)))</f>
        <v>0</v>
      </c>
      <c r="H307" s="704" cm="1">
        <f t="array" aca="1" ref="H307" ca="1">IF($C$4=Lookups!$D$40,INDIRECT("'Yr1'!"&amp;ADDRESS(ROW(H307),COLUMN(H307))),
IF(H249=0,0,SUMIFS('EE Inputs'!$T$9:$T$32,'EE Inputs'!$C$9:$C$32,$G$6,'EE Inputs'!$D$9:$D$32,$C$4,'EE Inputs'!$E$9:$E$32,$B307)))</f>
        <v>0</v>
      </c>
      <c r="I307" s="704" cm="1">
        <f t="array" aca="1" ref="I307" ca="1">IF($C$4=Lookups!$D$40,INDIRECT("'Yr1'!"&amp;ADDRESS(ROW(I307),COLUMN(I307))),
IF(I249=0,0,SUMIFS('EE Inputs'!$T$9:$T$32,'EE Inputs'!$C$9:$C$32,$G$6,'EE Inputs'!$D$9:$D$32,$C$4,'EE Inputs'!$E$9:$E$32,$B307)))</f>
        <v>19284.593356180896</v>
      </c>
      <c r="J307" s="704" cm="1">
        <f t="array" aca="1" ref="J307" ca="1">IF($C$4=Lookups!$D$40,INDIRECT("'Yr1'!"&amp;ADDRESS(ROW(J307),COLUMN(J307))),
IF(J249=0,0,SUMIFS('EE Inputs'!$T$9:$T$32,'EE Inputs'!$C$9:$C$32,$G$6,'EE Inputs'!$D$9:$D$32,$C$4,'EE Inputs'!$E$9:$E$32,$B307)))</f>
        <v>19284.593356180896</v>
      </c>
      <c r="K307" s="704" cm="1">
        <f t="array" aca="1" ref="K307" ca="1">IF($C$4=Lookups!$D$40,INDIRECT("'Yr1'!"&amp;ADDRESS(ROW(K307),COLUMN(K307))),
IF(K249=0,0,SUMIFS('EE Inputs'!$T$9:$T$32,'EE Inputs'!$C$9:$C$32,$G$6,'EE Inputs'!$D$9:$D$32,$C$4,'EE Inputs'!$E$9:$E$32,$B307)))</f>
        <v>19284.593356180896</v>
      </c>
      <c r="L307" s="704" cm="1">
        <f t="array" aca="1" ref="L307" ca="1">IF($C$4=Lookups!$D$40,INDIRECT("'Yr1'!"&amp;ADDRESS(ROW(L307),COLUMN(L307))),
IF(L249=0,0,SUMIFS('EE Inputs'!$T$9:$T$32,'EE Inputs'!$C$9:$C$32,$G$6,'EE Inputs'!$D$9:$D$32,$C$4,'EE Inputs'!$E$9:$E$32,$B307)))</f>
        <v>19284.593356180896</v>
      </c>
      <c r="M307" s="704" cm="1">
        <f t="array" aca="1" ref="M307" ca="1">IF($C$4=Lookups!$D$40,INDIRECT("'Yr1'!"&amp;ADDRESS(ROW(M307),COLUMN(M307))),
IF(M249=0,0,SUMIFS('EE Inputs'!$T$9:$T$32,'EE Inputs'!$C$9:$C$32,$G$6,'EE Inputs'!$D$9:$D$32,$C$4,'EE Inputs'!$E$9:$E$32,$B307)))</f>
        <v>19284.593356180896</v>
      </c>
      <c r="N307" s="704" cm="1">
        <f t="array" aca="1" ref="N307" ca="1">IF($C$4=Lookups!$D$40,INDIRECT("'Yr1'!"&amp;ADDRESS(ROW(N307),COLUMN(N307))),
IF(N249=0,0,SUMIFS('EE Inputs'!$T$9:$T$32,'EE Inputs'!$C$9:$C$32,$G$6,'EE Inputs'!$D$9:$D$32,$C$4,'EE Inputs'!$E$9:$E$32,$B307)))</f>
        <v>19284.593356180896</v>
      </c>
      <c r="O307" s="704" cm="1">
        <f t="array" aca="1" ref="O307" ca="1">IF($C$4=Lookups!$D$40,INDIRECT("'Yr1'!"&amp;ADDRESS(ROW(O307),COLUMN(O307))),
IF(O249=0,0,SUMIFS('EE Inputs'!$T$9:$T$32,'EE Inputs'!$C$9:$C$32,$G$6,'EE Inputs'!$D$9:$D$32,$C$4,'EE Inputs'!$E$9:$E$32,$B307)))</f>
        <v>19284.593356180896</v>
      </c>
      <c r="P307" s="704" cm="1">
        <f t="array" aca="1" ref="P307" ca="1">IF($C$4=Lookups!$D$40,INDIRECT("'Yr1'!"&amp;ADDRESS(ROW(P307),COLUMN(P307))),
IF(P249=0,0,SUMIFS('EE Inputs'!$T$9:$T$32,'EE Inputs'!$C$9:$C$32,$G$6,'EE Inputs'!$D$9:$D$32,$C$4,'EE Inputs'!$E$9:$E$32,$B307)))</f>
        <v>19284.593356180896</v>
      </c>
      <c r="Q307" s="704" cm="1">
        <f t="array" aca="1" ref="Q307" ca="1">IF($C$4=Lookups!$D$40,INDIRECT("'Yr1'!"&amp;ADDRESS(ROW(Q307),COLUMN(Q307))),
IF(Q249=0,0,SUMIFS('EE Inputs'!$T$9:$T$32,'EE Inputs'!$C$9:$C$32,$G$6,'EE Inputs'!$D$9:$D$32,$C$4,'EE Inputs'!$E$9:$E$32,$B307)))</f>
        <v>19284.593356180896</v>
      </c>
      <c r="R307" s="704" cm="1">
        <f t="array" aca="1" ref="R307" ca="1">IF($C$4=Lookups!$D$40,INDIRECT("'Yr1'!"&amp;ADDRESS(ROW(R307),COLUMN(R307))),
IF(R249=0,0,SUMIFS('EE Inputs'!$T$9:$T$32,'EE Inputs'!$C$9:$C$32,$G$6,'EE Inputs'!$D$9:$D$32,$C$4,'EE Inputs'!$E$9:$E$32,$B307)))</f>
        <v>19284.593356180896</v>
      </c>
      <c r="S307" s="704" cm="1">
        <f t="array" aca="1" ref="S307" ca="1">IF($C$4=Lookups!$D$40,INDIRECT("'Yr1'!"&amp;ADDRESS(ROW(S307),COLUMN(S307))),
IF(S249=0,0,SUMIFS('EE Inputs'!$T$9:$T$32,'EE Inputs'!$C$9:$C$32,$G$6,'EE Inputs'!$D$9:$D$32,$C$4,'EE Inputs'!$E$9:$E$32,$B307)))</f>
        <v>19284.593356180896</v>
      </c>
      <c r="T307" s="704" cm="1">
        <f t="array" aca="1" ref="T307" ca="1">IF($C$4=Lookups!$D$40,INDIRECT("'Yr1'!"&amp;ADDRESS(ROW(T307),COLUMN(T307))),
IF(T249=0,0,SUMIFS('EE Inputs'!$T$9:$T$32,'EE Inputs'!$C$9:$C$32,$G$6,'EE Inputs'!$D$9:$D$32,$C$4,'EE Inputs'!$E$9:$E$32,$B307)))</f>
        <v>19284.593356180896</v>
      </c>
      <c r="U307" s="704" cm="1">
        <f t="array" aca="1" ref="U307" ca="1">IF($C$4=Lookups!$D$40,INDIRECT("'Yr1'!"&amp;ADDRESS(ROW(U307),COLUMN(U307))),
IF(U249=0,0,SUMIFS('EE Inputs'!$T$9:$T$32,'EE Inputs'!$C$9:$C$32,$G$6,'EE Inputs'!$D$9:$D$32,$C$4,'EE Inputs'!$E$9:$E$32,$B307)))</f>
        <v>19284.593356180896</v>
      </c>
      <c r="V307" s="704" cm="1">
        <f t="array" aca="1" ref="V307" ca="1">IF($C$4=Lookups!$D$40,INDIRECT("'Yr1'!"&amp;ADDRESS(ROW(V307),COLUMN(V307))),
IF(V249=0,0,SUMIFS('EE Inputs'!$T$9:$T$32,'EE Inputs'!$C$9:$C$32,$G$6,'EE Inputs'!$D$9:$D$32,$C$4,'EE Inputs'!$E$9:$E$32,$B307)))</f>
        <v>0</v>
      </c>
      <c r="W307" s="704" cm="1">
        <f t="array" aca="1" ref="W307" ca="1">IF($C$4=Lookups!$D$40,INDIRECT("'Yr1'!"&amp;ADDRESS(ROW(W307),COLUMN(W307))),
IF(W249=0,0,SUMIFS('EE Inputs'!$T$9:$T$32,'EE Inputs'!$C$9:$C$32,$G$6,'EE Inputs'!$D$9:$D$32,$C$4,'EE Inputs'!$E$9:$E$32,$B307)))</f>
        <v>0</v>
      </c>
      <c r="X307" s="704" cm="1">
        <f t="array" aca="1" ref="X307" ca="1">IF($C$4=Lookups!$D$40,INDIRECT("'Yr1'!"&amp;ADDRESS(ROW(X307),COLUMN(X307))),
IF(X249=0,0,SUMIFS('EE Inputs'!$T$9:$T$32,'EE Inputs'!$C$9:$C$32,$G$6,'EE Inputs'!$D$9:$D$32,$C$4,'EE Inputs'!$E$9:$E$32,$B307)))</f>
        <v>0</v>
      </c>
      <c r="Y307" s="704" cm="1">
        <f t="array" aca="1" ref="Y307" ca="1">IF($C$4=Lookups!$D$40,INDIRECT("'Yr1'!"&amp;ADDRESS(ROW(Y307),COLUMN(Y307))),
IF(Y249=0,0,SUMIFS('EE Inputs'!$T$9:$T$32,'EE Inputs'!$C$9:$C$32,$G$6,'EE Inputs'!$D$9:$D$32,$C$4,'EE Inputs'!$E$9:$E$32,$B307)))</f>
        <v>0</v>
      </c>
      <c r="Z307" s="704" cm="1">
        <f t="array" aca="1" ref="Z307" ca="1">IF($C$4=Lookups!$D$40,INDIRECT("'Yr1'!"&amp;ADDRESS(ROW(Z307),COLUMN(Z307))),
IF(Z249=0,0,SUMIFS('EE Inputs'!$T$9:$T$32,'EE Inputs'!$C$9:$C$32,$G$6,'EE Inputs'!$D$9:$D$32,$C$4,'EE Inputs'!$E$9:$E$32,$B307)))</f>
        <v>0</v>
      </c>
      <c r="AA307" s="704" cm="1">
        <f t="array" aca="1" ref="AA307" ca="1">IF($C$4=Lookups!$D$40,INDIRECT("'Yr1'!"&amp;ADDRESS(ROW(AA307),COLUMN(AA307))),
IF(AA249=0,0,SUMIFS('EE Inputs'!$T$9:$T$32,'EE Inputs'!$C$9:$C$32,$G$6,'EE Inputs'!$D$9:$D$32,$C$4,'EE Inputs'!$E$9:$E$32,$B307)))</f>
        <v>0</v>
      </c>
      <c r="AB307" s="704" cm="1">
        <f t="array" aca="1" ref="AB307" ca="1">IF($C$4=Lookups!$D$40,INDIRECT("'Yr1'!"&amp;ADDRESS(ROW(AB307),COLUMN(AB307))),
IF(AB249=0,0,SUMIFS('EE Inputs'!$T$9:$T$32,'EE Inputs'!$C$9:$C$32,$G$6,'EE Inputs'!$D$9:$D$32,$C$4,'EE Inputs'!$E$9:$E$32,$B307)))</f>
        <v>0</v>
      </c>
      <c r="AC307" s="704" cm="1">
        <f t="array" aca="1" ref="AC307" ca="1">IF($C$4=Lookups!$D$40,INDIRECT("'Yr1'!"&amp;ADDRESS(ROW(AC307),COLUMN(AC307))),
IF(AC249=0,0,SUMIFS('EE Inputs'!$T$9:$T$32,'EE Inputs'!$C$9:$C$32,$G$6,'EE Inputs'!$D$9:$D$32,$C$4,'EE Inputs'!$E$9:$E$32,$B307)))</f>
        <v>0</v>
      </c>
      <c r="AD307" s="704" cm="1">
        <f t="array" aca="1" ref="AD307" ca="1">IF($C$4=Lookups!$D$40,INDIRECT("'Yr1'!"&amp;ADDRESS(ROW(AD307),COLUMN(AD307))),
IF(AD249=0,0,SUMIFS('EE Inputs'!$T$9:$T$32,'EE Inputs'!$C$9:$C$32,$G$6,'EE Inputs'!$D$9:$D$32,$C$4,'EE Inputs'!$E$9:$E$32,$B307)))</f>
        <v>0</v>
      </c>
      <c r="AE307" s="704" cm="1">
        <f t="array" aca="1" ref="AE307" ca="1">IF($C$4=Lookups!$D$40,INDIRECT("'Yr1'!"&amp;ADDRESS(ROW(AE307),COLUMN(AE307))),
IF(AE249=0,0,SUMIFS('EE Inputs'!$T$9:$T$32,'EE Inputs'!$C$9:$C$32,$G$6,'EE Inputs'!$D$9:$D$32,$C$4,'EE Inputs'!$E$9:$E$32,$B307)))</f>
        <v>0</v>
      </c>
      <c r="AF307" s="704" cm="1">
        <f t="array" aca="1" ref="AF307" ca="1">IF($C$4=Lookups!$D$40,INDIRECT("'Yr1'!"&amp;ADDRESS(ROW(AF307),COLUMN(AF307))),
IF(AF249=0,0,SUMIFS('EE Inputs'!$T$9:$T$32,'EE Inputs'!$C$9:$C$32,$G$6,'EE Inputs'!$D$9:$D$32,$C$4,'EE Inputs'!$E$9:$E$32,$B307)))</f>
        <v>0</v>
      </c>
      <c r="AG307" s="704" cm="1">
        <f t="array" aca="1" ref="AG307" ca="1">IF($C$4=Lookups!$D$40,INDIRECT("'Yr1'!"&amp;ADDRESS(ROW(AG307),COLUMN(AG307))),
IF(AG249=0,0,SUMIFS('EE Inputs'!$T$9:$T$32,'EE Inputs'!$C$9:$C$32,$G$6,'EE Inputs'!$D$9:$D$32,$C$4,'EE Inputs'!$E$9:$E$32,$B307)))</f>
        <v>0</v>
      </c>
      <c r="AH307" s="64"/>
      <c r="AI307" s="64"/>
      <c r="AJ307" s="64"/>
      <c r="AM307" s="645" cm="1">
        <f t="array" aca="1" ref="AM307" ca="1">IF($C$4=Lookups!$D$40,INDIRECT("'Yr1'!"&amp;ADDRESS(ROW(AM307),COLUMN(AM307))),
IF(AM249=0,0,SUMIFS('EE Inputs'!$T$9:$T$32,'EE Inputs'!$C$9:$C$32,$AM$6,'EE Inputs'!$D$9:$D$32,$C$4,'EE Inputs'!$E$9:$E$32,$B307)))</f>
        <v>0</v>
      </c>
      <c r="AN307" s="645" cm="1">
        <f t="array" aca="1" ref="AN307" ca="1">IF($C$4=Lookups!$D$40,INDIRECT("'Yr1'!"&amp;ADDRESS(ROW(AN307),COLUMN(AN307))),
IF(AN249=0,0,SUMIFS('EE Inputs'!$T$9:$T$32,'EE Inputs'!$C$9:$C$32,$AM$6,'EE Inputs'!$D$9:$D$32,$C$4,'EE Inputs'!$E$9:$E$32,$B307)))</f>
        <v>0</v>
      </c>
      <c r="AO307" s="645" cm="1">
        <f t="array" aca="1" ref="AO307" ca="1">IF($C$4=Lookups!$D$40,INDIRECT("'Yr1'!"&amp;ADDRESS(ROW(AO307),COLUMN(AO307))),
IF(AO249=0,0,SUMIFS('EE Inputs'!$T$9:$T$32,'EE Inputs'!$C$9:$C$32,$AM$6,'EE Inputs'!$D$9:$D$32,$C$4,'EE Inputs'!$E$9:$E$32,$B307)))</f>
        <v>23141.512027417073</v>
      </c>
      <c r="AP307" s="645" cm="1">
        <f t="array" aca="1" ref="AP307" ca="1">IF($C$4=Lookups!$D$40,INDIRECT("'Yr1'!"&amp;ADDRESS(ROW(AP307),COLUMN(AP307))),
IF(AP249=0,0,SUMIFS('EE Inputs'!$T$9:$T$32,'EE Inputs'!$C$9:$C$32,$AM$6,'EE Inputs'!$D$9:$D$32,$C$4,'EE Inputs'!$E$9:$E$32,$B307)))</f>
        <v>23141.512027417073</v>
      </c>
      <c r="AQ307" s="645" cm="1">
        <f t="array" aca="1" ref="AQ307" ca="1">IF($C$4=Lookups!$D$40,INDIRECT("'Yr1'!"&amp;ADDRESS(ROW(AQ307),COLUMN(AQ307))),
IF(AQ249=0,0,SUMIFS('EE Inputs'!$T$9:$T$32,'EE Inputs'!$C$9:$C$32,$AM$6,'EE Inputs'!$D$9:$D$32,$C$4,'EE Inputs'!$E$9:$E$32,$B307)))</f>
        <v>23141.512027417073</v>
      </c>
      <c r="AR307" s="645" cm="1">
        <f t="array" aca="1" ref="AR307" ca="1">IF($C$4=Lookups!$D$40,INDIRECT("'Yr1'!"&amp;ADDRESS(ROW(AR307),COLUMN(AR307))),
IF(AR249=0,0,SUMIFS('EE Inputs'!$T$9:$T$32,'EE Inputs'!$C$9:$C$32,$AM$6,'EE Inputs'!$D$9:$D$32,$C$4,'EE Inputs'!$E$9:$E$32,$B307)))</f>
        <v>23141.512027417073</v>
      </c>
      <c r="AS307" s="645" cm="1">
        <f t="array" aca="1" ref="AS307" ca="1">IF($C$4=Lookups!$D$40,INDIRECT("'Yr1'!"&amp;ADDRESS(ROW(AS307),COLUMN(AS307))),
IF(AS249=0,0,SUMIFS('EE Inputs'!$T$9:$T$32,'EE Inputs'!$C$9:$C$32,$AM$6,'EE Inputs'!$D$9:$D$32,$C$4,'EE Inputs'!$E$9:$E$32,$B307)))</f>
        <v>23141.512027417073</v>
      </c>
      <c r="AT307" s="645" cm="1">
        <f t="array" aca="1" ref="AT307" ca="1">IF($C$4=Lookups!$D$40,INDIRECT("'Yr1'!"&amp;ADDRESS(ROW(AT307),COLUMN(AT307))),
IF(AT249=0,0,SUMIFS('EE Inputs'!$T$9:$T$32,'EE Inputs'!$C$9:$C$32,$AM$6,'EE Inputs'!$D$9:$D$32,$C$4,'EE Inputs'!$E$9:$E$32,$B307)))</f>
        <v>23141.512027417073</v>
      </c>
      <c r="AU307" s="645" cm="1">
        <f t="array" aca="1" ref="AU307" ca="1">IF($C$4=Lookups!$D$40,INDIRECT("'Yr1'!"&amp;ADDRESS(ROW(AU307),COLUMN(AU307))),
IF(AU249=0,0,SUMIFS('EE Inputs'!$T$9:$T$32,'EE Inputs'!$C$9:$C$32,$AM$6,'EE Inputs'!$D$9:$D$32,$C$4,'EE Inputs'!$E$9:$E$32,$B307)))</f>
        <v>23141.512027417073</v>
      </c>
      <c r="AV307" s="645" cm="1">
        <f t="array" aca="1" ref="AV307" ca="1">IF($C$4=Lookups!$D$40,INDIRECT("'Yr1'!"&amp;ADDRESS(ROW(AV307),COLUMN(AV307))),
IF(AV249=0,0,SUMIFS('EE Inputs'!$T$9:$T$32,'EE Inputs'!$C$9:$C$32,$AM$6,'EE Inputs'!$D$9:$D$32,$C$4,'EE Inputs'!$E$9:$E$32,$B307)))</f>
        <v>23141.512027417073</v>
      </c>
      <c r="AW307" s="645" cm="1">
        <f t="array" aca="1" ref="AW307" ca="1">IF($C$4=Lookups!$D$40,INDIRECT("'Yr1'!"&amp;ADDRESS(ROW(AW307),COLUMN(AW307))),
IF(AW249=0,0,SUMIFS('EE Inputs'!$T$9:$T$32,'EE Inputs'!$C$9:$C$32,$AM$6,'EE Inputs'!$D$9:$D$32,$C$4,'EE Inputs'!$E$9:$E$32,$B307)))</f>
        <v>23141.512027417073</v>
      </c>
      <c r="AX307" s="645" cm="1">
        <f t="array" aca="1" ref="AX307" ca="1">IF($C$4=Lookups!$D$40,INDIRECT("'Yr1'!"&amp;ADDRESS(ROW(AX307),COLUMN(AX307))),
IF(AX249=0,0,SUMIFS('EE Inputs'!$T$9:$T$32,'EE Inputs'!$C$9:$C$32,$AM$6,'EE Inputs'!$D$9:$D$32,$C$4,'EE Inputs'!$E$9:$E$32,$B307)))</f>
        <v>23141.512027417073</v>
      </c>
      <c r="AY307" s="645" cm="1">
        <f t="array" aca="1" ref="AY307" ca="1">IF($C$4=Lookups!$D$40,INDIRECT("'Yr1'!"&amp;ADDRESS(ROW(AY307),COLUMN(AY307))),
IF(AY249=0,0,SUMIFS('EE Inputs'!$T$9:$T$32,'EE Inputs'!$C$9:$C$32,$AM$6,'EE Inputs'!$D$9:$D$32,$C$4,'EE Inputs'!$E$9:$E$32,$B307)))</f>
        <v>23141.512027417073</v>
      </c>
      <c r="AZ307" s="645" cm="1">
        <f t="array" aca="1" ref="AZ307" ca="1">IF($C$4=Lookups!$D$40,INDIRECT("'Yr1'!"&amp;ADDRESS(ROW(AZ307),COLUMN(AZ307))),
IF(AZ249=0,0,SUMIFS('EE Inputs'!$T$9:$T$32,'EE Inputs'!$C$9:$C$32,$AM$6,'EE Inputs'!$D$9:$D$32,$C$4,'EE Inputs'!$E$9:$E$32,$B307)))</f>
        <v>23141.512027417073</v>
      </c>
      <c r="BA307" s="645" cm="1">
        <f t="array" aca="1" ref="BA307" ca="1">IF($C$4=Lookups!$D$40,INDIRECT("'Yr1'!"&amp;ADDRESS(ROW(BA307),COLUMN(BA307))),
IF(BA249=0,0,SUMIFS('EE Inputs'!$T$9:$T$32,'EE Inputs'!$C$9:$C$32,$AM$6,'EE Inputs'!$D$9:$D$32,$C$4,'EE Inputs'!$E$9:$E$32,$B307)))</f>
        <v>23141.512027417073</v>
      </c>
      <c r="BB307" s="645" cm="1">
        <f t="array" aca="1" ref="BB307" ca="1">IF($C$4=Lookups!$D$40,INDIRECT("'Yr1'!"&amp;ADDRESS(ROW(BB307),COLUMN(BB307))),
IF(BB249=0,0,SUMIFS('EE Inputs'!$T$9:$T$32,'EE Inputs'!$C$9:$C$32,$AM$6,'EE Inputs'!$D$9:$D$32,$C$4,'EE Inputs'!$E$9:$E$32,$B307)))</f>
        <v>0</v>
      </c>
      <c r="BC307" s="645" cm="1">
        <f t="array" aca="1" ref="BC307" ca="1">IF($C$4=Lookups!$D$40,INDIRECT("'Yr1'!"&amp;ADDRESS(ROW(BC307),COLUMN(BC307))),
IF(BC249=0,0,SUMIFS('EE Inputs'!$T$9:$T$32,'EE Inputs'!$C$9:$C$32,$AM$6,'EE Inputs'!$D$9:$D$32,$C$4,'EE Inputs'!$E$9:$E$32,$B307)))</f>
        <v>0</v>
      </c>
      <c r="BD307" s="645" cm="1">
        <f t="array" aca="1" ref="BD307" ca="1">IF($C$4=Lookups!$D$40,INDIRECT("'Yr1'!"&amp;ADDRESS(ROW(BD307),COLUMN(BD307))),
IF(BD249=0,0,SUMIFS('EE Inputs'!$T$9:$T$32,'EE Inputs'!$C$9:$C$32,$AM$6,'EE Inputs'!$D$9:$D$32,$C$4,'EE Inputs'!$E$9:$E$32,$B307)))</f>
        <v>0</v>
      </c>
      <c r="BE307" s="645" cm="1">
        <f t="array" aca="1" ref="BE307" ca="1">IF($C$4=Lookups!$D$40,INDIRECT("'Yr1'!"&amp;ADDRESS(ROW(BE307),COLUMN(BE307))),
IF(BE249=0,0,SUMIFS('EE Inputs'!$T$9:$T$32,'EE Inputs'!$C$9:$C$32,$AM$6,'EE Inputs'!$D$9:$D$32,$C$4,'EE Inputs'!$E$9:$E$32,$B307)))</f>
        <v>0</v>
      </c>
      <c r="BF307" s="645" cm="1">
        <f t="array" aca="1" ref="BF307" ca="1">IF($C$4=Lookups!$D$40,INDIRECT("'Yr1'!"&amp;ADDRESS(ROW(BF307),COLUMN(BF307))),
IF(BF249=0,0,SUMIFS('EE Inputs'!$T$9:$T$32,'EE Inputs'!$C$9:$C$32,$AM$6,'EE Inputs'!$D$9:$D$32,$C$4,'EE Inputs'!$E$9:$E$32,$B307)))</f>
        <v>0</v>
      </c>
      <c r="BG307" s="645" cm="1">
        <f t="array" aca="1" ref="BG307" ca="1">IF($C$4=Lookups!$D$40,INDIRECT("'Yr1'!"&amp;ADDRESS(ROW(BG307),COLUMN(BG307))),
IF(BG249=0,0,SUMIFS('EE Inputs'!$T$9:$T$32,'EE Inputs'!$C$9:$C$32,$AM$6,'EE Inputs'!$D$9:$D$32,$C$4,'EE Inputs'!$E$9:$E$32,$B307)))</f>
        <v>0</v>
      </c>
      <c r="BH307" s="645" cm="1">
        <f t="array" aca="1" ref="BH307" ca="1">IF($C$4=Lookups!$D$40,INDIRECT("'Yr1'!"&amp;ADDRESS(ROW(BH307),COLUMN(BH307))),
IF(BH249=0,0,SUMIFS('EE Inputs'!$T$9:$T$32,'EE Inputs'!$C$9:$C$32,$AM$6,'EE Inputs'!$D$9:$D$32,$C$4,'EE Inputs'!$E$9:$E$32,$B307)))</f>
        <v>0</v>
      </c>
      <c r="BI307" s="645" cm="1">
        <f t="array" aca="1" ref="BI307" ca="1">IF($C$4=Lookups!$D$40,INDIRECT("'Yr1'!"&amp;ADDRESS(ROW(BI307),COLUMN(BI307))),
IF(BI249=0,0,SUMIFS('EE Inputs'!$T$9:$T$32,'EE Inputs'!$C$9:$C$32,$AM$6,'EE Inputs'!$D$9:$D$32,$C$4,'EE Inputs'!$E$9:$E$32,$B307)))</f>
        <v>0</v>
      </c>
      <c r="BJ307" s="645" cm="1">
        <f t="array" aca="1" ref="BJ307" ca="1">IF($C$4=Lookups!$D$40,INDIRECT("'Yr1'!"&amp;ADDRESS(ROW(BJ307),COLUMN(BJ307))),
IF(BJ249=0,0,SUMIFS('EE Inputs'!$T$9:$T$32,'EE Inputs'!$C$9:$C$32,$AM$6,'EE Inputs'!$D$9:$D$32,$C$4,'EE Inputs'!$E$9:$E$32,$B307)))</f>
        <v>0</v>
      </c>
      <c r="BK307" s="645" cm="1">
        <f t="array" aca="1" ref="BK307" ca="1">IF($C$4=Lookups!$D$40,INDIRECT("'Yr1'!"&amp;ADDRESS(ROW(BK307),COLUMN(BK307))),
IF(BK249=0,0,SUMIFS('EE Inputs'!$T$9:$T$32,'EE Inputs'!$C$9:$C$32,$AM$6,'EE Inputs'!$D$9:$D$32,$C$4,'EE Inputs'!$E$9:$E$32,$B307)))</f>
        <v>0</v>
      </c>
      <c r="BL307" s="645" cm="1">
        <f t="array" aca="1" ref="BL307" ca="1">IF($C$4=Lookups!$D$40,INDIRECT("'Yr1'!"&amp;ADDRESS(ROW(BL307),COLUMN(BL307))),
IF(BL249=0,0,SUMIFS('EE Inputs'!$T$9:$T$32,'EE Inputs'!$C$9:$C$32,$AM$6,'EE Inputs'!$D$9:$D$32,$C$4,'EE Inputs'!$E$9:$E$32,$B307)))</f>
        <v>0</v>
      </c>
      <c r="BM307" s="645" cm="1">
        <f t="array" aca="1" ref="BM307" ca="1">IF($C$4=Lookups!$D$40,INDIRECT("'Yr1'!"&amp;ADDRESS(ROW(BM307),COLUMN(BM307))),
IF(BM249=0,0,SUMIFS('EE Inputs'!$T$9:$T$32,'EE Inputs'!$C$9:$C$32,$AM$6,'EE Inputs'!$D$9:$D$32,$C$4,'EE Inputs'!$E$9:$E$32,$B307)))</f>
        <v>0</v>
      </c>
      <c r="BN307" s="71"/>
      <c r="BO307" s="71"/>
      <c r="BP307" s="71"/>
      <c r="BS307" s="76" t="s">
        <v>96</v>
      </c>
      <c r="BT307" s="51" t="s">
        <v>17</v>
      </c>
    </row>
    <row r="308" spans="1:72" x14ac:dyDescent="0.25">
      <c r="B308" s="243" t="str">
        <f t="shared" si="324"/>
        <v>Large C&amp;I</v>
      </c>
      <c r="C308" s="243" t="str">
        <f t="shared" si="324"/>
        <v>Bills</v>
      </c>
      <c r="D308" s="114" t="s">
        <v>111</v>
      </c>
      <c r="E308" s="84"/>
      <c r="F308" s="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49"/>
      <c r="AI308" s="184"/>
      <c r="AJ308" s="49"/>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S308" s="84"/>
      <c r="BT308" s="51" t="s">
        <v>17</v>
      </c>
    </row>
    <row r="309" spans="1:72" x14ac:dyDescent="0.25">
      <c r="B309" s="243" t="str">
        <f t="shared" si="324"/>
        <v>Large C&amp;I</v>
      </c>
      <c r="C309" s="243" t="str">
        <f t="shared" si="324"/>
        <v>Bills</v>
      </c>
      <c r="D309" s="244" t="str">
        <f t="shared" si="324"/>
        <v>Bills after DSM Scenario</v>
      </c>
      <c r="E309" s="84" t="s">
        <v>348</v>
      </c>
      <c r="F309" s="84" t="s">
        <v>32</v>
      </c>
      <c r="G309" s="103">
        <f ca="1">G301+G302*(G294-G293)</f>
        <v>0</v>
      </c>
      <c r="H309" s="103">
        <f ca="1">H301+H302*(H294-H293)</f>
        <v>0</v>
      </c>
      <c r="I309" s="103">
        <f t="shared" ref="I309:AG309" ca="1" si="334">I301+I302*(I294-I293)</f>
        <v>183365.28483323017</v>
      </c>
      <c r="J309" s="103">
        <f t="shared" ca="1" si="334"/>
        <v>152750.7979473836</v>
      </c>
      <c r="K309" s="103">
        <f t="shared" ca="1" si="334"/>
        <v>152750.7979473836</v>
      </c>
      <c r="L309" s="103">
        <f t="shared" ca="1" si="334"/>
        <v>152750.7979473836</v>
      </c>
      <c r="M309" s="103">
        <f t="shared" ca="1" si="334"/>
        <v>152750.7979473836</v>
      </c>
      <c r="N309" s="103">
        <f t="shared" ca="1" si="334"/>
        <v>152750.7979473836</v>
      </c>
      <c r="O309" s="103">
        <f t="shared" ca="1" si="334"/>
        <v>152750.7979473836</v>
      </c>
      <c r="P309" s="103">
        <f t="shared" ca="1" si="334"/>
        <v>152750.7979473836</v>
      </c>
      <c r="Q309" s="103">
        <f t="shared" ca="1" si="334"/>
        <v>152750.7979473836</v>
      </c>
      <c r="R309" s="103">
        <f t="shared" ca="1" si="334"/>
        <v>152750.7979473836</v>
      </c>
      <c r="S309" s="103">
        <f ca="1">S301+S302*(S294-S293)</f>
        <v>152750.7979473836</v>
      </c>
      <c r="T309" s="103">
        <f t="shared" ca="1" si="334"/>
        <v>152750.7979473836</v>
      </c>
      <c r="U309" s="103">
        <f t="shared" ca="1" si="334"/>
        <v>152750.7979473836</v>
      </c>
      <c r="V309" s="103">
        <f t="shared" ca="1" si="334"/>
        <v>151857.45648293078</v>
      </c>
      <c r="W309" s="103">
        <f t="shared" ca="1" si="334"/>
        <v>151857.45648293078</v>
      </c>
      <c r="X309" s="103">
        <f t="shared" ca="1" si="334"/>
        <v>151857.45648293078</v>
      </c>
      <c r="Y309" s="103">
        <f t="shared" ca="1" si="334"/>
        <v>151857.45648293078</v>
      </c>
      <c r="Z309" s="103">
        <f t="shared" ca="1" si="334"/>
        <v>151857.45648293078</v>
      </c>
      <c r="AA309" s="103">
        <f t="shared" ca="1" si="334"/>
        <v>151857.45648293078</v>
      </c>
      <c r="AB309" s="103">
        <f t="shared" ca="1" si="334"/>
        <v>151857.45648293078</v>
      </c>
      <c r="AC309" s="103">
        <f t="shared" ca="1" si="334"/>
        <v>151857.45648293078</v>
      </c>
      <c r="AD309" s="103">
        <f t="shared" ca="1" si="334"/>
        <v>151857.45648293078</v>
      </c>
      <c r="AE309" s="103">
        <f t="shared" ca="1" si="334"/>
        <v>151857.45648293078</v>
      </c>
      <c r="AF309" s="103">
        <f t="shared" ca="1" si="334"/>
        <v>151857.45648293078</v>
      </c>
      <c r="AG309" s="103">
        <f t="shared" ca="1" si="334"/>
        <v>151857.45648293078</v>
      </c>
      <c r="AH309" s="103"/>
      <c r="AI309" s="103"/>
      <c r="AJ309" s="103">
        <f ca="1">IF($C$4=Year1,-PMT(Lookups!$E$17,25,NPV(Lookups!$E$17,G309:AE309),0,1),IF($C$4=Year2,-PMT(Lookups!$F$17,25,NPV(Lookups!$F$17,H309:AF309),0,1),IF($C$4=Year3,-PMT(Lookups!$G$17,25,NPV(Lookups!$G$17,I309:AG309),0,1),-PMT(Lookups!$G$17,27,NPV(Lookups!$G$17,G309:AG309),0,1))))</f>
        <v>151657.87468944714</v>
      </c>
      <c r="AM309" s="149">
        <f ca="1">AM301+AM302*(AM294-AM293)</f>
        <v>0</v>
      </c>
      <c r="AN309" s="149">
        <f t="shared" ref="AN309:BM309" ca="1" si="335">AN301+AN302*(AN294-AN293)</f>
        <v>0</v>
      </c>
      <c r="AO309" s="149">
        <f t="shared" ca="1" si="335"/>
        <v>189630.62985225444</v>
      </c>
      <c r="AP309" s="149">
        <f t="shared" ca="1" si="335"/>
        <v>152893.24558923859</v>
      </c>
      <c r="AQ309" s="149">
        <f t="shared" ca="1" si="335"/>
        <v>152893.24558923859</v>
      </c>
      <c r="AR309" s="149">
        <f t="shared" ca="1" si="335"/>
        <v>152893.24558923859</v>
      </c>
      <c r="AS309" s="149">
        <f t="shared" ca="1" si="335"/>
        <v>152893.24558923859</v>
      </c>
      <c r="AT309" s="149">
        <f t="shared" ca="1" si="335"/>
        <v>152893.24558923859</v>
      </c>
      <c r="AU309" s="149">
        <f t="shared" ca="1" si="335"/>
        <v>152893.24558923859</v>
      </c>
      <c r="AV309" s="149">
        <f t="shared" ca="1" si="335"/>
        <v>152893.24558923859</v>
      </c>
      <c r="AW309" s="149">
        <f t="shared" ca="1" si="335"/>
        <v>152893.24558923859</v>
      </c>
      <c r="AX309" s="149">
        <f t="shared" ca="1" si="335"/>
        <v>152893.24558923859</v>
      </c>
      <c r="AY309" s="149">
        <f t="shared" ca="1" si="335"/>
        <v>152893.24558923859</v>
      </c>
      <c r="AZ309" s="149">
        <f t="shared" ca="1" si="335"/>
        <v>152893.24558923859</v>
      </c>
      <c r="BA309" s="149">
        <f t="shared" ca="1" si="335"/>
        <v>152893.24558923859</v>
      </c>
      <c r="BB309" s="149">
        <f t="shared" ca="1" si="335"/>
        <v>151857.45648293078</v>
      </c>
      <c r="BC309" s="149">
        <f t="shared" ca="1" si="335"/>
        <v>151857.45648293078</v>
      </c>
      <c r="BD309" s="149">
        <f t="shared" ca="1" si="335"/>
        <v>151857.45648293078</v>
      </c>
      <c r="BE309" s="149">
        <f t="shared" ca="1" si="335"/>
        <v>151857.45648293078</v>
      </c>
      <c r="BF309" s="149">
        <f t="shared" ca="1" si="335"/>
        <v>151857.45648293078</v>
      </c>
      <c r="BG309" s="149">
        <f t="shared" ca="1" si="335"/>
        <v>151857.45648293078</v>
      </c>
      <c r="BH309" s="149">
        <f t="shared" ca="1" si="335"/>
        <v>151857.45648293078</v>
      </c>
      <c r="BI309" s="149">
        <f t="shared" ca="1" si="335"/>
        <v>151857.45648293078</v>
      </c>
      <c r="BJ309" s="149">
        <f t="shared" ca="1" si="335"/>
        <v>151857.45648293078</v>
      </c>
      <c r="BK309" s="149">
        <f t="shared" ca="1" si="335"/>
        <v>151857.45648293078</v>
      </c>
      <c r="BL309" s="149">
        <f t="shared" ca="1" si="335"/>
        <v>151857.45648293078</v>
      </c>
      <c r="BM309" s="149">
        <f t="shared" ca="1" si="335"/>
        <v>151857.45648293078</v>
      </c>
      <c r="BN309" s="149"/>
      <c r="BO309" s="149"/>
      <c r="BP309" s="149">
        <f ca="1">IF($C$4=Year1,-PMT(Lookups!$E$17,25,NPV(Lookups!$E$17,AM309:BK309),0,1),IF($C$4=Year2,-PMT(Lookups!$F$17,25,NPV(Lookups!$F$17,AN309:BL309),0,1),IF($C$4=Year3,-PMT(Lookups!$G$17,25,NPV(Lookups!$G$17,AO309:BM309),0,1),-PMT(Lookups!$G$17,27,NPV(Lookups!$G$17,AM309:BM309),0,1))))</f>
        <v>152021.41189695499</v>
      </c>
      <c r="BS309" s="84" t="s">
        <v>239</v>
      </c>
      <c r="BT309" s="51" t="s">
        <v>17</v>
      </c>
    </row>
    <row r="310" spans="1:72" x14ac:dyDescent="0.25">
      <c r="B310" s="243" t="str">
        <f t="shared" si="324"/>
        <v>Large C&amp;I</v>
      </c>
      <c r="C310" s="243" t="str">
        <f t="shared" si="324"/>
        <v>Bills</v>
      </c>
      <c r="D310" s="244" t="str">
        <f t="shared" si="324"/>
        <v>Bills after DSM Scenario</v>
      </c>
      <c r="E310" s="84" t="s">
        <v>349</v>
      </c>
      <c r="F310" s="84" t="s">
        <v>32</v>
      </c>
      <c r="G310" s="103">
        <f ca="1">G301+(G302-G305)*(G294-G293)</f>
        <v>0</v>
      </c>
      <c r="H310" s="103">
        <f ca="1">H301+(H302-H305)*(H294-H293)</f>
        <v>0</v>
      </c>
      <c r="I310" s="103">
        <f t="shared" ref="I310:AG310" ca="1" si="336">I301+(I302-I305)*(I294-I293)</f>
        <v>166550.58392168311</v>
      </c>
      <c r="J310" s="103">
        <f t="shared" ca="1" si="336"/>
        <v>138883.43018172201</v>
      </c>
      <c r="K310" s="103">
        <f t="shared" ca="1" si="336"/>
        <v>138883.43018172201</v>
      </c>
      <c r="L310" s="103">
        <f t="shared" ca="1" si="336"/>
        <v>138883.43018172201</v>
      </c>
      <c r="M310" s="103">
        <f t="shared" ca="1" si="336"/>
        <v>138883.43018172201</v>
      </c>
      <c r="N310" s="103">
        <f t="shared" ca="1" si="336"/>
        <v>138883.43018172201</v>
      </c>
      <c r="O310" s="103">
        <f t="shared" ca="1" si="336"/>
        <v>138883.43018172201</v>
      </c>
      <c r="P310" s="103">
        <f t="shared" ca="1" si="336"/>
        <v>138883.43018172201</v>
      </c>
      <c r="Q310" s="103">
        <f t="shared" ca="1" si="336"/>
        <v>138883.43018172201</v>
      </c>
      <c r="R310" s="103">
        <f t="shared" ca="1" si="336"/>
        <v>138883.43018172201</v>
      </c>
      <c r="S310" s="103">
        <f ca="1">S301+(S302-S305)*(S294-S293)</f>
        <v>138883.43018172201</v>
      </c>
      <c r="T310" s="103">
        <f t="shared" ca="1" si="336"/>
        <v>138883.43018172201</v>
      </c>
      <c r="U310" s="103">
        <f t="shared" ca="1" si="336"/>
        <v>138883.43018172201</v>
      </c>
      <c r="V310" s="103">
        <f t="shared" ca="1" si="336"/>
        <v>151857.45648293078</v>
      </c>
      <c r="W310" s="103">
        <f t="shared" ca="1" si="336"/>
        <v>151857.45648293078</v>
      </c>
      <c r="X310" s="103">
        <f t="shared" ca="1" si="336"/>
        <v>151857.45648293078</v>
      </c>
      <c r="Y310" s="103">
        <f t="shared" ca="1" si="336"/>
        <v>151857.45648293078</v>
      </c>
      <c r="Z310" s="103">
        <f t="shared" ca="1" si="336"/>
        <v>151857.45648293078</v>
      </c>
      <c r="AA310" s="103">
        <f t="shared" ca="1" si="336"/>
        <v>151857.45648293078</v>
      </c>
      <c r="AB310" s="103">
        <f t="shared" ca="1" si="336"/>
        <v>151857.45648293078</v>
      </c>
      <c r="AC310" s="103">
        <f t="shared" ca="1" si="336"/>
        <v>151857.45648293078</v>
      </c>
      <c r="AD310" s="103">
        <f t="shared" ca="1" si="336"/>
        <v>151857.45648293078</v>
      </c>
      <c r="AE310" s="103">
        <f t="shared" ca="1" si="336"/>
        <v>151857.45648293078</v>
      </c>
      <c r="AF310" s="103">
        <f t="shared" ca="1" si="336"/>
        <v>151857.45648293078</v>
      </c>
      <c r="AG310" s="103">
        <f t="shared" ca="1" si="336"/>
        <v>151857.45648293078</v>
      </c>
      <c r="AH310" s="103"/>
      <c r="AI310" s="103"/>
      <c r="AJ310" s="103">
        <f ca="1">IF($C$4=Year1,-PMT(Lookups!$E$17,25,NPV(Lookups!$E$17,G310:AE310),0,1),IF($C$4=Year2,-PMT(Lookups!$F$17,25,NPV(Lookups!$F$17,H310:AF310),0,1),IF($C$4=Year3,-PMT(Lookups!$G$17,25,NPV(Lookups!$G$17,I310:AG310),0,1),-PMT(Lookups!$G$17,27,NPV(Lookups!$G$17,G310:AG310),0,1))))</f>
        <v>143814.26257988546</v>
      </c>
      <c r="AM310" s="149">
        <f ca="1">AM301+(AM302-AM305)*(AM294-AM293)</f>
        <v>0</v>
      </c>
      <c r="AN310" s="149">
        <f t="shared" ref="AN310:BM310" ca="1" si="337">AN301+(AN302-AN305)*(AN294-AN293)</f>
        <v>0</v>
      </c>
      <c r="AO310" s="149">
        <f t="shared" ca="1" si="337"/>
        <v>169724.4797595398</v>
      </c>
      <c r="AP310" s="149">
        <f t="shared" ca="1" si="337"/>
        <v>137029.15238230969</v>
      </c>
      <c r="AQ310" s="149">
        <f t="shared" ca="1" si="337"/>
        <v>137029.15238230969</v>
      </c>
      <c r="AR310" s="149">
        <f t="shared" ca="1" si="337"/>
        <v>137029.15238230969</v>
      </c>
      <c r="AS310" s="149">
        <f t="shared" ca="1" si="337"/>
        <v>137029.15238230969</v>
      </c>
      <c r="AT310" s="149">
        <f t="shared" ca="1" si="337"/>
        <v>137029.15238230969</v>
      </c>
      <c r="AU310" s="149">
        <f t="shared" ca="1" si="337"/>
        <v>137029.15238230969</v>
      </c>
      <c r="AV310" s="149">
        <f t="shared" ca="1" si="337"/>
        <v>137029.15238230969</v>
      </c>
      <c r="AW310" s="149">
        <f t="shared" ca="1" si="337"/>
        <v>137029.15238230969</v>
      </c>
      <c r="AX310" s="149">
        <f t="shared" ca="1" si="337"/>
        <v>137029.15238230969</v>
      </c>
      <c r="AY310" s="149">
        <f t="shared" ca="1" si="337"/>
        <v>137029.15238230969</v>
      </c>
      <c r="AZ310" s="149">
        <f t="shared" ca="1" si="337"/>
        <v>137029.15238230969</v>
      </c>
      <c r="BA310" s="149">
        <f t="shared" ca="1" si="337"/>
        <v>137029.15238230969</v>
      </c>
      <c r="BB310" s="149">
        <f t="shared" ca="1" si="337"/>
        <v>151857.45648293078</v>
      </c>
      <c r="BC310" s="149">
        <f t="shared" ca="1" si="337"/>
        <v>151857.45648293078</v>
      </c>
      <c r="BD310" s="149">
        <f t="shared" ca="1" si="337"/>
        <v>151857.45648293078</v>
      </c>
      <c r="BE310" s="149">
        <f t="shared" ca="1" si="337"/>
        <v>151857.45648293078</v>
      </c>
      <c r="BF310" s="149">
        <f t="shared" ca="1" si="337"/>
        <v>151857.45648293078</v>
      </c>
      <c r="BG310" s="149">
        <f t="shared" ca="1" si="337"/>
        <v>151857.45648293078</v>
      </c>
      <c r="BH310" s="149">
        <f t="shared" ca="1" si="337"/>
        <v>151857.45648293078</v>
      </c>
      <c r="BI310" s="149">
        <f t="shared" ca="1" si="337"/>
        <v>151857.45648293078</v>
      </c>
      <c r="BJ310" s="149">
        <f t="shared" ca="1" si="337"/>
        <v>151857.45648293078</v>
      </c>
      <c r="BK310" s="149">
        <f t="shared" ca="1" si="337"/>
        <v>151857.45648293078</v>
      </c>
      <c r="BL310" s="149">
        <f t="shared" ca="1" si="337"/>
        <v>151857.45648293078</v>
      </c>
      <c r="BM310" s="149">
        <f t="shared" ca="1" si="337"/>
        <v>151857.45648293078</v>
      </c>
      <c r="BN310" s="149"/>
      <c r="BO310" s="149"/>
      <c r="BP310" s="149">
        <f ca="1">IF($C$4=Year1,-PMT(Lookups!$E$17,25,NPV(Lookups!$E$17,AM310:BK310),0,1),IF($C$4=Year2,-PMT(Lookups!$F$17,25,NPV(Lookups!$F$17,AN310:BL310),0,1),IF($C$4=Year3,-PMT(Lookups!$G$17,25,NPV(Lookups!$G$17,AO310:BM310),0,1),-PMT(Lookups!$G$17,27,NPV(Lookups!$G$17,AM310:BM310),0,1))))</f>
        <v>143017.2853313974</v>
      </c>
      <c r="BS310" s="84" t="s">
        <v>240</v>
      </c>
      <c r="BT310" s="51" t="s">
        <v>17</v>
      </c>
    </row>
    <row r="311" spans="1:72" x14ac:dyDescent="0.25">
      <c r="B311" s="243" t="str">
        <f t="shared" si="324"/>
        <v>Large C&amp;I</v>
      </c>
      <c r="C311" s="243" t="str">
        <f t="shared" si="324"/>
        <v>Bills</v>
      </c>
      <c r="D311" s="244" t="str">
        <f t="shared" si="324"/>
        <v>Bills after DSM Scenario</v>
      </c>
      <c r="E311" s="84" t="str">
        <f>'EE Inputs'!$N$15&amp;" Participant Annual Bill"</f>
        <v>Low Savings Participant Annual Bill</v>
      </c>
      <c r="F311" s="84" t="s">
        <v>32</v>
      </c>
      <c r="G311" s="103">
        <f ca="1">G301+(G302-G306)*(G294-G293)</f>
        <v>0</v>
      </c>
      <c r="H311" s="103">
        <f ca="1">H301+(H302-H306)*(H294-H293)</f>
        <v>0</v>
      </c>
      <c r="I311" s="103">
        <f t="shared" ref="I311:AG311" ca="1" si="338">I301+(I302-I306)*(I294-I293)</f>
        <v>174632.41659156868</v>
      </c>
      <c r="J311" s="103">
        <f t="shared" ca="1" si="338"/>
        <v>145548.65405001442</v>
      </c>
      <c r="K311" s="103">
        <f t="shared" ca="1" si="338"/>
        <v>145548.65405001442</v>
      </c>
      <c r="L311" s="103">
        <f t="shared" ca="1" si="338"/>
        <v>145548.65405001442</v>
      </c>
      <c r="M311" s="103">
        <f t="shared" ca="1" si="338"/>
        <v>145548.65405001442</v>
      </c>
      <c r="N311" s="103">
        <f t="shared" ca="1" si="338"/>
        <v>145548.65405001442</v>
      </c>
      <c r="O311" s="103">
        <f t="shared" ca="1" si="338"/>
        <v>145548.65405001442</v>
      </c>
      <c r="P311" s="103">
        <f t="shared" ca="1" si="338"/>
        <v>145548.65405001442</v>
      </c>
      <c r="Q311" s="103">
        <f t="shared" ca="1" si="338"/>
        <v>145548.65405001442</v>
      </c>
      <c r="R311" s="103">
        <f t="shared" ca="1" si="338"/>
        <v>145548.65405001442</v>
      </c>
      <c r="S311" s="103">
        <f t="shared" ca="1" si="338"/>
        <v>145548.65405001442</v>
      </c>
      <c r="T311" s="103">
        <f t="shared" ca="1" si="338"/>
        <v>145548.65405001442</v>
      </c>
      <c r="U311" s="103">
        <f t="shared" ca="1" si="338"/>
        <v>145548.65405001442</v>
      </c>
      <c r="V311" s="103">
        <f t="shared" ca="1" si="338"/>
        <v>151857.45648293078</v>
      </c>
      <c r="W311" s="103">
        <f t="shared" ca="1" si="338"/>
        <v>151857.45648293078</v>
      </c>
      <c r="X311" s="103">
        <f t="shared" ca="1" si="338"/>
        <v>151857.45648293078</v>
      </c>
      <c r="Y311" s="103">
        <f t="shared" ca="1" si="338"/>
        <v>151857.45648293078</v>
      </c>
      <c r="Z311" s="103">
        <f t="shared" ca="1" si="338"/>
        <v>151857.45648293078</v>
      </c>
      <c r="AA311" s="103">
        <f t="shared" ca="1" si="338"/>
        <v>151857.45648293078</v>
      </c>
      <c r="AB311" s="103">
        <f t="shared" ca="1" si="338"/>
        <v>151857.45648293078</v>
      </c>
      <c r="AC311" s="103">
        <f t="shared" ca="1" si="338"/>
        <v>151857.45648293078</v>
      </c>
      <c r="AD311" s="103">
        <f t="shared" ca="1" si="338"/>
        <v>151857.45648293078</v>
      </c>
      <c r="AE311" s="103">
        <f t="shared" ca="1" si="338"/>
        <v>151857.45648293078</v>
      </c>
      <c r="AF311" s="103">
        <f t="shared" ca="1" si="338"/>
        <v>151857.45648293078</v>
      </c>
      <c r="AG311" s="103">
        <f t="shared" ca="1" si="338"/>
        <v>151857.45648293078</v>
      </c>
      <c r="AH311" s="103"/>
      <c r="AI311" s="103"/>
      <c r="AJ311" s="103">
        <f ca="1">IF($C$4=Year1,-PMT(Lookups!$E$17,25,NPV(Lookups!$E$17,G311:AE311),0,1),IF($C$4=Year2,-PMT(Lookups!$F$17,25,NPV(Lookups!$F$17,H311:AF311),0,1),IF($C$4=Year3,-PMT(Lookups!$G$17,25,NPV(Lookups!$G$17,I311:AG311),0,1),-PMT(Lookups!$G$17,27,NPV(Lookups!$G$17,G311:AG311),0,1))))</f>
        <v>147584.22321911596</v>
      </c>
      <c r="AM311" s="149">
        <f ca="1">AM301+(AM302-AM306)*(AM294-AM293)</f>
        <v>0</v>
      </c>
      <c r="AN311" s="149">
        <f t="shared" ref="AN311:BM311" ca="1" si="339">AN301+(AN302-AN306)*(AN294-AN293)</f>
        <v>0</v>
      </c>
      <c r="AO311" s="149">
        <f t="shared" ca="1" si="339"/>
        <v>178775.26726111918</v>
      </c>
      <c r="AP311" s="149">
        <f t="shared" ca="1" si="339"/>
        <v>144242.12605388428</v>
      </c>
      <c r="AQ311" s="149">
        <f t="shared" ca="1" si="339"/>
        <v>144242.12605388428</v>
      </c>
      <c r="AR311" s="149">
        <f t="shared" ca="1" si="339"/>
        <v>144242.12605388428</v>
      </c>
      <c r="AS311" s="149">
        <f t="shared" ca="1" si="339"/>
        <v>144242.12605388428</v>
      </c>
      <c r="AT311" s="149">
        <f t="shared" ca="1" si="339"/>
        <v>144242.12605388428</v>
      </c>
      <c r="AU311" s="149">
        <f t="shared" ca="1" si="339"/>
        <v>144242.12605388428</v>
      </c>
      <c r="AV311" s="149">
        <f t="shared" ca="1" si="339"/>
        <v>144242.12605388428</v>
      </c>
      <c r="AW311" s="149">
        <f t="shared" ca="1" si="339"/>
        <v>144242.12605388428</v>
      </c>
      <c r="AX311" s="149">
        <f t="shared" ca="1" si="339"/>
        <v>144242.12605388428</v>
      </c>
      <c r="AY311" s="149">
        <f t="shared" ca="1" si="339"/>
        <v>144242.12605388428</v>
      </c>
      <c r="AZ311" s="149">
        <f t="shared" ca="1" si="339"/>
        <v>144242.12605388428</v>
      </c>
      <c r="BA311" s="149">
        <f t="shared" ca="1" si="339"/>
        <v>144242.12605388428</v>
      </c>
      <c r="BB311" s="149">
        <f t="shared" ca="1" si="339"/>
        <v>151857.45648293078</v>
      </c>
      <c r="BC311" s="149">
        <f t="shared" ca="1" si="339"/>
        <v>151857.45648293078</v>
      </c>
      <c r="BD311" s="149">
        <f t="shared" ca="1" si="339"/>
        <v>151857.45648293078</v>
      </c>
      <c r="BE311" s="149">
        <f t="shared" ca="1" si="339"/>
        <v>151857.45648293078</v>
      </c>
      <c r="BF311" s="149">
        <f t="shared" ca="1" si="339"/>
        <v>151857.45648293078</v>
      </c>
      <c r="BG311" s="149">
        <f t="shared" ca="1" si="339"/>
        <v>151857.45648293078</v>
      </c>
      <c r="BH311" s="149">
        <f t="shared" ca="1" si="339"/>
        <v>151857.45648293078</v>
      </c>
      <c r="BI311" s="149">
        <f t="shared" ca="1" si="339"/>
        <v>151857.45648293078</v>
      </c>
      <c r="BJ311" s="149">
        <f t="shared" ca="1" si="339"/>
        <v>151857.45648293078</v>
      </c>
      <c r="BK311" s="149">
        <f t="shared" ca="1" si="339"/>
        <v>151857.45648293078</v>
      </c>
      <c r="BL311" s="149">
        <f t="shared" ca="1" si="339"/>
        <v>151857.45648293078</v>
      </c>
      <c r="BM311" s="149">
        <f t="shared" ca="1" si="339"/>
        <v>151857.45648293078</v>
      </c>
      <c r="BN311" s="149"/>
      <c r="BO311" s="149"/>
      <c r="BP311" s="149">
        <f ca="1">IF($C$4=Year1,-PMT(Lookups!$E$17,25,NPV(Lookups!$E$17,AM311:BK311),0,1),IF($C$4=Year2,-PMT(Lookups!$F$17,25,NPV(Lookups!$F$17,AN311:BL311),0,1),IF($C$4=Year3,-PMT(Lookups!$G$17,25,NPV(Lookups!$G$17,AO311:BM311),0,1),-PMT(Lookups!$G$17,27,NPV(Lookups!$G$17,AM311:BM311),0,1))))</f>
        <v>147111.21790010712</v>
      </c>
      <c r="BS311" s="84" t="s">
        <v>240</v>
      </c>
      <c r="BT311" s="51" t="s">
        <v>17</v>
      </c>
    </row>
    <row r="312" spans="1:72" x14ac:dyDescent="0.25">
      <c r="B312" s="243" t="str">
        <f t="shared" ref="B312:D322" si="340">B311</f>
        <v>Large C&amp;I</v>
      </c>
      <c r="C312" s="243" t="str">
        <f t="shared" si="340"/>
        <v>Bills</v>
      </c>
      <c r="D312" s="244" t="str">
        <f t="shared" si="340"/>
        <v>Bills after DSM Scenario</v>
      </c>
      <c r="E312" s="84" t="str">
        <f>'EE Inputs'!$N$16&amp;" Participant Annual Bill"</f>
        <v>High Savings Participant Annual Bill</v>
      </c>
      <c r="F312" s="84" t="s">
        <v>32</v>
      </c>
      <c r="G312" s="103">
        <f ca="1">G301+(G302-G307)*(G294-G293)</f>
        <v>0</v>
      </c>
      <c r="H312" s="103">
        <f ca="1">H301+(H302-H307)*(H294-H293)</f>
        <v>0</v>
      </c>
      <c r="I312" s="103">
        <f t="shared" ref="I312:AG312" ca="1" si="341">I301+(I302-I307)*(I294-I293)</f>
        <v>165899.54834990713</v>
      </c>
      <c r="J312" s="103">
        <f t="shared" ca="1" si="341"/>
        <v>138346.51015264521</v>
      </c>
      <c r="K312" s="103">
        <f t="shared" ca="1" si="341"/>
        <v>138346.51015264521</v>
      </c>
      <c r="L312" s="103">
        <f t="shared" ca="1" si="341"/>
        <v>138346.51015264521</v>
      </c>
      <c r="M312" s="103">
        <f t="shared" ca="1" si="341"/>
        <v>138346.51015264521</v>
      </c>
      <c r="N312" s="103">
        <f t="shared" ca="1" si="341"/>
        <v>138346.51015264521</v>
      </c>
      <c r="O312" s="103">
        <f t="shared" ca="1" si="341"/>
        <v>138346.51015264521</v>
      </c>
      <c r="P312" s="103">
        <f t="shared" ca="1" si="341"/>
        <v>138346.51015264521</v>
      </c>
      <c r="Q312" s="103">
        <f t="shared" ca="1" si="341"/>
        <v>138346.51015264521</v>
      </c>
      <c r="R312" s="103">
        <f t="shared" ca="1" si="341"/>
        <v>138346.51015264521</v>
      </c>
      <c r="S312" s="103">
        <f t="shared" ca="1" si="341"/>
        <v>138346.51015264521</v>
      </c>
      <c r="T312" s="103">
        <f t="shared" ca="1" si="341"/>
        <v>138346.51015264521</v>
      </c>
      <c r="U312" s="103">
        <f t="shared" ca="1" si="341"/>
        <v>138346.51015264521</v>
      </c>
      <c r="V312" s="103">
        <f t="shared" ca="1" si="341"/>
        <v>151857.45648293078</v>
      </c>
      <c r="W312" s="103">
        <f t="shared" ca="1" si="341"/>
        <v>151857.45648293078</v>
      </c>
      <c r="X312" s="103">
        <f t="shared" ca="1" si="341"/>
        <v>151857.45648293078</v>
      </c>
      <c r="Y312" s="103">
        <f t="shared" ca="1" si="341"/>
        <v>151857.45648293078</v>
      </c>
      <c r="Z312" s="103">
        <f t="shared" ca="1" si="341"/>
        <v>151857.45648293078</v>
      </c>
      <c r="AA312" s="103">
        <f t="shared" ca="1" si="341"/>
        <v>151857.45648293078</v>
      </c>
      <c r="AB312" s="103">
        <f t="shared" ca="1" si="341"/>
        <v>151857.45648293078</v>
      </c>
      <c r="AC312" s="103">
        <f t="shared" ca="1" si="341"/>
        <v>151857.45648293078</v>
      </c>
      <c r="AD312" s="103">
        <f t="shared" ca="1" si="341"/>
        <v>151857.45648293078</v>
      </c>
      <c r="AE312" s="103">
        <f t="shared" ca="1" si="341"/>
        <v>151857.45648293078</v>
      </c>
      <c r="AF312" s="103">
        <f t="shared" ca="1" si="341"/>
        <v>151857.45648293078</v>
      </c>
      <c r="AG312" s="103">
        <f t="shared" ca="1" si="341"/>
        <v>151857.45648293078</v>
      </c>
      <c r="AH312" s="103"/>
      <c r="AI312" s="103"/>
      <c r="AJ312" s="103">
        <f ca="1">IF($C$4=Year1,-PMT(Lookups!$E$17,25,NPV(Lookups!$E$17,G312:AE312),0,1),IF($C$4=Year2,-PMT(Lookups!$F$17,25,NPV(Lookups!$F$17,H312:AF312),0,1),IF($C$4=Year3,-PMT(Lookups!$G$17,25,NPV(Lookups!$G$17,I312:AG312),0,1),-PMT(Lookups!$G$17,27,NPV(Lookups!$G$17,G312:AG312),0,1))))</f>
        <v>143510.57174878471</v>
      </c>
      <c r="AM312" s="149">
        <f ca="1">AM301+(AM302-AM307)*(AM294-AM293)</f>
        <v>0</v>
      </c>
      <c r="AN312" s="149">
        <f t="shared" ref="AN312:BM312" ca="1" si="342">AN301+(AN302-AN307)*(AN294-AN293)</f>
        <v>0</v>
      </c>
      <c r="AO312" s="149">
        <f t="shared" ca="1" si="342"/>
        <v>167919.90466998392</v>
      </c>
      <c r="AP312" s="149">
        <f t="shared" ca="1" si="342"/>
        <v>135591.00651852996</v>
      </c>
      <c r="AQ312" s="149">
        <f t="shared" ca="1" si="342"/>
        <v>135591.00651852996</v>
      </c>
      <c r="AR312" s="149">
        <f t="shared" ca="1" si="342"/>
        <v>135591.00651852996</v>
      </c>
      <c r="AS312" s="149">
        <f t="shared" ca="1" si="342"/>
        <v>135591.00651852996</v>
      </c>
      <c r="AT312" s="149">
        <f t="shared" ca="1" si="342"/>
        <v>135591.00651852996</v>
      </c>
      <c r="AU312" s="149">
        <f t="shared" ca="1" si="342"/>
        <v>135591.00651852996</v>
      </c>
      <c r="AV312" s="149">
        <f t="shared" ca="1" si="342"/>
        <v>135591.00651852996</v>
      </c>
      <c r="AW312" s="149">
        <f t="shared" ca="1" si="342"/>
        <v>135591.00651852996</v>
      </c>
      <c r="AX312" s="149">
        <f t="shared" ca="1" si="342"/>
        <v>135591.00651852996</v>
      </c>
      <c r="AY312" s="149">
        <f t="shared" ca="1" si="342"/>
        <v>135591.00651852996</v>
      </c>
      <c r="AZ312" s="149">
        <f t="shared" ca="1" si="342"/>
        <v>135591.00651852996</v>
      </c>
      <c r="BA312" s="149">
        <f t="shared" ca="1" si="342"/>
        <v>135591.00651852996</v>
      </c>
      <c r="BB312" s="149">
        <f t="shared" ca="1" si="342"/>
        <v>151857.45648293078</v>
      </c>
      <c r="BC312" s="149">
        <f t="shared" ca="1" si="342"/>
        <v>151857.45648293078</v>
      </c>
      <c r="BD312" s="149">
        <f t="shared" ca="1" si="342"/>
        <v>151857.45648293078</v>
      </c>
      <c r="BE312" s="149">
        <f t="shared" ca="1" si="342"/>
        <v>151857.45648293078</v>
      </c>
      <c r="BF312" s="149">
        <f t="shared" ca="1" si="342"/>
        <v>151857.45648293078</v>
      </c>
      <c r="BG312" s="149">
        <f t="shared" ca="1" si="342"/>
        <v>151857.45648293078</v>
      </c>
      <c r="BH312" s="149">
        <f t="shared" ca="1" si="342"/>
        <v>151857.45648293078</v>
      </c>
      <c r="BI312" s="149">
        <f t="shared" ca="1" si="342"/>
        <v>151857.45648293078</v>
      </c>
      <c r="BJ312" s="149">
        <f t="shared" ca="1" si="342"/>
        <v>151857.45648293078</v>
      </c>
      <c r="BK312" s="149">
        <f t="shared" ca="1" si="342"/>
        <v>151857.45648293078</v>
      </c>
      <c r="BL312" s="149">
        <f t="shared" ca="1" si="342"/>
        <v>151857.45648293078</v>
      </c>
      <c r="BM312" s="149">
        <f t="shared" ca="1" si="342"/>
        <v>151857.45648293078</v>
      </c>
      <c r="BN312" s="149"/>
      <c r="BO312" s="149"/>
      <c r="BP312" s="149">
        <f ca="1">IF($C$4=Year1,-PMT(Lookups!$E$17,25,NPV(Lookups!$E$17,AM312:BK312),0,1),IF($C$4=Year2,-PMT(Lookups!$F$17,25,NPV(Lookups!$F$17,AN312:BL312),0,1),IF($C$4=Year3,-PMT(Lookups!$G$17,25,NPV(Lookups!$G$17,AO312:BM312),0,1),-PMT(Lookups!$G$17,27,NPV(Lookups!$G$17,AM312:BM312),0,1))))</f>
        <v>142201.02390325916</v>
      </c>
      <c r="BS312" s="84" t="s">
        <v>240</v>
      </c>
      <c r="BT312" s="51" t="s">
        <v>17</v>
      </c>
    </row>
    <row r="313" spans="1:72" x14ac:dyDescent="0.25">
      <c r="B313" s="243" t="str">
        <f t="shared" si="340"/>
        <v>Large C&amp;I</v>
      </c>
      <c r="C313" s="243" t="str">
        <f t="shared" si="340"/>
        <v>Bills</v>
      </c>
      <c r="D313" s="114" t="s">
        <v>115</v>
      </c>
      <c r="E313" s="84"/>
      <c r="F313" s="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49"/>
      <c r="AI313" s="184"/>
      <c r="AJ313" s="49"/>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S313" s="84"/>
      <c r="BT313" s="51" t="s">
        <v>17</v>
      </c>
    </row>
    <row r="314" spans="1:72" x14ac:dyDescent="0.25">
      <c r="B314" s="243" t="str">
        <f t="shared" si="340"/>
        <v>Large C&amp;I</v>
      </c>
      <c r="C314" s="243" t="str">
        <f t="shared" si="340"/>
        <v>Bills</v>
      </c>
      <c r="D314" s="244" t="str">
        <f t="shared" si="340"/>
        <v>Change in Bills</v>
      </c>
      <c r="E314" s="84" t="s">
        <v>348</v>
      </c>
      <c r="F314" s="84" t="s">
        <v>32</v>
      </c>
      <c r="G314" s="103">
        <f ca="1">G309-G303</f>
        <v>0</v>
      </c>
      <c r="H314" s="103">
        <f t="shared" ref="H314:AG314" ca="1" si="343">H309-H303</f>
        <v>0</v>
      </c>
      <c r="I314" s="103">
        <f t="shared" ca="1" si="343"/>
        <v>31507.828350299387</v>
      </c>
      <c r="J314" s="103">
        <f t="shared" ca="1" si="343"/>
        <v>893.34146445282386</v>
      </c>
      <c r="K314" s="103">
        <f t="shared" ca="1" si="343"/>
        <v>893.34146445282386</v>
      </c>
      <c r="L314" s="103">
        <f t="shared" ca="1" si="343"/>
        <v>893.34146445282386</v>
      </c>
      <c r="M314" s="103">
        <f t="shared" ca="1" si="343"/>
        <v>893.34146445282386</v>
      </c>
      <c r="N314" s="103">
        <f t="shared" ca="1" si="343"/>
        <v>893.34146445282386</v>
      </c>
      <c r="O314" s="103">
        <f t="shared" ca="1" si="343"/>
        <v>893.34146445282386</v>
      </c>
      <c r="P314" s="103">
        <f t="shared" ca="1" si="343"/>
        <v>893.34146445282386</v>
      </c>
      <c r="Q314" s="103">
        <f t="shared" ca="1" si="343"/>
        <v>893.34146445282386</v>
      </c>
      <c r="R314" s="103">
        <f t="shared" ca="1" si="343"/>
        <v>893.34146445282386</v>
      </c>
      <c r="S314" s="103">
        <f t="shared" ca="1" si="343"/>
        <v>893.34146445282386</v>
      </c>
      <c r="T314" s="103">
        <f t="shared" ca="1" si="343"/>
        <v>893.34146445282386</v>
      </c>
      <c r="U314" s="103">
        <f t="shared" ca="1" si="343"/>
        <v>893.34146445282386</v>
      </c>
      <c r="V314" s="103">
        <f t="shared" ca="1" si="343"/>
        <v>0</v>
      </c>
      <c r="W314" s="103">
        <f t="shared" ca="1" si="343"/>
        <v>0</v>
      </c>
      <c r="X314" s="103">
        <f t="shared" ca="1" si="343"/>
        <v>0</v>
      </c>
      <c r="Y314" s="103">
        <f t="shared" ca="1" si="343"/>
        <v>0</v>
      </c>
      <c r="Z314" s="103">
        <f t="shared" ca="1" si="343"/>
        <v>0</v>
      </c>
      <c r="AA314" s="103">
        <f t="shared" ca="1" si="343"/>
        <v>0</v>
      </c>
      <c r="AB314" s="103">
        <f t="shared" ca="1" si="343"/>
        <v>0</v>
      </c>
      <c r="AC314" s="103">
        <f t="shared" ca="1" si="343"/>
        <v>0</v>
      </c>
      <c r="AD314" s="103">
        <f t="shared" ca="1" si="343"/>
        <v>0</v>
      </c>
      <c r="AE314" s="103">
        <f t="shared" ca="1" si="343"/>
        <v>0</v>
      </c>
      <c r="AF314" s="103">
        <f t="shared" ca="1" si="343"/>
        <v>0</v>
      </c>
      <c r="AG314" s="103">
        <f t="shared" ca="1" si="343"/>
        <v>0</v>
      </c>
      <c r="AH314" s="103"/>
      <c r="AI314" s="103">
        <f ca="1">NPV(Lookups!$E$17,G314:AG314)</f>
        <v>39599.933681065355</v>
      </c>
      <c r="AJ314" s="103">
        <f ca="1">IF($C$4=Year1,-PMT(Lookups!$E$17,25,NPV(Lookups!$E$17,G314:AE314),0,1),IF($C$4=Year2,-PMT(Lookups!$F$17,25,NPV(Lookups!$F$17,H314:AF314),0,1),IF($C$4=Year3,-PMT(Lookups!$G$17,25,NPV(Lookups!$G$17,I314:AG314),0,1),-PMT(Lookups!$G$17,27,NPV(Lookups!$G$17,G314:AG314),0,1))))</f>
        <v>1918.3333380943041</v>
      </c>
      <c r="AM314" s="149">
        <f ca="1">AM309-AM303</f>
        <v>0</v>
      </c>
      <c r="AN314" s="149">
        <f t="shared" ref="AN314:BM314" ca="1" si="344">AN309-AN303</f>
        <v>0</v>
      </c>
      <c r="AO314" s="149">
        <f t="shared" ca="1" si="344"/>
        <v>37773.17336932366</v>
      </c>
      <c r="AP314" s="149">
        <f t="shared" ca="1" si="344"/>
        <v>1035.7891063078132</v>
      </c>
      <c r="AQ314" s="149">
        <f t="shared" ca="1" si="344"/>
        <v>1035.7891063078132</v>
      </c>
      <c r="AR314" s="149">
        <f t="shared" ca="1" si="344"/>
        <v>1035.7891063078132</v>
      </c>
      <c r="AS314" s="149">
        <f t="shared" ca="1" si="344"/>
        <v>1035.7891063078132</v>
      </c>
      <c r="AT314" s="149">
        <f t="shared" ca="1" si="344"/>
        <v>1035.7891063078132</v>
      </c>
      <c r="AU314" s="149">
        <f t="shared" ca="1" si="344"/>
        <v>1035.7891063078132</v>
      </c>
      <c r="AV314" s="149">
        <f t="shared" ca="1" si="344"/>
        <v>1035.7891063078132</v>
      </c>
      <c r="AW314" s="149">
        <f t="shared" ca="1" si="344"/>
        <v>1035.7891063078132</v>
      </c>
      <c r="AX314" s="149">
        <f t="shared" ca="1" si="344"/>
        <v>1035.7891063078132</v>
      </c>
      <c r="AY314" s="149">
        <f t="shared" ca="1" si="344"/>
        <v>1035.7891063078132</v>
      </c>
      <c r="AZ314" s="149">
        <f t="shared" ca="1" si="344"/>
        <v>1035.7891063078132</v>
      </c>
      <c r="BA314" s="149">
        <f t="shared" ca="1" si="344"/>
        <v>1035.7891063078132</v>
      </c>
      <c r="BB314" s="149">
        <f t="shared" ca="1" si="344"/>
        <v>0</v>
      </c>
      <c r="BC314" s="149">
        <f t="shared" ca="1" si="344"/>
        <v>0</v>
      </c>
      <c r="BD314" s="149">
        <f t="shared" ca="1" si="344"/>
        <v>0</v>
      </c>
      <c r="BE314" s="149">
        <f t="shared" ca="1" si="344"/>
        <v>0</v>
      </c>
      <c r="BF314" s="149">
        <f t="shared" ca="1" si="344"/>
        <v>0</v>
      </c>
      <c r="BG314" s="149">
        <f t="shared" ca="1" si="344"/>
        <v>0</v>
      </c>
      <c r="BH314" s="149">
        <f t="shared" ca="1" si="344"/>
        <v>0</v>
      </c>
      <c r="BI314" s="149">
        <f t="shared" ca="1" si="344"/>
        <v>0</v>
      </c>
      <c r="BJ314" s="149">
        <f t="shared" ca="1" si="344"/>
        <v>0</v>
      </c>
      <c r="BK314" s="149">
        <f t="shared" ca="1" si="344"/>
        <v>0</v>
      </c>
      <c r="BL314" s="149">
        <f t="shared" ca="1" si="344"/>
        <v>0</v>
      </c>
      <c r="BM314" s="149">
        <f t="shared" ca="1" si="344"/>
        <v>0</v>
      </c>
      <c r="BN314" s="149"/>
      <c r="BO314" s="726">
        <f ca="1">NPV(Lookups!$E$17,AM314:BM314)</f>
        <v>47104.390295582962</v>
      </c>
      <c r="BP314" s="149">
        <f ca="1">IF($C$4=Year1,-PMT(Lookups!$E$17,25,NPV(Lookups!$E$17,AM314:BK314),0,1),IF($C$4=Year2,-PMT(Lookups!$F$17,25,NPV(Lookups!$F$17,AN314:BL314),0,1),IF($C$4=Year3,-PMT(Lookups!$G$17,25,NPV(Lookups!$G$17,AO314:BM314),0,1),-PMT(Lookups!$G$17,27,NPV(Lookups!$G$17,AM314:BM314),0,1))))</f>
        <v>2281.8705456021758</v>
      </c>
      <c r="BS314" s="84" t="s">
        <v>241</v>
      </c>
      <c r="BT314" s="51" t="s">
        <v>17</v>
      </c>
    </row>
    <row r="315" spans="1:72" x14ac:dyDescent="0.25">
      <c r="B315" s="243" t="str">
        <f t="shared" si="340"/>
        <v>Large C&amp;I</v>
      </c>
      <c r="C315" s="243" t="str">
        <f t="shared" si="340"/>
        <v>Bills</v>
      </c>
      <c r="D315" s="244" t="str">
        <f t="shared" si="340"/>
        <v>Change in Bills</v>
      </c>
      <c r="E315" s="84" t="s">
        <v>348</v>
      </c>
      <c r="F315" s="84" t="s">
        <v>16</v>
      </c>
      <c r="G315" s="223">
        <f ca="1">IFERROR(G309/G303-1,0)</f>
        <v>0</v>
      </c>
      <c r="H315" s="223">
        <f t="shared" ref="H315:AG315" ca="1" si="345">IFERROR(H309/H303-1,0)</f>
        <v>0</v>
      </c>
      <c r="I315" s="223">
        <f t="shared" ca="1" si="345"/>
        <v>0.20748291904810712</v>
      </c>
      <c r="J315" s="223">
        <f t="shared" ca="1" si="345"/>
        <v>5.8827632514260042E-3</v>
      </c>
      <c r="K315" s="223">
        <f t="shared" ca="1" si="345"/>
        <v>5.8827632514260042E-3</v>
      </c>
      <c r="L315" s="223">
        <f t="shared" ca="1" si="345"/>
        <v>5.8827632514260042E-3</v>
      </c>
      <c r="M315" s="223">
        <f t="shared" ca="1" si="345"/>
        <v>5.8827632514260042E-3</v>
      </c>
      <c r="N315" s="223">
        <f t="shared" ca="1" si="345"/>
        <v>5.8827632514260042E-3</v>
      </c>
      <c r="O315" s="223">
        <f t="shared" ca="1" si="345"/>
        <v>5.8827632514260042E-3</v>
      </c>
      <c r="P315" s="223">
        <f t="shared" ca="1" si="345"/>
        <v>5.8827632514260042E-3</v>
      </c>
      <c r="Q315" s="223">
        <f t="shared" ca="1" si="345"/>
        <v>5.8827632514260042E-3</v>
      </c>
      <c r="R315" s="223">
        <f t="shared" ca="1" si="345"/>
        <v>5.8827632514260042E-3</v>
      </c>
      <c r="S315" s="224">
        <f t="shared" ca="1" si="345"/>
        <v>5.8827632514260042E-3</v>
      </c>
      <c r="T315" s="224">
        <f t="shared" ca="1" si="345"/>
        <v>5.8827632514260042E-3</v>
      </c>
      <c r="U315" s="224">
        <f t="shared" ca="1" si="345"/>
        <v>5.8827632514260042E-3</v>
      </c>
      <c r="V315" s="224">
        <f t="shared" ca="1" si="345"/>
        <v>0</v>
      </c>
      <c r="W315" s="224">
        <f t="shared" ca="1" si="345"/>
        <v>0</v>
      </c>
      <c r="X315" s="224">
        <f t="shared" ca="1" si="345"/>
        <v>0</v>
      </c>
      <c r="Y315" s="224">
        <f t="shared" ca="1" si="345"/>
        <v>0</v>
      </c>
      <c r="Z315" s="224">
        <f t="shared" ca="1" si="345"/>
        <v>0</v>
      </c>
      <c r="AA315" s="224">
        <f t="shared" ca="1" si="345"/>
        <v>0</v>
      </c>
      <c r="AB315" s="224">
        <f t="shared" ca="1" si="345"/>
        <v>0</v>
      </c>
      <c r="AC315" s="224">
        <f t="shared" ca="1" si="345"/>
        <v>0</v>
      </c>
      <c r="AD315" s="224">
        <f t="shared" ca="1" si="345"/>
        <v>0</v>
      </c>
      <c r="AE315" s="224">
        <f t="shared" ca="1" si="345"/>
        <v>0</v>
      </c>
      <c r="AF315" s="224">
        <f t="shared" ca="1" si="345"/>
        <v>0</v>
      </c>
      <c r="AG315" s="224">
        <f t="shared" ca="1" si="345"/>
        <v>0</v>
      </c>
      <c r="AH315" s="224"/>
      <c r="AI315" s="224"/>
      <c r="AJ315" s="224">
        <f ca="1">IFERROR(AJ309/AJ303-1,0)</f>
        <v>1.2811134058391849E-2</v>
      </c>
      <c r="AK315" s="212"/>
      <c r="AL315" s="212"/>
      <c r="AM315" s="504">
        <f ca="1">IFERROR(AM309/AM303-1,0)</f>
        <v>0</v>
      </c>
      <c r="AN315" s="504">
        <f t="shared" ref="AN315:BM315" ca="1" si="346">IFERROR(AN309/AN303-1,0)</f>
        <v>0</v>
      </c>
      <c r="AO315" s="504">
        <f t="shared" ca="1" si="346"/>
        <v>0.24874098542253331</v>
      </c>
      <c r="AP315" s="504">
        <f t="shared" ca="1" si="346"/>
        <v>6.8207984665160648E-3</v>
      </c>
      <c r="AQ315" s="504">
        <f t="shared" ca="1" si="346"/>
        <v>6.8207984665160648E-3</v>
      </c>
      <c r="AR315" s="504">
        <f t="shared" ca="1" si="346"/>
        <v>6.8207984665160648E-3</v>
      </c>
      <c r="AS315" s="504">
        <f t="shared" ca="1" si="346"/>
        <v>6.8207984665160648E-3</v>
      </c>
      <c r="AT315" s="504">
        <f t="shared" ca="1" si="346"/>
        <v>6.8207984665160648E-3</v>
      </c>
      <c r="AU315" s="504">
        <f t="shared" ca="1" si="346"/>
        <v>6.8207984665160648E-3</v>
      </c>
      <c r="AV315" s="504">
        <f t="shared" ca="1" si="346"/>
        <v>6.8207984665160648E-3</v>
      </c>
      <c r="AW315" s="504">
        <f t="shared" ca="1" si="346"/>
        <v>6.8207984665160648E-3</v>
      </c>
      <c r="AX315" s="504">
        <f t="shared" ca="1" si="346"/>
        <v>6.8207984665160648E-3</v>
      </c>
      <c r="AY315" s="504">
        <f t="shared" ca="1" si="346"/>
        <v>6.8207984665160648E-3</v>
      </c>
      <c r="AZ315" s="504">
        <f t="shared" ca="1" si="346"/>
        <v>6.8207984665160648E-3</v>
      </c>
      <c r="BA315" s="504">
        <f t="shared" ca="1" si="346"/>
        <v>6.8207984665160648E-3</v>
      </c>
      <c r="BB315" s="504">
        <f t="shared" ca="1" si="346"/>
        <v>0</v>
      </c>
      <c r="BC315" s="504">
        <f t="shared" ca="1" si="346"/>
        <v>0</v>
      </c>
      <c r="BD315" s="504">
        <f t="shared" ca="1" si="346"/>
        <v>0</v>
      </c>
      <c r="BE315" s="504">
        <f t="shared" ca="1" si="346"/>
        <v>0</v>
      </c>
      <c r="BF315" s="504">
        <f t="shared" ca="1" si="346"/>
        <v>0</v>
      </c>
      <c r="BG315" s="504">
        <f t="shared" ca="1" si="346"/>
        <v>0</v>
      </c>
      <c r="BH315" s="504">
        <f t="shared" ca="1" si="346"/>
        <v>0</v>
      </c>
      <c r="BI315" s="504">
        <f t="shared" ca="1" si="346"/>
        <v>0</v>
      </c>
      <c r="BJ315" s="504">
        <f t="shared" ca="1" si="346"/>
        <v>0</v>
      </c>
      <c r="BK315" s="504">
        <f t="shared" ca="1" si="346"/>
        <v>0</v>
      </c>
      <c r="BL315" s="504">
        <f t="shared" ca="1" si="346"/>
        <v>0</v>
      </c>
      <c r="BM315" s="504">
        <f t="shared" ca="1" si="346"/>
        <v>0</v>
      </c>
      <c r="BN315" s="504"/>
      <c r="BO315" s="504"/>
      <c r="BP315" s="504">
        <f ca="1">IFERROR(BP309/BP303-1,0)</f>
        <v>1.5238931046595683E-2</v>
      </c>
      <c r="BS315" s="84" t="s">
        <v>242</v>
      </c>
      <c r="BT315" s="51" t="s">
        <v>17</v>
      </c>
    </row>
    <row r="316" spans="1:72" x14ac:dyDescent="0.25">
      <c r="B316" s="243" t="str">
        <f t="shared" si="340"/>
        <v>Large C&amp;I</v>
      </c>
      <c r="C316" s="243" t="str">
        <f t="shared" si="340"/>
        <v>Bills</v>
      </c>
      <c r="D316" s="244" t="str">
        <f t="shared" si="340"/>
        <v>Change in Bills</v>
      </c>
      <c r="E316" s="84" t="s">
        <v>349</v>
      </c>
      <c r="F316" s="84" t="s">
        <v>32</v>
      </c>
      <c r="G316" s="103">
        <f ca="1">G310-G303</f>
        <v>0</v>
      </c>
      <c r="H316" s="103">
        <f t="shared" ref="H316:AG316" ca="1" si="347">H310-H303</f>
        <v>0</v>
      </c>
      <c r="I316" s="103">
        <f t="shared" ca="1" si="347"/>
        <v>14693.12743875233</v>
      </c>
      <c r="J316" s="103">
        <f t="shared" ca="1" si="347"/>
        <v>-12974.026301208767</v>
      </c>
      <c r="K316" s="103">
        <f t="shared" ca="1" si="347"/>
        <v>-12974.026301208767</v>
      </c>
      <c r="L316" s="103">
        <f t="shared" ca="1" si="347"/>
        <v>-12974.026301208767</v>
      </c>
      <c r="M316" s="103">
        <f t="shared" ca="1" si="347"/>
        <v>-12974.026301208767</v>
      </c>
      <c r="N316" s="103">
        <f t="shared" ca="1" si="347"/>
        <v>-12974.026301208767</v>
      </c>
      <c r="O316" s="103">
        <f t="shared" ca="1" si="347"/>
        <v>-12974.026301208767</v>
      </c>
      <c r="P316" s="103">
        <f t="shared" ca="1" si="347"/>
        <v>-12974.026301208767</v>
      </c>
      <c r="Q316" s="103">
        <f t="shared" ca="1" si="347"/>
        <v>-12974.026301208767</v>
      </c>
      <c r="R316" s="103">
        <f t="shared" ca="1" si="347"/>
        <v>-12974.026301208767</v>
      </c>
      <c r="S316" s="103">
        <f t="shared" ca="1" si="347"/>
        <v>-12974.026301208767</v>
      </c>
      <c r="T316" s="103">
        <f t="shared" ca="1" si="347"/>
        <v>-12974.026301208767</v>
      </c>
      <c r="U316" s="103">
        <f t="shared" ca="1" si="347"/>
        <v>-12974.026301208767</v>
      </c>
      <c r="V316" s="103">
        <f t="shared" ca="1" si="347"/>
        <v>0</v>
      </c>
      <c r="W316" s="103">
        <f t="shared" ca="1" si="347"/>
        <v>0</v>
      </c>
      <c r="X316" s="103">
        <f t="shared" ca="1" si="347"/>
        <v>0</v>
      </c>
      <c r="Y316" s="103">
        <f t="shared" ca="1" si="347"/>
        <v>0</v>
      </c>
      <c r="Z316" s="103">
        <f t="shared" ca="1" si="347"/>
        <v>0</v>
      </c>
      <c r="AA316" s="103">
        <f t="shared" ca="1" si="347"/>
        <v>0</v>
      </c>
      <c r="AB316" s="103">
        <f t="shared" ca="1" si="347"/>
        <v>0</v>
      </c>
      <c r="AC316" s="103">
        <f t="shared" ca="1" si="347"/>
        <v>0</v>
      </c>
      <c r="AD316" s="103">
        <f t="shared" ca="1" si="347"/>
        <v>0</v>
      </c>
      <c r="AE316" s="103">
        <f t="shared" ca="1" si="347"/>
        <v>0</v>
      </c>
      <c r="AF316" s="103">
        <f t="shared" ca="1" si="347"/>
        <v>0</v>
      </c>
      <c r="AG316" s="103">
        <f t="shared" ca="1" si="347"/>
        <v>0</v>
      </c>
      <c r="AH316" s="103"/>
      <c r="AI316" s="103">
        <f ca="1">NPV(Lookups!$E$17,G316:AG316)</f>
        <v>-122314.84577389949</v>
      </c>
      <c r="AJ316" s="103">
        <f ca="1">IF($C$4=Year1,-PMT(Lookups!$E$17,25,NPV(Lookups!$E$17,G316:AE316),0,1),IF($C$4=Year2,-PMT(Lookups!$F$17,25,NPV(Lookups!$F$17,H316:AF316),0,1),IF($C$4=Year3,-PMT(Lookups!$G$17,25,NPV(Lookups!$G$17,I316:AG316),0,1),-PMT(Lookups!$G$17,27,NPV(Lookups!$G$17,G316:AG316),0,1))))</f>
        <v>-5925.2787714674278</v>
      </c>
      <c r="AM316" s="149">
        <f ca="1">AM310-AM303</f>
        <v>0</v>
      </c>
      <c r="AN316" s="149">
        <f t="shared" ref="AN316:BM316" ca="1" si="348">AN310-AN303</f>
        <v>0</v>
      </c>
      <c r="AO316" s="149">
        <f t="shared" ca="1" si="348"/>
        <v>17867.023276609019</v>
      </c>
      <c r="AP316" s="149">
        <f t="shared" ca="1" si="348"/>
        <v>-14828.304100621084</v>
      </c>
      <c r="AQ316" s="149">
        <f t="shared" ca="1" si="348"/>
        <v>-14828.304100621084</v>
      </c>
      <c r="AR316" s="149">
        <f t="shared" ca="1" si="348"/>
        <v>-14828.304100621084</v>
      </c>
      <c r="AS316" s="149">
        <f t="shared" ca="1" si="348"/>
        <v>-14828.304100621084</v>
      </c>
      <c r="AT316" s="149">
        <f t="shared" ca="1" si="348"/>
        <v>-14828.304100621084</v>
      </c>
      <c r="AU316" s="149">
        <f t="shared" ca="1" si="348"/>
        <v>-14828.304100621084</v>
      </c>
      <c r="AV316" s="149">
        <f t="shared" ca="1" si="348"/>
        <v>-14828.304100621084</v>
      </c>
      <c r="AW316" s="149">
        <f t="shared" ca="1" si="348"/>
        <v>-14828.304100621084</v>
      </c>
      <c r="AX316" s="149">
        <f t="shared" ca="1" si="348"/>
        <v>-14828.304100621084</v>
      </c>
      <c r="AY316" s="149">
        <f t="shared" ca="1" si="348"/>
        <v>-14828.304100621084</v>
      </c>
      <c r="AZ316" s="149">
        <f t="shared" ca="1" si="348"/>
        <v>-14828.304100621084</v>
      </c>
      <c r="BA316" s="149">
        <f t="shared" ca="1" si="348"/>
        <v>-14828.304100621084</v>
      </c>
      <c r="BB316" s="149">
        <f t="shared" ca="1" si="348"/>
        <v>0</v>
      </c>
      <c r="BC316" s="149">
        <f t="shared" ca="1" si="348"/>
        <v>0</v>
      </c>
      <c r="BD316" s="149">
        <f t="shared" ca="1" si="348"/>
        <v>0</v>
      </c>
      <c r="BE316" s="149">
        <f t="shared" ca="1" si="348"/>
        <v>0</v>
      </c>
      <c r="BF316" s="149">
        <f t="shared" ca="1" si="348"/>
        <v>0</v>
      </c>
      <c r="BG316" s="149">
        <f t="shared" ca="1" si="348"/>
        <v>0</v>
      </c>
      <c r="BH316" s="149">
        <f t="shared" ca="1" si="348"/>
        <v>0</v>
      </c>
      <c r="BI316" s="149">
        <f t="shared" ca="1" si="348"/>
        <v>0</v>
      </c>
      <c r="BJ316" s="149">
        <f t="shared" ca="1" si="348"/>
        <v>0</v>
      </c>
      <c r="BK316" s="149">
        <f t="shared" ca="1" si="348"/>
        <v>0</v>
      </c>
      <c r="BL316" s="149">
        <f t="shared" ca="1" si="348"/>
        <v>0</v>
      </c>
      <c r="BM316" s="149">
        <f t="shared" ca="1" si="348"/>
        <v>0</v>
      </c>
      <c r="BN316" s="149"/>
      <c r="BO316" s="149">
        <f ca="1">NPV(Lookups!$E$17,AM316:BM316)</f>
        <v>-138766.75512600181</v>
      </c>
      <c r="BP316" s="149">
        <f ca="1">IF($C$4=Year1,-PMT(Lookups!$E$17,25,NPV(Lookups!$E$17,AM316:BK316),0,1),IF($C$4=Year2,-PMT(Lookups!$F$17,25,NPV(Lookups!$F$17,AN316:BL316),0,1),IF($C$4=Year3,-PMT(Lookups!$G$17,25,NPV(Lookups!$G$17,AO316:BM316),0,1),-PMT(Lookups!$G$17,27,NPV(Lookups!$G$17,AM316:BM316),0,1))))</f>
        <v>-6722.2560199554428</v>
      </c>
      <c r="BS316" s="84" t="s">
        <v>241</v>
      </c>
      <c r="BT316" s="51" t="s">
        <v>17</v>
      </c>
    </row>
    <row r="317" spans="1:72" x14ac:dyDescent="0.25">
      <c r="B317" s="243" t="str">
        <f t="shared" si="340"/>
        <v>Large C&amp;I</v>
      </c>
      <c r="C317" s="243" t="str">
        <f t="shared" si="340"/>
        <v>Bills</v>
      </c>
      <c r="D317" s="244" t="str">
        <f t="shared" si="340"/>
        <v>Change in Bills</v>
      </c>
      <c r="E317" s="84" t="s">
        <v>349</v>
      </c>
      <c r="F317" s="84" t="s">
        <v>16</v>
      </c>
      <c r="G317" s="223">
        <f ca="1">IFERROR(G310/G303-1,0)</f>
        <v>0</v>
      </c>
      <c r="H317" s="223">
        <f t="shared" ref="H317:AG317" ca="1" si="349">IFERROR(H310/H303-1,0)</f>
        <v>0</v>
      </c>
      <c r="I317" s="223">
        <f t="shared" ca="1" si="349"/>
        <v>9.6756048593530153E-2</v>
      </c>
      <c r="J317" s="223">
        <f t="shared" ca="1" si="349"/>
        <v>-8.5435556486270325E-2</v>
      </c>
      <c r="K317" s="223">
        <f t="shared" ca="1" si="349"/>
        <v>-8.5435556486270325E-2</v>
      </c>
      <c r="L317" s="223">
        <f t="shared" ca="1" si="349"/>
        <v>-8.5435556486270325E-2</v>
      </c>
      <c r="M317" s="223">
        <f t="shared" ca="1" si="349"/>
        <v>-8.5435556486270325E-2</v>
      </c>
      <c r="N317" s="223">
        <f t="shared" ca="1" si="349"/>
        <v>-8.5435556486270325E-2</v>
      </c>
      <c r="O317" s="223">
        <f t="shared" ca="1" si="349"/>
        <v>-8.5435556486270325E-2</v>
      </c>
      <c r="P317" s="223">
        <f t="shared" ca="1" si="349"/>
        <v>-8.5435556486270325E-2</v>
      </c>
      <c r="Q317" s="223">
        <f t="shared" ca="1" si="349"/>
        <v>-8.5435556486270325E-2</v>
      </c>
      <c r="R317" s="223">
        <f t="shared" ca="1" si="349"/>
        <v>-8.5435556486270325E-2</v>
      </c>
      <c r="S317" s="224">
        <f t="shared" ca="1" si="349"/>
        <v>-8.5435556486270325E-2</v>
      </c>
      <c r="T317" s="224">
        <f t="shared" ca="1" si="349"/>
        <v>-8.5435556486270325E-2</v>
      </c>
      <c r="U317" s="224">
        <f t="shared" ca="1" si="349"/>
        <v>-8.5435556486270325E-2</v>
      </c>
      <c r="V317" s="224">
        <f t="shared" ca="1" si="349"/>
        <v>0</v>
      </c>
      <c r="W317" s="224">
        <f t="shared" ca="1" si="349"/>
        <v>0</v>
      </c>
      <c r="X317" s="224">
        <f t="shared" ca="1" si="349"/>
        <v>0</v>
      </c>
      <c r="Y317" s="224">
        <f t="shared" ca="1" si="349"/>
        <v>0</v>
      </c>
      <c r="Z317" s="224">
        <f t="shared" ca="1" si="349"/>
        <v>0</v>
      </c>
      <c r="AA317" s="224">
        <f t="shared" ca="1" si="349"/>
        <v>0</v>
      </c>
      <c r="AB317" s="224">
        <f t="shared" ca="1" si="349"/>
        <v>0</v>
      </c>
      <c r="AC317" s="224">
        <f t="shared" ca="1" si="349"/>
        <v>0</v>
      </c>
      <c r="AD317" s="224">
        <f t="shared" ca="1" si="349"/>
        <v>0</v>
      </c>
      <c r="AE317" s="224">
        <f t="shared" ca="1" si="349"/>
        <v>0</v>
      </c>
      <c r="AF317" s="224">
        <f t="shared" ca="1" si="349"/>
        <v>0</v>
      </c>
      <c r="AG317" s="224">
        <f t="shared" ca="1" si="349"/>
        <v>0</v>
      </c>
      <c r="AH317" s="224"/>
      <c r="AI317" s="224"/>
      <c r="AJ317" s="224">
        <f ca="1">IFERROR(AJ310/AJ303-1,0)</f>
        <v>-3.9570568455022603E-2</v>
      </c>
      <c r="AK317" s="212"/>
      <c r="AL317" s="212"/>
      <c r="AM317" s="504">
        <f ca="1">IFERROR(AM310/AM303-1,0)</f>
        <v>0</v>
      </c>
      <c r="AN317" s="504">
        <f t="shared" ref="AN317:BM317" ca="1" si="350">IFERROR(AN310/AN303-1,0)</f>
        <v>0</v>
      </c>
      <c r="AO317" s="504">
        <f t="shared" ca="1" si="350"/>
        <v>0.11765654246037838</v>
      </c>
      <c r="AP317" s="504">
        <f t="shared" ca="1" si="350"/>
        <v>-9.7646203512488206E-2</v>
      </c>
      <c r="AQ317" s="504">
        <f t="shared" ca="1" si="350"/>
        <v>-9.7646203512488206E-2</v>
      </c>
      <c r="AR317" s="504">
        <f t="shared" ca="1" si="350"/>
        <v>-9.7646203512488206E-2</v>
      </c>
      <c r="AS317" s="504">
        <f t="shared" ca="1" si="350"/>
        <v>-9.7646203512488206E-2</v>
      </c>
      <c r="AT317" s="504">
        <f t="shared" ca="1" si="350"/>
        <v>-9.7646203512488206E-2</v>
      </c>
      <c r="AU317" s="504">
        <f t="shared" ca="1" si="350"/>
        <v>-9.7646203512488206E-2</v>
      </c>
      <c r="AV317" s="504">
        <f t="shared" ca="1" si="350"/>
        <v>-9.7646203512488206E-2</v>
      </c>
      <c r="AW317" s="504">
        <f t="shared" ca="1" si="350"/>
        <v>-9.7646203512488206E-2</v>
      </c>
      <c r="AX317" s="504">
        <f t="shared" ca="1" si="350"/>
        <v>-9.7646203512488206E-2</v>
      </c>
      <c r="AY317" s="504">
        <f t="shared" ca="1" si="350"/>
        <v>-9.7646203512488206E-2</v>
      </c>
      <c r="AZ317" s="504">
        <f t="shared" ca="1" si="350"/>
        <v>-9.7646203512488206E-2</v>
      </c>
      <c r="BA317" s="504">
        <f t="shared" ca="1" si="350"/>
        <v>-9.7646203512488206E-2</v>
      </c>
      <c r="BB317" s="504">
        <f t="shared" ca="1" si="350"/>
        <v>0</v>
      </c>
      <c r="BC317" s="504">
        <f t="shared" ca="1" si="350"/>
        <v>0</v>
      </c>
      <c r="BD317" s="504">
        <f t="shared" ca="1" si="350"/>
        <v>0</v>
      </c>
      <c r="BE317" s="504">
        <f t="shared" ca="1" si="350"/>
        <v>0</v>
      </c>
      <c r="BF317" s="504">
        <f t="shared" ca="1" si="350"/>
        <v>0</v>
      </c>
      <c r="BG317" s="504">
        <f t="shared" ca="1" si="350"/>
        <v>0</v>
      </c>
      <c r="BH317" s="504">
        <f t="shared" ca="1" si="350"/>
        <v>0</v>
      </c>
      <c r="BI317" s="504">
        <f t="shared" ca="1" si="350"/>
        <v>0</v>
      </c>
      <c r="BJ317" s="504">
        <f t="shared" ca="1" si="350"/>
        <v>0</v>
      </c>
      <c r="BK317" s="504">
        <f t="shared" ca="1" si="350"/>
        <v>0</v>
      </c>
      <c r="BL317" s="504">
        <f t="shared" ca="1" si="350"/>
        <v>0</v>
      </c>
      <c r="BM317" s="504">
        <f t="shared" ca="1" si="350"/>
        <v>0</v>
      </c>
      <c r="BN317" s="504"/>
      <c r="BO317" s="504"/>
      <c r="BP317" s="504">
        <f ca="1">IFERROR(BP310/BP303-1,0)</f>
        <v>-4.4892991919763925E-2</v>
      </c>
      <c r="BS317" s="84" t="s">
        <v>242</v>
      </c>
      <c r="BT317" s="51" t="s">
        <v>17</v>
      </c>
    </row>
    <row r="318" spans="1:72" x14ac:dyDescent="0.25">
      <c r="B318" s="243" t="str">
        <f t="shared" si="340"/>
        <v>Large C&amp;I</v>
      </c>
      <c r="C318" s="243" t="str">
        <f t="shared" si="340"/>
        <v>Bills</v>
      </c>
      <c r="D318" s="244" t="str">
        <f t="shared" si="340"/>
        <v>Change in Bills</v>
      </c>
      <c r="E318" s="84" t="str">
        <f>'EE Inputs'!$N$15&amp;" Participant Annual Bill"</f>
        <v>Low Savings Participant Annual Bill</v>
      </c>
      <c r="F318" s="84" t="s">
        <v>32</v>
      </c>
      <c r="G318" s="103">
        <f ca="1">G311-G303</f>
        <v>0</v>
      </c>
      <c r="H318" s="103">
        <f t="shared" ref="H318:AG318" ca="1" si="351">H311-H303</f>
        <v>0</v>
      </c>
      <c r="I318" s="103">
        <f t="shared" ca="1" si="351"/>
        <v>22774.960108637897</v>
      </c>
      <c r="J318" s="103">
        <f t="shared" ca="1" si="351"/>
        <v>-6308.80243291636</v>
      </c>
      <c r="K318" s="103">
        <f t="shared" ca="1" si="351"/>
        <v>-6308.80243291636</v>
      </c>
      <c r="L318" s="103">
        <f t="shared" ca="1" si="351"/>
        <v>-6308.80243291636</v>
      </c>
      <c r="M318" s="103">
        <f t="shared" ca="1" si="351"/>
        <v>-6308.80243291636</v>
      </c>
      <c r="N318" s="103">
        <f t="shared" ca="1" si="351"/>
        <v>-6308.80243291636</v>
      </c>
      <c r="O318" s="103">
        <f t="shared" ca="1" si="351"/>
        <v>-6308.80243291636</v>
      </c>
      <c r="P318" s="103">
        <f t="shared" ca="1" si="351"/>
        <v>-6308.80243291636</v>
      </c>
      <c r="Q318" s="103">
        <f t="shared" ca="1" si="351"/>
        <v>-6308.80243291636</v>
      </c>
      <c r="R318" s="103">
        <f t="shared" ca="1" si="351"/>
        <v>-6308.80243291636</v>
      </c>
      <c r="S318" s="103">
        <f t="shared" ca="1" si="351"/>
        <v>-6308.80243291636</v>
      </c>
      <c r="T318" s="103">
        <f t="shared" ca="1" si="351"/>
        <v>-6308.80243291636</v>
      </c>
      <c r="U318" s="103">
        <f t="shared" ca="1" si="351"/>
        <v>-6308.80243291636</v>
      </c>
      <c r="V318" s="103">
        <f t="shared" ca="1" si="351"/>
        <v>0</v>
      </c>
      <c r="W318" s="103">
        <f t="shared" ca="1" si="351"/>
        <v>0</v>
      </c>
      <c r="X318" s="103">
        <f t="shared" ca="1" si="351"/>
        <v>0</v>
      </c>
      <c r="Y318" s="103">
        <f t="shared" ca="1" si="351"/>
        <v>0</v>
      </c>
      <c r="Z318" s="103">
        <f t="shared" ca="1" si="351"/>
        <v>0</v>
      </c>
      <c r="AA318" s="103">
        <f t="shared" ca="1" si="351"/>
        <v>0</v>
      </c>
      <c r="AB318" s="103">
        <f t="shared" ca="1" si="351"/>
        <v>0</v>
      </c>
      <c r="AC318" s="103">
        <f t="shared" ca="1" si="351"/>
        <v>0</v>
      </c>
      <c r="AD318" s="103">
        <f t="shared" ca="1" si="351"/>
        <v>0</v>
      </c>
      <c r="AE318" s="103">
        <f t="shared" ca="1" si="351"/>
        <v>0</v>
      </c>
      <c r="AF318" s="103">
        <f t="shared" ca="1" si="351"/>
        <v>0</v>
      </c>
      <c r="AG318" s="103">
        <f t="shared" ca="1" si="351"/>
        <v>0</v>
      </c>
      <c r="AH318" s="103"/>
      <c r="AI318" s="103">
        <f ca="1">NPV(Lookups!$E$17,G318:AG318)</f>
        <v>-44491.983433373243</v>
      </c>
      <c r="AJ318" s="103">
        <f ca="1">IF($C$4=Year1,-PMT(Lookups!$E$17,25,NPV(Lookups!$E$17,G318:AE318),0,1),IF($C$4=Year2,-PMT(Lookups!$F$17,25,NPV(Lookups!$F$17,H318:AF318),0,1),IF($C$4=Year3,-PMT(Lookups!$G$17,25,NPV(Lookups!$G$17,I318:AG318),0,1),-PMT(Lookups!$G$17,27,NPV(Lookups!$G$17,G318:AG318),0,1))))</f>
        <v>-2155.3181322369119</v>
      </c>
      <c r="AM318" s="149">
        <f ca="1">AM311-AM303</f>
        <v>0</v>
      </c>
      <c r="AN318" s="149">
        <f t="shared" ref="AN318:BM318" ca="1" si="352">AN311-AN303</f>
        <v>0</v>
      </c>
      <c r="AO318" s="149">
        <f t="shared" ca="1" si="352"/>
        <v>26917.810778188403</v>
      </c>
      <c r="AP318" s="149">
        <f t="shared" ca="1" si="352"/>
        <v>-7615.3304290465021</v>
      </c>
      <c r="AQ318" s="149">
        <f t="shared" ca="1" si="352"/>
        <v>-7615.3304290465021</v>
      </c>
      <c r="AR318" s="149">
        <f t="shared" ca="1" si="352"/>
        <v>-7615.3304290465021</v>
      </c>
      <c r="AS318" s="149">
        <f t="shared" ca="1" si="352"/>
        <v>-7615.3304290465021</v>
      </c>
      <c r="AT318" s="149">
        <f t="shared" ca="1" si="352"/>
        <v>-7615.3304290465021</v>
      </c>
      <c r="AU318" s="149">
        <f t="shared" ca="1" si="352"/>
        <v>-7615.3304290465021</v>
      </c>
      <c r="AV318" s="149">
        <f t="shared" ca="1" si="352"/>
        <v>-7615.3304290465021</v>
      </c>
      <c r="AW318" s="149">
        <f t="shared" ca="1" si="352"/>
        <v>-7615.3304290465021</v>
      </c>
      <c r="AX318" s="149">
        <f t="shared" ca="1" si="352"/>
        <v>-7615.3304290465021</v>
      </c>
      <c r="AY318" s="149">
        <f t="shared" ca="1" si="352"/>
        <v>-7615.3304290465021</v>
      </c>
      <c r="AZ318" s="149">
        <f t="shared" ca="1" si="352"/>
        <v>-7615.3304290465021</v>
      </c>
      <c r="BA318" s="149">
        <f t="shared" ca="1" si="352"/>
        <v>-7615.3304290465021</v>
      </c>
      <c r="BB318" s="149">
        <f t="shared" ca="1" si="352"/>
        <v>0</v>
      </c>
      <c r="BC318" s="149">
        <f t="shared" ca="1" si="352"/>
        <v>0</v>
      </c>
      <c r="BD318" s="149">
        <f t="shared" ca="1" si="352"/>
        <v>0</v>
      </c>
      <c r="BE318" s="149">
        <f t="shared" ca="1" si="352"/>
        <v>0</v>
      </c>
      <c r="BF318" s="149">
        <f t="shared" ca="1" si="352"/>
        <v>0</v>
      </c>
      <c r="BG318" s="149">
        <f t="shared" ca="1" si="352"/>
        <v>0</v>
      </c>
      <c r="BH318" s="149">
        <f t="shared" ca="1" si="352"/>
        <v>0</v>
      </c>
      <c r="BI318" s="149">
        <f t="shared" ca="1" si="352"/>
        <v>0</v>
      </c>
      <c r="BJ318" s="149">
        <f t="shared" ca="1" si="352"/>
        <v>0</v>
      </c>
      <c r="BK318" s="149">
        <f t="shared" ca="1" si="352"/>
        <v>0</v>
      </c>
      <c r="BL318" s="149">
        <f t="shared" ca="1" si="352"/>
        <v>0</v>
      </c>
      <c r="BM318" s="149">
        <f t="shared" ca="1" si="352"/>
        <v>0</v>
      </c>
      <c r="BN318" s="149"/>
      <c r="BO318" s="149">
        <f ca="1">NPV(Lookups!$E$17,AM318:BM318)</f>
        <v>-54256.177638614376</v>
      </c>
      <c r="BP318" s="149">
        <f ca="1">IF($C$4=Year1,-PMT(Lookups!$E$17,25,NPV(Lookups!$E$17,AM318:BK318),0,1),IF($C$4=Year2,-PMT(Lookups!$F$17,25,NPV(Lookups!$F$17,AN318:BL318),0,1),IF($C$4=Year3,-PMT(Lookups!$G$17,25,NPV(Lookups!$G$17,AO318:BM318),0,1),-PMT(Lookups!$G$17,27,NPV(Lookups!$G$17,AM318:BM318),0,1))))</f>
        <v>-2628.3234512457534</v>
      </c>
      <c r="BS318" s="84" t="s">
        <v>241</v>
      </c>
      <c r="BT318" s="51" t="s">
        <v>17</v>
      </c>
    </row>
    <row r="319" spans="1:72" x14ac:dyDescent="0.25">
      <c r="B319" s="243" t="str">
        <f t="shared" si="340"/>
        <v>Large C&amp;I</v>
      </c>
      <c r="C319" s="243" t="str">
        <f t="shared" si="340"/>
        <v>Bills</v>
      </c>
      <c r="D319" s="244" t="str">
        <f t="shared" si="340"/>
        <v>Change in Bills</v>
      </c>
      <c r="E319" s="84" t="str">
        <f>'EE Inputs'!$N$15&amp;" Participant Annual Bill"</f>
        <v>Low Savings Participant Annual Bill</v>
      </c>
      <c r="F319" s="84" t="s">
        <v>16</v>
      </c>
      <c r="G319" s="223">
        <f ca="1">IFERROR(G311/G303-1,0)</f>
        <v>0</v>
      </c>
      <c r="H319" s="223">
        <f t="shared" ref="H319:AG319" ca="1" si="353">IFERROR(H311/H303-1,0)</f>
        <v>0</v>
      </c>
      <c r="I319" s="223">
        <f t="shared" ca="1" si="353"/>
        <v>0.14997590922509541</v>
      </c>
      <c r="J319" s="223">
        <f t="shared" ca="1" si="353"/>
        <v>-4.1544238781751841E-2</v>
      </c>
      <c r="K319" s="223">
        <f t="shared" ca="1" si="353"/>
        <v>-4.1544238781751841E-2</v>
      </c>
      <c r="L319" s="223">
        <f t="shared" ca="1" si="353"/>
        <v>-4.1544238781751841E-2</v>
      </c>
      <c r="M319" s="223">
        <f t="shared" ca="1" si="353"/>
        <v>-4.1544238781751841E-2</v>
      </c>
      <c r="N319" s="223">
        <f t="shared" ca="1" si="353"/>
        <v>-4.1544238781751841E-2</v>
      </c>
      <c r="O319" s="223">
        <f t="shared" ca="1" si="353"/>
        <v>-4.1544238781751841E-2</v>
      </c>
      <c r="P319" s="223">
        <f t="shared" ca="1" si="353"/>
        <v>-4.1544238781751841E-2</v>
      </c>
      <c r="Q319" s="223">
        <f t="shared" ca="1" si="353"/>
        <v>-4.1544238781751841E-2</v>
      </c>
      <c r="R319" s="223">
        <f t="shared" ca="1" si="353"/>
        <v>-4.1544238781751841E-2</v>
      </c>
      <c r="S319" s="224">
        <f t="shared" ca="1" si="353"/>
        <v>-4.1544238781751841E-2</v>
      </c>
      <c r="T319" s="224">
        <f t="shared" ca="1" si="353"/>
        <v>-4.1544238781751841E-2</v>
      </c>
      <c r="U319" s="224">
        <f t="shared" ca="1" si="353"/>
        <v>-4.1544238781751841E-2</v>
      </c>
      <c r="V319" s="224">
        <f t="shared" ca="1" si="353"/>
        <v>0</v>
      </c>
      <c r="W319" s="224">
        <f t="shared" ca="1" si="353"/>
        <v>0</v>
      </c>
      <c r="X319" s="224">
        <f t="shared" ca="1" si="353"/>
        <v>0</v>
      </c>
      <c r="Y319" s="224">
        <f t="shared" ca="1" si="353"/>
        <v>0</v>
      </c>
      <c r="Z319" s="224">
        <f t="shared" ca="1" si="353"/>
        <v>0</v>
      </c>
      <c r="AA319" s="224">
        <f t="shared" ca="1" si="353"/>
        <v>0</v>
      </c>
      <c r="AB319" s="224">
        <f t="shared" ca="1" si="353"/>
        <v>0</v>
      </c>
      <c r="AC319" s="224">
        <f t="shared" ca="1" si="353"/>
        <v>0</v>
      </c>
      <c r="AD319" s="224">
        <f t="shared" ca="1" si="353"/>
        <v>0</v>
      </c>
      <c r="AE319" s="224">
        <f t="shared" ca="1" si="353"/>
        <v>0</v>
      </c>
      <c r="AF319" s="224">
        <f t="shared" ca="1" si="353"/>
        <v>0</v>
      </c>
      <c r="AG319" s="224">
        <f t="shared" ca="1" si="353"/>
        <v>0</v>
      </c>
      <c r="AH319" s="224"/>
      <c r="AI319" s="224"/>
      <c r="AJ319" s="224">
        <f t="shared" ref="AJ319" ca="1" si="354">IFERROR(AJ311/AJ303-1,0)</f>
        <v>-1.4393780779517695E-2</v>
      </c>
      <c r="AK319" s="212"/>
      <c r="AL319" s="212"/>
      <c r="AM319" s="504">
        <f ca="1">IFERROR(AM311/AM303-1,0)</f>
        <v>0</v>
      </c>
      <c r="AN319" s="504">
        <f t="shared" ref="AN319:BM319" ca="1" si="355">IFERROR(AN311/AN303-1,0)</f>
        <v>0</v>
      </c>
      <c r="AO319" s="504">
        <f t="shared" ca="1" si="355"/>
        <v>0.17725708965245346</v>
      </c>
      <c r="AP319" s="504">
        <f t="shared" ca="1" si="355"/>
        <v>-5.0147886086202687E-2</v>
      </c>
      <c r="AQ319" s="504">
        <f t="shared" ca="1" si="355"/>
        <v>-5.0147886086202687E-2</v>
      </c>
      <c r="AR319" s="504">
        <f t="shared" ca="1" si="355"/>
        <v>-5.0147886086202687E-2</v>
      </c>
      <c r="AS319" s="504">
        <f t="shared" ca="1" si="355"/>
        <v>-5.0147886086202687E-2</v>
      </c>
      <c r="AT319" s="504">
        <f t="shared" ca="1" si="355"/>
        <v>-5.0147886086202687E-2</v>
      </c>
      <c r="AU319" s="504">
        <f t="shared" ca="1" si="355"/>
        <v>-5.0147886086202687E-2</v>
      </c>
      <c r="AV319" s="504">
        <f t="shared" ca="1" si="355"/>
        <v>-5.0147886086202687E-2</v>
      </c>
      <c r="AW319" s="504">
        <f t="shared" ca="1" si="355"/>
        <v>-5.0147886086202687E-2</v>
      </c>
      <c r="AX319" s="504">
        <f t="shared" ca="1" si="355"/>
        <v>-5.0147886086202687E-2</v>
      </c>
      <c r="AY319" s="504">
        <f t="shared" ca="1" si="355"/>
        <v>-5.0147886086202687E-2</v>
      </c>
      <c r="AZ319" s="504">
        <f t="shared" ca="1" si="355"/>
        <v>-5.0147886086202687E-2</v>
      </c>
      <c r="BA319" s="504">
        <f t="shared" ca="1" si="355"/>
        <v>-5.0147886086202687E-2</v>
      </c>
      <c r="BB319" s="504">
        <f t="shared" ca="1" si="355"/>
        <v>0</v>
      </c>
      <c r="BC319" s="504">
        <f t="shared" ca="1" si="355"/>
        <v>0</v>
      </c>
      <c r="BD319" s="504">
        <f t="shared" ca="1" si="355"/>
        <v>0</v>
      </c>
      <c r="BE319" s="504">
        <f t="shared" ca="1" si="355"/>
        <v>0</v>
      </c>
      <c r="BF319" s="504">
        <f t="shared" ca="1" si="355"/>
        <v>0</v>
      </c>
      <c r="BG319" s="504">
        <f t="shared" ca="1" si="355"/>
        <v>0</v>
      </c>
      <c r="BH319" s="504">
        <f t="shared" ca="1" si="355"/>
        <v>0</v>
      </c>
      <c r="BI319" s="504">
        <f t="shared" ca="1" si="355"/>
        <v>0</v>
      </c>
      <c r="BJ319" s="504">
        <f t="shared" ca="1" si="355"/>
        <v>0</v>
      </c>
      <c r="BK319" s="504">
        <f t="shared" ca="1" si="355"/>
        <v>0</v>
      </c>
      <c r="BL319" s="504">
        <f t="shared" ca="1" si="355"/>
        <v>0</v>
      </c>
      <c r="BM319" s="504">
        <f t="shared" ca="1" si="355"/>
        <v>0</v>
      </c>
      <c r="BN319" s="504"/>
      <c r="BO319" s="504"/>
      <c r="BP319" s="504">
        <f t="shared" ref="BP319" ca="1" si="356">IFERROR(BP311/BP303-1,0)</f>
        <v>-1.7552634578187676E-2</v>
      </c>
      <c r="BS319" s="84" t="s">
        <v>242</v>
      </c>
      <c r="BT319" s="51" t="s">
        <v>17</v>
      </c>
    </row>
    <row r="320" spans="1:72" x14ac:dyDescent="0.25">
      <c r="B320" s="243" t="str">
        <f t="shared" si="340"/>
        <v>Large C&amp;I</v>
      </c>
      <c r="C320" s="243" t="str">
        <f t="shared" si="340"/>
        <v>Bills</v>
      </c>
      <c r="D320" s="244" t="str">
        <f t="shared" si="340"/>
        <v>Change in Bills</v>
      </c>
      <c r="E320" s="84" t="str">
        <f>'EE Inputs'!$N$16&amp;" Participant Annual Bill"</f>
        <v>High Savings Participant Annual Bill</v>
      </c>
      <c r="F320" s="84" t="s">
        <v>32</v>
      </c>
      <c r="G320" s="103">
        <f ca="1">G312-G303</f>
        <v>0</v>
      </c>
      <c r="H320" s="103">
        <f t="shared" ref="H320:AG320" ca="1" si="357">H312-H303</f>
        <v>0</v>
      </c>
      <c r="I320" s="103">
        <f t="shared" ca="1" si="357"/>
        <v>14042.091866976349</v>
      </c>
      <c r="J320" s="103">
        <f t="shared" ca="1" si="357"/>
        <v>-13510.946330285573</v>
      </c>
      <c r="K320" s="103">
        <f t="shared" ca="1" si="357"/>
        <v>-13510.946330285573</v>
      </c>
      <c r="L320" s="103">
        <f t="shared" ca="1" si="357"/>
        <v>-13510.946330285573</v>
      </c>
      <c r="M320" s="103">
        <f t="shared" ca="1" si="357"/>
        <v>-13510.946330285573</v>
      </c>
      <c r="N320" s="103">
        <f t="shared" ca="1" si="357"/>
        <v>-13510.946330285573</v>
      </c>
      <c r="O320" s="103">
        <f t="shared" ca="1" si="357"/>
        <v>-13510.946330285573</v>
      </c>
      <c r="P320" s="103">
        <f t="shared" ca="1" si="357"/>
        <v>-13510.946330285573</v>
      </c>
      <c r="Q320" s="103">
        <f t="shared" ca="1" si="357"/>
        <v>-13510.946330285573</v>
      </c>
      <c r="R320" s="103">
        <f t="shared" ca="1" si="357"/>
        <v>-13510.946330285573</v>
      </c>
      <c r="S320" s="103">
        <f t="shared" ca="1" si="357"/>
        <v>-13510.946330285573</v>
      </c>
      <c r="T320" s="103">
        <f t="shared" ca="1" si="357"/>
        <v>-13510.946330285573</v>
      </c>
      <c r="U320" s="103">
        <f t="shared" ca="1" si="357"/>
        <v>-13510.946330285573</v>
      </c>
      <c r="V320" s="103">
        <f t="shared" ca="1" si="357"/>
        <v>0</v>
      </c>
      <c r="W320" s="103">
        <f t="shared" ca="1" si="357"/>
        <v>0</v>
      </c>
      <c r="X320" s="103">
        <f t="shared" ca="1" si="357"/>
        <v>0</v>
      </c>
      <c r="Y320" s="103">
        <f t="shared" ca="1" si="357"/>
        <v>0</v>
      </c>
      <c r="Z320" s="103">
        <f t="shared" ca="1" si="357"/>
        <v>0</v>
      </c>
      <c r="AA320" s="103">
        <f t="shared" ca="1" si="357"/>
        <v>0</v>
      </c>
      <c r="AB320" s="103">
        <f t="shared" ca="1" si="357"/>
        <v>0</v>
      </c>
      <c r="AC320" s="103">
        <f t="shared" ca="1" si="357"/>
        <v>0</v>
      </c>
      <c r="AD320" s="103">
        <f t="shared" ca="1" si="357"/>
        <v>0</v>
      </c>
      <c r="AE320" s="103">
        <f t="shared" ca="1" si="357"/>
        <v>0</v>
      </c>
      <c r="AF320" s="103">
        <f t="shared" ca="1" si="357"/>
        <v>0</v>
      </c>
      <c r="AG320" s="103">
        <f t="shared" ca="1" si="357"/>
        <v>0</v>
      </c>
      <c r="AH320" s="103"/>
      <c r="AI320" s="103">
        <f ca="1">NPV(Lookups!$E$17,G320:AG320)</f>
        <v>-128583.9005478122</v>
      </c>
      <c r="AJ320" s="103">
        <f ca="1">IF($C$4=Year1,-PMT(Lookups!$E$17,25,NPV(Lookups!$E$17,G320:AE320),0,1),IF($C$4=Year2,-PMT(Lookups!$F$17,25,NPV(Lookups!$F$17,H320:AF320),0,1),IF($C$4=Year3,-PMT(Lookups!$G$17,25,NPV(Lookups!$G$17,I320:AG320),0,1),-PMT(Lookups!$G$17,27,NPV(Lookups!$G$17,G320:AG320),0,1))))</f>
        <v>-6228.969602568146</v>
      </c>
      <c r="AM320" s="149">
        <f ca="1">AM312-AM303</f>
        <v>0</v>
      </c>
      <c r="AN320" s="149">
        <f t="shared" ref="AN320:BM320" ca="1" si="358">AN312-AN303</f>
        <v>0</v>
      </c>
      <c r="AO320" s="149">
        <f t="shared" ca="1" si="358"/>
        <v>16062.448187053145</v>
      </c>
      <c r="AP320" s="149">
        <f t="shared" ca="1" si="358"/>
        <v>-16266.449964400817</v>
      </c>
      <c r="AQ320" s="149">
        <f t="shared" ca="1" si="358"/>
        <v>-16266.449964400817</v>
      </c>
      <c r="AR320" s="149">
        <f t="shared" ca="1" si="358"/>
        <v>-16266.449964400817</v>
      </c>
      <c r="AS320" s="149">
        <f t="shared" ca="1" si="358"/>
        <v>-16266.449964400817</v>
      </c>
      <c r="AT320" s="149">
        <f t="shared" ca="1" si="358"/>
        <v>-16266.449964400817</v>
      </c>
      <c r="AU320" s="149">
        <f t="shared" ca="1" si="358"/>
        <v>-16266.449964400817</v>
      </c>
      <c r="AV320" s="149">
        <f t="shared" ca="1" si="358"/>
        <v>-16266.449964400817</v>
      </c>
      <c r="AW320" s="149">
        <f t="shared" ca="1" si="358"/>
        <v>-16266.449964400817</v>
      </c>
      <c r="AX320" s="149">
        <f t="shared" ca="1" si="358"/>
        <v>-16266.449964400817</v>
      </c>
      <c r="AY320" s="149">
        <f t="shared" ca="1" si="358"/>
        <v>-16266.449964400817</v>
      </c>
      <c r="AZ320" s="149">
        <f t="shared" ca="1" si="358"/>
        <v>-16266.449964400817</v>
      </c>
      <c r="BA320" s="149">
        <f t="shared" ca="1" si="358"/>
        <v>-16266.449964400817</v>
      </c>
      <c r="BB320" s="149">
        <f t="shared" ca="1" si="358"/>
        <v>0</v>
      </c>
      <c r="BC320" s="149">
        <f t="shared" ca="1" si="358"/>
        <v>0</v>
      </c>
      <c r="BD320" s="149">
        <f t="shared" ca="1" si="358"/>
        <v>0</v>
      </c>
      <c r="BE320" s="149">
        <f t="shared" ca="1" si="358"/>
        <v>0</v>
      </c>
      <c r="BF320" s="149">
        <f t="shared" ca="1" si="358"/>
        <v>0</v>
      </c>
      <c r="BG320" s="149">
        <f t="shared" ca="1" si="358"/>
        <v>0</v>
      </c>
      <c r="BH320" s="149">
        <f t="shared" ca="1" si="358"/>
        <v>0</v>
      </c>
      <c r="BI320" s="149">
        <f t="shared" ca="1" si="358"/>
        <v>0</v>
      </c>
      <c r="BJ320" s="149">
        <f t="shared" ca="1" si="358"/>
        <v>0</v>
      </c>
      <c r="BK320" s="149">
        <f t="shared" ca="1" si="358"/>
        <v>0</v>
      </c>
      <c r="BL320" s="149">
        <f t="shared" ca="1" si="358"/>
        <v>0</v>
      </c>
      <c r="BM320" s="149">
        <f t="shared" ca="1" si="358"/>
        <v>0</v>
      </c>
      <c r="BN320" s="149"/>
      <c r="BO320" s="149">
        <f ca="1">NPV(Lookups!$E$17,AM320:BM320)</f>
        <v>-155616.74557281172</v>
      </c>
      <c r="BP320" s="149">
        <f ca="1">IF($C$4=Year1,-PMT(Lookups!$E$17,25,NPV(Lookups!$E$17,AM320:BK320),0,1),IF($C$4=Year2,-PMT(Lookups!$F$17,25,NPV(Lookups!$F$17,AN320:BL320),0,1),IF($C$4=Year3,-PMT(Lookups!$G$17,25,NPV(Lookups!$G$17,AO320:BM320),0,1),-PMT(Lookups!$G$17,27,NPV(Lookups!$G$17,AM320:BM320),0,1))))</f>
        <v>-7538.5174480936839</v>
      </c>
      <c r="BS320" s="84" t="s">
        <v>241</v>
      </c>
      <c r="BT320" s="51" t="s">
        <v>17</v>
      </c>
    </row>
    <row r="321" spans="1:72" x14ac:dyDescent="0.25">
      <c r="B321" s="243" t="str">
        <f t="shared" si="340"/>
        <v>Large C&amp;I</v>
      </c>
      <c r="C321" s="243" t="str">
        <f t="shared" si="340"/>
        <v>Bills</v>
      </c>
      <c r="D321" s="244" t="str">
        <f t="shared" si="340"/>
        <v>Change in Bills</v>
      </c>
      <c r="E321" s="84" t="str">
        <f>'EE Inputs'!$N$16&amp;" Participant Annual Bill"</f>
        <v>High Savings Participant Annual Bill</v>
      </c>
      <c r="F321" s="84" t="s">
        <v>16</v>
      </c>
      <c r="G321" s="223">
        <f ca="1">IFERROR(G312/G303-1,0)</f>
        <v>0</v>
      </c>
      <c r="H321" s="223">
        <f t="shared" ref="H321:AG321" ca="1" si="359">IFERROR(H312/H303-1,0)</f>
        <v>0</v>
      </c>
      <c r="I321" s="223">
        <f t="shared" ca="1" si="359"/>
        <v>9.2468899402083249E-2</v>
      </c>
      <c r="J321" s="223">
        <f t="shared" ca="1" si="359"/>
        <v>-8.8971240814929908E-2</v>
      </c>
      <c r="K321" s="223">
        <f t="shared" ca="1" si="359"/>
        <v>-8.8971240814929908E-2</v>
      </c>
      <c r="L321" s="223">
        <f t="shared" ca="1" si="359"/>
        <v>-8.8971240814929908E-2</v>
      </c>
      <c r="M321" s="223">
        <f t="shared" ca="1" si="359"/>
        <v>-8.8971240814929908E-2</v>
      </c>
      <c r="N321" s="223">
        <f t="shared" ca="1" si="359"/>
        <v>-8.8971240814929908E-2</v>
      </c>
      <c r="O321" s="223">
        <f t="shared" ca="1" si="359"/>
        <v>-8.8971240814929908E-2</v>
      </c>
      <c r="P321" s="223">
        <f t="shared" ca="1" si="359"/>
        <v>-8.8971240814929908E-2</v>
      </c>
      <c r="Q321" s="223">
        <f t="shared" ca="1" si="359"/>
        <v>-8.8971240814929908E-2</v>
      </c>
      <c r="R321" s="223">
        <f t="shared" ca="1" si="359"/>
        <v>-8.8971240814929908E-2</v>
      </c>
      <c r="S321" s="224">
        <f t="shared" ca="1" si="359"/>
        <v>-8.8971240814929908E-2</v>
      </c>
      <c r="T321" s="224">
        <f t="shared" ca="1" si="359"/>
        <v>-8.8971240814929908E-2</v>
      </c>
      <c r="U321" s="224">
        <f t="shared" ca="1" si="359"/>
        <v>-8.8971240814929908E-2</v>
      </c>
      <c r="V321" s="224">
        <f t="shared" ca="1" si="359"/>
        <v>0</v>
      </c>
      <c r="W321" s="224">
        <f t="shared" ca="1" si="359"/>
        <v>0</v>
      </c>
      <c r="X321" s="224">
        <f t="shared" ca="1" si="359"/>
        <v>0</v>
      </c>
      <c r="Y321" s="224">
        <f t="shared" ca="1" si="359"/>
        <v>0</v>
      </c>
      <c r="Z321" s="224">
        <f t="shared" ca="1" si="359"/>
        <v>0</v>
      </c>
      <c r="AA321" s="224">
        <f t="shared" ca="1" si="359"/>
        <v>0</v>
      </c>
      <c r="AB321" s="224">
        <f t="shared" ca="1" si="359"/>
        <v>0</v>
      </c>
      <c r="AC321" s="224">
        <f t="shared" ca="1" si="359"/>
        <v>0</v>
      </c>
      <c r="AD321" s="224">
        <f t="shared" ca="1" si="359"/>
        <v>0</v>
      </c>
      <c r="AE321" s="224">
        <f t="shared" ca="1" si="359"/>
        <v>0</v>
      </c>
      <c r="AF321" s="224">
        <f t="shared" ca="1" si="359"/>
        <v>0</v>
      </c>
      <c r="AG321" s="224">
        <f t="shared" ca="1" si="359"/>
        <v>0</v>
      </c>
      <c r="AH321" s="224"/>
      <c r="AI321" s="224"/>
      <c r="AJ321" s="224">
        <f t="shared" ref="AJ321" ca="1" si="360">IFERROR(AJ312/AJ303-1,0)</f>
        <v>-4.1598695617427572E-2</v>
      </c>
      <c r="AK321" s="212"/>
      <c r="AL321" s="212"/>
      <c r="AM321" s="504">
        <f ca="1">IFERROR(AM312/AM303-1,0)</f>
        <v>0</v>
      </c>
      <c r="AN321" s="504">
        <f t="shared" ref="AN321:BM321" ca="1" si="361">IFERROR(AN312/AN303-1,0)</f>
        <v>0</v>
      </c>
      <c r="AO321" s="504">
        <f t="shared" ca="1" si="361"/>
        <v>0.10577319388237361</v>
      </c>
      <c r="AP321" s="504">
        <f t="shared" ca="1" si="361"/>
        <v>-0.10711657063892155</v>
      </c>
      <c r="AQ321" s="504">
        <f t="shared" ca="1" si="361"/>
        <v>-0.10711657063892155</v>
      </c>
      <c r="AR321" s="504">
        <f t="shared" ca="1" si="361"/>
        <v>-0.10711657063892155</v>
      </c>
      <c r="AS321" s="504">
        <f t="shared" ca="1" si="361"/>
        <v>-0.10711657063892155</v>
      </c>
      <c r="AT321" s="504">
        <f t="shared" ca="1" si="361"/>
        <v>-0.10711657063892155</v>
      </c>
      <c r="AU321" s="504">
        <f t="shared" ca="1" si="361"/>
        <v>-0.10711657063892155</v>
      </c>
      <c r="AV321" s="504">
        <f t="shared" ca="1" si="361"/>
        <v>-0.10711657063892155</v>
      </c>
      <c r="AW321" s="504">
        <f t="shared" ca="1" si="361"/>
        <v>-0.10711657063892155</v>
      </c>
      <c r="AX321" s="504">
        <f t="shared" ca="1" si="361"/>
        <v>-0.10711657063892155</v>
      </c>
      <c r="AY321" s="504">
        <f t="shared" ca="1" si="361"/>
        <v>-0.10711657063892155</v>
      </c>
      <c r="AZ321" s="504">
        <f t="shared" ca="1" si="361"/>
        <v>-0.10711657063892155</v>
      </c>
      <c r="BA321" s="504">
        <f t="shared" ca="1" si="361"/>
        <v>-0.10711657063892155</v>
      </c>
      <c r="BB321" s="504">
        <f t="shared" ca="1" si="361"/>
        <v>0</v>
      </c>
      <c r="BC321" s="504">
        <f t="shared" ca="1" si="361"/>
        <v>0</v>
      </c>
      <c r="BD321" s="504">
        <f t="shared" ca="1" si="361"/>
        <v>0</v>
      </c>
      <c r="BE321" s="504">
        <f t="shared" ca="1" si="361"/>
        <v>0</v>
      </c>
      <c r="BF321" s="504">
        <f t="shared" ca="1" si="361"/>
        <v>0</v>
      </c>
      <c r="BG321" s="504">
        <f t="shared" ca="1" si="361"/>
        <v>0</v>
      </c>
      <c r="BH321" s="504">
        <f t="shared" ca="1" si="361"/>
        <v>0</v>
      </c>
      <c r="BI321" s="504">
        <f t="shared" ca="1" si="361"/>
        <v>0</v>
      </c>
      <c r="BJ321" s="504">
        <f t="shared" ca="1" si="361"/>
        <v>0</v>
      </c>
      <c r="BK321" s="504">
        <f t="shared" ca="1" si="361"/>
        <v>0</v>
      </c>
      <c r="BL321" s="504">
        <f t="shared" ca="1" si="361"/>
        <v>0</v>
      </c>
      <c r="BM321" s="504">
        <f t="shared" ca="1" si="361"/>
        <v>0</v>
      </c>
      <c r="BN321" s="504"/>
      <c r="BO321" s="504"/>
      <c r="BP321" s="504">
        <f t="shared" ref="BP321" ca="1" si="362">IFERROR(BP312/BP303-1,0)</f>
        <v>-5.0344200202971812E-2</v>
      </c>
      <c r="BS321" s="84" t="s">
        <v>242</v>
      </c>
      <c r="BT321" s="51" t="s">
        <v>17</v>
      </c>
    </row>
    <row r="322" spans="1:72" x14ac:dyDescent="0.25">
      <c r="B322" s="243" t="str">
        <f t="shared" si="340"/>
        <v>Large C&amp;I</v>
      </c>
      <c r="C322" s="243" t="str">
        <f t="shared" si="340"/>
        <v>Bills</v>
      </c>
      <c r="D322" s="244" t="str">
        <f t="shared" si="340"/>
        <v>Change in Bills</v>
      </c>
      <c r="E322" s="84" t="s">
        <v>17</v>
      </c>
      <c r="F322" s="84"/>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S322" s="84"/>
      <c r="BT322" s="51" t="s">
        <v>17</v>
      </c>
    </row>
    <row r="323" spans="1:72" x14ac:dyDescent="0.25">
      <c r="A323" s="52" t="s">
        <v>17</v>
      </c>
      <c r="B323" t="s">
        <v>17</v>
      </c>
      <c r="BT323" s="51" t="s">
        <v>17</v>
      </c>
    </row>
    <row r="324" spans="1:72" x14ac:dyDescent="0.25">
      <c r="A324" s="52" t="s">
        <v>17</v>
      </c>
      <c r="B324" t="s">
        <v>17</v>
      </c>
      <c r="BT324" s="51" t="s">
        <v>17</v>
      </c>
    </row>
    <row r="325" spans="1:72" s="51" customFormat="1" ht="23.25" x14ac:dyDescent="0.25">
      <c r="A325" s="52" t="s">
        <v>17</v>
      </c>
      <c r="B325" s="195" t="s">
        <v>271</v>
      </c>
      <c r="C325" s="196"/>
      <c r="D325" s="196"/>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51" t="s">
        <v>17</v>
      </c>
    </row>
    <row r="326" spans="1:72" s="5" customFormat="1" ht="15.75" x14ac:dyDescent="0.25">
      <c r="A326" s="52" t="s">
        <v>17</v>
      </c>
      <c r="B326" s="241" t="str">
        <f t="shared" ref="B326:C329" si="363">B325</f>
        <v>Portfolio Total</v>
      </c>
      <c r="C326" s="63" t="s">
        <v>124</v>
      </c>
      <c r="D326" s="6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M326" s="63"/>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S326" s="62"/>
      <c r="BT326" s="51" t="s">
        <v>17</v>
      </c>
    </row>
    <row r="327" spans="1:72" x14ac:dyDescent="0.25">
      <c r="A327" s="52" t="s">
        <v>17</v>
      </c>
      <c r="B327" s="243" t="str">
        <f t="shared" si="363"/>
        <v>Portfolio Total</v>
      </c>
      <c r="C327" s="243" t="str">
        <f t="shared" si="363"/>
        <v>Revenue Requirements</v>
      </c>
      <c r="D327" s="114" t="str">
        <f>"Revenue Requirement before DSM ("&amp;Lookups!$D$22&amp;" Scenario)"</f>
        <v>Revenue Requirement before DSM (No EE Scenario)</v>
      </c>
      <c r="E327" s="84"/>
      <c r="F327" s="84"/>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S327" s="84"/>
      <c r="BT327" s="51" t="s">
        <v>17</v>
      </c>
    </row>
    <row r="328" spans="1:72" x14ac:dyDescent="0.25">
      <c r="A328" s="52" t="s">
        <v>17</v>
      </c>
      <c r="B328" s="243" t="str">
        <f t="shared" si="363"/>
        <v>Portfolio Total</v>
      </c>
      <c r="C328" s="243" t="str">
        <f t="shared" si="363"/>
        <v>Revenue Requirements</v>
      </c>
      <c r="D328" s="244" t="str">
        <f>D327</f>
        <v>Revenue Requirement before DSM (No EE Scenario)</v>
      </c>
      <c r="E328" s="84" t="s">
        <v>26</v>
      </c>
      <c r="F328" s="84" t="s">
        <v>32</v>
      </c>
      <c r="G328" s="65">
        <f t="shared" ref="G328:V330" si="364">SUMIFS(G$9:G$322,$D$9:$D$322,$D328,$E$9:$E$322,$E328)</f>
        <v>0</v>
      </c>
      <c r="H328" s="65">
        <f t="shared" si="364"/>
        <v>0</v>
      </c>
      <c r="I328" s="65">
        <f t="shared" si="364"/>
        <v>43337415.643864036</v>
      </c>
      <c r="J328" s="65">
        <f t="shared" si="364"/>
        <v>43337415.643864036</v>
      </c>
      <c r="K328" s="65">
        <f t="shared" si="364"/>
        <v>43337415.643864036</v>
      </c>
      <c r="L328" s="65">
        <f t="shared" si="364"/>
        <v>43337415.643864036</v>
      </c>
      <c r="M328" s="65">
        <f t="shared" si="364"/>
        <v>43337415.643864036</v>
      </c>
      <c r="N328" s="65">
        <f t="shared" si="364"/>
        <v>43337415.643864036</v>
      </c>
      <c r="O328" s="65">
        <f t="shared" si="364"/>
        <v>43337415.643864036</v>
      </c>
      <c r="P328" s="65">
        <f t="shared" si="364"/>
        <v>43337415.643864036</v>
      </c>
      <c r="Q328" s="65">
        <f t="shared" si="364"/>
        <v>43337415.643864036</v>
      </c>
      <c r="R328" s="65">
        <f t="shared" si="364"/>
        <v>43337415.643864036</v>
      </c>
      <c r="S328" s="65">
        <f t="shared" si="364"/>
        <v>43337415.643864036</v>
      </c>
      <c r="T328" s="65">
        <f t="shared" si="364"/>
        <v>43337415.643864036</v>
      </c>
      <c r="U328" s="65">
        <f t="shared" si="364"/>
        <v>43337415.643864036</v>
      </c>
      <c r="V328" s="65">
        <f t="shared" si="364"/>
        <v>43337415.643864036</v>
      </c>
      <c r="W328" s="65">
        <f t="shared" ref="W328:AG330" si="365">SUMIFS(W$9:W$322,$D$9:$D$322,$D328,$E$9:$E$322,$E328)</f>
        <v>43337415.643864036</v>
      </c>
      <c r="X328" s="65">
        <f t="shared" si="365"/>
        <v>43337415.643864036</v>
      </c>
      <c r="Y328" s="65">
        <f t="shared" si="365"/>
        <v>43337415.643864036</v>
      </c>
      <c r="Z328" s="65">
        <f t="shared" si="365"/>
        <v>43337415.643864036</v>
      </c>
      <c r="AA328" s="65">
        <f t="shared" si="365"/>
        <v>43337415.643864036</v>
      </c>
      <c r="AB328" s="65">
        <f t="shared" si="365"/>
        <v>43337415.643864036</v>
      </c>
      <c r="AC328" s="65">
        <f t="shared" si="365"/>
        <v>43337415.643864036</v>
      </c>
      <c r="AD328" s="65">
        <f t="shared" si="365"/>
        <v>43337415.643864036</v>
      </c>
      <c r="AE328" s="65">
        <f t="shared" si="365"/>
        <v>43337415.643864036</v>
      </c>
      <c r="AF328" s="65">
        <f t="shared" si="365"/>
        <v>43337415.643864036</v>
      </c>
      <c r="AG328" s="65">
        <f t="shared" si="365"/>
        <v>43337415.643864036</v>
      </c>
      <c r="AH328" s="65"/>
      <c r="AI328" s="65">
        <f>NPV(Lookups!$E$17,G328:AG328)</f>
        <v>882132394.02409911</v>
      </c>
      <c r="AJ328" s="65">
        <f>IF($C$4=Year1,-PMT(Lookups!$E$17,25,NPV(Lookups!$E$17,G328:AE328),0,1),IF($C$4=Year2,-PMT(Lookups!$F$17,25,NPV(Lookups!$F$17,H328:AF328),0,1),IF($C$4=Year3,-PMT(Lookups!$G$17,25,NPV(Lookups!$G$17,I328:AG328),0,1),-PMT(Lookups!$G$17,27,NPV(Lookups!$G$17,G328:AG328),0,1))))</f>
        <v>42733000.355465345</v>
      </c>
      <c r="AM328" s="72">
        <f t="shared" ref="AM328:BB330" si="366">SUMIFS(AM$9:AM$322,$D$9:$D$322,$D328,$E$9:$E$322,$E328)</f>
        <v>0</v>
      </c>
      <c r="AN328" s="72">
        <f t="shared" si="366"/>
        <v>0</v>
      </c>
      <c r="AO328" s="72">
        <f t="shared" si="366"/>
        <v>43337415.643864036</v>
      </c>
      <c r="AP328" s="72">
        <f t="shared" si="366"/>
        <v>43337415.643864036</v>
      </c>
      <c r="AQ328" s="72">
        <f t="shared" si="366"/>
        <v>43337415.643864036</v>
      </c>
      <c r="AR328" s="72">
        <f t="shared" si="366"/>
        <v>43337415.643864036</v>
      </c>
      <c r="AS328" s="72">
        <f t="shared" si="366"/>
        <v>43337415.643864036</v>
      </c>
      <c r="AT328" s="72">
        <f t="shared" si="366"/>
        <v>43337415.643864036</v>
      </c>
      <c r="AU328" s="72">
        <f t="shared" si="366"/>
        <v>43337415.643864036</v>
      </c>
      <c r="AV328" s="72">
        <f t="shared" si="366"/>
        <v>43337415.643864036</v>
      </c>
      <c r="AW328" s="72">
        <f t="shared" si="366"/>
        <v>43337415.643864036</v>
      </c>
      <c r="AX328" s="72">
        <f t="shared" si="366"/>
        <v>43337415.643864036</v>
      </c>
      <c r="AY328" s="72">
        <f t="shared" si="366"/>
        <v>43337415.643864036</v>
      </c>
      <c r="AZ328" s="72">
        <f t="shared" si="366"/>
        <v>43337415.643864036</v>
      </c>
      <c r="BA328" s="72">
        <f t="shared" si="366"/>
        <v>43337415.643864036</v>
      </c>
      <c r="BB328" s="72">
        <f t="shared" si="366"/>
        <v>43337415.643864036</v>
      </c>
      <c r="BC328" s="72">
        <f t="shared" ref="BC328:BM330" si="367">SUMIFS(BC$9:BC$322,$D$9:$D$322,$D328,$E$9:$E$322,$E328)</f>
        <v>43337415.643864036</v>
      </c>
      <c r="BD328" s="72">
        <f t="shared" si="367"/>
        <v>43337415.643864036</v>
      </c>
      <c r="BE328" s="72">
        <f t="shared" si="367"/>
        <v>43337415.643864036</v>
      </c>
      <c r="BF328" s="72">
        <f t="shared" si="367"/>
        <v>43337415.643864036</v>
      </c>
      <c r="BG328" s="72">
        <f t="shared" si="367"/>
        <v>43337415.643864036</v>
      </c>
      <c r="BH328" s="72">
        <f t="shared" si="367"/>
        <v>43337415.643864036</v>
      </c>
      <c r="BI328" s="72">
        <f t="shared" si="367"/>
        <v>43337415.643864036</v>
      </c>
      <c r="BJ328" s="72">
        <f t="shared" si="367"/>
        <v>43337415.643864036</v>
      </c>
      <c r="BK328" s="72">
        <f t="shared" si="367"/>
        <v>43337415.643864036</v>
      </c>
      <c r="BL328" s="72">
        <f t="shared" si="367"/>
        <v>43337415.643864036</v>
      </c>
      <c r="BM328" s="72">
        <f t="shared" si="367"/>
        <v>43337415.643864036</v>
      </c>
      <c r="BN328" s="72"/>
      <c r="BO328" s="72">
        <f>NPV(Lookups!$E$17,AM328:BM328)</f>
        <v>882132394.02409911</v>
      </c>
      <c r="BP328" s="72">
        <f>IF($C$4=Year1,-PMT(Lookups!$E$17,25,NPV(Lookups!$E$17,AM328:BK328),0,1),IF($C$4=Year2,-PMT(Lookups!$F$17,25,NPV(Lookups!$F$17,AN328:BL328),0,1),IF($C$4=Year3,-PMT(Lookups!$G$17,25,NPV(Lookups!$G$17,AO328:BM328),0,1),-PMT(Lookups!$G$17,27,NPV(Lookups!$G$17,AM328:BM328),0,1))))</f>
        <v>42733000.355465345</v>
      </c>
      <c r="BS328" s="84" t="str">
        <f>"No EE Scenario "&amp;E328&amp;" rate multiplied by No EE Scenario sales."</f>
        <v>No EE Scenario Distribution rate multiplied by No EE Scenario sales.</v>
      </c>
      <c r="BT328" s="51" t="s">
        <v>17</v>
      </c>
    </row>
    <row r="329" spans="1:72" x14ac:dyDescent="0.25">
      <c r="A329" s="52" t="s">
        <v>17</v>
      </c>
      <c r="B329" s="243" t="str">
        <f t="shared" si="363"/>
        <v>Portfolio Total</v>
      </c>
      <c r="C329" s="243" t="str">
        <f t="shared" si="363"/>
        <v>Revenue Requirements</v>
      </c>
      <c r="D329" s="244" t="str">
        <f>D328</f>
        <v>Revenue Requirement before DSM (No EE Scenario)</v>
      </c>
      <c r="E329" s="84" t="s">
        <v>407</v>
      </c>
      <c r="F329" s="84" t="s">
        <v>32</v>
      </c>
      <c r="G329" s="65">
        <f t="shared" si="364"/>
        <v>0</v>
      </c>
      <c r="H329" s="65">
        <f t="shared" si="364"/>
        <v>0</v>
      </c>
      <c r="I329" s="65">
        <f t="shared" si="364"/>
        <v>-1915965.2564594061</v>
      </c>
      <c r="J329" s="65">
        <f t="shared" si="364"/>
        <v>-1915965.2564594061</v>
      </c>
      <c r="K329" s="65">
        <f t="shared" si="364"/>
        <v>-1915965.2564594061</v>
      </c>
      <c r="L329" s="65">
        <f t="shared" si="364"/>
        <v>-1915965.2564594061</v>
      </c>
      <c r="M329" s="65">
        <f t="shared" si="364"/>
        <v>-1915965.2564594061</v>
      </c>
      <c r="N329" s="65">
        <f t="shared" si="364"/>
        <v>-1915965.2564594061</v>
      </c>
      <c r="O329" s="65">
        <f t="shared" si="364"/>
        <v>-1915965.2564594061</v>
      </c>
      <c r="P329" s="65">
        <f t="shared" si="364"/>
        <v>-1915965.2564594061</v>
      </c>
      <c r="Q329" s="65">
        <f t="shared" si="364"/>
        <v>-1915965.2564594061</v>
      </c>
      <c r="R329" s="65">
        <f t="shared" si="364"/>
        <v>-1915965.2564594061</v>
      </c>
      <c r="S329" s="65">
        <f t="shared" si="364"/>
        <v>-1915965.2564594061</v>
      </c>
      <c r="T329" s="65">
        <f t="shared" si="364"/>
        <v>-1915965.2564594061</v>
      </c>
      <c r="U329" s="65">
        <f t="shared" si="364"/>
        <v>-1915965.2564594061</v>
      </c>
      <c r="V329" s="65">
        <f t="shared" si="364"/>
        <v>-1915965.2564594061</v>
      </c>
      <c r="W329" s="65">
        <f t="shared" si="365"/>
        <v>-1915965.2564594061</v>
      </c>
      <c r="X329" s="65">
        <f t="shared" si="365"/>
        <v>-1915965.2564594061</v>
      </c>
      <c r="Y329" s="65">
        <f t="shared" si="365"/>
        <v>-1915965.2564594061</v>
      </c>
      <c r="Z329" s="65">
        <f t="shared" si="365"/>
        <v>-1915965.2564594061</v>
      </c>
      <c r="AA329" s="65">
        <f t="shared" si="365"/>
        <v>-1915965.2564594061</v>
      </c>
      <c r="AB329" s="65">
        <f t="shared" si="365"/>
        <v>-1915965.2564594061</v>
      </c>
      <c r="AC329" s="65">
        <f t="shared" si="365"/>
        <v>-1915965.2564594061</v>
      </c>
      <c r="AD329" s="65">
        <f t="shared" si="365"/>
        <v>-1915965.2564594061</v>
      </c>
      <c r="AE329" s="65">
        <f t="shared" si="365"/>
        <v>-1915965.2564594061</v>
      </c>
      <c r="AF329" s="65">
        <f t="shared" si="365"/>
        <v>-1915965.2564594061</v>
      </c>
      <c r="AG329" s="65">
        <f t="shared" si="365"/>
        <v>-1915965.2564594061</v>
      </c>
      <c r="AH329" s="65"/>
      <c r="AI329" s="65">
        <f>NPV(Lookups!$E$17,G329:AG329)</f>
        <v>-38999441.785745531</v>
      </c>
      <c r="AJ329" s="65">
        <f>IF($C$4=Year1,-PMT(Lookups!$E$17,25,NPV(Lookups!$E$17,G329:AE329),0,1),IF($C$4=Year2,-PMT(Lookups!$F$17,25,NPV(Lookups!$F$17,H329:AF329),0,1),IF($C$4=Year3,-PMT(Lookups!$G$17,25,NPV(Lookups!$G$17,I329:AG329),0,1),-PMT(Lookups!$G$17,27,NPV(Lookups!$G$17,G329:AG329),0,1))))</f>
        <v>-1889243.8039722238</v>
      </c>
      <c r="AM329" s="72">
        <f t="shared" si="366"/>
        <v>0</v>
      </c>
      <c r="AN329" s="72">
        <f t="shared" si="366"/>
        <v>0</v>
      </c>
      <c r="AO329" s="72">
        <f t="shared" si="366"/>
        <v>-1915965.2564594061</v>
      </c>
      <c r="AP329" s="72">
        <f t="shared" si="366"/>
        <v>-1915965.2564594061</v>
      </c>
      <c r="AQ329" s="72">
        <f t="shared" si="366"/>
        <v>-1915965.2564594061</v>
      </c>
      <c r="AR329" s="72">
        <f t="shared" si="366"/>
        <v>-1915965.2564594061</v>
      </c>
      <c r="AS329" s="72">
        <f t="shared" si="366"/>
        <v>-1915965.2564594061</v>
      </c>
      <c r="AT329" s="72">
        <f t="shared" si="366"/>
        <v>-1915965.2564594061</v>
      </c>
      <c r="AU329" s="72">
        <f t="shared" si="366"/>
        <v>-1915965.2564594061</v>
      </c>
      <c r="AV329" s="72">
        <f t="shared" si="366"/>
        <v>-1915965.2564594061</v>
      </c>
      <c r="AW329" s="72">
        <f t="shared" si="366"/>
        <v>-1915965.2564594061</v>
      </c>
      <c r="AX329" s="72">
        <f t="shared" si="366"/>
        <v>-1915965.2564594061</v>
      </c>
      <c r="AY329" s="72">
        <f t="shared" si="366"/>
        <v>-1915965.2564594061</v>
      </c>
      <c r="AZ329" s="72">
        <f t="shared" si="366"/>
        <v>-1915965.2564594061</v>
      </c>
      <c r="BA329" s="72">
        <f t="shared" si="366"/>
        <v>-1915965.2564594061</v>
      </c>
      <c r="BB329" s="72">
        <f t="shared" si="366"/>
        <v>-1915965.2564594061</v>
      </c>
      <c r="BC329" s="72">
        <f t="shared" si="367"/>
        <v>-1915965.2564594061</v>
      </c>
      <c r="BD329" s="72">
        <f t="shared" si="367"/>
        <v>-1915965.2564594061</v>
      </c>
      <c r="BE329" s="72">
        <f t="shared" si="367"/>
        <v>-1915965.2564594061</v>
      </c>
      <c r="BF329" s="72">
        <f t="shared" si="367"/>
        <v>-1915965.2564594061</v>
      </c>
      <c r="BG329" s="72">
        <f t="shared" si="367"/>
        <v>-1915965.2564594061</v>
      </c>
      <c r="BH329" s="72">
        <f t="shared" si="367"/>
        <v>-1915965.2564594061</v>
      </c>
      <c r="BI329" s="72">
        <f t="shared" si="367"/>
        <v>-1915965.2564594061</v>
      </c>
      <c r="BJ329" s="72">
        <f t="shared" si="367"/>
        <v>-1915965.2564594061</v>
      </c>
      <c r="BK329" s="72">
        <f t="shared" si="367"/>
        <v>-1915965.2564594061</v>
      </c>
      <c r="BL329" s="72">
        <f t="shared" si="367"/>
        <v>-1915965.2564594061</v>
      </c>
      <c r="BM329" s="72">
        <f t="shared" si="367"/>
        <v>-1915965.2564594061</v>
      </c>
      <c r="BN329" s="72"/>
      <c r="BO329" s="72">
        <f>NPV(Lookups!$E$17,AM329:BM329)</f>
        <v>-38999441.785745531</v>
      </c>
      <c r="BP329" s="72">
        <f>IF($C$4=Year1,-PMT(Lookups!$E$17,25,NPV(Lookups!$E$17,AM329:BK329),0,1),IF($C$4=Year2,-PMT(Lookups!$F$17,25,NPV(Lookups!$F$17,AN329:BL329),0,1),IF($C$4=Year3,-PMT(Lookups!$G$17,25,NPV(Lookups!$G$17,AO329:BM329),0,1),-PMT(Lookups!$G$17,27,NPV(Lookups!$G$17,AM329:BM329),0,1))))</f>
        <v>-1889243.8039722238</v>
      </c>
      <c r="BS329" s="84" t="str">
        <f>"No EE Scenario "&amp;E329&amp;" rate multiplied by No EE Scenario sales."</f>
        <v>No EE Scenario LDAC, Non-EE rate multiplied by No EE Scenario sales.</v>
      </c>
      <c r="BT329" s="51" t="s">
        <v>17</v>
      </c>
    </row>
    <row r="330" spans="1:72" x14ac:dyDescent="0.25">
      <c r="A330" s="52" t="s">
        <v>17</v>
      </c>
      <c r="B330" s="243" t="str">
        <f>B328</f>
        <v>Portfolio Total</v>
      </c>
      <c r="C330" s="243" t="str">
        <f>C328</f>
        <v>Revenue Requirements</v>
      </c>
      <c r="D330" s="244" t="str">
        <f>D328</f>
        <v>Revenue Requirement before DSM (No EE Scenario)</v>
      </c>
      <c r="E330" s="84" t="s">
        <v>197</v>
      </c>
      <c r="F330" s="84" t="s">
        <v>32</v>
      </c>
      <c r="G330" s="65">
        <f t="shared" si="364"/>
        <v>0</v>
      </c>
      <c r="H330" s="65">
        <f t="shared" si="364"/>
        <v>0</v>
      </c>
      <c r="I330" s="65">
        <f t="shared" si="364"/>
        <v>59392410.029498205</v>
      </c>
      <c r="J330" s="65">
        <f t="shared" si="364"/>
        <v>59392410.029498205</v>
      </c>
      <c r="K330" s="65">
        <f t="shared" si="364"/>
        <v>59392410.029498205</v>
      </c>
      <c r="L330" s="65">
        <f t="shared" si="364"/>
        <v>59392410.029498205</v>
      </c>
      <c r="M330" s="65">
        <f t="shared" si="364"/>
        <v>59392410.029498205</v>
      </c>
      <c r="N330" s="65">
        <f t="shared" si="364"/>
        <v>59392410.029498205</v>
      </c>
      <c r="O330" s="65">
        <f t="shared" si="364"/>
        <v>59392410.029498205</v>
      </c>
      <c r="P330" s="65">
        <f t="shared" si="364"/>
        <v>59392410.029498205</v>
      </c>
      <c r="Q330" s="65">
        <f t="shared" si="364"/>
        <v>59392410.029498205</v>
      </c>
      <c r="R330" s="65">
        <f t="shared" si="364"/>
        <v>59392410.029498205</v>
      </c>
      <c r="S330" s="65">
        <f t="shared" si="364"/>
        <v>59392410.029498205</v>
      </c>
      <c r="T330" s="65">
        <f t="shared" si="364"/>
        <v>59392410.029498205</v>
      </c>
      <c r="U330" s="65">
        <f t="shared" si="364"/>
        <v>59392410.029498205</v>
      </c>
      <c r="V330" s="65">
        <f t="shared" si="364"/>
        <v>59392410.029498205</v>
      </c>
      <c r="W330" s="65">
        <f t="shared" si="365"/>
        <v>59392410.029498205</v>
      </c>
      <c r="X330" s="65">
        <f t="shared" si="365"/>
        <v>59392410.029498205</v>
      </c>
      <c r="Y330" s="65">
        <f t="shared" si="365"/>
        <v>59392410.029498205</v>
      </c>
      <c r="Z330" s="65">
        <f t="shared" si="365"/>
        <v>59392410.029498205</v>
      </c>
      <c r="AA330" s="65">
        <f t="shared" si="365"/>
        <v>59392410.029498205</v>
      </c>
      <c r="AB330" s="65">
        <f t="shared" si="365"/>
        <v>59392410.029498205</v>
      </c>
      <c r="AC330" s="65">
        <f t="shared" si="365"/>
        <v>59392410.029498205</v>
      </c>
      <c r="AD330" s="65">
        <f t="shared" si="365"/>
        <v>59392410.029498205</v>
      </c>
      <c r="AE330" s="65">
        <f t="shared" si="365"/>
        <v>59392410.029498205</v>
      </c>
      <c r="AF330" s="65">
        <f t="shared" si="365"/>
        <v>59392410.029498205</v>
      </c>
      <c r="AG330" s="65">
        <f t="shared" si="365"/>
        <v>59392410.029498205</v>
      </c>
      <c r="AH330" s="65"/>
      <c r="AI330" s="65">
        <f>NPV(Lookups!$E$17,G330:AG330)</f>
        <v>1208931544.8970509</v>
      </c>
      <c r="AJ330" s="65">
        <f>IF($C$4=Year1,-PMT(Lookups!$E$17,25,NPV(Lookups!$E$17,G330:AE330),0,1),IF($C$4=Year2,-PMT(Lookups!$F$17,25,NPV(Lookups!$F$17,H330:AF330),0,1),IF($C$4=Year3,-PMT(Lookups!$G$17,25,NPV(Lookups!$G$17,I330:AG330),0,1),-PMT(Lookups!$G$17,27,NPV(Lookups!$G$17,G330:AG330),0,1))))</f>
        <v>58564080.049425758</v>
      </c>
      <c r="AM330" s="72">
        <f t="shared" si="366"/>
        <v>0</v>
      </c>
      <c r="AN330" s="72">
        <f t="shared" si="366"/>
        <v>0</v>
      </c>
      <c r="AO330" s="72">
        <f t="shared" si="366"/>
        <v>59392410.029498205</v>
      </c>
      <c r="AP330" s="72">
        <f t="shared" si="366"/>
        <v>59392410.029498205</v>
      </c>
      <c r="AQ330" s="72">
        <f t="shared" si="366"/>
        <v>59392410.029498205</v>
      </c>
      <c r="AR330" s="72">
        <f t="shared" si="366"/>
        <v>59392410.029498205</v>
      </c>
      <c r="AS330" s="72">
        <f t="shared" si="366"/>
        <v>59392410.029498205</v>
      </c>
      <c r="AT330" s="72">
        <f t="shared" si="366"/>
        <v>59392410.029498205</v>
      </c>
      <c r="AU330" s="72">
        <f t="shared" si="366"/>
        <v>59392410.029498205</v>
      </c>
      <c r="AV330" s="72">
        <f t="shared" si="366"/>
        <v>59392410.029498205</v>
      </c>
      <c r="AW330" s="72">
        <f t="shared" si="366"/>
        <v>59392410.029498205</v>
      </c>
      <c r="AX330" s="72">
        <f t="shared" si="366"/>
        <v>59392410.029498205</v>
      </c>
      <c r="AY330" s="72">
        <f t="shared" si="366"/>
        <v>59392410.029498205</v>
      </c>
      <c r="AZ330" s="72">
        <f t="shared" si="366"/>
        <v>59392410.029498205</v>
      </c>
      <c r="BA330" s="72">
        <f t="shared" si="366"/>
        <v>59392410.029498205</v>
      </c>
      <c r="BB330" s="72">
        <f t="shared" si="366"/>
        <v>59392410.029498205</v>
      </c>
      <c r="BC330" s="72">
        <f t="shared" si="367"/>
        <v>59392410.029498205</v>
      </c>
      <c r="BD330" s="72">
        <f t="shared" si="367"/>
        <v>59392410.029498205</v>
      </c>
      <c r="BE330" s="72">
        <f t="shared" si="367"/>
        <v>59392410.029498205</v>
      </c>
      <c r="BF330" s="72">
        <f t="shared" si="367"/>
        <v>59392410.029498205</v>
      </c>
      <c r="BG330" s="72">
        <f t="shared" si="367"/>
        <v>59392410.029498205</v>
      </c>
      <c r="BH330" s="72">
        <f t="shared" si="367"/>
        <v>59392410.029498205</v>
      </c>
      <c r="BI330" s="72">
        <f t="shared" si="367"/>
        <v>59392410.029498205</v>
      </c>
      <c r="BJ330" s="72">
        <f t="shared" si="367"/>
        <v>59392410.029498205</v>
      </c>
      <c r="BK330" s="72">
        <f t="shared" si="367"/>
        <v>59392410.029498205</v>
      </c>
      <c r="BL330" s="72">
        <f t="shared" si="367"/>
        <v>59392410.029498205</v>
      </c>
      <c r="BM330" s="72">
        <f t="shared" si="367"/>
        <v>59392410.029498205</v>
      </c>
      <c r="BN330" s="72"/>
      <c r="BO330" s="72">
        <f>NPV(Lookups!$E$17,AM330:BM330)</f>
        <v>1208931544.8970509</v>
      </c>
      <c r="BP330" s="72">
        <f>IF($C$4=Year1,-PMT(Lookups!$E$17,25,NPV(Lookups!$E$17,AM330:BK330),0,1),IF($C$4=Year2,-PMT(Lookups!$F$17,25,NPV(Lookups!$F$17,AN330:BL330),0,1),IF($C$4=Year3,-PMT(Lookups!$G$17,25,NPV(Lookups!$G$17,AO330:BM330),0,1),-PMT(Lookups!$G$17,27,NPV(Lookups!$G$17,AM330:BM330),0,1))))</f>
        <v>58564080.049425758</v>
      </c>
      <c r="BS330" s="84" t="str">
        <f>"No EE Scenario "&amp;E330&amp;" rate multiplied by No EE Scenario sales."</f>
        <v>No EE Scenario Cost of Gas rate multiplied by No EE Scenario sales.</v>
      </c>
      <c r="BT330" s="51" t="s">
        <v>17</v>
      </c>
    </row>
    <row r="331" spans="1:72" x14ac:dyDescent="0.25">
      <c r="A331" s="52" t="s">
        <v>17</v>
      </c>
      <c r="B331" s="243" t="str">
        <f t="shared" ref="B331:C333" si="368">B329</f>
        <v>Portfolio Total</v>
      </c>
      <c r="C331" s="243" t="str">
        <f t="shared" si="368"/>
        <v>Revenue Requirements</v>
      </c>
      <c r="D331" s="244" t="str">
        <f>D329</f>
        <v>Revenue Requirement before DSM (No EE Scenario)</v>
      </c>
      <c r="E331" s="84" t="s">
        <v>272</v>
      </c>
      <c r="F331" s="84" t="s">
        <v>32</v>
      </c>
      <c r="G331" s="65">
        <f>SUM(G328:G330)</f>
        <v>0</v>
      </c>
      <c r="H331" s="65">
        <f t="shared" ref="H331:AG331" si="369">SUM(H328:H330)</f>
        <v>0</v>
      </c>
      <c r="I331" s="65">
        <f t="shared" si="369"/>
        <v>100813860.41690284</v>
      </c>
      <c r="J331" s="65">
        <f t="shared" si="369"/>
        <v>100813860.41690284</v>
      </c>
      <c r="K331" s="65">
        <f t="shared" si="369"/>
        <v>100813860.41690284</v>
      </c>
      <c r="L331" s="65">
        <f t="shared" si="369"/>
        <v>100813860.41690284</v>
      </c>
      <c r="M331" s="65">
        <f t="shared" si="369"/>
        <v>100813860.41690284</v>
      </c>
      <c r="N331" s="65">
        <f t="shared" si="369"/>
        <v>100813860.41690284</v>
      </c>
      <c r="O331" s="65">
        <f t="shared" si="369"/>
        <v>100813860.41690284</v>
      </c>
      <c r="P331" s="65">
        <f t="shared" si="369"/>
        <v>100813860.41690284</v>
      </c>
      <c r="Q331" s="65">
        <f t="shared" si="369"/>
        <v>100813860.41690284</v>
      </c>
      <c r="R331" s="65">
        <f t="shared" si="369"/>
        <v>100813860.41690284</v>
      </c>
      <c r="S331" s="65">
        <f t="shared" si="369"/>
        <v>100813860.41690284</v>
      </c>
      <c r="T331" s="65">
        <f t="shared" si="369"/>
        <v>100813860.41690284</v>
      </c>
      <c r="U331" s="65">
        <f t="shared" si="369"/>
        <v>100813860.41690284</v>
      </c>
      <c r="V331" s="65">
        <f t="shared" si="369"/>
        <v>100813860.41690284</v>
      </c>
      <c r="W331" s="65">
        <f t="shared" si="369"/>
        <v>100813860.41690284</v>
      </c>
      <c r="X331" s="65">
        <f t="shared" si="369"/>
        <v>100813860.41690284</v>
      </c>
      <c r="Y331" s="65">
        <f t="shared" si="369"/>
        <v>100813860.41690284</v>
      </c>
      <c r="Z331" s="65">
        <f t="shared" si="369"/>
        <v>100813860.41690284</v>
      </c>
      <c r="AA331" s="65">
        <f t="shared" si="369"/>
        <v>100813860.41690284</v>
      </c>
      <c r="AB331" s="65">
        <f t="shared" si="369"/>
        <v>100813860.41690284</v>
      </c>
      <c r="AC331" s="65">
        <f t="shared" si="369"/>
        <v>100813860.41690284</v>
      </c>
      <c r="AD331" s="65">
        <f t="shared" si="369"/>
        <v>100813860.41690284</v>
      </c>
      <c r="AE331" s="65">
        <f t="shared" si="369"/>
        <v>100813860.41690284</v>
      </c>
      <c r="AF331" s="65">
        <f t="shared" si="369"/>
        <v>100813860.41690284</v>
      </c>
      <c r="AG331" s="65">
        <f t="shared" si="369"/>
        <v>100813860.41690284</v>
      </c>
      <c r="AH331" s="65"/>
      <c r="AI331" s="65">
        <f>NPV(Lookups!$E$17,G331:AG331)</f>
        <v>2052064497.1354051</v>
      </c>
      <c r="AJ331" s="65">
        <f>IF($C$4=Year1,-PMT(Lookups!$E$17,25,NPV(Lookups!$E$17,G331:AE331),0,1),IF($C$4=Year2,-PMT(Lookups!$F$17,25,NPV(Lookups!$F$17,H331:AF331),0,1),IF($C$4=Year3,-PMT(Lookups!$G$17,25,NPV(Lookups!$G$17,I331:AG331),0,1),-PMT(Lookups!$G$17,27,NPV(Lookups!$G$17,G331:AG331),0,1))))</f>
        <v>99407836.600918919</v>
      </c>
      <c r="AM331" s="72">
        <f>SUM(AM328:AM330)</f>
        <v>0</v>
      </c>
      <c r="AN331" s="72">
        <f t="shared" ref="AN331:BM331" si="370">SUM(AN328:AN330)</f>
        <v>0</v>
      </c>
      <c r="AO331" s="72">
        <f t="shared" si="370"/>
        <v>100813860.41690284</v>
      </c>
      <c r="AP331" s="72">
        <f t="shared" si="370"/>
        <v>100813860.41690284</v>
      </c>
      <c r="AQ331" s="72">
        <f t="shared" si="370"/>
        <v>100813860.41690284</v>
      </c>
      <c r="AR331" s="72">
        <f t="shared" si="370"/>
        <v>100813860.41690284</v>
      </c>
      <c r="AS331" s="72">
        <f t="shared" si="370"/>
        <v>100813860.41690284</v>
      </c>
      <c r="AT331" s="72">
        <f t="shared" si="370"/>
        <v>100813860.41690284</v>
      </c>
      <c r="AU331" s="72">
        <f t="shared" si="370"/>
        <v>100813860.41690284</v>
      </c>
      <c r="AV331" s="72">
        <f t="shared" si="370"/>
        <v>100813860.41690284</v>
      </c>
      <c r="AW331" s="72">
        <f t="shared" si="370"/>
        <v>100813860.41690284</v>
      </c>
      <c r="AX331" s="72">
        <f t="shared" si="370"/>
        <v>100813860.41690284</v>
      </c>
      <c r="AY331" s="72">
        <f t="shared" si="370"/>
        <v>100813860.41690284</v>
      </c>
      <c r="AZ331" s="72">
        <f t="shared" si="370"/>
        <v>100813860.41690284</v>
      </c>
      <c r="BA331" s="72">
        <f t="shared" si="370"/>
        <v>100813860.41690284</v>
      </c>
      <c r="BB331" s="72">
        <f t="shared" si="370"/>
        <v>100813860.41690284</v>
      </c>
      <c r="BC331" s="72">
        <f t="shared" si="370"/>
        <v>100813860.41690284</v>
      </c>
      <c r="BD331" s="72">
        <f t="shared" si="370"/>
        <v>100813860.41690284</v>
      </c>
      <c r="BE331" s="72">
        <f t="shared" si="370"/>
        <v>100813860.41690284</v>
      </c>
      <c r="BF331" s="72">
        <f t="shared" si="370"/>
        <v>100813860.41690284</v>
      </c>
      <c r="BG331" s="72">
        <f t="shared" si="370"/>
        <v>100813860.41690284</v>
      </c>
      <c r="BH331" s="72">
        <f t="shared" si="370"/>
        <v>100813860.41690284</v>
      </c>
      <c r="BI331" s="72">
        <f t="shared" si="370"/>
        <v>100813860.41690284</v>
      </c>
      <c r="BJ331" s="72">
        <f t="shared" si="370"/>
        <v>100813860.41690284</v>
      </c>
      <c r="BK331" s="72">
        <f t="shared" si="370"/>
        <v>100813860.41690284</v>
      </c>
      <c r="BL331" s="72">
        <f t="shared" si="370"/>
        <v>100813860.41690284</v>
      </c>
      <c r="BM331" s="72">
        <f t="shared" si="370"/>
        <v>100813860.41690284</v>
      </c>
      <c r="BN331" s="72"/>
      <c r="BO331" s="72">
        <f>NPV(Lookups!$E$17,AM331:BM331)</f>
        <v>2052064497.1354051</v>
      </c>
      <c r="BP331" s="72">
        <f>IF($C$4=Year1,-PMT(Lookups!$E$17,25,NPV(Lookups!$E$17,AM331:BK331),0,1),IF($C$4=Year2,-PMT(Lookups!$F$17,25,NPV(Lookups!$F$17,AN331:BL331),0,1),IF($C$4=Year3,-PMT(Lookups!$G$17,25,NPV(Lookups!$G$17,AO331:BM331),0,1),-PMT(Lookups!$G$17,27,NPV(Lookups!$G$17,AM331:BM331),0,1))))</f>
        <v>99407836.600918919</v>
      </c>
      <c r="BS331" s="84"/>
      <c r="BT331" s="51" t="s">
        <v>17</v>
      </c>
    </row>
    <row r="332" spans="1:72" x14ac:dyDescent="0.25">
      <c r="A332" s="52" t="s">
        <v>17</v>
      </c>
      <c r="B332" s="243" t="str">
        <f t="shared" si="368"/>
        <v>Portfolio Total</v>
      </c>
      <c r="C332" s="243" t="str">
        <f t="shared" si="368"/>
        <v>Revenue Requirements</v>
      </c>
      <c r="D332" s="114" t="s">
        <v>24</v>
      </c>
      <c r="E332" s="84"/>
      <c r="F332" s="84"/>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S332" s="84"/>
      <c r="BT332" s="51" t="s">
        <v>17</v>
      </c>
    </row>
    <row r="333" spans="1:72" x14ac:dyDescent="0.25">
      <c r="A333" s="52" t="s">
        <v>17</v>
      </c>
      <c r="B333" s="243" t="str">
        <f t="shared" si="368"/>
        <v>Portfolio Total</v>
      </c>
      <c r="C333" s="243" t="str">
        <f t="shared" si="368"/>
        <v>Revenue Requirements</v>
      </c>
      <c r="D333" s="244" t="str">
        <f>D332</f>
        <v>Avoided Costs</v>
      </c>
      <c r="E333" s="84" t="s">
        <v>45</v>
      </c>
      <c r="F333" s="84" t="s">
        <v>32</v>
      </c>
      <c r="G333" s="65">
        <f t="shared" ref="G333:V335" ca="1" si="371">SUMIFS(G$9:G$322,$D$9:$D$322,$D333,$E$9:$E$322,$E333)</f>
        <v>0</v>
      </c>
      <c r="H333" s="65">
        <f t="shared" ca="1" si="371"/>
        <v>0</v>
      </c>
      <c r="I333" s="65">
        <f t="shared" ca="1" si="371"/>
        <v>1287053.5717201352</v>
      </c>
      <c r="J333" s="65">
        <f t="shared" ca="1" si="371"/>
        <v>1287053.5717201352</v>
      </c>
      <c r="K333" s="65">
        <f t="shared" ca="1" si="371"/>
        <v>1287053.5717201352</v>
      </c>
      <c r="L333" s="65">
        <f t="shared" ca="1" si="371"/>
        <v>1287053.5717201352</v>
      </c>
      <c r="M333" s="65">
        <f t="shared" ca="1" si="371"/>
        <v>1287053.5717201352</v>
      </c>
      <c r="N333" s="65">
        <f t="shared" ca="1" si="371"/>
        <v>1287053.5717201352</v>
      </c>
      <c r="O333" s="65">
        <f t="shared" ca="1" si="371"/>
        <v>1287053.5717201352</v>
      </c>
      <c r="P333" s="65">
        <f t="shared" ca="1" si="371"/>
        <v>1287053.5717201352</v>
      </c>
      <c r="Q333" s="65">
        <f t="shared" ca="1" si="371"/>
        <v>1287053.5717201352</v>
      </c>
      <c r="R333" s="65">
        <f t="shared" ca="1" si="371"/>
        <v>1287053.5717201352</v>
      </c>
      <c r="S333" s="65">
        <f t="shared" ca="1" si="371"/>
        <v>1287053.5717201352</v>
      </c>
      <c r="T333" s="65">
        <f t="shared" ca="1" si="371"/>
        <v>1287053.5717201352</v>
      </c>
      <c r="U333" s="65">
        <f t="shared" ca="1" si="371"/>
        <v>1287053.5717201352</v>
      </c>
      <c r="V333" s="65">
        <f t="shared" ca="1" si="371"/>
        <v>595912.94071247685</v>
      </c>
      <c r="W333" s="65">
        <f t="shared" ref="W333:AG335" ca="1" si="372">SUMIFS(W$9:W$322,$D$9:$D$322,$D333,$E$9:$E$322,$E333)</f>
        <v>595912.94071247685</v>
      </c>
      <c r="X333" s="65">
        <f t="shared" ca="1" si="372"/>
        <v>309924.99417742883</v>
      </c>
      <c r="Y333" s="65">
        <f t="shared" ca="1" si="372"/>
        <v>69445.168065033402</v>
      </c>
      <c r="Z333" s="65">
        <f t="shared" ca="1" si="372"/>
        <v>69445.168065033402</v>
      </c>
      <c r="AA333" s="65">
        <f t="shared" ca="1" si="372"/>
        <v>69445.168065033402</v>
      </c>
      <c r="AB333" s="65">
        <f t="shared" ca="1" si="372"/>
        <v>69445.168065033402</v>
      </c>
      <c r="AC333" s="65">
        <f t="shared" ca="1" si="372"/>
        <v>0</v>
      </c>
      <c r="AD333" s="65">
        <f t="shared" ca="1" si="372"/>
        <v>0</v>
      </c>
      <c r="AE333" s="65">
        <f t="shared" ca="1" si="372"/>
        <v>0</v>
      </c>
      <c r="AF333" s="65">
        <f t="shared" ca="1" si="372"/>
        <v>0</v>
      </c>
      <c r="AG333" s="65">
        <f t="shared" ca="1" si="372"/>
        <v>0</v>
      </c>
      <c r="AH333" s="65"/>
      <c r="AI333" s="65">
        <f ca="1">NPV(Lookups!$E$17,G333:AG333)</f>
        <v>16159647.104006536</v>
      </c>
      <c r="AJ333" s="65">
        <f ca="1">IF($C$4=Year1,-PMT(Lookups!$E$17,25,NPV(Lookups!$E$17,G333:AE333),0,1),IF($C$4=Year2,-PMT(Lookups!$F$17,25,NPV(Lookups!$F$17,H333:AF333),0,1),IF($C$4=Year3,-PMT(Lookups!$G$17,25,NPV(Lookups!$G$17,I333:AG333),0,1),-PMT(Lookups!$G$17,27,NPV(Lookups!$G$17,G333:AG333),0,1))))</f>
        <v>782819.23452506214</v>
      </c>
      <c r="AM333" s="72">
        <f t="shared" ref="AM333:BB335" ca="1" si="373">SUMIFS(AM$9:AM$322,$D$9:$D$322,$D333,$E$9:$E$322,$E333)</f>
        <v>0</v>
      </c>
      <c r="AN333" s="72">
        <f t="shared" ca="1" si="373"/>
        <v>0</v>
      </c>
      <c r="AO333" s="72">
        <f t="shared" ca="1" si="373"/>
        <v>1470918.3664696796</v>
      </c>
      <c r="AP333" s="72">
        <f t="shared" ca="1" si="373"/>
        <v>1470918.3664696796</v>
      </c>
      <c r="AQ333" s="72">
        <f t="shared" ca="1" si="373"/>
        <v>1470918.3664696796</v>
      </c>
      <c r="AR333" s="72">
        <f t="shared" ca="1" si="373"/>
        <v>1470918.3664696796</v>
      </c>
      <c r="AS333" s="72">
        <f t="shared" ca="1" si="373"/>
        <v>1470918.3664696796</v>
      </c>
      <c r="AT333" s="72">
        <f t="shared" ca="1" si="373"/>
        <v>1470918.3664696796</v>
      </c>
      <c r="AU333" s="72">
        <f t="shared" ca="1" si="373"/>
        <v>1470918.3664696796</v>
      </c>
      <c r="AV333" s="72">
        <f t="shared" ca="1" si="373"/>
        <v>1470918.3664696796</v>
      </c>
      <c r="AW333" s="72">
        <f t="shared" ca="1" si="373"/>
        <v>1470918.3664696796</v>
      </c>
      <c r="AX333" s="72">
        <f t="shared" ca="1" si="373"/>
        <v>1470918.3664696796</v>
      </c>
      <c r="AY333" s="72">
        <f t="shared" ca="1" si="373"/>
        <v>1470918.3664696796</v>
      </c>
      <c r="AZ333" s="72">
        <f t="shared" ca="1" si="373"/>
        <v>1470918.3664696796</v>
      </c>
      <c r="BA333" s="72">
        <f t="shared" ca="1" si="373"/>
        <v>1470918.3664696796</v>
      </c>
      <c r="BB333" s="72">
        <f t="shared" ca="1" si="373"/>
        <v>681043.36072430329</v>
      </c>
      <c r="BC333" s="72">
        <f t="shared" ref="BC333:BM335" ca="1" si="374">SUMIFS(BC$9:BC$322,$D$9:$D$322,$D333,$E$9:$E$322,$E333)</f>
        <v>681043.36072430329</v>
      </c>
      <c r="BD333" s="72">
        <f t="shared" ca="1" si="374"/>
        <v>354199.9932610371</v>
      </c>
      <c r="BE333" s="72">
        <f t="shared" ca="1" si="374"/>
        <v>79365.906309320606</v>
      </c>
      <c r="BF333" s="72">
        <f t="shared" ca="1" si="374"/>
        <v>79365.906309320606</v>
      </c>
      <c r="BG333" s="72">
        <f t="shared" ca="1" si="374"/>
        <v>79365.906309320606</v>
      </c>
      <c r="BH333" s="72">
        <f t="shared" ca="1" si="374"/>
        <v>79365.906309320606</v>
      </c>
      <c r="BI333" s="72">
        <f t="shared" ca="1" si="374"/>
        <v>0</v>
      </c>
      <c r="BJ333" s="72">
        <f t="shared" ca="1" si="374"/>
        <v>0</v>
      </c>
      <c r="BK333" s="72">
        <f t="shared" ca="1" si="374"/>
        <v>0</v>
      </c>
      <c r="BL333" s="72">
        <f t="shared" ca="1" si="374"/>
        <v>0</v>
      </c>
      <c r="BM333" s="72">
        <f t="shared" ca="1" si="374"/>
        <v>0</v>
      </c>
      <c r="BN333" s="72"/>
      <c r="BO333" s="72">
        <f ca="1">NPV(Lookups!$E$17,AM333:BM333)</f>
        <v>18468168.104617279</v>
      </c>
      <c r="BP333" s="72">
        <f ca="1">IF($C$4=Year1,-PMT(Lookups!$E$17,25,NPV(Lookups!$E$17,AM333:BK333),0,1),IF($C$4=Year2,-PMT(Lookups!$F$17,25,NPV(Lookups!$F$17,AN333:BL333),0,1),IF($C$4=Year3,-PMT(Lookups!$G$17,25,NPV(Lookups!$G$17,AO333:BM333),0,1),-PMT(Lookups!$G$17,27,NPV(Lookups!$G$17,AM333:BM333),0,1))))</f>
        <v>894650.55305274681</v>
      </c>
      <c r="BS333" s="84" t="str">
        <f>"Avoided "&amp;E333&amp;" costs."</f>
        <v>Avoided Gas costs.</v>
      </c>
      <c r="BT333" s="51" t="s">
        <v>17</v>
      </c>
    </row>
    <row r="334" spans="1:72" x14ac:dyDescent="0.25">
      <c r="B334" s="243" t="str">
        <f t="shared" ref="B334:C334" si="375">B333</f>
        <v>Portfolio Total</v>
      </c>
      <c r="C334" s="243" t="str">
        <f t="shared" si="375"/>
        <v>Revenue Requirements</v>
      </c>
      <c r="D334" s="244" t="str">
        <f>D333</f>
        <v>Avoided Costs</v>
      </c>
      <c r="E334" s="84" t="s">
        <v>412</v>
      </c>
      <c r="F334" s="84" t="s">
        <v>32</v>
      </c>
      <c r="G334" s="65">
        <f t="shared" ca="1" si="371"/>
        <v>0</v>
      </c>
      <c r="H334" s="65">
        <f t="shared" ca="1" si="371"/>
        <v>0</v>
      </c>
      <c r="I334" s="65">
        <f t="shared" ca="1" si="371"/>
        <v>82152.355641710747</v>
      </c>
      <c r="J334" s="65">
        <f t="shared" ca="1" si="371"/>
        <v>82152.355641710747</v>
      </c>
      <c r="K334" s="65">
        <f t="shared" ca="1" si="371"/>
        <v>82152.355641710747</v>
      </c>
      <c r="L334" s="65">
        <f t="shared" ca="1" si="371"/>
        <v>82152.355641710747</v>
      </c>
      <c r="M334" s="65">
        <f t="shared" ca="1" si="371"/>
        <v>82152.355641710747</v>
      </c>
      <c r="N334" s="65">
        <f t="shared" ca="1" si="371"/>
        <v>82152.355641710747</v>
      </c>
      <c r="O334" s="65">
        <f t="shared" ca="1" si="371"/>
        <v>82152.355641710747</v>
      </c>
      <c r="P334" s="65">
        <f t="shared" ca="1" si="371"/>
        <v>82152.355641710747</v>
      </c>
      <c r="Q334" s="65">
        <f t="shared" ca="1" si="371"/>
        <v>82152.355641710747</v>
      </c>
      <c r="R334" s="65">
        <f t="shared" ca="1" si="371"/>
        <v>82152.355641710747</v>
      </c>
      <c r="S334" s="65">
        <f t="shared" ca="1" si="371"/>
        <v>82152.355641710747</v>
      </c>
      <c r="T334" s="65">
        <f t="shared" ca="1" si="371"/>
        <v>82152.355641710747</v>
      </c>
      <c r="U334" s="65">
        <f t="shared" ca="1" si="371"/>
        <v>82152.355641710747</v>
      </c>
      <c r="V334" s="65">
        <f t="shared" ca="1" si="371"/>
        <v>38036.996215690015</v>
      </c>
      <c r="W334" s="65">
        <f t="shared" ca="1" si="372"/>
        <v>38036.996215690015</v>
      </c>
      <c r="X334" s="65">
        <f t="shared" ca="1" si="372"/>
        <v>19782.446436857164</v>
      </c>
      <c r="Y334" s="65">
        <f t="shared" ca="1" si="372"/>
        <v>4432.6703020234099</v>
      </c>
      <c r="Z334" s="65">
        <f t="shared" ca="1" si="372"/>
        <v>4432.6703020234099</v>
      </c>
      <c r="AA334" s="65">
        <f t="shared" ca="1" si="372"/>
        <v>4432.6703020234099</v>
      </c>
      <c r="AB334" s="65">
        <f t="shared" ca="1" si="372"/>
        <v>4432.6703020234099</v>
      </c>
      <c r="AC334" s="65">
        <f t="shared" ca="1" si="372"/>
        <v>0</v>
      </c>
      <c r="AD334" s="65">
        <f t="shared" ca="1" si="372"/>
        <v>0</v>
      </c>
      <c r="AE334" s="65">
        <f t="shared" ca="1" si="372"/>
        <v>0</v>
      </c>
      <c r="AF334" s="65">
        <f t="shared" ca="1" si="372"/>
        <v>0</v>
      </c>
      <c r="AG334" s="65">
        <f t="shared" ca="1" si="372"/>
        <v>0</v>
      </c>
      <c r="AH334" s="65"/>
      <c r="AI334" s="65">
        <f ca="1">NPV(Lookups!$E$17,G334:AG334)</f>
        <v>1031466.8364259488</v>
      </c>
      <c r="AJ334" s="65">
        <f ca="1">IF($C$4=Year1,-PMT(Lookups!$E$17,25,NPV(Lookups!$E$17,G334:AE334),0,1),IF($C$4=Year2,-PMT(Lookups!$F$17,25,NPV(Lookups!$F$17,H334:AF334),0,1),IF($C$4=Year3,-PMT(Lookups!$G$17,25,NPV(Lookups!$G$17,I334:AG334),0,1),-PMT(Lookups!$G$17,27,NPV(Lookups!$G$17,G334:AG334),0,1))))</f>
        <v>49967.185182450761</v>
      </c>
      <c r="AM334" s="72">
        <f t="shared" ca="1" si="373"/>
        <v>0</v>
      </c>
      <c r="AN334" s="72">
        <f t="shared" ca="1" si="373"/>
        <v>0</v>
      </c>
      <c r="AO334" s="72">
        <f t="shared" ca="1" si="373"/>
        <v>93888.406370405064</v>
      </c>
      <c r="AP334" s="72">
        <f t="shared" ca="1" si="373"/>
        <v>93888.406370405064</v>
      </c>
      <c r="AQ334" s="72">
        <f t="shared" ca="1" si="373"/>
        <v>93888.406370405064</v>
      </c>
      <c r="AR334" s="72">
        <f t="shared" ca="1" si="373"/>
        <v>93888.406370405064</v>
      </c>
      <c r="AS334" s="72">
        <f t="shared" ca="1" si="373"/>
        <v>93888.406370405064</v>
      </c>
      <c r="AT334" s="72">
        <f t="shared" ca="1" si="373"/>
        <v>93888.406370405064</v>
      </c>
      <c r="AU334" s="72">
        <f t="shared" ca="1" si="373"/>
        <v>93888.406370405064</v>
      </c>
      <c r="AV334" s="72">
        <f t="shared" ca="1" si="373"/>
        <v>93888.406370405064</v>
      </c>
      <c r="AW334" s="72">
        <f t="shared" ca="1" si="373"/>
        <v>93888.406370405064</v>
      </c>
      <c r="AX334" s="72">
        <f t="shared" ca="1" si="373"/>
        <v>93888.406370405064</v>
      </c>
      <c r="AY334" s="72">
        <f t="shared" ca="1" si="373"/>
        <v>93888.406370405064</v>
      </c>
      <c r="AZ334" s="72">
        <f t="shared" ca="1" si="373"/>
        <v>93888.406370405064</v>
      </c>
      <c r="BA334" s="72">
        <f t="shared" ca="1" si="373"/>
        <v>93888.406370405064</v>
      </c>
      <c r="BB334" s="72">
        <f t="shared" ca="1" si="373"/>
        <v>43470.852812189572</v>
      </c>
      <c r="BC334" s="72">
        <f t="shared" ca="1" si="374"/>
        <v>43470.852812189572</v>
      </c>
      <c r="BD334" s="72">
        <f t="shared" ca="1" si="374"/>
        <v>22608.510208151307</v>
      </c>
      <c r="BE334" s="72">
        <f t="shared" ca="1" si="374"/>
        <v>5065.9089133608895</v>
      </c>
      <c r="BF334" s="72">
        <f t="shared" ca="1" si="374"/>
        <v>5065.9089133608895</v>
      </c>
      <c r="BG334" s="72">
        <f t="shared" ca="1" si="374"/>
        <v>5065.9089133608895</v>
      </c>
      <c r="BH334" s="72">
        <f t="shared" ca="1" si="374"/>
        <v>5065.9089133608895</v>
      </c>
      <c r="BI334" s="72">
        <f t="shared" ca="1" si="374"/>
        <v>0</v>
      </c>
      <c r="BJ334" s="72">
        <f t="shared" ca="1" si="374"/>
        <v>0</v>
      </c>
      <c r="BK334" s="72">
        <f t="shared" ca="1" si="374"/>
        <v>0</v>
      </c>
      <c r="BL334" s="72">
        <f t="shared" ca="1" si="374"/>
        <v>0</v>
      </c>
      <c r="BM334" s="72">
        <f t="shared" ca="1" si="374"/>
        <v>0</v>
      </c>
      <c r="BN334" s="72"/>
      <c r="BO334" s="72">
        <f ca="1">NPV(Lookups!$E$17,AM334:BM334)</f>
        <v>1178819.2407202516</v>
      </c>
      <c r="BP334" s="72">
        <f ca="1">IF($C$4=Year1,-PMT(Lookups!$E$17,25,NPV(Lookups!$E$17,AM334:BK334),0,1),IF($C$4=Year2,-PMT(Lookups!$F$17,25,NPV(Lookups!$F$17,AN334:BL334),0,1),IF($C$4=Year3,-PMT(Lookups!$G$17,25,NPV(Lookups!$G$17,AO334:BM334),0,1),-PMT(Lookups!$G$17,27,NPV(Lookups!$G$17,AM334:BM334),0,1))))</f>
        <v>57105.35445017532</v>
      </c>
      <c r="BS334" s="84" t="str">
        <f>"Avoided "&amp;E334&amp;" costs."</f>
        <v>Avoided Gas, Retail Margin costs.</v>
      </c>
      <c r="BT334" s="51"/>
    </row>
    <row r="335" spans="1:72" x14ac:dyDescent="0.25">
      <c r="A335" s="52" t="s">
        <v>17</v>
      </c>
      <c r="B335" s="243" t="str">
        <f t="shared" ref="B335:C336" si="376">B332</f>
        <v>Portfolio Total</v>
      </c>
      <c r="C335" s="243" t="str">
        <f t="shared" si="376"/>
        <v>Revenue Requirements</v>
      </c>
      <c r="D335" s="244" t="str">
        <f>D333</f>
        <v>Avoided Costs</v>
      </c>
      <c r="E335" s="86" t="s">
        <v>175</v>
      </c>
      <c r="F335" s="84" t="s">
        <v>32</v>
      </c>
      <c r="G335" s="65">
        <f t="shared" ca="1" si="371"/>
        <v>0</v>
      </c>
      <c r="H335" s="65">
        <f t="shared" ca="1" si="371"/>
        <v>0</v>
      </c>
      <c r="I335" s="65">
        <f t="shared" ca="1" si="371"/>
        <v>57604.33843561291</v>
      </c>
      <c r="J335" s="65">
        <f t="shared" ca="1" si="371"/>
        <v>57604.33843561291</v>
      </c>
      <c r="K335" s="65">
        <f t="shared" ca="1" si="371"/>
        <v>57604.33843561291</v>
      </c>
      <c r="L335" s="65">
        <f t="shared" ca="1" si="371"/>
        <v>57604.33843561291</v>
      </c>
      <c r="M335" s="65">
        <f t="shared" ca="1" si="371"/>
        <v>57604.33843561291</v>
      </c>
      <c r="N335" s="65">
        <f t="shared" ca="1" si="371"/>
        <v>57604.33843561291</v>
      </c>
      <c r="O335" s="65">
        <f t="shared" ca="1" si="371"/>
        <v>57604.33843561291</v>
      </c>
      <c r="P335" s="65">
        <f t="shared" ca="1" si="371"/>
        <v>57604.33843561291</v>
      </c>
      <c r="Q335" s="65">
        <f t="shared" ca="1" si="371"/>
        <v>57604.33843561291</v>
      </c>
      <c r="R335" s="65">
        <f t="shared" ca="1" si="371"/>
        <v>57604.33843561291</v>
      </c>
      <c r="S335" s="65">
        <f t="shared" ca="1" si="371"/>
        <v>57604.33843561291</v>
      </c>
      <c r="T335" s="65">
        <f t="shared" ca="1" si="371"/>
        <v>57604.33843561291</v>
      </c>
      <c r="U335" s="65">
        <f t="shared" ca="1" si="371"/>
        <v>57604.33843561291</v>
      </c>
      <c r="V335" s="65">
        <f t="shared" ca="1" si="371"/>
        <v>22655.567565909794</v>
      </c>
      <c r="W335" s="65">
        <f t="shared" ca="1" si="372"/>
        <v>22655.567565909794</v>
      </c>
      <c r="X335" s="65">
        <f t="shared" ca="1" si="372"/>
        <v>11367.555515715445</v>
      </c>
      <c r="Y335" s="65">
        <f t="shared" ca="1" si="372"/>
        <v>2367.0991853207806</v>
      </c>
      <c r="Z335" s="65">
        <f t="shared" ca="1" si="372"/>
        <v>2367.0991853207806</v>
      </c>
      <c r="AA335" s="65">
        <f t="shared" ca="1" si="372"/>
        <v>2367.0991853207806</v>
      </c>
      <c r="AB335" s="65">
        <f t="shared" ca="1" si="372"/>
        <v>2367.0991853207806</v>
      </c>
      <c r="AC335" s="65">
        <f t="shared" ca="1" si="372"/>
        <v>0</v>
      </c>
      <c r="AD335" s="65">
        <f t="shared" ca="1" si="372"/>
        <v>0</v>
      </c>
      <c r="AE335" s="65">
        <f t="shared" ca="1" si="372"/>
        <v>0</v>
      </c>
      <c r="AF335" s="65">
        <f t="shared" ca="1" si="372"/>
        <v>0</v>
      </c>
      <c r="AG335" s="65">
        <f t="shared" ca="1" si="372"/>
        <v>0</v>
      </c>
      <c r="AH335" s="65"/>
      <c r="AI335" s="65">
        <f ca="1">NPV(Lookups!$E$17,G335:AG335)</f>
        <v>712716.00763546443</v>
      </c>
      <c r="AJ335" s="65">
        <f ca="1">IF($C$4=Year1,-PMT(Lookups!$E$17,25,NPV(Lookups!$E$17,G335:AE335),0,1),IF($C$4=Year2,-PMT(Lookups!$F$17,25,NPV(Lookups!$F$17,H335:AF335),0,1),IF($C$4=Year3,-PMT(Lookups!$G$17,25,NPV(Lookups!$G$17,I335:AG335),0,1),-PMT(Lookups!$G$17,27,NPV(Lookups!$G$17,G335:AG335),0,1))))</f>
        <v>34525.989085035348</v>
      </c>
      <c r="AM335" s="72">
        <f t="shared" ca="1" si="373"/>
        <v>0</v>
      </c>
      <c r="AN335" s="72">
        <f t="shared" ca="1" si="373"/>
        <v>0</v>
      </c>
      <c r="AO335" s="72">
        <f t="shared" ca="1" si="373"/>
        <v>65833.529580831135</v>
      </c>
      <c r="AP335" s="72">
        <f t="shared" ca="1" si="373"/>
        <v>65833.529580831135</v>
      </c>
      <c r="AQ335" s="72">
        <f t="shared" ca="1" si="373"/>
        <v>65833.529580831135</v>
      </c>
      <c r="AR335" s="72">
        <f t="shared" ca="1" si="373"/>
        <v>65833.529580831135</v>
      </c>
      <c r="AS335" s="72">
        <f t="shared" ca="1" si="373"/>
        <v>65833.529580831135</v>
      </c>
      <c r="AT335" s="72">
        <f t="shared" ca="1" si="373"/>
        <v>65833.529580831135</v>
      </c>
      <c r="AU335" s="72">
        <f t="shared" ca="1" si="373"/>
        <v>65833.529580831135</v>
      </c>
      <c r="AV335" s="72">
        <f t="shared" ca="1" si="373"/>
        <v>65833.529580831135</v>
      </c>
      <c r="AW335" s="72">
        <f t="shared" ca="1" si="373"/>
        <v>65833.529580831135</v>
      </c>
      <c r="AX335" s="72">
        <f t="shared" ca="1" si="373"/>
        <v>65833.529580831135</v>
      </c>
      <c r="AY335" s="72">
        <f t="shared" ca="1" si="373"/>
        <v>65833.529580831135</v>
      </c>
      <c r="AZ335" s="72">
        <f t="shared" ca="1" si="373"/>
        <v>65833.529580831135</v>
      </c>
      <c r="BA335" s="72">
        <f t="shared" ca="1" si="373"/>
        <v>65833.529580831135</v>
      </c>
      <c r="BB335" s="72">
        <f t="shared" ca="1" si="373"/>
        <v>25892.077214974332</v>
      </c>
      <c r="BC335" s="72">
        <f t="shared" ca="1" si="374"/>
        <v>25892.077214974332</v>
      </c>
      <c r="BD335" s="72">
        <f t="shared" ca="1" si="374"/>
        <v>12991.492014963787</v>
      </c>
      <c r="BE335" s="72">
        <f t="shared" ca="1" si="374"/>
        <v>2705.2562100664245</v>
      </c>
      <c r="BF335" s="72">
        <f t="shared" ca="1" si="374"/>
        <v>2705.2562100664245</v>
      </c>
      <c r="BG335" s="72">
        <f t="shared" ca="1" si="374"/>
        <v>2705.2562100664245</v>
      </c>
      <c r="BH335" s="72">
        <f t="shared" ca="1" si="374"/>
        <v>2705.2562100664245</v>
      </c>
      <c r="BI335" s="72">
        <f t="shared" ca="1" si="374"/>
        <v>0</v>
      </c>
      <c r="BJ335" s="72">
        <f t="shared" ca="1" si="374"/>
        <v>0</v>
      </c>
      <c r="BK335" s="72">
        <f t="shared" ca="1" si="374"/>
        <v>0</v>
      </c>
      <c r="BL335" s="72">
        <f t="shared" ca="1" si="374"/>
        <v>0</v>
      </c>
      <c r="BM335" s="72">
        <f t="shared" ca="1" si="374"/>
        <v>0</v>
      </c>
      <c r="BN335" s="72"/>
      <c r="BO335" s="72">
        <f ca="1">NPV(Lookups!$E$17,AM335:BM335)</f>
        <v>814532.57945538172</v>
      </c>
      <c r="BP335" s="72">
        <f ca="1">IF($C$4=Year1,-PMT(Lookups!$E$17,25,NPV(Lookups!$E$17,AM335:BK335),0,1),IF($C$4=Year2,-PMT(Lookups!$F$17,25,NPV(Lookups!$F$17,AN335:BL335),0,1),IF($C$4=Year3,-PMT(Lookups!$G$17,25,NPV(Lookups!$G$17,AO335:BM335),0,1),-PMT(Lookups!$G$17,27,NPV(Lookups!$G$17,AM335:BM335),0,1))))</f>
        <v>39458.273206157777</v>
      </c>
      <c r="BS335" s="84" t="str">
        <f>"Avoided "&amp;E335&amp;" costs."</f>
        <v>Avoided Gas DRIPE costs.</v>
      </c>
      <c r="BT335" s="51" t="s">
        <v>17</v>
      </c>
    </row>
    <row r="336" spans="1:72" x14ac:dyDescent="0.25">
      <c r="A336" s="52" t="s">
        <v>17</v>
      </c>
      <c r="B336" s="243" t="str">
        <f t="shared" si="376"/>
        <v>Portfolio Total</v>
      </c>
      <c r="C336" s="243" t="str">
        <f t="shared" si="376"/>
        <v>Revenue Requirements</v>
      </c>
      <c r="D336" s="114" t="s">
        <v>165</v>
      </c>
      <c r="E336" s="84"/>
      <c r="F336" s="84"/>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S336" s="84"/>
      <c r="BT336" s="51" t="s">
        <v>17</v>
      </c>
    </row>
    <row r="337" spans="1:72" x14ac:dyDescent="0.25">
      <c r="A337" s="52" t="s">
        <v>17</v>
      </c>
      <c r="B337" s="243" t="str">
        <f t="shared" ref="B337:C337" si="377">B335</f>
        <v>Portfolio Total</v>
      </c>
      <c r="C337" s="243" t="str">
        <f t="shared" si="377"/>
        <v>Revenue Requirements</v>
      </c>
      <c r="D337" s="244" t="str">
        <f>D336</f>
        <v>Increased Costs and Cost Shifting</v>
      </c>
      <c r="E337" s="84" t="s">
        <v>406</v>
      </c>
      <c r="F337" s="84" t="s">
        <v>32</v>
      </c>
      <c r="G337" s="65">
        <f t="shared" ref="G337:AG337" ca="1" si="378">SUMIFS(G$9:G$322,$D$9:$D$322,$D337,$E$9:$E$322,$E337)</f>
        <v>0</v>
      </c>
      <c r="H337" s="65">
        <f t="shared" ca="1" si="378"/>
        <v>0</v>
      </c>
      <c r="I337" s="65">
        <f t="shared" ca="1" si="378"/>
        <v>9269128.839689333</v>
      </c>
      <c r="J337" s="65">
        <f t="shared" ca="1" si="378"/>
        <v>0</v>
      </c>
      <c r="K337" s="65">
        <f t="shared" ca="1" si="378"/>
        <v>0</v>
      </c>
      <c r="L337" s="65">
        <f t="shared" ca="1" si="378"/>
        <v>0</v>
      </c>
      <c r="M337" s="65">
        <f t="shared" ca="1" si="378"/>
        <v>0</v>
      </c>
      <c r="N337" s="65">
        <f t="shared" ca="1" si="378"/>
        <v>0</v>
      </c>
      <c r="O337" s="65">
        <f t="shared" ca="1" si="378"/>
        <v>0</v>
      </c>
      <c r="P337" s="65">
        <f t="shared" ca="1" si="378"/>
        <v>0</v>
      </c>
      <c r="Q337" s="65">
        <f t="shared" ca="1" si="378"/>
        <v>0</v>
      </c>
      <c r="R337" s="65">
        <f t="shared" ca="1" si="378"/>
        <v>0</v>
      </c>
      <c r="S337" s="65">
        <f t="shared" ca="1" si="378"/>
        <v>0</v>
      </c>
      <c r="T337" s="65">
        <f t="shared" ca="1" si="378"/>
        <v>0</v>
      </c>
      <c r="U337" s="65">
        <f t="shared" ca="1" si="378"/>
        <v>0</v>
      </c>
      <c r="V337" s="65">
        <f t="shared" ca="1" si="378"/>
        <v>0</v>
      </c>
      <c r="W337" s="65">
        <f t="shared" ca="1" si="378"/>
        <v>0</v>
      </c>
      <c r="X337" s="65">
        <f t="shared" ca="1" si="378"/>
        <v>0</v>
      </c>
      <c r="Y337" s="65">
        <f t="shared" ca="1" si="378"/>
        <v>0</v>
      </c>
      <c r="Z337" s="65">
        <f t="shared" ca="1" si="378"/>
        <v>0</v>
      </c>
      <c r="AA337" s="65">
        <f t="shared" ca="1" si="378"/>
        <v>0</v>
      </c>
      <c r="AB337" s="65">
        <f t="shared" ca="1" si="378"/>
        <v>0</v>
      </c>
      <c r="AC337" s="65">
        <f t="shared" ca="1" si="378"/>
        <v>0</v>
      </c>
      <c r="AD337" s="65">
        <f t="shared" ca="1" si="378"/>
        <v>0</v>
      </c>
      <c r="AE337" s="65">
        <f t="shared" ca="1" si="378"/>
        <v>0</v>
      </c>
      <c r="AF337" s="65">
        <f t="shared" ca="1" si="378"/>
        <v>0</v>
      </c>
      <c r="AG337" s="65">
        <f t="shared" ca="1" si="378"/>
        <v>0</v>
      </c>
      <c r="AH337" s="49"/>
      <c r="AI337" s="65">
        <f ca="1">NPV(Lookups!$E$17,G337:AG337)</f>
        <v>8886690.3995379321</v>
      </c>
      <c r="AJ337" s="65">
        <f ca="1">IF($C$4=Year1,-PMT(Lookups!$E$17,25,NPV(Lookups!$E$17,G337:AE337),0,1),IF($C$4=Year2,-PMT(Lookups!$F$17,25,NPV(Lookups!$F$17,H337:AF337),0,1),IF($C$4=Year3,-PMT(Lookups!$G$17,25,NPV(Lookups!$G$17,I337:AG337),0,1),-PMT(Lookups!$G$17,27,NPV(Lookups!$G$17,G337:AG337),0,1))))</f>
        <v>430496.5406269735</v>
      </c>
      <c r="AM337" s="71">
        <f t="shared" ref="AM337:BM337" ca="1" si="379">SUMIFS(AM$9:AM$322,$D$9:$D$322,$D337,$E$9:$E$322,$E337)</f>
        <v>0</v>
      </c>
      <c r="AN337" s="71">
        <f t="shared" ca="1" si="379"/>
        <v>0</v>
      </c>
      <c r="AO337" s="71">
        <f t="shared" ca="1" si="379"/>
        <v>11079057.412813339</v>
      </c>
      <c r="AP337" s="71">
        <f t="shared" ca="1" si="379"/>
        <v>0</v>
      </c>
      <c r="AQ337" s="71">
        <f t="shared" ca="1" si="379"/>
        <v>0</v>
      </c>
      <c r="AR337" s="71">
        <f t="shared" ca="1" si="379"/>
        <v>0</v>
      </c>
      <c r="AS337" s="71">
        <f t="shared" ca="1" si="379"/>
        <v>0</v>
      </c>
      <c r="AT337" s="71">
        <f t="shared" ca="1" si="379"/>
        <v>0</v>
      </c>
      <c r="AU337" s="71">
        <f t="shared" ca="1" si="379"/>
        <v>0</v>
      </c>
      <c r="AV337" s="71">
        <f t="shared" ca="1" si="379"/>
        <v>0</v>
      </c>
      <c r="AW337" s="71">
        <f t="shared" ca="1" si="379"/>
        <v>0</v>
      </c>
      <c r="AX337" s="71">
        <f t="shared" ca="1" si="379"/>
        <v>0</v>
      </c>
      <c r="AY337" s="71">
        <f t="shared" ca="1" si="379"/>
        <v>0</v>
      </c>
      <c r="AZ337" s="71">
        <f t="shared" ca="1" si="379"/>
        <v>0</v>
      </c>
      <c r="BA337" s="71">
        <f t="shared" ca="1" si="379"/>
        <v>0</v>
      </c>
      <c r="BB337" s="71">
        <f t="shared" ca="1" si="379"/>
        <v>0</v>
      </c>
      <c r="BC337" s="71">
        <f t="shared" ca="1" si="379"/>
        <v>0</v>
      </c>
      <c r="BD337" s="71">
        <f t="shared" ca="1" si="379"/>
        <v>0</v>
      </c>
      <c r="BE337" s="71">
        <f t="shared" ca="1" si="379"/>
        <v>0</v>
      </c>
      <c r="BF337" s="71">
        <f t="shared" ca="1" si="379"/>
        <v>0</v>
      </c>
      <c r="BG337" s="71">
        <f t="shared" ca="1" si="379"/>
        <v>0</v>
      </c>
      <c r="BH337" s="71">
        <f t="shared" ca="1" si="379"/>
        <v>0</v>
      </c>
      <c r="BI337" s="71">
        <f t="shared" ca="1" si="379"/>
        <v>0</v>
      </c>
      <c r="BJ337" s="71">
        <f t="shared" ca="1" si="379"/>
        <v>0</v>
      </c>
      <c r="BK337" s="71">
        <f t="shared" ca="1" si="379"/>
        <v>0</v>
      </c>
      <c r="BL337" s="71">
        <f t="shared" ca="1" si="379"/>
        <v>0</v>
      </c>
      <c r="BM337" s="71">
        <f t="shared" ca="1" si="379"/>
        <v>0</v>
      </c>
      <c r="BN337" s="71"/>
      <c r="BO337" s="71">
        <f ca="1">NPV(Lookups!$E$17,AM337:BM337)</f>
        <v>10621942.45534705</v>
      </c>
      <c r="BP337" s="72">
        <f ca="1">IF($C$4=Year1,-PMT(Lookups!$E$17,25,NPV(Lookups!$E$17,AM337:BK337),0,1),IF($C$4=Year2,-PMT(Lookups!$F$17,25,NPV(Lookups!$F$17,AN337:BL337),0,1),IF($C$4=Year3,-PMT(Lookups!$G$17,25,NPV(Lookups!$G$17,AO337:BM337),0,1),-PMT(Lookups!$G$17,27,NPV(Lookups!$G$17,AM337:BM337),0,1))))</f>
        <v>514557.08212851058</v>
      </c>
      <c r="BS337" s="84" t="s">
        <v>404</v>
      </c>
      <c r="BT337" s="51" t="s">
        <v>17</v>
      </c>
    </row>
    <row r="338" spans="1:72" x14ac:dyDescent="0.25">
      <c r="A338" s="52" t="s">
        <v>17</v>
      </c>
      <c r="B338" s="243" t="str">
        <f>B336</f>
        <v>Portfolio Total</v>
      </c>
      <c r="C338" s="243" t="str">
        <f>C336</f>
        <v>Revenue Requirements</v>
      </c>
      <c r="D338" s="114" t="s">
        <v>125</v>
      </c>
      <c r="E338" s="84"/>
      <c r="F338" s="84"/>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S338" s="84"/>
      <c r="BT338" s="51" t="s">
        <v>17</v>
      </c>
    </row>
    <row r="339" spans="1:72" x14ac:dyDescent="0.25">
      <c r="A339" s="1"/>
      <c r="B339" s="243" t="str">
        <f t="shared" ref="B339:C340" si="380">B338</f>
        <v>Portfolio Total</v>
      </c>
      <c r="C339" s="243" t="str">
        <f t="shared" si="380"/>
        <v>Revenue Requirements</v>
      </c>
      <c r="D339" s="244" t="str">
        <f>D338</f>
        <v>Revenue Requirement after DSM Scenario</v>
      </c>
      <c r="E339" s="84" t="s">
        <v>26</v>
      </c>
      <c r="F339" s="84" t="s">
        <v>32</v>
      </c>
      <c r="G339" s="64">
        <f ca="1">G328-G334</f>
        <v>0</v>
      </c>
      <c r="H339" s="64">
        <f ca="1">H328-H334</f>
        <v>0</v>
      </c>
      <c r="I339" s="64">
        <f t="shared" ref="I339:AG339" ca="1" si="381">I328-I334</f>
        <v>43255263.288222328</v>
      </c>
      <c r="J339" s="64">
        <f t="shared" ca="1" si="381"/>
        <v>43255263.288222328</v>
      </c>
      <c r="K339" s="64">
        <f t="shared" ca="1" si="381"/>
        <v>43255263.288222328</v>
      </c>
      <c r="L339" s="64">
        <f t="shared" ca="1" si="381"/>
        <v>43255263.288222328</v>
      </c>
      <c r="M339" s="64">
        <f t="shared" ca="1" si="381"/>
        <v>43255263.288222328</v>
      </c>
      <c r="N339" s="64">
        <f t="shared" ca="1" si="381"/>
        <v>43255263.288222328</v>
      </c>
      <c r="O339" s="64">
        <f t="shared" ca="1" si="381"/>
        <v>43255263.288222328</v>
      </c>
      <c r="P339" s="64">
        <f t="shared" ca="1" si="381"/>
        <v>43255263.288222328</v>
      </c>
      <c r="Q339" s="64">
        <f t="shared" ca="1" si="381"/>
        <v>43255263.288222328</v>
      </c>
      <c r="R339" s="64">
        <f t="shared" ca="1" si="381"/>
        <v>43255263.288222328</v>
      </c>
      <c r="S339" s="64">
        <f t="shared" ca="1" si="381"/>
        <v>43255263.288222328</v>
      </c>
      <c r="T339" s="64">
        <f t="shared" ca="1" si="381"/>
        <v>43255263.288222328</v>
      </c>
      <c r="U339" s="64">
        <f t="shared" ca="1" si="381"/>
        <v>43255263.288222328</v>
      </c>
      <c r="V339" s="64">
        <f t="shared" ca="1" si="381"/>
        <v>43299378.647648342</v>
      </c>
      <c r="W339" s="64">
        <f t="shared" ca="1" si="381"/>
        <v>43299378.647648342</v>
      </c>
      <c r="X339" s="64">
        <f t="shared" ca="1" si="381"/>
        <v>43317633.197427176</v>
      </c>
      <c r="Y339" s="64">
        <f t="shared" ca="1" si="381"/>
        <v>43332982.97356201</v>
      </c>
      <c r="Z339" s="64">
        <f t="shared" ca="1" si="381"/>
        <v>43332982.97356201</v>
      </c>
      <c r="AA339" s="64">
        <f t="shared" ca="1" si="381"/>
        <v>43332982.97356201</v>
      </c>
      <c r="AB339" s="64">
        <f t="shared" ca="1" si="381"/>
        <v>43332982.97356201</v>
      </c>
      <c r="AC339" s="64">
        <f t="shared" ca="1" si="381"/>
        <v>43337415.643864036</v>
      </c>
      <c r="AD339" s="64">
        <f t="shared" ca="1" si="381"/>
        <v>43337415.643864036</v>
      </c>
      <c r="AE339" s="64">
        <f t="shared" ca="1" si="381"/>
        <v>43337415.643864036</v>
      </c>
      <c r="AF339" s="64">
        <f t="shared" ca="1" si="381"/>
        <v>43337415.643864036</v>
      </c>
      <c r="AG339" s="64">
        <f t="shared" ca="1" si="381"/>
        <v>43337415.643864036</v>
      </c>
      <c r="AH339" s="64"/>
      <c r="AI339" s="64">
        <f ca="1">NPV(Lookups!$E$17,G339:AG339)</f>
        <v>881100927.18767321</v>
      </c>
      <c r="AJ339" s="65">
        <f ca="1">IF($C$4=Year1,-PMT(Lookups!$E$17,25,NPV(Lookups!$E$17,G339:AE339),0,1),IF($C$4=Year2,-PMT(Lookups!$F$17,25,NPV(Lookups!$F$17,H339:AF339),0,1),IF($C$4=Year3,-PMT(Lookups!$G$17,25,NPV(Lookups!$G$17,I339:AG339),0,1),-PMT(Lookups!$G$17,27,NPV(Lookups!$G$17,G339:AG339),0,1))))</f>
        <v>42683033.170282893</v>
      </c>
      <c r="AM339" s="71">
        <f t="shared" ref="AM339:BM339" ca="1" si="382">AM328-AM334</f>
        <v>0</v>
      </c>
      <c r="AN339" s="71">
        <f t="shared" ca="1" si="382"/>
        <v>0</v>
      </c>
      <c r="AO339" s="71">
        <f t="shared" ca="1" si="382"/>
        <v>43243527.237493634</v>
      </c>
      <c r="AP339" s="71">
        <f t="shared" ca="1" si="382"/>
        <v>43243527.237493634</v>
      </c>
      <c r="AQ339" s="71">
        <f t="shared" ca="1" si="382"/>
        <v>43243527.237493634</v>
      </c>
      <c r="AR339" s="71">
        <f t="shared" ca="1" si="382"/>
        <v>43243527.237493634</v>
      </c>
      <c r="AS339" s="71">
        <f t="shared" ca="1" si="382"/>
        <v>43243527.237493634</v>
      </c>
      <c r="AT339" s="71">
        <f t="shared" ca="1" si="382"/>
        <v>43243527.237493634</v>
      </c>
      <c r="AU339" s="71">
        <f t="shared" ca="1" si="382"/>
        <v>43243527.237493634</v>
      </c>
      <c r="AV339" s="71">
        <f t="shared" ca="1" si="382"/>
        <v>43243527.237493634</v>
      </c>
      <c r="AW339" s="71">
        <f t="shared" ca="1" si="382"/>
        <v>43243527.237493634</v>
      </c>
      <c r="AX339" s="71">
        <f t="shared" ca="1" si="382"/>
        <v>43243527.237493634</v>
      </c>
      <c r="AY339" s="71">
        <f t="shared" ca="1" si="382"/>
        <v>43243527.237493634</v>
      </c>
      <c r="AZ339" s="71">
        <f t="shared" ca="1" si="382"/>
        <v>43243527.237493634</v>
      </c>
      <c r="BA339" s="71">
        <f t="shared" ca="1" si="382"/>
        <v>43243527.237493634</v>
      </c>
      <c r="BB339" s="71">
        <f t="shared" ca="1" si="382"/>
        <v>43293944.79105185</v>
      </c>
      <c r="BC339" s="71">
        <f t="shared" ca="1" si="382"/>
        <v>43293944.79105185</v>
      </c>
      <c r="BD339" s="71">
        <f t="shared" ca="1" si="382"/>
        <v>43314807.133655883</v>
      </c>
      <c r="BE339" s="71">
        <f t="shared" ca="1" si="382"/>
        <v>43332349.734950677</v>
      </c>
      <c r="BF339" s="71">
        <f t="shared" ca="1" si="382"/>
        <v>43332349.734950677</v>
      </c>
      <c r="BG339" s="71">
        <f t="shared" ca="1" si="382"/>
        <v>43332349.734950677</v>
      </c>
      <c r="BH339" s="71">
        <f t="shared" ca="1" si="382"/>
        <v>43332349.734950677</v>
      </c>
      <c r="BI339" s="71">
        <f t="shared" ca="1" si="382"/>
        <v>43337415.643864036</v>
      </c>
      <c r="BJ339" s="71">
        <f t="shared" ca="1" si="382"/>
        <v>43337415.643864036</v>
      </c>
      <c r="BK339" s="71">
        <f t="shared" ca="1" si="382"/>
        <v>43337415.643864036</v>
      </c>
      <c r="BL339" s="71">
        <f t="shared" ca="1" si="382"/>
        <v>43337415.643864036</v>
      </c>
      <c r="BM339" s="71">
        <f t="shared" ca="1" si="382"/>
        <v>43337415.643864036</v>
      </c>
      <c r="BN339" s="71"/>
      <c r="BO339" s="71">
        <f ca="1">NPV(Lookups!$E$17,AM339:BM339)</f>
        <v>880953574.78337908</v>
      </c>
      <c r="BP339" s="71">
        <f ca="1">IF($C$4=Year1,-PMT(Lookups!$E$17,25,NPV(Lookups!$E$17,AM339:BK339),0,1),IF($C$4=Year2,-PMT(Lookups!$F$17,25,NPV(Lookups!$F$17,AN339:BL339),0,1),IF($C$4=Year3,-PMT(Lookups!$G$17,25,NPV(Lookups!$G$17,AO339:BM339),0,1),-PMT(Lookups!$G$17,27,NPV(Lookups!$G$17,AM339:BM339),0,1))))</f>
        <v>42675895.001015164</v>
      </c>
      <c r="BS339" s="84" t="s">
        <v>229</v>
      </c>
      <c r="BT339" s="51" t="s">
        <v>17</v>
      </c>
    </row>
    <row r="340" spans="1:72" x14ac:dyDescent="0.25">
      <c r="A340" s="1"/>
      <c r="B340" s="243" t="str">
        <f t="shared" si="380"/>
        <v>Portfolio Total</v>
      </c>
      <c r="C340" s="243" t="str">
        <f t="shared" si="380"/>
        <v>Revenue Requirements</v>
      </c>
      <c r="D340" s="244" t="str">
        <f>D339</f>
        <v>Revenue Requirement after DSM Scenario</v>
      </c>
      <c r="E340" s="84" t="s">
        <v>407</v>
      </c>
      <c r="F340" s="84" t="s">
        <v>32</v>
      </c>
      <c r="G340" s="64">
        <f>G329</f>
        <v>0</v>
      </c>
      <c r="H340" s="64">
        <f t="shared" ref="H340:AG340" si="383">H329</f>
        <v>0</v>
      </c>
      <c r="I340" s="64">
        <f t="shared" si="383"/>
        <v>-1915965.2564594061</v>
      </c>
      <c r="J340" s="64">
        <f t="shared" si="383"/>
        <v>-1915965.2564594061</v>
      </c>
      <c r="K340" s="64">
        <f t="shared" si="383"/>
        <v>-1915965.2564594061</v>
      </c>
      <c r="L340" s="64">
        <f t="shared" si="383"/>
        <v>-1915965.2564594061</v>
      </c>
      <c r="M340" s="64">
        <f t="shared" si="383"/>
        <v>-1915965.2564594061</v>
      </c>
      <c r="N340" s="64">
        <f t="shared" si="383"/>
        <v>-1915965.2564594061</v>
      </c>
      <c r="O340" s="64">
        <f t="shared" si="383"/>
        <v>-1915965.2564594061</v>
      </c>
      <c r="P340" s="64">
        <f t="shared" si="383"/>
        <v>-1915965.2564594061</v>
      </c>
      <c r="Q340" s="64">
        <f t="shared" si="383"/>
        <v>-1915965.2564594061</v>
      </c>
      <c r="R340" s="64">
        <f t="shared" si="383"/>
        <v>-1915965.2564594061</v>
      </c>
      <c r="S340" s="64">
        <f t="shared" si="383"/>
        <v>-1915965.2564594061</v>
      </c>
      <c r="T340" s="64">
        <f t="shared" si="383"/>
        <v>-1915965.2564594061</v>
      </c>
      <c r="U340" s="64">
        <f t="shared" si="383"/>
        <v>-1915965.2564594061</v>
      </c>
      <c r="V340" s="64">
        <f t="shared" si="383"/>
        <v>-1915965.2564594061</v>
      </c>
      <c r="W340" s="64">
        <f t="shared" si="383"/>
        <v>-1915965.2564594061</v>
      </c>
      <c r="X340" s="64">
        <f t="shared" si="383"/>
        <v>-1915965.2564594061</v>
      </c>
      <c r="Y340" s="64">
        <f t="shared" si="383"/>
        <v>-1915965.2564594061</v>
      </c>
      <c r="Z340" s="64">
        <f t="shared" si="383"/>
        <v>-1915965.2564594061</v>
      </c>
      <c r="AA340" s="64">
        <f t="shared" si="383"/>
        <v>-1915965.2564594061</v>
      </c>
      <c r="AB340" s="64">
        <f t="shared" si="383"/>
        <v>-1915965.2564594061</v>
      </c>
      <c r="AC340" s="64">
        <f t="shared" si="383"/>
        <v>-1915965.2564594061</v>
      </c>
      <c r="AD340" s="64">
        <f t="shared" si="383"/>
        <v>-1915965.2564594061</v>
      </c>
      <c r="AE340" s="64">
        <f t="shared" si="383"/>
        <v>-1915965.2564594061</v>
      </c>
      <c r="AF340" s="64">
        <f t="shared" si="383"/>
        <v>-1915965.2564594061</v>
      </c>
      <c r="AG340" s="64">
        <f t="shared" si="383"/>
        <v>-1915965.2564594061</v>
      </c>
      <c r="AH340" s="64"/>
      <c r="AI340" s="64">
        <f>NPV(Lookups!$E$17,G340:AG340)</f>
        <v>-38999441.785745531</v>
      </c>
      <c r="AJ340" s="65">
        <f>IF($C$4=Year1,-PMT(Lookups!$E$17,25,NPV(Lookups!$E$17,G340:AE340),0,1),IF($C$4=Year2,-PMT(Lookups!$F$17,25,NPV(Lookups!$F$17,H340:AF340),0,1),IF($C$4=Year3,-PMT(Lookups!$G$17,25,NPV(Lookups!$G$17,I340:AG340),0,1),-PMT(Lookups!$G$17,27,NPV(Lookups!$G$17,G340:AG340),0,1))))</f>
        <v>-1889243.8039722238</v>
      </c>
      <c r="AM340" s="71">
        <f t="shared" ref="AM340:BM340" si="384">AM329</f>
        <v>0</v>
      </c>
      <c r="AN340" s="71">
        <f t="shared" si="384"/>
        <v>0</v>
      </c>
      <c r="AO340" s="71">
        <f t="shared" si="384"/>
        <v>-1915965.2564594061</v>
      </c>
      <c r="AP340" s="71">
        <f t="shared" si="384"/>
        <v>-1915965.2564594061</v>
      </c>
      <c r="AQ340" s="71">
        <f t="shared" si="384"/>
        <v>-1915965.2564594061</v>
      </c>
      <c r="AR340" s="71">
        <f t="shared" si="384"/>
        <v>-1915965.2564594061</v>
      </c>
      <c r="AS340" s="71">
        <f t="shared" si="384"/>
        <v>-1915965.2564594061</v>
      </c>
      <c r="AT340" s="71">
        <f t="shared" si="384"/>
        <v>-1915965.2564594061</v>
      </c>
      <c r="AU340" s="71">
        <f t="shared" si="384"/>
        <v>-1915965.2564594061</v>
      </c>
      <c r="AV340" s="71">
        <f t="shared" si="384"/>
        <v>-1915965.2564594061</v>
      </c>
      <c r="AW340" s="71">
        <f t="shared" si="384"/>
        <v>-1915965.2564594061</v>
      </c>
      <c r="AX340" s="71">
        <f t="shared" si="384"/>
        <v>-1915965.2564594061</v>
      </c>
      <c r="AY340" s="71">
        <f t="shared" si="384"/>
        <v>-1915965.2564594061</v>
      </c>
      <c r="AZ340" s="71">
        <f t="shared" si="384"/>
        <v>-1915965.2564594061</v>
      </c>
      <c r="BA340" s="71">
        <f t="shared" si="384"/>
        <v>-1915965.2564594061</v>
      </c>
      <c r="BB340" s="71">
        <f t="shared" si="384"/>
        <v>-1915965.2564594061</v>
      </c>
      <c r="BC340" s="71">
        <f t="shared" si="384"/>
        <v>-1915965.2564594061</v>
      </c>
      <c r="BD340" s="71">
        <f t="shared" si="384"/>
        <v>-1915965.2564594061</v>
      </c>
      <c r="BE340" s="71">
        <f t="shared" si="384"/>
        <v>-1915965.2564594061</v>
      </c>
      <c r="BF340" s="71">
        <f t="shared" si="384"/>
        <v>-1915965.2564594061</v>
      </c>
      <c r="BG340" s="71">
        <f t="shared" si="384"/>
        <v>-1915965.2564594061</v>
      </c>
      <c r="BH340" s="71">
        <f t="shared" si="384"/>
        <v>-1915965.2564594061</v>
      </c>
      <c r="BI340" s="71">
        <f t="shared" si="384"/>
        <v>-1915965.2564594061</v>
      </c>
      <c r="BJ340" s="71">
        <f t="shared" si="384"/>
        <v>-1915965.2564594061</v>
      </c>
      <c r="BK340" s="71">
        <f t="shared" si="384"/>
        <v>-1915965.2564594061</v>
      </c>
      <c r="BL340" s="71">
        <f t="shared" si="384"/>
        <v>-1915965.2564594061</v>
      </c>
      <c r="BM340" s="71">
        <f t="shared" si="384"/>
        <v>-1915965.2564594061</v>
      </c>
      <c r="BN340" s="71"/>
      <c r="BO340" s="71">
        <f>NPV(Lookups!$E$17,AM340:BM340)</f>
        <v>-38999441.785745531</v>
      </c>
      <c r="BP340" s="71">
        <f>IF($C$4=Year1,-PMT(Lookups!$E$17,25,NPV(Lookups!$E$17,AM340:BK340),0,1),IF($C$4=Year2,-PMT(Lookups!$F$17,25,NPV(Lookups!$F$17,AN340:BL340),0,1),IF($C$4=Year3,-PMT(Lookups!$G$17,25,NPV(Lookups!$G$17,AO340:BM340),0,1),-PMT(Lookups!$G$17,27,NPV(Lookups!$G$17,AM340:BM340),0,1))))</f>
        <v>-1889243.8039722238</v>
      </c>
      <c r="BS340" s="84" t="s">
        <v>230</v>
      </c>
      <c r="BT340" s="51" t="s">
        <v>17</v>
      </c>
    </row>
    <row r="341" spans="1:72" x14ac:dyDescent="0.25">
      <c r="A341" s="1"/>
      <c r="B341" s="243" t="str">
        <f>B339</f>
        <v>Portfolio Total</v>
      </c>
      <c r="C341" s="243" t="str">
        <f>C339</f>
        <v>Revenue Requirements</v>
      </c>
      <c r="D341" s="244" t="str">
        <f>D339</f>
        <v>Revenue Requirement after DSM Scenario</v>
      </c>
      <c r="E341" s="84" t="s">
        <v>197</v>
      </c>
      <c r="F341" s="84" t="s">
        <v>32</v>
      </c>
      <c r="G341" s="64">
        <f ca="1">G330-G333-G335</f>
        <v>0</v>
      </c>
      <c r="H341" s="64">
        <f t="shared" ref="H341:AG341" ca="1" si="385">H330-H333-H335</f>
        <v>0</v>
      </c>
      <c r="I341" s="64">
        <f t="shared" ca="1" si="385"/>
        <v>58047752.119342454</v>
      </c>
      <c r="J341" s="64">
        <f t="shared" ca="1" si="385"/>
        <v>58047752.119342454</v>
      </c>
      <c r="K341" s="64">
        <f t="shared" ca="1" si="385"/>
        <v>58047752.119342454</v>
      </c>
      <c r="L341" s="64">
        <f t="shared" ca="1" si="385"/>
        <v>58047752.119342454</v>
      </c>
      <c r="M341" s="64">
        <f t="shared" ca="1" si="385"/>
        <v>58047752.119342454</v>
      </c>
      <c r="N341" s="64">
        <f t="shared" ca="1" si="385"/>
        <v>58047752.119342454</v>
      </c>
      <c r="O341" s="64">
        <f t="shared" ca="1" si="385"/>
        <v>58047752.119342454</v>
      </c>
      <c r="P341" s="64">
        <f t="shared" ca="1" si="385"/>
        <v>58047752.119342454</v>
      </c>
      <c r="Q341" s="64">
        <f t="shared" ca="1" si="385"/>
        <v>58047752.119342454</v>
      </c>
      <c r="R341" s="64">
        <f t="shared" ca="1" si="385"/>
        <v>58047752.119342454</v>
      </c>
      <c r="S341" s="64">
        <f t="shared" ca="1" si="385"/>
        <v>58047752.119342454</v>
      </c>
      <c r="T341" s="64">
        <f t="shared" ca="1" si="385"/>
        <v>58047752.119342454</v>
      </c>
      <c r="U341" s="64">
        <f t="shared" ca="1" si="385"/>
        <v>58047752.119342454</v>
      </c>
      <c r="V341" s="64">
        <f t="shared" ca="1" si="385"/>
        <v>58773841.52121982</v>
      </c>
      <c r="W341" s="64">
        <f t="shared" ca="1" si="385"/>
        <v>58773841.52121982</v>
      </c>
      <c r="X341" s="64">
        <f t="shared" ca="1" si="385"/>
        <v>59071117.47980506</v>
      </c>
      <c r="Y341" s="64">
        <f t="shared" ca="1" si="385"/>
        <v>59320597.762247853</v>
      </c>
      <c r="Z341" s="64">
        <f t="shared" ca="1" si="385"/>
        <v>59320597.762247853</v>
      </c>
      <c r="AA341" s="64">
        <f t="shared" ca="1" si="385"/>
        <v>59320597.762247853</v>
      </c>
      <c r="AB341" s="64">
        <f t="shared" ca="1" si="385"/>
        <v>59320597.762247853</v>
      </c>
      <c r="AC341" s="64">
        <f t="shared" ca="1" si="385"/>
        <v>59392410.029498205</v>
      </c>
      <c r="AD341" s="64">
        <f t="shared" ca="1" si="385"/>
        <v>59392410.029498205</v>
      </c>
      <c r="AE341" s="64">
        <f t="shared" ca="1" si="385"/>
        <v>59392410.029498205</v>
      </c>
      <c r="AF341" s="64">
        <f t="shared" ca="1" si="385"/>
        <v>59392410.029498205</v>
      </c>
      <c r="AG341" s="64">
        <f t="shared" ca="1" si="385"/>
        <v>59392410.029498205</v>
      </c>
      <c r="AH341" s="64"/>
      <c r="AI341" s="64">
        <f ca="1">NPV(Lookups!$E$17,G341:AG341)</f>
        <v>1192059181.7854087</v>
      </c>
      <c r="AJ341" s="65">
        <f ca="1">IF($C$4=Year1,-PMT(Lookups!$E$17,25,NPV(Lookups!$E$17,G341:AE341),0,1),IF($C$4=Year2,-PMT(Lookups!$F$17,25,NPV(Lookups!$F$17,H341:AF341),0,1),IF($C$4=Year3,-PMT(Lookups!$G$17,25,NPV(Lookups!$G$17,I341:AG341),0,1),-PMT(Lookups!$G$17,27,NPV(Lookups!$G$17,G341:AG341),0,1))))</f>
        <v>57746734.82581567</v>
      </c>
      <c r="AM341" s="71">
        <f t="shared" ref="AM341:BM341" ca="1" si="386">AM330-AM333-AM335</f>
        <v>0</v>
      </c>
      <c r="AN341" s="71">
        <f t="shared" ca="1" si="386"/>
        <v>0</v>
      </c>
      <c r="AO341" s="71">
        <f t="shared" ca="1" si="386"/>
        <v>57855658.133447692</v>
      </c>
      <c r="AP341" s="71">
        <f t="shared" ca="1" si="386"/>
        <v>57855658.133447692</v>
      </c>
      <c r="AQ341" s="71">
        <f t="shared" ca="1" si="386"/>
        <v>57855658.133447692</v>
      </c>
      <c r="AR341" s="71">
        <f t="shared" ca="1" si="386"/>
        <v>57855658.133447692</v>
      </c>
      <c r="AS341" s="71">
        <f t="shared" ca="1" si="386"/>
        <v>57855658.133447692</v>
      </c>
      <c r="AT341" s="71">
        <f t="shared" ca="1" si="386"/>
        <v>57855658.133447692</v>
      </c>
      <c r="AU341" s="71">
        <f t="shared" ca="1" si="386"/>
        <v>57855658.133447692</v>
      </c>
      <c r="AV341" s="71">
        <f t="shared" ca="1" si="386"/>
        <v>57855658.133447692</v>
      </c>
      <c r="AW341" s="71">
        <f t="shared" ca="1" si="386"/>
        <v>57855658.133447692</v>
      </c>
      <c r="AX341" s="71">
        <f t="shared" ca="1" si="386"/>
        <v>57855658.133447692</v>
      </c>
      <c r="AY341" s="71">
        <f t="shared" ca="1" si="386"/>
        <v>57855658.133447692</v>
      </c>
      <c r="AZ341" s="71">
        <f t="shared" ca="1" si="386"/>
        <v>57855658.133447692</v>
      </c>
      <c r="BA341" s="71">
        <f t="shared" ca="1" si="386"/>
        <v>57855658.133447692</v>
      </c>
      <c r="BB341" s="71">
        <f t="shared" ca="1" si="386"/>
        <v>58685474.591558933</v>
      </c>
      <c r="BC341" s="71">
        <f t="shared" ca="1" si="386"/>
        <v>58685474.591558933</v>
      </c>
      <c r="BD341" s="71">
        <f t="shared" ca="1" si="386"/>
        <v>59025218.544222198</v>
      </c>
      <c r="BE341" s="71">
        <f t="shared" ca="1" si="386"/>
        <v>59310338.866978817</v>
      </c>
      <c r="BF341" s="71">
        <f t="shared" ca="1" si="386"/>
        <v>59310338.866978817</v>
      </c>
      <c r="BG341" s="71">
        <f t="shared" ca="1" si="386"/>
        <v>59310338.866978817</v>
      </c>
      <c r="BH341" s="71">
        <f t="shared" ca="1" si="386"/>
        <v>59310338.866978817</v>
      </c>
      <c r="BI341" s="71">
        <f t="shared" ca="1" si="386"/>
        <v>59392410.029498205</v>
      </c>
      <c r="BJ341" s="71">
        <f t="shared" ca="1" si="386"/>
        <v>59392410.029498205</v>
      </c>
      <c r="BK341" s="71">
        <f t="shared" ca="1" si="386"/>
        <v>59392410.029498205</v>
      </c>
      <c r="BL341" s="71">
        <f t="shared" ca="1" si="386"/>
        <v>59392410.029498205</v>
      </c>
      <c r="BM341" s="71">
        <f t="shared" ca="1" si="386"/>
        <v>59392410.029498205</v>
      </c>
      <c r="BN341" s="71"/>
      <c r="BO341" s="71">
        <f ca="1">NPV(Lookups!$E$17,AM341:BM341)</f>
        <v>1189648844.2129784</v>
      </c>
      <c r="BP341" s="71">
        <f ca="1">IF($C$4=Year1,-PMT(Lookups!$E$17,25,NPV(Lookups!$E$17,AM341:BK341),0,1),IF($C$4=Year2,-PMT(Lookups!$F$17,25,NPV(Lookups!$F$17,AN341:BL341),0,1),IF($C$4=Year3,-PMT(Lookups!$G$17,25,NPV(Lookups!$G$17,AO341:BM341),0,1),-PMT(Lookups!$G$17,27,NPV(Lookups!$G$17,AM341:BM341),0,1))))</f>
        <v>57629971.223166861</v>
      </c>
      <c r="BS341" s="84" t="s">
        <v>231</v>
      </c>
      <c r="BT341" s="51" t="s">
        <v>17</v>
      </c>
    </row>
    <row r="342" spans="1:72" x14ac:dyDescent="0.25">
      <c r="A342" s="52" t="s">
        <v>17</v>
      </c>
      <c r="B342" s="243" t="str">
        <f t="shared" ref="B342:C346" si="387">B340</f>
        <v>Portfolio Total</v>
      </c>
      <c r="C342" s="243" t="str">
        <f t="shared" si="387"/>
        <v>Revenue Requirements</v>
      </c>
      <c r="D342" s="244" t="str">
        <f t="shared" ref="D342:D346" si="388">D341</f>
        <v>Revenue Requirement after DSM Scenario</v>
      </c>
      <c r="E342" s="84" t="s">
        <v>272</v>
      </c>
      <c r="F342" s="84" t="s">
        <v>32</v>
      </c>
      <c r="G342" s="64">
        <f ca="1">SUM(G339:G341)</f>
        <v>0</v>
      </c>
      <c r="H342" s="64">
        <f ca="1">SUM(H339:H341)</f>
        <v>0</v>
      </c>
      <c r="I342" s="64">
        <f t="shared" ref="I342:AG342" ca="1" si="389">SUM(I339:I341)</f>
        <v>99387050.151105374</v>
      </c>
      <c r="J342" s="64">
        <f t="shared" ca="1" si="389"/>
        <v>99387050.151105374</v>
      </c>
      <c r="K342" s="64">
        <f t="shared" ca="1" si="389"/>
        <v>99387050.151105374</v>
      </c>
      <c r="L342" s="64">
        <f t="shared" ca="1" si="389"/>
        <v>99387050.151105374</v>
      </c>
      <c r="M342" s="64">
        <f t="shared" ca="1" si="389"/>
        <v>99387050.151105374</v>
      </c>
      <c r="N342" s="64">
        <f t="shared" ca="1" si="389"/>
        <v>99387050.151105374</v>
      </c>
      <c r="O342" s="64">
        <f t="shared" ca="1" si="389"/>
        <v>99387050.151105374</v>
      </c>
      <c r="P342" s="64">
        <f t="shared" ca="1" si="389"/>
        <v>99387050.151105374</v>
      </c>
      <c r="Q342" s="64">
        <f t="shared" ca="1" si="389"/>
        <v>99387050.151105374</v>
      </c>
      <c r="R342" s="64">
        <f t="shared" ca="1" si="389"/>
        <v>99387050.151105374</v>
      </c>
      <c r="S342" s="64">
        <f t="shared" ca="1" si="389"/>
        <v>99387050.151105374</v>
      </c>
      <c r="T342" s="64">
        <f t="shared" ca="1" si="389"/>
        <v>99387050.151105374</v>
      </c>
      <c r="U342" s="64">
        <f t="shared" ca="1" si="389"/>
        <v>99387050.151105374</v>
      </c>
      <c r="V342" s="64">
        <f t="shared" ca="1" si="389"/>
        <v>100157254.91240875</v>
      </c>
      <c r="W342" s="64">
        <f t="shared" ca="1" si="389"/>
        <v>100157254.91240875</v>
      </c>
      <c r="X342" s="64">
        <f t="shared" ca="1" si="389"/>
        <v>100472785.42077282</v>
      </c>
      <c r="Y342" s="64">
        <f t="shared" ca="1" si="389"/>
        <v>100737615.47935045</v>
      </c>
      <c r="Z342" s="64">
        <f t="shared" ca="1" si="389"/>
        <v>100737615.47935045</v>
      </c>
      <c r="AA342" s="64">
        <f t="shared" ca="1" si="389"/>
        <v>100737615.47935045</v>
      </c>
      <c r="AB342" s="64">
        <f t="shared" ca="1" si="389"/>
        <v>100737615.47935045</v>
      </c>
      <c r="AC342" s="64">
        <f t="shared" ca="1" si="389"/>
        <v>100813860.41690284</v>
      </c>
      <c r="AD342" s="64">
        <f t="shared" ca="1" si="389"/>
        <v>100813860.41690284</v>
      </c>
      <c r="AE342" s="64">
        <f t="shared" ca="1" si="389"/>
        <v>100813860.41690284</v>
      </c>
      <c r="AF342" s="64">
        <f t="shared" ca="1" si="389"/>
        <v>100813860.41690284</v>
      </c>
      <c r="AG342" s="64">
        <f t="shared" ca="1" si="389"/>
        <v>100813860.41690284</v>
      </c>
      <c r="AH342" s="64"/>
      <c r="AI342" s="64">
        <f ca="1">NPV(Lookups!$E$17,G342:AG342)</f>
        <v>2034160667.1873364</v>
      </c>
      <c r="AJ342" s="65">
        <f ca="1">IF($C$4=Year1,-PMT(Lookups!$E$17,25,NPV(Lookups!$E$17,G342:AE342),0,1),IF($C$4=Year2,-PMT(Lookups!$F$17,25,NPV(Lookups!$F$17,H342:AF342),0,1),IF($C$4=Year3,-PMT(Lookups!$G$17,25,NPV(Lookups!$G$17,I342:AG342),0,1),-PMT(Lookups!$G$17,27,NPV(Lookups!$G$17,G342:AG342),0,1))))</f>
        <v>98540524.192126364</v>
      </c>
      <c r="AM342" s="71">
        <f t="shared" ref="AM342:BM342" ca="1" si="390">SUM(AM339:AM341)</f>
        <v>0</v>
      </c>
      <c r="AN342" s="71">
        <f t="shared" ca="1" si="390"/>
        <v>0</v>
      </c>
      <c r="AO342" s="71">
        <f t="shared" ca="1" si="390"/>
        <v>99183220.114481926</v>
      </c>
      <c r="AP342" s="71">
        <f t="shared" ca="1" si="390"/>
        <v>99183220.114481926</v>
      </c>
      <c r="AQ342" s="71">
        <f t="shared" ca="1" si="390"/>
        <v>99183220.114481926</v>
      </c>
      <c r="AR342" s="71">
        <f t="shared" ca="1" si="390"/>
        <v>99183220.114481926</v>
      </c>
      <c r="AS342" s="71">
        <f t="shared" ca="1" si="390"/>
        <v>99183220.114481926</v>
      </c>
      <c r="AT342" s="71">
        <f t="shared" ca="1" si="390"/>
        <v>99183220.114481926</v>
      </c>
      <c r="AU342" s="71">
        <f t="shared" ca="1" si="390"/>
        <v>99183220.114481926</v>
      </c>
      <c r="AV342" s="71">
        <f t="shared" ca="1" si="390"/>
        <v>99183220.114481926</v>
      </c>
      <c r="AW342" s="71">
        <f t="shared" ca="1" si="390"/>
        <v>99183220.114481926</v>
      </c>
      <c r="AX342" s="71">
        <f t="shared" ca="1" si="390"/>
        <v>99183220.114481926</v>
      </c>
      <c r="AY342" s="71">
        <f t="shared" ca="1" si="390"/>
        <v>99183220.114481926</v>
      </c>
      <c r="AZ342" s="71">
        <f t="shared" ca="1" si="390"/>
        <v>99183220.114481926</v>
      </c>
      <c r="BA342" s="71">
        <f t="shared" ca="1" si="390"/>
        <v>99183220.114481926</v>
      </c>
      <c r="BB342" s="71">
        <f t="shared" ca="1" si="390"/>
        <v>100063454.12615138</v>
      </c>
      <c r="BC342" s="71">
        <f t="shared" ca="1" si="390"/>
        <v>100063454.12615138</v>
      </c>
      <c r="BD342" s="71">
        <f t="shared" ca="1" si="390"/>
        <v>100424060.42141867</v>
      </c>
      <c r="BE342" s="71">
        <f t="shared" ca="1" si="390"/>
        <v>100726723.34547009</v>
      </c>
      <c r="BF342" s="71">
        <f t="shared" ca="1" si="390"/>
        <v>100726723.34547009</v>
      </c>
      <c r="BG342" s="71">
        <f t="shared" ca="1" si="390"/>
        <v>100726723.34547009</v>
      </c>
      <c r="BH342" s="71">
        <f t="shared" ca="1" si="390"/>
        <v>100726723.34547009</v>
      </c>
      <c r="BI342" s="71">
        <f t="shared" ca="1" si="390"/>
        <v>100813860.41690284</v>
      </c>
      <c r="BJ342" s="71">
        <f t="shared" ca="1" si="390"/>
        <v>100813860.41690284</v>
      </c>
      <c r="BK342" s="71">
        <f t="shared" ca="1" si="390"/>
        <v>100813860.41690284</v>
      </c>
      <c r="BL342" s="71">
        <f t="shared" ca="1" si="390"/>
        <v>100813860.41690284</v>
      </c>
      <c r="BM342" s="71">
        <f t="shared" ca="1" si="390"/>
        <v>100813860.41690284</v>
      </c>
      <c r="BN342" s="71"/>
      <c r="BO342" s="71">
        <f ca="1">NPV(Lookups!$E$17,AM342:BM342)</f>
        <v>2031602977.2106123</v>
      </c>
      <c r="BP342" s="71">
        <f ca="1">IF($C$4=Year1,-PMT(Lookups!$E$17,25,NPV(Lookups!$E$17,AM342:BK342),0,1),IF($C$4=Year2,-PMT(Lookups!$F$17,25,NPV(Lookups!$F$17,AN342:BL342),0,1),IF($C$4=Year3,-PMT(Lookups!$G$17,25,NPV(Lookups!$G$17,AO342:BM342),0,1),-PMT(Lookups!$G$17,27,NPV(Lookups!$G$17,AM342:BM342),0,1))))</f>
        <v>98416622.420209825</v>
      </c>
      <c r="BS342" s="84"/>
      <c r="BT342" s="51" t="s">
        <v>17</v>
      </c>
    </row>
    <row r="343" spans="1:72" x14ac:dyDescent="0.25">
      <c r="A343" s="52" t="s">
        <v>17</v>
      </c>
      <c r="B343" s="243" t="str">
        <f t="shared" si="387"/>
        <v>Portfolio Total</v>
      </c>
      <c r="C343" s="243" t="str">
        <f t="shared" si="387"/>
        <v>Revenue Requirements</v>
      </c>
      <c r="D343" s="114" t="s">
        <v>273</v>
      </c>
      <c r="E343" s="84"/>
      <c r="F343" s="8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S343" s="84"/>
      <c r="BT343" s="51" t="s">
        <v>17</v>
      </c>
    </row>
    <row r="344" spans="1:72" x14ac:dyDescent="0.25">
      <c r="A344" s="52" t="s">
        <v>17</v>
      </c>
      <c r="B344" s="243" t="str">
        <f t="shared" si="387"/>
        <v>Portfolio Total</v>
      </c>
      <c r="C344" s="243" t="str">
        <f t="shared" si="387"/>
        <v>Revenue Requirements</v>
      </c>
      <c r="D344" s="244" t="str">
        <f t="shared" ref="D344:D345" si="391">D343</f>
        <v>Change in Revenue</v>
      </c>
      <c r="E344" s="84" t="s">
        <v>273</v>
      </c>
      <c r="F344" s="84" t="s">
        <v>32</v>
      </c>
      <c r="G344" s="64">
        <f ca="1">G342-G331</f>
        <v>0</v>
      </c>
      <c r="H344" s="64">
        <f t="shared" ref="H344:AG344" ca="1" si="392">H342-H331</f>
        <v>0</v>
      </c>
      <c r="I344" s="64">
        <f t="shared" ca="1" si="392"/>
        <v>-1426810.265797466</v>
      </c>
      <c r="J344" s="64">
        <f t="shared" ca="1" si="392"/>
        <v>-1426810.265797466</v>
      </c>
      <c r="K344" s="64">
        <f t="shared" ca="1" si="392"/>
        <v>-1426810.265797466</v>
      </c>
      <c r="L344" s="64">
        <f t="shared" ca="1" si="392"/>
        <v>-1426810.265797466</v>
      </c>
      <c r="M344" s="64">
        <f t="shared" ca="1" si="392"/>
        <v>-1426810.265797466</v>
      </c>
      <c r="N344" s="64">
        <f t="shared" ca="1" si="392"/>
        <v>-1426810.265797466</v>
      </c>
      <c r="O344" s="64">
        <f t="shared" ca="1" si="392"/>
        <v>-1426810.265797466</v>
      </c>
      <c r="P344" s="64">
        <f t="shared" ca="1" si="392"/>
        <v>-1426810.265797466</v>
      </c>
      <c r="Q344" s="64">
        <f t="shared" ca="1" si="392"/>
        <v>-1426810.265797466</v>
      </c>
      <c r="R344" s="64">
        <f t="shared" ca="1" si="392"/>
        <v>-1426810.265797466</v>
      </c>
      <c r="S344" s="64">
        <f t="shared" ca="1" si="392"/>
        <v>-1426810.265797466</v>
      </c>
      <c r="T344" s="64">
        <f t="shared" ca="1" si="392"/>
        <v>-1426810.265797466</v>
      </c>
      <c r="U344" s="64">
        <f t="shared" ca="1" si="392"/>
        <v>-1426810.265797466</v>
      </c>
      <c r="V344" s="64">
        <f t="shared" ca="1" si="392"/>
        <v>-656605.50449408591</v>
      </c>
      <c r="W344" s="64">
        <f t="shared" ca="1" si="392"/>
        <v>-656605.50449408591</v>
      </c>
      <c r="X344" s="64">
        <f t="shared" ca="1" si="392"/>
        <v>-341074.99613001943</v>
      </c>
      <c r="Y344" s="64">
        <f t="shared" ca="1" si="392"/>
        <v>-76244.937552392483</v>
      </c>
      <c r="Z344" s="64">
        <f t="shared" ca="1" si="392"/>
        <v>-76244.937552392483</v>
      </c>
      <c r="AA344" s="64">
        <f t="shared" ca="1" si="392"/>
        <v>-76244.937552392483</v>
      </c>
      <c r="AB344" s="64">
        <f t="shared" ca="1" si="392"/>
        <v>-76244.937552392483</v>
      </c>
      <c r="AC344" s="64">
        <f t="shared" ca="1" si="392"/>
        <v>0</v>
      </c>
      <c r="AD344" s="64">
        <f t="shared" ca="1" si="392"/>
        <v>0</v>
      </c>
      <c r="AE344" s="64">
        <f t="shared" ca="1" si="392"/>
        <v>0</v>
      </c>
      <c r="AF344" s="64">
        <f t="shared" ca="1" si="392"/>
        <v>0</v>
      </c>
      <c r="AG344" s="64">
        <f t="shared" ca="1" si="392"/>
        <v>0</v>
      </c>
      <c r="AH344" s="64"/>
      <c r="AI344" s="64">
        <f ca="1">NPV(Lookups!$E$17,G344:AG344)</f>
        <v>-17903829.948068105</v>
      </c>
      <c r="AJ344" s="65">
        <f ca="1">IF($C$4=Year1,-PMT(Lookups!$E$17,25,NPV(Lookups!$E$17,G344:AE344),0,1),IF($C$4=Year2,-PMT(Lookups!$F$17,25,NPV(Lookups!$F$17,H344:AF344),0,1),IF($C$4=Year3,-PMT(Lookups!$G$17,25,NPV(Lookups!$G$17,I344:AG344),0,1),-PMT(Lookups!$G$17,27,NPV(Lookups!$G$17,G344:AG344),0,1))))</f>
        <v>-867312.40879255545</v>
      </c>
      <c r="AM344" s="71">
        <f ca="1">AM342-AM331</f>
        <v>0</v>
      </c>
      <c r="AN344" s="71">
        <f t="shared" ref="AN344:BM344" ca="1" si="393">AN342-AN331</f>
        <v>0</v>
      </c>
      <c r="AO344" s="71">
        <f t="shared" ca="1" si="393"/>
        <v>-1630640.3024209142</v>
      </c>
      <c r="AP344" s="71">
        <f t="shared" ca="1" si="393"/>
        <v>-1630640.3024209142</v>
      </c>
      <c r="AQ344" s="71">
        <f t="shared" ca="1" si="393"/>
        <v>-1630640.3024209142</v>
      </c>
      <c r="AR344" s="71">
        <f t="shared" ca="1" si="393"/>
        <v>-1630640.3024209142</v>
      </c>
      <c r="AS344" s="71">
        <f t="shared" ca="1" si="393"/>
        <v>-1630640.3024209142</v>
      </c>
      <c r="AT344" s="71">
        <f t="shared" ca="1" si="393"/>
        <v>-1630640.3024209142</v>
      </c>
      <c r="AU344" s="71">
        <f t="shared" ca="1" si="393"/>
        <v>-1630640.3024209142</v>
      </c>
      <c r="AV344" s="71">
        <f t="shared" ca="1" si="393"/>
        <v>-1630640.3024209142</v>
      </c>
      <c r="AW344" s="71">
        <f t="shared" ca="1" si="393"/>
        <v>-1630640.3024209142</v>
      </c>
      <c r="AX344" s="71">
        <f t="shared" ca="1" si="393"/>
        <v>-1630640.3024209142</v>
      </c>
      <c r="AY344" s="71">
        <f t="shared" ca="1" si="393"/>
        <v>-1630640.3024209142</v>
      </c>
      <c r="AZ344" s="71">
        <f t="shared" ca="1" si="393"/>
        <v>-1630640.3024209142</v>
      </c>
      <c r="BA344" s="71">
        <f t="shared" ca="1" si="393"/>
        <v>-1630640.3024209142</v>
      </c>
      <c r="BB344" s="71">
        <f t="shared" ca="1" si="393"/>
        <v>-750406.29075145721</v>
      </c>
      <c r="BC344" s="71">
        <f t="shared" ca="1" si="393"/>
        <v>-750406.29075145721</v>
      </c>
      <c r="BD344" s="71">
        <f t="shared" ca="1" si="393"/>
        <v>-389799.9954841733</v>
      </c>
      <c r="BE344" s="71">
        <f t="shared" ca="1" si="393"/>
        <v>-87137.071432754397</v>
      </c>
      <c r="BF344" s="71">
        <f t="shared" ca="1" si="393"/>
        <v>-87137.071432754397</v>
      </c>
      <c r="BG344" s="71">
        <f t="shared" ca="1" si="393"/>
        <v>-87137.071432754397</v>
      </c>
      <c r="BH344" s="71">
        <f t="shared" ca="1" si="393"/>
        <v>-87137.071432754397</v>
      </c>
      <c r="BI344" s="71">
        <f t="shared" ca="1" si="393"/>
        <v>0</v>
      </c>
      <c r="BJ344" s="71">
        <f t="shared" ca="1" si="393"/>
        <v>0</v>
      </c>
      <c r="BK344" s="71">
        <f t="shared" ca="1" si="393"/>
        <v>0</v>
      </c>
      <c r="BL344" s="71">
        <f t="shared" ca="1" si="393"/>
        <v>0</v>
      </c>
      <c r="BM344" s="71">
        <f t="shared" ca="1" si="393"/>
        <v>0</v>
      </c>
      <c r="BN344" s="71"/>
      <c r="BO344" s="71">
        <f ca="1">NPV(Lookups!$E$17,AM344:BM344)</f>
        <v>-20461519.924792916</v>
      </c>
      <c r="BP344" s="71">
        <f ca="1">IF($C$4=Year1,-PMT(Lookups!$E$17,25,NPV(Lookups!$E$17,AM344:BK344),0,1),IF($C$4=Year2,-PMT(Lookups!$F$17,25,NPV(Lookups!$F$17,AN344:BL344),0,1),IF($C$4=Year3,-PMT(Lookups!$G$17,25,NPV(Lookups!$G$17,AO344:BM344),0,1),-PMT(Lookups!$G$17,27,NPV(Lookups!$G$17,AM344:BM344),0,1))))</f>
        <v>-991214.18070908019</v>
      </c>
      <c r="BS344" s="84"/>
      <c r="BT344" s="51" t="s">
        <v>17</v>
      </c>
    </row>
    <row r="345" spans="1:72" x14ac:dyDescent="0.25">
      <c r="A345" s="52" t="s">
        <v>17</v>
      </c>
      <c r="B345" s="243" t="str">
        <f t="shared" si="387"/>
        <v>Portfolio Total</v>
      </c>
      <c r="C345" s="243" t="str">
        <f t="shared" si="387"/>
        <v>Revenue Requirements</v>
      </c>
      <c r="D345" s="244" t="str">
        <f t="shared" si="391"/>
        <v>Change in Revenue</v>
      </c>
      <c r="E345" s="84" t="s">
        <v>273</v>
      </c>
      <c r="F345" s="84" t="s">
        <v>16</v>
      </c>
      <c r="G345" s="224">
        <f ca="1">IFERROR(G342/G331-1,0)</f>
        <v>0</v>
      </c>
      <c r="H345" s="224">
        <f t="shared" ref="H345:AI345" ca="1" si="394">IFERROR(H342/H331-1,0)</f>
        <v>0</v>
      </c>
      <c r="I345" s="224">
        <f t="shared" ca="1" si="394"/>
        <v>-1.4152917663276421E-2</v>
      </c>
      <c r="J345" s="224">
        <f t="shared" ca="1" si="394"/>
        <v>-1.4152917663276421E-2</v>
      </c>
      <c r="K345" s="224">
        <f t="shared" ca="1" si="394"/>
        <v>-1.4152917663276421E-2</v>
      </c>
      <c r="L345" s="224">
        <f t="shared" ca="1" si="394"/>
        <v>-1.4152917663276421E-2</v>
      </c>
      <c r="M345" s="224">
        <f t="shared" ca="1" si="394"/>
        <v>-1.4152917663276421E-2</v>
      </c>
      <c r="N345" s="224">
        <f t="shared" ca="1" si="394"/>
        <v>-1.4152917663276421E-2</v>
      </c>
      <c r="O345" s="224">
        <f t="shared" ca="1" si="394"/>
        <v>-1.4152917663276421E-2</v>
      </c>
      <c r="P345" s="224">
        <f t="shared" ca="1" si="394"/>
        <v>-1.4152917663276421E-2</v>
      </c>
      <c r="Q345" s="224">
        <f t="shared" ca="1" si="394"/>
        <v>-1.4152917663276421E-2</v>
      </c>
      <c r="R345" s="224">
        <f t="shared" ca="1" si="394"/>
        <v>-1.4152917663276421E-2</v>
      </c>
      <c r="S345" s="224">
        <f t="shared" ca="1" si="394"/>
        <v>-1.4152917663276421E-2</v>
      </c>
      <c r="T345" s="224">
        <f t="shared" ca="1" si="394"/>
        <v>-1.4152917663276421E-2</v>
      </c>
      <c r="U345" s="224">
        <f t="shared" ca="1" si="394"/>
        <v>-1.4152917663276421E-2</v>
      </c>
      <c r="V345" s="224">
        <f t="shared" ca="1" si="394"/>
        <v>-6.5130479259377649E-3</v>
      </c>
      <c r="W345" s="224">
        <f t="shared" ca="1" si="394"/>
        <v>-6.5130479259377649E-3</v>
      </c>
      <c r="X345" s="224">
        <f t="shared" ca="1" si="394"/>
        <v>-3.383215311064891E-3</v>
      </c>
      <c r="Y345" s="224">
        <f t="shared" ca="1" si="394"/>
        <v>-7.5629419642386786E-4</v>
      </c>
      <c r="Z345" s="224">
        <f t="shared" ca="1" si="394"/>
        <v>-7.5629419642386786E-4</v>
      </c>
      <c r="AA345" s="224">
        <f t="shared" ca="1" si="394"/>
        <v>-7.5629419642386786E-4</v>
      </c>
      <c r="AB345" s="224">
        <f t="shared" ca="1" si="394"/>
        <v>-7.5629419642386786E-4</v>
      </c>
      <c r="AC345" s="224">
        <f t="shared" ca="1" si="394"/>
        <v>0</v>
      </c>
      <c r="AD345" s="224">
        <f t="shared" ca="1" si="394"/>
        <v>0</v>
      </c>
      <c r="AE345" s="224">
        <f t="shared" ca="1" si="394"/>
        <v>0</v>
      </c>
      <c r="AF345" s="224">
        <f t="shared" ca="1" si="394"/>
        <v>0</v>
      </c>
      <c r="AG345" s="224">
        <f t="shared" ca="1" si="394"/>
        <v>0</v>
      </c>
      <c r="AH345" s="224">
        <f t="shared" si="394"/>
        <v>0</v>
      </c>
      <c r="AI345" s="224">
        <f t="shared" ca="1" si="394"/>
        <v>-8.7247890955969298E-3</v>
      </c>
      <c r="AJ345" s="224">
        <f ca="1">IFERROR(AJ342/AJ331-1,0)</f>
        <v>-8.7247890955967078E-3</v>
      </c>
      <c r="AK345" s="212"/>
      <c r="AL345" s="212"/>
      <c r="AM345" s="504">
        <f ca="1">IFERROR(AM342/AM331-1,0)</f>
        <v>0</v>
      </c>
      <c r="AN345" s="504">
        <f t="shared" ref="AN345:BM345" ca="1" si="395">IFERROR(AN342/AN331-1,0)</f>
        <v>0</v>
      </c>
      <c r="AO345" s="504">
        <f t="shared" ca="1" si="395"/>
        <v>-1.6174763030377015E-2</v>
      </c>
      <c r="AP345" s="504">
        <f t="shared" ca="1" si="395"/>
        <v>-1.6174763030377015E-2</v>
      </c>
      <c r="AQ345" s="504">
        <f t="shared" ca="1" si="395"/>
        <v>-1.6174763030377015E-2</v>
      </c>
      <c r="AR345" s="504">
        <f t="shared" ca="1" si="395"/>
        <v>-1.6174763030377015E-2</v>
      </c>
      <c r="AS345" s="504">
        <f t="shared" ca="1" si="395"/>
        <v>-1.6174763030377015E-2</v>
      </c>
      <c r="AT345" s="504">
        <f t="shared" ca="1" si="395"/>
        <v>-1.6174763030377015E-2</v>
      </c>
      <c r="AU345" s="504">
        <f t="shared" ca="1" si="395"/>
        <v>-1.6174763030377015E-2</v>
      </c>
      <c r="AV345" s="504">
        <f t="shared" ca="1" si="395"/>
        <v>-1.6174763030377015E-2</v>
      </c>
      <c r="AW345" s="504">
        <f t="shared" ca="1" si="395"/>
        <v>-1.6174763030377015E-2</v>
      </c>
      <c r="AX345" s="504">
        <f t="shared" ca="1" si="395"/>
        <v>-1.6174763030377015E-2</v>
      </c>
      <c r="AY345" s="504">
        <f t="shared" ca="1" si="395"/>
        <v>-1.6174763030377015E-2</v>
      </c>
      <c r="AZ345" s="504">
        <f t="shared" ca="1" si="395"/>
        <v>-1.6174763030377015E-2</v>
      </c>
      <c r="BA345" s="504">
        <f t="shared" ca="1" si="395"/>
        <v>-1.6174763030377015E-2</v>
      </c>
      <c r="BB345" s="504">
        <f t="shared" ca="1" si="395"/>
        <v>-7.4434833429475322E-3</v>
      </c>
      <c r="BC345" s="504">
        <f t="shared" ca="1" si="395"/>
        <v>-7.4434833429475322E-3</v>
      </c>
      <c r="BD345" s="504">
        <f t="shared" ca="1" si="395"/>
        <v>-3.866531783151661E-3</v>
      </c>
      <c r="BE345" s="504">
        <f t="shared" ca="1" si="395"/>
        <v>-8.6433622393200515E-4</v>
      </c>
      <c r="BF345" s="504">
        <f t="shared" ca="1" si="395"/>
        <v>-8.6433622393200515E-4</v>
      </c>
      <c r="BG345" s="504">
        <f t="shared" ca="1" si="395"/>
        <v>-8.6433622393200515E-4</v>
      </c>
      <c r="BH345" s="504">
        <f t="shared" ca="1" si="395"/>
        <v>-8.6433622393200515E-4</v>
      </c>
      <c r="BI345" s="504">
        <f t="shared" ca="1" si="395"/>
        <v>0</v>
      </c>
      <c r="BJ345" s="504">
        <f t="shared" ca="1" si="395"/>
        <v>0</v>
      </c>
      <c r="BK345" s="504">
        <f t="shared" ca="1" si="395"/>
        <v>0</v>
      </c>
      <c r="BL345" s="504">
        <f t="shared" ca="1" si="395"/>
        <v>0</v>
      </c>
      <c r="BM345" s="504">
        <f t="shared" ca="1" si="395"/>
        <v>0</v>
      </c>
      <c r="BN345" s="504"/>
      <c r="BO345" s="504">
        <f ca="1">IFERROR(BO342/BO331-1,0)</f>
        <v>-9.971187530097736E-3</v>
      </c>
      <c r="BP345" s="504">
        <f ca="1">IFERROR(BP342/BP331-1,0)</f>
        <v>-9.971187530097958E-3</v>
      </c>
      <c r="BS345" s="84"/>
      <c r="BT345" s="51" t="s">
        <v>17</v>
      </c>
    </row>
    <row r="346" spans="1:72" x14ac:dyDescent="0.25">
      <c r="A346" s="52" t="s">
        <v>17</v>
      </c>
      <c r="B346" s="243" t="str">
        <f t="shared" si="387"/>
        <v>Portfolio Total</v>
      </c>
      <c r="C346" s="243" t="str">
        <f t="shared" si="387"/>
        <v>Revenue Requirements</v>
      </c>
      <c r="D346" s="244" t="str">
        <f t="shared" si="388"/>
        <v>Change in Revenue</v>
      </c>
      <c r="E346" s="84" t="s">
        <v>17</v>
      </c>
      <c r="F346" s="84"/>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S346" s="84"/>
      <c r="BT346" s="51" t="s">
        <v>17</v>
      </c>
    </row>
    <row r="348" spans="1:72" x14ac:dyDescent="0.25">
      <c r="H348" s="22"/>
    </row>
  </sheetData>
  <autoFilter ref="A8:BT346" xr:uid="{00000000-0009-0000-0000-000007000000}"/>
  <pageMargins left="0.7" right="0.7" top="0.75" bottom="0.75" header="0.3" footer="0.3"/>
  <pageSetup scale="18" fitToWidth="2" fitToHeight="4" orientation="landscape" horizontalDpi="300" verticalDpi="300" r:id="rId1"/>
  <colBreaks count="2" manualBreakCount="2">
    <brk id="38" min="1" max="517" man="1"/>
    <brk id="70" min="1" max="51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AB973EC4-6EB9-4C73-9EF0-F02825140734}">
          <x14:formula1>
            <xm:f>Lookups!$D$37:$D$40</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1A7E-C79B-4A98-B909-E7BF78A27E5A}">
  <sheetPr>
    <tabColor theme="0" tint="-0.34998626667073579"/>
  </sheetPr>
  <dimension ref="A1:BT348"/>
  <sheetViews>
    <sheetView showGridLines="0" zoomScale="85" zoomScaleNormal="85" workbookViewId="0">
      <pane xSplit="6" ySplit="8" topLeftCell="BH317" activePane="bottomRight" state="frozen"/>
      <selection pane="topRight" activeCell="H1" sqref="H1"/>
      <selection pane="bottomLeft" activeCell="A8" sqref="A8"/>
      <selection pane="bottomRight" activeCell="BP345" sqref="BP345"/>
    </sheetView>
  </sheetViews>
  <sheetFormatPr defaultRowHeight="15" x14ac:dyDescent="0.25"/>
  <cols>
    <col min="1" max="1" width="2.7109375" style="52" customWidth="1"/>
    <col min="2" max="2" width="2.7109375" customWidth="1"/>
    <col min="3" max="3" width="10.5703125" customWidth="1"/>
    <col min="4" max="4" width="14.85546875" style="18" customWidth="1"/>
    <col min="5" max="5" width="38" bestFit="1" customWidth="1"/>
    <col min="6" max="6" width="11.7109375" customWidth="1"/>
    <col min="7" max="7" width="15" bestFit="1" customWidth="1"/>
    <col min="8" max="33" width="15" customWidth="1"/>
    <col min="34" max="34" width="1.7109375" customWidth="1"/>
    <col min="35" max="35" width="15" customWidth="1"/>
    <col min="36" max="36" width="18.140625" customWidth="1"/>
    <col min="37" max="38" width="2.7109375" customWidth="1"/>
    <col min="39" max="40" width="15.7109375" customWidth="1"/>
    <col min="41" max="65" width="15.140625" customWidth="1"/>
    <col min="66" max="66" width="1.7109375" customWidth="1"/>
    <col min="67" max="67" width="15" bestFit="1" customWidth="1"/>
    <col min="68" max="68" width="18.140625" bestFit="1" customWidth="1"/>
    <col min="69" max="70" width="2.7109375" customWidth="1"/>
    <col min="71" max="71" width="133.28515625" bestFit="1" customWidth="1"/>
    <col min="72" max="72" width="2.7109375" customWidth="1"/>
  </cols>
  <sheetData>
    <row r="1" spans="1:72" x14ac:dyDescent="0.25">
      <c r="E1" s="1"/>
      <c r="F1" s="1"/>
      <c r="I1" s="1"/>
      <c r="AO1" s="1"/>
    </row>
    <row r="2" spans="1:72" ht="26.25" x14ac:dyDescent="0.25">
      <c r="B2" s="2" t="s">
        <v>36</v>
      </c>
      <c r="F2" s="234"/>
      <c r="G2" s="410"/>
      <c r="H2" s="421"/>
      <c r="I2" s="421"/>
      <c r="J2" s="410"/>
      <c r="K2" s="410"/>
      <c r="L2" s="410"/>
      <c r="AO2" s="1"/>
    </row>
    <row r="3" spans="1:72" ht="21" x14ac:dyDescent="0.25">
      <c r="B3" s="245" t="str">
        <f>Lookups!$E$6</f>
        <v>Liberty</v>
      </c>
      <c r="F3" s="234"/>
      <c r="G3" s="409"/>
      <c r="H3" s="421"/>
      <c r="I3" s="421"/>
      <c r="J3" s="22"/>
      <c r="K3" s="22"/>
      <c r="AO3" s="1"/>
    </row>
    <row r="4" spans="1:72" ht="15.75" x14ac:dyDescent="0.25">
      <c r="B4" s="87"/>
      <c r="C4" s="640" t="s">
        <v>389</v>
      </c>
      <c r="D4" s="359" t="s">
        <v>73</v>
      </c>
      <c r="G4" s="672"/>
      <c r="H4" s="421"/>
      <c r="I4" s="421"/>
      <c r="J4" s="88"/>
      <c r="K4" s="88"/>
      <c r="L4" s="88"/>
      <c r="AM4" s="50"/>
      <c r="AP4" s="1"/>
      <c r="BS4" s="87"/>
    </row>
    <row r="5" spans="1:72" x14ac:dyDescent="0.25">
      <c r="D5"/>
      <c r="H5" s="421"/>
      <c r="I5" s="421"/>
      <c r="J5" s="212"/>
      <c r="K5" s="212"/>
      <c r="L5" s="212"/>
      <c r="M5" s="212"/>
      <c r="N5" s="212"/>
      <c r="O5" s="212"/>
      <c r="P5" s="212"/>
      <c r="Q5" s="212"/>
      <c r="R5" s="212"/>
      <c r="S5" s="212"/>
      <c r="T5" s="212"/>
      <c r="AO5" s="1"/>
    </row>
    <row r="6" spans="1:72" s="203" customFormat="1" ht="26.25" x14ac:dyDescent="0.4">
      <c r="A6" s="384"/>
      <c r="B6" s="199" t="s">
        <v>172</v>
      </c>
      <c r="C6" s="200"/>
      <c r="D6" s="200"/>
      <c r="E6" s="198"/>
      <c r="F6" s="198"/>
      <c r="G6" s="201" t="str">
        <f>Lookups!$D$23</f>
        <v>Proposed EE</v>
      </c>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2"/>
      <c r="AG6" s="202"/>
      <c r="AH6" s="202"/>
      <c r="AI6" s="202"/>
      <c r="AJ6" s="202"/>
      <c r="AM6" s="204" t="str">
        <f>Lookups!$D$24</f>
        <v>Alternative EE</v>
      </c>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S6" s="199" t="s">
        <v>88</v>
      </c>
    </row>
    <row r="7" spans="1:72" s="28" customFormat="1" x14ac:dyDescent="0.25">
      <c r="A7" s="385"/>
      <c r="B7" s="80"/>
      <c r="C7" s="78"/>
      <c r="D7" s="79"/>
      <c r="E7" s="78"/>
      <c r="F7" s="80"/>
      <c r="G7" s="67">
        <f>Year1</f>
        <v>2021</v>
      </c>
      <c r="H7" s="67">
        <f>G7+1</f>
        <v>2022</v>
      </c>
      <c r="I7" s="67">
        <f t="shared" ref="I7:X8" si="0">H7+1</f>
        <v>2023</v>
      </c>
      <c r="J7" s="67">
        <f t="shared" si="0"/>
        <v>2024</v>
      </c>
      <c r="K7" s="67">
        <f t="shared" si="0"/>
        <v>2025</v>
      </c>
      <c r="L7" s="67">
        <f t="shared" si="0"/>
        <v>2026</v>
      </c>
      <c r="M7" s="67">
        <f t="shared" si="0"/>
        <v>2027</v>
      </c>
      <c r="N7" s="67">
        <f t="shared" si="0"/>
        <v>2028</v>
      </c>
      <c r="O7" s="67">
        <f t="shared" si="0"/>
        <v>2029</v>
      </c>
      <c r="P7" s="67">
        <f t="shared" si="0"/>
        <v>2030</v>
      </c>
      <c r="Q7" s="67">
        <f t="shared" si="0"/>
        <v>2031</v>
      </c>
      <c r="R7" s="67">
        <f t="shared" si="0"/>
        <v>2032</v>
      </c>
      <c r="S7" s="67">
        <f t="shared" si="0"/>
        <v>2033</v>
      </c>
      <c r="T7" s="67">
        <f t="shared" si="0"/>
        <v>2034</v>
      </c>
      <c r="U7" s="67">
        <f t="shared" si="0"/>
        <v>2035</v>
      </c>
      <c r="V7" s="67">
        <f t="shared" si="0"/>
        <v>2036</v>
      </c>
      <c r="W7" s="67">
        <f>V7+1</f>
        <v>2037</v>
      </c>
      <c r="X7" s="67">
        <f t="shared" si="0"/>
        <v>2038</v>
      </c>
      <c r="Y7" s="67">
        <f t="shared" ref="Y7:AE8" si="1">X7+1</f>
        <v>2039</v>
      </c>
      <c r="Z7" s="67">
        <f t="shared" si="1"/>
        <v>2040</v>
      </c>
      <c r="AA7" s="67">
        <f t="shared" si="1"/>
        <v>2041</v>
      </c>
      <c r="AB7" s="67">
        <f t="shared" si="1"/>
        <v>2042</v>
      </c>
      <c r="AC7" s="67">
        <f t="shared" si="1"/>
        <v>2043</v>
      </c>
      <c r="AD7" s="67">
        <f t="shared" si="1"/>
        <v>2044</v>
      </c>
      <c r="AE7" s="67">
        <f t="shared" si="1"/>
        <v>2045</v>
      </c>
      <c r="AF7" s="67">
        <f>AE7+1</f>
        <v>2046</v>
      </c>
      <c r="AG7" s="67">
        <f>AF7+1</f>
        <v>2047</v>
      </c>
      <c r="AH7" s="67"/>
      <c r="AI7" s="67" t="s">
        <v>416</v>
      </c>
      <c r="AJ7" s="67" t="s">
        <v>415</v>
      </c>
      <c r="AM7" s="69">
        <f>Year1</f>
        <v>2021</v>
      </c>
      <c r="AN7" s="69">
        <f>AM7+1</f>
        <v>2022</v>
      </c>
      <c r="AO7" s="69">
        <f t="shared" ref="AO7:BB8" si="2">AN7+1</f>
        <v>2023</v>
      </c>
      <c r="AP7" s="69">
        <f t="shared" si="2"/>
        <v>2024</v>
      </c>
      <c r="AQ7" s="69">
        <f t="shared" si="2"/>
        <v>2025</v>
      </c>
      <c r="AR7" s="69">
        <f t="shared" si="2"/>
        <v>2026</v>
      </c>
      <c r="AS7" s="69">
        <f t="shared" si="2"/>
        <v>2027</v>
      </c>
      <c r="AT7" s="69">
        <f t="shared" si="2"/>
        <v>2028</v>
      </c>
      <c r="AU7" s="69">
        <f t="shared" si="2"/>
        <v>2029</v>
      </c>
      <c r="AV7" s="69">
        <f t="shared" si="2"/>
        <v>2030</v>
      </c>
      <c r="AW7" s="69">
        <f t="shared" si="2"/>
        <v>2031</v>
      </c>
      <c r="AX7" s="69">
        <f t="shared" si="2"/>
        <v>2032</v>
      </c>
      <c r="AY7" s="69">
        <f t="shared" si="2"/>
        <v>2033</v>
      </c>
      <c r="AZ7" s="69">
        <f t="shared" si="2"/>
        <v>2034</v>
      </c>
      <c r="BA7" s="69">
        <f t="shared" si="2"/>
        <v>2035</v>
      </c>
      <c r="BB7" s="69">
        <f t="shared" si="2"/>
        <v>2036</v>
      </c>
      <c r="BC7" s="69">
        <f>BB7+1</f>
        <v>2037</v>
      </c>
      <c r="BD7" s="69">
        <f t="shared" ref="BD7:BK8" si="3">BC7+1</f>
        <v>2038</v>
      </c>
      <c r="BE7" s="69">
        <f t="shared" si="3"/>
        <v>2039</v>
      </c>
      <c r="BF7" s="69">
        <f t="shared" si="3"/>
        <v>2040</v>
      </c>
      <c r="BG7" s="69">
        <f t="shared" si="3"/>
        <v>2041</v>
      </c>
      <c r="BH7" s="69">
        <f t="shared" si="3"/>
        <v>2042</v>
      </c>
      <c r="BI7" s="69">
        <f t="shared" si="3"/>
        <v>2043</v>
      </c>
      <c r="BJ7" s="69">
        <f t="shared" si="3"/>
        <v>2044</v>
      </c>
      <c r="BK7" s="69">
        <f t="shared" si="3"/>
        <v>2045</v>
      </c>
      <c r="BL7" s="69">
        <f>BK7+1</f>
        <v>2046</v>
      </c>
      <c r="BM7" s="69">
        <f>BL7+1</f>
        <v>2047</v>
      </c>
      <c r="BN7" s="69"/>
      <c r="BO7" s="69" t="s">
        <v>416</v>
      </c>
      <c r="BP7" s="69" t="s">
        <v>417</v>
      </c>
      <c r="BS7" s="80"/>
    </row>
    <row r="8" spans="1:72" s="51" customFormat="1" x14ac:dyDescent="0.25">
      <c r="A8" s="386"/>
      <c r="B8" s="83"/>
      <c r="C8" s="81"/>
      <c r="D8" s="82"/>
      <c r="E8" s="81"/>
      <c r="F8" s="83"/>
      <c r="G8" s="68">
        <f>IF(OR($C$4=Year2,$C$4=Year3),0,1)</f>
        <v>1</v>
      </c>
      <c r="H8" s="68">
        <f>IF($C$4=Year3,0,G8+1)</f>
        <v>2</v>
      </c>
      <c r="I8" s="68">
        <f t="shared" si="0"/>
        <v>3</v>
      </c>
      <c r="J8" s="68">
        <f t="shared" si="0"/>
        <v>4</v>
      </c>
      <c r="K8" s="68">
        <f t="shared" si="0"/>
        <v>5</v>
      </c>
      <c r="L8" s="68">
        <f t="shared" si="0"/>
        <v>6</v>
      </c>
      <c r="M8" s="68">
        <f t="shared" si="0"/>
        <v>7</v>
      </c>
      <c r="N8" s="68">
        <f t="shared" si="0"/>
        <v>8</v>
      </c>
      <c r="O8" s="68">
        <f t="shared" si="0"/>
        <v>9</v>
      </c>
      <c r="P8" s="68">
        <f t="shared" si="0"/>
        <v>10</v>
      </c>
      <c r="Q8" s="68">
        <f t="shared" si="0"/>
        <v>11</v>
      </c>
      <c r="R8" s="68">
        <f t="shared" si="0"/>
        <v>12</v>
      </c>
      <c r="S8" s="68">
        <f t="shared" si="0"/>
        <v>13</v>
      </c>
      <c r="T8" s="68">
        <f t="shared" si="0"/>
        <v>14</v>
      </c>
      <c r="U8" s="68">
        <f t="shared" si="0"/>
        <v>15</v>
      </c>
      <c r="V8" s="68">
        <f t="shared" si="0"/>
        <v>16</v>
      </c>
      <c r="W8" s="68">
        <f>V8+1</f>
        <v>17</v>
      </c>
      <c r="X8" s="68">
        <f t="shared" si="0"/>
        <v>18</v>
      </c>
      <c r="Y8" s="68">
        <f t="shared" si="1"/>
        <v>19</v>
      </c>
      <c r="Z8" s="68">
        <f t="shared" si="1"/>
        <v>20</v>
      </c>
      <c r="AA8" s="68">
        <f t="shared" si="1"/>
        <v>21</v>
      </c>
      <c r="AB8" s="68">
        <f t="shared" si="1"/>
        <v>22</v>
      </c>
      <c r="AC8" s="68">
        <f t="shared" si="1"/>
        <v>23</v>
      </c>
      <c r="AD8" s="68">
        <f t="shared" si="1"/>
        <v>24</v>
      </c>
      <c r="AE8" s="68">
        <f t="shared" si="1"/>
        <v>25</v>
      </c>
      <c r="AF8" s="68">
        <f>AE8+1</f>
        <v>26</v>
      </c>
      <c r="AG8" s="68">
        <f>AF8+1</f>
        <v>27</v>
      </c>
      <c r="AH8" s="68"/>
      <c r="AI8" s="68"/>
      <c r="AJ8" s="68"/>
      <c r="AM8" s="70">
        <f>IF(OR($C$4=Year2,$C$4=Year3),0,1)</f>
        <v>1</v>
      </c>
      <c r="AN8" s="70">
        <f>IF($C$4=Year3,0,AM8+1)</f>
        <v>2</v>
      </c>
      <c r="AO8" s="70">
        <f t="shared" si="2"/>
        <v>3</v>
      </c>
      <c r="AP8" s="70">
        <f t="shared" si="2"/>
        <v>4</v>
      </c>
      <c r="AQ8" s="70">
        <f t="shared" si="2"/>
        <v>5</v>
      </c>
      <c r="AR8" s="70">
        <f t="shared" si="2"/>
        <v>6</v>
      </c>
      <c r="AS8" s="70">
        <f t="shared" si="2"/>
        <v>7</v>
      </c>
      <c r="AT8" s="70">
        <f t="shared" si="2"/>
        <v>8</v>
      </c>
      <c r="AU8" s="70">
        <f t="shared" si="2"/>
        <v>9</v>
      </c>
      <c r="AV8" s="70">
        <f t="shared" si="2"/>
        <v>10</v>
      </c>
      <c r="AW8" s="70">
        <f t="shared" si="2"/>
        <v>11</v>
      </c>
      <c r="AX8" s="70">
        <f t="shared" si="2"/>
        <v>12</v>
      </c>
      <c r="AY8" s="70">
        <f t="shared" si="2"/>
        <v>13</v>
      </c>
      <c r="AZ8" s="70">
        <f t="shared" si="2"/>
        <v>14</v>
      </c>
      <c r="BA8" s="70">
        <f t="shared" si="2"/>
        <v>15</v>
      </c>
      <c r="BB8" s="70">
        <f t="shared" si="2"/>
        <v>16</v>
      </c>
      <c r="BC8" s="70">
        <f>BB8+1</f>
        <v>17</v>
      </c>
      <c r="BD8" s="70">
        <f t="shared" si="3"/>
        <v>18</v>
      </c>
      <c r="BE8" s="70">
        <f t="shared" si="3"/>
        <v>19</v>
      </c>
      <c r="BF8" s="70">
        <f t="shared" si="3"/>
        <v>20</v>
      </c>
      <c r="BG8" s="70">
        <f t="shared" si="3"/>
        <v>21</v>
      </c>
      <c r="BH8" s="70">
        <f t="shared" si="3"/>
        <v>22</v>
      </c>
      <c r="BI8" s="70">
        <f t="shared" si="3"/>
        <v>23</v>
      </c>
      <c r="BJ8" s="70">
        <f t="shared" si="3"/>
        <v>24</v>
      </c>
      <c r="BK8" s="70">
        <f t="shared" si="3"/>
        <v>25</v>
      </c>
      <c r="BL8" s="70">
        <f>BK8+1</f>
        <v>26</v>
      </c>
      <c r="BM8" s="70">
        <f>BL8+1</f>
        <v>27</v>
      </c>
      <c r="BN8" s="70"/>
      <c r="BO8" s="70"/>
      <c r="BP8" s="70"/>
      <c r="BS8" s="83"/>
    </row>
    <row r="9" spans="1:72" s="51" customFormat="1" ht="23.25" x14ac:dyDescent="0.25">
      <c r="A9" s="52"/>
      <c r="B9" s="195" t="str">
        <f>Lookups!$D$26</f>
        <v>Residential</v>
      </c>
      <c r="C9" s="196"/>
      <c r="D9" s="196"/>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51" t="s">
        <v>17</v>
      </c>
    </row>
    <row r="10" spans="1:72" s="5" customFormat="1" ht="15.75" x14ac:dyDescent="0.25">
      <c r="A10" s="52"/>
      <c r="B10" s="241" t="str">
        <f>B9</f>
        <v>Residential</v>
      </c>
      <c r="C10" s="63" t="s">
        <v>3</v>
      </c>
      <c r="D10" s="61"/>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M10" s="63"/>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S10" s="62"/>
      <c r="BT10" s="51" t="s">
        <v>17</v>
      </c>
    </row>
    <row r="11" spans="1:72" s="5" customFormat="1" x14ac:dyDescent="0.25">
      <c r="A11" s="52"/>
      <c r="B11" s="242" t="str">
        <f t="shared" ref="B11:C26" si="4">B10</f>
        <v>Residential</v>
      </c>
      <c r="C11" s="242" t="str">
        <f>C10</f>
        <v>Customers</v>
      </c>
      <c r="D11" s="244" t="s">
        <v>3</v>
      </c>
      <c r="E11" s="77" t="s">
        <v>3</v>
      </c>
      <c r="F11" s="76" t="s">
        <v>48</v>
      </c>
      <c r="G11" s="64">
        <f>IF(G$8=0,0,INDEX('Multi-Year Inputs'!$E$12:$AE$15,MATCH($B11,'Multi-Year Inputs'!$D$12:$D$15,0),MATCH(G$7,'Multi-Year Inputs'!$E$4:$AE$4,0)))</f>
        <v>71674.712393819893</v>
      </c>
      <c r="H11" s="64">
        <f>IF(H$8=0,0,INDEX('Multi-Year Inputs'!$E$12:$AE$15,MATCH($B11,'Multi-Year Inputs'!$D$12:$D$15,0),MATCH(H$7,'Multi-Year Inputs'!$E$4:$AE$4,0)))</f>
        <v>71674.712393819893</v>
      </c>
      <c r="I11" s="64">
        <f>IF(I$8=0,0,INDEX('Multi-Year Inputs'!$E$12:$AE$15,MATCH($B11,'Multi-Year Inputs'!$D$12:$D$15,0),MATCH(I$7,'Multi-Year Inputs'!$E$4:$AE$4,0)))</f>
        <v>71674.712393819893</v>
      </c>
      <c r="J11" s="64">
        <f>IF(J$8=0,0,INDEX('Multi-Year Inputs'!$E$12:$AE$15,MATCH($B11,'Multi-Year Inputs'!$D$12:$D$15,0),MATCH(J$7,'Multi-Year Inputs'!$E$4:$AE$4,0)))</f>
        <v>71674.712393819893</v>
      </c>
      <c r="K11" s="64">
        <f>IF(K$8=0,0,INDEX('Multi-Year Inputs'!$E$12:$AE$15,MATCH($B11,'Multi-Year Inputs'!$D$12:$D$15,0),MATCH(K$7,'Multi-Year Inputs'!$E$4:$AE$4,0)))</f>
        <v>71674.712393819893</v>
      </c>
      <c r="L11" s="64">
        <f>IF(L$8=0,0,INDEX('Multi-Year Inputs'!$E$12:$AE$15,MATCH($B11,'Multi-Year Inputs'!$D$12:$D$15,0),MATCH(L$7,'Multi-Year Inputs'!$E$4:$AE$4,0)))</f>
        <v>71674.712393819893</v>
      </c>
      <c r="M11" s="64">
        <f>IF(M$8=0,0,INDEX('Multi-Year Inputs'!$E$12:$AE$15,MATCH($B11,'Multi-Year Inputs'!$D$12:$D$15,0),MATCH(M$7,'Multi-Year Inputs'!$E$4:$AE$4,0)))</f>
        <v>71674.712393819893</v>
      </c>
      <c r="N11" s="64">
        <f>IF(N$8=0,0,INDEX('Multi-Year Inputs'!$E$12:$AE$15,MATCH($B11,'Multi-Year Inputs'!$D$12:$D$15,0),MATCH(N$7,'Multi-Year Inputs'!$E$4:$AE$4,0)))</f>
        <v>71674.712393819893</v>
      </c>
      <c r="O11" s="64">
        <f>IF(O$8=0,0,INDEX('Multi-Year Inputs'!$E$12:$AE$15,MATCH($B11,'Multi-Year Inputs'!$D$12:$D$15,0),MATCH(O$7,'Multi-Year Inputs'!$E$4:$AE$4,0)))</f>
        <v>71674.712393819893</v>
      </c>
      <c r="P11" s="64">
        <f>IF(P$8=0,0,INDEX('Multi-Year Inputs'!$E$12:$AE$15,MATCH($B11,'Multi-Year Inputs'!$D$12:$D$15,0),MATCH(P$7,'Multi-Year Inputs'!$E$4:$AE$4,0)))</f>
        <v>71674.712393819893</v>
      </c>
      <c r="Q11" s="64">
        <f>IF(Q$8=0,0,INDEX('Multi-Year Inputs'!$E$12:$AE$15,MATCH($B11,'Multi-Year Inputs'!$D$12:$D$15,0),MATCH(Q$7,'Multi-Year Inputs'!$E$4:$AE$4,0)))</f>
        <v>71674.712393819893</v>
      </c>
      <c r="R11" s="64">
        <f>IF(R$8=0,0,INDEX('Multi-Year Inputs'!$E$12:$AE$15,MATCH($B11,'Multi-Year Inputs'!$D$12:$D$15,0),MATCH(R$7,'Multi-Year Inputs'!$E$4:$AE$4,0)))</f>
        <v>71674.712393819893</v>
      </c>
      <c r="S11" s="64">
        <f>IF(S$8=0,0,INDEX('Multi-Year Inputs'!$E$12:$AE$15,MATCH($B11,'Multi-Year Inputs'!$D$12:$D$15,0),MATCH(S$7,'Multi-Year Inputs'!$E$4:$AE$4,0)))</f>
        <v>71674.712393819893</v>
      </c>
      <c r="T11" s="64">
        <f>IF(T$8=0,0,INDEX('Multi-Year Inputs'!$E$12:$AE$15,MATCH($B11,'Multi-Year Inputs'!$D$12:$D$15,0),MATCH(T$7,'Multi-Year Inputs'!$E$4:$AE$4,0)))</f>
        <v>71674.712393819893</v>
      </c>
      <c r="U11" s="64">
        <f>IF(U$8=0,0,INDEX('Multi-Year Inputs'!$E$12:$AE$15,MATCH($B11,'Multi-Year Inputs'!$D$12:$D$15,0),MATCH(U$7,'Multi-Year Inputs'!$E$4:$AE$4,0)))</f>
        <v>71674.712393819893</v>
      </c>
      <c r="V11" s="64">
        <f>IF(V$8=0,0,INDEX('Multi-Year Inputs'!$E$12:$AE$15,MATCH($B11,'Multi-Year Inputs'!$D$12:$D$15,0),MATCH(V$7,'Multi-Year Inputs'!$E$4:$AE$4,0)))</f>
        <v>71674.712393819893</v>
      </c>
      <c r="W11" s="64">
        <f>IF(W$8=0,0,INDEX('Multi-Year Inputs'!$E$12:$AE$15,MATCH($B11,'Multi-Year Inputs'!$D$12:$D$15,0),MATCH(W$7,'Multi-Year Inputs'!$E$4:$AE$4,0)))</f>
        <v>71674.712393819893</v>
      </c>
      <c r="X11" s="64">
        <f>IF(X$8=0,0,INDEX('Multi-Year Inputs'!$E$12:$AE$15,MATCH($B11,'Multi-Year Inputs'!$D$12:$D$15,0),MATCH(X$7,'Multi-Year Inputs'!$E$4:$AE$4,0)))</f>
        <v>71674.712393819893</v>
      </c>
      <c r="Y11" s="64">
        <f>IF(Y$8=0,0,INDEX('Multi-Year Inputs'!$E$12:$AE$15,MATCH($B11,'Multi-Year Inputs'!$D$12:$D$15,0),MATCH(Y$7,'Multi-Year Inputs'!$E$4:$AE$4,0)))</f>
        <v>71674.712393819893</v>
      </c>
      <c r="Z11" s="64">
        <f>IF(Z$8=0,0,INDEX('Multi-Year Inputs'!$E$12:$AE$15,MATCH($B11,'Multi-Year Inputs'!$D$12:$D$15,0),MATCH(Z$7,'Multi-Year Inputs'!$E$4:$AE$4,0)))</f>
        <v>71674.712393819893</v>
      </c>
      <c r="AA11" s="64">
        <f>IF(AA$8=0,0,INDEX('Multi-Year Inputs'!$E$12:$AE$15,MATCH($B11,'Multi-Year Inputs'!$D$12:$D$15,0),MATCH(AA$7,'Multi-Year Inputs'!$E$4:$AE$4,0)))</f>
        <v>71674.712393819893</v>
      </c>
      <c r="AB11" s="64">
        <f>IF(AB$8=0,0,INDEX('Multi-Year Inputs'!$E$12:$AE$15,MATCH($B11,'Multi-Year Inputs'!$D$12:$D$15,0),MATCH(AB$7,'Multi-Year Inputs'!$E$4:$AE$4,0)))</f>
        <v>71674.712393819893</v>
      </c>
      <c r="AC11" s="64">
        <f>IF(AC$8=0,0,INDEX('Multi-Year Inputs'!$E$12:$AE$15,MATCH($B11,'Multi-Year Inputs'!$D$12:$D$15,0),MATCH(AC$7,'Multi-Year Inputs'!$E$4:$AE$4,0)))</f>
        <v>71674.712393819893</v>
      </c>
      <c r="AD11" s="64">
        <f>IF(AD$8=0,0,INDEX('Multi-Year Inputs'!$E$12:$AE$15,MATCH($B11,'Multi-Year Inputs'!$D$12:$D$15,0),MATCH(AD$7,'Multi-Year Inputs'!$E$4:$AE$4,0)))</f>
        <v>71674.712393819893</v>
      </c>
      <c r="AE11" s="64">
        <f>IF(AE$8=0,0,INDEX('Multi-Year Inputs'!$E$12:$AE$15,MATCH($B11,'Multi-Year Inputs'!$D$12:$D$15,0),MATCH(AE$7,'Multi-Year Inputs'!$E$4:$AE$4,0)))</f>
        <v>71674.712393819893</v>
      </c>
      <c r="AF11" s="64">
        <f>IF(AF$8=0,0,INDEX('Multi-Year Inputs'!$E$12:$AE$15,MATCH($B11,'Multi-Year Inputs'!$D$12:$D$15,0),MATCH(AF$7,'Multi-Year Inputs'!$E$4:$AE$4,0)))</f>
        <v>71674.712393819893</v>
      </c>
      <c r="AG11" s="64">
        <f>IF(AG$8=0,0,INDEX('Multi-Year Inputs'!$E$12:$AE$15,MATCH($B11,'Multi-Year Inputs'!$D$12:$D$15,0),MATCH(AG$7,'Multi-Year Inputs'!$E$4:$AE$4,0)))</f>
        <v>71674.712393819893</v>
      </c>
      <c r="AH11" s="64"/>
      <c r="AI11" s="64"/>
      <c r="AJ11" s="64"/>
      <c r="AM11" s="71">
        <f>IF(AM$8=0,0,INDEX('Multi-Year Inputs'!$E$12:$AE$15,MATCH($B11,'Multi-Year Inputs'!$D$12:$D$15,0),MATCH(AM$7,'Multi-Year Inputs'!$E$4:$AE$4,0)))</f>
        <v>71674.712393819893</v>
      </c>
      <c r="AN11" s="71">
        <f>IF(AN$8=0,0,INDEX('Multi-Year Inputs'!$E$12:$AE$15,MATCH($B11,'Multi-Year Inputs'!$D$12:$D$15,0),MATCH(AN$7,'Multi-Year Inputs'!$E$4:$AE$4,0)))</f>
        <v>71674.712393819893</v>
      </c>
      <c r="AO11" s="71">
        <f>IF(AO$8=0,0,INDEX('Multi-Year Inputs'!$E$12:$AE$15,MATCH($B11,'Multi-Year Inputs'!$D$12:$D$15,0),MATCH(AO$7,'Multi-Year Inputs'!$E$4:$AE$4,0)))</f>
        <v>71674.712393819893</v>
      </c>
      <c r="AP11" s="71">
        <f>IF(AP$8=0,0,INDEX('Multi-Year Inputs'!$E$12:$AE$15,MATCH($B11,'Multi-Year Inputs'!$D$12:$D$15,0),MATCH(AP$7,'Multi-Year Inputs'!$E$4:$AE$4,0)))</f>
        <v>71674.712393819893</v>
      </c>
      <c r="AQ11" s="71">
        <f>IF(AQ$8=0,0,INDEX('Multi-Year Inputs'!$E$12:$AE$15,MATCH($B11,'Multi-Year Inputs'!$D$12:$D$15,0),MATCH(AQ$7,'Multi-Year Inputs'!$E$4:$AE$4,0)))</f>
        <v>71674.712393819893</v>
      </c>
      <c r="AR11" s="71">
        <f>IF(AR$8=0,0,INDEX('Multi-Year Inputs'!$E$12:$AE$15,MATCH($B11,'Multi-Year Inputs'!$D$12:$D$15,0),MATCH(AR$7,'Multi-Year Inputs'!$E$4:$AE$4,0)))</f>
        <v>71674.712393819893</v>
      </c>
      <c r="AS11" s="71">
        <f>IF(AS$8=0,0,INDEX('Multi-Year Inputs'!$E$12:$AE$15,MATCH($B11,'Multi-Year Inputs'!$D$12:$D$15,0),MATCH(AS$7,'Multi-Year Inputs'!$E$4:$AE$4,0)))</f>
        <v>71674.712393819893</v>
      </c>
      <c r="AT11" s="71">
        <f>IF(AT$8=0,0,INDEX('Multi-Year Inputs'!$E$12:$AE$15,MATCH($B11,'Multi-Year Inputs'!$D$12:$D$15,0),MATCH(AT$7,'Multi-Year Inputs'!$E$4:$AE$4,0)))</f>
        <v>71674.712393819893</v>
      </c>
      <c r="AU11" s="71">
        <f>IF(AU$8=0,0,INDEX('Multi-Year Inputs'!$E$12:$AE$15,MATCH($B11,'Multi-Year Inputs'!$D$12:$D$15,0),MATCH(AU$7,'Multi-Year Inputs'!$E$4:$AE$4,0)))</f>
        <v>71674.712393819893</v>
      </c>
      <c r="AV11" s="71">
        <f>IF(AV$8=0,0,INDEX('Multi-Year Inputs'!$E$12:$AE$15,MATCH($B11,'Multi-Year Inputs'!$D$12:$D$15,0),MATCH(AV$7,'Multi-Year Inputs'!$E$4:$AE$4,0)))</f>
        <v>71674.712393819893</v>
      </c>
      <c r="AW11" s="71">
        <f>IF(AW$8=0,0,INDEX('Multi-Year Inputs'!$E$12:$AE$15,MATCH($B11,'Multi-Year Inputs'!$D$12:$D$15,0),MATCH(AW$7,'Multi-Year Inputs'!$E$4:$AE$4,0)))</f>
        <v>71674.712393819893</v>
      </c>
      <c r="AX11" s="71">
        <f>IF(AX$8=0,0,INDEX('Multi-Year Inputs'!$E$12:$AE$15,MATCH($B11,'Multi-Year Inputs'!$D$12:$D$15,0),MATCH(AX$7,'Multi-Year Inputs'!$E$4:$AE$4,0)))</f>
        <v>71674.712393819893</v>
      </c>
      <c r="AY11" s="71">
        <f>IF(AY$8=0,0,INDEX('Multi-Year Inputs'!$E$12:$AE$15,MATCH($B11,'Multi-Year Inputs'!$D$12:$D$15,0),MATCH(AY$7,'Multi-Year Inputs'!$E$4:$AE$4,0)))</f>
        <v>71674.712393819893</v>
      </c>
      <c r="AZ11" s="71">
        <f>IF(AZ$8=0,0,INDEX('Multi-Year Inputs'!$E$12:$AE$15,MATCH($B11,'Multi-Year Inputs'!$D$12:$D$15,0),MATCH(AZ$7,'Multi-Year Inputs'!$E$4:$AE$4,0)))</f>
        <v>71674.712393819893</v>
      </c>
      <c r="BA11" s="71">
        <f>IF(BA$8=0,0,INDEX('Multi-Year Inputs'!$E$12:$AE$15,MATCH($B11,'Multi-Year Inputs'!$D$12:$D$15,0),MATCH(BA$7,'Multi-Year Inputs'!$E$4:$AE$4,0)))</f>
        <v>71674.712393819893</v>
      </c>
      <c r="BB11" s="71">
        <f>IF(BB$8=0,0,INDEX('Multi-Year Inputs'!$E$12:$AE$15,MATCH($B11,'Multi-Year Inputs'!$D$12:$D$15,0),MATCH(BB$7,'Multi-Year Inputs'!$E$4:$AE$4,0)))</f>
        <v>71674.712393819893</v>
      </c>
      <c r="BC11" s="71">
        <f>IF(BC$8=0,0,INDEX('Multi-Year Inputs'!$E$12:$AE$15,MATCH($B11,'Multi-Year Inputs'!$D$12:$D$15,0),MATCH(BC$7,'Multi-Year Inputs'!$E$4:$AE$4,0)))</f>
        <v>71674.712393819893</v>
      </c>
      <c r="BD11" s="71">
        <f>IF(BD$8=0,0,INDEX('Multi-Year Inputs'!$E$12:$AE$15,MATCH($B11,'Multi-Year Inputs'!$D$12:$D$15,0),MATCH(BD$7,'Multi-Year Inputs'!$E$4:$AE$4,0)))</f>
        <v>71674.712393819893</v>
      </c>
      <c r="BE11" s="71">
        <f>IF(BE$8=0,0,INDEX('Multi-Year Inputs'!$E$12:$AE$15,MATCH($B11,'Multi-Year Inputs'!$D$12:$D$15,0),MATCH(BE$7,'Multi-Year Inputs'!$E$4:$AE$4,0)))</f>
        <v>71674.712393819893</v>
      </c>
      <c r="BF11" s="71">
        <f>IF(BF$8=0,0,INDEX('Multi-Year Inputs'!$E$12:$AE$15,MATCH($B11,'Multi-Year Inputs'!$D$12:$D$15,0),MATCH(BF$7,'Multi-Year Inputs'!$E$4:$AE$4,0)))</f>
        <v>71674.712393819893</v>
      </c>
      <c r="BG11" s="71">
        <f>IF(BG$8=0,0,INDEX('Multi-Year Inputs'!$E$12:$AE$15,MATCH($B11,'Multi-Year Inputs'!$D$12:$D$15,0),MATCH(BG$7,'Multi-Year Inputs'!$E$4:$AE$4,0)))</f>
        <v>71674.712393819893</v>
      </c>
      <c r="BH11" s="71">
        <f>IF(BH$8=0,0,INDEX('Multi-Year Inputs'!$E$12:$AE$15,MATCH($B11,'Multi-Year Inputs'!$D$12:$D$15,0),MATCH(BH$7,'Multi-Year Inputs'!$E$4:$AE$4,0)))</f>
        <v>71674.712393819893</v>
      </c>
      <c r="BI11" s="71">
        <f>IF(BI$8=0,0,INDEX('Multi-Year Inputs'!$E$12:$AE$15,MATCH($B11,'Multi-Year Inputs'!$D$12:$D$15,0),MATCH(BI$7,'Multi-Year Inputs'!$E$4:$AE$4,0)))</f>
        <v>71674.712393819893</v>
      </c>
      <c r="BJ11" s="71">
        <f>IF(BJ$8=0,0,INDEX('Multi-Year Inputs'!$E$12:$AE$15,MATCH($B11,'Multi-Year Inputs'!$D$12:$D$15,0),MATCH(BJ$7,'Multi-Year Inputs'!$E$4:$AE$4,0)))</f>
        <v>71674.712393819893</v>
      </c>
      <c r="BK11" s="71">
        <f>IF(BK$8=0,0,INDEX('Multi-Year Inputs'!$E$12:$AE$15,MATCH($B11,'Multi-Year Inputs'!$D$12:$D$15,0),MATCH(BK$7,'Multi-Year Inputs'!$E$4:$AE$4,0)))</f>
        <v>71674.712393819893</v>
      </c>
      <c r="BL11" s="71">
        <f>IF(BL$8=0,0,INDEX('Multi-Year Inputs'!$E$12:$AE$15,MATCH($B11,'Multi-Year Inputs'!$D$12:$D$15,0),MATCH(BL$7,'Multi-Year Inputs'!$E$4:$AE$4,0)))</f>
        <v>71674.712393819893</v>
      </c>
      <c r="BM11" s="71">
        <f>IF(BM$8=0,0,INDEX('Multi-Year Inputs'!$E$12:$AE$15,MATCH($B11,'Multi-Year Inputs'!$D$12:$D$15,0),MATCH(BM$7,'Multi-Year Inputs'!$E$4:$AE$4,0)))</f>
        <v>71674.712393819893</v>
      </c>
      <c r="BN11" s="72"/>
      <c r="BO11" s="72"/>
      <c r="BP11" s="72"/>
      <c r="BS11" s="76" t="s">
        <v>89</v>
      </c>
      <c r="BT11" s="51" t="s">
        <v>17</v>
      </c>
    </row>
    <row r="12" spans="1:72" s="5" customFormat="1" x14ac:dyDescent="0.25">
      <c r="A12" s="52"/>
      <c r="B12" s="242" t="str">
        <f t="shared" si="4"/>
        <v>Residential</v>
      </c>
      <c r="C12" s="242" t="str">
        <f>C11</f>
        <v>Customers</v>
      </c>
      <c r="D12" s="244" t="s">
        <v>40</v>
      </c>
      <c r="E12" s="77" t="s">
        <v>40</v>
      </c>
      <c r="F12" s="76" t="s">
        <v>2</v>
      </c>
      <c r="G12" s="65" t="str">
        <f ca="1">IF($C$4=Lookups!$D$40,IF(SUM(INDIRECT("'Yr1'!"&amp;ADDRESS(ROW(G12),COLUMN(G12))),INDIRECT("'Yr2'!"&amp;ADDRESS(ROW(G12),COLUMN(G12))),INDIRECT("'Yr3'!"&amp;ADDRESS(ROW(G12),COLUMN(G12))))&gt;0,"3 Yr. total",0),
IF(G$7&lt;$C$4,0,IF(G$8&lt;=SUMIFS('EE Inputs'!$V$9:$V$32,'EE Inputs'!$C$9:$C$32,$G$6,'EE Inputs'!$D$9:$D$32,$C$4,'EE Inputs'!$E$9:$E$32,$B12),SUMIFS('EE Inputs'!$V$9:$V$32,'EE Inputs'!$C$9:$C$32,$G$6,'EE Inputs'!$D$9:$D$32,$C$4,'EE Inputs'!$E$9:$E$32,$B12),0)))</f>
        <v>3 Yr. total</v>
      </c>
      <c r="H12" s="65" t="str">
        <f ca="1">IF($C$4=Lookups!$D$40,IF(SUM(INDIRECT("'Yr1'!"&amp;ADDRESS(ROW(H12),COLUMN(H12))),INDIRECT("'Yr2'!"&amp;ADDRESS(ROW(H12),COLUMN(H12))),INDIRECT("'Yr3'!"&amp;ADDRESS(ROW(H12),COLUMN(H12))))&gt;0,"3 Yr. total",0),
IF(H$7&lt;$C$4,0,IF(H$8&lt;=SUMIFS('EE Inputs'!$V$9:$V$32,'EE Inputs'!$C$9:$C$32,$G$6,'EE Inputs'!$D$9:$D$32,$C$4,'EE Inputs'!$E$9:$E$32,$B12),SUMIFS('EE Inputs'!$V$9:$V$32,'EE Inputs'!$C$9:$C$32,$G$6,'EE Inputs'!$D$9:$D$32,$C$4,'EE Inputs'!$E$9:$E$32,$B12),0)))</f>
        <v>3 Yr. total</v>
      </c>
      <c r="I12" s="65" t="str">
        <f ca="1">IF($C$4=Lookups!$D$40,IF(SUM(INDIRECT("'Yr1'!"&amp;ADDRESS(ROW(I12),COLUMN(I12))),INDIRECT("'Yr2'!"&amp;ADDRESS(ROW(I12),COLUMN(I12))),INDIRECT("'Yr3'!"&amp;ADDRESS(ROW(I12),COLUMN(I12))))&gt;0,"3 Yr. total",0),
IF(I$7&lt;$C$4,0,IF(I$8&lt;=SUMIFS('EE Inputs'!$V$9:$V$32,'EE Inputs'!$C$9:$C$32,$G$6,'EE Inputs'!$D$9:$D$32,$C$4,'EE Inputs'!$E$9:$E$32,$B12),SUMIFS('EE Inputs'!$V$9:$V$32,'EE Inputs'!$C$9:$C$32,$G$6,'EE Inputs'!$D$9:$D$32,$C$4,'EE Inputs'!$E$9:$E$32,$B12),0)))</f>
        <v>3 Yr. total</v>
      </c>
      <c r="J12" s="65" t="str">
        <f ca="1">IF($C$4=Lookups!$D$40,IF(SUM(INDIRECT("'Yr1'!"&amp;ADDRESS(ROW(J12),COLUMN(J12))),INDIRECT("'Yr2'!"&amp;ADDRESS(ROW(J12),COLUMN(J12))),INDIRECT("'Yr3'!"&amp;ADDRESS(ROW(J12),COLUMN(J12))))&gt;0,"3 Yr. total",0),
IF(J$7&lt;$C$4,0,IF(J$8&lt;=SUMIFS('EE Inputs'!$V$9:$V$32,'EE Inputs'!$C$9:$C$32,$G$6,'EE Inputs'!$D$9:$D$32,$C$4,'EE Inputs'!$E$9:$E$32,$B12),SUMIFS('EE Inputs'!$V$9:$V$32,'EE Inputs'!$C$9:$C$32,$G$6,'EE Inputs'!$D$9:$D$32,$C$4,'EE Inputs'!$E$9:$E$32,$B12),0)))</f>
        <v>3 Yr. total</v>
      </c>
      <c r="K12" s="65" t="str">
        <f ca="1">IF($C$4=Lookups!$D$40,IF(SUM(INDIRECT("'Yr1'!"&amp;ADDRESS(ROW(K12),COLUMN(K12))),INDIRECT("'Yr2'!"&amp;ADDRESS(ROW(K12),COLUMN(K12))),INDIRECT("'Yr3'!"&amp;ADDRESS(ROW(K12),COLUMN(K12))))&gt;0,"3 Yr. total",0),
IF(K$7&lt;$C$4,0,IF(K$8&lt;=SUMIFS('EE Inputs'!$V$9:$V$32,'EE Inputs'!$C$9:$C$32,$G$6,'EE Inputs'!$D$9:$D$32,$C$4,'EE Inputs'!$E$9:$E$32,$B12),SUMIFS('EE Inputs'!$V$9:$V$32,'EE Inputs'!$C$9:$C$32,$G$6,'EE Inputs'!$D$9:$D$32,$C$4,'EE Inputs'!$E$9:$E$32,$B12),0)))</f>
        <v>3 Yr. total</v>
      </c>
      <c r="L12" s="65" t="str">
        <f ca="1">IF($C$4=Lookups!$D$40,IF(SUM(INDIRECT("'Yr1'!"&amp;ADDRESS(ROW(L12),COLUMN(L12))),INDIRECT("'Yr2'!"&amp;ADDRESS(ROW(L12),COLUMN(L12))),INDIRECT("'Yr3'!"&amp;ADDRESS(ROW(L12),COLUMN(L12))))&gt;0,"3 Yr. total",0),
IF(L$7&lt;$C$4,0,IF(L$8&lt;=SUMIFS('EE Inputs'!$V$9:$V$32,'EE Inputs'!$C$9:$C$32,$G$6,'EE Inputs'!$D$9:$D$32,$C$4,'EE Inputs'!$E$9:$E$32,$B12),SUMIFS('EE Inputs'!$V$9:$V$32,'EE Inputs'!$C$9:$C$32,$G$6,'EE Inputs'!$D$9:$D$32,$C$4,'EE Inputs'!$E$9:$E$32,$B12),0)))</f>
        <v>3 Yr. total</v>
      </c>
      <c r="M12" s="65" t="str">
        <f ca="1">IF($C$4=Lookups!$D$40,IF(SUM(INDIRECT("'Yr1'!"&amp;ADDRESS(ROW(M12),COLUMN(M12))),INDIRECT("'Yr2'!"&amp;ADDRESS(ROW(M12),COLUMN(M12))),INDIRECT("'Yr3'!"&amp;ADDRESS(ROW(M12),COLUMN(M12))))&gt;0,"3 Yr. total",0),
IF(M$7&lt;$C$4,0,IF(M$8&lt;=SUMIFS('EE Inputs'!$V$9:$V$32,'EE Inputs'!$C$9:$C$32,$G$6,'EE Inputs'!$D$9:$D$32,$C$4,'EE Inputs'!$E$9:$E$32,$B12),SUMIFS('EE Inputs'!$V$9:$V$32,'EE Inputs'!$C$9:$C$32,$G$6,'EE Inputs'!$D$9:$D$32,$C$4,'EE Inputs'!$E$9:$E$32,$B12),0)))</f>
        <v>3 Yr. total</v>
      </c>
      <c r="N12" s="65" t="str">
        <f ca="1">IF($C$4=Lookups!$D$40,IF(SUM(INDIRECT("'Yr1'!"&amp;ADDRESS(ROW(N12),COLUMN(N12))),INDIRECT("'Yr2'!"&amp;ADDRESS(ROW(N12),COLUMN(N12))),INDIRECT("'Yr3'!"&amp;ADDRESS(ROW(N12),COLUMN(N12))))&gt;0,"3 Yr. total",0),
IF(N$7&lt;$C$4,0,IF(N$8&lt;=SUMIFS('EE Inputs'!$V$9:$V$32,'EE Inputs'!$C$9:$C$32,$G$6,'EE Inputs'!$D$9:$D$32,$C$4,'EE Inputs'!$E$9:$E$32,$B12),SUMIFS('EE Inputs'!$V$9:$V$32,'EE Inputs'!$C$9:$C$32,$G$6,'EE Inputs'!$D$9:$D$32,$C$4,'EE Inputs'!$E$9:$E$32,$B12),0)))</f>
        <v>3 Yr. total</v>
      </c>
      <c r="O12" s="65" t="str">
        <f ca="1">IF($C$4=Lookups!$D$40,IF(SUM(INDIRECT("'Yr1'!"&amp;ADDRESS(ROW(O12),COLUMN(O12))),INDIRECT("'Yr2'!"&amp;ADDRESS(ROW(O12),COLUMN(O12))),INDIRECT("'Yr3'!"&amp;ADDRESS(ROW(O12),COLUMN(O12))))&gt;0,"3 Yr. total",0),
IF(O$7&lt;$C$4,0,IF(O$8&lt;=SUMIFS('EE Inputs'!$V$9:$V$32,'EE Inputs'!$C$9:$C$32,$G$6,'EE Inputs'!$D$9:$D$32,$C$4,'EE Inputs'!$E$9:$E$32,$B12),SUMIFS('EE Inputs'!$V$9:$V$32,'EE Inputs'!$C$9:$C$32,$G$6,'EE Inputs'!$D$9:$D$32,$C$4,'EE Inputs'!$E$9:$E$32,$B12),0)))</f>
        <v>3 Yr. total</v>
      </c>
      <c r="P12" s="65" t="str">
        <f ca="1">IF($C$4=Lookups!$D$40,IF(SUM(INDIRECT("'Yr1'!"&amp;ADDRESS(ROW(P12),COLUMN(P12))),INDIRECT("'Yr2'!"&amp;ADDRESS(ROW(P12),COLUMN(P12))),INDIRECT("'Yr3'!"&amp;ADDRESS(ROW(P12),COLUMN(P12))))&gt;0,"3 Yr. total",0),
IF(P$7&lt;$C$4,0,IF(P$8&lt;=SUMIFS('EE Inputs'!$V$9:$V$32,'EE Inputs'!$C$9:$C$32,$G$6,'EE Inputs'!$D$9:$D$32,$C$4,'EE Inputs'!$E$9:$E$32,$B12),SUMIFS('EE Inputs'!$V$9:$V$32,'EE Inputs'!$C$9:$C$32,$G$6,'EE Inputs'!$D$9:$D$32,$C$4,'EE Inputs'!$E$9:$E$32,$B12),0)))</f>
        <v>3 Yr. total</v>
      </c>
      <c r="Q12" s="65" t="str">
        <f ca="1">IF($C$4=Lookups!$D$40,IF(SUM(INDIRECT("'Yr1'!"&amp;ADDRESS(ROW(Q12),COLUMN(Q12))),INDIRECT("'Yr2'!"&amp;ADDRESS(ROW(Q12),COLUMN(Q12))),INDIRECT("'Yr3'!"&amp;ADDRESS(ROW(Q12),COLUMN(Q12))))&gt;0,"3 Yr. total",0),
IF(Q$7&lt;$C$4,0,IF(Q$8&lt;=SUMIFS('EE Inputs'!$V$9:$V$32,'EE Inputs'!$C$9:$C$32,$G$6,'EE Inputs'!$D$9:$D$32,$C$4,'EE Inputs'!$E$9:$E$32,$B12),SUMIFS('EE Inputs'!$V$9:$V$32,'EE Inputs'!$C$9:$C$32,$G$6,'EE Inputs'!$D$9:$D$32,$C$4,'EE Inputs'!$E$9:$E$32,$B12),0)))</f>
        <v>3 Yr. total</v>
      </c>
      <c r="R12" s="65" t="str">
        <f ca="1">IF($C$4=Lookups!$D$40,IF(SUM(INDIRECT("'Yr1'!"&amp;ADDRESS(ROW(R12),COLUMN(R12))),INDIRECT("'Yr2'!"&amp;ADDRESS(ROW(R12),COLUMN(R12))),INDIRECT("'Yr3'!"&amp;ADDRESS(ROW(R12),COLUMN(R12))))&gt;0,"3 Yr. total",0),
IF(R$7&lt;$C$4,0,IF(R$8&lt;=SUMIFS('EE Inputs'!$V$9:$V$32,'EE Inputs'!$C$9:$C$32,$G$6,'EE Inputs'!$D$9:$D$32,$C$4,'EE Inputs'!$E$9:$E$32,$B12),SUMIFS('EE Inputs'!$V$9:$V$32,'EE Inputs'!$C$9:$C$32,$G$6,'EE Inputs'!$D$9:$D$32,$C$4,'EE Inputs'!$E$9:$E$32,$B12),0)))</f>
        <v>3 Yr. total</v>
      </c>
      <c r="S12" s="65" t="str">
        <f ca="1">IF($C$4=Lookups!$D$40,IF(SUM(INDIRECT("'Yr1'!"&amp;ADDRESS(ROW(S12),COLUMN(S12))),INDIRECT("'Yr2'!"&amp;ADDRESS(ROW(S12),COLUMN(S12))),INDIRECT("'Yr3'!"&amp;ADDRESS(ROW(S12),COLUMN(S12))))&gt;0,"3 Yr. total",0),
IF(S$7&lt;$C$4,0,IF(S$8&lt;=SUMIFS('EE Inputs'!$V$9:$V$32,'EE Inputs'!$C$9:$C$32,$G$6,'EE Inputs'!$D$9:$D$32,$C$4,'EE Inputs'!$E$9:$E$32,$B12),SUMIFS('EE Inputs'!$V$9:$V$32,'EE Inputs'!$C$9:$C$32,$G$6,'EE Inputs'!$D$9:$D$32,$C$4,'EE Inputs'!$E$9:$E$32,$B12),0)))</f>
        <v>3 Yr. total</v>
      </c>
      <c r="T12" s="65" t="str">
        <f ca="1">IF($C$4=Lookups!$D$40,IF(SUM(INDIRECT("'Yr1'!"&amp;ADDRESS(ROW(T12),COLUMN(T12))),INDIRECT("'Yr2'!"&amp;ADDRESS(ROW(T12),COLUMN(T12))),INDIRECT("'Yr3'!"&amp;ADDRESS(ROW(T12),COLUMN(T12))))&gt;0,"3 Yr. total",0),
IF(T$7&lt;$C$4,0,IF(T$8&lt;=SUMIFS('EE Inputs'!$V$9:$V$32,'EE Inputs'!$C$9:$C$32,$G$6,'EE Inputs'!$D$9:$D$32,$C$4,'EE Inputs'!$E$9:$E$32,$B12),SUMIFS('EE Inputs'!$V$9:$V$32,'EE Inputs'!$C$9:$C$32,$G$6,'EE Inputs'!$D$9:$D$32,$C$4,'EE Inputs'!$E$9:$E$32,$B12),0)))</f>
        <v>3 Yr. total</v>
      </c>
      <c r="U12" s="65" t="str">
        <f ca="1">IF($C$4=Lookups!$D$40,IF(SUM(INDIRECT("'Yr1'!"&amp;ADDRESS(ROW(U12),COLUMN(U12))),INDIRECT("'Yr2'!"&amp;ADDRESS(ROW(U12),COLUMN(U12))),INDIRECT("'Yr3'!"&amp;ADDRESS(ROW(U12),COLUMN(U12))))&gt;0,"3 Yr. total",0),
IF(U$7&lt;$C$4,0,IF(U$8&lt;=SUMIFS('EE Inputs'!$V$9:$V$32,'EE Inputs'!$C$9:$C$32,$G$6,'EE Inputs'!$D$9:$D$32,$C$4,'EE Inputs'!$E$9:$E$32,$B12),SUMIFS('EE Inputs'!$V$9:$V$32,'EE Inputs'!$C$9:$C$32,$G$6,'EE Inputs'!$D$9:$D$32,$C$4,'EE Inputs'!$E$9:$E$32,$B12),0)))</f>
        <v>3 Yr. total</v>
      </c>
      <c r="V12" s="65" t="str">
        <f ca="1">IF($C$4=Lookups!$D$40,IF(SUM(INDIRECT("'Yr1'!"&amp;ADDRESS(ROW(V12),COLUMN(V12))),INDIRECT("'Yr2'!"&amp;ADDRESS(ROW(V12),COLUMN(V12))),INDIRECT("'Yr3'!"&amp;ADDRESS(ROW(V12),COLUMN(V12))))&gt;0,"3 Yr. total",0),
IF(V$7&lt;$C$4,0,IF(V$8&lt;=SUMIFS('EE Inputs'!$V$9:$V$32,'EE Inputs'!$C$9:$C$32,$G$6,'EE Inputs'!$D$9:$D$32,$C$4,'EE Inputs'!$E$9:$E$32,$B12),SUMIFS('EE Inputs'!$V$9:$V$32,'EE Inputs'!$C$9:$C$32,$G$6,'EE Inputs'!$D$9:$D$32,$C$4,'EE Inputs'!$E$9:$E$32,$B12),0)))</f>
        <v>3 Yr. total</v>
      </c>
      <c r="W12" s="65" t="str">
        <f ca="1">IF($C$4=Lookups!$D$40,IF(SUM(INDIRECT("'Yr1'!"&amp;ADDRESS(ROW(W12),COLUMN(W12))),INDIRECT("'Yr2'!"&amp;ADDRESS(ROW(W12),COLUMN(W12))),INDIRECT("'Yr3'!"&amp;ADDRESS(ROW(W12),COLUMN(W12))))&gt;0,"3 Yr. total",0),
IF(W$7&lt;$C$4,0,IF(W$8&lt;=SUMIFS('EE Inputs'!$V$9:$V$32,'EE Inputs'!$C$9:$C$32,$G$6,'EE Inputs'!$D$9:$D$32,$C$4,'EE Inputs'!$E$9:$E$32,$B12),SUMIFS('EE Inputs'!$V$9:$V$32,'EE Inputs'!$C$9:$C$32,$G$6,'EE Inputs'!$D$9:$D$32,$C$4,'EE Inputs'!$E$9:$E$32,$B12),0)))</f>
        <v>3 Yr. total</v>
      </c>
      <c r="X12" s="65">
        <f ca="1">IF($C$4=Lookups!$D$40,IF(SUM(INDIRECT("'Yr1'!"&amp;ADDRESS(ROW(X12),COLUMN(X12))),INDIRECT("'Yr2'!"&amp;ADDRESS(ROW(X12),COLUMN(X12))),INDIRECT("'Yr3'!"&amp;ADDRESS(ROW(X12),COLUMN(X12))))&gt;0,"3 Yr. total",0),
IF(X$7&lt;$C$4,0,IF(X$8&lt;=SUMIFS('EE Inputs'!$V$9:$V$32,'EE Inputs'!$C$9:$C$32,$G$6,'EE Inputs'!$D$9:$D$32,$C$4,'EE Inputs'!$E$9:$E$32,$B12),SUMIFS('EE Inputs'!$V$9:$V$32,'EE Inputs'!$C$9:$C$32,$G$6,'EE Inputs'!$D$9:$D$32,$C$4,'EE Inputs'!$E$9:$E$32,$B12),0)))</f>
        <v>0</v>
      </c>
      <c r="Y12" s="65">
        <f ca="1">IF($C$4=Lookups!$D$40,IF(SUM(INDIRECT("'Yr1'!"&amp;ADDRESS(ROW(Y12),COLUMN(Y12))),INDIRECT("'Yr2'!"&amp;ADDRESS(ROW(Y12),COLUMN(Y12))),INDIRECT("'Yr3'!"&amp;ADDRESS(ROW(Y12),COLUMN(Y12))))&gt;0,"3 Yr. total",0),
IF(Y$7&lt;$C$4,0,IF(Y$8&lt;=SUMIFS('EE Inputs'!$V$9:$V$32,'EE Inputs'!$C$9:$C$32,$G$6,'EE Inputs'!$D$9:$D$32,$C$4,'EE Inputs'!$E$9:$E$32,$B12),SUMIFS('EE Inputs'!$V$9:$V$32,'EE Inputs'!$C$9:$C$32,$G$6,'EE Inputs'!$D$9:$D$32,$C$4,'EE Inputs'!$E$9:$E$32,$B12),0)))</f>
        <v>0</v>
      </c>
      <c r="Z12" s="65">
        <f ca="1">IF($C$4=Lookups!$D$40,IF(SUM(INDIRECT("'Yr1'!"&amp;ADDRESS(ROW(Z12),COLUMN(Z12))),INDIRECT("'Yr2'!"&amp;ADDRESS(ROW(Z12),COLUMN(Z12))),INDIRECT("'Yr3'!"&amp;ADDRESS(ROW(Z12),COLUMN(Z12))))&gt;0,"3 Yr. total",0),
IF(Z$7&lt;$C$4,0,IF(Z$8&lt;=SUMIFS('EE Inputs'!$V$9:$V$32,'EE Inputs'!$C$9:$C$32,$G$6,'EE Inputs'!$D$9:$D$32,$C$4,'EE Inputs'!$E$9:$E$32,$B12),SUMIFS('EE Inputs'!$V$9:$V$32,'EE Inputs'!$C$9:$C$32,$G$6,'EE Inputs'!$D$9:$D$32,$C$4,'EE Inputs'!$E$9:$E$32,$B12),0)))</f>
        <v>0</v>
      </c>
      <c r="AA12" s="65">
        <f ca="1">IF($C$4=Lookups!$D$40,IF(SUM(INDIRECT("'Yr1'!"&amp;ADDRESS(ROW(AA12),COLUMN(AA12))),INDIRECT("'Yr2'!"&amp;ADDRESS(ROW(AA12),COLUMN(AA12))),INDIRECT("'Yr3'!"&amp;ADDRESS(ROW(AA12),COLUMN(AA12))))&gt;0,"3 Yr. total",0),
IF(AA$7&lt;$C$4,0,IF(AA$8&lt;=SUMIFS('EE Inputs'!$V$9:$V$32,'EE Inputs'!$C$9:$C$32,$G$6,'EE Inputs'!$D$9:$D$32,$C$4,'EE Inputs'!$E$9:$E$32,$B12),SUMIFS('EE Inputs'!$V$9:$V$32,'EE Inputs'!$C$9:$C$32,$G$6,'EE Inputs'!$D$9:$D$32,$C$4,'EE Inputs'!$E$9:$E$32,$B12),0)))</f>
        <v>0</v>
      </c>
      <c r="AB12" s="65">
        <f ca="1">IF($C$4=Lookups!$D$40,IF(SUM(INDIRECT("'Yr1'!"&amp;ADDRESS(ROW(AB12),COLUMN(AB12))),INDIRECT("'Yr2'!"&amp;ADDRESS(ROW(AB12),COLUMN(AB12))),INDIRECT("'Yr3'!"&amp;ADDRESS(ROW(AB12),COLUMN(AB12))))&gt;0,"3 Yr. total",0),
IF(AB$7&lt;$C$4,0,IF(AB$8&lt;=SUMIFS('EE Inputs'!$V$9:$V$32,'EE Inputs'!$C$9:$C$32,$G$6,'EE Inputs'!$D$9:$D$32,$C$4,'EE Inputs'!$E$9:$E$32,$B12),SUMIFS('EE Inputs'!$V$9:$V$32,'EE Inputs'!$C$9:$C$32,$G$6,'EE Inputs'!$D$9:$D$32,$C$4,'EE Inputs'!$E$9:$E$32,$B12),0)))</f>
        <v>0</v>
      </c>
      <c r="AC12" s="65">
        <f ca="1">IF($C$4=Lookups!$D$40,IF(SUM(INDIRECT("'Yr1'!"&amp;ADDRESS(ROW(AC12),COLUMN(AC12))),INDIRECT("'Yr2'!"&amp;ADDRESS(ROW(AC12),COLUMN(AC12))),INDIRECT("'Yr3'!"&amp;ADDRESS(ROW(AC12),COLUMN(AC12))))&gt;0,"3 Yr. total",0),
IF(AC$7&lt;$C$4,0,IF(AC$8&lt;=SUMIFS('EE Inputs'!$V$9:$V$32,'EE Inputs'!$C$9:$C$32,$G$6,'EE Inputs'!$D$9:$D$32,$C$4,'EE Inputs'!$E$9:$E$32,$B12),SUMIFS('EE Inputs'!$V$9:$V$32,'EE Inputs'!$C$9:$C$32,$G$6,'EE Inputs'!$D$9:$D$32,$C$4,'EE Inputs'!$E$9:$E$32,$B12),0)))</f>
        <v>0</v>
      </c>
      <c r="AD12" s="65">
        <f ca="1">IF($C$4=Lookups!$D$40,IF(SUM(INDIRECT("'Yr1'!"&amp;ADDRESS(ROW(AD12),COLUMN(AD12))),INDIRECT("'Yr2'!"&amp;ADDRESS(ROW(AD12),COLUMN(AD12))),INDIRECT("'Yr3'!"&amp;ADDRESS(ROW(AD12),COLUMN(AD12))))&gt;0,"3 Yr. total",0),
IF(AD$7&lt;$C$4,0,IF(AD$8&lt;=SUMIFS('EE Inputs'!$V$9:$V$32,'EE Inputs'!$C$9:$C$32,$G$6,'EE Inputs'!$D$9:$D$32,$C$4,'EE Inputs'!$E$9:$E$32,$B12),SUMIFS('EE Inputs'!$V$9:$V$32,'EE Inputs'!$C$9:$C$32,$G$6,'EE Inputs'!$D$9:$D$32,$C$4,'EE Inputs'!$E$9:$E$32,$B12),0)))</f>
        <v>0</v>
      </c>
      <c r="AE12" s="65">
        <f ca="1">IF($C$4=Lookups!$D$40,IF(SUM(INDIRECT("'Yr1'!"&amp;ADDRESS(ROW(AE12),COLUMN(AE12))),INDIRECT("'Yr2'!"&amp;ADDRESS(ROW(AE12),COLUMN(AE12))),INDIRECT("'Yr3'!"&amp;ADDRESS(ROW(AE12),COLUMN(AE12))))&gt;0,"3 Yr. total",0),
IF(AE$7&lt;$C$4,0,IF(AE$8&lt;=SUMIFS('EE Inputs'!$V$9:$V$32,'EE Inputs'!$C$9:$C$32,$G$6,'EE Inputs'!$D$9:$D$32,$C$4,'EE Inputs'!$E$9:$E$32,$B12),SUMIFS('EE Inputs'!$V$9:$V$32,'EE Inputs'!$C$9:$C$32,$G$6,'EE Inputs'!$D$9:$D$32,$C$4,'EE Inputs'!$E$9:$E$32,$B12),0)))</f>
        <v>0</v>
      </c>
      <c r="AF12" s="65">
        <f ca="1">IF($C$4=Lookups!$D$40,IF(SUM(INDIRECT("'Yr1'!"&amp;ADDRESS(ROW(AF12),COLUMN(AF12))),INDIRECT("'Yr2'!"&amp;ADDRESS(ROW(AF12),COLUMN(AF12))),INDIRECT("'Yr3'!"&amp;ADDRESS(ROW(AF12),COLUMN(AF12))))&gt;0,"3 Yr. total",0),
IF(AF$7&lt;$C$4,0,IF(AF$8&lt;=SUMIFS('EE Inputs'!$V$9:$V$32,'EE Inputs'!$C$9:$C$32,$G$6,'EE Inputs'!$D$9:$D$32,$C$4,'EE Inputs'!$E$9:$E$32,$B12),SUMIFS('EE Inputs'!$V$9:$V$32,'EE Inputs'!$C$9:$C$32,$G$6,'EE Inputs'!$D$9:$D$32,$C$4,'EE Inputs'!$E$9:$E$32,$B12),0)))</f>
        <v>0</v>
      </c>
      <c r="AG12" s="65">
        <f ca="1">IF($C$4=Lookups!$D$40,IF(SUM(INDIRECT("'Yr1'!"&amp;ADDRESS(ROW(AG12),COLUMN(AG12))),INDIRECT("'Yr2'!"&amp;ADDRESS(ROW(AG12),COLUMN(AG12))),INDIRECT("'Yr3'!"&amp;ADDRESS(ROW(AG12),COLUMN(AG12))))&gt;0,"3 Yr. total",0),
IF(AG$7&lt;$C$4,0,IF(AG$8&lt;=SUMIFS('EE Inputs'!$V$9:$V$32,'EE Inputs'!$C$9:$C$32,$G$6,'EE Inputs'!$D$9:$D$32,$C$4,'EE Inputs'!$E$9:$E$32,$B12),SUMIFS('EE Inputs'!$V$9:$V$32,'EE Inputs'!$C$9:$C$32,$G$6,'EE Inputs'!$D$9:$D$32,$C$4,'EE Inputs'!$E$9:$E$32,$B12),0)))</f>
        <v>0</v>
      </c>
      <c r="AH12" s="65"/>
      <c r="AI12" s="65"/>
      <c r="AJ12" s="65"/>
      <c r="AM12" s="72" t="str">
        <f ca="1">IF($C$4=Lookups!$D$40,IF(SUM(INDIRECT("'Yr1'!"&amp;ADDRESS(ROW(AM12),COLUMN(AM12))),INDIRECT("'Yr2'!"&amp;ADDRESS(ROW(AM12),COLUMN(AM12))),INDIRECT("'Yr3'!"&amp;ADDRESS(ROW(AM12),COLUMN(AM12))))&gt;0,"3 Yr. total",0),
IF(AM$7&lt;$C$4,0,IF(AM$8&lt;=SUMIFS('EE Inputs'!$V$9:$V$32,'EE Inputs'!$C$9:$C$32,$AM$6,'EE Inputs'!$D$9:$D$32,$C$4,'EE Inputs'!$E$9:$E$32,$B12),SUMIFS('EE Inputs'!$V$9:$V$32,'EE Inputs'!$C$9:$C$32,$AM$6,'EE Inputs'!$D$9:$D$32,$C$4,'EE Inputs'!$E$9:$E$32,$B12),0)))</f>
        <v>3 Yr. total</v>
      </c>
      <c r="AN12" s="72" t="str">
        <f ca="1">IF($C$4=Lookups!$D$40,IF(SUM(INDIRECT("'Yr1'!"&amp;ADDRESS(ROW(AN12),COLUMN(AN12))),INDIRECT("'Yr2'!"&amp;ADDRESS(ROW(AN12),COLUMN(AN12))),INDIRECT("'Yr3'!"&amp;ADDRESS(ROW(AN12),COLUMN(AN12))))&gt;0,"3 Yr. total",0),
IF(AN$7&lt;$C$4,0,IF(AN$8&lt;=SUMIFS('EE Inputs'!$V$9:$V$32,'EE Inputs'!$C$9:$C$32,$AM$6,'EE Inputs'!$D$9:$D$32,$C$4,'EE Inputs'!$E$9:$E$32,$B12),SUMIFS('EE Inputs'!$V$9:$V$32,'EE Inputs'!$C$9:$C$32,$AM$6,'EE Inputs'!$D$9:$D$32,$C$4,'EE Inputs'!$E$9:$E$32,$B12),0)))</f>
        <v>3 Yr. total</v>
      </c>
      <c r="AO12" s="72" t="str">
        <f ca="1">IF($C$4=Lookups!$D$40,IF(SUM(INDIRECT("'Yr1'!"&amp;ADDRESS(ROW(AO12),COLUMN(AO12))),INDIRECT("'Yr2'!"&amp;ADDRESS(ROW(AO12),COLUMN(AO12))),INDIRECT("'Yr3'!"&amp;ADDRESS(ROW(AO12),COLUMN(AO12))))&gt;0,"3 Yr. total",0),
IF(AO$7&lt;$C$4,0,IF(AO$8&lt;=SUMIFS('EE Inputs'!$V$9:$V$32,'EE Inputs'!$C$9:$C$32,$AM$6,'EE Inputs'!$D$9:$D$32,$C$4,'EE Inputs'!$E$9:$E$32,$B12),SUMIFS('EE Inputs'!$V$9:$V$32,'EE Inputs'!$C$9:$C$32,$AM$6,'EE Inputs'!$D$9:$D$32,$C$4,'EE Inputs'!$E$9:$E$32,$B12),0)))</f>
        <v>3 Yr. total</v>
      </c>
      <c r="AP12" s="72" t="str">
        <f ca="1">IF($C$4=Lookups!$D$40,IF(SUM(INDIRECT("'Yr1'!"&amp;ADDRESS(ROW(AP12),COLUMN(AP12))),INDIRECT("'Yr2'!"&amp;ADDRESS(ROW(AP12),COLUMN(AP12))),INDIRECT("'Yr3'!"&amp;ADDRESS(ROW(AP12),COLUMN(AP12))))&gt;0,"3 Yr. total",0),
IF(AP$7&lt;$C$4,0,IF(AP$8&lt;=SUMIFS('EE Inputs'!$V$9:$V$32,'EE Inputs'!$C$9:$C$32,$AM$6,'EE Inputs'!$D$9:$D$32,$C$4,'EE Inputs'!$E$9:$E$32,$B12),SUMIFS('EE Inputs'!$V$9:$V$32,'EE Inputs'!$C$9:$C$32,$AM$6,'EE Inputs'!$D$9:$D$32,$C$4,'EE Inputs'!$E$9:$E$32,$B12),0)))</f>
        <v>3 Yr. total</v>
      </c>
      <c r="AQ12" s="72" t="str">
        <f ca="1">IF($C$4=Lookups!$D$40,IF(SUM(INDIRECT("'Yr1'!"&amp;ADDRESS(ROW(AQ12),COLUMN(AQ12))),INDIRECT("'Yr2'!"&amp;ADDRESS(ROW(AQ12),COLUMN(AQ12))),INDIRECT("'Yr3'!"&amp;ADDRESS(ROW(AQ12),COLUMN(AQ12))))&gt;0,"3 Yr. total",0),
IF(AQ$7&lt;$C$4,0,IF(AQ$8&lt;=SUMIFS('EE Inputs'!$V$9:$V$32,'EE Inputs'!$C$9:$C$32,$AM$6,'EE Inputs'!$D$9:$D$32,$C$4,'EE Inputs'!$E$9:$E$32,$B12),SUMIFS('EE Inputs'!$V$9:$V$32,'EE Inputs'!$C$9:$C$32,$AM$6,'EE Inputs'!$D$9:$D$32,$C$4,'EE Inputs'!$E$9:$E$32,$B12),0)))</f>
        <v>3 Yr. total</v>
      </c>
      <c r="AR12" s="72" t="str">
        <f ca="1">IF($C$4=Lookups!$D$40,IF(SUM(INDIRECT("'Yr1'!"&amp;ADDRESS(ROW(AR12),COLUMN(AR12))),INDIRECT("'Yr2'!"&amp;ADDRESS(ROW(AR12),COLUMN(AR12))),INDIRECT("'Yr3'!"&amp;ADDRESS(ROW(AR12),COLUMN(AR12))))&gt;0,"3 Yr. total",0),
IF(AR$7&lt;$C$4,0,IF(AR$8&lt;=SUMIFS('EE Inputs'!$V$9:$V$32,'EE Inputs'!$C$9:$C$32,$AM$6,'EE Inputs'!$D$9:$D$32,$C$4,'EE Inputs'!$E$9:$E$32,$B12),SUMIFS('EE Inputs'!$V$9:$V$32,'EE Inputs'!$C$9:$C$32,$AM$6,'EE Inputs'!$D$9:$D$32,$C$4,'EE Inputs'!$E$9:$E$32,$B12),0)))</f>
        <v>3 Yr. total</v>
      </c>
      <c r="AS12" s="72" t="str">
        <f ca="1">IF($C$4=Lookups!$D$40,IF(SUM(INDIRECT("'Yr1'!"&amp;ADDRESS(ROW(AS12),COLUMN(AS12))),INDIRECT("'Yr2'!"&amp;ADDRESS(ROW(AS12),COLUMN(AS12))),INDIRECT("'Yr3'!"&amp;ADDRESS(ROW(AS12),COLUMN(AS12))))&gt;0,"3 Yr. total",0),
IF(AS$7&lt;$C$4,0,IF(AS$8&lt;=SUMIFS('EE Inputs'!$V$9:$V$32,'EE Inputs'!$C$9:$C$32,$AM$6,'EE Inputs'!$D$9:$D$32,$C$4,'EE Inputs'!$E$9:$E$32,$B12),SUMIFS('EE Inputs'!$V$9:$V$32,'EE Inputs'!$C$9:$C$32,$AM$6,'EE Inputs'!$D$9:$D$32,$C$4,'EE Inputs'!$E$9:$E$32,$B12),0)))</f>
        <v>3 Yr. total</v>
      </c>
      <c r="AT12" s="72" t="str">
        <f ca="1">IF($C$4=Lookups!$D$40,IF(SUM(INDIRECT("'Yr1'!"&amp;ADDRESS(ROW(AT12),COLUMN(AT12))),INDIRECT("'Yr2'!"&amp;ADDRESS(ROW(AT12),COLUMN(AT12))),INDIRECT("'Yr3'!"&amp;ADDRESS(ROW(AT12),COLUMN(AT12))))&gt;0,"3 Yr. total",0),
IF(AT$7&lt;$C$4,0,IF(AT$8&lt;=SUMIFS('EE Inputs'!$V$9:$V$32,'EE Inputs'!$C$9:$C$32,$AM$6,'EE Inputs'!$D$9:$D$32,$C$4,'EE Inputs'!$E$9:$E$32,$B12),SUMIFS('EE Inputs'!$V$9:$V$32,'EE Inputs'!$C$9:$C$32,$AM$6,'EE Inputs'!$D$9:$D$32,$C$4,'EE Inputs'!$E$9:$E$32,$B12),0)))</f>
        <v>3 Yr. total</v>
      </c>
      <c r="AU12" s="72" t="str">
        <f ca="1">IF($C$4=Lookups!$D$40,IF(SUM(INDIRECT("'Yr1'!"&amp;ADDRESS(ROW(AU12),COLUMN(AU12))),INDIRECT("'Yr2'!"&amp;ADDRESS(ROW(AU12),COLUMN(AU12))),INDIRECT("'Yr3'!"&amp;ADDRESS(ROW(AU12),COLUMN(AU12))))&gt;0,"3 Yr. total",0),
IF(AU$7&lt;$C$4,0,IF(AU$8&lt;=SUMIFS('EE Inputs'!$V$9:$V$32,'EE Inputs'!$C$9:$C$32,$AM$6,'EE Inputs'!$D$9:$D$32,$C$4,'EE Inputs'!$E$9:$E$32,$B12),SUMIFS('EE Inputs'!$V$9:$V$32,'EE Inputs'!$C$9:$C$32,$AM$6,'EE Inputs'!$D$9:$D$32,$C$4,'EE Inputs'!$E$9:$E$32,$B12),0)))</f>
        <v>3 Yr. total</v>
      </c>
      <c r="AV12" s="72" t="str">
        <f ca="1">IF($C$4=Lookups!$D$40,IF(SUM(INDIRECT("'Yr1'!"&amp;ADDRESS(ROW(AV12),COLUMN(AV12))),INDIRECT("'Yr2'!"&amp;ADDRESS(ROW(AV12),COLUMN(AV12))),INDIRECT("'Yr3'!"&amp;ADDRESS(ROW(AV12),COLUMN(AV12))))&gt;0,"3 Yr. total",0),
IF(AV$7&lt;$C$4,0,IF(AV$8&lt;=SUMIFS('EE Inputs'!$V$9:$V$32,'EE Inputs'!$C$9:$C$32,$AM$6,'EE Inputs'!$D$9:$D$32,$C$4,'EE Inputs'!$E$9:$E$32,$B12),SUMIFS('EE Inputs'!$V$9:$V$32,'EE Inputs'!$C$9:$C$32,$AM$6,'EE Inputs'!$D$9:$D$32,$C$4,'EE Inputs'!$E$9:$E$32,$B12),0)))</f>
        <v>3 Yr. total</v>
      </c>
      <c r="AW12" s="72" t="str">
        <f ca="1">IF($C$4=Lookups!$D$40,IF(SUM(INDIRECT("'Yr1'!"&amp;ADDRESS(ROW(AW12),COLUMN(AW12))),INDIRECT("'Yr2'!"&amp;ADDRESS(ROW(AW12),COLUMN(AW12))),INDIRECT("'Yr3'!"&amp;ADDRESS(ROW(AW12),COLUMN(AW12))))&gt;0,"3 Yr. total",0),
IF(AW$7&lt;$C$4,0,IF(AW$8&lt;=SUMIFS('EE Inputs'!$V$9:$V$32,'EE Inputs'!$C$9:$C$32,$AM$6,'EE Inputs'!$D$9:$D$32,$C$4,'EE Inputs'!$E$9:$E$32,$B12),SUMIFS('EE Inputs'!$V$9:$V$32,'EE Inputs'!$C$9:$C$32,$AM$6,'EE Inputs'!$D$9:$D$32,$C$4,'EE Inputs'!$E$9:$E$32,$B12),0)))</f>
        <v>3 Yr. total</v>
      </c>
      <c r="AX12" s="72" t="str">
        <f ca="1">IF($C$4=Lookups!$D$40,IF(SUM(INDIRECT("'Yr1'!"&amp;ADDRESS(ROW(AX12),COLUMN(AX12))),INDIRECT("'Yr2'!"&amp;ADDRESS(ROW(AX12),COLUMN(AX12))),INDIRECT("'Yr3'!"&amp;ADDRESS(ROW(AX12),COLUMN(AX12))))&gt;0,"3 Yr. total",0),
IF(AX$7&lt;$C$4,0,IF(AX$8&lt;=SUMIFS('EE Inputs'!$V$9:$V$32,'EE Inputs'!$C$9:$C$32,$AM$6,'EE Inputs'!$D$9:$D$32,$C$4,'EE Inputs'!$E$9:$E$32,$B12),SUMIFS('EE Inputs'!$V$9:$V$32,'EE Inputs'!$C$9:$C$32,$AM$6,'EE Inputs'!$D$9:$D$32,$C$4,'EE Inputs'!$E$9:$E$32,$B12),0)))</f>
        <v>3 Yr. total</v>
      </c>
      <c r="AY12" s="72" t="str">
        <f ca="1">IF($C$4=Lookups!$D$40,IF(SUM(INDIRECT("'Yr1'!"&amp;ADDRESS(ROW(AY12),COLUMN(AY12))),INDIRECT("'Yr2'!"&amp;ADDRESS(ROW(AY12),COLUMN(AY12))),INDIRECT("'Yr3'!"&amp;ADDRESS(ROW(AY12),COLUMN(AY12))))&gt;0,"3 Yr. total",0),
IF(AY$7&lt;$C$4,0,IF(AY$8&lt;=SUMIFS('EE Inputs'!$V$9:$V$32,'EE Inputs'!$C$9:$C$32,$AM$6,'EE Inputs'!$D$9:$D$32,$C$4,'EE Inputs'!$E$9:$E$32,$B12),SUMIFS('EE Inputs'!$V$9:$V$32,'EE Inputs'!$C$9:$C$32,$AM$6,'EE Inputs'!$D$9:$D$32,$C$4,'EE Inputs'!$E$9:$E$32,$B12),0)))</f>
        <v>3 Yr. total</v>
      </c>
      <c r="AZ12" s="72" t="str">
        <f ca="1">IF($C$4=Lookups!$D$40,IF(SUM(INDIRECT("'Yr1'!"&amp;ADDRESS(ROW(AZ12),COLUMN(AZ12))),INDIRECT("'Yr2'!"&amp;ADDRESS(ROW(AZ12),COLUMN(AZ12))),INDIRECT("'Yr3'!"&amp;ADDRESS(ROW(AZ12),COLUMN(AZ12))))&gt;0,"3 Yr. total",0),
IF(AZ$7&lt;$C$4,0,IF(AZ$8&lt;=SUMIFS('EE Inputs'!$V$9:$V$32,'EE Inputs'!$C$9:$C$32,$AM$6,'EE Inputs'!$D$9:$D$32,$C$4,'EE Inputs'!$E$9:$E$32,$B12),SUMIFS('EE Inputs'!$V$9:$V$32,'EE Inputs'!$C$9:$C$32,$AM$6,'EE Inputs'!$D$9:$D$32,$C$4,'EE Inputs'!$E$9:$E$32,$B12),0)))</f>
        <v>3 Yr. total</v>
      </c>
      <c r="BA12" s="72" t="str">
        <f ca="1">IF($C$4=Lookups!$D$40,IF(SUM(INDIRECT("'Yr1'!"&amp;ADDRESS(ROW(BA12),COLUMN(BA12))),INDIRECT("'Yr2'!"&amp;ADDRESS(ROW(BA12),COLUMN(BA12))),INDIRECT("'Yr3'!"&amp;ADDRESS(ROW(BA12),COLUMN(BA12))))&gt;0,"3 Yr. total",0),
IF(BA$7&lt;$C$4,0,IF(BA$8&lt;=SUMIFS('EE Inputs'!$V$9:$V$32,'EE Inputs'!$C$9:$C$32,$AM$6,'EE Inputs'!$D$9:$D$32,$C$4,'EE Inputs'!$E$9:$E$32,$B12),SUMIFS('EE Inputs'!$V$9:$V$32,'EE Inputs'!$C$9:$C$32,$AM$6,'EE Inputs'!$D$9:$D$32,$C$4,'EE Inputs'!$E$9:$E$32,$B12),0)))</f>
        <v>3 Yr. total</v>
      </c>
      <c r="BB12" s="72" t="str">
        <f ca="1">IF($C$4=Lookups!$D$40,IF(SUM(INDIRECT("'Yr1'!"&amp;ADDRESS(ROW(BB12),COLUMN(BB12))),INDIRECT("'Yr2'!"&amp;ADDRESS(ROW(BB12),COLUMN(BB12))),INDIRECT("'Yr3'!"&amp;ADDRESS(ROW(BB12),COLUMN(BB12))))&gt;0,"3 Yr. total",0),
IF(BB$7&lt;$C$4,0,IF(BB$8&lt;=SUMIFS('EE Inputs'!$V$9:$V$32,'EE Inputs'!$C$9:$C$32,$AM$6,'EE Inputs'!$D$9:$D$32,$C$4,'EE Inputs'!$E$9:$E$32,$B12),SUMIFS('EE Inputs'!$V$9:$V$32,'EE Inputs'!$C$9:$C$32,$AM$6,'EE Inputs'!$D$9:$D$32,$C$4,'EE Inputs'!$E$9:$E$32,$B12),0)))</f>
        <v>3 Yr. total</v>
      </c>
      <c r="BC12" s="72" t="str">
        <f ca="1">IF($C$4=Lookups!$D$40,IF(SUM(INDIRECT("'Yr1'!"&amp;ADDRESS(ROW(BC12),COLUMN(BC12))),INDIRECT("'Yr2'!"&amp;ADDRESS(ROW(BC12),COLUMN(BC12))),INDIRECT("'Yr3'!"&amp;ADDRESS(ROW(BC12),COLUMN(BC12))))&gt;0,"3 Yr. total",0),
IF(BC$7&lt;$C$4,0,IF(BC$8&lt;=SUMIFS('EE Inputs'!$V$9:$V$32,'EE Inputs'!$C$9:$C$32,$AM$6,'EE Inputs'!$D$9:$D$32,$C$4,'EE Inputs'!$E$9:$E$32,$B12),SUMIFS('EE Inputs'!$V$9:$V$32,'EE Inputs'!$C$9:$C$32,$AM$6,'EE Inputs'!$D$9:$D$32,$C$4,'EE Inputs'!$E$9:$E$32,$B12),0)))</f>
        <v>3 Yr. total</v>
      </c>
      <c r="BD12" s="72">
        <f ca="1">IF($C$4=Lookups!$D$40,IF(SUM(INDIRECT("'Yr1'!"&amp;ADDRESS(ROW(BD12),COLUMN(BD12))),INDIRECT("'Yr2'!"&amp;ADDRESS(ROW(BD12),COLUMN(BD12))),INDIRECT("'Yr3'!"&amp;ADDRESS(ROW(BD12),COLUMN(BD12))))&gt;0,"3 Yr. total",0),
IF(BD$7&lt;$C$4,0,IF(BD$8&lt;=SUMIFS('EE Inputs'!$V$9:$V$32,'EE Inputs'!$C$9:$C$32,$AM$6,'EE Inputs'!$D$9:$D$32,$C$4,'EE Inputs'!$E$9:$E$32,$B12),SUMIFS('EE Inputs'!$V$9:$V$32,'EE Inputs'!$C$9:$C$32,$AM$6,'EE Inputs'!$D$9:$D$32,$C$4,'EE Inputs'!$E$9:$E$32,$B12),0)))</f>
        <v>0</v>
      </c>
      <c r="BE12" s="72">
        <f ca="1">IF($C$4=Lookups!$D$40,IF(SUM(INDIRECT("'Yr1'!"&amp;ADDRESS(ROW(BE12),COLUMN(BE12))),INDIRECT("'Yr2'!"&amp;ADDRESS(ROW(BE12),COLUMN(BE12))),INDIRECT("'Yr3'!"&amp;ADDRESS(ROW(BE12),COLUMN(BE12))))&gt;0,"3 Yr. total",0),
IF(BE$7&lt;$C$4,0,IF(BE$8&lt;=SUMIFS('EE Inputs'!$V$9:$V$32,'EE Inputs'!$C$9:$C$32,$AM$6,'EE Inputs'!$D$9:$D$32,$C$4,'EE Inputs'!$E$9:$E$32,$B12),SUMIFS('EE Inputs'!$V$9:$V$32,'EE Inputs'!$C$9:$C$32,$AM$6,'EE Inputs'!$D$9:$D$32,$C$4,'EE Inputs'!$E$9:$E$32,$B12),0)))</f>
        <v>0</v>
      </c>
      <c r="BF12" s="72">
        <f ca="1">IF($C$4=Lookups!$D$40,IF(SUM(INDIRECT("'Yr1'!"&amp;ADDRESS(ROW(BF12),COLUMN(BF12))),INDIRECT("'Yr2'!"&amp;ADDRESS(ROW(BF12),COLUMN(BF12))),INDIRECT("'Yr3'!"&amp;ADDRESS(ROW(BF12),COLUMN(BF12))))&gt;0,"3 Yr. total",0),
IF(BF$7&lt;$C$4,0,IF(BF$8&lt;=SUMIFS('EE Inputs'!$V$9:$V$32,'EE Inputs'!$C$9:$C$32,$AM$6,'EE Inputs'!$D$9:$D$32,$C$4,'EE Inputs'!$E$9:$E$32,$B12),SUMIFS('EE Inputs'!$V$9:$V$32,'EE Inputs'!$C$9:$C$32,$AM$6,'EE Inputs'!$D$9:$D$32,$C$4,'EE Inputs'!$E$9:$E$32,$B12),0)))</f>
        <v>0</v>
      </c>
      <c r="BG12" s="72">
        <f ca="1">IF($C$4=Lookups!$D$40,IF(SUM(INDIRECT("'Yr1'!"&amp;ADDRESS(ROW(BG12),COLUMN(BG12))),INDIRECT("'Yr2'!"&amp;ADDRESS(ROW(BG12),COLUMN(BG12))),INDIRECT("'Yr3'!"&amp;ADDRESS(ROW(BG12),COLUMN(BG12))))&gt;0,"3 Yr. total",0),
IF(BG$7&lt;$C$4,0,IF(BG$8&lt;=SUMIFS('EE Inputs'!$V$9:$V$32,'EE Inputs'!$C$9:$C$32,$AM$6,'EE Inputs'!$D$9:$D$32,$C$4,'EE Inputs'!$E$9:$E$32,$B12),SUMIFS('EE Inputs'!$V$9:$V$32,'EE Inputs'!$C$9:$C$32,$AM$6,'EE Inputs'!$D$9:$D$32,$C$4,'EE Inputs'!$E$9:$E$32,$B12),0)))</f>
        <v>0</v>
      </c>
      <c r="BH12" s="72">
        <f ca="1">IF($C$4=Lookups!$D$40,IF(SUM(INDIRECT("'Yr1'!"&amp;ADDRESS(ROW(BH12),COLUMN(BH12))),INDIRECT("'Yr2'!"&amp;ADDRESS(ROW(BH12),COLUMN(BH12))),INDIRECT("'Yr3'!"&amp;ADDRESS(ROW(BH12),COLUMN(BH12))))&gt;0,"3 Yr. total",0),
IF(BH$7&lt;$C$4,0,IF(BH$8&lt;=SUMIFS('EE Inputs'!$V$9:$V$32,'EE Inputs'!$C$9:$C$32,$AM$6,'EE Inputs'!$D$9:$D$32,$C$4,'EE Inputs'!$E$9:$E$32,$B12),SUMIFS('EE Inputs'!$V$9:$V$32,'EE Inputs'!$C$9:$C$32,$AM$6,'EE Inputs'!$D$9:$D$32,$C$4,'EE Inputs'!$E$9:$E$32,$B12),0)))</f>
        <v>0</v>
      </c>
      <c r="BI12" s="72">
        <f ca="1">IF($C$4=Lookups!$D$40,IF(SUM(INDIRECT("'Yr1'!"&amp;ADDRESS(ROW(BI12),COLUMN(BI12))),INDIRECT("'Yr2'!"&amp;ADDRESS(ROW(BI12),COLUMN(BI12))),INDIRECT("'Yr3'!"&amp;ADDRESS(ROW(BI12),COLUMN(BI12))))&gt;0,"3 Yr. total",0),
IF(BI$7&lt;$C$4,0,IF(BI$8&lt;=SUMIFS('EE Inputs'!$V$9:$V$32,'EE Inputs'!$C$9:$C$32,$AM$6,'EE Inputs'!$D$9:$D$32,$C$4,'EE Inputs'!$E$9:$E$32,$B12),SUMIFS('EE Inputs'!$V$9:$V$32,'EE Inputs'!$C$9:$C$32,$AM$6,'EE Inputs'!$D$9:$D$32,$C$4,'EE Inputs'!$E$9:$E$32,$B12),0)))</f>
        <v>0</v>
      </c>
      <c r="BJ12" s="72">
        <f ca="1">IF($C$4=Lookups!$D$40,IF(SUM(INDIRECT("'Yr1'!"&amp;ADDRESS(ROW(BJ12),COLUMN(BJ12))),INDIRECT("'Yr2'!"&amp;ADDRESS(ROW(BJ12),COLUMN(BJ12))),INDIRECT("'Yr3'!"&amp;ADDRESS(ROW(BJ12),COLUMN(BJ12))))&gt;0,"3 Yr. total",0),
IF(BJ$7&lt;$C$4,0,IF(BJ$8&lt;=SUMIFS('EE Inputs'!$V$9:$V$32,'EE Inputs'!$C$9:$C$32,$AM$6,'EE Inputs'!$D$9:$D$32,$C$4,'EE Inputs'!$E$9:$E$32,$B12),SUMIFS('EE Inputs'!$V$9:$V$32,'EE Inputs'!$C$9:$C$32,$AM$6,'EE Inputs'!$D$9:$D$32,$C$4,'EE Inputs'!$E$9:$E$32,$B12),0)))</f>
        <v>0</v>
      </c>
      <c r="BK12" s="72">
        <f ca="1">IF($C$4=Lookups!$D$40,IF(SUM(INDIRECT("'Yr1'!"&amp;ADDRESS(ROW(BK12),COLUMN(BK12))),INDIRECT("'Yr2'!"&amp;ADDRESS(ROW(BK12),COLUMN(BK12))),INDIRECT("'Yr3'!"&amp;ADDRESS(ROW(BK12),COLUMN(BK12))))&gt;0,"3 Yr. total",0),
IF(BK$7&lt;$C$4,0,IF(BK$8&lt;=SUMIFS('EE Inputs'!$V$9:$V$32,'EE Inputs'!$C$9:$C$32,$AM$6,'EE Inputs'!$D$9:$D$32,$C$4,'EE Inputs'!$E$9:$E$32,$B12),SUMIFS('EE Inputs'!$V$9:$V$32,'EE Inputs'!$C$9:$C$32,$AM$6,'EE Inputs'!$D$9:$D$32,$C$4,'EE Inputs'!$E$9:$E$32,$B12),0)))</f>
        <v>0</v>
      </c>
      <c r="BL12" s="72">
        <f ca="1">IF($C$4=Lookups!$D$40,IF(SUM(INDIRECT("'Yr1'!"&amp;ADDRESS(ROW(BL12),COLUMN(BL12))),INDIRECT("'Yr2'!"&amp;ADDRESS(ROW(BL12),COLUMN(BL12))),INDIRECT("'Yr3'!"&amp;ADDRESS(ROW(BL12),COLUMN(BL12))))&gt;0,"3 Yr. total",0),
IF(BL$7&lt;$C$4,0,IF(BL$8&lt;=SUMIFS('EE Inputs'!$V$9:$V$32,'EE Inputs'!$C$9:$C$32,$AM$6,'EE Inputs'!$D$9:$D$32,$C$4,'EE Inputs'!$E$9:$E$32,$B12),SUMIFS('EE Inputs'!$V$9:$V$32,'EE Inputs'!$C$9:$C$32,$AM$6,'EE Inputs'!$D$9:$D$32,$C$4,'EE Inputs'!$E$9:$E$32,$B12),0)))</f>
        <v>0</v>
      </c>
      <c r="BM12" s="72">
        <f ca="1">IF($C$4=Lookups!$D$40,IF(SUM(INDIRECT("'Yr1'!"&amp;ADDRESS(ROW(BM12),COLUMN(BM12))),INDIRECT("'Yr2'!"&amp;ADDRESS(ROW(BM12),COLUMN(BM12))),INDIRECT("'Yr3'!"&amp;ADDRESS(ROW(BM12),COLUMN(BM12))))&gt;0,"3 Yr. total",0),
IF(BM$7&lt;$C$4,0,IF(BM$8&lt;=SUMIFS('EE Inputs'!$V$9:$V$32,'EE Inputs'!$C$9:$C$32,$AM$6,'EE Inputs'!$D$9:$D$32,$C$4,'EE Inputs'!$E$9:$E$32,$B12),SUMIFS('EE Inputs'!$V$9:$V$32,'EE Inputs'!$C$9:$C$32,$AM$6,'EE Inputs'!$D$9:$D$32,$C$4,'EE Inputs'!$E$9:$E$32,$B12),0)))</f>
        <v>0</v>
      </c>
      <c r="BN12" s="72"/>
      <c r="BO12" s="72"/>
      <c r="BP12" s="72"/>
      <c r="BS12" s="76" t="s">
        <v>90</v>
      </c>
      <c r="BT12" s="51" t="s">
        <v>17</v>
      </c>
    </row>
    <row r="13" spans="1:72" s="5" customFormat="1" x14ac:dyDescent="0.25">
      <c r="A13" s="52"/>
      <c r="B13" s="242" t="str">
        <f t="shared" si="4"/>
        <v>Residential</v>
      </c>
      <c r="C13" s="242" t="str">
        <f>C12</f>
        <v>Customers</v>
      </c>
      <c r="D13" s="77" t="s">
        <v>17</v>
      </c>
      <c r="E13" s="76"/>
      <c r="F13" s="76"/>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S13" s="76"/>
      <c r="BT13" s="51" t="s">
        <v>17</v>
      </c>
    </row>
    <row r="14" spans="1:72" s="5" customFormat="1" ht="15.75" x14ac:dyDescent="0.25">
      <c r="A14" s="52"/>
      <c r="B14" s="241" t="str">
        <f t="shared" si="4"/>
        <v>Residential</v>
      </c>
      <c r="C14" s="63" t="s">
        <v>4</v>
      </c>
      <c r="D14" s="61"/>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2"/>
      <c r="BO14" s="62"/>
      <c r="BP14" s="62"/>
      <c r="BS14" s="62"/>
      <c r="BT14" s="51" t="s">
        <v>17</v>
      </c>
    </row>
    <row r="15" spans="1:72" x14ac:dyDescent="0.25">
      <c r="B15" s="243" t="str">
        <f t="shared" si="4"/>
        <v>Residential</v>
      </c>
      <c r="C15" s="243" t="str">
        <f>C14</f>
        <v>Sales</v>
      </c>
      <c r="D15" s="244" t="str">
        <f>"Sales before DSM ("&amp;Lookups!$D$22&amp;" Scenario)"</f>
        <v>Sales before DSM (No EE Scenario)</v>
      </c>
      <c r="E15" s="85" t="str">
        <f>"Sales before DSM ("&amp;Lookups!$D$22&amp;" Scenario)"</f>
        <v>Sales before DSM (No EE Scenario)</v>
      </c>
      <c r="F15" s="84" t="s">
        <v>195</v>
      </c>
      <c r="G15" s="64">
        <f>IF(G$8=0,0,INDEX('Multi-Year Inputs'!$E$41:$AE$44,MATCH($B15,'Multi-Year Inputs'!$D$41:$D$44,0),MATCH(G$7,'Multi-Year Inputs'!$E$4:$AE$4,0)))</f>
        <v>58525589.103563093</v>
      </c>
      <c r="H15" s="64">
        <f>IF(H$8=0,0,INDEX('Multi-Year Inputs'!$E$41:$AE$44,MATCH($B15,'Multi-Year Inputs'!$D$41:$D$44,0),MATCH(H$7,'Multi-Year Inputs'!$E$4:$AE$4,0)))</f>
        <v>58525589.103563093</v>
      </c>
      <c r="I15" s="64">
        <f>IF(I$8=0,0,INDEX('Multi-Year Inputs'!$E$41:$AE$44,MATCH($B15,'Multi-Year Inputs'!$D$41:$D$44,0),MATCH(I$7,'Multi-Year Inputs'!$E$4:$AE$4,0)))</f>
        <v>58525589.103563093</v>
      </c>
      <c r="J15" s="64">
        <f>IF(J$8=0,0,INDEX('Multi-Year Inputs'!$E$41:$AE$44,MATCH($B15,'Multi-Year Inputs'!$D$41:$D$44,0),MATCH(J$7,'Multi-Year Inputs'!$E$4:$AE$4,0)))</f>
        <v>58525589.103563093</v>
      </c>
      <c r="K15" s="64">
        <f>IF(K$8=0,0,INDEX('Multi-Year Inputs'!$E$41:$AE$44,MATCH($B15,'Multi-Year Inputs'!$D$41:$D$44,0),MATCH(K$7,'Multi-Year Inputs'!$E$4:$AE$4,0)))</f>
        <v>58525589.103563093</v>
      </c>
      <c r="L15" s="64">
        <f>IF(L$8=0,0,INDEX('Multi-Year Inputs'!$E$41:$AE$44,MATCH($B15,'Multi-Year Inputs'!$D$41:$D$44,0),MATCH(L$7,'Multi-Year Inputs'!$E$4:$AE$4,0)))</f>
        <v>58525589.103563093</v>
      </c>
      <c r="M15" s="64">
        <f>IF(M$8=0,0,INDEX('Multi-Year Inputs'!$E$41:$AE$44,MATCH($B15,'Multi-Year Inputs'!$D$41:$D$44,0),MATCH(M$7,'Multi-Year Inputs'!$E$4:$AE$4,0)))</f>
        <v>58525589.103563093</v>
      </c>
      <c r="N15" s="64">
        <f>IF(N$8=0,0,INDEX('Multi-Year Inputs'!$E$41:$AE$44,MATCH($B15,'Multi-Year Inputs'!$D$41:$D$44,0),MATCH(N$7,'Multi-Year Inputs'!$E$4:$AE$4,0)))</f>
        <v>58525589.103563093</v>
      </c>
      <c r="O15" s="64">
        <f>IF(O$8=0,0,INDEX('Multi-Year Inputs'!$E$41:$AE$44,MATCH($B15,'Multi-Year Inputs'!$D$41:$D$44,0),MATCH(O$7,'Multi-Year Inputs'!$E$4:$AE$4,0)))</f>
        <v>58525589.103563093</v>
      </c>
      <c r="P15" s="64">
        <f>IF(P$8=0,0,INDEX('Multi-Year Inputs'!$E$41:$AE$44,MATCH($B15,'Multi-Year Inputs'!$D$41:$D$44,0),MATCH(P$7,'Multi-Year Inputs'!$E$4:$AE$4,0)))</f>
        <v>58525589.103563093</v>
      </c>
      <c r="Q15" s="64">
        <f>IF(Q$8=0,0,INDEX('Multi-Year Inputs'!$E$41:$AE$44,MATCH($B15,'Multi-Year Inputs'!$D$41:$D$44,0),MATCH(Q$7,'Multi-Year Inputs'!$E$4:$AE$4,0)))</f>
        <v>58525589.103563093</v>
      </c>
      <c r="R15" s="64">
        <f>IF(R$8=0,0,INDEX('Multi-Year Inputs'!$E$41:$AE$44,MATCH($B15,'Multi-Year Inputs'!$D$41:$D$44,0),MATCH(R$7,'Multi-Year Inputs'!$E$4:$AE$4,0)))</f>
        <v>58525589.103563093</v>
      </c>
      <c r="S15" s="64">
        <f>IF(S$8=0,0,INDEX('Multi-Year Inputs'!$E$41:$AE$44,MATCH($B15,'Multi-Year Inputs'!$D$41:$D$44,0),MATCH(S$7,'Multi-Year Inputs'!$E$4:$AE$4,0)))</f>
        <v>58525589.103563093</v>
      </c>
      <c r="T15" s="64">
        <f>IF(T$8=0,0,INDEX('Multi-Year Inputs'!$E$41:$AE$44,MATCH($B15,'Multi-Year Inputs'!$D$41:$D$44,0),MATCH(T$7,'Multi-Year Inputs'!$E$4:$AE$4,0)))</f>
        <v>58525589.103563093</v>
      </c>
      <c r="U15" s="64">
        <f>IF(U$8=0,0,INDEX('Multi-Year Inputs'!$E$41:$AE$44,MATCH($B15,'Multi-Year Inputs'!$D$41:$D$44,0),MATCH(U$7,'Multi-Year Inputs'!$E$4:$AE$4,0)))</f>
        <v>58525589.103563093</v>
      </c>
      <c r="V15" s="64">
        <f>IF(V$8=0,0,INDEX('Multi-Year Inputs'!$E$41:$AE$44,MATCH($B15,'Multi-Year Inputs'!$D$41:$D$44,0),MATCH(V$7,'Multi-Year Inputs'!$E$4:$AE$4,0)))</f>
        <v>58525589.103563093</v>
      </c>
      <c r="W15" s="64">
        <f>IF(W$8=0,0,INDEX('Multi-Year Inputs'!$E$41:$AE$44,MATCH($B15,'Multi-Year Inputs'!$D$41:$D$44,0),MATCH(W$7,'Multi-Year Inputs'!$E$4:$AE$4,0)))</f>
        <v>58525589.103563093</v>
      </c>
      <c r="X15" s="64">
        <f>IF(X$8=0,0,INDEX('Multi-Year Inputs'!$E$41:$AE$44,MATCH($B15,'Multi-Year Inputs'!$D$41:$D$44,0),MATCH(X$7,'Multi-Year Inputs'!$E$4:$AE$4,0)))</f>
        <v>58525589.103563093</v>
      </c>
      <c r="Y15" s="64">
        <f>IF(Y$8=0,0,INDEX('Multi-Year Inputs'!$E$41:$AE$44,MATCH($B15,'Multi-Year Inputs'!$D$41:$D$44,0),MATCH(Y$7,'Multi-Year Inputs'!$E$4:$AE$4,0)))</f>
        <v>58525589.103563093</v>
      </c>
      <c r="Z15" s="64">
        <f>IF(Z$8=0,0,INDEX('Multi-Year Inputs'!$E$41:$AE$44,MATCH($B15,'Multi-Year Inputs'!$D$41:$D$44,0),MATCH(Z$7,'Multi-Year Inputs'!$E$4:$AE$4,0)))</f>
        <v>58525589.103563093</v>
      </c>
      <c r="AA15" s="64">
        <f>IF(AA$8=0,0,INDEX('Multi-Year Inputs'!$E$41:$AE$44,MATCH($B15,'Multi-Year Inputs'!$D$41:$D$44,0),MATCH(AA$7,'Multi-Year Inputs'!$E$4:$AE$4,0)))</f>
        <v>58525589.103563093</v>
      </c>
      <c r="AB15" s="64">
        <f>IF(AB$8=0,0,INDEX('Multi-Year Inputs'!$E$41:$AE$44,MATCH($B15,'Multi-Year Inputs'!$D$41:$D$44,0),MATCH(AB$7,'Multi-Year Inputs'!$E$4:$AE$4,0)))</f>
        <v>58525589.103563093</v>
      </c>
      <c r="AC15" s="64">
        <f>IF(AC$8=0,0,INDEX('Multi-Year Inputs'!$E$41:$AE$44,MATCH($B15,'Multi-Year Inputs'!$D$41:$D$44,0),MATCH(AC$7,'Multi-Year Inputs'!$E$4:$AE$4,0)))</f>
        <v>58525589.103563093</v>
      </c>
      <c r="AD15" s="64">
        <f>IF(AD$8=0,0,INDEX('Multi-Year Inputs'!$E$41:$AE$44,MATCH($B15,'Multi-Year Inputs'!$D$41:$D$44,0),MATCH(AD$7,'Multi-Year Inputs'!$E$4:$AE$4,0)))</f>
        <v>58525589.103563093</v>
      </c>
      <c r="AE15" s="64">
        <f>IF(AE$8=0,0,INDEX('Multi-Year Inputs'!$E$41:$AE$44,MATCH($B15,'Multi-Year Inputs'!$D$41:$D$44,0),MATCH(AE$7,'Multi-Year Inputs'!$E$4:$AE$4,0)))</f>
        <v>58525589.103563093</v>
      </c>
      <c r="AF15" s="64">
        <f>IF(AF$8=0,0,INDEX('Multi-Year Inputs'!$E$41:$AE$44,MATCH($B15,'Multi-Year Inputs'!$D$41:$D$44,0),MATCH(AF$7,'Multi-Year Inputs'!$E$4:$AE$4,0)))</f>
        <v>58525589.103563093</v>
      </c>
      <c r="AG15" s="64">
        <f>IF(AG$8=0,0,INDEX('Multi-Year Inputs'!$E$41:$AE$44,MATCH($B15,'Multi-Year Inputs'!$D$41:$D$44,0),MATCH(AG$7,'Multi-Year Inputs'!$E$4:$AE$4,0)))</f>
        <v>58525589.103563093</v>
      </c>
      <c r="AH15" s="64"/>
      <c r="AI15" s="64">
        <f>SUM(G15:AG15)</f>
        <v>1580190905.7962031</v>
      </c>
      <c r="AJ15" s="64"/>
      <c r="AM15" s="71">
        <f>IF(AM$8=0,0,INDEX('Multi-Year Inputs'!$E$41:$AE$44,MATCH($B15,'Multi-Year Inputs'!$D$41:$D$44,0),MATCH(AM$7,'Multi-Year Inputs'!$E$4:$AE$4,0)))</f>
        <v>58525589.103563093</v>
      </c>
      <c r="AN15" s="71">
        <f>IF(AN$8=0,0,INDEX('Multi-Year Inputs'!$E$41:$AE$44,MATCH($B15,'Multi-Year Inputs'!$D$41:$D$44,0),MATCH(AN$7,'Multi-Year Inputs'!$E$4:$AE$4,0)))</f>
        <v>58525589.103563093</v>
      </c>
      <c r="AO15" s="71">
        <f>IF(AO$8=0,0,INDEX('Multi-Year Inputs'!$E$41:$AE$44,MATCH($B15,'Multi-Year Inputs'!$D$41:$D$44,0),MATCH(AO$7,'Multi-Year Inputs'!$E$4:$AE$4,0)))</f>
        <v>58525589.103563093</v>
      </c>
      <c r="AP15" s="71">
        <f>IF(AP$8=0,0,INDEX('Multi-Year Inputs'!$E$41:$AE$44,MATCH($B15,'Multi-Year Inputs'!$D$41:$D$44,0),MATCH(AP$7,'Multi-Year Inputs'!$E$4:$AE$4,0)))</f>
        <v>58525589.103563093</v>
      </c>
      <c r="AQ15" s="71">
        <f>IF(AQ$8=0,0,INDEX('Multi-Year Inputs'!$E$41:$AE$44,MATCH($B15,'Multi-Year Inputs'!$D$41:$D$44,0),MATCH(AQ$7,'Multi-Year Inputs'!$E$4:$AE$4,0)))</f>
        <v>58525589.103563093</v>
      </c>
      <c r="AR15" s="71">
        <f>IF(AR$8=0,0,INDEX('Multi-Year Inputs'!$E$41:$AE$44,MATCH($B15,'Multi-Year Inputs'!$D$41:$D$44,0),MATCH(AR$7,'Multi-Year Inputs'!$E$4:$AE$4,0)))</f>
        <v>58525589.103563093</v>
      </c>
      <c r="AS15" s="71">
        <f>IF(AS$8=0,0,INDEX('Multi-Year Inputs'!$E$41:$AE$44,MATCH($B15,'Multi-Year Inputs'!$D$41:$D$44,0),MATCH(AS$7,'Multi-Year Inputs'!$E$4:$AE$4,0)))</f>
        <v>58525589.103563093</v>
      </c>
      <c r="AT15" s="71">
        <f>IF(AT$8=0,0,INDEX('Multi-Year Inputs'!$E$41:$AE$44,MATCH($B15,'Multi-Year Inputs'!$D$41:$D$44,0),MATCH(AT$7,'Multi-Year Inputs'!$E$4:$AE$4,0)))</f>
        <v>58525589.103563093</v>
      </c>
      <c r="AU15" s="71">
        <f>IF(AU$8=0,0,INDEX('Multi-Year Inputs'!$E$41:$AE$44,MATCH($B15,'Multi-Year Inputs'!$D$41:$D$44,0),MATCH(AU$7,'Multi-Year Inputs'!$E$4:$AE$4,0)))</f>
        <v>58525589.103563093</v>
      </c>
      <c r="AV15" s="71">
        <f>IF(AV$8=0,0,INDEX('Multi-Year Inputs'!$E$41:$AE$44,MATCH($B15,'Multi-Year Inputs'!$D$41:$D$44,0),MATCH(AV$7,'Multi-Year Inputs'!$E$4:$AE$4,0)))</f>
        <v>58525589.103563093</v>
      </c>
      <c r="AW15" s="71">
        <f>IF(AW$8=0,0,INDEX('Multi-Year Inputs'!$E$41:$AE$44,MATCH($B15,'Multi-Year Inputs'!$D$41:$D$44,0),MATCH(AW$7,'Multi-Year Inputs'!$E$4:$AE$4,0)))</f>
        <v>58525589.103563093</v>
      </c>
      <c r="AX15" s="71">
        <f>IF(AX$8=0,0,INDEX('Multi-Year Inputs'!$E$41:$AE$44,MATCH($B15,'Multi-Year Inputs'!$D$41:$D$44,0),MATCH(AX$7,'Multi-Year Inputs'!$E$4:$AE$4,0)))</f>
        <v>58525589.103563093</v>
      </c>
      <c r="AY15" s="71">
        <f>IF(AY$8=0,0,INDEX('Multi-Year Inputs'!$E$41:$AE$44,MATCH($B15,'Multi-Year Inputs'!$D$41:$D$44,0),MATCH(AY$7,'Multi-Year Inputs'!$E$4:$AE$4,0)))</f>
        <v>58525589.103563093</v>
      </c>
      <c r="AZ15" s="71">
        <f>IF(AZ$8=0,0,INDEX('Multi-Year Inputs'!$E$41:$AE$44,MATCH($B15,'Multi-Year Inputs'!$D$41:$D$44,0),MATCH(AZ$7,'Multi-Year Inputs'!$E$4:$AE$4,0)))</f>
        <v>58525589.103563093</v>
      </c>
      <c r="BA15" s="71">
        <f>IF(BA$8=0,0,INDEX('Multi-Year Inputs'!$E$41:$AE$44,MATCH($B15,'Multi-Year Inputs'!$D$41:$D$44,0),MATCH(BA$7,'Multi-Year Inputs'!$E$4:$AE$4,0)))</f>
        <v>58525589.103563093</v>
      </c>
      <c r="BB15" s="71">
        <f>IF(BB$8=0,0,INDEX('Multi-Year Inputs'!$E$41:$AE$44,MATCH($B15,'Multi-Year Inputs'!$D$41:$D$44,0),MATCH(BB$7,'Multi-Year Inputs'!$E$4:$AE$4,0)))</f>
        <v>58525589.103563093</v>
      </c>
      <c r="BC15" s="71">
        <f>IF(BC$8=0,0,INDEX('Multi-Year Inputs'!$E$41:$AE$44,MATCH($B15,'Multi-Year Inputs'!$D$41:$D$44,0),MATCH(BC$7,'Multi-Year Inputs'!$E$4:$AE$4,0)))</f>
        <v>58525589.103563093</v>
      </c>
      <c r="BD15" s="71">
        <f>IF(BD$8=0,0,INDEX('Multi-Year Inputs'!$E$41:$AE$44,MATCH($B15,'Multi-Year Inputs'!$D$41:$D$44,0),MATCH(BD$7,'Multi-Year Inputs'!$E$4:$AE$4,0)))</f>
        <v>58525589.103563093</v>
      </c>
      <c r="BE15" s="71">
        <f>IF(BE$8=0,0,INDEX('Multi-Year Inputs'!$E$41:$AE$44,MATCH($B15,'Multi-Year Inputs'!$D$41:$D$44,0),MATCH(BE$7,'Multi-Year Inputs'!$E$4:$AE$4,0)))</f>
        <v>58525589.103563093</v>
      </c>
      <c r="BF15" s="71">
        <f>IF(BF$8=0,0,INDEX('Multi-Year Inputs'!$E$41:$AE$44,MATCH($B15,'Multi-Year Inputs'!$D$41:$D$44,0),MATCH(BF$7,'Multi-Year Inputs'!$E$4:$AE$4,0)))</f>
        <v>58525589.103563093</v>
      </c>
      <c r="BG15" s="71">
        <f>IF(BG$8=0,0,INDEX('Multi-Year Inputs'!$E$41:$AE$44,MATCH($B15,'Multi-Year Inputs'!$D$41:$D$44,0),MATCH(BG$7,'Multi-Year Inputs'!$E$4:$AE$4,0)))</f>
        <v>58525589.103563093</v>
      </c>
      <c r="BH15" s="71">
        <f>IF(BH$8=0,0,INDEX('Multi-Year Inputs'!$E$41:$AE$44,MATCH($B15,'Multi-Year Inputs'!$D$41:$D$44,0),MATCH(BH$7,'Multi-Year Inputs'!$E$4:$AE$4,0)))</f>
        <v>58525589.103563093</v>
      </c>
      <c r="BI15" s="71">
        <f>IF(BI$8=0,0,INDEX('Multi-Year Inputs'!$E$41:$AE$44,MATCH($B15,'Multi-Year Inputs'!$D$41:$D$44,0),MATCH(BI$7,'Multi-Year Inputs'!$E$4:$AE$4,0)))</f>
        <v>58525589.103563093</v>
      </c>
      <c r="BJ15" s="71">
        <f>IF(BJ$8=0,0,INDEX('Multi-Year Inputs'!$E$41:$AE$44,MATCH($B15,'Multi-Year Inputs'!$D$41:$D$44,0),MATCH(BJ$7,'Multi-Year Inputs'!$E$4:$AE$4,0)))</f>
        <v>58525589.103563093</v>
      </c>
      <c r="BK15" s="71">
        <f>IF(BK$8=0,0,INDEX('Multi-Year Inputs'!$E$41:$AE$44,MATCH($B15,'Multi-Year Inputs'!$D$41:$D$44,0),MATCH(BK$7,'Multi-Year Inputs'!$E$4:$AE$4,0)))</f>
        <v>58525589.103563093</v>
      </c>
      <c r="BL15" s="71">
        <f>IF(BL$8=0,0,INDEX('Multi-Year Inputs'!$E$41:$AE$44,MATCH($B15,'Multi-Year Inputs'!$D$41:$D$44,0),MATCH(BL$7,'Multi-Year Inputs'!$E$4:$AE$4,0)))</f>
        <v>58525589.103563093</v>
      </c>
      <c r="BM15" s="71">
        <f>IF(BM$8=0,0,INDEX('Multi-Year Inputs'!$E$41:$AE$44,MATCH($B15,'Multi-Year Inputs'!$D$41:$D$44,0),MATCH(BM$7,'Multi-Year Inputs'!$E$4:$AE$4,0)))</f>
        <v>58525589.103563093</v>
      </c>
      <c r="BN15" s="72"/>
      <c r="BO15" s="72">
        <f>SUM(AM15:BM15)</f>
        <v>1580190905.7962031</v>
      </c>
      <c r="BP15" s="72"/>
      <c r="BS15" s="76" t="s">
        <v>91</v>
      </c>
      <c r="BT15" s="51" t="s">
        <v>17</v>
      </c>
    </row>
    <row r="16" spans="1:72" x14ac:dyDescent="0.25">
      <c r="A16" s="246"/>
      <c r="B16" s="243" t="str">
        <f t="shared" si="4"/>
        <v>Residential</v>
      </c>
      <c r="C16" s="243" t="str">
        <f>C15</f>
        <v>Sales</v>
      </c>
      <c r="D16" s="244" t="s">
        <v>108</v>
      </c>
      <c r="E16" s="85" t="s">
        <v>108</v>
      </c>
      <c r="F16" s="84" t="s">
        <v>195</v>
      </c>
      <c r="G16" s="64">
        <f ca="1">IF($C$4=Lookups!$D$40,SUM(INDIRECT("'Yr1'!"&amp;ADDRESS(ROW(G16),COLUMN(G16))),INDIRECT("'Yr2'!"&amp;ADDRESS(ROW(G16),COLUMN(G16))),INDIRECT("'Yr3'!"&amp;ADDRESS(ROW(G16),COLUMN(G16)))),
IF(G12&gt;0,SUMIFS('EE Inputs'!$I$9:$I$32,'EE Inputs'!$C$9:$C$32,$G$6,'EE Inputs'!$D$9:$D$32,$C$4,'EE Inputs'!$E$9:$E$32,$B16)/SUMIFS('EE Inputs'!$V$9:$V$32,'EE Inputs'!$C$9:$C$32,$G$6,'EE Inputs'!$D$9:$D$32,$C$4,'EE Inputs'!$E$9:$E$32,$B16)*10,0))</f>
        <v>375442.29896984826</v>
      </c>
      <c r="H16" s="64">
        <f ca="1">IF($C$4=Lookups!$D$40,SUM(INDIRECT("'Yr1'!"&amp;ADDRESS(ROW(H16),COLUMN(H16))),INDIRECT("'Yr2'!"&amp;ADDRESS(ROW(H16),COLUMN(H16))),INDIRECT("'Yr3'!"&amp;ADDRESS(ROW(H16),COLUMN(H16)))),
IF(H12&gt;0,SUMIFS('EE Inputs'!$I$9:$I$32,'EE Inputs'!$C$9:$C$32,$G$6,'EE Inputs'!$D$9:$D$32,$C$4,'EE Inputs'!$E$9:$E$32,$B16)/SUMIFS('EE Inputs'!$V$9:$V$32,'EE Inputs'!$C$9:$C$32,$G$6,'EE Inputs'!$D$9:$D$32,$C$4,'EE Inputs'!$E$9:$E$32,$B16)*10,0))</f>
        <v>755940.6697386005</v>
      </c>
      <c r="I16" s="64">
        <f ca="1">IF($C$4=Lookups!$D$40,SUM(INDIRECT("'Yr1'!"&amp;ADDRESS(ROW(I16),COLUMN(I16))),INDIRECT("'Yr2'!"&amp;ADDRESS(ROW(I16),COLUMN(I16))),INDIRECT("'Yr3'!"&amp;ADDRESS(ROW(I16),COLUMN(I16)))),
IF(I12&gt;0,SUMIFS('EE Inputs'!$I$9:$I$32,'EE Inputs'!$C$9:$C$32,$G$6,'EE Inputs'!$D$9:$D$32,$C$4,'EE Inputs'!$E$9:$E$32,$B16)/SUMIFS('EE Inputs'!$V$9:$V$32,'EE Inputs'!$C$9:$C$32,$G$6,'EE Inputs'!$D$9:$D$32,$C$4,'EE Inputs'!$E$9:$E$32,$B16)*10,0))</f>
        <v>1143591.1153940184</v>
      </c>
      <c r="J16" s="64">
        <f ca="1">IF($C$4=Lookups!$D$40,SUM(INDIRECT("'Yr1'!"&amp;ADDRESS(ROW(J16),COLUMN(J16))),INDIRECT("'Yr2'!"&amp;ADDRESS(ROW(J16),COLUMN(J16))),INDIRECT("'Yr3'!"&amp;ADDRESS(ROW(J16),COLUMN(J16)))),
IF(J12&gt;0,SUMIFS('EE Inputs'!$I$9:$I$32,'EE Inputs'!$C$9:$C$32,$G$6,'EE Inputs'!$D$9:$D$32,$C$4,'EE Inputs'!$E$9:$E$32,$B16)/SUMIFS('EE Inputs'!$V$9:$V$32,'EE Inputs'!$C$9:$C$32,$G$6,'EE Inputs'!$D$9:$D$32,$C$4,'EE Inputs'!$E$9:$E$32,$B16)*10,0))</f>
        <v>1143591.1153940184</v>
      </c>
      <c r="K16" s="64">
        <f ca="1">IF($C$4=Lookups!$D$40,SUM(INDIRECT("'Yr1'!"&amp;ADDRESS(ROW(K16),COLUMN(K16))),INDIRECT("'Yr2'!"&amp;ADDRESS(ROW(K16),COLUMN(K16))),INDIRECT("'Yr3'!"&amp;ADDRESS(ROW(K16),COLUMN(K16)))),
IF(K12&gt;0,SUMIFS('EE Inputs'!$I$9:$I$32,'EE Inputs'!$C$9:$C$32,$G$6,'EE Inputs'!$D$9:$D$32,$C$4,'EE Inputs'!$E$9:$E$32,$B16)/SUMIFS('EE Inputs'!$V$9:$V$32,'EE Inputs'!$C$9:$C$32,$G$6,'EE Inputs'!$D$9:$D$32,$C$4,'EE Inputs'!$E$9:$E$32,$B16)*10,0))</f>
        <v>1143591.1153940184</v>
      </c>
      <c r="L16" s="64">
        <f ca="1">IF($C$4=Lookups!$D$40,SUM(INDIRECT("'Yr1'!"&amp;ADDRESS(ROW(L16),COLUMN(L16))),INDIRECT("'Yr2'!"&amp;ADDRESS(ROW(L16),COLUMN(L16))),INDIRECT("'Yr3'!"&amp;ADDRESS(ROW(L16),COLUMN(L16)))),
IF(L12&gt;0,SUMIFS('EE Inputs'!$I$9:$I$32,'EE Inputs'!$C$9:$C$32,$G$6,'EE Inputs'!$D$9:$D$32,$C$4,'EE Inputs'!$E$9:$E$32,$B16)/SUMIFS('EE Inputs'!$V$9:$V$32,'EE Inputs'!$C$9:$C$32,$G$6,'EE Inputs'!$D$9:$D$32,$C$4,'EE Inputs'!$E$9:$E$32,$B16)*10,0))</f>
        <v>1143591.1153940184</v>
      </c>
      <c r="M16" s="64">
        <f ca="1">IF($C$4=Lookups!$D$40,SUM(INDIRECT("'Yr1'!"&amp;ADDRESS(ROW(M16),COLUMN(M16))),INDIRECT("'Yr2'!"&amp;ADDRESS(ROW(M16),COLUMN(M16))),INDIRECT("'Yr3'!"&amp;ADDRESS(ROW(M16),COLUMN(M16)))),
IF(M12&gt;0,SUMIFS('EE Inputs'!$I$9:$I$32,'EE Inputs'!$C$9:$C$32,$G$6,'EE Inputs'!$D$9:$D$32,$C$4,'EE Inputs'!$E$9:$E$32,$B16)/SUMIFS('EE Inputs'!$V$9:$V$32,'EE Inputs'!$C$9:$C$32,$G$6,'EE Inputs'!$D$9:$D$32,$C$4,'EE Inputs'!$E$9:$E$32,$B16)*10,0))</f>
        <v>1143591.1153940184</v>
      </c>
      <c r="N16" s="64">
        <f ca="1">IF($C$4=Lookups!$D$40,SUM(INDIRECT("'Yr1'!"&amp;ADDRESS(ROW(N16),COLUMN(N16))),INDIRECT("'Yr2'!"&amp;ADDRESS(ROW(N16),COLUMN(N16))),INDIRECT("'Yr3'!"&amp;ADDRESS(ROW(N16),COLUMN(N16)))),
IF(N12&gt;0,SUMIFS('EE Inputs'!$I$9:$I$32,'EE Inputs'!$C$9:$C$32,$G$6,'EE Inputs'!$D$9:$D$32,$C$4,'EE Inputs'!$E$9:$E$32,$B16)/SUMIFS('EE Inputs'!$V$9:$V$32,'EE Inputs'!$C$9:$C$32,$G$6,'EE Inputs'!$D$9:$D$32,$C$4,'EE Inputs'!$E$9:$E$32,$B16)*10,0))</f>
        <v>1143591.1153940184</v>
      </c>
      <c r="O16" s="64">
        <f ca="1">IF($C$4=Lookups!$D$40,SUM(INDIRECT("'Yr1'!"&amp;ADDRESS(ROW(O16),COLUMN(O16))),INDIRECT("'Yr2'!"&amp;ADDRESS(ROW(O16),COLUMN(O16))),INDIRECT("'Yr3'!"&amp;ADDRESS(ROW(O16),COLUMN(O16)))),
IF(O12&gt;0,SUMIFS('EE Inputs'!$I$9:$I$32,'EE Inputs'!$C$9:$C$32,$G$6,'EE Inputs'!$D$9:$D$32,$C$4,'EE Inputs'!$E$9:$E$32,$B16)/SUMIFS('EE Inputs'!$V$9:$V$32,'EE Inputs'!$C$9:$C$32,$G$6,'EE Inputs'!$D$9:$D$32,$C$4,'EE Inputs'!$E$9:$E$32,$B16)*10,0))</f>
        <v>1143591.1153940184</v>
      </c>
      <c r="P16" s="64">
        <f ca="1">IF($C$4=Lookups!$D$40,SUM(INDIRECT("'Yr1'!"&amp;ADDRESS(ROW(P16),COLUMN(P16))),INDIRECT("'Yr2'!"&amp;ADDRESS(ROW(P16),COLUMN(P16))),INDIRECT("'Yr3'!"&amp;ADDRESS(ROW(P16),COLUMN(P16)))),
IF(P12&gt;0,SUMIFS('EE Inputs'!$I$9:$I$32,'EE Inputs'!$C$9:$C$32,$G$6,'EE Inputs'!$D$9:$D$32,$C$4,'EE Inputs'!$E$9:$E$32,$B16)/SUMIFS('EE Inputs'!$V$9:$V$32,'EE Inputs'!$C$9:$C$32,$G$6,'EE Inputs'!$D$9:$D$32,$C$4,'EE Inputs'!$E$9:$E$32,$B16)*10,0))</f>
        <v>1143591.1153940184</v>
      </c>
      <c r="Q16" s="64">
        <f ca="1">IF($C$4=Lookups!$D$40,SUM(INDIRECT("'Yr1'!"&amp;ADDRESS(ROW(Q16),COLUMN(Q16))),INDIRECT("'Yr2'!"&amp;ADDRESS(ROW(Q16),COLUMN(Q16))),INDIRECT("'Yr3'!"&amp;ADDRESS(ROW(Q16),COLUMN(Q16)))),
IF(Q12&gt;0,SUMIFS('EE Inputs'!$I$9:$I$32,'EE Inputs'!$C$9:$C$32,$G$6,'EE Inputs'!$D$9:$D$32,$C$4,'EE Inputs'!$E$9:$E$32,$B16)/SUMIFS('EE Inputs'!$V$9:$V$32,'EE Inputs'!$C$9:$C$32,$G$6,'EE Inputs'!$D$9:$D$32,$C$4,'EE Inputs'!$E$9:$E$32,$B16)*10,0))</f>
        <v>1143591.1153940184</v>
      </c>
      <c r="R16" s="64">
        <f ca="1">IF($C$4=Lookups!$D$40,SUM(INDIRECT("'Yr1'!"&amp;ADDRESS(ROW(R16),COLUMN(R16))),INDIRECT("'Yr2'!"&amp;ADDRESS(ROW(R16),COLUMN(R16))),INDIRECT("'Yr3'!"&amp;ADDRESS(ROW(R16),COLUMN(R16)))),
IF(R12&gt;0,SUMIFS('EE Inputs'!$I$9:$I$32,'EE Inputs'!$C$9:$C$32,$G$6,'EE Inputs'!$D$9:$D$32,$C$4,'EE Inputs'!$E$9:$E$32,$B16)/SUMIFS('EE Inputs'!$V$9:$V$32,'EE Inputs'!$C$9:$C$32,$G$6,'EE Inputs'!$D$9:$D$32,$C$4,'EE Inputs'!$E$9:$E$32,$B16)*10,0))</f>
        <v>1143591.1153940184</v>
      </c>
      <c r="S16" s="64">
        <f ca="1">IF($C$4=Lookups!$D$40,SUM(INDIRECT("'Yr1'!"&amp;ADDRESS(ROW(S16),COLUMN(S16))),INDIRECT("'Yr2'!"&amp;ADDRESS(ROW(S16),COLUMN(S16))),INDIRECT("'Yr3'!"&amp;ADDRESS(ROW(S16),COLUMN(S16)))),
IF(S12&gt;0,SUMIFS('EE Inputs'!$I$9:$I$32,'EE Inputs'!$C$9:$C$32,$G$6,'EE Inputs'!$D$9:$D$32,$C$4,'EE Inputs'!$E$9:$E$32,$B16)/SUMIFS('EE Inputs'!$V$9:$V$32,'EE Inputs'!$C$9:$C$32,$G$6,'EE Inputs'!$D$9:$D$32,$C$4,'EE Inputs'!$E$9:$E$32,$B16)*10,0))</f>
        <v>1143591.1153940184</v>
      </c>
      <c r="T16" s="64">
        <f ca="1">IF($C$4=Lookups!$D$40,SUM(INDIRECT("'Yr1'!"&amp;ADDRESS(ROW(T16),COLUMN(T16))),INDIRECT("'Yr2'!"&amp;ADDRESS(ROW(T16),COLUMN(T16))),INDIRECT("'Yr3'!"&amp;ADDRESS(ROW(T16),COLUMN(T16)))),
IF(T12&gt;0,SUMIFS('EE Inputs'!$I$9:$I$32,'EE Inputs'!$C$9:$C$32,$G$6,'EE Inputs'!$D$9:$D$32,$C$4,'EE Inputs'!$E$9:$E$32,$B16)/SUMIFS('EE Inputs'!$V$9:$V$32,'EE Inputs'!$C$9:$C$32,$G$6,'EE Inputs'!$D$9:$D$32,$C$4,'EE Inputs'!$E$9:$E$32,$B16)*10,0))</f>
        <v>1143591.1153940184</v>
      </c>
      <c r="U16" s="64">
        <f ca="1">IF($C$4=Lookups!$D$40,SUM(INDIRECT("'Yr1'!"&amp;ADDRESS(ROW(U16),COLUMN(U16))),INDIRECT("'Yr2'!"&amp;ADDRESS(ROW(U16),COLUMN(U16))),INDIRECT("'Yr3'!"&amp;ADDRESS(ROW(U16),COLUMN(U16)))),
IF(U12&gt;0,SUMIFS('EE Inputs'!$I$9:$I$32,'EE Inputs'!$C$9:$C$32,$G$6,'EE Inputs'!$D$9:$D$32,$C$4,'EE Inputs'!$E$9:$E$32,$B16)/SUMIFS('EE Inputs'!$V$9:$V$32,'EE Inputs'!$C$9:$C$32,$G$6,'EE Inputs'!$D$9:$D$32,$C$4,'EE Inputs'!$E$9:$E$32,$B16)*10,0))</f>
        <v>1143591.1153940184</v>
      </c>
      <c r="V16" s="64">
        <f ca="1">IF($C$4=Lookups!$D$40,SUM(INDIRECT("'Yr1'!"&amp;ADDRESS(ROW(V16),COLUMN(V16))),INDIRECT("'Yr2'!"&amp;ADDRESS(ROW(V16),COLUMN(V16))),INDIRECT("'Yr3'!"&amp;ADDRESS(ROW(V16),COLUMN(V16)))),
IF(V12&gt;0,SUMIFS('EE Inputs'!$I$9:$I$32,'EE Inputs'!$C$9:$C$32,$G$6,'EE Inputs'!$D$9:$D$32,$C$4,'EE Inputs'!$E$9:$E$32,$B16)/SUMIFS('EE Inputs'!$V$9:$V$32,'EE Inputs'!$C$9:$C$32,$G$6,'EE Inputs'!$D$9:$D$32,$C$4,'EE Inputs'!$E$9:$E$32,$B16)*10,0))</f>
        <v>768148.81642417028</v>
      </c>
      <c r="W16" s="64">
        <f ca="1">IF($C$4=Lookups!$D$40,SUM(INDIRECT("'Yr1'!"&amp;ADDRESS(ROW(W16),COLUMN(W16))),INDIRECT("'Yr2'!"&amp;ADDRESS(ROW(W16),COLUMN(W16))),INDIRECT("'Yr3'!"&amp;ADDRESS(ROW(W16),COLUMN(W16)))),
IF(W12&gt;0,SUMIFS('EE Inputs'!$I$9:$I$32,'EE Inputs'!$C$9:$C$32,$G$6,'EE Inputs'!$D$9:$D$32,$C$4,'EE Inputs'!$E$9:$E$32,$B16)/SUMIFS('EE Inputs'!$V$9:$V$32,'EE Inputs'!$C$9:$C$32,$G$6,'EE Inputs'!$D$9:$D$32,$C$4,'EE Inputs'!$E$9:$E$32,$B16)*10,0))</f>
        <v>387650.44565541792</v>
      </c>
      <c r="X16" s="64">
        <f ca="1">IF($C$4=Lookups!$D$40,SUM(INDIRECT("'Yr1'!"&amp;ADDRESS(ROW(X16),COLUMN(X16))),INDIRECT("'Yr2'!"&amp;ADDRESS(ROW(X16),COLUMN(X16))),INDIRECT("'Yr3'!"&amp;ADDRESS(ROW(X16),COLUMN(X16)))),
IF(X12&gt;0,SUMIFS('EE Inputs'!$I$9:$I$32,'EE Inputs'!$C$9:$C$32,$G$6,'EE Inputs'!$D$9:$D$32,$C$4,'EE Inputs'!$E$9:$E$32,$B16)/SUMIFS('EE Inputs'!$V$9:$V$32,'EE Inputs'!$C$9:$C$32,$G$6,'EE Inputs'!$D$9:$D$32,$C$4,'EE Inputs'!$E$9:$E$32,$B16)*10,0))</f>
        <v>0</v>
      </c>
      <c r="Y16" s="64">
        <f ca="1">IF($C$4=Lookups!$D$40,SUM(INDIRECT("'Yr1'!"&amp;ADDRESS(ROW(Y16),COLUMN(Y16))),INDIRECT("'Yr2'!"&amp;ADDRESS(ROW(Y16),COLUMN(Y16))),INDIRECT("'Yr3'!"&amp;ADDRESS(ROW(Y16),COLUMN(Y16)))),
IF(Y12&gt;0,SUMIFS('EE Inputs'!$I$9:$I$32,'EE Inputs'!$C$9:$C$32,$G$6,'EE Inputs'!$D$9:$D$32,$C$4,'EE Inputs'!$E$9:$E$32,$B16)/SUMIFS('EE Inputs'!$V$9:$V$32,'EE Inputs'!$C$9:$C$32,$G$6,'EE Inputs'!$D$9:$D$32,$C$4,'EE Inputs'!$E$9:$E$32,$B16)*10,0))</f>
        <v>0</v>
      </c>
      <c r="Z16" s="64">
        <f ca="1">IF($C$4=Lookups!$D$40,SUM(INDIRECT("'Yr1'!"&amp;ADDRESS(ROW(Z16),COLUMN(Z16))),INDIRECT("'Yr2'!"&amp;ADDRESS(ROW(Z16),COLUMN(Z16))),INDIRECT("'Yr3'!"&amp;ADDRESS(ROW(Z16),COLUMN(Z16)))),
IF(Z12&gt;0,SUMIFS('EE Inputs'!$I$9:$I$32,'EE Inputs'!$C$9:$C$32,$G$6,'EE Inputs'!$D$9:$D$32,$C$4,'EE Inputs'!$E$9:$E$32,$B16)/SUMIFS('EE Inputs'!$V$9:$V$32,'EE Inputs'!$C$9:$C$32,$G$6,'EE Inputs'!$D$9:$D$32,$C$4,'EE Inputs'!$E$9:$E$32,$B16)*10,0))</f>
        <v>0</v>
      </c>
      <c r="AA16" s="64">
        <f ca="1">IF($C$4=Lookups!$D$40,SUM(INDIRECT("'Yr1'!"&amp;ADDRESS(ROW(AA16),COLUMN(AA16))),INDIRECT("'Yr2'!"&amp;ADDRESS(ROW(AA16),COLUMN(AA16))),INDIRECT("'Yr3'!"&amp;ADDRESS(ROW(AA16),COLUMN(AA16)))),
IF(AA12&gt;0,SUMIFS('EE Inputs'!$I$9:$I$32,'EE Inputs'!$C$9:$C$32,$G$6,'EE Inputs'!$D$9:$D$32,$C$4,'EE Inputs'!$E$9:$E$32,$B16)/SUMIFS('EE Inputs'!$V$9:$V$32,'EE Inputs'!$C$9:$C$32,$G$6,'EE Inputs'!$D$9:$D$32,$C$4,'EE Inputs'!$E$9:$E$32,$B16)*10,0))</f>
        <v>0</v>
      </c>
      <c r="AB16" s="64">
        <f ca="1">IF($C$4=Lookups!$D$40,SUM(INDIRECT("'Yr1'!"&amp;ADDRESS(ROW(AB16),COLUMN(AB16))),INDIRECT("'Yr2'!"&amp;ADDRESS(ROW(AB16),COLUMN(AB16))),INDIRECT("'Yr3'!"&amp;ADDRESS(ROW(AB16),COLUMN(AB16)))),
IF(AB12&gt;0,SUMIFS('EE Inputs'!$I$9:$I$32,'EE Inputs'!$C$9:$C$32,$G$6,'EE Inputs'!$D$9:$D$32,$C$4,'EE Inputs'!$E$9:$E$32,$B16)/SUMIFS('EE Inputs'!$V$9:$V$32,'EE Inputs'!$C$9:$C$32,$G$6,'EE Inputs'!$D$9:$D$32,$C$4,'EE Inputs'!$E$9:$E$32,$B16)*10,0))</f>
        <v>0</v>
      </c>
      <c r="AC16" s="64">
        <f ca="1">IF($C$4=Lookups!$D$40,SUM(INDIRECT("'Yr1'!"&amp;ADDRESS(ROW(AC16),COLUMN(AC16))),INDIRECT("'Yr2'!"&amp;ADDRESS(ROW(AC16),COLUMN(AC16))),INDIRECT("'Yr3'!"&amp;ADDRESS(ROW(AC16),COLUMN(AC16)))),
IF(AC12&gt;0,SUMIFS('EE Inputs'!$I$9:$I$32,'EE Inputs'!$C$9:$C$32,$G$6,'EE Inputs'!$D$9:$D$32,$C$4,'EE Inputs'!$E$9:$E$32,$B16)/SUMIFS('EE Inputs'!$V$9:$V$32,'EE Inputs'!$C$9:$C$32,$G$6,'EE Inputs'!$D$9:$D$32,$C$4,'EE Inputs'!$E$9:$E$32,$B16)*10,0))</f>
        <v>0</v>
      </c>
      <c r="AD16" s="64">
        <f ca="1">IF($C$4=Lookups!$D$40,SUM(INDIRECT("'Yr1'!"&amp;ADDRESS(ROW(AD16),COLUMN(AD16))),INDIRECT("'Yr2'!"&amp;ADDRESS(ROW(AD16),COLUMN(AD16))),INDIRECT("'Yr3'!"&amp;ADDRESS(ROW(AD16),COLUMN(AD16)))),
IF(AD12&gt;0,SUMIFS('EE Inputs'!$I$9:$I$32,'EE Inputs'!$C$9:$C$32,$G$6,'EE Inputs'!$D$9:$D$32,$C$4,'EE Inputs'!$E$9:$E$32,$B16)/SUMIFS('EE Inputs'!$V$9:$V$32,'EE Inputs'!$C$9:$C$32,$G$6,'EE Inputs'!$D$9:$D$32,$C$4,'EE Inputs'!$E$9:$E$32,$B16)*10,0))</f>
        <v>0</v>
      </c>
      <c r="AE16" s="64">
        <f ca="1">IF($C$4=Lookups!$D$40,SUM(INDIRECT("'Yr1'!"&amp;ADDRESS(ROW(AE16),COLUMN(AE16))),INDIRECT("'Yr2'!"&amp;ADDRESS(ROW(AE16),COLUMN(AE16))),INDIRECT("'Yr3'!"&amp;ADDRESS(ROW(AE16),COLUMN(AE16)))),
IF(AE12&gt;0,SUMIFS('EE Inputs'!$I$9:$I$32,'EE Inputs'!$C$9:$C$32,$G$6,'EE Inputs'!$D$9:$D$32,$C$4,'EE Inputs'!$E$9:$E$32,$B16)/SUMIFS('EE Inputs'!$V$9:$V$32,'EE Inputs'!$C$9:$C$32,$G$6,'EE Inputs'!$D$9:$D$32,$C$4,'EE Inputs'!$E$9:$E$32,$B16)*10,0))</f>
        <v>0</v>
      </c>
      <c r="AF16" s="64">
        <f ca="1">IF($C$4=Lookups!$D$40,SUM(INDIRECT("'Yr1'!"&amp;ADDRESS(ROW(AF16),COLUMN(AF16))),INDIRECT("'Yr2'!"&amp;ADDRESS(ROW(AF16),COLUMN(AF16))),INDIRECT("'Yr3'!"&amp;ADDRESS(ROW(AF16),COLUMN(AF16)))),
IF(AF12&gt;0,SUMIFS('EE Inputs'!$I$9:$I$32,'EE Inputs'!$C$9:$C$32,$G$6,'EE Inputs'!$D$9:$D$32,$C$4,'EE Inputs'!$E$9:$E$32,$B16)/SUMIFS('EE Inputs'!$V$9:$V$32,'EE Inputs'!$C$9:$C$32,$G$6,'EE Inputs'!$D$9:$D$32,$C$4,'EE Inputs'!$E$9:$E$32,$B16)*10,0))</f>
        <v>0</v>
      </c>
      <c r="AG16" s="64">
        <f ca="1">IF($C$4=Lookups!$D$40,SUM(INDIRECT("'Yr1'!"&amp;ADDRESS(ROW(AG16),COLUMN(AG16))),INDIRECT("'Yr2'!"&amp;ADDRESS(ROW(AG16),COLUMN(AG16))),INDIRECT("'Yr3'!"&amp;ADDRESS(ROW(AG16),COLUMN(AG16)))),
IF(AG12&gt;0,SUMIFS('EE Inputs'!$I$9:$I$32,'EE Inputs'!$C$9:$C$32,$G$6,'EE Inputs'!$D$9:$D$32,$C$4,'EE Inputs'!$E$9:$E$32,$B16)/SUMIFS('EE Inputs'!$V$9:$V$32,'EE Inputs'!$C$9:$C$32,$G$6,'EE Inputs'!$D$9:$D$32,$C$4,'EE Inputs'!$E$9:$E$32,$B16)*10,0))</f>
        <v>0</v>
      </c>
      <c r="AH16" s="64"/>
      <c r="AI16" s="64">
        <f ca="1">SUM(G16:AG16)</f>
        <v>17153866.730910279</v>
      </c>
      <c r="AJ16" s="64"/>
      <c r="AM16" s="71">
        <f ca="1">IF($C$4=Lookups!$D$40,SUM(INDIRECT("'Yr1'!"&amp;ADDRESS(ROW(AM16),COLUMN(AM16))),INDIRECT("'Yr2'!"&amp;ADDRESS(ROW(AM16),COLUMN(AM16))),INDIRECT("'Yr3'!"&amp;ADDRESS(ROW(AM16),COLUMN(AM16)))),
IF(AM12&gt;0,SUMIFS('EE Inputs'!$I$9:$I$32,'EE Inputs'!$C$9:$C$32,$AM$6,'EE Inputs'!$D$9:$D$32,$C$4,'EE Inputs'!$E$9:$E$32,$B16)/SUMIFS('EE Inputs'!$V$9:$V$32,'EE Inputs'!$C$9:$C$32,$AM$6,'EE Inputs'!$D$9:$D$32,$C$4,'EE Inputs'!$E$9:$E$32,$B16)*10,0))</f>
        <v>429076.91310839797</v>
      </c>
      <c r="AN16" s="71">
        <f ca="1">IF($C$4=Lookups!$D$40,SUM(INDIRECT("'Yr1'!"&amp;ADDRESS(ROW(AN16),COLUMN(AN16))),INDIRECT("'Yr2'!"&amp;ADDRESS(ROW(AN16),COLUMN(AN16))),INDIRECT("'Yr3'!"&amp;ADDRESS(ROW(AN16),COLUMN(AN16)))),
IF(AN12&gt;0,SUMIFS('EE Inputs'!$I$9:$I$32,'EE Inputs'!$C$9:$C$32,$AM$6,'EE Inputs'!$D$9:$D$32,$C$4,'EE Inputs'!$E$9:$E$32,$B16)/SUMIFS('EE Inputs'!$V$9:$V$32,'EE Inputs'!$C$9:$C$32,$AM$6,'EE Inputs'!$D$9:$D$32,$C$4,'EE Inputs'!$E$9:$E$32,$B16)*10,0))</f>
        <v>863932.19398697198</v>
      </c>
      <c r="AO16" s="71">
        <f ca="1">IF($C$4=Lookups!$D$40,SUM(INDIRECT("'Yr1'!"&amp;ADDRESS(ROW(AO16),COLUMN(AO16))),INDIRECT("'Yr2'!"&amp;ADDRESS(ROW(AO16),COLUMN(AO16))),INDIRECT("'Yr3'!"&amp;ADDRESS(ROW(AO16),COLUMN(AO16)))),
IF(AO12&gt;0,SUMIFS('EE Inputs'!$I$9:$I$32,'EE Inputs'!$C$9:$C$32,$AM$6,'EE Inputs'!$D$9:$D$32,$C$4,'EE Inputs'!$E$9:$E$32,$B16)/SUMIFS('EE Inputs'!$V$9:$V$32,'EE Inputs'!$C$9:$C$32,$AM$6,'EE Inputs'!$D$9:$D$32,$C$4,'EE Inputs'!$E$9:$E$32,$B16)*10,0))</f>
        <v>1306961.2747360212</v>
      </c>
      <c r="AP16" s="71">
        <f ca="1">IF($C$4=Lookups!$D$40,SUM(INDIRECT("'Yr1'!"&amp;ADDRESS(ROW(AP16),COLUMN(AP16))),INDIRECT("'Yr2'!"&amp;ADDRESS(ROW(AP16),COLUMN(AP16))),INDIRECT("'Yr3'!"&amp;ADDRESS(ROW(AP16),COLUMN(AP16)))),
IF(AP12&gt;0,SUMIFS('EE Inputs'!$I$9:$I$32,'EE Inputs'!$C$9:$C$32,$AM$6,'EE Inputs'!$D$9:$D$32,$C$4,'EE Inputs'!$E$9:$E$32,$B16)/SUMIFS('EE Inputs'!$V$9:$V$32,'EE Inputs'!$C$9:$C$32,$AM$6,'EE Inputs'!$D$9:$D$32,$C$4,'EE Inputs'!$E$9:$E$32,$B16)*10,0))</f>
        <v>1306961.2747360212</v>
      </c>
      <c r="AQ16" s="71">
        <f ca="1">IF($C$4=Lookups!$D$40,SUM(INDIRECT("'Yr1'!"&amp;ADDRESS(ROW(AQ16),COLUMN(AQ16))),INDIRECT("'Yr2'!"&amp;ADDRESS(ROW(AQ16),COLUMN(AQ16))),INDIRECT("'Yr3'!"&amp;ADDRESS(ROW(AQ16),COLUMN(AQ16)))),
IF(AQ12&gt;0,SUMIFS('EE Inputs'!$I$9:$I$32,'EE Inputs'!$C$9:$C$32,$AM$6,'EE Inputs'!$D$9:$D$32,$C$4,'EE Inputs'!$E$9:$E$32,$B16)/SUMIFS('EE Inputs'!$V$9:$V$32,'EE Inputs'!$C$9:$C$32,$AM$6,'EE Inputs'!$D$9:$D$32,$C$4,'EE Inputs'!$E$9:$E$32,$B16)*10,0))</f>
        <v>1306961.2747360212</v>
      </c>
      <c r="AR16" s="71">
        <f ca="1">IF($C$4=Lookups!$D$40,SUM(INDIRECT("'Yr1'!"&amp;ADDRESS(ROW(AR16),COLUMN(AR16))),INDIRECT("'Yr2'!"&amp;ADDRESS(ROW(AR16),COLUMN(AR16))),INDIRECT("'Yr3'!"&amp;ADDRESS(ROW(AR16),COLUMN(AR16)))),
IF(AR12&gt;0,SUMIFS('EE Inputs'!$I$9:$I$32,'EE Inputs'!$C$9:$C$32,$AM$6,'EE Inputs'!$D$9:$D$32,$C$4,'EE Inputs'!$E$9:$E$32,$B16)/SUMIFS('EE Inputs'!$V$9:$V$32,'EE Inputs'!$C$9:$C$32,$AM$6,'EE Inputs'!$D$9:$D$32,$C$4,'EE Inputs'!$E$9:$E$32,$B16)*10,0))</f>
        <v>1306961.2747360212</v>
      </c>
      <c r="AS16" s="71">
        <f ca="1">IF($C$4=Lookups!$D$40,SUM(INDIRECT("'Yr1'!"&amp;ADDRESS(ROW(AS16),COLUMN(AS16))),INDIRECT("'Yr2'!"&amp;ADDRESS(ROW(AS16),COLUMN(AS16))),INDIRECT("'Yr3'!"&amp;ADDRESS(ROW(AS16),COLUMN(AS16)))),
IF(AS12&gt;0,SUMIFS('EE Inputs'!$I$9:$I$32,'EE Inputs'!$C$9:$C$32,$AM$6,'EE Inputs'!$D$9:$D$32,$C$4,'EE Inputs'!$E$9:$E$32,$B16)/SUMIFS('EE Inputs'!$V$9:$V$32,'EE Inputs'!$C$9:$C$32,$AM$6,'EE Inputs'!$D$9:$D$32,$C$4,'EE Inputs'!$E$9:$E$32,$B16)*10,0))</f>
        <v>1306961.2747360212</v>
      </c>
      <c r="AT16" s="71">
        <f ca="1">IF($C$4=Lookups!$D$40,SUM(INDIRECT("'Yr1'!"&amp;ADDRESS(ROW(AT16),COLUMN(AT16))),INDIRECT("'Yr2'!"&amp;ADDRESS(ROW(AT16),COLUMN(AT16))),INDIRECT("'Yr3'!"&amp;ADDRESS(ROW(AT16),COLUMN(AT16)))),
IF(AT12&gt;0,SUMIFS('EE Inputs'!$I$9:$I$32,'EE Inputs'!$C$9:$C$32,$AM$6,'EE Inputs'!$D$9:$D$32,$C$4,'EE Inputs'!$E$9:$E$32,$B16)/SUMIFS('EE Inputs'!$V$9:$V$32,'EE Inputs'!$C$9:$C$32,$AM$6,'EE Inputs'!$D$9:$D$32,$C$4,'EE Inputs'!$E$9:$E$32,$B16)*10,0))</f>
        <v>1306961.2747360212</v>
      </c>
      <c r="AU16" s="71">
        <f ca="1">IF($C$4=Lookups!$D$40,SUM(INDIRECT("'Yr1'!"&amp;ADDRESS(ROW(AU16),COLUMN(AU16))),INDIRECT("'Yr2'!"&amp;ADDRESS(ROW(AU16),COLUMN(AU16))),INDIRECT("'Yr3'!"&amp;ADDRESS(ROW(AU16),COLUMN(AU16)))),
IF(AU12&gt;0,SUMIFS('EE Inputs'!$I$9:$I$32,'EE Inputs'!$C$9:$C$32,$AM$6,'EE Inputs'!$D$9:$D$32,$C$4,'EE Inputs'!$E$9:$E$32,$B16)/SUMIFS('EE Inputs'!$V$9:$V$32,'EE Inputs'!$C$9:$C$32,$AM$6,'EE Inputs'!$D$9:$D$32,$C$4,'EE Inputs'!$E$9:$E$32,$B16)*10,0))</f>
        <v>1306961.2747360212</v>
      </c>
      <c r="AV16" s="71">
        <f ca="1">IF($C$4=Lookups!$D$40,SUM(INDIRECT("'Yr1'!"&amp;ADDRESS(ROW(AV16),COLUMN(AV16))),INDIRECT("'Yr2'!"&amp;ADDRESS(ROW(AV16),COLUMN(AV16))),INDIRECT("'Yr3'!"&amp;ADDRESS(ROW(AV16),COLUMN(AV16)))),
IF(AV12&gt;0,SUMIFS('EE Inputs'!$I$9:$I$32,'EE Inputs'!$C$9:$C$32,$AM$6,'EE Inputs'!$D$9:$D$32,$C$4,'EE Inputs'!$E$9:$E$32,$B16)/SUMIFS('EE Inputs'!$V$9:$V$32,'EE Inputs'!$C$9:$C$32,$AM$6,'EE Inputs'!$D$9:$D$32,$C$4,'EE Inputs'!$E$9:$E$32,$B16)*10,0))</f>
        <v>1306961.2747360212</v>
      </c>
      <c r="AW16" s="71">
        <f ca="1">IF($C$4=Lookups!$D$40,SUM(INDIRECT("'Yr1'!"&amp;ADDRESS(ROW(AW16),COLUMN(AW16))),INDIRECT("'Yr2'!"&amp;ADDRESS(ROW(AW16),COLUMN(AW16))),INDIRECT("'Yr3'!"&amp;ADDRESS(ROW(AW16),COLUMN(AW16)))),
IF(AW12&gt;0,SUMIFS('EE Inputs'!$I$9:$I$32,'EE Inputs'!$C$9:$C$32,$AM$6,'EE Inputs'!$D$9:$D$32,$C$4,'EE Inputs'!$E$9:$E$32,$B16)/SUMIFS('EE Inputs'!$V$9:$V$32,'EE Inputs'!$C$9:$C$32,$AM$6,'EE Inputs'!$D$9:$D$32,$C$4,'EE Inputs'!$E$9:$E$32,$B16)*10,0))</f>
        <v>1306961.2747360212</v>
      </c>
      <c r="AX16" s="71">
        <f ca="1">IF($C$4=Lookups!$D$40,SUM(INDIRECT("'Yr1'!"&amp;ADDRESS(ROW(AX16),COLUMN(AX16))),INDIRECT("'Yr2'!"&amp;ADDRESS(ROW(AX16),COLUMN(AX16))),INDIRECT("'Yr3'!"&amp;ADDRESS(ROW(AX16),COLUMN(AX16)))),
IF(AX12&gt;0,SUMIFS('EE Inputs'!$I$9:$I$32,'EE Inputs'!$C$9:$C$32,$AM$6,'EE Inputs'!$D$9:$D$32,$C$4,'EE Inputs'!$E$9:$E$32,$B16)/SUMIFS('EE Inputs'!$V$9:$V$32,'EE Inputs'!$C$9:$C$32,$AM$6,'EE Inputs'!$D$9:$D$32,$C$4,'EE Inputs'!$E$9:$E$32,$B16)*10,0))</f>
        <v>1306961.2747360212</v>
      </c>
      <c r="AY16" s="71">
        <f ca="1">IF($C$4=Lookups!$D$40,SUM(INDIRECT("'Yr1'!"&amp;ADDRESS(ROW(AY16),COLUMN(AY16))),INDIRECT("'Yr2'!"&amp;ADDRESS(ROW(AY16),COLUMN(AY16))),INDIRECT("'Yr3'!"&amp;ADDRESS(ROW(AY16),COLUMN(AY16)))),
IF(AY12&gt;0,SUMIFS('EE Inputs'!$I$9:$I$32,'EE Inputs'!$C$9:$C$32,$AM$6,'EE Inputs'!$D$9:$D$32,$C$4,'EE Inputs'!$E$9:$E$32,$B16)/SUMIFS('EE Inputs'!$V$9:$V$32,'EE Inputs'!$C$9:$C$32,$AM$6,'EE Inputs'!$D$9:$D$32,$C$4,'EE Inputs'!$E$9:$E$32,$B16)*10,0))</f>
        <v>1306961.2747360212</v>
      </c>
      <c r="AZ16" s="71">
        <f ca="1">IF($C$4=Lookups!$D$40,SUM(INDIRECT("'Yr1'!"&amp;ADDRESS(ROW(AZ16),COLUMN(AZ16))),INDIRECT("'Yr2'!"&amp;ADDRESS(ROW(AZ16),COLUMN(AZ16))),INDIRECT("'Yr3'!"&amp;ADDRESS(ROW(AZ16),COLUMN(AZ16)))),
IF(AZ12&gt;0,SUMIFS('EE Inputs'!$I$9:$I$32,'EE Inputs'!$C$9:$C$32,$AM$6,'EE Inputs'!$D$9:$D$32,$C$4,'EE Inputs'!$E$9:$E$32,$B16)/SUMIFS('EE Inputs'!$V$9:$V$32,'EE Inputs'!$C$9:$C$32,$AM$6,'EE Inputs'!$D$9:$D$32,$C$4,'EE Inputs'!$E$9:$E$32,$B16)*10,0))</f>
        <v>1306961.2747360212</v>
      </c>
      <c r="BA16" s="71">
        <f ca="1">IF($C$4=Lookups!$D$40,SUM(INDIRECT("'Yr1'!"&amp;ADDRESS(ROW(BA16),COLUMN(BA16))),INDIRECT("'Yr2'!"&amp;ADDRESS(ROW(BA16),COLUMN(BA16))),INDIRECT("'Yr3'!"&amp;ADDRESS(ROW(BA16),COLUMN(BA16)))),
IF(BA12&gt;0,SUMIFS('EE Inputs'!$I$9:$I$32,'EE Inputs'!$C$9:$C$32,$AM$6,'EE Inputs'!$D$9:$D$32,$C$4,'EE Inputs'!$E$9:$E$32,$B16)/SUMIFS('EE Inputs'!$V$9:$V$32,'EE Inputs'!$C$9:$C$32,$AM$6,'EE Inputs'!$D$9:$D$32,$C$4,'EE Inputs'!$E$9:$E$32,$B16)*10,0))</f>
        <v>1306961.2747360212</v>
      </c>
      <c r="BB16" s="71">
        <f ca="1">IF($C$4=Lookups!$D$40,SUM(INDIRECT("'Yr1'!"&amp;ADDRESS(ROW(BB16),COLUMN(BB16))),INDIRECT("'Yr2'!"&amp;ADDRESS(ROW(BB16),COLUMN(BB16))),INDIRECT("'Yr3'!"&amp;ADDRESS(ROW(BB16),COLUMN(BB16)))),
IF(BB12&gt;0,SUMIFS('EE Inputs'!$I$9:$I$32,'EE Inputs'!$C$9:$C$32,$AM$6,'EE Inputs'!$D$9:$D$32,$C$4,'EE Inputs'!$E$9:$E$32,$B16)/SUMIFS('EE Inputs'!$V$9:$V$32,'EE Inputs'!$C$9:$C$32,$AM$6,'EE Inputs'!$D$9:$D$32,$C$4,'EE Inputs'!$E$9:$E$32,$B16)*10,0))</f>
        <v>877884.36162762309</v>
      </c>
      <c r="BC16" s="71">
        <f ca="1">IF($C$4=Lookups!$D$40,SUM(INDIRECT("'Yr1'!"&amp;ADDRESS(ROW(BC16),COLUMN(BC16))),INDIRECT("'Yr2'!"&amp;ADDRESS(ROW(BC16),COLUMN(BC16))),INDIRECT("'Yr3'!"&amp;ADDRESS(ROW(BC16),COLUMN(BC16)))),
IF(BC12&gt;0,SUMIFS('EE Inputs'!$I$9:$I$32,'EE Inputs'!$C$9:$C$32,$AM$6,'EE Inputs'!$D$9:$D$32,$C$4,'EE Inputs'!$E$9:$E$32,$B16)/SUMIFS('EE Inputs'!$V$9:$V$32,'EE Inputs'!$C$9:$C$32,$AM$6,'EE Inputs'!$D$9:$D$32,$C$4,'EE Inputs'!$E$9:$E$32,$B16)*10,0))</f>
        <v>443029.08074904908</v>
      </c>
      <c r="BD16" s="71">
        <f ca="1">IF($C$4=Lookups!$D$40,SUM(INDIRECT("'Yr1'!"&amp;ADDRESS(ROW(BD16),COLUMN(BD16))),INDIRECT("'Yr2'!"&amp;ADDRESS(ROW(BD16),COLUMN(BD16))),INDIRECT("'Yr3'!"&amp;ADDRESS(ROW(BD16),COLUMN(BD16)))),
IF(BD12&gt;0,SUMIFS('EE Inputs'!$I$9:$I$32,'EE Inputs'!$C$9:$C$32,$AM$6,'EE Inputs'!$D$9:$D$32,$C$4,'EE Inputs'!$E$9:$E$32,$B16)/SUMIFS('EE Inputs'!$V$9:$V$32,'EE Inputs'!$C$9:$C$32,$AM$6,'EE Inputs'!$D$9:$D$32,$C$4,'EE Inputs'!$E$9:$E$32,$B16)*10,0))</f>
        <v>0</v>
      </c>
      <c r="BE16" s="71">
        <f ca="1">IF($C$4=Lookups!$D$40,SUM(INDIRECT("'Yr1'!"&amp;ADDRESS(ROW(BE16),COLUMN(BE16))),INDIRECT("'Yr2'!"&amp;ADDRESS(ROW(BE16),COLUMN(BE16))),INDIRECT("'Yr3'!"&amp;ADDRESS(ROW(BE16),COLUMN(BE16)))),
IF(BE12&gt;0,SUMIFS('EE Inputs'!$I$9:$I$32,'EE Inputs'!$C$9:$C$32,$AM$6,'EE Inputs'!$D$9:$D$32,$C$4,'EE Inputs'!$E$9:$E$32,$B16)/SUMIFS('EE Inputs'!$V$9:$V$32,'EE Inputs'!$C$9:$C$32,$AM$6,'EE Inputs'!$D$9:$D$32,$C$4,'EE Inputs'!$E$9:$E$32,$B16)*10,0))</f>
        <v>0</v>
      </c>
      <c r="BF16" s="71">
        <f ca="1">IF($C$4=Lookups!$D$40,SUM(INDIRECT("'Yr1'!"&amp;ADDRESS(ROW(BF16),COLUMN(BF16))),INDIRECT("'Yr2'!"&amp;ADDRESS(ROW(BF16),COLUMN(BF16))),INDIRECT("'Yr3'!"&amp;ADDRESS(ROW(BF16),COLUMN(BF16)))),
IF(BF12&gt;0,SUMIFS('EE Inputs'!$I$9:$I$32,'EE Inputs'!$C$9:$C$32,$AM$6,'EE Inputs'!$D$9:$D$32,$C$4,'EE Inputs'!$E$9:$E$32,$B16)/SUMIFS('EE Inputs'!$V$9:$V$32,'EE Inputs'!$C$9:$C$32,$AM$6,'EE Inputs'!$D$9:$D$32,$C$4,'EE Inputs'!$E$9:$E$32,$B16)*10,0))</f>
        <v>0</v>
      </c>
      <c r="BG16" s="71">
        <f ca="1">IF($C$4=Lookups!$D$40,SUM(INDIRECT("'Yr1'!"&amp;ADDRESS(ROW(BG16),COLUMN(BG16))),INDIRECT("'Yr2'!"&amp;ADDRESS(ROW(BG16),COLUMN(BG16))),INDIRECT("'Yr3'!"&amp;ADDRESS(ROW(BG16),COLUMN(BG16)))),
IF(BG12&gt;0,SUMIFS('EE Inputs'!$I$9:$I$32,'EE Inputs'!$C$9:$C$32,$AM$6,'EE Inputs'!$D$9:$D$32,$C$4,'EE Inputs'!$E$9:$E$32,$B16)/SUMIFS('EE Inputs'!$V$9:$V$32,'EE Inputs'!$C$9:$C$32,$AM$6,'EE Inputs'!$D$9:$D$32,$C$4,'EE Inputs'!$E$9:$E$32,$B16)*10,0))</f>
        <v>0</v>
      </c>
      <c r="BH16" s="71">
        <f ca="1">IF($C$4=Lookups!$D$40,SUM(INDIRECT("'Yr1'!"&amp;ADDRESS(ROW(BH16),COLUMN(BH16))),INDIRECT("'Yr2'!"&amp;ADDRESS(ROW(BH16),COLUMN(BH16))),INDIRECT("'Yr3'!"&amp;ADDRESS(ROW(BH16),COLUMN(BH16)))),
IF(BH12&gt;0,SUMIFS('EE Inputs'!$I$9:$I$32,'EE Inputs'!$C$9:$C$32,$AM$6,'EE Inputs'!$D$9:$D$32,$C$4,'EE Inputs'!$E$9:$E$32,$B16)/SUMIFS('EE Inputs'!$V$9:$V$32,'EE Inputs'!$C$9:$C$32,$AM$6,'EE Inputs'!$D$9:$D$32,$C$4,'EE Inputs'!$E$9:$E$32,$B16)*10,0))</f>
        <v>0</v>
      </c>
      <c r="BI16" s="71">
        <f ca="1">IF($C$4=Lookups!$D$40,SUM(INDIRECT("'Yr1'!"&amp;ADDRESS(ROW(BI16),COLUMN(BI16))),INDIRECT("'Yr2'!"&amp;ADDRESS(ROW(BI16),COLUMN(BI16))),INDIRECT("'Yr3'!"&amp;ADDRESS(ROW(BI16),COLUMN(BI16)))),
IF(BI12&gt;0,SUMIFS('EE Inputs'!$I$9:$I$32,'EE Inputs'!$C$9:$C$32,$AM$6,'EE Inputs'!$D$9:$D$32,$C$4,'EE Inputs'!$E$9:$E$32,$B16)/SUMIFS('EE Inputs'!$V$9:$V$32,'EE Inputs'!$C$9:$C$32,$AM$6,'EE Inputs'!$D$9:$D$32,$C$4,'EE Inputs'!$E$9:$E$32,$B16)*10,0))</f>
        <v>0</v>
      </c>
      <c r="BJ16" s="71">
        <f ca="1">IF($C$4=Lookups!$D$40,SUM(INDIRECT("'Yr1'!"&amp;ADDRESS(ROW(BJ16),COLUMN(BJ16))),INDIRECT("'Yr2'!"&amp;ADDRESS(ROW(BJ16),COLUMN(BJ16))),INDIRECT("'Yr3'!"&amp;ADDRESS(ROW(BJ16),COLUMN(BJ16)))),
IF(BJ12&gt;0,SUMIFS('EE Inputs'!$I$9:$I$32,'EE Inputs'!$C$9:$C$32,$AM$6,'EE Inputs'!$D$9:$D$32,$C$4,'EE Inputs'!$E$9:$E$32,$B16)/SUMIFS('EE Inputs'!$V$9:$V$32,'EE Inputs'!$C$9:$C$32,$AM$6,'EE Inputs'!$D$9:$D$32,$C$4,'EE Inputs'!$E$9:$E$32,$B16)*10,0))</f>
        <v>0</v>
      </c>
      <c r="BK16" s="71">
        <f ca="1">IF($C$4=Lookups!$D$40,SUM(INDIRECT("'Yr1'!"&amp;ADDRESS(ROW(BK16),COLUMN(BK16))),INDIRECT("'Yr2'!"&amp;ADDRESS(ROW(BK16),COLUMN(BK16))),INDIRECT("'Yr3'!"&amp;ADDRESS(ROW(BK16),COLUMN(BK16)))),
IF(BK12&gt;0,SUMIFS('EE Inputs'!$I$9:$I$32,'EE Inputs'!$C$9:$C$32,$AM$6,'EE Inputs'!$D$9:$D$32,$C$4,'EE Inputs'!$E$9:$E$32,$B16)/SUMIFS('EE Inputs'!$V$9:$V$32,'EE Inputs'!$C$9:$C$32,$AM$6,'EE Inputs'!$D$9:$D$32,$C$4,'EE Inputs'!$E$9:$E$32,$B16)*10,0))</f>
        <v>0</v>
      </c>
      <c r="BL16" s="71">
        <f ca="1">IF($C$4=Lookups!$D$40,SUM(INDIRECT("'Yr1'!"&amp;ADDRESS(ROW(BL16),COLUMN(BL16))),INDIRECT("'Yr2'!"&amp;ADDRESS(ROW(BL16),COLUMN(BL16))),INDIRECT("'Yr3'!"&amp;ADDRESS(ROW(BL16),COLUMN(BL16)))),
IF(BL12&gt;0,SUMIFS('EE Inputs'!$I$9:$I$32,'EE Inputs'!$C$9:$C$32,$AM$6,'EE Inputs'!$D$9:$D$32,$C$4,'EE Inputs'!$E$9:$E$32,$B16)/SUMIFS('EE Inputs'!$V$9:$V$32,'EE Inputs'!$C$9:$C$32,$AM$6,'EE Inputs'!$D$9:$D$32,$C$4,'EE Inputs'!$E$9:$E$32,$B16)*10,0))</f>
        <v>0</v>
      </c>
      <c r="BM16" s="71">
        <f ca="1">IF($C$4=Lookups!$D$40,SUM(INDIRECT("'Yr1'!"&amp;ADDRESS(ROW(BM16),COLUMN(BM16))),INDIRECT("'Yr2'!"&amp;ADDRESS(ROW(BM16),COLUMN(BM16))),INDIRECT("'Yr3'!"&amp;ADDRESS(ROW(BM16),COLUMN(BM16)))),
IF(BM12&gt;0,SUMIFS('EE Inputs'!$I$9:$I$32,'EE Inputs'!$C$9:$C$32,$AM$6,'EE Inputs'!$D$9:$D$32,$C$4,'EE Inputs'!$E$9:$E$32,$B16)/SUMIFS('EE Inputs'!$V$9:$V$32,'EE Inputs'!$C$9:$C$32,$AM$6,'EE Inputs'!$D$9:$D$32,$C$4,'EE Inputs'!$E$9:$E$32,$B16)*10,0))</f>
        <v>0</v>
      </c>
      <c r="BN16" s="71"/>
      <c r="BO16" s="71">
        <f ca="1">SUM(AM16:BM16)</f>
        <v>19604419.121040314</v>
      </c>
      <c r="BP16" s="71"/>
      <c r="BS16" s="84" t="s">
        <v>92</v>
      </c>
      <c r="BT16" s="51" t="s">
        <v>17</v>
      </c>
    </row>
    <row r="17" spans="1:72" x14ac:dyDescent="0.25">
      <c r="B17" s="243" t="str">
        <f t="shared" si="4"/>
        <v>Residential</v>
      </c>
      <c r="C17" s="243" t="str">
        <f>C16</f>
        <v>Sales</v>
      </c>
      <c r="D17" s="244" t="s">
        <v>109</v>
      </c>
      <c r="E17" s="85" t="s">
        <v>109</v>
      </c>
      <c r="F17" s="84" t="s">
        <v>195</v>
      </c>
      <c r="G17" s="65">
        <f ca="1">G15-G16</f>
        <v>58150146.804593243</v>
      </c>
      <c r="H17" s="65">
        <f t="shared" ref="H17:AG17" ca="1" si="5">H15-H16</f>
        <v>57769648.433824494</v>
      </c>
      <c r="I17" s="65">
        <f t="shared" ca="1" si="5"/>
        <v>57381997.988169074</v>
      </c>
      <c r="J17" s="65">
        <f t="shared" ca="1" si="5"/>
        <v>57381997.988169074</v>
      </c>
      <c r="K17" s="65">
        <f t="shared" ca="1" si="5"/>
        <v>57381997.988169074</v>
      </c>
      <c r="L17" s="65">
        <f t="shared" ca="1" si="5"/>
        <v>57381997.988169074</v>
      </c>
      <c r="M17" s="65">
        <f t="shared" ca="1" si="5"/>
        <v>57381997.988169074</v>
      </c>
      <c r="N17" s="65">
        <f t="shared" ca="1" si="5"/>
        <v>57381997.988169074</v>
      </c>
      <c r="O17" s="65">
        <f t="shared" ca="1" si="5"/>
        <v>57381997.988169074</v>
      </c>
      <c r="P17" s="65">
        <f t="shared" ca="1" si="5"/>
        <v>57381997.988169074</v>
      </c>
      <c r="Q17" s="65">
        <f t="shared" ca="1" si="5"/>
        <v>57381997.988169074</v>
      </c>
      <c r="R17" s="65">
        <f t="shared" ca="1" si="5"/>
        <v>57381997.988169074</v>
      </c>
      <c r="S17" s="65">
        <f t="shared" ca="1" si="5"/>
        <v>57381997.988169074</v>
      </c>
      <c r="T17" s="65">
        <f t="shared" ca="1" si="5"/>
        <v>57381997.988169074</v>
      </c>
      <c r="U17" s="65">
        <f t="shared" ca="1" si="5"/>
        <v>57381997.988169074</v>
      </c>
      <c r="V17" s="65">
        <f t="shared" ca="1" si="5"/>
        <v>57757440.287138924</v>
      </c>
      <c r="W17" s="65">
        <f t="shared" ca="1" si="5"/>
        <v>58137938.657907672</v>
      </c>
      <c r="X17" s="65">
        <f t="shared" ca="1" si="5"/>
        <v>58525589.103563093</v>
      </c>
      <c r="Y17" s="65">
        <f t="shared" ca="1" si="5"/>
        <v>58525589.103563093</v>
      </c>
      <c r="Z17" s="65">
        <f t="shared" ca="1" si="5"/>
        <v>58525589.103563093</v>
      </c>
      <c r="AA17" s="65">
        <f t="shared" ca="1" si="5"/>
        <v>58525589.103563093</v>
      </c>
      <c r="AB17" s="65">
        <f t="shared" ca="1" si="5"/>
        <v>58525589.103563093</v>
      </c>
      <c r="AC17" s="65">
        <f t="shared" ca="1" si="5"/>
        <v>58525589.103563093</v>
      </c>
      <c r="AD17" s="65">
        <f t="shared" ca="1" si="5"/>
        <v>58525589.103563093</v>
      </c>
      <c r="AE17" s="65">
        <f t="shared" ca="1" si="5"/>
        <v>58525589.103563093</v>
      </c>
      <c r="AF17" s="65">
        <f t="shared" ca="1" si="5"/>
        <v>58525589.103563093</v>
      </c>
      <c r="AG17" s="65">
        <f t="shared" ca="1" si="5"/>
        <v>58525589.103563093</v>
      </c>
      <c r="AH17" s="65"/>
      <c r="AI17" s="65">
        <f ca="1">SUM(G17:AG17)</f>
        <v>1563037039.0652931</v>
      </c>
      <c r="AJ17" s="65"/>
      <c r="AM17" s="72">
        <f ca="1">AM15-AM16</f>
        <v>58096512.190454692</v>
      </c>
      <c r="AN17" s="72">
        <f t="shared" ref="AN17:BM17" ca="1" si="6">AN15-AN16</f>
        <v>57661656.909576118</v>
      </c>
      <c r="AO17" s="72">
        <f t="shared" ca="1" si="6"/>
        <v>57218627.828827068</v>
      </c>
      <c r="AP17" s="72">
        <f t="shared" ca="1" si="6"/>
        <v>57218627.828827068</v>
      </c>
      <c r="AQ17" s="72">
        <f t="shared" ca="1" si="6"/>
        <v>57218627.828827068</v>
      </c>
      <c r="AR17" s="72">
        <f t="shared" ca="1" si="6"/>
        <v>57218627.828827068</v>
      </c>
      <c r="AS17" s="72">
        <f t="shared" ca="1" si="6"/>
        <v>57218627.828827068</v>
      </c>
      <c r="AT17" s="72">
        <f t="shared" ca="1" si="6"/>
        <v>57218627.828827068</v>
      </c>
      <c r="AU17" s="72">
        <f t="shared" ca="1" si="6"/>
        <v>57218627.828827068</v>
      </c>
      <c r="AV17" s="72">
        <f t="shared" ca="1" si="6"/>
        <v>57218627.828827068</v>
      </c>
      <c r="AW17" s="72">
        <f t="shared" ca="1" si="6"/>
        <v>57218627.828827068</v>
      </c>
      <c r="AX17" s="72">
        <f t="shared" ca="1" si="6"/>
        <v>57218627.828827068</v>
      </c>
      <c r="AY17" s="72">
        <f t="shared" ca="1" si="6"/>
        <v>57218627.828827068</v>
      </c>
      <c r="AZ17" s="72">
        <f t="shared" ca="1" si="6"/>
        <v>57218627.828827068</v>
      </c>
      <c r="BA17" s="72">
        <f t="shared" ca="1" si="6"/>
        <v>57218627.828827068</v>
      </c>
      <c r="BB17" s="72">
        <f t="shared" ca="1" si="6"/>
        <v>57647704.741935469</v>
      </c>
      <c r="BC17" s="72">
        <f t="shared" ca="1" si="6"/>
        <v>58082560.022814043</v>
      </c>
      <c r="BD17" s="72">
        <f t="shared" ca="1" si="6"/>
        <v>58525589.103563093</v>
      </c>
      <c r="BE17" s="72">
        <f t="shared" ca="1" si="6"/>
        <v>58525589.103563093</v>
      </c>
      <c r="BF17" s="72">
        <f t="shared" ca="1" si="6"/>
        <v>58525589.103563093</v>
      </c>
      <c r="BG17" s="72">
        <f t="shared" ca="1" si="6"/>
        <v>58525589.103563093</v>
      </c>
      <c r="BH17" s="72">
        <f t="shared" ca="1" si="6"/>
        <v>58525589.103563093</v>
      </c>
      <c r="BI17" s="72">
        <f t="shared" ca="1" si="6"/>
        <v>58525589.103563093</v>
      </c>
      <c r="BJ17" s="72">
        <f t="shared" ca="1" si="6"/>
        <v>58525589.103563093</v>
      </c>
      <c r="BK17" s="72">
        <f t="shared" ca="1" si="6"/>
        <v>58525589.103563093</v>
      </c>
      <c r="BL17" s="72">
        <f t="shared" ca="1" si="6"/>
        <v>58525589.103563093</v>
      </c>
      <c r="BM17" s="72">
        <f t="shared" ca="1" si="6"/>
        <v>58525589.103563093</v>
      </c>
      <c r="BN17" s="72"/>
      <c r="BO17" s="72">
        <f ca="1">SUM(AM17:BM17)</f>
        <v>1560586486.6751628</v>
      </c>
      <c r="BP17" s="72"/>
      <c r="BS17" s="84" t="s">
        <v>93</v>
      </c>
      <c r="BT17" s="51" t="s">
        <v>17</v>
      </c>
    </row>
    <row r="18" spans="1:72" s="5" customFormat="1" x14ac:dyDescent="0.25">
      <c r="A18" s="52"/>
      <c r="B18" s="242" t="str">
        <f t="shared" si="4"/>
        <v>Residential</v>
      </c>
      <c r="C18" s="243" t="str">
        <f>C17</f>
        <v>Sales</v>
      </c>
      <c r="D18" s="77" t="s">
        <v>17</v>
      </c>
      <c r="E18" s="76"/>
      <c r="F18" s="76"/>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8"/>
      <c r="AI18" s="235"/>
      <c r="AJ18" s="48"/>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S18" s="76"/>
      <c r="BT18" s="51" t="s">
        <v>17</v>
      </c>
    </row>
    <row r="19" spans="1:72" s="5" customFormat="1" ht="15.75" x14ac:dyDescent="0.25">
      <c r="A19" s="52"/>
      <c r="B19" s="241" t="str">
        <f t="shared" si="4"/>
        <v>Residential</v>
      </c>
      <c r="C19" s="63" t="s">
        <v>124</v>
      </c>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2"/>
      <c r="BO19" s="62"/>
      <c r="BP19" s="62"/>
      <c r="BS19" s="62"/>
      <c r="BT19" s="51" t="s">
        <v>17</v>
      </c>
    </row>
    <row r="20" spans="1:72" x14ac:dyDescent="0.25">
      <c r="B20" s="243" t="str">
        <f t="shared" si="4"/>
        <v>Residential</v>
      </c>
      <c r="C20" s="243" t="str">
        <f t="shared" si="4"/>
        <v>Revenue Requirements</v>
      </c>
      <c r="D20" s="114" t="str">
        <f>"Revenue Requirement before DSM ("&amp;Lookups!$D$22&amp;" Scenario)"</f>
        <v>Revenue Requirement before DSM (No EE Scenario)</v>
      </c>
      <c r="E20" s="84"/>
      <c r="F20" s="84"/>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S20" s="84"/>
      <c r="BT20" s="51" t="s">
        <v>17</v>
      </c>
    </row>
    <row r="21" spans="1:72" x14ac:dyDescent="0.25">
      <c r="B21" s="243" t="str">
        <f t="shared" si="4"/>
        <v>Residential</v>
      </c>
      <c r="C21" s="243" t="str">
        <f t="shared" si="4"/>
        <v>Revenue Requirements</v>
      </c>
      <c r="D21" s="244" t="str">
        <f>D20</f>
        <v>Revenue Requirement before DSM (No EE Scenario)</v>
      </c>
      <c r="E21" s="84" t="s">
        <v>26</v>
      </c>
      <c r="F21" s="84" t="s">
        <v>32</v>
      </c>
      <c r="G21" s="65">
        <f>G38*G15</f>
        <v>32592900.571774282</v>
      </c>
      <c r="H21" s="65">
        <f t="shared" ref="H21:AG21" si="7">H38*H15</f>
        <v>32592900.571774282</v>
      </c>
      <c r="I21" s="65">
        <f t="shared" si="7"/>
        <v>32592900.571774282</v>
      </c>
      <c r="J21" s="65">
        <f t="shared" si="7"/>
        <v>32592900.571774282</v>
      </c>
      <c r="K21" s="65">
        <f t="shared" si="7"/>
        <v>32592900.571774282</v>
      </c>
      <c r="L21" s="65">
        <f t="shared" si="7"/>
        <v>32592900.571774282</v>
      </c>
      <c r="M21" s="65">
        <f t="shared" si="7"/>
        <v>32592900.571774282</v>
      </c>
      <c r="N21" s="65">
        <f t="shared" si="7"/>
        <v>32592900.571774282</v>
      </c>
      <c r="O21" s="65">
        <f t="shared" si="7"/>
        <v>32592900.571774282</v>
      </c>
      <c r="P21" s="65">
        <f t="shared" si="7"/>
        <v>32592900.571774282</v>
      </c>
      <c r="Q21" s="65">
        <f t="shared" si="7"/>
        <v>32592900.571774282</v>
      </c>
      <c r="R21" s="65">
        <f t="shared" si="7"/>
        <v>32592900.571774282</v>
      </c>
      <c r="S21" s="65">
        <f t="shared" si="7"/>
        <v>32592900.571774282</v>
      </c>
      <c r="T21" s="65">
        <f t="shared" si="7"/>
        <v>32592900.571774282</v>
      </c>
      <c r="U21" s="65">
        <f t="shared" si="7"/>
        <v>32592900.571774282</v>
      </c>
      <c r="V21" s="65">
        <f t="shared" si="7"/>
        <v>32592900.571774282</v>
      </c>
      <c r="W21" s="65">
        <f t="shared" si="7"/>
        <v>32592900.571774282</v>
      </c>
      <c r="X21" s="65">
        <f t="shared" si="7"/>
        <v>32592900.571774282</v>
      </c>
      <c r="Y21" s="65">
        <f t="shared" si="7"/>
        <v>32592900.571774282</v>
      </c>
      <c r="Z21" s="65">
        <f t="shared" si="7"/>
        <v>32592900.571774282</v>
      </c>
      <c r="AA21" s="65">
        <f t="shared" si="7"/>
        <v>32592900.571774282</v>
      </c>
      <c r="AB21" s="65">
        <f t="shared" si="7"/>
        <v>32592900.571774282</v>
      </c>
      <c r="AC21" s="65">
        <f t="shared" si="7"/>
        <v>32592900.571774282</v>
      </c>
      <c r="AD21" s="65">
        <f t="shared" si="7"/>
        <v>32592900.571774282</v>
      </c>
      <c r="AE21" s="65">
        <f t="shared" si="7"/>
        <v>32592900.571774282</v>
      </c>
      <c r="AF21" s="65">
        <f t="shared" si="7"/>
        <v>32592900.571774282</v>
      </c>
      <c r="AG21" s="65">
        <f t="shared" si="7"/>
        <v>32592900.571774282</v>
      </c>
      <c r="AH21" s="65"/>
      <c r="AI21" s="65">
        <f>NPV(Lookups!$E$17,G21:AG21)</f>
        <v>727256411.18746567</v>
      </c>
      <c r="AJ21" s="65"/>
      <c r="AM21" s="72">
        <f>AM38*AM15</f>
        <v>32592900.571774282</v>
      </c>
      <c r="AN21" s="72">
        <f t="shared" ref="AN21:BM21" si="8">AN38*AN15</f>
        <v>32592900.571774282</v>
      </c>
      <c r="AO21" s="72">
        <f t="shared" si="8"/>
        <v>32592900.571774282</v>
      </c>
      <c r="AP21" s="72">
        <f t="shared" si="8"/>
        <v>32592900.571774282</v>
      </c>
      <c r="AQ21" s="72">
        <f t="shared" si="8"/>
        <v>32592900.571774282</v>
      </c>
      <c r="AR21" s="72">
        <f t="shared" si="8"/>
        <v>32592900.571774282</v>
      </c>
      <c r="AS21" s="72">
        <f t="shared" si="8"/>
        <v>32592900.571774282</v>
      </c>
      <c r="AT21" s="72">
        <f t="shared" si="8"/>
        <v>32592900.571774282</v>
      </c>
      <c r="AU21" s="72">
        <f t="shared" si="8"/>
        <v>32592900.571774282</v>
      </c>
      <c r="AV21" s="72">
        <f t="shared" si="8"/>
        <v>32592900.571774282</v>
      </c>
      <c r="AW21" s="72">
        <f t="shared" si="8"/>
        <v>32592900.571774282</v>
      </c>
      <c r="AX21" s="72">
        <f t="shared" si="8"/>
        <v>32592900.571774282</v>
      </c>
      <c r="AY21" s="72">
        <f t="shared" si="8"/>
        <v>32592900.571774282</v>
      </c>
      <c r="AZ21" s="72">
        <f t="shared" si="8"/>
        <v>32592900.571774282</v>
      </c>
      <c r="BA21" s="72">
        <f t="shared" si="8"/>
        <v>32592900.571774282</v>
      </c>
      <c r="BB21" s="72">
        <f t="shared" si="8"/>
        <v>32592900.571774282</v>
      </c>
      <c r="BC21" s="72">
        <f t="shared" si="8"/>
        <v>32592900.571774282</v>
      </c>
      <c r="BD21" s="72">
        <f t="shared" si="8"/>
        <v>32592900.571774282</v>
      </c>
      <c r="BE21" s="72">
        <f t="shared" si="8"/>
        <v>32592900.571774282</v>
      </c>
      <c r="BF21" s="72">
        <f t="shared" si="8"/>
        <v>32592900.571774282</v>
      </c>
      <c r="BG21" s="72">
        <f t="shared" si="8"/>
        <v>32592900.571774282</v>
      </c>
      <c r="BH21" s="72">
        <f t="shared" si="8"/>
        <v>32592900.571774282</v>
      </c>
      <c r="BI21" s="72">
        <f t="shared" si="8"/>
        <v>32592900.571774282</v>
      </c>
      <c r="BJ21" s="72">
        <f t="shared" si="8"/>
        <v>32592900.571774282</v>
      </c>
      <c r="BK21" s="72">
        <f t="shared" si="8"/>
        <v>32592900.571774282</v>
      </c>
      <c r="BL21" s="72">
        <f t="shared" si="8"/>
        <v>32592900.571774282</v>
      </c>
      <c r="BM21" s="72">
        <f t="shared" si="8"/>
        <v>32592900.571774282</v>
      </c>
      <c r="BN21" s="72"/>
      <c r="BO21" s="72">
        <f>NPV(Lookups!$E$17,AM21:BM21)</f>
        <v>727256411.18746567</v>
      </c>
      <c r="BP21" s="72"/>
      <c r="BS21" s="84" t="str">
        <f>"No EE Scenario "&amp;E21&amp;" rate multiplied by No EE Scenario sales."</f>
        <v>No EE Scenario Distribution rate multiplied by No EE Scenario sales.</v>
      </c>
      <c r="BT21" s="51" t="s">
        <v>17</v>
      </c>
    </row>
    <row r="22" spans="1:72" x14ac:dyDescent="0.25">
      <c r="B22" s="243" t="str">
        <f t="shared" si="4"/>
        <v>Residential</v>
      </c>
      <c r="C22" s="243" t="str">
        <f t="shared" si="4"/>
        <v>Revenue Requirements</v>
      </c>
      <c r="D22" s="244" t="str">
        <f>D21</f>
        <v>Revenue Requirement before DSM (No EE Scenario)</v>
      </c>
      <c r="E22" s="84" t="s">
        <v>407</v>
      </c>
      <c r="F22" s="84" t="s">
        <v>32</v>
      </c>
      <c r="G22" s="65">
        <f>G39*G15</f>
        <v>-1931344.4404175822</v>
      </c>
      <c r="H22" s="65">
        <f t="shared" ref="H22:AG22" si="9">H39*H15</f>
        <v>-1931344.4404175822</v>
      </c>
      <c r="I22" s="65">
        <f t="shared" si="9"/>
        <v>-1931344.4404175822</v>
      </c>
      <c r="J22" s="65">
        <f t="shared" si="9"/>
        <v>-1931344.4404175822</v>
      </c>
      <c r="K22" s="65">
        <f t="shared" si="9"/>
        <v>-1931344.4404175822</v>
      </c>
      <c r="L22" s="65">
        <f t="shared" si="9"/>
        <v>-1931344.4404175822</v>
      </c>
      <c r="M22" s="65">
        <f t="shared" si="9"/>
        <v>-1931344.4404175822</v>
      </c>
      <c r="N22" s="65">
        <f t="shared" si="9"/>
        <v>-1931344.4404175822</v>
      </c>
      <c r="O22" s="65">
        <f t="shared" si="9"/>
        <v>-1931344.4404175822</v>
      </c>
      <c r="P22" s="65">
        <f t="shared" si="9"/>
        <v>-1931344.4404175822</v>
      </c>
      <c r="Q22" s="65">
        <f t="shared" si="9"/>
        <v>-1931344.4404175822</v>
      </c>
      <c r="R22" s="65">
        <f t="shared" si="9"/>
        <v>-1931344.4404175822</v>
      </c>
      <c r="S22" s="65">
        <f t="shared" si="9"/>
        <v>-1931344.4404175822</v>
      </c>
      <c r="T22" s="65">
        <f t="shared" si="9"/>
        <v>-1931344.4404175822</v>
      </c>
      <c r="U22" s="65">
        <f t="shared" si="9"/>
        <v>-1931344.4404175822</v>
      </c>
      <c r="V22" s="65">
        <f t="shared" si="9"/>
        <v>-1931344.4404175822</v>
      </c>
      <c r="W22" s="65">
        <f t="shared" si="9"/>
        <v>-1931344.4404175822</v>
      </c>
      <c r="X22" s="65">
        <f t="shared" si="9"/>
        <v>-1931344.4404175822</v>
      </c>
      <c r="Y22" s="65">
        <f t="shared" si="9"/>
        <v>-1931344.4404175822</v>
      </c>
      <c r="Z22" s="65">
        <f t="shared" si="9"/>
        <v>-1931344.4404175822</v>
      </c>
      <c r="AA22" s="65">
        <f t="shared" si="9"/>
        <v>-1931344.4404175822</v>
      </c>
      <c r="AB22" s="65">
        <f t="shared" si="9"/>
        <v>-1931344.4404175822</v>
      </c>
      <c r="AC22" s="65">
        <f t="shared" si="9"/>
        <v>-1931344.4404175822</v>
      </c>
      <c r="AD22" s="65">
        <f t="shared" si="9"/>
        <v>-1931344.4404175822</v>
      </c>
      <c r="AE22" s="65">
        <f t="shared" si="9"/>
        <v>-1931344.4404175822</v>
      </c>
      <c r="AF22" s="65">
        <f t="shared" si="9"/>
        <v>-1931344.4404175822</v>
      </c>
      <c r="AG22" s="65">
        <f t="shared" si="9"/>
        <v>-1931344.4404175822</v>
      </c>
      <c r="AH22" s="65"/>
      <c r="AI22" s="65">
        <f>NPV(Lookups!$E$17,G22:AG22)</f>
        <v>-43094741.5499845</v>
      </c>
      <c r="AJ22" s="65"/>
      <c r="AM22" s="72">
        <f>AM39*AM15</f>
        <v>-1931344.4404175822</v>
      </c>
      <c r="AN22" s="72">
        <f t="shared" ref="AN22:BM22" si="10">AN39*AN15</f>
        <v>-1931344.4404175822</v>
      </c>
      <c r="AO22" s="72">
        <f t="shared" si="10"/>
        <v>-1931344.4404175822</v>
      </c>
      <c r="AP22" s="72">
        <f t="shared" si="10"/>
        <v>-1931344.4404175822</v>
      </c>
      <c r="AQ22" s="72">
        <f t="shared" si="10"/>
        <v>-1931344.4404175822</v>
      </c>
      <c r="AR22" s="72">
        <f t="shared" si="10"/>
        <v>-1931344.4404175822</v>
      </c>
      <c r="AS22" s="72">
        <f t="shared" si="10"/>
        <v>-1931344.4404175822</v>
      </c>
      <c r="AT22" s="72">
        <f t="shared" si="10"/>
        <v>-1931344.4404175822</v>
      </c>
      <c r="AU22" s="72">
        <f t="shared" si="10"/>
        <v>-1931344.4404175822</v>
      </c>
      <c r="AV22" s="72">
        <f t="shared" si="10"/>
        <v>-1931344.4404175822</v>
      </c>
      <c r="AW22" s="72">
        <f t="shared" si="10"/>
        <v>-1931344.4404175822</v>
      </c>
      <c r="AX22" s="72">
        <f t="shared" si="10"/>
        <v>-1931344.4404175822</v>
      </c>
      <c r="AY22" s="72">
        <f t="shared" si="10"/>
        <v>-1931344.4404175822</v>
      </c>
      <c r="AZ22" s="72">
        <f t="shared" si="10"/>
        <v>-1931344.4404175822</v>
      </c>
      <c r="BA22" s="72">
        <f t="shared" si="10"/>
        <v>-1931344.4404175822</v>
      </c>
      <c r="BB22" s="72">
        <f t="shared" si="10"/>
        <v>-1931344.4404175822</v>
      </c>
      <c r="BC22" s="72">
        <f t="shared" si="10"/>
        <v>-1931344.4404175822</v>
      </c>
      <c r="BD22" s="72">
        <f t="shared" si="10"/>
        <v>-1931344.4404175822</v>
      </c>
      <c r="BE22" s="72">
        <f t="shared" si="10"/>
        <v>-1931344.4404175822</v>
      </c>
      <c r="BF22" s="72">
        <f t="shared" si="10"/>
        <v>-1931344.4404175822</v>
      </c>
      <c r="BG22" s="72">
        <f t="shared" si="10"/>
        <v>-1931344.4404175822</v>
      </c>
      <c r="BH22" s="72">
        <f t="shared" si="10"/>
        <v>-1931344.4404175822</v>
      </c>
      <c r="BI22" s="72">
        <f t="shared" si="10"/>
        <v>-1931344.4404175822</v>
      </c>
      <c r="BJ22" s="72">
        <f t="shared" si="10"/>
        <v>-1931344.4404175822</v>
      </c>
      <c r="BK22" s="72">
        <f t="shared" si="10"/>
        <v>-1931344.4404175822</v>
      </c>
      <c r="BL22" s="72">
        <f t="shared" si="10"/>
        <v>-1931344.4404175822</v>
      </c>
      <c r="BM22" s="72">
        <f t="shared" si="10"/>
        <v>-1931344.4404175822</v>
      </c>
      <c r="BN22" s="72"/>
      <c r="BO22" s="72">
        <f>NPV(Lookups!$E$17,AM22:BM22)</f>
        <v>-43094741.5499845</v>
      </c>
      <c r="BP22" s="72"/>
      <c r="BS22" s="84" t="str">
        <f>"No EE Scenario "&amp;E22&amp;" rate multiplied by No EE Scenario sales."</f>
        <v>No EE Scenario LDAC, Non-EE rate multiplied by No EE Scenario sales.</v>
      </c>
      <c r="BT22" s="51" t="s">
        <v>17</v>
      </c>
    </row>
    <row r="23" spans="1:72" x14ac:dyDescent="0.25">
      <c r="A23" s="1"/>
      <c r="B23" s="243" t="str">
        <f>B21</f>
        <v>Residential</v>
      </c>
      <c r="C23" s="243" t="str">
        <f>C21</f>
        <v>Revenue Requirements</v>
      </c>
      <c r="D23" s="244" t="str">
        <f>D21</f>
        <v>Revenue Requirement before DSM (No EE Scenario)</v>
      </c>
      <c r="E23" s="84" t="s">
        <v>197</v>
      </c>
      <c r="F23" s="84" t="s">
        <v>32</v>
      </c>
      <c r="G23" s="65">
        <f>G40*G15</f>
        <v>36303422.920940183</v>
      </c>
      <c r="H23" s="65">
        <f t="shared" ref="H23:AG23" si="11">H40*H15</f>
        <v>36303422.920940183</v>
      </c>
      <c r="I23" s="65">
        <f t="shared" si="11"/>
        <v>36303422.920940183</v>
      </c>
      <c r="J23" s="65">
        <f t="shared" si="11"/>
        <v>36303422.920940183</v>
      </c>
      <c r="K23" s="65">
        <f t="shared" si="11"/>
        <v>36303422.920940183</v>
      </c>
      <c r="L23" s="65">
        <f t="shared" si="11"/>
        <v>36303422.920940183</v>
      </c>
      <c r="M23" s="65">
        <f t="shared" si="11"/>
        <v>36303422.920940183</v>
      </c>
      <c r="N23" s="65">
        <f t="shared" si="11"/>
        <v>36303422.920940183</v>
      </c>
      <c r="O23" s="65">
        <f t="shared" si="11"/>
        <v>36303422.920940183</v>
      </c>
      <c r="P23" s="65">
        <f t="shared" si="11"/>
        <v>36303422.920940183</v>
      </c>
      <c r="Q23" s="65">
        <f t="shared" si="11"/>
        <v>36303422.920940183</v>
      </c>
      <c r="R23" s="65">
        <f t="shared" si="11"/>
        <v>36303422.920940183</v>
      </c>
      <c r="S23" s="65">
        <f t="shared" si="11"/>
        <v>36303422.920940183</v>
      </c>
      <c r="T23" s="65">
        <f t="shared" si="11"/>
        <v>36303422.920940183</v>
      </c>
      <c r="U23" s="65">
        <f t="shared" si="11"/>
        <v>36303422.920940183</v>
      </c>
      <c r="V23" s="65">
        <f t="shared" si="11"/>
        <v>36303422.920940183</v>
      </c>
      <c r="W23" s="65">
        <f t="shared" si="11"/>
        <v>36303422.920940183</v>
      </c>
      <c r="X23" s="65">
        <f t="shared" si="11"/>
        <v>36303422.920940183</v>
      </c>
      <c r="Y23" s="65">
        <f t="shared" si="11"/>
        <v>36303422.920940183</v>
      </c>
      <c r="Z23" s="65">
        <f t="shared" si="11"/>
        <v>36303422.920940183</v>
      </c>
      <c r="AA23" s="65">
        <f t="shared" si="11"/>
        <v>36303422.920940183</v>
      </c>
      <c r="AB23" s="65">
        <f t="shared" si="11"/>
        <v>36303422.920940183</v>
      </c>
      <c r="AC23" s="65">
        <f t="shared" si="11"/>
        <v>36303422.920940183</v>
      </c>
      <c r="AD23" s="65">
        <f t="shared" si="11"/>
        <v>36303422.920940183</v>
      </c>
      <c r="AE23" s="65">
        <f t="shared" si="11"/>
        <v>36303422.920940183</v>
      </c>
      <c r="AF23" s="65">
        <f t="shared" si="11"/>
        <v>36303422.920940183</v>
      </c>
      <c r="AG23" s="65">
        <f t="shared" si="11"/>
        <v>36303422.920940183</v>
      </c>
      <c r="AH23" s="65"/>
      <c r="AI23" s="65">
        <f>NPV(Lookups!$E$17,G23:AG23)</f>
        <v>810050551.01379943</v>
      </c>
      <c r="AJ23" s="65"/>
      <c r="AM23" s="72">
        <f>AM40*AM15</f>
        <v>36303422.920940183</v>
      </c>
      <c r="AN23" s="72">
        <f t="shared" ref="AN23:BM23" si="12">AN40*AN15</f>
        <v>36303422.920940183</v>
      </c>
      <c r="AO23" s="72">
        <f t="shared" si="12"/>
        <v>36303422.920940183</v>
      </c>
      <c r="AP23" s="72">
        <f t="shared" si="12"/>
        <v>36303422.920940183</v>
      </c>
      <c r="AQ23" s="72">
        <f t="shared" si="12"/>
        <v>36303422.920940183</v>
      </c>
      <c r="AR23" s="72">
        <f t="shared" si="12"/>
        <v>36303422.920940183</v>
      </c>
      <c r="AS23" s="72">
        <f t="shared" si="12"/>
        <v>36303422.920940183</v>
      </c>
      <c r="AT23" s="72">
        <f t="shared" si="12"/>
        <v>36303422.920940183</v>
      </c>
      <c r="AU23" s="72">
        <f t="shared" si="12"/>
        <v>36303422.920940183</v>
      </c>
      <c r="AV23" s="72">
        <f t="shared" si="12"/>
        <v>36303422.920940183</v>
      </c>
      <c r="AW23" s="72">
        <f t="shared" si="12"/>
        <v>36303422.920940183</v>
      </c>
      <c r="AX23" s="72">
        <f t="shared" si="12"/>
        <v>36303422.920940183</v>
      </c>
      <c r="AY23" s="72">
        <f t="shared" si="12"/>
        <v>36303422.920940183</v>
      </c>
      <c r="AZ23" s="72">
        <f t="shared" si="12"/>
        <v>36303422.920940183</v>
      </c>
      <c r="BA23" s="72">
        <f t="shared" si="12"/>
        <v>36303422.920940183</v>
      </c>
      <c r="BB23" s="72">
        <f t="shared" si="12"/>
        <v>36303422.920940183</v>
      </c>
      <c r="BC23" s="72">
        <f t="shared" si="12"/>
        <v>36303422.920940183</v>
      </c>
      <c r="BD23" s="72">
        <f t="shared" si="12"/>
        <v>36303422.920940183</v>
      </c>
      <c r="BE23" s="72">
        <f t="shared" si="12"/>
        <v>36303422.920940183</v>
      </c>
      <c r="BF23" s="72">
        <f t="shared" si="12"/>
        <v>36303422.920940183</v>
      </c>
      <c r="BG23" s="72">
        <f t="shared" si="12"/>
        <v>36303422.920940183</v>
      </c>
      <c r="BH23" s="72">
        <f t="shared" si="12"/>
        <v>36303422.920940183</v>
      </c>
      <c r="BI23" s="72">
        <f t="shared" si="12"/>
        <v>36303422.920940183</v>
      </c>
      <c r="BJ23" s="72">
        <f t="shared" si="12"/>
        <v>36303422.920940183</v>
      </c>
      <c r="BK23" s="72">
        <f t="shared" si="12"/>
        <v>36303422.920940183</v>
      </c>
      <c r="BL23" s="72">
        <f t="shared" si="12"/>
        <v>36303422.920940183</v>
      </c>
      <c r="BM23" s="72">
        <f t="shared" si="12"/>
        <v>36303422.920940183</v>
      </c>
      <c r="BN23" s="72"/>
      <c r="BO23" s="72">
        <f>NPV(Lookups!$E$17,AM23:BM23)</f>
        <v>810050551.01379943</v>
      </c>
      <c r="BP23" s="72"/>
      <c r="BS23" s="84" t="str">
        <f>"No EE Scenario "&amp;E23&amp;" rate multiplied by No EE Scenario sales."</f>
        <v>No EE Scenario Cost of Gas rate multiplied by No EE Scenario sales.</v>
      </c>
      <c r="BT23" s="51" t="s">
        <v>17</v>
      </c>
    </row>
    <row r="24" spans="1:72" x14ac:dyDescent="0.25">
      <c r="B24" s="243" t="str">
        <f t="shared" si="4"/>
        <v>Residential</v>
      </c>
      <c r="C24" s="243" t="str">
        <f t="shared" si="4"/>
        <v>Revenue Requirements</v>
      </c>
      <c r="D24" s="114" t="s">
        <v>24</v>
      </c>
      <c r="E24" s="84"/>
      <c r="F24" s="84"/>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65"/>
      <c r="AJ24" s="65"/>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S24" s="84"/>
      <c r="BT24" s="51" t="s">
        <v>17</v>
      </c>
    </row>
    <row r="25" spans="1:72" x14ac:dyDescent="0.25">
      <c r="A25" s="246"/>
      <c r="B25" s="243" t="str">
        <f t="shared" si="4"/>
        <v>Residential</v>
      </c>
      <c r="C25" s="243" t="str">
        <f t="shared" si="4"/>
        <v>Revenue Requirements</v>
      </c>
      <c r="D25" s="244" t="str">
        <f>D24</f>
        <v>Avoided Costs</v>
      </c>
      <c r="E25" s="84" t="s">
        <v>45</v>
      </c>
      <c r="F25" s="84" t="s">
        <v>32</v>
      </c>
      <c r="G25" s="65">
        <f ca="1">IF($C$4=Lookups!$D$40,SUM(INDIRECT("'Yr1'!"&amp;ADDRESS(ROW(G25),COLUMN(G25))),INDIRECT("'Yr2'!"&amp;ADDRESS(ROW(G25),COLUMN(G25))),INDIRECT("'Yr3'!"&amp;ADDRESS(ROW(G25),COLUMN(G25)))),
IF(G12=0,0,-PMT(INDEX(Lookups!$E$17:$G$17,MATCH($C$4,Lookups!$E$14:$G$14,0)),G12,SUMIFS('EE Inputs'!$J$9:$J$32,'EE Inputs'!$C$9:$C$32,$G$6,'EE Inputs'!$D$9:$D$32,$C$4,'EE Inputs'!$E$9:$E$32,$B25),0,1)))-G26</f>
        <v>259687.98720352462</v>
      </c>
      <c r="H25" s="65">
        <f ca="1">IF($C$4=Lookups!$D$40,SUM(INDIRECT("'Yr1'!"&amp;ADDRESS(ROW(H25),COLUMN(H25))),INDIRECT("'Yr2'!"&amp;ADDRESS(ROW(H25),COLUMN(H25))),INDIRECT("'Yr3'!"&amp;ADDRESS(ROW(H25),COLUMN(H25)))),
IF(H12=0,0,-PMT(INDEX(Lookups!$E$17:$G$17,MATCH($C$4,Lookups!$E$14:$G$14,0)),H12,SUMIFS('EE Inputs'!$J$9:$J$32,'EE Inputs'!$C$9:$C$32,$G$6,'EE Inputs'!$D$9:$D$32,$C$4,'EE Inputs'!$E$9:$E$32,$B25),0,1)))-H26</f>
        <v>522593.41591030319</v>
      </c>
      <c r="I25" s="65">
        <f ca="1">IF($C$4=Lookups!$D$40,SUM(INDIRECT("'Yr1'!"&amp;ADDRESS(ROW(I25),COLUMN(I25))),INDIRECT("'Yr2'!"&amp;ADDRESS(ROW(I25),COLUMN(I25))),INDIRECT("'Yr3'!"&amp;ADDRESS(ROW(I25),COLUMN(I25)))),
IF(I12=0,0,-PMT(INDEX(Lookups!$E$17:$G$17,MATCH($C$4,Lookups!$E$14:$G$14,0)),I12,SUMIFS('EE Inputs'!$J$9:$J$32,'EE Inputs'!$C$9:$C$32,$G$6,'EE Inputs'!$D$9:$D$32,$C$4,'EE Inputs'!$E$9:$E$32,$B25),0,1)))-I26</f>
        <v>790326.81727165915</v>
      </c>
      <c r="J25" s="65">
        <f ca="1">IF($C$4=Lookups!$D$40,SUM(INDIRECT("'Yr1'!"&amp;ADDRESS(ROW(J25),COLUMN(J25))),INDIRECT("'Yr2'!"&amp;ADDRESS(ROW(J25),COLUMN(J25))),INDIRECT("'Yr3'!"&amp;ADDRESS(ROW(J25),COLUMN(J25)))),
IF(J12=0,0,-PMT(INDEX(Lookups!$E$17:$G$17,MATCH($C$4,Lookups!$E$14:$G$14,0)),J12,SUMIFS('EE Inputs'!$J$9:$J$32,'EE Inputs'!$C$9:$C$32,$G$6,'EE Inputs'!$D$9:$D$32,$C$4,'EE Inputs'!$E$9:$E$32,$B25),0,1)))-J26</f>
        <v>790326.81727165915</v>
      </c>
      <c r="K25" s="65">
        <f ca="1">IF($C$4=Lookups!$D$40,SUM(INDIRECT("'Yr1'!"&amp;ADDRESS(ROW(K25),COLUMN(K25))),INDIRECT("'Yr2'!"&amp;ADDRESS(ROW(K25),COLUMN(K25))),INDIRECT("'Yr3'!"&amp;ADDRESS(ROW(K25),COLUMN(K25)))),
IF(K12=0,0,-PMT(INDEX(Lookups!$E$17:$G$17,MATCH($C$4,Lookups!$E$14:$G$14,0)),K12,SUMIFS('EE Inputs'!$J$9:$J$32,'EE Inputs'!$C$9:$C$32,$G$6,'EE Inputs'!$D$9:$D$32,$C$4,'EE Inputs'!$E$9:$E$32,$B25),0,1)))-K26</f>
        <v>790326.81727165915</v>
      </c>
      <c r="L25" s="65">
        <f ca="1">IF($C$4=Lookups!$D$40,SUM(INDIRECT("'Yr1'!"&amp;ADDRESS(ROW(L25),COLUMN(L25))),INDIRECT("'Yr2'!"&amp;ADDRESS(ROW(L25),COLUMN(L25))),INDIRECT("'Yr3'!"&amp;ADDRESS(ROW(L25),COLUMN(L25)))),
IF(L12=0,0,-PMT(INDEX(Lookups!$E$17:$G$17,MATCH($C$4,Lookups!$E$14:$G$14,0)),L12,SUMIFS('EE Inputs'!$J$9:$J$32,'EE Inputs'!$C$9:$C$32,$G$6,'EE Inputs'!$D$9:$D$32,$C$4,'EE Inputs'!$E$9:$E$32,$B25),0,1)))-L26</f>
        <v>790326.81727165915</v>
      </c>
      <c r="M25" s="65">
        <f ca="1">IF($C$4=Lookups!$D$40,SUM(INDIRECT("'Yr1'!"&amp;ADDRESS(ROW(M25),COLUMN(M25))),INDIRECT("'Yr2'!"&amp;ADDRESS(ROW(M25),COLUMN(M25))),INDIRECT("'Yr3'!"&amp;ADDRESS(ROW(M25),COLUMN(M25)))),
IF(M12=0,0,-PMT(INDEX(Lookups!$E$17:$G$17,MATCH($C$4,Lookups!$E$14:$G$14,0)),M12,SUMIFS('EE Inputs'!$J$9:$J$32,'EE Inputs'!$C$9:$C$32,$G$6,'EE Inputs'!$D$9:$D$32,$C$4,'EE Inputs'!$E$9:$E$32,$B25),0,1)))-M26</f>
        <v>790326.81727165915</v>
      </c>
      <c r="N25" s="65">
        <f ca="1">IF($C$4=Lookups!$D$40,SUM(INDIRECT("'Yr1'!"&amp;ADDRESS(ROW(N25),COLUMN(N25))),INDIRECT("'Yr2'!"&amp;ADDRESS(ROW(N25),COLUMN(N25))),INDIRECT("'Yr3'!"&amp;ADDRESS(ROW(N25),COLUMN(N25)))),
IF(N12=0,0,-PMT(INDEX(Lookups!$E$17:$G$17,MATCH($C$4,Lookups!$E$14:$G$14,0)),N12,SUMIFS('EE Inputs'!$J$9:$J$32,'EE Inputs'!$C$9:$C$32,$G$6,'EE Inputs'!$D$9:$D$32,$C$4,'EE Inputs'!$E$9:$E$32,$B25),0,1)))-N26</f>
        <v>790326.81727165915</v>
      </c>
      <c r="O25" s="65">
        <f ca="1">IF($C$4=Lookups!$D$40,SUM(INDIRECT("'Yr1'!"&amp;ADDRESS(ROW(O25),COLUMN(O25))),INDIRECT("'Yr2'!"&amp;ADDRESS(ROW(O25),COLUMN(O25))),INDIRECT("'Yr3'!"&amp;ADDRESS(ROW(O25),COLUMN(O25)))),
IF(O12=0,0,-PMT(INDEX(Lookups!$E$17:$G$17,MATCH($C$4,Lookups!$E$14:$G$14,0)),O12,SUMIFS('EE Inputs'!$J$9:$J$32,'EE Inputs'!$C$9:$C$32,$G$6,'EE Inputs'!$D$9:$D$32,$C$4,'EE Inputs'!$E$9:$E$32,$B25),0,1)))-O26</f>
        <v>790326.81727165915</v>
      </c>
      <c r="P25" s="65">
        <f ca="1">IF($C$4=Lookups!$D$40,SUM(INDIRECT("'Yr1'!"&amp;ADDRESS(ROW(P25),COLUMN(P25))),INDIRECT("'Yr2'!"&amp;ADDRESS(ROW(P25),COLUMN(P25))),INDIRECT("'Yr3'!"&amp;ADDRESS(ROW(P25),COLUMN(P25)))),
IF(P12=0,0,-PMT(INDEX(Lookups!$E$17:$G$17,MATCH($C$4,Lookups!$E$14:$G$14,0)),P12,SUMIFS('EE Inputs'!$J$9:$J$32,'EE Inputs'!$C$9:$C$32,$G$6,'EE Inputs'!$D$9:$D$32,$C$4,'EE Inputs'!$E$9:$E$32,$B25),0,1)))-P26</f>
        <v>790326.81727165915</v>
      </c>
      <c r="Q25" s="65">
        <f ca="1">IF($C$4=Lookups!$D$40,SUM(INDIRECT("'Yr1'!"&amp;ADDRESS(ROW(Q25),COLUMN(Q25))),INDIRECT("'Yr2'!"&amp;ADDRESS(ROW(Q25),COLUMN(Q25))),INDIRECT("'Yr3'!"&amp;ADDRESS(ROW(Q25),COLUMN(Q25)))),
IF(Q12=0,0,-PMT(INDEX(Lookups!$E$17:$G$17,MATCH($C$4,Lookups!$E$14:$G$14,0)),Q12,SUMIFS('EE Inputs'!$J$9:$J$32,'EE Inputs'!$C$9:$C$32,$G$6,'EE Inputs'!$D$9:$D$32,$C$4,'EE Inputs'!$E$9:$E$32,$B25),0,1)))-Q26</f>
        <v>790326.81727165915</v>
      </c>
      <c r="R25" s="65">
        <f ca="1">IF($C$4=Lookups!$D$40,SUM(INDIRECT("'Yr1'!"&amp;ADDRESS(ROW(R25),COLUMN(R25))),INDIRECT("'Yr2'!"&amp;ADDRESS(ROW(R25),COLUMN(R25))),INDIRECT("'Yr3'!"&amp;ADDRESS(ROW(R25),COLUMN(R25)))),
IF(R12=0,0,-PMT(INDEX(Lookups!$E$17:$G$17,MATCH($C$4,Lookups!$E$14:$G$14,0)),R12,SUMIFS('EE Inputs'!$J$9:$J$32,'EE Inputs'!$C$9:$C$32,$G$6,'EE Inputs'!$D$9:$D$32,$C$4,'EE Inputs'!$E$9:$E$32,$B25),0,1)))-R26</f>
        <v>790326.81727165915</v>
      </c>
      <c r="S25" s="65">
        <f ca="1">IF($C$4=Lookups!$D$40,SUM(INDIRECT("'Yr1'!"&amp;ADDRESS(ROW(S25),COLUMN(S25))),INDIRECT("'Yr2'!"&amp;ADDRESS(ROW(S25),COLUMN(S25))),INDIRECT("'Yr3'!"&amp;ADDRESS(ROW(S25),COLUMN(S25)))),
IF(S12=0,0,-PMT(INDEX(Lookups!$E$17:$G$17,MATCH($C$4,Lookups!$E$14:$G$14,0)),S12,SUMIFS('EE Inputs'!$J$9:$J$32,'EE Inputs'!$C$9:$C$32,$G$6,'EE Inputs'!$D$9:$D$32,$C$4,'EE Inputs'!$E$9:$E$32,$B25),0,1)))-S26</f>
        <v>790326.81727165915</v>
      </c>
      <c r="T25" s="65">
        <f ca="1">IF($C$4=Lookups!$D$40,SUM(INDIRECT("'Yr1'!"&amp;ADDRESS(ROW(T25),COLUMN(T25))),INDIRECT("'Yr2'!"&amp;ADDRESS(ROW(T25),COLUMN(T25))),INDIRECT("'Yr3'!"&amp;ADDRESS(ROW(T25),COLUMN(T25)))),
IF(T12=0,0,-PMT(INDEX(Lookups!$E$17:$G$17,MATCH($C$4,Lookups!$E$14:$G$14,0)),T12,SUMIFS('EE Inputs'!$J$9:$J$32,'EE Inputs'!$C$9:$C$32,$G$6,'EE Inputs'!$D$9:$D$32,$C$4,'EE Inputs'!$E$9:$E$32,$B25),0,1)))-T26</f>
        <v>790326.81727165915</v>
      </c>
      <c r="U25" s="65">
        <f ca="1">IF($C$4=Lookups!$D$40,SUM(INDIRECT("'Yr1'!"&amp;ADDRESS(ROW(U25),COLUMN(U25))),INDIRECT("'Yr2'!"&amp;ADDRESS(ROW(U25),COLUMN(U25))),INDIRECT("'Yr3'!"&amp;ADDRESS(ROW(U25),COLUMN(U25)))),
IF(U12=0,0,-PMT(INDEX(Lookups!$E$17:$G$17,MATCH($C$4,Lookups!$E$14:$G$14,0)),U12,SUMIFS('EE Inputs'!$J$9:$J$32,'EE Inputs'!$C$9:$C$32,$G$6,'EE Inputs'!$D$9:$D$32,$C$4,'EE Inputs'!$E$9:$E$32,$B25),0,1)))-U26</f>
        <v>790326.81727165915</v>
      </c>
      <c r="V25" s="65">
        <f ca="1">IF($C$4=Lookups!$D$40,SUM(INDIRECT("'Yr1'!"&amp;ADDRESS(ROW(V25),COLUMN(V25))),INDIRECT("'Yr2'!"&amp;ADDRESS(ROW(V25),COLUMN(V25))),INDIRECT("'Yr3'!"&amp;ADDRESS(ROW(V25),COLUMN(V25)))),
IF(V12=0,0,-PMT(INDEX(Lookups!$E$17:$G$17,MATCH($C$4,Lookups!$E$14:$G$14,0)),V12,SUMIFS('EE Inputs'!$J$9:$J$32,'EE Inputs'!$C$9:$C$32,$G$6,'EE Inputs'!$D$9:$D$32,$C$4,'EE Inputs'!$E$9:$E$32,$B25),0,1)))-V26</f>
        <v>530638.8300681347</v>
      </c>
      <c r="W25" s="65">
        <f ca="1">IF($C$4=Lookups!$D$40,SUM(INDIRECT("'Yr1'!"&amp;ADDRESS(ROW(W25),COLUMN(W25))),INDIRECT("'Yr2'!"&amp;ADDRESS(ROW(W25),COLUMN(W25))),INDIRECT("'Yr3'!"&amp;ADDRESS(ROW(W25),COLUMN(W25)))),
IF(W12=0,0,-PMT(INDEX(Lookups!$E$17:$G$17,MATCH($C$4,Lookups!$E$14:$G$14,0)),W12,SUMIFS('EE Inputs'!$J$9:$J$32,'EE Inputs'!$C$9:$C$32,$G$6,'EE Inputs'!$D$9:$D$32,$C$4,'EE Inputs'!$E$9:$E$32,$B25),0,1)))-W26</f>
        <v>267733.40136135608</v>
      </c>
      <c r="X25" s="65">
        <f ca="1">IF($C$4=Lookups!$D$40,SUM(INDIRECT("'Yr1'!"&amp;ADDRESS(ROW(X25),COLUMN(X25))),INDIRECT("'Yr2'!"&amp;ADDRESS(ROW(X25),COLUMN(X25))),INDIRECT("'Yr3'!"&amp;ADDRESS(ROW(X25),COLUMN(X25)))),
IF(X12=0,0,-PMT(INDEX(Lookups!$E$17:$G$17,MATCH($C$4,Lookups!$E$14:$G$14,0)),X12,SUMIFS('EE Inputs'!$J$9:$J$32,'EE Inputs'!$C$9:$C$32,$G$6,'EE Inputs'!$D$9:$D$32,$C$4,'EE Inputs'!$E$9:$E$32,$B25),0,1)))-X26</f>
        <v>0</v>
      </c>
      <c r="Y25" s="65">
        <f ca="1">IF($C$4=Lookups!$D$40,SUM(INDIRECT("'Yr1'!"&amp;ADDRESS(ROW(Y25),COLUMN(Y25))),INDIRECT("'Yr2'!"&amp;ADDRESS(ROW(Y25),COLUMN(Y25))),INDIRECT("'Yr3'!"&amp;ADDRESS(ROW(Y25),COLUMN(Y25)))),
IF(Y12=0,0,-PMT(INDEX(Lookups!$E$17:$G$17,MATCH($C$4,Lookups!$E$14:$G$14,0)),Y12,SUMIFS('EE Inputs'!$J$9:$J$32,'EE Inputs'!$C$9:$C$32,$G$6,'EE Inputs'!$D$9:$D$32,$C$4,'EE Inputs'!$E$9:$E$32,$B25),0,1)))-Y26</f>
        <v>0</v>
      </c>
      <c r="Z25" s="65">
        <f ca="1">IF($C$4=Lookups!$D$40,SUM(INDIRECT("'Yr1'!"&amp;ADDRESS(ROW(Z25),COLUMN(Z25))),INDIRECT("'Yr2'!"&amp;ADDRESS(ROW(Z25),COLUMN(Z25))),INDIRECT("'Yr3'!"&amp;ADDRESS(ROW(Z25),COLUMN(Z25)))),
IF(Z12=0,0,-PMT(INDEX(Lookups!$E$17:$G$17,MATCH($C$4,Lookups!$E$14:$G$14,0)),Z12,SUMIFS('EE Inputs'!$J$9:$J$32,'EE Inputs'!$C$9:$C$32,$G$6,'EE Inputs'!$D$9:$D$32,$C$4,'EE Inputs'!$E$9:$E$32,$B25),0,1)))-Z26</f>
        <v>0</v>
      </c>
      <c r="AA25" s="65">
        <f ca="1">IF($C$4=Lookups!$D$40,SUM(INDIRECT("'Yr1'!"&amp;ADDRESS(ROW(AA25),COLUMN(AA25))),INDIRECT("'Yr2'!"&amp;ADDRESS(ROW(AA25),COLUMN(AA25))),INDIRECT("'Yr3'!"&amp;ADDRESS(ROW(AA25),COLUMN(AA25)))),
IF(AA12=0,0,-PMT(INDEX(Lookups!$E$17:$G$17,MATCH($C$4,Lookups!$E$14:$G$14,0)),AA12,SUMIFS('EE Inputs'!$J$9:$J$32,'EE Inputs'!$C$9:$C$32,$G$6,'EE Inputs'!$D$9:$D$32,$C$4,'EE Inputs'!$E$9:$E$32,$B25),0,1)))-AA26</f>
        <v>0</v>
      </c>
      <c r="AB25" s="65">
        <f ca="1">IF($C$4=Lookups!$D$40,SUM(INDIRECT("'Yr1'!"&amp;ADDRESS(ROW(AB25),COLUMN(AB25))),INDIRECT("'Yr2'!"&amp;ADDRESS(ROW(AB25),COLUMN(AB25))),INDIRECT("'Yr3'!"&amp;ADDRESS(ROW(AB25),COLUMN(AB25)))),
IF(AB12=0,0,-PMT(INDEX(Lookups!$E$17:$G$17,MATCH($C$4,Lookups!$E$14:$G$14,0)),AB12,SUMIFS('EE Inputs'!$J$9:$J$32,'EE Inputs'!$C$9:$C$32,$G$6,'EE Inputs'!$D$9:$D$32,$C$4,'EE Inputs'!$E$9:$E$32,$B25),0,1)))-AB26</f>
        <v>0</v>
      </c>
      <c r="AC25" s="65">
        <f ca="1">IF($C$4=Lookups!$D$40,SUM(INDIRECT("'Yr1'!"&amp;ADDRESS(ROW(AC25),COLUMN(AC25))),INDIRECT("'Yr2'!"&amp;ADDRESS(ROW(AC25),COLUMN(AC25))),INDIRECT("'Yr3'!"&amp;ADDRESS(ROW(AC25),COLUMN(AC25)))),
IF(AC12=0,0,-PMT(INDEX(Lookups!$E$17:$G$17,MATCH($C$4,Lookups!$E$14:$G$14,0)),AC12,SUMIFS('EE Inputs'!$J$9:$J$32,'EE Inputs'!$C$9:$C$32,$G$6,'EE Inputs'!$D$9:$D$32,$C$4,'EE Inputs'!$E$9:$E$32,$B25),0,1)))-AC26</f>
        <v>0</v>
      </c>
      <c r="AD25" s="65">
        <f ca="1">IF($C$4=Lookups!$D$40,SUM(INDIRECT("'Yr1'!"&amp;ADDRESS(ROW(AD25),COLUMN(AD25))),INDIRECT("'Yr2'!"&amp;ADDRESS(ROW(AD25),COLUMN(AD25))),INDIRECT("'Yr3'!"&amp;ADDRESS(ROW(AD25),COLUMN(AD25)))),
IF(AD12=0,0,-PMT(INDEX(Lookups!$E$17:$G$17,MATCH($C$4,Lookups!$E$14:$G$14,0)),AD12,SUMIFS('EE Inputs'!$J$9:$J$32,'EE Inputs'!$C$9:$C$32,$G$6,'EE Inputs'!$D$9:$D$32,$C$4,'EE Inputs'!$E$9:$E$32,$B25),0,1)))-AD26</f>
        <v>0</v>
      </c>
      <c r="AE25" s="65">
        <f ca="1">IF($C$4=Lookups!$D$40,SUM(INDIRECT("'Yr1'!"&amp;ADDRESS(ROW(AE25),COLUMN(AE25))),INDIRECT("'Yr2'!"&amp;ADDRESS(ROW(AE25),COLUMN(AE25))),INDIRECT("'Yr3'!"&amp;ADDRESS(ROW(AE25),COLUMN(AE25)))),
IF(AE12=0,0,-PMT(INDEX(Lookups!$E$17:$G$17,MATCH($C$4,Lookups!$E$14:$G$14,0)),AE12,SUMIFS('EE Inputs'!$J$9:$J$32,'EE Inputs'!$C$9:$C$32,$G$6,'EE Inputs'!$D$9:$D$32,$C$4,'EE Inputs'!$E$9:$E$32,$B25),0,1)))-AE26</f>
        <v>0</v>
      </c>
      <c r="AF25" s="65">
        <f ca="1">IF($C$4=Lookups!$D$40,SUM(INDIRECT("'Yr1'!"&amp;ADDRESS(ROW(AF25),COLUMN(AF25))),INDIRECT("'Yr2'!"&amp;ADDRESS(ROW(AF25),COLUMN(AF25))),INDIRECT("'Yr3'!"&amp;ADDRESS(ROW(AF25),COLUMN(AF25)))),
IF(AF12=0,0,-PMT(INDEX(Lookups!$E$17:$G$17,MATCH($C$4,Lookups!$E$14:$G$14,0)),AF12,SUMIFS('EE Inputs'!$J$9:$J$32,'EE Inputs'!$C$9:$C$32,$G$6,'EE Inputs'!$D$9:$D$32,$C$4,'EE Inputs'!$E$9:$E$32,$B25),0,1)))-AF26</f>
        <v>0</v>
      </c>
      <c r="AG25" s="65">
        <f ca="1">IF($C$4=Lookups!$D$40,SUM(INDIRECT("'Yr1'!"&amp;ADDRESS(ROW(AG25),COLUMN(AG25))),INDIRECT("'Yr2'!"&amp;ADDRESS(ROW(AG25),COLUMN(AG25))),INDIRECT("'Yr3'!"&amp;ADDRESS(ROW(AG25),COLUMN(AG25)))),
IF(AG12=0,0,-PMT(INDEX(Lookups!$E$17:$G$17,MATCH($C$4,Lookups!$E$14:$G$14,0)),AG12,SUMIFS('EE Inputs'!$J$9:$J$32,'EE Inputs'!$C$9:$C$32,$G$6,'EE Inputs'!$D$9:$D$32,$C$4,'EE Inputs'!$E$9:$E$32,$B25),0,1)))-AG26</f>
        <v>0</v>
      </c>
      <c r="AH25" s="65"/>
      <c r="AI25" s="65">
        <f ca="1">NPV(Lookups!$E$17,G25:AG25)</f>
        <v>10465672.434438903</v>
      </c>
      <c r="AJ25" s="65"/>
      <c r="AM25" s="72">
        <f ca="1">IF($C$4=Lookups!$D$40,SUM(INDIRECT("'Yr1'!"&amp;ADDRESS(ROW(AM25),COLUMN(AM25))),INDIRECT("'Yr2'!"&amp;ADDRESS(ROW(AM25),COLUMN(AM25))),INDIRECT("'Yr3'!"&amp;ADDRESS(ROW(AM25),COLUMN(AM25)))),
IF(AM12=0,0,-PMT(INDEX(Lookups!$E$17:$G$17,MATCH($C$4,Lookups!$E$14:$G$14,0)),AM12,SUMIFS('EE Inputs'!$J$9:$J$32,'EE Inputs'!$C$9:$C$32,$AM$6,'EE Inputs'!$D$9:$D$32,$C$4,'EE Inputs'!$E$9:$E$32,$B25),0,1)))-AM26</f>
        <v>296786.27108974248</v>
      </c>
      <c r="AN25" s="72">
        <f ca="1">IF($C$4=Lookups!$D$40,SUM(INDIRECT("'Yr1'!"&amp;ADDRESS(ROW(AN25),COLUMN(AN25))),INDIRECT("'Yr2'!"&amp;ADDRESS(ROW(AN25),COLUMN(AN25))),INDIRECT("'Yr3'!"&amp;ADDRESS(ROW(AN25),COLUMN(AN25)))),
IF(AN12=0,0,-PMT(INDEX(Lookups!$E$17:$G$17,MATCH($C$4,Lookups!$E$14:$G$14,0)),AN12,SUMIFS('EE Inputs'!$J$9:$J$32,'EE Inputs'!$C$9:$C$32,$AM$6,'EE Inputs'!$D$9:$D$32,$C$4,'EE Inputs'!$E$9:$E$32,$B25),0,1)))-AN26</f>
        <v>597249.61818320362</v>
      </c>
      <c r="AO25" s="72">
        <f ca="1">IF($C$4=Lookups!$D$40,SUM(INDIRECT("'Yr1'!"&amp;ADDRESS(ROW(AO25),COLUMN(AO25))),INDIRECT("'Yr2'!"&amp;ADDRESS(ROW(AO25),COLUMN(AO25))),INDIRECT("'Yr3'!"&amp;ADDRESS(ROW(AO25),COLUMN(AO25)))),
IF(AO12=0,0,-PMT(INDEX(Lookups!$E$17:$G$17,MATCH($C$4,Lookups!$E$14:$G$14,0)),AO12,SUMIFS('EE Inputs'!$J$9:$J$32,'EE Inputs'!$C$9:$C$32,$AM$6,'EE Inputs'!$D$9:$D$32,$C$4,'EE Inputs'!$E$9:$E$32,$B25),0,1)))-AO26</f>
        <v>903230.64831046772</v>
      </c>
      <c r="AP25" s="72">
        <f ca="1">IF($C$4=Lookups!$D$40,SUM(INDIRECT("'Yr1'!"&amp;ADDRESS(ROW(AP25),COLUMN(AP25))),INDIRECT("'Yr2'!"&amp;ADDRESS(ROW(AP25),COLUMN(AP25))),INDIRECT("'Yr3'!"&amp;ADDRESS(ROW(AP25),COLUMN(AP25)))),
IF(AP12=0,0,-PMT(INDEX(Lookups!$E$17:$G$17,MATCH($C$4,Lookups!$E$14:$G$14,0)),AP12,SUMIFS('EE Inputs'!$J$9:$J$32,'EE Inputs'!$C$9:$C$32,$AM$6,'EE Inputs'!$D$9:$D$32,$C$4,'EE Inputs'!$E$9:$E$32,$B25),0,1)))-AP26</f>
        <v>903230.64831046772</v>
      </c>
      <c r="AQ25" s="72">
        <f ca="1">IF($C$4=Lookups!$D$40,SUM(INDIRECT("'Yr1'!"&amp;ADDRESS(ROW(AQ25),COLUMN(AQ25))),INDIRECT("'Yr2'!"&amp;ADDRESS(ROW(AQ25),COLUMN(AQ25))),INDIRECT("'Yr3'!"&amp;ADDRESS(ROW(AQ25),COLUMN(AQ25)))),
IF(AQ12=0,0,-PMT(INDEX(Lookups!$E$17:$G$17,MATCH($C$4,Lookups!$E$14:$G$14,0)),AQ12,SUMIFS('EE Inputs'!$J$9:$J$32,'EE Inputs'!$C$9:$C$32,$AM$6,'EE Inputs'!$D$9:$D$32,$C$4,'EE Inputs'!$E$9:$E$32,$B25),0,1)))-AQ26</f>
        <v>903230.64831046772</v>
      </c>
      <c r="AR25" s="72">
        <f ca="1">IF($C$4=Lookups!$D$40,SUM(INDIRECT("'Yr1'!"&amp;ADDRESS(ROW(AR25),COLUMN(AR25))),INDIRECT("'Yr2'!"&amp;ADDRESS(ROW(AR25),COLUMN(AR25))),INDIRECT("'Yr3'!"&amp;ADDRESS(ROW(AR25),COLUMN(AR25)))),
IF(AR12=0,0,-PMT(INDEX(Lookups!$E$17:$G$17,MATCH($C$4,Lookups!$E$14:$G$14,0)),AR12,SUMIFS('EE Inputs'!$J$9:$J$32,'EE Inputs'!$C$9:$C$32,$AM$6,'EE Inputs'!$D$9:$D$32,$C$4,'EE Inputs'!$E$9:$E$32,$B25),0,1)))-AR26</f>
        <v>903230.64831046772</v>
      </c>
      <c r="AS25" s="72">
        <f ca="1">IF($C$4=Lookups!$D$40,SUM(INDIRECT("'Yr1'!"&amp;ADDRESS(ROW(AS25),COLUMN(AS25))),INDIRECT("'Yr2'!"&amp;ADDRESS(ROW(AS25),COLUMN(AS25))),INDIRECT("'Yr3'!"&amp;ADDRESS(ROW(AS25),COLUMN(AS25)))),
IF(AS12=0,0,-PMT(INDEX(Lookups!$E$17:$G$17,MATCH($C$4,Lookups!$E$14:$G$14,0)),AS12,SUMIFS('EE Inputs'!$J$9:$J$32,'EE Inputs'!$C$9:$C$32,$AM$6,'EE Inputs'!$D$9:$D$32,$C$4,'EE Inputs'!$E$9:$E$32,$B25),0,1)))-AS26</f>
        <v>903230.64831046772</v>
      </c>
      <c r="AT25" s="72">
        <f ca="1">IF($C$4=Lookups!$D$40,SUM(INDIRECT("'Yr1'!"&amp;ADDRESS(ROW(AT25),COLUMN(AT25))),INDIRECT("'Yr2'!"&amp;ADDRESS(ROW(AT25),COLUMN(AT25))),INDIRECT("'Yr3'!"&amp;ADDRESS(ROW(AT25),COLUMN(AT25)))),
IF(AT12=0,0,-PMT(INDEX(Lookups!$E$17:$G$17,MATCH($C$4,Lookups!$E$14:$G$14,0)),AT12,SUMIFS('EE Inputs'!$J$9:$J$32,'EE Inputs'!$C$9:$C$32,$AM$6,'EE Inputs'!$D$9:$D$32,$C$4,'EE Inputs'!$E$9:$E$32,$B25),0,1)))-AT26</f>
        <v>903230.64831046772</v>
      </c>
      <c r="AU25" s="72">
        <f ca="1">IF($C$4=Lookups!$D$40,SUM(INDIRECT("'Yr1'!"&amp;ADDRESS(ROW(AU25),COLUMN(AU25))),INDIRECT("'Yr2'!"&amp;ADDRESS(ROW(AU25),COLUMN(AU25))),INDIRECT("'Yr3'!"&amp;ADDRESS(ROW(AU25),COLUMN(AU25)))),
IF(AU12=0,0,-PMT(INDEX(Lookups!$E$17:$G$17,MATCH($C$4,Lookups!$E$14:$G$14,0)),AU12,SUMIFS('EE Inputs'!$J$9:$J$32,'EE Inputs'!$C$9:$C$32,$AM$6,'EE Inputs'!$D$9:$D$32,$C$4,'EE Inputs'!$E$9:$E$32,$B25),0,1)))-AU26</f>
        <v>903230.64831046772</v>
      </c>
      <c r="AV25" s="72">
        <f ca="1">IF($C$4=Lookups!$D$40,SUM(INDIRECT("'Yr1'!"&amp;ADDRESS(ROW(AV25),COLUMN(AV25))),INDIRECT("'Yr2'!"&amp;ADDRESS(ROW(AV25),COLUMN(AV25))),INDIRECT("'Yr3'!"&amp;ADDRESS(ROW(AV25),COLUMN(AV25)))),
IF(AV12=0,0,-PMT(INDEX(Lookups!$E$17:$G$17,MATCH($C$4,Lookups!$E$14:$G$14,0)),AV12,SUMIFS('EE Inputs'!$J$9:$J$32,'EE Inputs'!$C$9:$C$32,$AM$6,'EE Inputs'!$D$9:$D$32,$C$4,'EE Inputs'!$E$9:$E$32,$B25),0,1)))-AV26</f>
        <v>903230.64831046772</v>
      </c>
      <c r="AW25" s="72">
        <f ca="1">IF($C$4=Lookups!$D$40,SUM(INDIRECT("'Yr1'!"&amp;ADDRESS(ROW(AW25),COLUMN(AW25))),INDIRECT("'Yr2'!"&amp;ADDRESS(ROW(AW25),COLUMN(AW25))),INDIRECT("'Yr3'!"&amp;ADDRESS(ROW(AW25),COLUMN(AW25)))),
IF(AW12=0,0,-PMT(INDEX(Lookups!$E$17:$G$17,MATCH($C$4,Lookups!$E$14:$G$14,0)),AW12,SUMIFS('EE Inputs'!$J$9:$J$32,'EE Inputs'!$C$9:$C$32,$AM$6,'EE Inputs'!$D$9:$D$32,$C$4,'EE Inputs'!$E$9:$E$32,$B25),0,1)))-AW26</f>
        <v>903230.64831046772</v>
      </c>
      <c r="AX25" s="72">
        <f ca="1">IF($C$4=Lookups!$D$40,SUM(INDIRECT("'Yr1'!"&amp;ADDRESS(ROW(AX25),COLUMN(AX25))),INDIRECT("'Yr2'!"&amp;ADDRESS(ROW(AX25),COLUMN(AX25))),INDIRECT("'Yr3'!"&amp;ADDRESS(ROW(AX25),COLUMN(AX25)))),
IF(AX12=0,0,-PMT(INDEX(Lookups!$E$17:$G$17,MATCH($C$4,Lookups!$E$14:$G$14,0)),AX12,SUMIFS('EE Inputs'!$J$9:$J$32,'EE Inputs'!$C$9:$C$32,$AM$6,'EE Inputs'!$D$9:$D$32,$C$4,'EE Inputs'!$E$9:$E$32,$B25),0,1)))-AX26</f>
        <v>903230.64831046772</v>
      </c>
      <c r="AY25" s="72">
        <f ca="1">IF($C$4=Lookups!$D$40,SUM(INDIRECT("'Yr1'!"&amp;ADDRESS(ROW(AY25),COLUMN(AY25))),INDIRECT("'Yr2'!"&amp;ADDRESS(ROW(AY25),COLUMN(AY25))),INDIRECT("'Yr3'!"&amp;ADDRESS(ROW(AY25),COLUMN(AY25)))),
IF(AY12=0,0,-PMT(INDEX(Lookups!$E$17:$G$17,MATCH($C$4,Lookups!$E$14:$G$14,0)),AY12,SUMIFS('EE Inputs'!$J$9:$J$32,'EE Inputs'!$C$9:$C$32,$AM$6,'EE Inputs'!$D$9:$D$32,$C$4,'EE Inputs'!$E$9:$E$32,$B25),0,1)))-AY26</f>
        <v>903230.64831046772</v>
      </c>
      <c r="AZ25" s="72">
        <f ca="1">IF($C$4=Lookups!$D$40,SUM(INDIRECT("'Yr1'!"&amp;ADDRESS(ROW(AZ25),COLUMN(AZ25))),INDIRECT("'Yr2'!"&amp;ADDRESS(ROW(AZ25),COLUMN(AZ25))),INDIRECT("'Yr3'!"&amp;ADDRESS(ROW(AZ25),COLUMN(AZ25)))),
IF(AZ12=0,0,-PMT(INDEX(Lookups!$E$17:$G$17,MATCH($C$4,Lookups!$E$14:$G$14,0)),AZ12,SUMIFS('EE Inputs'!$J$9:$J$32,'EE Inputs'!$C$9:$C$32,$AM$6,'EE Inputs'!$D$9:$D$32,$C$4,'EE Inputs'!$E$9:$E$32,$B25),0,1)))-AZ26</f>
        <v>903230.64831046772</v>
      </c>
      <c r="BA25" s="72">
        <f ca="1">IF($C$4=Lookups!$D$40,SUM(INDIRECT("'Yr1'!"&amp;ADDRESS(ROW(BA25),COLUMN(BA25))),INDIRECT("'Yr2'!"&amp;ADDRESS(ROW(BA25),COLUMN(BA25))),INDIRECT("'Yr3'!"&amp;ADDRESS(ROW(BA25),COLUMN(BA25)))),
IF(BA12=0,0,-PMT(INDEX(Lookups!$E$17:$G$17,MATCH($C$4,Lookups!$E$14:$G$14,0)),BA12,SUMIFS('EE Inputs'!$J$9:$J$32,'EE Inputs'!$C$9:$C$32,$AM$6,'EE Inputs'!$D$9:$D$32,$C$4,'EE Inputs'!$E$9:$E$32,$B25),0,1)))-BA26</f>
        <v>903230.64831046772</v>
      </c>
      <c r="BB25" s="72">
        <f ca="1">IF($C$4=Lookups!$D$40,SUM(INDIRECT("'Yr1'!"&amp;ADDRESS(ROW(BB25),COLUMN(BB25))),INDIRECT("'Yr2'!"&amp;ADDRESS(ROW(BB25),COLUMN(BB25))),INDIRECT("'Yr3'!"&amp;ADDRESS(ROW(BB25),COLUMN(BB25)))),
IF(BB12=0,0,-PMT(INDEX(Lookups!$E$17:$G$17,MATCH($C$4,Lookups!$E$14:$G$14,0)),BB12,SUMIFS('EE Inputs'!$J$9:$J$32,'EE Inputs'!$C$9:$C$32,$AM$6,'EE Inputs'!$D$9:$D$32,$C$4,'EE Inputs'!$E$9:$E$32,$B25),0,1)))-BB26</f>
        <v>606444.37722072517</v>
      </c>
      <c r="BC25" s="72">
        <f ca="1">IF($C$4=Lookups!$D$40,SUM(INDIRECT("'Yr1'!"&amp;ADDRESS(ROW(BC25),COLUMN(BC25))),INDIRECT("'Yr2'!"&amp;ADDRESS(ROW(BC25),COLUMN(BC25))),INDIRECT("'Yr3'!"&amp;ADDRESS(ROW(BC25),COLUMN(BC25)))),
IF(BC12=0,0,-PMT(INDEX(Lookups!$E$17:$G$17,MATCH($C$4,Lookups!$E$14:$G$14,0)),BC12,SUMIFS('EE Inputs'!$J$9:$J$32,'EE Inputs'!$C$9:$C$32,$AM$6,'EE Inputs'!$D$9:$D$32,$C$4,'EE Inputs'!$E$9:$E$32,$B25),0,1)))-BC26</f>
        <v>305981.03012726415</v>
      </c>
      <c r="BD25" s="72">
        <f ca="1">IF($C$4=Lookups!$D$40,SUM(INDIRECT("'Yr1'!"&amp;ADDRESS(ROW(BD25),COLUMN(BD25))),INDIRECT("'Yr2'!"&amp;ADDRESS(ROW(BD25),COLUMN(BD25))),INDIRECT("'Yr3'!"&amp;ADDRESS(ROW(BD25),COLUMN(BD25)))),
IF(BD12=0,0,-PMT(INDEX(Lookups!$E$17:$G$17,MATCH($C$4,Lookups!$E$14:$G$14,0)),BD12,SUMIFS('EE Inputs'!$J$9:$J$32,'EE Inputs'!$C$9:$C$32,$AM$6,'EE Inputs'!$D$9:$D$32,$C$4,'EE Inputs'!$E$9:$E$32,$B25),0,1)))-BD26</f>
        <v>0</v>
      </c>
      <c r="BE25" s="72">
        <f ca="1">IF($C$4=Lookups!$D$40,SUM(INDIRECT("'Yr1'!"&amp;ADDRESS(ROW(BE25),COLUMN(BE25))),INDIRECT("'Yr2'!"&amp;ADDRESS(ROW(BE25),COLUMN(BE25))),INDIRECT("'Yr3'!"&amp;ADDRESS(ROW(BE25),COLUMN(BE25)))),
IF(BE12=0,0,-PMT(INDEX(Lookups!$E$17:$G$17,MATCH($C$4,Lookups!$E$14:$G$14,0)),BE12,SUMIFS('EE Inputs'!$J$9:$J$32,'EE Inputs'!$C$9:$C$32,$AM$6,'EE Inputs'!$D$9:$D$32,$C$4,'EE Inputs'!$E$9:$E$32,$B25),0,1)))-BE26</f>
        <v>0</v>
      </c>
      <c r="BF25" s="72">
        <f ca="1">IF($C$4=Lookups!$D$40,SUM(INDIRECT("'Yr1'!"&amp;ADDRESS(ROW(BF25),COLUMN(BF25))),INDIRECT("'Yr2'!"&amp;ADDRESS(ROW(BF25),COLUMN(BF25))),INDIRECT("'Yr3'!"&amp;ADDRESS(ROW(BF25),COLUMN(BF25)))),
IF(BF12=0,0,-PMT(INDEX(Lookups!$E$17:$G$17,MATCH($C$4,Lookups!$E$14:$G$14,0)),BF12,SUMIFS('EE Inputs'!$J$9:$J$32,'EE Inputs'!$C$9:$C$32,$AM$6,'EE Inputs'!$D$9:$D$32,$C$4,'EE Inputs'!$E$9:$E$32,$B25),0,1)))-BF26</f>
        <v>0</v>
      </c>
      <c r="BG25" s="72">
        <f ca="1">IF($C$4=Lookups!$D$40,SUM(INDIRECT("'Yr1'!"&amp;ADDRESS(ROW(BG25),COLUMN(BG25))),INDIRECT("'Yr2'!"&amp;ADDRESS(ROW(BG25),COLUMN(BG25))),INDIRECT("'Yr3'!"&amp;ADDRESS(ROW(BG25),COLUMN(BG25)))),
IF(BG12=0,0,-PMT(INDEX(Lookups!$E$17:$G$17,MATCH($C$4,Lookups!$E$14:$G$14,0)),BG12,SUMIFS('EE Inputs'!$J$9:$J$32,'EE Inputs'!$C$9:$C$32,$AM$6,'EE Inputs'!$D$9:$D$32,$C$4,'EE Inputs'!$E$9:$E$32,$B25),0,1)))-BG26</f>
        <v>0</v>
      </c>
      <c r="BH25" s="72">
        <f ca="1">IF($C$4=Lookups!$D$40,SUM(INDIRECT("'Yr1'!"&amp;ADDRESS(ROW(BH25),COLUMN(BH25))),INDIRECT("'Yr2'!"&amp;ADDRESS(ROW(BH25),COLUMN(BH25))),INDIRECT("'Yr3'!"&amp;ADDRESS(ROW(BH25),COLUMN(BH25)))),
IF(BH12=0,0,-PMT(INDEX(Lookups!$E$17:$G$17,MATCH($C$4,Lookups!$E$14:$G$14,0)),BH12,SUMIFS('EE Inputs'!$J$9:$J$32,'EE Inputs'!$C$9:$C$32,$AM$6,'EE Inputs'!$D$9:$D$32,$C$4,'EE Inputs'!$E$9:$E$32,$B25),0,1)))-BH26</f>
        <v>0</v>
      </c>
      <c r="BI25" s="72">
        <f ca="1">IF($C$4=Lookups!$D$40,SUM(INDIRECT("'Yr1'!"&amp;ADDRESS(ROW(BI25),COLUMN(BI25))),INDIRECT("'Yr2'!"&amp;ADDRESS(ROW(BI25),COLUMN(BI25))),INDIRECT("'Yr3'!"&amp;ADDRESS(ROW(BI25),COLUMN(BI25)))),
IF(BI12=0,0,-PMT(INDEX(Lookups!$E$17:$G$17,MATCH($C$4,Lookups!$E$14:$G$14,0)),BI12,SUMIFS('EE Inputs'!$J$9:$J$32,'EE Inputs'!$C$9:$C$32,$AM$6,'EE Inputs'!$D$9:$D$32,$C$4,'EE Inputs'!$E$9:$E$32,$B25),0,1)))-BI26</f>
        <v>0</v>
      </c>
      <c r="BJ25" s="72">
        <f ca="1">IF($C$4=Lookups!$D$40,SUM(INDIRECT("'Yr1'!"&amp;ADDRESS(ROW(BJ25),COLUMN(BJ25))),INDIRECT("'Yr2'!"&amp;ADDRESS(ROW(BJ25),COLUMN(BJ25))),INDIRECT("'Yr3'!"&amp;ADDRESS(ROW(BJ25),COLUMN(BJ25)))),
IF(BJ12=0,0,-PMT(INDEX(Lookups!$E$17:$G$17,MATCH($C$4,Lookups!$E$14:$G$14,0)),BJ12,SUMIFS('EE Inputs'!$J$9:$J$32,'EE Inputs'!$C$9:$C$32,$AM$6,'EE Inputs'!$D$9:$D$32,$C$4,'EE Inputs'!$E$9:$E$32,$B25),0,1)))-BJ26</f>
        <v>0</v>
      </c>
      <c r="BK25" s="72">
        <f ca="1">IF($C$4=Lookups!$D$40,SUM(INDIRECT("'Yr1'!"&amp;ADDRESS(ROW(BK25),COLUMN(BK25))),INDIRECT("'Yr2'!"&amp;ADDRESS(ROW(BK25),COLUMN(BK25))),INDIRECT("'Yr3'!"&amp;ADDRESS(ROW(BK25),COLUMN(BK25)))),
IF(BK12=0,0,-PMT(INDEX(Lookups!$E$17:$G$17,MATCH($C$4,Lookups!$E$14:$G$14,0)),BK12,SUMIFS('EE Inputs'!$J$9:$J$32,'EE Inputs'!$C$9:$C$32,$AM$6,'EE Inputs'!$D$9:$D$32,$C$4,'EE Inputs'!$E$9:$E$32,$B25),0,1)))-BK26</f>
        <v>0</v>
      </c>
      <c r="BL25" s="72">
        <f ca="1">IF($C$4=Lookups!$D$40,SUM(INDIRECT("'Yr1'!"&amp;ADDRESS(ROW(BL25),COLUMN(BL25))),INDIRECT("'Yr2'!"&amp;ADDRESS(ROW(BL25),COLUMN(BL25))),INDIRECT("'Yr3'!"&amp;ADDRESS(ROW(BL25),COLUMN(BL25)))),
IF(BL12=0,0,-PMT(INDEX(Lookups!$E$17:$G$17,MATCH($C$4,Lookups!$E$14:$G$14,0)),BL12,SUMIFS('EE Inputs'!$J$9:$J$32,'EE Inputs'!$C$9:$C$32,$AM$6,'EE Inputs'!$D$9:$D$32,$C$4,'EE Inputs'!$E$9:$E$32,$B25),0,1)))-BL26</f>
        <v>0</v>
      </c>
      <c r="BM25" s="72">
        <f ca="1">IF($C$4=Lookups!$D$40,SUM(INDIRECT("'Yr1'!"&amp;ADDRESS(ROW(BM25),COLUMN(BM25))),INDIRECT("'Yr2'!"&amp;ADDRESS(ROW(BM25),COLUMN(BM25))),INDIRECT("'Yr3'!"&amp;ADDRESS(ROW(BM25),COLUMN(BM25)))),
IF(BM12=0,0,-PMT(INDEX(Lookups!$E$17:$G$17,MATCH($C$4,Lookups!$E$14:$G$14,0)),BM12,SUMIFS('EE Inputs'!$J$9:$J$32,'EE Inputs'!$C$9:$C$32,$AM$6,'EE Inputs'!$D$9:$D$32,$C$4,'EE Inputs'!$E$9:$E$32,$B25),0,1)))-BM26</f>
        <v>0</v>
      </c>
      <c r="BN25" s="72"/>
      <c r="BO25" s="72">
        <f ca="1">NPV(Lookups!$E$17,AM25:BM25)</f>
        <v>11960768.496501602</v>
      </c>
      <c r="BP25" s="72"/>
      <c r="BS25" s="84" t="str">
        <f>"Avoided "&amp;E25&amp;" costs, less the retail margin."</f>
        <v>Avoided Gas costs, less the retail margin.</v>
      </c>
      <c r="BT25" s="51" t="s">
        <v>17</v>
      </c>
    </row>
    <row r="26" spans="1:72" x14ac:dyDescent="0.25">
      <c r="A26" s="246"/>
      <c r="B26" s="243" t="str">
        <f t="shared" si="4"/>
        <v>Residential</v>
      </c>
      <c r="C26" s="243" t="str">
        <f t="shared" si="4"/>
        <v>Revenue Requirements</v>
      </c>
      <c r="D26" s="244" t="str">
        <f>D25</f>
        <v>Avoided Costs</v>
      </c>
      <c r="E26" s="84" t="s">
        <v>412</v>
      </c>
      <c r="F26" s="84" t="s">
        <v>32</v>
      </c>
      <c r="G26" s="65">
        <f ca="1">IF($C$4=Lookups!$D$40,SUM(INDIRECT("'Yr1'!"&amp;ADDRESS(ROW(G26),COLUMN(G26))),INDIRECT("'Yr2'!"&amp;ADDRESS(ROW(G26),COLUMN(G26))),INDIRECT("'Yr3'!"&amp;ADDRESS(ROW(G26),COLUMN(G26)))),
IF(G12=0,0,-PMT(INDEX(Lookups!$E$17:$G$17,MATCH($C$4,Lookups!$E$14:$G$14,0)),G12,SUMIFS('EE Inputs'!$W$9:$W$32,'EE Inputs'!$C$9:$C$32,$G$6,'EE Inputs'!$D$9:$D$32,$C$4,'EE Inputs'!$E$9:$E$32,$B26),0,1)))</f>
        <v>17705.999127513041</v>
      </c>
      <c r="H26" s="65">
        <f ca="1">IF($C$4=Lookups!$D$40,SUM(INDIRECT("'Yr1'!"&amp;ADDRESS(ROW(H26),COLUMN(H26))),INDIRECT("'Yr2'!"&amp;ADDRESS(ROW(H26),COLUMN(H26))),INDIRECT("'Yr3'!"&amp;ADDRESS(ROW(H26),COLUMN(H26)))),
IF(H12=0,0,-PMT(INDEX(Lookups!$E$17:$G$17,MATCH($C$4,Lookups!$E$14:$G$14,0)),H12,SUMIFS('EE Inputs'!$W$9:$W$32,'EE Inputs'!$C$9:$C$32,$G$6,'EE Inputs'!$D$9:$D$32,$C$4,'EE Inputs'!$E$9:$E$32,$B26),0,1)))</f>
        <v>35631.369266611582</v>
      </c>
      <c r="I26" s="65">
        <f ca="1">IF($C$4=Lookups!$D$40,SUM(INDIRECT("'Yr1'!"&amp;ADDRESS(ROW(I26),COLUMN(I26))),INDIRECT("'Yr2'!"&amp;ADDRESS(ROW(I26),COLUMN(I26))),INDIRECT("'Yr3'!"&amp;ADDRESS(ROW(I26),COLUMN(I26)))),
IF(I12=0,0,-PMT(INDEX(Lookups!$E$17:$G$17,MATCH($C$4,Lookups!$E$14:$G$14,0)),I12,SUMIFS('EE Inputs'!$W$9:$W$32,'EE Inputs'!$C$9:$C$32,$G$6,'EE Inputs'!$D$9:$D$32,$C$4,'EE Inputs'!$E$9:$E$32,$B26),0,1)))</f>
        <v>53885.919359431311</v>
      </c>
      <c r="J26" s="65">
        <f ca="1">IF($C$4=Lookups!$D$40,SUM(INDIRECT("'Yr1'!"&amp;ADDRESS(ROW(J26),COLUMN(J26))),INDIRECT("'Yr2'!"&amp;ADDRESS(ROW(J26),COLUMN(J26))),INDIRECT("'Yr3'!"&amp;ADDRESS(ROW(J26),COLUMN(J26)))),
IF(J12=0,0,-PMT(INDEX(Lookups!$E$17:$G$17,MATCH($C$4,Lookups!$E$14:$G$14,0)),J12,SUMIFS('EE Inputs'!$W$9:$W$32,'EE Inputs'!$C$9:$C$32,$G$6,'EE Inputs'!$D$9:$D$32,$C$4,'EE Inputs'!$E$9:$E$32,$B26),0,1)))</f>
        <v>53885.919359431311</v>
      </c>
      <c r="K26" s="65">
        <f ca="1">IF($C$4=Lookups!$D$40,SUM(INDIRECT("'Yr1'!"&amp;ADDRESS(ROW(K26),COLUMN(K26))),INDIRECT("'Yr2'!"&amp;ADDRESS(ROW(K26),COLUMN(K26))),INDIRECT("'Yr3'!"&amp;ADDRESS(ROW(K26),COLUMN(K26)))),
IF(K12=0,0,-PMT(INDEX(Lookups!$E$17:$G$17,MATCH($C$4,Lookups!$E$14:$G$14,0)),K12,SUMIFS('EE Inputs'!$W$9:$W$32,'EE Inputs'!$C$9:$C$32,$G$6,'EE Inputs'!$D$9:$D$32,$C$4,'EE Inputs'!$E$9:$E$32,$B26),0,1)))</f>
        <v>53885.919359431311</v>
      </c>
      <c r="L26" s="65">
        <f ca="1">IF($C$4=Lookups!$D$40,SUM(INDIRECT("'Yr1'!"&amp;ADDRESS(ROW(L26),COLUMN(L26))),INDIRECT("'Yr2'!"&amp;ADDRESS(ROW(L26),COLUMN(L26))),INDIRECT("'Yr3'!"&amp;ADDRESS(ROW(L26),COLUMN(L26)))),
IF(L12=0,0,-PMT(INDEX(Lookups!$E$17:$G$17,MATCH($C$4,Lookups!$E$14:$G$14,0)),L12,SUMIFS('EE Inputs'!$W$9:$W$32,'EE Inputs'!$C$9:$C$32,$G$6,'EE Inputs'!$D$9:$D$32,$C$4,'EE Inputs'!$E$9:$E$32,$B26),0,1)))</f>
        <v>53885.919359431311</v>
      </c>
      <c r="M26" s="65">
        <f ca="1">IF($C$4=Lookups!$D$40,SUM(INDIRECT("'Yr1'!"&amp;ADDRESS(ROW(M26),COLUMN(M26))),INDIRECT("'Yr2'!"&amp;ADDRESS(ROW(M26),COLUMN(M26))),INDIRECT("'Yr3'!"&amp;ADDRESS(ROW(M26),COLUMN(M26)))),
IF(M12=0,0,-PMT(INDEX(Lookups!$E$17:$G$17,MATCH($C$4,Lookups!$E$14:$G$14,0)),M12,SUMIFS('EE Inputs'!$W$9:$W$32,'EE Inputs'!$C$9:$C$32,$G$6,'EE Inputs'!$D$9:$D$32,$C$4,'EE Inputs'!$E$9:$E$32,$B26),0,1)))</f>
        <v>53885.919359431311</v>
      </c>
      <c r="N26" s="65">
        <f ca="1">IF($C$4=Lookups!$D$40,SUM(INDIRECT("'Yr1'!"&amp;ADDRESS(ROW(N26),COLUMN(N26))),INDIRECT("'Yr2'!"&amp;ADDRESS(ROW(N26),COLUMN(N26))),INDIRECT("'Yr3'!"&amp;ADDRESS(ROW(N26),COLUMN(N26)))),
IF(N12=0,0,-PMT(INDEX(Lookups!$E$17:$G$17,MATCH($C$4,Lookups!$E$14:$G$14,0)),N12,SUMIFS('EE Inputs'!$W$9:$W$32,'EE Inputs'!$C$9:$C$32,$G$6,'EE Inputs'!$D$9:$D$32,$C$4,'EE Inputs'!$E$9:$E$32,$B26),0,1)))</f>
        <v>53885.919359431311</v>
      </c>
      <c r="O26" s="65">
        <f ca="1">IF($C$4=Lookups!$D$40,SUM(INDIRECT("'Yr1'!"&amp;ADDRESS(ROW(O26),COLUMN(O26))),INDIRECT("'Yr2'!"&amp;ADDRESS(ROW(O26),COLUMN(O26))),INDIRECT("'Yr3'!"&amp;ADDRESS(ROW(O26),COLUMN(O26)))),
IF(O12=0,0,-PMT(INDEX(Lookups!$E$17:$G$17,MATCH($C$4,Lookups!$E$14:$G$14,0)),O12,SUMIFS('EE Inputs'!$W$9:$W$32,'EE Inputs'!$C$9:$C$32,$G$6,'EE Inputs'!$D$9:$D$32,$C$4,'EE Inputs'!$E$9:$E$32,$B26),0,1)))</f>
        <v>53885.919359431311</v>
      </c>
      <c r="P26" s="65">
        <f ca="1">IF($C$4=Lookups!$D$40,SUM(INDIRECT("'Yr1'!"&amp;ADDRESS(ROW(P26),COLUMN(P26))),INDIRECT("'Yr2'!"&amp;ADDRESS(ROW(P26),COLUMN(P26))),INDIRECT("'Yr3'!"&amp;ADDRESS(ROW(P26),COLUMN(P26)))),
IF(P12=0,0,-PMT(INDEX(Lookups!$E$17:$G$17,MATCH($C$4,Lookups!$E$14:$G$14,0)),P12,SUMIFS('EE Inputs'!$W$9:$W$32,'EE Inputs'!$C$9:$C$32,$G$6,'EE Inputs'!$D$9:$D$32,$C$4,'EE Inputs'!$E$9:$E$32,$B26),0,1)))</f>
        <v>53885.919359431311</v>
      </c>
      <c r="Q26" s="65">
        <f ca="1">IF($C$4=Lookups!$D$40,SUM(INDIRECT("'Yr1'!"&amp;ADDRESS(ROW(Q26),COLUMN(Q26))),INDIRECT("'Yr2'!"&amp;ADDRESS(ROW(Q26),COLUMN(Q26))),INDIRECT("'Yr3'!"&amp;ADDRESS(ROW(Q26),COLUMN(Q26)))),
IF(Q12=0,0,-PMT(INDEX(Lookups!$E$17:$G$17,MATCH($C$4,Lookups!$E$14:$G$14,0)),Q12,SUMIFS('EE Inputs'!$W$9:$W$32,'EE Inputs'!$C$9:$C$32,$G$6,'EE Inputs'!$D$9:$D$32,$C$4,'EE Inputs'!$E$9:$E$32,$B26),0,1)))</f>
        <v>53885.919359431311</v>
      </c>
      <c r="R26" s="65">
        <f ca="1">IF($C$4=Lookups!$D$40,SUM(INDIRECT("'Yr1'!"&amp;ADDRESS(ROW(R26),COLUMN(R26))),INDIRECT("'Yr2'!"&amp;ADDRESS(ROW(R26),COLUMN(R26))),INDIRECT("'Yr3'!"&amp;ADDRESS(ROW(R26),COLUMN(R26)))),
IF(R12=0,0,-PMT(INDEX(Lookups!$E$17:$G$17,MATCH($C$4,Lookups!$E$14:$G$14,0)),R12,SUMIFS('EE Inputs'!$W$9:$W$32,'EE Inputs'!$C$9:$C$32,$G$6,'EE Inputs'!$D$9:$D$32,$C$4,'EE Inputs'!$E$9:$E$32,$B26),0,1)))</f>
        <v>53885.919359431311</v>
      </c>
      <c r="S26" s="65">
        <f ca="1">IF($C$4=Lookups!$D$40,SUM(INDIRECT("'Yr1'!"&amp;ADDRESS(ROW(S26),COLUMN(S26))),INDIRECT("'Yr2'!"&amp;ADDRESS(ROW(S26),COLUMN(S26))),INDIRECT("'Yr3'!"&amp;ADDRESS(ROW(S26),COLUMN(S26)))),
IF(S12=0,0,-PMT(INDEX(Lookups!$E$17:$G$17,MATCH($C$4,Lookups!$E$14:$G$14,0)),S12,SUMIFS('EE Inputs'!$W$9:$W$32,'EE Inputs'!$C$9:$C$32,$G$6,'EE Inputs'!$D$9:$D$32,$C$4,'EE Inputs'!$E$9:$E$32,$B26),0,1)))</f>
        <v>53885.919359431311</v>
      </c>
      <c r="T26" s="65">
        <f ca="1">IF($C$4=Lookups!$D$40,SUM(INDIRECT("'Yr1'!"&amp;ADDRESS(ROW(T26),COLUMN(T26))),INDIRECT("'Yr2'!"&amp;ADDRESS(ROW(T26),COLUMN(T26))),INDIRECT("'Yr3'!"&amp;ADDRESS(ROW(T26),COLUMN(T26)))),
IF(T12=0,0,-PMT(INDEX(Lookups!$E$17:$G$17,MATCH($C$4,Lookups!$E$14:$G$14,0)),T12,SUMIFS('EE Inputs'!$W$9:$W$32,'EE Inputs'!$C$9:$C$32,$G$6,'EE Inputs'!$D$9:$D$32,$C$4,'EE Inputs'!$E$9:$E$32,$B26),0,1)))</f>
        <v>53885.919359431311</v>
      </c>
      <c r="U26" s="65">
        <f ca="1">IF($C$4=Lookups!$D$40,SUM(INDIRECT("'Yr1'!"&amp;ADDRESS(ROW(U26),COLUMN(U26))),INDIRECT("'Yr2'!"&amp;ADDRESS(ROW(U26),COLUMN(U26))),INDIRECT("'Yr3'!"&amp;ADDRESS(ROW(U26),COLUMN(U26)))),
IF(U12=0,0,-PMT(INDEX(Lookups!$E$17:$G$17,MATCH($C$4,Lookups!$E$14:$G$14,0)),U12,SUMIFS('EE Inputs'!$W$9:$W$32,'EE Inputs'!$C$9:$C$32,$G$6,'EE Inputs'!$D$9:$D$32,$C$4,'EE Inputs'!$E$9:$E$32,$B26),0,1)))</f>
        <v>53885.919359431311</v>
      </c>
      <c r="V26" s="65">
        <f ca="1">IF($C$4=Lookups!$D$40,SUM(INDIRECT("'Yr1'!"&amp;ADDRESS(ROW(V26),COLUMN(V26))),INDIRECT("'Yr2'!"&amp;ADDRESS(ROW(V26),COLUMN(V26))),INDIRECT("'Yr3'!"&amp;ADDRESS(ROW(V26),COLUMN(V26)))),
IF(V12=0,0,-PMT(INDEX(Lookups!$E$17:$G$17,MATCH($C$4,Lookups!$E$14:$G$14,0)),V12,SUMIFS('EE Inputs'!$W$9:$W$32,'EE Inputs'!$C$9:$C$32,$G$6,'EE Inputs'!$D$9:$D$32,$C$4,'EE Inputs'!$E$9:$E$32,$B26),0,1)))</f>
        <v>36179.920231918266</v>
      </c>
      <c r="W26" s="65">
        <f ca="1">IF($C$4=Lookups!$D$40,SUM(INDIRECT("'Yr1'!"&amp;ADDRESS(ROW(W26),COLUMN(W26))),INDIRECT("'Yr2'!"&amp;ADDRESS(ROW(W26),COLUMN(W26))),INDIRECT("'Yr3'!"&amp;ADDRESS(ROW(W26),COLUMN(W26)))),
IF(W12=0,0,-PMT(INDEX(Lookups!$E$17:$G$17,MATCH($C$4,Lookups!$E$14:$G$14,0)),W12,SUMIFS('EE Inputs'!$W$9:$W$32,'EE Inputs'!$C$9:$C$32,$G$6,'EE Inputs'!$D$9:$D$32,$C$4,'EE Inputs'!$E$9:$E$32,$B26),0,1)))</f>
        <v>18254.550092819733</v>
      </c>
      <c r="X26" s="65">
        <f ca="1">IF($C$4=Lookups!$D$40,SUM(INDIRECT("'Yr1'!"&amp;ADDRESS(ROW(X26),COLUMN(X26))),INDIRECT("'Yr2'!"&amp;ADDRESS(ROW(X26),COLUMN(X26))),INDIRECT("'Yr3'!"&amp;ADDRESS(ROW(X26),COLUMN(X26)))),
IF(X12=0,0,-PMT(INDEX(Lookups!$E$17:$G$17,MATCH($C$4,Lookups!$E$14:$G$14,0)),X12,SUMIFS('EE Inputs'!$W$9:$W$32,'EE Inputs'!$C$9:$C$32,$G$6,'EE Inputs'!$D$9:$D$32,$C$4,'EE Inputs'!$E$9:$E$32,$B26),0,1)))</f>
        <v>0</v>
      </c>
      <c r="Y26" s="65">
        <f ca="1">IF($C$4=Lookups!$D$40,SUM(INDIRECT("'Yr1'!"&amp;ADDRESS(ROW(Y26),COLUMN(Y26))),INDIRECT("'Yr2'!"&amp;ADDRESS(ROW(Y26),COLUMN(Y26))),INDIRECT("'Yr3'!"&amp;ADDRESS(ROW(Y26),COLUMN(Y26)))),
IF(Y12=0,0,-PMT(INDEX(Lookups!$E$17:$G$17,MATCH($C$4,Lookups!$E$14:$G$14,0)),Y12,SUMIFS('EE Inputs'!$W$9:$W$32,'EE Inputs'!$C$9:$C$32,$G$6,'EE Inputs'!$D$9:$D$32,$C$4,'EE Inputs'!$E$9:$E$32,$B26),0,1)))</f>
        <v>0</v>
      </c>
      <c r="Z26" s="65">
        <f ca="1">IF($C$4=Lookups!$D$40,SUM(INDIRECT("'Yr1'!"&amp;ADDRESS(ROW(Z26),COLUMN(Z26))),INDIRECT("'Yr2'!"&amp;ADDRESS(ROW(Z26),COLUMN(Z26))),INDIRECT("'Yr3'!"&amp;ADDRESS(ROW(Z26),COLUMN(Z26)))),
IF(Z12=0,0,-PMT(INDEX(Lookups!$E$17:$G$17,MATCH($C$4,Lookups!$E$14:$G$14,0)),Z12,SUMIFS('EE Inputs'!$W$9:$W$32,'EE Inputs'!$C$9:$C$32,$G$6,'EE Inputs'!$D$9:$D$32,$C$4,'EE Inputs'!$E$9:$E$32,$B26),0,1)))</f>
        <v>0</v>
      </c>
      <c r="AA26" s="65">
        <f ca="1">IF($C$4=Lookups!$D$40,SUM(INDIRECT("'Yr1'!"&amp;ADDRESS(ROW(AA26),COLUMN(AA26))),INDIRECT("'Yr2'!"&amp;ADDRESS(ROW(AA26),COLUMN(AA26))),INDIRECT("'Yr3'!"&amp;ADDRESS(ROW(AA26),COLUMN(AA26)))),
IF(AA12=0,0,-PMT(INDEX(Lookups!$E$17:$G$17,MATCH($C$4,Lookups!$E$14:$G$14,0)),AA12,SUMIFS('EE Inputs'!$W$9:$W$32,'EE Inputs'!$C$9:$C$32,$G$6,'EE Inputs'!$D$9:$D$32,$C$4,'EE Inputs'!$E$9:$E$32,$B26),0,1)))</f>
        <v>0</v>
      </c>
      <c r="AB26" s="65">
        <f ca="1">IF($C$4=Lookups!$D$40,SUM(INDIRECT("'Yr1'!"&amp;ADDRESS(ROW(AB26),COLUMN(AB26))),INDIRECT("'Yr2'!"&amp;ADDRESS(ROW(AB26),COLUMN(AB26))),INDIRECT("'Yr3'!"&amp;ADDRESS(ROW(AB26),COLUMN(AB26)))),
IF(AB12=0,0,-PMT(INDEX(Lookups!$E$17:$G$17,MATCH($C$4,Lookups!$E$14:$G$14,0)),AB12,SUMIFS('EE Inputs'!$W$9:$W$32,'EE Inputs'!$C$9:$C$32,$G$6,'EE Inputs'!$D$9:$D$32,$C$4,'EE Inputs'!$E$9:$E$32,$B26),0,1)))</f>
        <v>0</v>
      </c>
      <c r="AC26" s="65">
        <f ca="1">IF($C$4=Lookups!$D$40,SUM(INDIRECT("'Yr1'!"&amp;ADDRESS(ROW(AC26),COLUMN(AC26))),INDIRECT("'Yr2'!"&amp;ADDRESS(ROW(AC26),COLUMN(AC26))),INDIRECT("'Yr3'!"&amp;ADDRESS(ROW(AC26),COLUMN(AC26)))),
IF(AC12=0,0,-PMT(INDEX(Lookups!$E$17:$G$17,MATCH($C$4,Lookups!$E$14:$G$14,0)),AC12,SUMIFS('EE Inputs'!$W$9:$W$32,'EE Inputs'!$C$9:$C$32,$G$6,'EE Inputs'!$D$9:$D$32,$C$4,'EE Inputs'!$E$9:$E$32,$B26),0,1)))</f>
        <v>0</v>
      </c>
      <c r="AD26" s="65">
        <f ca="1">IF($C$4=Lookups!$D$40,SUM(INDIRECT("'Yr1'!"&amp;ADDRESS(ROW(AD26),COLUMN(AD26))),INDIRECT("'Yr2'!"&amp;ADDRESS(ROW(AD26),COLUMN(AD26))),INDIRECT("'Yr3'!"&amp;ADDRESS(ROW(AD26),COLUMN(AD26)))),
IF(AD12=0,0,-PMT(INDEX(Lookups!$E$17:$G$17,MATCH($C$4,Lookups!$E$14:$G$14,0)),AD12,SUMIFS('EE Inputs'!$W$9:$W$32,'EE Inputs'!$C$9:$C$32,$G$6,'EE Inputs'!$D$9:$D$32,$C$4,'EE Inputs'!$E$9:$E$32,$B26),0,1)))</f>
        <v>0</v>
      </c>
      <c r="AE26" s="65">
        <f ca="1">IF($C$4=Lookups!$D$40,SUM(INDIRECT("'Yr1'!"&amp;ADDRESS(ROW(AE26),COLUMN(AE26))),INDIRECT("'Yr2'!"&amp;ADDRESS(ROW(AE26),COLUMN(AE26))),INDIRECT("'Yr3'!"&amp;ADDRESS(ROW(AE26),COLUMN(AE26)))),
IF(AE12=0,0,-PMT(INDEX(Lookups!$E$17:$G$17,MATCH($C$4,Lookups!$E$14:$G$14,0)),AE12,SUMIFS('EE Inputs'!$W$9:$W$32,'EE Inputs'!$C$9:$C$32,$G$6,'EE Inputs'!$D$9:$D$32,$C$4,'EE Inputs'!$E$9:$E$32,$B26),0,1)))</f>
        <v>0</v>
      </c>
      <c r="AF26" s="65">
        <f ca="1">IF($C$4=Lookups!$D$40,SUM(INDIRECT("'Yr1'!"&amp;ADDRESS(ROW(AF26),COLUMN(AF26))),INDIRECT("'Yr2'!"&amp;ADDRESS(ROW(AF26),COLUMN(AF26))),INDIRECT("'Yr3'!"&amp;ADDRESS(ROW(AF26),COLUMN(AF26)))),
IF(AF12=0,0,-PMT(INDEX(Lookups!$E$17:$G$17,MATCH($C$4,Lookups!$E$14:$G$14,0)),AF12,SUMIFS('EE Inputs'!$W$9:$W$32,'EE Inputs'!$C$9:$C$32,$G$6,'EE Inputs'!$D$9:$D$32,$C$4,'EE Inputs'!$E$9:$E$32,$B26),0,1)))</f>
        <v>0</v>
      </c>
      <c r="AG26" s="65">
        <f ca="1">IF($C$4=Lookups!$D$40,SUM(INDIRECT("'Yr1'!"&amp;ADDRESS(ROW(AG26),COLUMN(AG26))),INDIRECT("'Yr2'!"&amp;ADDRESS(ROW(AG26),COLUMN(AG26))),INDIRECT("'Yr3'!"&amp;ADDRESS(ROW(AG26),COLUMN(AG26)))),
IF(AG12=0,0,-PMT(INDEX(Lookups!$E$17:$G$17,MATCH($C$4,Lookups!$E$14:$G$14,0)),AG12,SUMIFS('EE Inputs'!$W$9:$W$32,'EE Inputs'!$C$9:$C$32,$G$6,'EE Inputs'!$D$9:$D$32,$C$4,'EE Inputs'!$E$9:$E$32,$B26),0,1)))</f>
        <v>0</v>
      </c>
      <c r="AH26" s="65"/>
      <c r="AI26" s="65">
        <f ca="1">NPV(Lookups!$E$17,G26:AG26)</f>
        <v>713568.57507537992</v>
      </c>
      <c r="AJ26" s="65"/>
      <c r="AM26" s="72">
        <f ca="1">IF($C$4=Lookups!$D$40,SUM(INDIRECT("'Yr1'!"&amp;ADDRESS(ROW(AM26),COLUMN(AM26))),INDIRECT("'Yr2'!"&amp;ADDRESS(ROW(AM26),COLUMN(AM26))),INDIRECT("'Yr3'!"&amp;ADDRESS(ROW(AM26),COLUMN(AM26)))),
IF(AM12=0,0,-PMT(INDEX(Lookups!$E$17:$G$17,MATCH($C$4,Lookups!$E$14:$G$14,0)),AM12,SUMIFS('EE Inputs'!$W$9:$W$32,'EE Inputs'!$C$9:$C$32,$AM$6,'EE Inputs'!$D$9:$D$32,$C$4,'EE Inputs'!$E$9:$E$32,$B26),0,1)))</f>
        <v>20235.427574300622</v>
      </c>
      <c r="AN26" s="72">
        <f ca="1">IF($C$4=Lookups!$D$40,SUM(INDIRECT("'Yr1'!"&amp;ADDRESS(ROW(AN26),COLUMN(AN26))),INDIRECT("'Yr2'!"&amp;ADDRESS(ROW(AN26),COLUMN(AN26))),INDIRECT("'Yr3'!"&amp;ADDRESS(ROW(AN26),COLUMN(AN26)))),
IF(AN12=0,0,-PMT(INDEX(Lookups!$E$17:$G$17,MATCH($C$4,Lookups!$E$14:$G$14,0)),AN12,SUMIFS('EE Inputs'!$W$9:$W$32,'EE Inputs'!$C$9:$C$32,$AM$6,'EE Inputs'!$D$9:$D$32,$C$4,'EE Inputs'!$E$9:$E$32,$B26),0,1)))</f>
        <v>40721.564876127522</v>
      </c>
      <c r="AO26" s="72">
        <f ca="1">IF($C$4=Lookups!$D$40,SUM(INDIRECT("'Yr1'!"&amp;ADDRESS(ROW(AO26),COLUMN(AO26))),INDIRECT("'Yr2'!"&amp;ADDRESS(ROW(AO26),COLUMN(AO26))),INDIRECT("'Yr3'!"&amp;ADDRESS(ROW(AO26),COLUMN(AO26)))),
IF(AO12=0,0,-PMT(INDEX(Lookups!$E$17:$G$17,MATCH($C$4,Lookups!$E$14:$G$14,0)),AO12,SUMIFS('EE Inputs'!$W$9:$W$32,'EE Inputs'!$C$9:$C$32,$AM$6,'EE Inputs'!$D$9:$D$32,$C$4,'EE Inputs'!$E$9:$E$32,$B26),0,1)))</f>
        <v>61583.907839350075</v>
      </c>
      <c r="AP26" s="72">
        <f ca="1">IF($C$4=Lookups!$D$40,SUM(INDIRECT("'Yr1'!"&amp;ADDRESS(ROW(AP26),COLUMN(AP26))),INDIRECT("'Yr2'!"&amp;ADDRESS(ROW(AP26),COLUMN(AP26))),INDIRECT("'Yr3'!"&amp;ADDRESS(ROW(AP26),COLUMN(AP26)))),
IF(AP12=0,0,-PMT(INDEX(Lookups!$E$17:$G$17,MATCH($C$4,Lookups!$E$14:$G$14,0)),AP12,SUMIFS('EE Inputs'!$W$9:$W$32,'EE Inputs'!$C$9:$C$32,$AM$6,'EE Inputs'!$D$9:$D$32,$C$4,'EE Inputs'!$E$9:$E$32,$B26),0,1)))</f>
        <v>61583.907839350075</v>
      </c>
      <c r="AQ26" s="72">
        <f ca="1">IF($C$4=Lookups!$D$40,SUM(INDIRECT("'Yr1'!"&amp;ADDRESS(ROW(AQ26),COLUMN(AQ26))),INDIRECT("'Yr2'!"&amp;ADDRESS(ROW(AQ26),COLUMN(AQ26))),INDIRECT("'Yr3'!"&amp;ADDRESS(ROW(AQ26),COLUMN(AQ26)))),
IF(AQ12=0,0,-PMT(INDEX(Lookups!$E$17:$G$17,MATCH($C$4,Lookups!$E$14:$G$14,0)),AQ12,SUMIFS('EE Inputs'!$W$9:$W$32,'EE Inputs'!$C$9:$C$32,$AM$6,'EE Inputs'!$D$9:$D$32,$C$4,'EE Inputs'!$E$9:$E$32,$B26),0,1)))</f>
        <v>61583.907839350075</v>
      </c>
      <c r="AR26" s="72">
        <f ca="1">IF($C$4=Lookups!$D$40,SUM(INDIRECT("'Yr1'!"&amp;ADDRESS(ROW(AR26),COLUMN(AR26))),INDIRECT("'Yr2'!"&amp;ADDRESS(ROW(AR26),COLUMN(AR26))),INDIRECT("'Yr3'!"&amp;ADDRESS(ROW(AR26),COLUMN(AR26)))),
IF(AR12=0,0,-PMT(INDEX(Lookups!$E$17:$G$17,MATCH($C$4,Lookups!$E$14:$G$14,0)),AR12,SUMIFS('EE Inputs'!$W$9:$W$32,'EE Inputs'!$C$9:$C$32,$AM$6,'EE Inputs'!$D$9:$D$32,$C$4,'EE Inputs'!$E$9:$E$32,$B26),0,1)))</f>
        <v>61583.907839350075</v>
      </c>
      <c r="AS26" s="72">
        <f ca="1">IF($C$4=Lookups!$D$40,SUM(INDIRECT("'Yr1'!"&amp;ADDRESS(ROW(AS26),COLUMN(AS26))),INDIRECT("'Yr2'!"&amp;ADDRESS(ROW(AS26),COLUMN(AS26))),INDIRECT("'Yr3'!"&amp;ADDRESS(ROW(AS26),COLUMN(AS26)))),
IF(AS12=0,0,-PMT(INDEX(Lookups!$E$17:$G$17,MATCH($C$4,Lookups!$E$14:$G$14,0)),AS12,SUMIFS('EE Inputs'!$W$9:$W$32,'EE Inputs'!$C$9:$C$32,$AM$6,'EE Inputs'!$D$9:$D$32,$C$4,'EE Inputs'!$E$9:$E$32,$B26),0,1)))</f>
        <v>61583.907839350075</v>
      </c>
      <c r="AT26" s="72">
        <f ca="1">IF($C$4=Lookups!$D$40,SUM(INDIRECT("'Yr1'!"&amp;ADDRESS(ROW(AT26),COLUMN(AT26))),INDIRECT("'Yr2'!"&amp;ADDRESS(ROW(AT26),COLUMN(AT26))),INDIRECT("'Yr3'!"&amp;ADDRESS(ROW(AT26),COLUMN(AT26)))),
IF(AT12=0,0,-PMT(INDEX(Lookups!$E$17:$G$17,MATCH($C$4,Lookups!$E$14:$G$14,0)),AT12,SUMIFS('EE Inputs'!$W$9:$W$32,'EE Inputs'!$C$9:$C$32,$AM$6,'EE Inputs'!$D$9:$D$32,$C$4,'EE Inputs'!$E$9:$E$32,$B26),0,1)))</f>
        <v>61583.907839350075</v>
      </c>
      <c r="AU26" s="72">
        <f ca="1">IF($C$4=Lookups!$D$40,SUM(INDIRECT("'Yr1'!"&amp;ADDRESS(ROW(AU26),COLUMN(AU26))),INDIRECT("'Yr2'!"&amp;ADDRESS(ROW(AU26),COLUMN(AU26))),INDIRECT("'Yr3'!"&amp;ADDRESS(ROW(AU26),COLUMN(AU26)))),
IF(AU12=0,0,-PMT(INDEX(Lookups!$E$17:$G$17,MATCH($C$4,Lookups!$E$14:$G$14,0)),AU12,SUMIFS('EE Inputs'!$W$9:$W$32,'EE Inputs'!$C$9:$C$32,$AM$6,'EE Inputs'!$D$9:$D$32,$C$4,'EE Inputs'!$E$9:$E$32,$B26),0,1)))</f>
        <v>61583.907839350075</v>
      </c>
      <c r="AV26" s="72">
        <f ca="1">IF($C$4=Lookups!$D$40,SUM(INDIRECT("'Yr1'!"&amp;ADDRESS(ROW(AV26),COLUMN(AV26))),INDIRECT("'Yr2'!"&amp;ADDRESS(ROW(AV26),COLUMN(AV26))),INDIRECT("'Yr3'!"&amp;ADDRESS(ROW(AV26),COLUMN(AV26)))),
IF(AV12=0,0,-PMT(INDEX(Lookups!$E$17:$G$17,MATCH($C$4,Lookups!$E$14:$G$14,0)),AV12,SUMIFS('EE Inputs'!$W$9:$W$32,'EE Inputs'!$C$9:$C$32,$AM$6,'EE Inputs'!$D$9:$D$32,$C$4,'EE Inputs'!$E$9:$E$32,$B26),0,1)))</f>
        <v>61583.907839350075</v>
      </c>
      <c r="AW26" s="72">
        <f ca="1">IF($C$4=Lookups!$D$40,SUM(INDIRECT("'Yr1'!"&amp;ADDRESS(ROW(AW26),COLUMN(AW26))),INDIRECT("'Yr2'!"&amp;ADDRESS(ROW(AW26),COLUMN(AW26))),INDIRECT("'Yr3'!"&amp;ADDRESS(ROW(AW26),COLUMN(AW26)))),
IF(AW12=0,0,-PMT(INDEX(Lookups!$E$17:$G$17,MATCH($C$4,Lookups!$E$14:$G$14,0)),AW12,SUMIFS('EE Inputs'!$W$9:$W$32,'EE Inputs'!$C$9:$C$32,$AM$6,'EE Inputs'!$D$9:$D$32,$C$4,'EE Inputs'!$E$9:$E$32,$B26),0,1)))</f>
        <v>61583.907839350075</v>
      </c>
      <c r="AX26" s="72">
        <f ca="1">IF($C$4=Lookups!$D$40,SUM(INDIRECT("'Yr1'!"&amp;ADDRESS(ROW(AX26),COLUMN(AX26))),INDIRECT("'Yr2'!"&amp;ADDRESS(ROW(AX26),COLUMN(AX26))),INDIRECT("'Yr3'!"&amp;ADDRESS(ROW(AX26),COLUMN(AX26)))),
IF(AX12=0,0,-PMT(INDEX(Lookups!$E$17:$G$17,MATCH($C$4,Lookups!$E$14:$G$14,0)),AX12,SUMIFS('EE Inputs'!$W$9:$W$32,'EE Inputs'!$C$9:$C$32,$AM$6,'EE Inputs'!$D$9:$D$32,$C$4,'EE Inputs'!$E$9:$E$32,$B26),0,1)))</f>
        <v>61583.907839350075</v>
      </c>
      <c r="AY26" s="72">
        <f ca="1">IF($C$4=Lookups!$D$40,SUM(INDIRECT("'Yr1'!"&amp;ADDRESS(ROW(AY26),COLUMN(AY26))),INDIRECT("'Yr2'!"&amp;ADDRESS(ROW(AY26),COLUMN(AY26))),INDIRECT("'Yr3'!"&amp;ADDRESS(ROW(AY26),COLUMN(AY26)))),
IF(AY12=0,0,-PMT(INDEX(Lookups!$E$17:$G$17,MATCH($C$4,Lookups!$E$14:$G$14,0)),AY12,SUMIFS('EE Inputs'!$W$9:$W$32,'EE Inputs'!$C$9:$C$32,$AM$6,'EE Inputs'!$D$9:$D$32,$C$4,'EE Inputs'!$E$9:$E$32,$B26),0,1)))</f>
        <v>61583.907839350075</v>
      </c>
      <c r="AZ26" s="72">
        <f ca="1">IF($C$4=Lookups!$D$40,SUM(INDIRECT("'Yr1'!"&amp;ADDRESS(ROW(AZ26),COLUMN(AZ26))),INDIRECT("'Yr2'!"&amp;ADDRESS(ROW(AZ26),COLUMN(AZ26))),INDIRECT("'Yr3'!"&amp;ADDRESS(ROW(AZ26),COLUMN(AZ26)))),
IF(AZ12=0,0,-PMT(INDEX(Lookups!$E$17:$G$17,MATCH($C$4,Lookups!$E$14:$G$14,0)),AZ12,SUMIFS('EE Inputs'!$W$9:$W$32,'EE Inputs'!$C$9:$C$32,$AM$6,'EE Inputs'!$D$9:$D$32,$C$4,'EE Inputs'!$E$9:$E$32,$B26),0,1)))</f>
        <v>61583.907839350075</v>
      </c>
      <c r="BA26" s="72">
        <f ca="1">IF($C$4=Lookups!$D$40,SUM(INDIRECT("'Yr1'!"&amp;ADDRESS(ROW(BA26),COLUMN(BA26))),INDIRECT("'Yr2'!"&amp;ADDRESS(ROW(BA26),COLUMN(BA26))),INDIRECT("'Yr3'!"&amp;ADDRESS(ROW(BA26),COLUMN(BA26)))),
IF(BA12=0,0,-PMT(INDEX(Lookups!$E$17:$G$17,MATCH($C$4,Lookups!$E$14:$G$14,0)),BA12,SUMIFS('EE Inputs'!$W$9:$W$32,'EE Inputs'!$C$9:$C$32,$AM$6,'EE Inputs'!$D$9:$D$32,$C$4,'EE Inputs'!$E$9:$E$32,$B26),0,1)))</f>
        <v>61583.907839350075</v>
      </c>
      <c r="BB26" s="72">
        <f ca="1">IF($C$4=Lookups!$D$40,SUM(INDIRECT("'Yr1'!"&amp;ADDRESS(ROW(BB26),COLUMN(BB26))),INDIRECT("'Yr2'!"&amp;ADDRESS(ROW(BB26),COLUMN(BB26))),INDIRECT("'Yr3'!"&amp;ADDRESS(ROW(BB26),COLUMN(BB26)))),
IF(BB12=0,0,-PMT(INDEX(Lookups!$E$17:$G$17,MATCH($C$4,Lookups!$E$14:$G$14,0)),BB12,SUMIFS('EE Inputs'!$W$9:$W$32,'EE Inputs'!$C$9:$C$32,$AM$6,'EE Inputs'!$D$9:$D$32,$C$4,'EE Inputs'!$E$9:$E$32,$B26),0,1)))</f>
        <v>41348.480265049453</v>
      </c>
      <c r="BC26" s="72">
        <f ca="1">IF($C$4=Lookups!$D$40,SUM(INDIRECT("'Yr1'!"&amp;ADDRESS(ROW(BC26),COLUMN(BC26))),INDIRECT("'Yr2'!"&amp;ADDRESS(ROW(BC26),COLUMN(BC26))),INDIRECT("'Yr3'!"&amp;ADDRESS(ROW(BC26),COLUMN(BC26)))),
IF(BC12=0,0,-PMT(INDEX(Lookups!$E$17:$G$17,MATCH($C$4,Lookups!$E$14:$G$14,0)),BC12,SUMIFS('EE Inputs'!$W$9:$W$32,'EE Inputs'!$C$9:$C$32,$AM$6,'EE Inputs'!$D$9:$D$32,$C$4,'EE Inputs'!$E$9:$E$32,$B26),0,1)))</f>
        <v>20862.342963222552</v>
      </c>
      <c r="BD26" s="72">
        <f ca="1">IF($C$4=Lookups!$D$40,SUM(INDIRECT("'Yr1'!"&amp;ADDRESS(ROW(BD26),COLUMN(BD26))),INDIRECT("'Yr2'!"&amp;ADDRESS(ROW(BD26),COLUMN(BD26))),INDIRECT("'Yr3'!"&amp;ADDRESS(ROW(BD26),COLUMN(BD26)))),
IF(BD12=0,0,-PMT(INDEX(Lookups!$E$17:$G$17,MATCH($C$4,Lookups!$E$14:$G$14,0)),BD12,SUMIFS('EE Inputs'!$W$9:$W$32,'EE Inputs'!$C$9:$C$32,$AM$6,'EE Inputs'!$D$9:$D$32,$C$4,'EE Inputs'!$E$9:$E$32,$B26),0,1)))</f>
        <v>0</v>
      </c>
      <c r="BE26" s="72">
        <f ca="1">IF($C$4=Lookups!$D$40,SUM(INDIRECT("'Yr1'!"&amp;ADDRESS(ROW(BE26),COLUMN(BE26))),INDIRECT("'Yr2'!"&amp;ADDRESS(ROW(BE26),COLUMN(BE26))),INDIRECT("'Yr3'!"&amp;ADDRESS(ROW(BE26),COLUMN(BE26)))),
IF(BE12=0,0,-PMT(INDEX(Lookups!$E$17:$G$17,MATCH($C$4,Lookups!$E$14:$G$14,0)),BE12,SUMIFS('EE Inputs'!$W$9:$W$32,'EE Inputs'!$C$9:$C$32,$AM$6,'EE Inputs'!$D$9:$D$32,$C$4,'EE Inputs'!$E$9:$E$32,$B26),0,1)))</f>
        <v>0</v>
      </c>
      <c r="BF26" s="72">
        <f ca="1">IF($C$4=Lookups!$D$40,SUM(INDIRECT("'Yr1'!"&amp;ADDRESS(ROW(BF26),COLUMN(BF26))),INDIRECT("'Yr2'!"&amp;ADDRESS(ROW(BF26),COLUMN(BF26))),INDIRECT("'Yr3'!"&amp;ADDRESS(ROW(BF26),COLUMN(BF26)))),
IF(BF12=0,0,-PMT(INDEX(Lookups!$E$17:$G$17,MATCH($C$4,Lookups!$E$14:$G$14,0)),BF12,SUMIFS('EE Inputs'!$W$9:$W$32,'EE Inputs'!$C$9:$C$32,$AM$6,'EE Inputs'!$D$9:$D$32,$C$4,'EE Inputs'!$E$9:$E$32,$B26),0,1)))</f>
        <v>0</v>
      </c>
      <c r="BG26" s="72">
        <f ca="1">IF($C$4=Lookups!$D$40,SUM(INDIRECT("'Yr1'!"&amp;ADDRESS(ROW(BG26),COLUMN(BG26))),INDIRECT("'Yr2'!"&amp;ADDRESS(ROW(BG26),COLUMN(BG26))),INDIRECT("'Yr3'!"&amp;ADDRESS(ROW(BG26),COLUMN(BG26)))),
IF(BG12=0,0,-PMT(INDEX(Lookups!$E$17:$G$17,MATCH($C$4,Lookups!$E$14:$G$14,0)),BG12,SUMIFS('EE Inputs'!$W$9:$W$32,'EE Inputs'!$C$9:$C$32,$AM$6,'EE Inputs'!$D$9:$D$32,$C$4,'EE Inputs'!$E$9:$E$32,$B26),0,1)))</f>
        <v>0</v>
      </c>
      <c r="BH26" s="72">
        <f ca="1">IF($C$4=Lookups!$D$40,SUM(INDIRECT("'Yr1'!"&amp;ADDRESS(ROW(BH26),COLUMN(BH26))),INDIRECT("'Yr2'!"&amp;ADDRESS(ROW(BH26),COLUMN(BH26))),INDIRECT("'Yr3'!"&amp;ADDRESS(ROW(BH26),COLUMN(BH26)))),
IF(BH12=0,0,-PMT(INDEX(Lookups!$E$17:$G$17,MATCH($C$4,Lookups!$E$14:$G$14,0)),BH12,SUMIFS('EE Inputs'!$W$9:$W$32,'EE Inputs'!$C$9:$C$32,$AM$6,'EE Inputs'!$D$9:$D$32,$C$4,'EE Inputs'!$E$9:$E$32,$B26),0,1)))</f>
        <v>0</v>
      </c>
      <c r="BI26" s="72">
        <f ca="1">IF($C$4=Lookups!$D$40,SUM(INDIRECT("'Yr1'!"&amp;ADDRESS(ROW(BI26),COLUMN(BI26))),INDIRECT("'Yr2'!"&amp;ADDRESS(ROW(BI26),COLUMN(BI26))),INDIRECT("'Yr3'!"&amp;ADDRESS(ROW(BI26),COLUMN(BI26)))),
IF(BI12=0,0,-PMT(INDEX(Lookups!$E$17:$G$17,MATCH($C$4,Lookups!$E$14:$G$14,0)),BI12,SUMIFS('EE Inputs'!$W$9:$W$32,'EE Inputs'!$C$9:$C$32,$AM$6,'EE Inputs'!$D$9:$D$32,$C$4,'EE Inputs'!$E$9:$E$32,$B26),0,1)))</f>
        <v>0</v>
      </c>
      <c r="BJ26" s="72">
        <f ca="1">IF($C$4=Lookups!$D$40,SUM(INDIRECT("'Yr1'!"&amp;ADDRESS(ROW(BJ26),COLUMN(BJ26))),INDIRECT("'Yr2'!"&amp;ADDRESS(ROW(BJ26),COLUMN(BJ26))),INDIRECT("'Yr3'!"&amp;ADDRESS(ROW(BJ26),COLUMN(BJ26)))),
IF(BJ12=0,0,-PMT(INDEX(Lookups!$E$17:$G$17,MATCH($C$4,Lookups!$E$14:$G$14,0)),BJ12,SUMIFS('EE Inputs'!$W$9:$W$32,'EE Inputs'!$C$9:$C$32,$AM$6,'EE Inputs'!$D$9:$D$32,$C$4,'EE Inputs'!$E$9:$E$32,$B26),0,1)))</f>
        <v>0</v>
      </c>
      <c r="BK26" s="72">
        <f ca="1">IF($C$4=Lookups!$D$40,SUM(INDIRECT("'Yr1'!"&amp;ADDRESS(ROW(BK26),COLUMN(BK26))),INDIRECT("'Yr2'!"&amp;ADDRESS(ROW(BK26),COLUMN(BK26))),INDIRECT("'Yr3'!"&amp;ADDRESS(ROW(BK26),COLUMN(BK26)))),
IF(BK12=0,0,-PMT(INDEX(Lookups!$E$17:$G$17,MATCH($C$4,Lookups!$E$14:$G$14,0)),BK12,SUMIFS('EE Inputs'!$W$9:$W$32,'EE Inputs'!$C$9:$C$32,$AM$6,'EE Inputs'!$D$9:$D$32,$C$4,'EE Inputs'!$E$9:$E$32,$B26),0,1)))</f>
        <v>0</v>
      </c>
      <c r="BL26" s="72">
        <f ca="1">IF($C$4=Lookups!$D$40,SUM(INDIRECT("'Yr1'!"&amp;ADDRESS(ROW(BL26),COLUMN(BL26))),INDIRECT("'Yr2'!"&amp;ADDRESS(ROW(BL26),COLUMN(BL26))),INDIRECT("'Yr3'!"&amp;ADDRESS(ROW(BL26),COLUMN(BL26)))),
IF(BL12=0,0,-PMT(INDEX(Lookups!$E$17:$G$17,MATCH($C$4,Lookups!$E$14:$G$14,0)),BL12,SUMIFS('EE Inputs'!$W$9:$W$32,'EE Inputs'!$C$9:$C$32,$AM$6,'EE Inputs'!$D$9:$D$32,$C$4,'EE Inputs'!$E$9:$E$32,$B26),0,1)))</f>
        <v>0</v>
      </c>
      <c r="BM26" s="72">
        <f ca="1">IF($C$4=Lookups!$D$40,SUM(INDIRECT("'Yr1'!"&amp;ADDRESS(ROW(BM26),COLUMN(BM26))),INDIRECT("'Yr2'!"&amp;ADDRESS(ROW(BM26),COLUMN(BM26))),INDIRECT("'Yr3'!"&amp;ADDRESS(ROW(BM26),COLUMN(BM26)))),
IF(BM12=0,0,-PMT(INDEX(Lookups!$E$17:$G$17,MATCH($C$4,Lookups!$E$14:$G$14,0)),BM12,SUMIFS('EE Inputs'!$W$9:$W$32,'EE Inputs'!$C$9:$C$32,$AM$6,'EE Inputs'!$D$9:$D$32,$C$4,'EE Inputs'!$E$9:$E$32,$B26),0,1)))</f>
        <v>0</v>
      </c>
      <c r="BN26" s="72"/>
      <c r="BO26" s="72">
        <f ca="1">NPV(Lookups!$E$17,AM26:BM26)</f>
        <v>815506.94294329127</v>
      </c>
      <c r="BP26" s="72"/>
      <c r="BS26" s="84" t="s">
        <v>413</v>
      </c>
      <c r="BT26" s="51"/>
    </row>
    <row r="27" spans="1:72" x14ac:dyDescent="0.25">
      <c r="A27" s="246"/>
      <c r="B27" s="243" t="str">
        <f>B25</f>
        <v>Residential</v>
      </c>
      <c r="C27" s="243" t="str">
        <f>C25</f>
        <v>Revenue Requirements</v>
      </c>
      <c r="D27" s="244" t="str">
        <f>D25</f>
        <v>Avoided Costs</v>
      </c>
      <c r="E27" s="86" t="s">
        <v>175</v>
      </c>
      <c r="F27" s="84" t="s">
        <v>32</v>
      </c>
      <c r="G27" s="65">
        <f ca="1">IF($C$4=Lookups!$D$40,SUM(INDIRECT("'Yr1'!"&amp;ADDRESS(ROW(G27),COLUMN(G27))),INDIRECT("'Yr2'!"&amp;ADDRESS(ROW(G27),COLUMN(G27))),INDIRECT("'Yr3'!"&amp;ADDRESS(ROW(G27),COLUMN(G27)))),
IF(G12=0,0,-PMT(INDEX(Lookups!$E$17:$G$17,MATCH($C$4,Lookups!$E$14:$G$14,0)),G12,SUMIFS('EE Inputs'!$K$9:$K$32,'EE Inputs'!$C$9:$C$32,$G$6,'EE Inputs'!$D$9:$D$32,$C$4,'EE Inputs'!$E$9:$E$32,$B27),0,1)))</f>
        <v>11032.285868211145</v>
      </c>
      <c r="H27" s="65">
        <f ca="1">IF($C$4=Lookups!$D$40,SUM(INDIRECT("'Yr1'!"&amp;ADDRESS(ROW(H27),COLUMN(H27))),INDIRECT("'Yr2'!"&amp;ADDRESS(ROW(H27),COLUMN(H27))),INDIRECT("'Yr3'!"&amp;ADDRESS(ROW(H27),COLUMN(H27)))),
IF(H12=0,0,-PMT(INDEX(Lookups!$E$17:$G$17,MATCH($C$4,Lookups!$E$14:$G$14,0)),H12,SUMIFS('EE Inputs'!$K$9:$K$32,'EE Inputs'!$C$9:$C$32,$G$6,'EE Inputs'!$D$9:$D$32,$C$4,'EE Inputs'!$E$9:$E$32,$B27),0,1)))</f>
        <v>22144.855629866608</v>
      </c>
      <c r="I27" s="65">
        <f ca="1">IF($C$4=Lookups!$D$40,SUM(INDIRECT("'Yr1'!"&amp;ADDRESS(ROW(I27),COLUMN(I27))),INDIRECT("'Yr2'!"&amp;ADDRESS(ROW(I27),COLUMN(I27))),INDIRECT("'Yr3'!"&amp;ADDRESS(ROW(I27),COLUMN(I27)))),
IF(I12=0,0,-PMT(INDEX(Lookups!$E$17:$G$17,MATCH($C$4,Lookups!$E$14:$G$14,0)),I12,SUMIFS('EE Inputs'!$K$9:$K$32,'EE Inputs'!$C$9:$C$32,$G$6,'EE Inputs'!$D$9:$D$32,$C$4,'EE Inputs'!$E$9:$E$32,$B27),0,1)))</f>
        <v>33432.867874220101</v>
      </c>
      <c r="J27" s="65">
        <f ca="1">IF($C$4=Lookups!$D$40,SUM(INDIRECT("'Yr1'!"&amp;ADDRESS(ROW(J27),COLUMN(J27))),INDIRECT("'Yr2'!"&amp;ADDRESS(ROW(J27),COLUMN(J27))),INDIRECT("'Yr3'!"&amp;ADDRESS(ROW(J27),COLUMN(J27)))),
IF(J12=0,0,-PMT(INDEX(Lookups!$E$17:$G$17,MATCH($C$4,Lookups!$E$14:$G$14,0)),J12,SUMIFS('EE Inputs'!$K$9:$K$32,'EE Inputs'!$C$9:$C$32,$G$6,'EE Inputs'!$D$9:$D$32,$C$4,'EE Inputs'!$E$9:$E$32,$B27),0,1)))</f>
        <v>33432.867874220101</v>
      </c>
      <c r="K27" s="65">
        <f ca="1">IF($C$4=Lookups!$D$40,SUM(INDIRECT("'Yr1'!"&amp;ADDRESS(ROW(K27),COLUMN(K27))),INDIRECT("'Yr2'!"&amp;ADDRESS(ROW(K27),COLUMN(K27))),INDIRECT("'Yr3'!"&amp;ADDRESS(ROW(K27),COLUMN(K27)))),
IF(K12=0,0,-PMT(INDEX(Lookups!$E$17:$G$17,MATCH($C$4,Lookups!$E$14:$G$14,0)),K12,SUMIFS('EE Inputs'!$K$9:$K$32,'EE Inputs'!$C$9:$C$32,$G$6,'EE Inputs'!$D$9:$D$32,$C$4,'EE Inputs'!$E$9:$E$32,$B27),0,1)))</f>
        <v>33432.867874220101</v>
      </c>
      <c r="L27" s="65">
        <f ca="1">IF($C$4=Lookups!$D$40,SUM(INDIRECT("'Yr1'!"&amp;ADDRESS(ROW(L27),COLUMN(L27))),INDIRECT("'Yr2'!"&amp;ADDRESS(ROW(L27),COLUMN(L27))),INDIRECT("'Yr3'!"&amp;ADDRESS(ROW(L27),COLUMN(L27)))),
IF(L12=0,0,-PMT(INDEX(Lookups!$E$17:$G$17,MATCH($C$4,Lookups!$E$14:$G$14,0)),L12,SUMIFS('EE Inputs'!$K$9:$K$32,'EE Inputs'!$C$9:$C$32,$G$6,'EE Inputs'!$D$9:$D$32,$C$4,'EE Inputs'!$E$9:$E$32,$B27),0,1)))</f>
        <v>33432.867874220101</v>
      </c>
      <c r="M27" s="65">
        <f ca="1">IF($C$4=Lookups!$D$40,SUM(INDIRECT("'Yr1'!"&amp;ADDRESS(ROW(M27),COLUMN(M27))),INDIRECT("'Yr2'!"&amp;ADDRESS(ROW(M27),COLUMN(M27))),INDIRECT("'Yr3'!"&amp;ADDRESS(ROW(M27),COLUMN(M27)))),
IF(M12=0,0,-PMT(INDEX(Lookups!$E$17:$G$17,MATCH($C$4,Lookups!$E$14:$G$14,0)),M12,SUMIFS('EE Inputs'!$K$9:$K$32,'EE Inputs'!$C$9:$C$32,$G$6,'EE Inputs'!$D$9:$D$32,$C$4,'EE Inputs'!$E$9:$E$32,$B27),0,1)))</f>
        <v>33432.867874220101</v>
      </c>
      <c r="N27" s="65">
        <f ca="1">IF($C$4=Lookups!$D$40,SUM(INDIRECT("'Yr1'!"&amp;ADDRESS(ROW(N27),COLUMN(N27))),INDIRECT("'Yr2'!"&amp;ADDRESS(ROW(N27),COLUMN(N27))),INDIRECT("'Yr3'!"&amp;ADDRESS(ROW(N27),COLUMN(N27)))),
IF(N12=0,0,-PMT(INDEX(Lookups!$E$17:$G$17,MATCH($C$4,Lookups!$E$14:$G$14,0)),N12,SUMIFS('EE Inputs'!$K$9:$K$32,'EE Inputs'!$C$9:$C$32,$G$6,'EE Inputs'!$D$9:$D$32,$C$4,'EE Inputs'!$E$9:$E$32,$B27),0,1)))</f>
        <v>33432.867874220101</v>
      </c>
      <c r="O27" s="65">
        <f ca="1">IF($C$4=Lookups!$D$40,SUM(INDIRECT("'Yr1'!"&amp;ADDRESS(ROW(O27),COLUMN(O27))),INDIRECT("'Yr2'!"&amp;ADDRESS(ROW(O27),COLUMN(O27))),INDIRECT("'Yr3'!"&amp;ADDRESS(ROW(O27),COLUMN(O27)))),
IF(O12=0,0,-PMT(INDEX(Lookups!$E$17:$G$17,MATCH($C$4,Lookups!$E$14:$G$14,0)),O12,SUMIFS('EE Inputs'!$K$9:$K$32,'EE Inputs'!$C$9:$C$32,$G$6,'EE Inputs'!$D$9:$D$32,$C$4,'EE Inputs'!$E$9:$E$32,$B27),0,1)))</f>
        <v>33432.867874220101</v>
      </c>
      <c r="P27" s="65">
        <f ca="1">IF($C$4=Lookups!$D$40,SUM(INDIRECT("'Yr1'!"&amp;ADDRESS(ROW(P27),COLUMN(P27))),INDIRECT("'Yr2'!"&amp;ADDRESS(ROW(P27),COLUMN(P27))),INDIRECT("'Yr3'!"&amp;ADDRESS(ROW(P27),COLUMN(P27)))),
IF(P12=0,0,-PMT(INDEX(Lookups!$E$17:$G$17,MATCH($C$4,Lookups!$E$14:$G$14,0)),P12,SUMIFS('EE Inputs'!$K$9:$K$32,'EE Inputs'!$C$9:$C$32,$G$6,'EE Inputs'!$D$9:$D$32,$C$4,'EE Inputs'!$E$9:$E$32,$B27),0,1)))</f>
        <v>33432.867874220101</v>
      </c>
      <c r="Q27" s="65">
        <f ca="1">IF($C$4=Lookups!$D$40,SUM(INDIRECT("'Yr1'!"&amp;ADDRESS(ROW(Q27),COLUMN(Q27))),INDIRECT("'Yr2'!"&amp;ADDRESS(ROW(Q27),COLUMN(Q27))),INDIRECT("'Yr3'!"&amp;ADDRESS(ROW(Q27),COLUMN(Q27)))),
IF(Q12=0,0,-PMT(INDEX(Lookups!$E$17:$G$17,MATCH($C$4,Lookups!$E$14:$G$14,0)),Q12,SUMIFS('EE Inputs'!$K$9:$K$32,'EE Inputs'!$C$9:$C$32,$G$6,'EE Inputs'!$D$9:$D$32,$C$4,'EE Inputs'!$E$9:$E$32,$B27),0,1)))</f>
        <v>33432.867874220101</v>
      </c>
      <c r="R27" s="65">
        <f ca="1">IF($C$4=Lookups!$D$40,SUM(INDIRECT("'Yr1'!"&amp;ADDRESS(ROW(R27),COLUMN(R27))),INDIRECT("'Yr2'!"&amp;ADDRESS(ROW(R27),COLUMN(R27))),INDIRECT("'Yr3'!"&amp;ADDRESS(ROW(R27),COLUMN(R27)))),
IF(R12=0,0,-PMT(INDEX(Lookups!$E$17:$G$17,MATCH($C$4,Lookups!$E$14:$G$14,0)),R12,SUMIFS('EE Inputs'!$K$9:$K$32,'EE Inputs'!$C$9:$C$32,$G$6,'EE Inputs'!$D$9:$D$32,$C$4,'EE Inputs'!$E$9:$E$32,$B27),0,1)))</f>
        <v>33432.867874220101</v>
      </c>
      <c r="S27" s="65">
        <f ca="1">IF($C$4=Lookups!$D$40,SUM(INDIRECT("'Yr1'!"&amp;ADDRESS(ROW(S27),COLUMN(S27))),INDIRECT("'Yr2'!"&amp;ADDRESS(ROW(S27),COLUMN(S27))),INDIRECT("'Yr3'!"&amp;ADDRESS(ROW(S27),COLUMN(S27)))),
IF(S12=0,0,-PMT(INDEX(Lookups!$E$17:$G$17,MATCH($C$4,Lookups!$E$14:$G$14,0)),S12,SUMIFS('EE Inputs'!$K$9:$K$32,'EE Inputs'!$C$9:$C$32,$G$6,'EE Inputs'!$D$9:$D$32,$C$4,'EE Inputs'!$E$9:$E$32,$B27),0,1)))</f>
        <v>33432.867874220101</v>
      </c>
      <c r="T27" s="65">
        <f ca="1">IF($C$4=Lookups!$D$40,SUM(INDIRECT("'Yr1'!"&amp;ADDRESS(ROW(T27),COLUMN(T27))),INDIRECT("'Yr2'!"&amp;ADDRESS(ROW(T27),COLUMN(T27))),INDIRECT("'Yr3'!"&amp;ADDRESS(ROW(T27),COLUMN(T27)))),
IF(T12=0,0,-PMT(INDEX(Lookups!$E$17:$G$17,MATCH($C$4,Lookups!$E$14:$G$14,0)),T12,SUMIFS('EE Inputs'!$K$9:$K$32,'EE Inputs'!$C$9:$C$32,$G$6,'EE Inputs'!$D$9:$D$32,$C$4,'EE Inputs'!$E$9:$E$32,$B27),0,1)))</f>
        <v>33432.867874220101</v>
      </c>
      <c r="U27" s="65">
        <f ca="1">IF($C$4=Lookups!$D$40,SUM(INDIRECT("'Yr1'!"&amp;ADDRESS(ROW(U27),COLUMN(U27))),INDIRECT("'Yr2'!"&amp;ADDRESS(ROW(U27),COLUMN(U27))),INDIRECT("'Yr3'!"&amp;ADDRESS(ROW(U27),COLUMN(U27)))),
IF(U12=0,0,-PMT(INDEX(Lookups!$E$17:$G$17,MATCH($C$4,Lookups!$E$14:$G$14,0)),U12,SUMIFS('EE Inputs'!$K$9:$K$32,'EE Inputs'!$C$9:$C$32,$G$6,'EE Inputs'!$D$9:$D$32,$C$4,'EE Inputs'!$E$9:$E$32,$B27),0,1)))</f>
        <v>33432.867874220101</v>
      </c>
      <c r="V27" s="65">
        <f ca="1">IF($C$4=Lookups!$D$40,SUM(INDIRECT("'Yr1'!"&amp;ADDRESS(ROW(V27),COLUMN(V27))),INDIRECT("'Yr2'!"&amp;ADDRESS(ROW(V27),COLUMN(V27))),INDIRECT("'Yr3'!"&amp;ADDRESS(ROW(V27),COLUMN(V27)))),
IF(V12=0,0,-PMT(INDEX(Lookups!$E$17:$G$17,MATCH($C$4,Lookups!$E$14:$G$14,0)),V12,SUMIFS('EE Inputs'!$K$9:$K$32,'EE Inputs'!$C$9:$C$32,$G$6,'EE Inputs'!$D$9:$D$32,$C$4,'EE Inputs'!$E$9:$E$32,$B27),0,1)))</f>
        <v>22400.582006008954</v>
      </c>
      <c r="W27" s="65">
        <f ca="1">IF($C$4=Lookups!$D$40,SUM(INDIRECT("'Yr1'!"&amp;ADDRESS(ROW(W27),COLUMN(W27))),INDIRECT("'Yr2'!"&amp;ADDRESS(ROW(W27),COLUMN(W27))),INDIRECT("'Yr3'!"&amp;ADDRESS(ROW(W27),COLUMN(W27)))),
IF(W12=0,0,-PMT(INDEX(Lookups!$E$17:$G$17,MATCH($C$4,Lookups!$E$14:$G$14,0)),W12,SUMIFS('EE Inputs'!$K$9:$K$32,'EE Inputs'!$C$9:$C$32,$G$6,'EE Inputs'!$D$9:$D$32,$C$4,'EE Inputs'!$E$9:$E$32,$B27),0,1)))</f>
        <v>11288.012244353491</v>
      </c>
      <c r="X27" s="65">
        <f ca="1">IF($C$4=Lookups!$D$40,SUM(INDIRECT("'Yr1'!"&amp;ADDRESS(ROW(X27),COLUMN(X27))),INDIRECT("'Yr2'!"&amp;ADDRESS(ROW(X27),COLUMN(X27))),INDIRECT("'Yr3'!"&amp;ADDRESS(ROW(X27),COLUMN(X27)))),
IF(X12=0,0,-PMT(INDEX(Lookups!$E$17:$G$17,MATCH($C$4,Lookups!$E$14:$G$14,0)),X12,SUMIFS('EE Inputs'!$K$9:$K$32,'EE Inputs'!$C$9:$C$32,$G$6,'EE Inputs'!$D$9:$D$32,$C$4,'EE Inputs'!$E$9:$E$32,$B27),0,1)))</f>
        <v>0</v>
      </c>
      <c r="Y27" s="65">
        <f ca="1">IF($C$4=Lookups!$D$40,SUM(INDIRECT("'Yr1'!"&amp;ADDRESS(ROW(Y27),COLUMN(Y27))),INDIRECT("'Yr2'!"&amp;ADDRESS(ROW(Y27),COLUMN(Y27))),INDIRECT("'Yr3'!"&amp;ADDRESS(ROW(Y27),COLUMN(Y27)))),
IF(Y12=0,0,-PMT(INDEX(Lookups!$E$17:$G$17,MATCH($C$4,Lookups!$E$14:$G$14,0)),Y12,SUMIFS('EE Inputs'!$K$9:$K$32,'EE Inputs'!$C$9:$C$32,$G$6,'EE Inputs'!$D$9:$D$32,$C$4,'EE Inputs'!$E$9:$E$32,$B27),0,1)))</f>
        <v>0</v>
      </c>
      <c r="Z27" s="65">
        <f ca="1">IF($C$4=Lookups!$D$40,SUM(INDIRECT("'Yr1'!"&amp;ADDRESS(ROW(Z27),COLUMN(Z27))),INDIRECT("'Yr2'!"&amp;ADDRESS(ROW(Z27),COLUMN(Z27))),INDIRECT("'Yr3'!"&amp;ADDRESS(ROW(Z27),COLUMN(Z27)))),
IF(Z12=0,0,-PMT(INDEX(Lookups!$E$17:$G$17,MATCH($C$4,Lookups!$E$14:$G$14,0)),Z12,SUMIFS('EE Inputs'!$K$9:$K$32,'EE Inputs'!$C$9:$C$32,$G$6,'EE Inputs'!$D$9:$D$32,$C$4,'EE Inputs'!$E$9:$E$32,$B27),0,1)))</f>
        <v>0</v>
      </c>
      <c r="AA27" s="65">
        <f ca="1">IF($C$4=Lookups!$D$40,SUM(INDIRECT("'Yr1'!"&amp;ADDRESS(ROW(AA27),COLUMN(AA27))),INDIRECT("'Yr2'!"&amp;ADDRESS(ROW(AA27),COLUMN(AA27))),INDIRECT("'Yr3'!"&amp;ADDRESS(ROW(AA27),COLUMN(AA27)))),
IF(AA12=0,0,-PMT(INDEX(Lookups!$E$17:$G$17,MATCH($C$4,Lookups!$E$14:$G$14,0)),AA12,SUMIFS('EE Inputs'!$K$9:$K$32,'EE Inputs'!$C$9:$C$32,$G$6,'EE Inputs'!$D$9:$D$32,$C$4,'EE Inputs'!$E$9:$E$32,$B27),0,1)))</f>
        <v>0</v>
      </c>
      <c r="AB27" s="65">
        <f ca="1">IF($C$4=Lookups!$D$40,SUM(INDIRECT("'Yr1'!"&amp;ADDRESS(ROW(AB27),COLUMN(AB27))),INDIRECT("'Yr2'!"&amp;ADDRESS(ROW(AB27),COLUMN(AB27))),INDIRECT("'Yr3'!"&amp;ADDRESS(ROW(AB27),COLUMN(AB27)))),
IF(AB12=0,0,-PMT(INDEX(Lookups!$E$17:$G$17,MATCH($C$4,Lookups!$E$14:$G$14,0)),AB12,SUMIFS('EE Inputs'!$K$9:$K$32,'EE Inputs'!$C$9:$C$32,$G$6,'EE Inputs'!$D$9:$D$32,$C$4,'EE Inputs'!$E$9:$E$32,$B27),0,1)))</f>
        <v>0</v>
      </c>
      <c r="AC27" s="65">
        <f ca="1">IF($C$4=Lookups!$D$40,SUM(INDIRECT("'Yr1'!"&amp;ADDRESS(ROW(AC27),COLUMN(AC27))),INDIRECT("'Yr2'!"&amp;ADDRESS(ROW(AC27),COLUMN(AC27))),INDIRECT("'Yr3'!"&amp;ADDRESS(ROW(AC27),COLUMN(AC27)))),
IF(AC12=0,0,-PMT(INDEX(Lookups!$E$17:$G$17,MATCH($C$4,Lookups!$E$14:$G$14,0)),AC12,SUMIFS('EE Inputs'!$K$9:$K$32,'EE Inputs'!$C$9:$C$32,$G$6,'EE Inputs'!$D$9:$D$32,$C$4,'EE Inputs'!$E$9:$E$32,$B27),0,1)))</f>
        <v>0</v>
      </c>
      <c r="AD27" s="65">
        <f ca="1">IF($C$4=Lookups!$D$40,SUM(INDIRECT("'Yr1'!"&amp;ADDRESS(ROW(AD27),COLUMN(AD27))),INDIRECT("'Yr2'!"&amp;ADDRESS(ROW(AD27),COLUMN(AD27))),INDIRECT("'Yr3'!"&amp;ADDRESS(ROW(AD27),COLUMN(AD27)))),
IF(AD12=0,0,-PMT(INDEX(Lookups!$E$17:$G$17,MATCH($C$4,Lookups!$E$14:$G$14,0)),AD12,SUMIFS('EE Inputs'!$K$9:$K$32,'EE Inputs'!$C$9:$C$32,$G$6,'EE Inputs'!$D$9:$D$32,$C$4,'EE Inputs'!$E$9:$E$32,$B27),0,1)))</f>
        <v>0</v>
      </c>
      <c r="AE27" s="65">
        <f ca="1">IF($C$4=Lookups!$D$40,SUM(INDIRECT("'Yr1'!"&amp;ADDRESS(ROW(AE27),COLUMN(AE27))),INDIRECT("'Yr2'!"&amp;ADDRESS(ROW(AE27),COLUMN(AE27))),INDIRECT("'Yr3'!"&amp;ADDRESS(ROW(AE27),COLUMN(AE27)))),
IF(AE12=0,0,-PMT(INDEX(Lookups!$E$17:$G$17,MATCH($C$4,Lookups!$E$14:$G$14,0)),AE12,SUMIFS('EE Inputs'!$K$9:$K$32,'EE Inputs'!$C$9:$C$32,$G$6,'EE Inputs'!$D$9:$D$32,$C$4,'EE Inputs'!$E$9:$E$32,$B27),0,1)))</f>
        <v>0</v>
      </c>
      <c r="AF27" s="65">
        <f ca="1">IF($C$4=Lookups!$D$40,SUM(INDIRECT("'Yr1'!"&amp;ADDRESS(ROW(AF27),COLUMN(AF27))),INDIRECT("'Yr2'!"&amp;ADDRESS(ROW(AF27),COLUMN(AF27))),INDIRECT("'Yr3'!"&amp;ADDRESS(ROW(AF27),COLUMN(AF27)))),
IF(AF12=0,0,-PMT(INDEX(Lookups!$E$17:$G$17,MATCH($C$4,Lookups!$E$14:$G$14,0)),AF12,SUMIFS('EE Inputs'!$K$9:$K$32,'EE Inputs'!$C$9:$C$32,$G$6,'EE Inputs'!$D$9:$D$32,$C$4,'EE Inputs'!$E$9:$E$32,$B27),0,1)))</f>
        <v>0</v>
      </c>
      <c r="AG27" s="65">
        <f ca="1">IF($C$4=Lookups!$D$40,SUM(INDIRECT("'Yr1'!"&amp;ADDRESS(ROW(AG27),COLUMN(AG27))),INDIRECT("'Yr2'!"&amp;ADDRESS(ROW(AG27),COLUMN(AG27))),INDIRECT("'Yr3'!"&amp;ADDRESS(ROW(AG27),COLUMN(AG27)))),
IF(AG12=0,0,-PMT(INDEX(Lookups!$E$17:$G$17,MATCH($C$4,Lookups!$E$14:$G$14,0)),AG12,SUMIFS('EE Inputs'!$K$9:$K$32,'EE Inputs'!$C$9:$C$32,$G$6,'EE Inputs'!$D$9:$D$32,$C$4,'EE Inputs'!$E$9:$E$32,$B27),0,1)))</f>
        <v>0</v>
      </c>
      <c r="AH27" s="65"/>
      <c r="AI27" s="65">
        <f ca="1">NPV(Lookups!$E$17,G27:AG27)</f>
        <v>442740.75522401422</v>
      </c>
      <c r="AJ27" s="65"/>
      <c r="AM27" s="72">
        <f ca="1">IF($C$4=Lookups!$D$40,SUM(INDIRECT("'Yr1'!"&amp;ADDRESS(ROW(AM27),COLUMN(AM27))),INDIRECT("'Yr2'!"&amp;ADDRESS(ROW(AM27),COLUMN(AM27))),INDIRECT("'Yr3'!"&amp;ADDRESS(ROW(AM27),COLUMN(AM27)))),
IF(AM12=0,0,-PMT(INDEX(Lookups!$E$17:$G$17,MATCH($C$4,Lookups!$E$14:$G$14,0)),AM12,SUMIFS('EE Inputs'!$K$9:$K$32,'EE Inputs'!$C$9:$C$32,$AM$6,'EE Inputs'!$D$9:$D$32,$C$4,'EE Inputs'!$E$9:$E$32,$B27),0,1)))</f>
        <v>12608.326706527025</v>
      </c>
      <c r="AN27" s="72">
        <f ca="1">IF($C$4=Lookups!$D$40,SUM(INDIRECT("'Yr1'!"&amp;ADDRESS(ROW(AN27),COLUMN(AN27))),INDIRECT("'Yr2'!"&amp;ADDRESS(ROW(AN27),COLUMN(AN27))),INDIRECT("'Yr3'!"&amp;ADDRESS(ROW(AN27),COLUMN(AN27)))),
IF(AN12=0,0,-PMT(INDEX(Lookups!$E$17:$G$17,MATCH($C$4,Lookups!$E$14:$G$14,0)),AN12,SUMIFS('EE Inputs'!$K$9:$K$32,'EE Inputs'!$C$9:$C$32,$AM$6,'EE Inputs'!$D$9:$D$32,$C$4,'EE Inputs'!$E$9:$E$32,$B27),0,1)))</f>
        <v>25308.406434133267</v>
      </c>
      <c r="AO27" s="72">
        <f ca="1">IF($C$4=Lookups!$D$40,SUM(INDIRECT("'Yr1'!"&amp;ADDRESS(ROW(AO27),COLUMN(AO27))),INDIRECT("'Yr2'!"&amp;ADDRESS(ROW(AO27),COLUMN(AO27))),INDIRECT("'Yr3'!"&amp;ADDRESS(ROW(AO27),COLUMN(AO27)))),
IF(AO12=0,0,-PMT(INDEX(Lookups!$E$17:$G$17,MATCH($C$4,Lookups!$E$14:$G$14,0)),AO12,SUMIFS('EE Inputs'!$K$9:$K$32,'EE Inputs'!$C$9:$C$32,$AM$6,'EE Inputs'!$D$9:$D$32,$C$4,'EE Inputs'!$E$9:$E$32,$B27),0,1)))</f>
        <v>38208.991856251538</v>
      </c>
      <c r="AP27" s="72">
        <f ca="1">IF($C$4=Lookups!$D$40,SUM(INDIRECT("'Yr1'!"&amp;ADDRESS(ROW(AP27),COLUMN(AP27))),INDIRECT("'Yr2'!"&amp;ADDRESS(ROW(AP27),COLUMN(AP27))),INDIRECT("'Yr3'!"&amp;ADDRESS(ROW(AP27),COLUMN(AP27)))),
IF(AP12=0,0,-PMT(INDEX(Lookups!$E$17:$G$17,MATCH($C$4,Lookups!$E$14:$G$14,0)),AP12,SUMIFS('EE Inputs'!$K$9:$K$32,'EE Inputs'!$C$9:$C$32,$AM$6,'EE Inputs'!$D$9:$D$32,$C$4,'EE Inputs'!$E$9:$E$32,$B27),0,1)))</f>
        <v>38208.991856251538</v>
      </c>
      <c r="AQ27" s="72">
        <f ca="1">IF($C$4=Lookups!$D$40,SUM(INDIRECT("'Yr1'!"&amp;ADDRESS(ROW(AQ27),COLUMN(AQ27))),INDIRECT("'Yr2'!"&amp;ADDRESS(ROW(AQ27),COLUMN(AQ27))),INDIRECT("'Yr3'!"&amp;ADDRESS(ROW(AQ27),COLUMN(AQ27)))),
IF(AQ12=0,0,-PMT(INDEX(Lookups!$E$17:$G$17,MATCH($C$4,Lookups!$E$14:$G$14,0)),AQ12,SUMIFS('EE Inputs'!$K$9:$K$32,'EE Inputs'!$C$9:$C$32,$AM$6,'EE Inputs'!$D$9:$D$32,$C$4,'EE Inputs'!$E$9:$E$32,$B27),0,1)))</f>
        <v>38208.991856251538</v>
      </c>
      <c r="AR27" s="72">
        <f ca="1">IF($C$4=Lookups!$D$40,SUM(INDIRECT("'Yr1'!"&amp;ADDRESS(ROW(AR27),COLUMN(AR27))),INDIRECT("'Yr2'!"&amp;ADDRESS(ROW(AR27),COLUMN(AR27))),INDIRECT("'Yr3'!"&amp;ADDRESS(ROW(AR27),COLUMN(AR27)))),
IF(AR12=0,0,-PMT(INDEX(Lookups!$E$17:$G$17,MATCH($C$4,Lookups!$E$14:$G$14,0)),AR12,SUMIFS('EE Inputs'!$K$9:$K$32,'EE Inputs'!$C$9:$C$32,$AM$6,'EE Inputs'!$D$9:$D$32,$C$4,'EE Inputs'!$E$9:$E$32,$B27),0,1)))</f>
        <v>38208.991856251538</v>
      </c>
      <c r="AS27" s="72">
        <f ca="1">IF($C$4=Lookups!$D$40,SUM(INDIRECT("'Yr1'!"&amp;ADDRESS(ROW(AS27),COLUMN(AS27))),INDIRECT("'Yr2'!"&amp;ADDRESS(ROW(AS27),COLUMN(AS27))),INDIRECT("'Yr3'!"&amp;ADDRESS(ROW(AS27),COLUMN(AS27)))),
IF(AS12=0,0,-PMT(INDEX(Lookups!$E$17:$G$17,MATCH($C$4,Lookups!$E$14:$G$14,0)),AS12,SUMIFS('EE Inputs'!$K$9:$K$32,'EE Inputs'!$C$9:$C$32,$AM$6,'EE Inputs'!$D$9:$D$32,$C$4,'EE Inputs'!$E$9:$E$32,$B27),0,1)))</f>
        <v>38208.991856251538</v>
      </c>
      <c r="AT27" s="72">
        <f ca="1">IF($C$4=Lookups!$D$40,SUM(INDIRECT("'Yr1'!"&amp;ADDRESS(ROW(AT27),COLUMN(AT27))),INDIRECT("'Yr2'!"&amp;ADDRESS(ROW(AT27),COLUMN(AT27))),INDIRECT("'Yr3'!"&amp;ADDRESS(ROW(AT27),COLUMN(AT27)))),
IF(AT12=0,0,-PMT(INDEX(Lookups!$E$17:$G$17,MATCH($C$4,Lookups!$E$14:$G$14,0)),AT12,SUMIFS('EE Inputs'!$K$9:$K$32,'EE Inputs'!$C$9:$C$32,$AM$6,'EE Inputs'!$D$9:$D$32,$C$4,'EE Inputs'!$E$9:$E$32,$B27),0,1)))</f>
        <v>38208.991856251538</v>
      </c>
      <c r="AU27" s="72">
        <f ca="1">IF($C$4=Lookups!$D$40,SUM(INDIRECT("'Yr1'!"&amp;ADDRESS(ROW(AU27),COLUMN(AU27))),INDIRECT("'Yr2'!"&amp;ADDRESS(ROW(AU27),COLUMN(AU27))),INDIRECT("'Yr3'!"&amp;ADDRESS(ROW(AU27),COLUMN(AU27)))),
IF(AU12=0,0,-PMT(INDEX(Lookups!$E$17:$G$17,MATCH($C$4,Lookups!$E$14:$G$14,0)),AU12,SUMIFS('EE Inputs'!$K$9:$K$32,'EE Inputs'!$C$9:$C$32,$AM$6,'EE Inputs'!$D$9:$D$32,$C$4,'EE Inputs'!$E$9:$E$32,$B27),0,1)))</f>
        <v>38208.991856251538</v>
      </c>
      <c r="AV27" s="72">
        <f ca="1">IF($C$4=Lookups!$D$40,SUM(INDIRECT("'Yr1'!"&amp;ADDRESS(ROW(AV27),COLUMN(AV27))),INDIRECT("'Yr2'!"&amp;ADDRESS(ROW(AV27),COLUMN(AV27))),INDIRECT("'Yr3'!"&amp;ADDRESS(ROW(AV27),COLUMN(AV27)))),
IF(AV12=0,0,-PMT(INDEX(Lookups!$E$17:$G$17,MATCH($C$4,Lookups!$E$14:$G$14,0)),AV12,SUMIFS('EE Inputs'!$K$9:$K$32,'EE Inputs'!$C$9:$C$32,$AM$6,'EE Inputs'!$D$9:$D$32,$C$4,'EE Inputs'!$E$9:$E$32,$B27),0,1)))</f>
        <v>38208.991856251538</v>
      </c>
      <c r="AW27" s="72">
        <f ca="1">IF($C$4=Lookups!$D$40,SUM(INDIRECT("'Yr1'!"&amp;ADDRESS(ROW(AW27),COLUMN(AW27))),INDIRECT("'Yr2'!"&amp;ADDRESS(ROW(AW27),COLUMN(AW27))),INDIRECT("'Yr3'!"&amp;ADDRESS(ROW(AW27),COLUMN(AW27)))),
IF(AW12=0,0,-PMT(INDEX(Lookups!$E$17:$G$17,MATCH($C$4,Lookups!$E$14:$G$14,0)),AW12,SUMIFS('EE Inputs'!$K$9:$K$32,'EE Inputs'!$C$9:$C$32,$AM$6,'EE Inputs'!$D$9:$D$32,$C$4,'EE Inputs'!$E$9:$E$32,$B27),0,1)))</f>
        <v>38208.991856251538</v>
      </c>
      <c r="AX27" s="72">
        <f ca="1">IF($C$4=Lookups!$D$40,SUM(INDIRECT("'Yr1'!"&amp;ADDRESS(ROW(AX27),COLUMN(AX27))),INDIRECT("'Yr2'!"&amp;ADDRESS(ROW(AX27),COLUMN(AX27))),INDIRECT("'Yr3'!"&amp;ADDRESS(ROW(AX27),COLUMN(AX27)))),
IF(AX12=0,0,-PMT(INDEX(Lookups!$E$17:$G$17,MATCH($C$4,Lookups!$E$14:$G$14,0)),AX12,SUMIFS('EE Inputs'!$K$9:$K$32,'EE Inputs'!$C$9:$C$32,$AM$6,'EE Inputs'!$D$9:$D$32,$C$4,'EE Inputs'!$E$9:$E$32,$B27),0,1)))</f>
        <v>38208.991856251538</v>
      </c>
      <c r="AY27" s="72">
        <f ca="1">IF($C$4=Lookups!$D$40,SUM(INDIRECT("'Yr1'!"&amp;ADDRESS(ROW(AY27),COLUMN(AY27))),INDIRECT("'Yr2'!"&amp;ADDRESS(ROW(AY27),COLUMN(AY27))),INDIRECT("'Yr3'!"&amp;ADDRESS(ROW(AY27),COLUMN(AY27)))),
IF(AY12=0,0,-PMT(INDEX(Lookups!$E$17:$G$17,MATCH($C$4,Lookups!$E$14:$G$14,0)),AY12,SUMIFS('EE Inputs'!$K$9:$K$32,'EE Inputs'!$C$9:$C$32,$AM$6,'EE Inputs'!$D$9:$D$32,$C$4,'EE Inputs'!$E$9:$E$32,$B27),0,1)))</f>
        <v>38208.991856251538</v>
      </c>
      <c r="AZ27" s="72">
        <f ca="1">IF($C$4=Lookups!$D$40,SUM(INDIRECT("'Yr1'!"&amp;ADDRESS(ROW(AZ27),COLUMN(AZ27))),INDIRECT("'Yr2'!"&amp;ADDRESS(ROW(AZ27),COLUMN(AZ27))),INDIRECT("'Yr3'!"&amp;ADDRESS(ROW(AZ27),COLUMN(AZ27)))),
IF(AZ12=0,0,-PMT(INDEX(Lookups!$E$17:$G$17,MATCH($C$4,Lookups!$E$14:$G$14,0)),AZ12,SUMIFS('EE Inputs'!$K$9:$K$32,'EE Inputs'!$C$9:$C$32,$AM$6,'EE Inputs'!$D$9:$D$32,$C$4,'EE Inputs'!$E$9:$E$32,$B27),0,1)))</f>
        <v>38208.991856251538</v>
      </c>
      <c r="BA27" s="72">
        <f ca="1">IF($C$4=Lookups!$D$40,SUM(INDIRECT("'Yr1'!"&amp;ADDRESS(ROW(BA27),COLUMN(BA27))),INDIRECT("'Yr2'!"&amp;ADDRESS(ROW(BA27),COLUMN(BA27))),INDIRECT("'Yr3'!"&amp;ADDRESS(ROW(BA27),COLUMN(BA27)))),
IF(BA12=0,0,-PMT(INDEX(Lookups!$E$17:$G$17,MATCH($C$4,Lookups!$E$14:$G$14,0)),BA12,SUMIFS('EE Inputs'!$K$9:$K$32,'EE Inputs'!$C$9:$C$32,$AM$6,'EE Inputs'!$D$9:$D$32,$C$4,'EE Inputs'!$E$9:$E$32,$B27),0,1)))</f>
        <v>38208.991856251538</v>
      </c>
      <c r="BB27" s="72">
        <f ca="1">IF($C$4=Lookups!$D$40,SUM(INDIRECT("'Yr1'!"&amp;ADDRESS(ROW(BB27),COLUMN(BB27))),INDIRECT("'Yr2'!"&amp;ADDRESS(ROW(BB27),COLUMN(BB27))),INDIRECT("'Yr3'!"&amp;ADDRESS(ROW(BB27),COLUMN(BB27)))),
IF(BB12=0,0,-PMT(INDEX(Lookups!$E$17:$G$17,MATCH($C$4,Lookups!$E$14:$G$14,0)),BB12,SUMIFS('EE Inputs'!$K$9:$K$32,'EE Inputs'!$C$9:$C$32,$AM$6,'EE Inputs'!$D$9:$D$32,$C$4,'EE Inputs'!$E$9:$E$32,$B27),0,1)))</f>
        <v>25600.665149724518</v>
      </c>
      <c r="BC27" s="72">
        <f ca="1">IF($C$4=Lookups!$D$40,SUM(INDIRECT("'Yr1'!"&amp;ADDRESS(ROW(BC27),COLUMN(BC27))),INDIRECT("'Yr2'!"&amp;ADDRESS(ROW(BC27),COLUMN(BC27))),INDIRECT("'Yr3'!"&amp;ADDRESS(ROW(BC27),COLUMN(BC27)))),
IF(BC12=0,0,-PMT(INDEX(Lookups!$E$17:$G$17,MATCH($C$4,Lookups!$E$14:$G$14,0)),BC12,SUMIFS('EE Inputs'!$K$9:$K$32,'EE Inputs'!$C$9:$C$32,$AM$6,'EE Inputs'!$D$9:$D$32,$C$4,'EE Inputs'!$E$9:$E$32,$B27),0,1)))</f>
        <v>12900.585422118274</v>
      </c>
      <c r="BD27" s="72">
        <f ca="1">IF($C$4=Lookups!$D$40,SUM(INDIRECT("'Yr1'!"&amp;ADDRESS(ROW(BD27),COLUMN(BD27))),INDIRECT("'Yr2'!"&amp;ADDRESS(ROW(BD27),COLUMN(BD27))),INDIRECT("'Yr3'!"&amp;ADDRESS(ROW(BD27),COLUMN(BD27)))),
IF(BD12=0,0,-PMT(INDEX(Lookups!$E$17:$G$17,MATCH($C$4,Lookups!$E$14:$G$14,0)),BD12,SUMIFS('EE Inputs'!$K$9:$K$32,'EE Inputs'!$C$9:$C$32,$AM$6,'EE Inputs'!$D$9:$D$32,$C$4,'EE Inputs'!$E$9:$E$32,$B27),0,1)))</f>
        <v>0</v>
      </c>
      <c r="BE27" s="72">
        <f ca="1">IF($C$4=Lookups!$D$40,SUM(INDIRECT("'Yr1'!"&amp;ADDRESS(ROW(BE27),COLUMN(BE27))),INDIRECT("'Yr2'!"&amp;ADDRESS(ROW(BE27),COLUMN(BE27))),INDIRECT("'Yr3'!"&amp;ADDRESS(ROW(BE27),COLUMN(BE27)))),
IF(BE12=0,0,-PMT(INDEX(Lookups!$E$17:$G$17,MATCH($C$4,Lookups!$E$14:$G$14,0)),BE12,SUMIFS('EE Inputs'!$K$9:$K$32,'EE Inputs'!$C$9:$C$32,$AM$6,'EE Inputs'!$D$9:$D$32,$C$4,'EE Inputs'!$E$9:$E$32,$B27),0,1)))</f>
        <v>0</v>
      </c>
      <c r="BF27" s="72">
        <f ca="1">IF($C$4=Lookups!$D$40,SUM(INDIRECT("'Yr1'!"&amp;ADDRESS(ROW(BF27),COLUMN(BF27))),INDIRECT("'Yr2'!"&amp;ADDRESS(ROW(BF27),COLUMN(BF27))),INDIRECT("'Yr3'!"&amp;ADDRESS(ROW(BF27),COLUMN(BF27)))),
IF(BF12=0,0,-PMT(INDEX(Lookups!$E$17:$G$17,MATCH($C$4,Lookups!$E$14:$G$14,0)),BF12,SUMIFS('EE Inputs'!$K$9:$K$32,'EE Inputs'!$C$9:$C$32,$AM$6,'EE Inputs'!$D$9:$D$32,$C$4,'EE Inputs'!$E$9:$E$32,$B27),0,1)))</f>
        <v>0</v>
      </c>
      <c r="BG27" s="72">
        <f ca="1">IF($C$4=Lookups!$D$40,SUM(INDIRECT("'Yr1'!"&amp;ADDRESS(ROW(BG27),COLUMN(BG27))),INDIRECT("'Yr2'!"&amp;ADDRESS(ROW(BG27),COLUMN(BG27))),INDIRECT("'Yr3'!"&amp;ADDRESS(ROW(BG27),COLUMN(BG27)))),
IF(BG12=0,0,-PMT(INDEX(Lookups!$E$17:$G$17,MATCH($C$4,Lookups!$E$14:$G$14,0)),BG12,SUMIFS('EE Inputs'!$K$9:$K$32,'EE Inputs'!$C$9:$C$32,$AM$6,'EE Inputs'!$D$9:$D$32,$C$4,'EE Inputs'!$E$9:$E$32,$B27),0,1)))</f>
        <v>0</v>
      </c>
      <c r="BH27" s="72">
        <f ca="1">IF($C$4=Lookups!$D$40,SUM(INDIRECT("'Yr1'!"&amp;ADDRESS(ROW(BH27),COLUMN(BH27))),INDIRECT("'Yr2'!"&amp;ADDRESS(ROW(BH27),COLUMN(BH27))),INDIRECT("'Yr3'!"&amp;ADDRESS(ROW(BH27),COLUMN(BH27)))),
IF(BH12=0,0,-PMT(INDEX(Lookups!$E$17:$G$17,MATCH($C$4,Lookups!$E$14:$G$14,0)),BH12,SUMIFS('EE Inputs'!$K$9:$K$32,'EE Inputs'!$C$9:$C$32,$AM$6,'EE Inputs'!$D$9:$D$32,$C$4,'EE Inputs'!$E$9:$E$32,$B27),0,1)))</f>
        <v>0</v>
      </c>
      <c r="BI27" s="72">
        <f ca="1">IF($C$4=Lookups!$D$40,SUM(INDIRECT("'Yr1'!"&amp;ADDRESS(ROW(BI27),COLUMN(BI27))),INDIRECT("'Yr2'!"&amp;ADDRESS(ROW(BI27),COLUMN(BI27))),INDIRECT("'Yr3'!"&amp;ADDRESS(ROW(BI27),COLUMN(BI27)))),
IF(BI12=0,0,-PMT(INDEX(Lookups!$E$17:$G$17,MATCH($C$4,Lookups!$E$14:$G$14,0)),BI12,SUMIFS('EE Inputs'!$K$9:$K$32,'EE Inputs'!$C$9:$C$32,$AM$6,'EE Inputs'!$D$9:$D$32,$C$4,'EE Inputs'!$E$9:$E$32,$B27),0,1)))</f>
        <v>0</v>
      </c>
      <c r="BJ27" s="72">
        <f ca="1">IF($C$4=Lookups!$D$40,SUM(INDIRECT("'Yr1'!"&amp;ADDRESS(ROW(BJ27),COLUMN(BJ27))),INDIRECT("'Yr2'!"&amp;ADDRESS(ROW(BJ27),COLUMN(BJ27))),INDIRECT("'Yr3'!"&amp;ADDRESS(ROW(BJ27),COLUMN(BJ27)))),
IF(BJ12=0,0,-PMT(INDEX(Lookups!$E$17:$G$17,MATCH($C$4,Lookups!$E$14:$G$14,0)),BJ12,SUMIFS('EE Inputs'!$K$9:$K$32,'EE Inputs'!$C$9:$C$32,$AM$6,'EE Inputs'!$D$9:$D$32,$C$4,'EE Inputs'!$E$9:$E$32,$B27),0,1)))</f>
        <v>0</v>
      </c>
      <c r="BK27" s="72">
        <f ca="1">IF($C$4=Lookups!$D$40,SUM(INDIRECT("'Yr1'!"&amp;ADDRESS(ROW(BK27),COLUMN(BK27))),INDIRECT("'Yr2'!"&amp;ADDRESS(ROW(BK27),COLUMN(BK27))),INDIRECT("'Yr3'!"&amp;ADDRESS(ROW(BK27),COLUMN(BK27)))),
IF(BK12=0,0,-PMT(INDEX(Lookups!$E$17:$G$17,MATCH($C$4,Lookups!$E$14:$G$14,0)),BK12,SUMIFS('EE Inputs'!$K$9:$K$32,'EE Inputs'!$C$9:$C$32,$AM$6,'EE Inputs'!$D$9:$D$32,$C$4,'EE Inputs'!$E$9:$E$32,$B27),0,1)))</f>
        <v>0</v>
      </c>
      <c r="BL27" s="72">
        <f ca="1">IF($C$4=Lookups!$D$40,SUM(INDIRECT("'Yr1'!"&amp;ADDRESS(ROW(BL27),COLUMN(BL27))),INDIRECT("'Yr2'!"&amp;ADDRESS(ROW(BL27),COLUMN(BL27))),INDIRECT("'Yr3'!"&amp;ADDRESS(ROW(BL27),COLUMN(BL27)))),
IF(BL12=0,0,-PMT(INDEX(Lookups!$E$17:$G$17,MATCH($C$4,Lookups!$E$14:$G$14,0)),BL12,SUMIFS('EE Inputs'!$K$9:$K$32,'EE Inputs'!$C$9:$C$32,$AM$6,'EE Inputs'!$D$9:$D$32,$C$4,'EE Inputs'!$E$9:$E$32,$B27),0,1)))</f>
        <v>0</v>
      </c>
      <c r="BM27" s="72">
        <f ca="1">IF($C$4=Lookups!$D$40,SUM(INDIRECT("'Yr1'!"&amp;ADDRESS(ROW(BM27),COLUMN(BM27))),INDIRECT("'Yr2'!"&amp;ADDRESS(ROW(BM27),COLUMN(BM27))),INDIRECT("'Yr3'!"&amp;ADDRESS(ROW(BM27),COLUMN(BM27)))),
IF(BM12=0,0,-PMT(INDEX(Lookups!$E$17:$G$17,MATCH($C$4,Lookups!$E$14:$G$14,0)),BM12,SUMIFS('EE Inputs'!$K$9:$K$32,'EE Inputs'!$C$9:$C$32,$AM$6,'EE Inputs'!$D$9:$D$32,$C$4,'EE Inputs'!$E$9:$E$32,$B27),0,1)))</f>
        <v>0</v>
      </c>
      <c r="BN27" s="72"/>
      <c r="BO27" s="72">
        <f ca="1">NPV(Lookups!$E$17,AM27:BM27)</f>
        <v>505989.4345417305</v>
      </c>
      <c r="BP27" s="72"/>
      <c r="BS27" s="84" t="str">
        <f>"Avoided "&amp;E27&amp;" costs."</f>
        <v>Avoided Gas DRIPE costs.</v>
      </c>
      <c r="BT27" s="51" t="s">
        <v>17</v>
      </c>
    </row>
    <row r="28" spans="1:72" x14ac:dyDescent="0.25">
      <c r="B28" s="243" t="str">
        <f t="shared" ref="B28:C39" si="13">B27</f>
        <v>Residential</v>
      </c>
      <c r="C28" s="243" t="str">
        <f t="shared" si="13"/>
        <v>Revenue Requirements</v>
      </c>
      <c r="D28" s="114" t="s">
        <v>165</v>
      </c>
      <c r="E28" s="84"/>
      <c r="F28" s="84"/>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65"/>
      <c r="AJ28" s="65"/>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S28" s="84"/>
      <c r="BT28" s="51" t="s">
        <v>17</v>
      </c>
    </row>
    <row r="29" spans="1:72" x14ac:dyDescent="0.25">
      <c r="A29" s="476"/>
      <c r="B29" s="243" t="str">
        <f t="shared" si="13"/>
        <v>Residential</v>
      </c>
      <c r="C29" s="243" t="str">
        <f t="shared" si="13"/>
        <v>Revenue Requirements</v>
      </c>
      <c r="D29" s="244" t="str">
        <f>D28</f>
        <v>Increased Costs and Cost Shifting</v>
      </c>
      <c r="E29" s="84" t="s">
        <v>406</v>
      </c>
      <c r="F29" s="84" t="s">
        <v>32</v>
      </c>
      <c r="G29" s="64">
        <f ca="1">IF($C$4=Lookups!$D$40,SUM(INDIRECT("'Yr1'!"&amp;ADDRESS(ROW(G29),COLUMN(G29))),INDIRECT("'Yr2'!"&amp;ADDRESS(ROW(G29),COLUMN(G29))),INDIRECT("'Yr3'!"&amp;ADDRESS(ROW(G29),COLUMN(G29)))),
IF($C$4=G$7,G49*G17,0))</f>
        <v>3761523.4813367617</v>
      </c>
      <c r="H29" s="64">
        <f ca="1">IF($C$4=Lookups!$D$40,SUM(INDIRECT("'Yr1'!"&amp;ADDRESS(ROW(H29),COLUMN(H29))),INDIRECT("'Yr2'!"&amp;ADDRESS(ROW(H29),COLUMN(H29))),INDIRECT("'Yr3'!"&amp;ADDRESS(ROW(H29),COLUMN(H29)))),
IF($C$4=H$7,H49*H17,0))</f>
        <v>3875610.9189323569</v>
      </c>
      <c r="I29" s="64">
        <f ca="1">IF($C$4=Lookups!$D$40,SUM(INDIRECT("'Yr1'!"&amp;ADDRESS(ROW(I29),COLUMN(I29))),INDIRECT("'Yr2'!"&amp;ADDRESS(ROW(I29),COLUMN(I29))),INDIRECT("'Yr3'!"&amp;ADDRESS(ROW(I29),COLUMN(I29)))),
IF($C$4=I$7,I49*I17,0))</f>
        <v>3999065.2930370485</v>
      </c>
      <c r="J29" s="64">
        <f ca="1">IF($C$4=Lookups!$D$40,SUM(INDIRECT("'Yr1'!"&amp;ADDRESS(ROW(J29),COLUMN(J29))),INDIRECT("'Yr2'!"&amp;ADDRESS(ROW(J29),COLUMN(J29))),INDIRECT("'Yr3'!"&amp;ADDRESS(ROW(J29),COLUMN(J29)))),
IF($C$4=J$7,J49*J17,0))</f>
        <v>0</v>
      </c>
      <c r="K29" s="64">
        <f ca="1">IF($C$4=Lookups!$D$40,SUM(INDIRECT("'Yr1'!"&amp;ADDRESS(ROW(K29),COLUMN(K29))),INDIRECT("'Yr2'!"&amp;ADDRESS(ROW(K29),COLUMN(K29))),INDIRECT("'Yr3'!"&amp;ADDRESS(ROW(K29),COLUMN(K29)))),
IF($C$4=K$7,K49*K17,0))</f>
        <v>0</v>
      </c>
      <c r="L29" s="64">
        <f ca="1">IF($C$4=Lookups!$D$40,SUM(INDIRECT("'Yr1'!"&amp;ADDRESS(ROW(L29),COLUMN(L29))),INDIRECT("'Yr2'!"&amp;ADDRESS(ROW(L29),COLUMN(L29))),INDIRECT("'Yr3'!"&amp;ADDRESS(ROW(L29),COLUMN(L29)))),
IF($C$4=L$7,L49*L17,0))</f>
        <v>0</v>
      </c>
      <c r="M29" s="64">
        <f ca="1">IF($C$4=Lookups!$D$40,SUM(INDIRECT("'Yr1'!"&amp;ADDRESS(ROW(M29),COLUMN(M29))),INDIRECT("'Yr2'!"&amp;ADDRESS(ROW(M29),COLUMN(M29))),INDIRECT("'Yr3'!"&amp;ADDRESS(ROW(M29),COLUMN(M29)))),
IF($C$4=M$7,M49*M17,0))</f>
        <v>0</v>
      </c>
      <c r="N29" s="64">
        <f ca="1">IF($C$4=Lookups!$D$40,SUM(INDIRECT("'Yr1'!"&amp;ADDRESS(ROW(N29),COLUMN(N29))),INDIRECT("'Yr2'!"&amp;ADDRESS(ROW(N29),COLUMN(N29))),INDIRECT("'Yr3'!"&amp;ADDRESS(ROW(N29),COLUMN(N29)))),
IF($C$4=N$7,N49*N17,0))</f>
        <v>0</v>
      </c>
      <c r="O29" s="64">
        <f ca="1">IF($C$4=Lookups!$D$40,SUM(INDIRECT("'Yr1'!"&amp;ADDRESS(ROW(O29),COLUMN(O29))),INDIRECT("'Yr2'!"&amp;ADDRESS(ROW(O29),COLUMN(O29))),INDIRECT("'Yr3'!"&amp;ADDRESS(ROW(O29),COLUMN(O29)))),
IF($C$4=O$7,O49*O17,0))</f>
        <v>0</v>
      </c>
      <c r="P29" s="64">
        <f ca="1">IF($C$4=Lookups!$D$40,SUM(INDIRECT("'Yr1'!"&amp;ADDRESS(ROW(P29),COLUMN(P29))),INDIRECT("'Yr2'!"&amp;ADDRESS(ROW(P29),COLUMN(P29))),INDIRECT("'Yr3'!"&amp;ADDRESS(ROW(P29),COLUMN(P29)))),
IF($C$4=P$7,P49*P17,0))</f>
        <v>0</v>
      </c>
      <c r="Q29" s="64">
        <f ca="1">IF($C$4=Lookups!$D$40,SUM(INDIRECT("'Yr1'!"&amp;ADDRESS(ROW(Q29),COLUMN(Q29))),INDIRECT("'Yr2'!"&amp;ADDRESS(ROW(Q29),COLUMN(Q29))),INDIRECT("'Yr3'!"&amp;ADDRESS(ROW(Q29),COLUMN(Q29)))),
IF($C$4=Q$7,Q49*Q17,0))</f>
        <v>0</v>
      </c>
      <c r="R29" s="64">
        <f ca="1">IF($C$4=Lookups!$D$40,SUM(INDIRECT("'Yr1'!"&amp;ADDRESS(ROW(R29),COLUMN(R29))),INDIRECT("'Yr2'!"&amp;ADDRESS(ROW(R29),COLUMN(R29))),INDIRECT("'Yr3'!"&amp;ADDRESS(ROW(R29),COLUMN(R29)))),
IF($C$4=R$7,R49*R17,0))</f>
        <v>0</v>
      </c>
      <c r="S29" s="64">
        <f ca="1">IF($C$4=Lookups!$D$40,SUM(INDIRECT("'Yr1'!"&amp;ADDRESS(ROW(S29),COLUMN(S29))),INDIRECT("'Yr2'!"&amp;ADDRESS(ROW(S29),COLUMN(S29))),INDIRECT("'Yr3'!"&amp;ADDRESS(ROW(S29),COLUMN(S29)))),
IF($C$4=S$7,S49*S17,0))</f>
        <v>0</v>
      </c>
      <c r="T29" s="64">
        <f ca="1">IF($C$4=Lookups!$D$40,SUM(INDIRECT("'Yr1'!"&amp;ADDRESS(ROW(T29),COLUMN(T29))),INDIRECT("'Yr2'!"&amp;ADDRESS(ROW(T29),COLUMN(T29))),INDIRECT("'Yr3'!"&amp;ADDRESS(ROW(T29),COLUMN(T29)))),
IF($C$4=T$7,T49*T17,0))</f>
        <v>0</v>
      </c>
      <c r="U29" s="64">
        <f ca="1">IF($C$4=Lookups!$D$40,SUM(INDIRECT("'Yr1'!"&amp;ADDRESS(ROW(U29),COLUMN(U29))),INDIRECT("'Yr2'!"&amp;ADDRESS(ROW(U29),COLUMN(U29))),INDIRECT("'Yr3'!"&amp;ADDRESS(ROW(U29),COLUMN(U29)))),
IF($C$4=U$7,U49*U17,0))</f>
        <v>0</v>
      </c>
      <c r="V29" s="64">
        <f ca="1">IF($C$4=Lookups!$D$40,SUM(INDIRECT("'Yr1'!"&amp;ADDRESS(ROW(V29),COLUMN(V29))),INDIRECT("'Yr2'!"&amp;ADDRESS(ROW(V29),COLUMN(V29))),INDIRECT("'Yr3'!"&amp;ADDRESS(ROW(V29),COLUMN(V29)))),
IF($C$4=V$7,V49*V17,0))</f>
        <v>0</v>
      </c>
      <c r="W29" s="64">
        <f ca="1">IF($C$4=Lookups!$D$40,SUM(INDIRECT("'Yr1'!"&amp;ADDRESS(ROW(W29),COLUMN(W29))),INDIRECT("'Yr2'!"&amp;ADDRESS(ROW(W29),COLUMN(W29))),INDIRECT("'Yr3'!"&amp;ADDRESS(ROW(W29),COLUMN(W29)))),
IF($C$4=W$7,W49*W17,0))</f>
        <v>0</v>
      </c>
      <c r="X29" s="64">
        <f ca="1">IF($C$4=Lookups!$D$40,SUM(INDIRECT("'Yr1'!"&amp;ADDRESS(ROW(X29),COLUMN(X29))),INDIRECT("'Yr2'!"&amp;ADDRESS(ROW(X29),COLUMN(X29))),INDIRECT("'Yr3'!"&amp;ADDRESS(ROW(X29),COLUMN(X29)))),
IF($C$4=X$7,X49*X17,0))</f>
        <v>0</v>
      </c>
      <c r="Y29" s="64">
        <f ca="1">IF($C$4=Lookups!$D$40,SUM(INDIRECT("'Yr1'!"&amp;ADDRESS(ROW(Y29),COLUMN(Y29))),INDIRECT("'Yr2'!"&amp;ADDRESS(ROW(Y29),COLUMN(Y29))),INDIRECT("'Yr3'!"&amp;ADDRESS(ROW(Y29),COLUMN(Y29)))),
IF($C$4=Y$7,Y49*Y17,0))</f>
        <v>0</v>
      </c>
      <c r="Z29" s="64">
        <f ca="1">IF($C$4=Lookups!$D$40,SUM(INDIRECT("'Yr1'!"&amp;ADDRESS(ROW(Z29),COLUMN(Z29))),INDIRECT("'Yr2'!"&amp;ADDRESS(ROW(Z29),COLUMN(Z29))),INDIRECT("'Yr3'!"&amp;ADDRESS(ROW(Z29),COLUMN(Z29)))),
IF($C$4=Z$7,Z49*Z17,0))</f>
        <v>0</v>
      </c>
      <c r="AA29" s="64">
        <f ca="1">IF($C$4=Lookups!$D$40,SUM(INDIRECT("'Yr1'!"&amp;ADDRESS(ROW(AA29),COLUMN(AA29))),INDIRECT("'Yr2'!"&amp;ADDRESS(ROW(AA29),COLUMN(AA29))),INDIRECT("'Yr3'!"&amp;ADDRESS(ROW(AA29),COLUMN(AA29)))),
IF($C$4=AA$7,AA49*AA17,0))</f>
        <v>0</v>
      </c>
      <c r="AB29" s="64">
        <f ca="1">IF($C$4=Lookups!$D$40,SUM(INDIRECT("'Yr1'!"&amp;ADDRESS(ROW(AB29),COLUMN(AB29))),INDIRECT("'Yr2'!"&amp;ADDRESS(ROW(AB29),COLUMN(AB29))),INDIRECT("'Yr3'!"&amp;ADDRESS(ROW(AB29),COLUMN(AB29)))),
IF($C$4=AB$7,AB49*AB17,0))</f>
        <v>0</v>
      </c>
      <c r="AC29" s="64">
        <f ca="1">IF($C$4=Lookups!$D$40,SUM(INDIRECT("'Yr1'!"&amp;ADDRESS(ROW(AC29),COLUMN(AC29))),INDIRECT("'Yr2'!"&amp;ADDRESS(ROW(AC29),COLUMN(AC29))),INDIRECT("'Yr3'!"&amp;ADDRESS(ROW(AC29),COLUMN(AC29)))),
IF($C$4=AC$7,AC49*AC17,0))</f>
        <v>0</v>
      </c>
      <c r="AD29" s="64">
        <f ca="1">IF($C$4=Lookups!$D$40,SUM(INDIRECT("'Yr1'!"&amp;ADDRESS(ROW(AD29),COLUMN(AD29))),INDIRECT("'Yr2'!"&amp;ADDRESS(ROW(AD29),COLUMN(AD29))),INDIRECT("'Yr3'!"&amp;ADDRESS(ROW(AD29),COLUMN(AD29)))),
IF($C$4=AD$7,AD49*AD17,0))</f>
        <v>0</v>
      </c>
      <c r="AE29" s="64">
        <f ca="1">IF($C$4=Lookups!$D$40,SUM(INDIRECT("'Yr1'!"&amp;ADDRESS(ROW(AE29),COLUMN(AE29))),INDIRECT("'Yr2'!"&amp;ADDRESS(ROW(AE29),COLUMN(AE29))),INDIRECT("'Yr3'!"&amp;ADDRESS(ROW(AE29),COLUMN(AE29)))),
IF($C$4=AE$7,AE49*AE17,0))</f>
        <v>0</v>
      </c>
      <c r="AF29" s="64">
        <f ca="1">IF($C$4=Lookups!$D$40,SUM(INDIRECT("'Yr1'!"&amp;ADDRESS(ROW(AF29),COLUMN(AF29))),INDIRECT("'Yr2'!"&amp;ADDRESS(ROW(AF29),COLUMN(AF29))),INDIRECT("'Yr3'!"&amp;ADDRESS(ROW(AF29),COLUMN(AF29)))),
IF($C$4=AF$7,AF49*AF17,0))</f>
        <v>0</v>
      </c>
      <c r="AG29" s="64">
        <f ca="1">IF($C$4=Lookups!$D$40,SUM(INDIRECT("'Yr1'!"&amp;ADDRESS(ROW(AG29),COLUMN(AG29))),INDIRECT("'Yr2'!"&amp;ADDRESS(ROW(AG29),COLUMN(AG29))),INDIRECT("'Yr3'!"&amp;ADDRESS(ROW(AG29),COLUMN(AG29)))),
IF($C$4=AG$7,AG49*AG17,0))</f>
        <v>0</v>
      </c>
      <c r="AH29" s="49"/>
      <c r="AI29" s="65">
        <f ca="1">NPV(Lookups!$E$17,G29:AG29)</f>
        <v>11311389.453891071</v>
      </c>
      <c r="AJ29" s="65"/>
      <c r="AM29" s="71">
        <f ca="1">IF($C$4=Lookups!$D$40,SUM(INDIRECT("'Yr1'!"&amp;ADDRESS(ROW(AM29),COLUMN(AM29))),INDIRECT("'Yr2'!"&amp;ADDRESS(ROW(AM29),COLUMN(AM29))),INDIRECT("'Yr3'!"&amp;ADDRESS(ROW(AM29),COLUMN(AM29)))),
IF($C$4=AM$7,AM49*AM17,0))</f>
        <v>4509664.8616729081</v>
      </c>
      <c r="AN29" s="71">
        <f ca="1">IF($C$4=Lookups!$D$40,SUM(INDIRECT("'Yr1'!"&amp;ADDRESS(ROW(AN29),COLUMN(AN29))),INDIRECT("'Yr2'!"&amp;ADDRESS(ROW(AN29),COLUMN(AN29))),INDIRECT("'Yr3'!"&amp;ADDRESS(ROW(AN29),COLUMN(AN29)))),
IF($C$4=AN$7,AN49*AN17,0))</f>
        <v>4646385.3671142701</v>
      </c>
      <c r="AO29" s="71">
        <f ca="1">IF($C$4=Lookups!$D$40,SUM(INDIRECT("'Yr1'!"&amp;ADDRESS(ROW(AO29),COLUMN(AO29))),INDIRECT("'Yr2'!"&amp;ADDRESS(ROW(AO29),COLUMN(AO29))),INDIRECT("'Yr3'!"&amp;ADDRESS(ROW(AO29),COLUMN(AO29)))),
IF($C$4=AO$7,AO49*AO17,0))</f>
        <v>4794307.2344148261</v>
      </c>
      <c r="AP29" s="71">
        <f ca="1">IF($C$4=Lookups!$D$40,SUM(INDIRECT("'Yr1'!"&amp;ADDRESS(ROW(AP29),COLUMN(AP29))),INDIRECT("'Yr2'!"&amp;ADDRESS(ROW(AP29),COLUMN(AP29))),INDIRECT("'Yr3'!"&amp;ADDRESS(ROW(AP29),COLUMN(AP29)))),
IF($C$4=AP$7,AP49*AP17,0))</f>
        <v>0</v>
      </c>
      <c r="AQ29" s="71">
        <f ca="1">IF($C$4=Lookups!$D$40,SUM(INDIRECT("'Yr1'!"&amp;ADDRESS(ROW(AQ29),COLUMN(AQ29))),INDIRECT("'Yr2'!"&amp;ADDRESS(ROW(AQ29),COLUMN(AQ29))),INDIRECT("'Yr3'!"&amp;ADDRESS(ROW(AQ29),COLUMN(AQ29)))),
IF($C$4=AQ$7,AQ49*AQ17,0))</f>
        <v>0</v>
      </c>
      <c r="AR29" s="71">
        <f ca="1">IF($C$4=Lookups!$D$40,SUM(INDIRECT("'Yr1'!"&amp;ADDRESS(ROW(AR29),COLUMN(AR29))),INDIRECT("'Yr2'!"&amp;ADDRESS(ROW(AR29),COLUMN(AR29))),INDIRECT("'Yr3'!"&amp;ADDRESS(ROW(AR29),COLUMN(AR29)))),
IF($C$4=AR$7,AR49*AR17,0))</f>
        <v>0</v>
      </c>
      <c r="AS29" s="71">
        <f ca="1">IF($C$4=Lookups!$D$40,SUM(INDIRECT("'Yr1'!"&amp;ADDRESS(ROW(AS29),COLUMN(AS29))),INDIRECT("'Yr2'!"&amp;ADDRESS(ROW(AS29),COLUMN(AS29))),INDIRECT("'Yr3'!"&amp;ADDRESS(ROW(AS29),COLUMN(AS29)))),
IF($C$4=AS$7,AS49*AS17,0))</f>
        <v>0</v>
      </c>
      <c r="AT29" s="71">
        <f ca="1">IF($C$4=Lookups!$D$40,SUM(INDIRECT("'Yr1'!"&amp;ADDRESS(ROW(AT29),COLUMN(AT29))),INDIRECT("'Yr2'!"&amp;ADDRESS(ROW(AT29),COLUMN(AT29))),INDIRECT("'Yr3'!"&amp;ADDRESS(ROW(AT29),COLUMN(AT29)))),
IF($C$4=AT$7,AT49*AT17,0))</f>
        <v>0</v>
      </c>
      <c r="AU29" s="71">
        <f ca="1">IF($C$4=Lookups!$D$40,SUM(INDIRECT("'Yr1'!"&amp;ADDRESS(ROW(AU29),COLUMN(AU29))),INDIRECT("'Yr2'!"&amp;ADDRESS(ROW(AU29),COLUMN(AU29))),INDIRECT("'Yr3'!"&amp;ADDRESS(ROW(AU29),COLUMN(AU29)))),
IF($C$4=AU$7,AU49*AU17,0))</f>
        <v>0</v>
      </c>
      <c r="AV29" s="71">
        <f ca="1">IF($C$4=Lookups!$D$40,SUM(INDIRECT("'Yr1'!"&amp;ADDRESS(ROW(AV29),COLUMN(AV29))),INDIRECT("'Yr2'!"&amp;ADDRESS(ROW(AV29),COLUMN(AV29))),INDIRECT("'Yr3'!"&amp;ADDRESS(ROW(AV29),COLUMN(AV29)))),
IF($C$4=AV$7,AV49*AV17,0))</f>
        <v>0</v>
      </c>
      <c r="AW29" s="71">
        <f ca="1">IF($C$4=Lookups!$D$40,SUM(INDIRECT("'Yr1'!"&amp;ADDRESS(ROW(AW29),COLUMN(AW29))),INDIRECT("'Yr2'!"&amp;ADDRESS(ROW(AW29),COLUMN(AW29))),INDIRECT("'Yr3'!"&amp;ADDRESS(ROW(AW29),COLUMN(AW29)))),
IF($C$4=AW$7,AW49*AW17,0))</f>
        <v>0</v>
      </c>
      <c r="AX29" s="71">
        <f ca="1">IF($C$4=Lookups!$D$40,SUM(INDIRECT("'Yr1'!"&amp;ADDRESS(ROW(AX29),COLUMN(AX29))),INDIRECT("'Yr2'!"&amp;ADDRESS(ROW(AX29),COLUMN(AX29))),INDIRECT("'Yr3'!"&amp;ADDRESS(ROW(AX29),COLUMN(AX29)))),
IF($C$4=AX$7,AX49*AX17,0))</f>
        <v>0</v>
      </c>
      <c r="AY29" s="71">
        <f ca="1">IF($C$4=Lookups!$D$40,SUM(INDIRECT("'Yr1'!"&amp;ADDRESS(ROW(AY29),COLUMN(AY29))),INDIRECT("'Yr2'!"&amp;ADDRESS(ROW(AY29),COLUMN(AY29))),INDIRECT("'Yr3'!"&amp;ADDRESS(ROW(AY29),COLUMN(AY29)))),
IF($C$4=AY$7,AY49*AY17,0))</f>
        <v>0</v>
      </c>
      <c r="AZ29" s="71">
        <f ca="1">IF($C$4=Lookups!$D$40,SUM(INDIRECT("'Yr1'!"&amp;ADDRESS(ROW(AZ29),COLUMN(AZ29))),INDIRECT("'Yr2'!"&amp;ADDRESS(ROW(AZ29),COLUMN(AZ29))),INDIRECT("'Yr3'!"&amp;ADDRESS(ROW(AZ29),COLUMN(AZ29)))),
IF($C$4=AZ$7,AZ49*AZ17,0))</f>
        <v>0</v>
      </c>
      <c r="BA29" s="71">
        <f ca="1">IF($C$4=Lookups!$D$40,SUM(INDIRECT("'Yr1'!"&amp;ADDRESS(ROW(BA29),COLUMN(BA29))),INDIRECT("'Yr2'!"&amp;ADDRESS(ROW(BA29),COLUMN(BA29))),INDIRECT("'Yr3'!"&amp;ADDRESS(ROW(BA29),COLUMN(BA29)))),
IF($C$4=BA$7,BA49*BA17,0))</f>
        <v>0</v>
      </c>
      <c r="BB29" s="71">
        <f ca="1">IF($C$4=Lookups!$D$40,SUM(INDIRECT("'Yr1'!"&amp;ADDRESS(ROW(BB29),COLUMN(BB29))),INDIRECT("'Yr2'!"&amp;ADDRESS(ROW(BB29),COLUMN(BB29))),INDIRECT("'Yr3'!"&amp;ADDRESS(ROW(BB29),COLUMN(BB29)))),
IF($C$4=BB$7,BB49*BB17,0))</f>
        <v>0</v>
      </c>
      <c r="BC29" s="71">
        <f ca="1">IF($C$4=Lookups!$D$40,SUM(INDIRECT("'Yr1'!"&amp;ADDRESS(ROW(BC29),COLUMN(BC29))),INDIRECT("'Yr2'!"&amp;ADDRESS(ROW(BC29),COLUMN(BC29))),INDIRECT("'Yr3'!"&amp;ADDRESS(ROW(BC29),COLUMN(BC29)))),
IF($C$4=BC$7,BC49*BC17,0))</f>
        <v>0</v>
      </c>
      <c r="BD29" s="71">
        <f ca="1">IF($C$4=Lookups!$D$40,SUM(INDIRECT("'Yr1'!"&amp;ADDRESS(ROW(BD29),COLUMN(BD29))),INDIRECT("'Yr2'!"&amp;ADDRESS(ROW(BD29),COLUMN(BD29))),INDIRECT("'Yr3'!"&amp;ADDRESS(ROW(BD29),COLUMN(BD29)))),
IF($C$4=BD$7,BD49*BD17,0))</f>
        <v>0</v>
      </c>
      <c r="BE29" s="71">
        <f ca="1">IF($C$4=Lookups!$D$40,SUM(INDIRECT("'Yr1'!"&amp;ADDRESS(ROW(BE29),COLUMN(BE29))),INDIRECT("'Yr2'!"&amp;ADDRESS(ROW(BE29),COLUMN(BE29))),INDIRECT("'Yr3'!"&amp;ADDRESS(ROW(BE29),COLUMN(BE29)))),
IF($C$4=BE$7,BE49*BE17,0))</f>
        <v>0</v>
      </c>
      <c r="BF29" s="71">
        <f ca="1">IF($C$4=Lookups!$D$40,SUM(INDIRECT("'Yr1'!"&amp;ADDRESS(ROW(BF29),COLUMN(BF29))),INDIRECT("'Yr2'!"&amp;ADDRESS(ROW(BF29),COLUMN(BF29))),INDIRECT("'Yr3'!"&amp;ADDRESS(ROW(BF29),COLUMN(BF29)))),
IF($C$4=BF$7,BF49*BF17,0))</f>
        <v>0</v>
      </c>
      <c r="BG29" s="71">
        <f ca="1">IF($C$4=Lookups!$D$40,SUM(INDIRECT("'Yr1'!"&amp;ADDRESS(ROW(BG29),COLUMN(BG29))),INDIRECT("'Yr2'!"&amp;ADDRESS(ROW(BG29),COLUMN(BG29))),INDIRECT("'Yr3'!"&amp;ADDRESS(ROW(BG29),COLUMN(BG29)))),
IF($C$4=BG$7,BG49*BG17,0))</f>
        <v>0</v>
      </c>
      <c r="BH29" s="71">
        <f ca="1">IF($C$4=Lookups!$D$40,SUM(INDIRECT("'Yr1'!"&amp;ADDRESS(ROW(BH29),COLUMN(BH29))),INDIRECT("'Yr2'!"&amp;ADDRESS(ROW(BH29),COLUMN(BH29))),INDIRECT("'Yr3'!"&amp;ADDRESS(ROW(BH29),COLUMN(BH29)))),
IF($C$4=BH$7,BH49*BH17,0))</f>
        <v>0</v>
      </c>
      <c r="BI29" s="71">
        <f ca="1">IF($C$4=Lookups!$D$40,SUM(INDIRECT("'Yr1'!"&amp;ADDRESS(ROW(BI29),COLUMN(BI29))),INDIRECT("'Yr2'!"&amp;ADDRESS(ROW(BI29),COLUMN(BI29))),INDIRECT("'Yr3'!"&amp;ADDRESS(ROW(BI29),COLUMN(BI29)))),
IF($C$4=BI$7,BI49*BI17,0))</f>
        <v>0</v>
      </c>
      <c r="BJ29" s="71">
        <f ca="1">IF($C$4=Lookups!$D$40,SUM(INDIRECT("'Yr1'!"&amp;ADDRESS(ROW(BJ29),COLUMN(BJ29))),INDIRECT("'Yr2'!"&amp;ADDRESS(ROW(BJ29),COLUMN(BJ29))),INDIRECT("'Yr3'!"&amp;ADDRESS(ROW(BJ29),COLUMN(BJ29)))),
IF($C$4=BJ$7,BJ49*BJ17,0))</f>
        <v>0</v>
      </c>
      <c r="BK29" s="71">
        <f ca="1">IF($C$4=Lookups!$D$40,SUM(INDIRECT("'Yr1'!"&amp;ADDRESS(ROW(BK29),COLUMN(BK29))),INDIRECT("'Yr2'!"&amp;ADDRESS(ROW(BK29),COLUMN(BK29))),INDIRECT("'Yr3'!"&amp;ADDRESS(ROW(BK29),COLUMN(BK29)))),
IF($C$4=BK$7,BK49*BK17,0))</f>
        <v>0</v>
      </c>
      <c r="BL29" s="71">
        <f ca="1">IF($C$4=Lookups!$D$40,SUM(INDIRECT("'Yr1'!"&amp;ADDRESS(ROW(BL29),COLUMN(BL29))),INDIRECT("'Yr2'!"&amp;ADDRESS(ROW(BL29),COLUMN(BL29))),INDIRECT("'Yr3'!"&amp;ADDRESS(ROW(BL29),COLUMN(BL29)))),
IF($C$4=BL$7,BL49*BL17,0))</f>
        <v>0</v>
      </c>
      <c r="BM29" s="71">
        <f ca="1">IF($C$4=Lookups!$D$40,SUM(INDIRECT("'Yr1'!"&amp;ADDRESS(ROW(BM29),COLUMN(BM29))),INDIRECT("'Yr2'!"&amp;ADDRESS(ROW(BM29),COLUMN(BM29))),INDIRECT("'Yr3'!"&amp;ADDRESS(ROW(BM29),COLUMN(BM29)))),
IF($C$4=BM$7,BM49*BM17,0))</f>
        <v>0</v>
      </c>
      <c r="BN29" s="71"/>
      <c r="BO29" s="71">
        <f ca="1">NPV(Lookups!$E$17,AM29:BM29)</f>
        <v>13560952.269697202</v>
      </c>
      <c r="BP29" s="72"/>
      <c r="BS29" s="84" t="str">
        <f>E29&amp;" rate multiplied by After DSM sales."</f>
        <v>LDAC, EE Only rate multiplied by After DSM sales.</v>
      </c>
      <c r="BT29" s="51" t="s">
        <v>17</v>
      </c>
    </row>
    <row r="30" spans="1:72" x14ac:dyDescent="0.25">
      <c r="A30" s="476"/>
      <c r="B30" s="243" t="str">
        <f t="shared" si="13"/>
        <v>Residential</v>
      </c>
      <c r="C30" s="243" t="str">
        <f t="shared" si="13"/>
        <v>Revenue Requirements</v>
      </c>
      <c r="D30" s="244" t="str">
        <f>D29</f>
        <v>Increased Costs and Cost Shifting</v>
      </c>
      <c r="E30" s="86" t="s">
        <v>198</v>
      </c>
      <c r="F30" s="84" t="s">
        <v>32</v>
      </c>
      <c r="G30" s="64">
        <f ca="1">IF($C$4=Lookups!$D$40,SUM(INDIRECT("'Yr1'!"&amp;ADDRESS(ROW(G30),COLUMN(G30))),INDIRECT("'Yr2'!"&amp;ADDRESS(ROW(G30),COLUMN(G30))),INDIRECT("'Yr3'!"&amp;ADDRESS(ROW(G30),COLUMN(G30)))),
G50*G17)</f>
        <v>208970.23211681191</v>
      </c>
      <c r="H30" s="64">
        <f ca="1">IF($C$4=Lookups!$D$40,SUM(INDIRECT("'Yr1'!"&amp;ADDRESS(ROW(H30),COLUMN(H30))),INDIRECT("'Yr2'!"&amp;ADDRESS(ROW(H30),COLUMN(H30))),INDIRECT("'Yr3'!"&amp;ADDRESS(ROW(H30),COLUMN(H30)))),
H50*H17)</f>
        <v>420753.23476411169</v>
      </c>
      <c r="I30" s="64">
        <f ca="1">IF($C$4=Lookups!$D$40,SUM(INDIRECT("'Yr1'!"&amp;ADDRESS(ROW(I30),COLUMN(I30))),INDIRECT("'Yr2'!"&amp;ADDRESS(ROW(I30),COLUMN(I30))),INDIRECT("'Yr3'!"&amp;ADDRESS(ROW(I30),COLUMN(I30)))),
I50*I17)</f>
        <v>636514.85700130439</v>
      </c>
      <c r="J30" s="64">
        <f ca="1">IF($C$4=Lookups!$D$40,SUM(INDIRECT("'Yr1'!"&amp;ADDRESS(ROW(J30),COLUMN(J30))),INDIRECT("'Yr2'!"&amp;ADDRESS(ROW(J30),COLUMN(J30))),INDIRECT("'Yr3'!"&amp;ADDRESS(ROW(J30),COLUMN(J30)))),
J50*J17)</f>
        <v>636514.85700130439</v>
      </c>
      <c r="K30" s="64">
        <f ca="1">IF($C$4=Lookups!$D$40,SUM(INDIRECT("'Yr1'!"&amp;ADDRESS(ROW(K30),COLUMN(K30))),INDIRECT("'Yr2'!"&amp;ADDRESS(ROW(K30),COLUMN(K30))),INDIRECT("'Yr3'!"&amp;ADDRESS(ROW(K30),COLUMN(K30)))),
K50*K17)</f>
        <v>636514.85700130439</v>
      </c>
      <c r="L30" s="64">
        <f ca="1">IF($C$4=Lookups!$D$40,SUM(INDIRECT("'Yr1'!"&amp;ADDRESS(ROW(L30),COLUMN(L30))),INDIRECT("'Yr2'!"&amp;ADDRESS(ROW(L30),COLUMN(L30))),INDIRECT("'Yr3'!"&amp;ADDRESS(ROW(L30),COLUMN(L30)))),
L50*L17)</f>
        <v>636514.85700130439</v>
      </c>
      <c r="M30" s="64">
        <f ca="1">IF($C$4=Lookups!$D$40,SUM(INDIRECT("'Yr1'!"&amp;ADDRESS(ROW(M30),COLUMN(M30))),INDIRECT("'Yr2'!"&amp;ADDRESS(ROW(M30),COLUMN(M30))),INDIRECT("'Yr3'!"&amp;ADDRESS(ROW(M30),COLUMN(M30)))),
M50*M17)</f>
        <v>636514.85700130439</v>
      </c>
      <c r="N30" s="64">
        <f ca="1">IF($C$4=Lookups!$D$40,SUM(INDIRECT("'Yr1'!"&amp;ADDRESS(ROW(N30),COLUMN(N30))),INDIRECT("'Yr2'!"&amp;ADDRESS(ROW(N30),COLUMN(N30))),INDIRECT("'Yr3'!"&amp;ADDRESS(ROW(N30),COLUMN(N30)))),
N50*N17)</f>
        <v>636514.85700130439</v>
      </c>
      <c r="O30" s="64">
        <f ca="1">IF($C$4=Lookups!$D$40,SUM(INDIRECT("'Yr1'!"&amp;ADDRESS(ROW(O30),COLUMN(O30))),INDIRECT("'Yr2'!"&amp;ADDRESS(ROW(O30),COLUMN(O30))),INDIRECT("'Yr3'!"&amp;ADDRESS(ROW(O30),COLUMN(O30)))),
O50*O17)</f>
        <v>636514.85700130439</v>
      </c>
      <c r="P30" s="64">
        <f ca="1">IF($C$4=Lookups!$D$40,SUM(INDIRECT("'Yr1'!"&amp;ADDRESS(ROW(P30),COLUMN(P30))),INDIRECT("'Yr2'!"&amp;ADDRESS(ROW(P30),COLUMN(P30))),INDIRECT("'Yr3'!"&amp;ADDRESS(ROW(P30),COLUMN(P30)))),
P50*P17)</f>
        <v>636514.85700130439</v>
      </c>
      <c r="Q30" s="64">
        <f ca="1">IF($C$4=Lookups!$D$40,SUM(INDIRECT("'Yr1'!"&amp;ADDRESS(ROW(Q30),COLUMN(Q30))),INDIRECT("'Yr2'!"&amp;ADDRESS(ROW(Q30),COLUMN(Q30))),INDIRECT("'Yr3'!"&amp;ADDRESS(ROW(Q30),COLUMN(Q30)))),
Q50*Q17)</f>
        <v>636514.85700130439</v>
      </c>
      <c r="R30" s="64">
        <f ca="1">IF($C$4=Lookups!$D$40,SUM(INDIRECT("'Yr1'!"&amp;ADDRESS(ROW(R30),COLUMN(R30))),INDIRECT("'Yr2'!"&amp;ADDRESS(ROW(R30),COLUMN(R30))),INDIRECT("'Yr3'!"&amp;ADDRESS(ROW(R30),COLUMN(R30)))),
R50*R17)</f>
        <v>636514.85700130439</v>
      </c>
      <c r="S30" s="64">
        <f ca="1">IF($C$4=Lookups!$D$40,SUM(INDIRECT("'Yr1'!"&amp;ADDRESS(ROW(S30),COLUMN(S30))),INDIRECT("'Yr2'!"&amp;ADDRESS(ROW(S30),COLUMN(S30))),INDIRECT("'Yr3'!"&amp;ADDRESS(ROW(S30),COLUMN(S30)))),
S50*S17)</f>
        <v>636514.85700130439</v>
      </c>
      <c r="T30" s="64">
        <f ca="1">IF($C$4=Lookups!$D$40,SUM(INDIRECT("'Yr1'!"&amp;ADDRESS(ROW(T30),COLUMN(T30))),INDIRECT("'Yr2'!"&amp;ADDRESS(ROW(T30),COLUMN(T30))),INDIRECT("'Yr3'!"&amp;ADDRESS(ROW(T30),COLUMN(T30)))),
T50*T17)</f>
        <v>636514.85700130439</v>
      </c>
      <c r="U30" s="64">
        <f ca="1">IF($C$4=Lookups!$D$40,SUM(INDIRECT("'Yr1'!"&amp;ADDRESS(ROW(U30),COLUMN(U30))),INDIRECT("'Yr2'!"&amp;ADDRESS(ROW(U30),COLUMN(U30))),INDIRECT("'Yr3'!"&amp;ADDRESS(ROW(U30),COLUMN(U30)))),
U50*U17)</f>
        <v>636514.85700130439</v>
      </c>
      <c r="V30" s="64">
        <f ca="1">IF($C$4=Lookups!$D$40,SUM(INDIRECT("'Yr1'!"&amp;ADDRESS(ROW(V30),COLUMN(V30))),INDIRECT("'Yr2'!"&amp;ADDRESS(ROW(V30),COLUMN(V30))),INDIRECT("'Yr3'!"&amp;ADDRESS(ROW(V30),COLUMN(V30)))),
V50*V17)</f>
        <v>427544.62488449248</v>
      </c>
      <c r="W30" s="64">
        <f ca="1">IF($C$4=Lookups!$D$40,SUM(INDIRECT("'Yr1'!"&amp;ADDRESS(ROW(W30),COLUMN(W30))),INDIRECT("'Yr2'!"&amp;ADDRESS(ROW(W30),COLUMN(W30))),INDIRECT("'Yr3'!"&amp;ADDRESS(ROW(W30),COLUMN(W30)))),
W50*W17)</f>
        <v>215761.62223719267</v>
      </c>
      <c r="X30" s="64">
        <f ca="1">IF($C$4=Lookups!$D$40,SUM(INDIRECT("'Yr1'!"&amp;ADDRESS(ROW(X30),COLUMN(X30))),INDIRECT("'Yr2'!"&amp;ADDRESS(ROW(X30),COLUMN(X30))),INDIRECT("'Yr3'!"&amp;ADDRESS(ROW(X30),COLUMN(X30)))),
X50*X17)</f>
        <v>0</v>
      </c>
      <c r="Y30" s="64">
        <f ca="1">IF($C$4=Lookups!$D$40,SUM(INDIRECT("'Yr1'!"&amp;ADDRESS(ROW(Y30),COLUMN(Y30))),INDIRECT("'Yr2'!"&amp;ADDRESS(ROW(Y30),COLUMN(Y30))),INDIRECT("'Yr3'!"&amp;ADDRESS(ROW(Y30),COLUMN(Y30)))),
Y50*Y17)</f>
        <v>0</v>
      </c>
      <c r="Z30" s="64">
        <f ca="1">IF($C$4=Lookups!$D$40,SUM(INDIRECT("'Yr1'!"&amp;ADDRESS(ROW(Z30),COLUMN(Z30))),INDIRECT("'Yr2'!"&amp;ADDRESS(ROW(Z30),COLUMN(Z30))),INDIRECT("'Yr3'!"&amp;ADDRESS(ROW(Z30),COLUMN(Z30)))),
Z50*Z17)</f>
        <v>0</v>
      </c>
      <c r="AA30" s="64">
        <f ca="1">IF($C$4=Lookups!$D$40,SUM(INDIRECT("'Yr1'!"&amp;ADDRESS(ROW(AA30),COLUMN(AA30))),INDIRECT("'Yr2'!"&amp;ADDRESS(ROW(AA30),COLUMN(AA30))),INDIRECT("'Yr3'!"&amp;ADDRESS(ROW(AA30),COLUMN(AA30)))),
AA50*AA17)</f>
        <v>0</v>
      </c>
      <c r="AB30" s="64">
        <f ca="1">IF($C$4=Lookups!$D$40,SUM(INDIRECT("'Yr1'!"&amp;ADDRESS(ROW(AB30),COLUMN(AB30))),INDIRECT("'Yr2'!"&amp;ADDRESS(ROW(AB30),COLUMN(AB30))),INDIRECT("'Yr3'!"&amp;ADDRESS(ROW(AB30),COLUMN(AB30)))),
AB50*AB17)</f>
        <v>0</v>
      </c>
      <c r="AC30" s="64">
        <f ca="1">IF($C$4=Lookups!$D$40,SUM(INDIRECT("'Yr1'!"&amp;ADDRESS(ROW(AC30),COLUMN(AC30))),INDIRECT("'Yr2'!"&amp;ADDRESS(ROW(AC30),COLUMN(AC30))),INDIRECT("'Yr3'!"&amp;ADDRESS(ROW(AC30),COLUMN(AC30)))),
AC50*AC17)</f>
        <v>0</v>
      </c>
      <c r="AD30" s="64">
        <f ca="1">IF($C$4=Lookups!$D$40,SUM(INDIRECT("'Yr1'!"&amp;ADDRESS(ROW(AD30),COLUMN(AD30))),INDIRECT("'Yr2'!"&amp;ADDRESS(ROW(AD30),COLUMN(AD30))),INDIRECT("'Yr3'!"&amp;ADDRESS(ROW(AD30),COLUMN(AD30)))),
AD50*AD17)</f>
        <v>0</v>
      </c>
      <c r="AE30" s="64">
        <f ca="1">IF($C$4=Lookups!$D$40,SUM(INDIRECT("'Yr1'!"&amp;ADDRESS(ROW(AE30),COLUMN(AE30))),INDIRECT("'Yr2'!"&amp;ADDRESS(ROW(AE30),COLUMN(AE30))),INDIRECT("'Yr3'!"&amp;ADDRESS(ROW(AE30),COLUMN(AE30)))),
AE50*AE17)</f>
        <v>0</v>
      </c>
      <c r="AF30" s="64">
        <f ca="1">IF($C$4=Lookups!$D$40,SUM(INDIRECT("'Yr1'!"&amp;ADDRESS(ROW(AF30),COLUMN(AF30))),INDIRECT("'Yr2'!"&amp;ADDRESS(ROW(AF30),COLUMN(AF30))),INDIRECT("'Yr3'!"&amp;ADDRESS(ROW(AF30),COLUMN(AF30)))),
AF50*AF17)</f>
        <v>0</v>
      </c>
      <c r="AG30" s="64">
        <f ca="1">IF($C$4=Lookups!$D$40,SUM(INDIRECT("'Yr1'!"&amp;ADDRESS(ROW(AG30),COLUMN(AG30))),INDIRECT("'Yr2'!"&amp;ADDRESS(ROW(AG30),COLUMN(AG30))),INDIRECT("'Yr3'!"&amp;ADDRESS(ROW(AG30),COLUMN(AG30)))),
AG50*AG17)</f>
        <v>0</v>
      </c>
      <c r="AH30" s="49"/>
      <c r="AI30" s="65">
        <f ca="1">NPV(Lookups!$E$17,G30:AG30)</f>
        <v>8428804.3526897877</v>
      </c>
      <c r="AJ30" s="65"/>
      <c r="AM30" s="71">
        <f ca="1">IF($C$4=Lookups!$D$40,SUM(INDIRECT("'Yr1'!"&amp;ADDRESS(ROW(AM30),COLUMN(AM30))),INDIRECT("'Yr2'!"&amp;ADDRESS(ROW(AM30),COLUMN(AM30))),INDIRECT("'Yr3'!"&amp;ADDRESS(ROW(AM30),COLUMN(AM30)))),
AM50*AM17)</f>
        <v>238804.57806337738</v>
      </c>
      <c r="AN30" s="71">
        <f ca="1">IF($C$4=Lookups!$D$40,SUM(INDIRECT("'Yr1'!"&amp;ADDRESS(ROW(AN30),COLUMN(AN30))),INDIRECT("'Yr2'!"&amp;ADDRESS(ROW(AN30),COLUMN(AN30))),INDIRECT("'Yr3'!"&amp;ADDRESS(ROW(AN30),COLUMN(AN30)))),
AN50*AN17)</f>
        <v>480823.26843028143</v>
      </c>
      <c r="AO30" s="71">
        <f ca="1">IF($C$4=Lookups!$D$40,SUM(INDIRECT("'Yr1'!"&amp;ADDRESS(ROW(AO30),COLUMN(AO30))),INDIRECT("'Yr2'!"&amp;ADDRESS(ROW(AO30),COLUMN(AO30))),INDIRECT("'Yr3'!"&amp;ADDRESS(ROW(AO30),COLUMN(AO30)))),
AO50*AO17)</f>
        <v>727388.23899551923</v>
      </c>
      <c r="AP30" s="71">
        <f ca="1">IF($C$4=Lookups!$D$40,SUM(INDIRECT("'Yr1'!"&amp;ADDRESS(ROW(AP30),COLUMN(AP30))),INDIRECT("'Yr2'!"&amp;ADDRESS(ROW(AP30),COLUMN(AP30))),INDIRECT("'Yr3'!"&amp;ADDRESS(ROW(AP30),COLUMN(AP30)))),
AP50*AP17)</f>
        <v>727388.23899551923</v>
      </c>
      <c r="AQ30" s="71">
        <f ca="1">IF($C$4=Lookups!$D$40,SUM(INDIRECT("'Yr1'!"&amp;ADDRESS(ROW(AQ30),COLUMN(AQ30))),INDIRECT("'Yr2'!"&amp;ADDRESS(ROW(AQ30),COLUMN(AQ30))),INDIRECT("'Yr3'!"&amp;ADDRESS(ROW(AQ30),COLUMN(AQ30)))),
AQ50*AQ17)</f>
        <v>727388.23899551923</v>
      </c>
      <c r="AR30" s="71">
        <f ca="1">IF($C$4=Lookups!$D$40,SUM(INDIRECT("'Yr1'!"&amp;ADDRESS(ROW(AR30),COLUMN(AR30))),INDIRECT("'Yr2'!"&amp;ADDRESS(ROW(AR30),COLUMN(AR30))),INDIRECT("'Yr3'!"&amp;ADDRESS(ROW(AR30),COLUMN(AR30)))),
AR50*AR17)</f>
        <v>727388.23899551923</v>
      </c>
      <c r="AS30" s="71">
        <f ca="1">IF($C$4=Lookups!$D$40,SUM(INDIRECT("'Yr1'!"&amp;ADDRESS(ROW(AS30),COLUMN(AS30))),INDIRECT("'Yr2'!"&amp;ADDRESS(ROW(AS30),COLUMN(AS30))),INDIRECT("'Yr3'!"&amp;ADDRESS(ROW(AS30),COLUMN(AS30)))),
AS50*AS17)</f>
        <v>727388.23899551923</v>
      </c>
      <c r="AT30" s="71">
        <f ca="1">IF($C$4=Lookups!$D$40,SUM(INDIRECT("'Yr1'!"&amp;ADDRESS(ROW(AT30),COLUMN(AT30))),INDIRECT("'Yr2'!"&amp;ADDRESS(ROW(AT30),COLUMN(AT30))),INDIRECT("'Yr3'!"&amp;ADDRESS(ROW(AT30),COLUMN(AT30)))),
AT50*AT17)</f>
        <v>727388.23899551923</v>
      </c>
      <c r="AU30" s="71">
        <f ca="1">IF($C$4=Lookups!$D$40,SUM(INDIRECT("'Yr1'!"&amp;ADDRESS(ROW(AU30),COLUMN(AU30))),INDIRECT("'Yr2'!"&amp;ADDRESS(ROW(AU30),COLUMN(AU30))),INDIRECT("'Yr3'!"&amp;ADDRESS(ROW(AU30),COLUMN(AU30)))),
AU50*AU17)</f>
        <v>727388.23899551923</v>
      </c>
      <c r="AV30" s="71">
        <f ca="1">IF($C$4=Lookups!$D$40,SUM(INDIRECT("'Yr1'!"&amp;ADDRESS(ROW(AV30),COLUMN(AV30))),INDIRECT("'Yr2'!"&amp;ADDRESS(ROW(AV30),COLUMN(AV30))),INDIRECT("'Yr3'!"&amp;ADDRESS(ROW(AV30),COLUMN(AV30)))),
AV50*AV17)</f>
        <v>727388.23899551923</v>
      </c>
      <c r="AW30" s="71">
        <f ca="1">IF($C$4=Lookups!$D$40,SUM(INDIRECT("'Yr1'!"&amp;ADDRESS(ROW(AW30),COLUMN(AW30))),INDIRECT("'Yr2'!"&amp;ADDRESS(ROW(AW30),COLUMN(AW30))),INDIRECT("'Yr3'!"&amp;ADDRESS(ROW(AW30),COLUMN(AW30)))),
AW50*AW17)</f>
        <v>727388.23899551923</v>
      </c>
      <c r="AX30" s="71">
        <f ca="1">IF($C$4=Lookups!$D$40,SUM(INDIRECT("'Yr1'!"&amp;ADDRESS(ROW(AX30),COLUMN(AX30))),INDIRECT("'Yr2'!"&amp;ADDRESS(ROW(AX30),COLUMN(AX30))),INDIRECT("'Yr3'!"&amp;ADDRESS(ROW(AX30),COLUMN(AX30)))),
AX50*AX17)</f>
        <v>727388.23899551923</v>
      </c>
      <c r="AY30" s="71">
        <f ca="1">IF($C$4=Lookups!$D$40,SUM(INDIRECT("'Yr1'!"&amp;ADDRESS(ROW(AY30),COLUMN(AY30))),INDIRECT("'Yr2'!"&amp;ADDRESS(ROW(AY30),COLUMN(AY30))),INDIRECT("'Yr3'!"&amp;ADDRESS(ROW(AY30),COLUMN(AY30)))),
AY50*AY17)</f>
        <v>727388.23899551923</v>
      </c>
      <c r="AZ30" s="71">
        <f ca="1">IF($C$4=Lookups!$D$40,SUM(INDIRECT("'Yr1'!"&amp;ADDRESS(ROW(AZ30),COLUMN(AZ30))),INDIRECT("'Yr2'!"&amp;ADDRESS(ROW(AZ30),COLUMN(AZ30))),INDIRECT("'Yr3'!"&amp;ADDRESS(ROW(AZ30),COLUMN(AZ30)))),
AZ50*AZ17)</f>
        <v>727388.23899551923</v>
      </c>
      <c r="BA30" s="71">
        <f ca="1">IF($C$4=Lookups!$D$40,SUM(INDIRECT("'Yr1'!"&amp;ADDRESS(ROW(BA30),COLUMN(BA30))),INDIRECT("'Yr2'!"&amp;ADDRESS(ROW(BA30),COLUMN(BA30))),INDIRECT("'Yr3'!"&amp;ADDRESS(ROW(BA30),COLUMN(BA30)))),
BA50*BA17)</f>
        <v>727388.23899551923</v>
      </c>
      <c r="BB30" s="71">
        <f ca="1">IF($C$4=Lookups!$D$40,SUM(INDIRECT("'Yr1'!"&amp;ADDRESS(ROW(BB30),COLUMN(BB30))),INDIRECT("'Yr2'!"&amp;ADDRESS(ROW(BB30),COLUMN(BB30))),INDIRECT("'Yr3'!"&amp;ADDRESS(ROW(BB30),COLUMN(BB30)))),
BB50*BB17)</f>
        <v>488583.66093214182</v>
      </c>
      <c r="BC30" s="71">
        <f ca="1">IF($C$4=Lookups!$D$40,SUM(INDIRECT("'Yr1'!"&amp;ADDRESS(ROW(BC30),COLUMN(BC30))),INDIRECT("'Yr2'!"&amp;ADDRESS(ROW(BC30),COLUMN(BC30))),INDIRECT("'Yr3'!"&amp;ADDRESS(ROW(BC30),COLUMN(BC30)))),
BC50*BC17)</f>
        <v>246564.97056523775</v>
      </c>
      <c r="BD30" s="71">
        <f ca="1">IF($C$4=Lookups!$D$40,SUM(INDIRECT("'Yr1'!"&amp;ADDRESS(ROW(BD30),COLUMN(BD30))),INDIRECT("'Yr2'!"&amp;ADDRESS(ROW(BD30),COLUMN(BD30))),INDIRECT("'Yr3'!"&amp;ADDRESS(ROW(BD30),COLUMN(BD30)))),
BD50*BD17)</f>
        <v>0</v>
      </c>
      <c r="BE30" s="71">
        <f ca="1">IF($C$4=Lookups!$D$40,SUM(INDIRECT("'Yr1'!"&amp;ADDRESS(ROW(BE30),COLUMN(BE30))),INDIRECT("'Yr2'!"&amp;ADDRESS(ROW(BE30),COLUMN(BE30))),INDIRECT("'Yr3'!"&amp;ADDRESS(ROW(BE30),COLUMN(BE30)))),
BE50*BE17)</f>
        <v>0</v>
      </c>
      <c r="BF30" s="71">
        <f ca="1">IF($C$4=Lookups!$D$40,SUM(INDIRECT("'Yr1'!"&amp;ADDRESS(ROW(BF30),COLUMN(BF30))),INDIRECT("'Yr2'!"&amp;ADDRESS(ROW(BF30),COLUMN(BF30))),INDIRECT("'Yr3'!"&amp;ADDRESS(ROW(BF30),COLUMN(BF30)))),
BF50*BF17)</f>
        <v>0</v>
      </c>
      <c r="BG30" s="71">
        <f ca="1">IF($C$4=Lookups!$D$40,SUM(INDIRECT("'Yr1'!"&amp;ADDRESS(ROW(BG30),COLUMN(BG30))),INDIRECT("'Yr2'!"&amp;ADDRESS(ROW(BG30),COLUMN(BG30))),INDIRECT("'Yr3'!"&amp;ADDRESS(ROW(BG30),COLUMN(BG30)))),
BG50*BG17)</f>
        <v>0</v>
      </c>
      <c r="BH30" s="71">
        <f ca="1">IF($C$4=Lookups!$D$40,SUM(INDIRECT("'Yr1'!"&amp;ADDRESS(ROW(BH30),COLUMN(BH30))),INDIRECT("'Yr2'!"&amp;ADDRESS(ROW(BH30),COLUMN(BH30))),INDIRECT("'Yr3'!"&amp;ADDRESS(ROW(BH30),COLUMN(BH30)))),
BH50*BH17)</f>
        <v>0</v>
      </c>
      <c r="BI30" s="71">
        <f ca="1">IF($C$4=Lookups!$D$40,SUM(INDIRECT("'Yr1'!"&amp;ADDRESS(ROW(BI30),COLUMN(BI30))),INDIRECT("'Yr2'!"&amp;ADDRESS(ROW(BI30),COLUMN(BI30))),INDIRECT("'Yr3'!"&amp;ADDRESS(ROW(BI30),COLUMN(BI30)))),
BI50*BI17)</f>
        <v>0</v>
      </c>
      <c r="BJ30" s="71">
        <f ca="1">IF($C$4=Lookups!$D$40,SUM(INDIRECT("'Yr1'!"&amp;ADDRESS(ROW(BJ30),COLUMN(BJ30))),INDIRECT("'Yr2'!"&amp;ADDRESS(ROW(BJ30),COLUMN(BJ30))),INDIRECT("'Yr3'!"&amp;ADDRESS(ROW(BJ30),COLUMN(BJ30)))),
BJ50*BJ17)</f>
        <v>0</v>
      </c>
      <c r="BK30" s="71">
        <f ca="1">IF($C$4=Lookups!$D$40,SUM(INDIRECT("'Yr1'!"&amp;ADDRESS(ROW(BK30),COLUMN(BK30))),INDIRECT("'Yr2'!"&amp;ADDRESS(ROW(BK30),COLUMN(BK30))),INDIRECT("'Yr3'!"&amp;ADDRESS(ROW(BK30),COLUMN(BK30)))),
BK50*BK17)</f>
        <v>0</v>
      </c>
      <c r="BL30" s="71">
        <f ca="1">IF($C$4=Lookups!$D$40,SUM(INDIRECT("'Yr1'!"&amp;ADDRESS(ROW(BL30),COLUMN(BL30))),INDIRECT("'Yr2'!"&amp;ADDRESS(ROW(BL30),COLUMN(BL30))),INDIRECT("'Yr3'!"&amp;ADDRESS(ROW(BL30),COLUMN(BL30)))),
BL50*BL17)</f>
        <v>0</v>
      </c>
      <c r="BM30" s="71">
        <f ca="1">IF($C$4=Lookups!$D$40,SUM(INDIRECT("'Yr1'!"&amp;ADDRESS(ROW(BM30),COLUMN(BM30))),INDIRECT("'Yr2'!"&amp;ADDRESS(ROW(BM30),COLUMN(BM30))),INDIRECT("'Yr3'!"&amp;ADDRESS(ROW(BM30),COLUMN(BM30)))),
BM50*BM17)</f>
        <v>0</v>
      </c>
      <c r="BN30" s="71"/>
      <c r="BO30" s="71">
        <f ca="1">NPV(Lookups!$E$17,AM30:BM30)</f>
        <v>9632160.4385116901</v>
      </c>
      <c r="BP30" s="72"/>
      <c r="BS30" s="84" t="str">
        <f>E30&amp;" rate multiplied by After DSM sales."</f>
        <v>Distribution Lost Revenue rate multiplied by After DSM sales.</v>
      </c>
      <c r="BT30" s="51" t="s">
        <v>17</v>
      </c>
    </row>
    <row r="31" spans="1:72" x14ac:dyDescent="0.25">
      <c r="B31" s="243" t="str">
        <f>B29</f>
        <v>Residential</v>
      </c>
      <c r="C31" s="243" t="str">
        <f>C29</f>
        <v>Revenue Requirements</v>
      </c>
      <c r="D31" s="114" t="s">
        <v>125</v>
      </c>
      <c r="E31" s="84"/>
      <c r="F31" s="84"/>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65"/>
      <c r="AJ31" s="65"/>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S31" s="84"/>
      <c r="BT31" s="51" t="s">
        <v>17</v>
      </c>
    </row>
    <row r="32" spans="1:72" x14ac:dyDescent="0.25">
      <c r="A32" s="1"/>
      <c r="B32" s="243" t="str">
        <f t="shared" si="13"/>
        <v>Residential</v>
      </c>
      <c r="C32" s="243" t="str">
        <f t="shared" si="13"/>
        <v>Revenue Requirements</v>
      </c>
      <c r="D32" s="244" t="str">
        <f>D31</f>
        <v>Revenue Requirement after DSM Scenario</v>
      </c>
      <c r="E32" s="84" t="s">
        <v>26</v>
      </c>
      <c r="F32" s="84" t="s">
        <v>32</v>
      </c>
      <c r="G32" s="64">
        <f ca="1">G21-G26</f>
        <v>32575194.572646767</v>
      </c>
      <c r="H32" s="64">
        <f t="shared" ref="H32:AG32" ca="1" si="14">H21-H26</f>
        <v>32557269.202507671</v>
      </c>
      <c r="I32" s="64">
        <f t="shared" ca="1" si="14"/>
        <v>32539014.652414851</v>
      </c>
      <c r="J32" s="64">
        <f t="shared" ca="1" si="14"/>
        <v>32539014.652414851</v>
      </c>
      <c r="K32" s="64">
        <f t="shared" ca="1" si="14"/>
        <v>32539014.652414851</v>
      </c>
      <c r="L32" s="64">
        <f t="shared" ca="1" si="14"/>
        <v>32539014.652414851</v>
      </c>
      <c r="M32" s="64">
        <f t="shared" ca="1" si="14"/>
        <v>32539014.652414851</v>
      </c>
      <c r="N32" s="64">
        <f t="shared" ca="1" si="14"/>
        <v>32539014.652414851</v>
      </c>
      <c r="O32" s="64">
        <f t="shared" ca="1" si="14"/>
        <v>32539014.652414851</v>
      </c>
      <c r="P32" s="64">
        <f t="shared" ca="1" si="14"/>
        <v>32539014.652414851</v>
      </c>
      <c r="Q32" s="64">
        <f t="shared" ca="1" si="14"/>
        <v>32539014.652414851</v>
      </c>
      <c r="R32" s="64">
        <f t="shared" ca="1" si="14"/>
        <v>32539014.652414851</v>
      </c>
      <c r="S32" s="64">
        <f t="shared" ca="1" si="14"/>
        <v>32539014.652414851</v>
      </c>
      <c r="T32" s="64">
        <f t="shared" ca="1" si="14"/>
        <v>32539014.652414851</v>
      </c>
      <c r="U32" s="64">
        <f t="shared" ca="1" si="14"/>
        <v>32539014.652414851</v>
      </c>
      <c r="V32" s="64">
        <f t="shared" ca="1" si="14"/>
        <v>32556720.651542362</v>
      </c>
      <c r="W32" s="64">
        <f t="shared" ca="1" si="14"/>
        <v>32574646.021681461</v>
      </c>
      <c r="X32" s="64">
        <f t="shared" ca="1" si="14"/>
        <v>32592900.571774282</v>
      </c>
      <c r="Y32" s="64">
        <f t="shared" ca="1" si="14"/>
        <v>32592900.571774282</v>
      </c>
      <c r="Z32" s="64">
        <f t="shared" ca="1" si="14"/>
        <v>32592900.571774282</v>
      </c>
      <c r="AA32" s="64">
        <f t="shared" ca="1" si="14"/>
        <v>32592900.571774282</v>
      </c>
      <c r="AB32" s="64">
        <f t="shared" ca="1" si="14"/>
        <v>32592900.571774282</v>
      </c>
      <c r="AC32" s="64">
        <f t="shared" ca="1" si="14"/>
        <v>32592900.571774282</v>
      </c>
      <c r="AD32" s="64">
        <f t="shared" ca="1" si="14"/>
        <v>32592900.571774282</v>
      </c>
      <c r="AE32" s="64">
        <f t="shared" ca="1" si="14"/>
        <v>32592900.571774282</v>
      </c>
      <c r="AF32" s="64">
        <f t="shared" ca="1" si="14"/>
        <v>32592900.571774282</v>
      </c>
      <c r="AG32" s="64">
        <f t="shared" ca="1" si="14"/>
        <v>32592900.571774282</v>
      </c>
      <c r="AH32" s="64"/>
      <c r="AI32" s="65">
        <f ca="1">NPV(Lookups!$E$17,G32:AG32)</f>
        <v>726542842.61239028</v>
      </c>
      <c r="AJ32" s="65"/>
      <c r="AM32" s="71">
        <f ca="1">AM21-AM26</f>
        <v>32572665.144199982</v>
      </c>
      <c r="AN32" s="71">
        <f t="shared" ref="AN32:BM32" ca="1" si="15">AN21-AN26</f>
        <v>32552179.006898154</v>
      </c>
      <c r="AO32" s="71">
        <f t="shared" ca="1" si="15"/>
        <v>32531316.663934931</v>
      </c>
      <c r="AP32" s="71">
        <f t="shared" ca="1" si="15"/>
        <v>32531316.663934931</v>
      </c>
      <c r="AQ32" s="71">
        <f t="shared" ca="1" si="15"/>
        <v>32531316.663934931</v>
      </c>
      <c r="AR32" s="71">
        <f t="shared" ca="1" si="15"/>
        <v>32531316.663934931</v>
      </c>
      <c r="AS32" s="71">
        <f t="shared" ca="1" si="15"/>
        <v>32531316.663934931</v>
      </c>
      <c r="AT32" s="71">
        <f t="shared" ca="1" si="15"/>
        <v>32531316.663934931</v>
      </c>
      <c r="AU32" s="71">
        <f t="shared" ca="1" si="15"/>
        <v>32531316.663934931</v>
      </c>
      <c r="AV32" s="71">
        <f t="shared" ca="1" si="15"/>
        <v>32531316.663934931</v>
      </c>
      <c r="AW32" s="71">
        <f t="shared" ca="1" si="15"/>
        <v>32531316.663934931</v>
      </c>
      <c r="AX32" s="71">
        <f t="shared" ca="1" si="15"/>
        <v>32531316.663934931</v>
      </c>
      <c r="AY32" s="71">
        <f t="shared" ca="1" si="15"/>
        <v>32531316.663934931</v>
      </c>
      <c r="AZ32" s="71">
        <f t="shared" ca="1" si="15"/>
        <v>32531316.663934931</v>
      </c>
      <c r="BA32" s="71">
        <f t="shared" ca="1" si="15"/>
        <v>32531316.663934931</v>
      </c>
      <c r="BB32" s="71">
        <f t="shared" ca="1" si="15"/>
        <v>32551552.09150923</v>
      </c>
      <c r="BC32" s="71">
        <f t="shared" ca="1" si="15"/>
        <v>32572038.228811059</v>
      </c>
      <c r="BD32" s="71">
        <f t="shared" ca="1" si="15"/>
        <v>32592900.571774282</v>
      </c>
      <c r="BE32" s="71">
        <f t="shared" ca="1" si="15"/>
        <v>32592900.571774282</v>
      </c>
      <c r="BF32" s="71">
        <f t="shared" ca="1" si="15"/>
        <v>32592900.571774282</v>
      </c>
      <c r="BG32" s="71">
        <f t="shared" ca="1" si="15"/>
        <v>32592900.571774282</v>
      </c>
      <c r="BH32" s="71">
        <f t="shared" ca="1" si="15"/>
        <v>32592900.571774282</v>
      </c>
      <c r="BI32" s="71">
        <f t="shared" ca="1" si="15"/>
        <v>32592900.571774282</v>
      </c>
      <c r="BJ32" s="71">
        <f t="shared" ca="1" si="15"/>
        <v>32592900.571774282</v>
      </c>
      <c r="BK32" s="71">
        <f t="shared" ca="1" si="15"/>
        <v>32592900.571774282</v>
      </c>
      <c r="BL32" s="71">
        <f t="shared" ca="1" si="15"/>
        <v>32592900.571774282</v>
      </c>
      <c r="BM32" s="71">
        <f t="shared" ca="1" si="15"/>
        <v>32592900.571774282</v>
      </c>
      <c r="BN32" s="71"/>
      <c r="BO32" s="71">
        <f ca="1">NPV(Lookups!$E$17,AM32:BM32)</f>
        <v>726440904.24452233</v>
      </c>
      <c r="BP32" s="71"/>
      <c r="BS32" s="84" t="s">
        <v>229</v>
      </c>
      <c r="BT32" s="51" t="s">
        <v>17</v>
      </c>
    </row>
    <row r="33" spans="1:72" x14ac:dyDescent="0.25">
      <c r="A33" s="1"/>
      <c r="B33" s="243" t="str">
        <f t="shared" si="13"/>
        <v>Residential</v>
      </c>
      <c r="C33" s="243" t="str">
        <f t="shared" si="13"/>
        <v>Revenue Requirements</v>
      </c>
      <c r="D33" s="244" t="str">
        <f>D32</f>
        <v>Revenue Requirement after DSM Scenario</v>
      </c>
      <c r="E33" s="84" t="s">
        <v>407</v>
      </c>
      <c r="F33" s="84" t="s">
        <v>32</v>
      </c>
      <c r="G33" s="64">
        <f>G22</f>
        <v>-1931344.4404175822</v>
      </c>
      <c r="H33" s="64">
        <f t="shared" ref="H33:AG33" si="16">H22</f>
        <v>-1931344.4404175822</v>
      </c>
      <c r="I33" s="64">
        <f t="shared" si="16"/>
        <v>-1931344.4404175822</v>
      </c>
      <c r="J33" s="64">
        <f t="shared" si="16"/>
        <v>-1931344.4404175822</v>
      </c>
      <c r="K33" s="64">
        <f t="shared" si="16"/>
        <v>-1931344.4404175822</v>
      </c>
      <c r="L33" s="64">
        <f t="shared" si="16"/>
        <v>-1931344.4404175822</v>
      </c>
      <c r="M33" s="64">
        <f t="shared" si="16"/>
        <v>-1931344.4404175822</v>
      </c>
      <c r="N33" s="64">
        <f t="shared" si="16"/>
        <v>-1931344.4404175822</v>
      </c>
      <c r="O33" s="64">
        <f t="shared" si="16"/>
        <v>-1931344.4404175822</v>
      </c>
      <c r="P33" s="64">
        <f t="shared" si="16"/>
        <v>-1931344.4404175822</v>
      </c>
      <c r="Q33" s="64">
        <f t="shared" si="16"/>
        <v>-1931344.4404175822</v>
      </c>
      <c r="R33" s="64">
        <f t="shared" si="16"/>
        <v>-1931344.4404175822</v>
      </c>
      <c r="S33" s="64">
        <f t="shared" si="16"/>
        <v>-1931344.4404175822</v>
      </c>
      <c r="T33" s="64">
        <f t="shared" si="16"/>
        <v>-1931344.4404175822</v>
      </c>
      <c r="U33" s="64">
        <f t="shared" si="16"/>
        <v>-1931344.4404175822</v>
      </c>
      <c r="V33" s="64">
        <f t="shared" si="16"/>
        <v>-1931344.4404175822</v>
      </c>
      <c r="W33" s="64">
        <f t="shared" si="16"/>
        <v>-1931344.4404175822</v>
      </c>
      <c r="X33" s="64">
        <f t="shared" si="16"/>
        <v>-1931344.4404175822</v>
      </c>
      <c r="Y33" s="64">
        <f t="shared" si="16"/>
        <v>-1931344.4404175822</v>
      </c>
      <c r="Z33" s="64">
        <f t="shared" si="16"/>
        <v>-1931344.4404175822</v>
      </c>
      <c r="AA33" s="64">
        <f t="shared" si="16"/>
        <v>-1931344.4404175822</v>
      </c>
      <c r="AB33" s="64">
        <f t="shared" si="16"/>
        <v>-1931344.4404175822</v>
      </c>
      <c r="AC33" s="64">
        <f t="shared" si="16"/>
        <v>-1931344.4404175822</v>
      </c>
      <c r="AD33" s="64">
        <f t="shared" si="16"/>
        <v>-1931344.4404175822</v>
      </c>
      <c r="AE33" s="64">
        <f t="shared" si="16"/>
        <v>-1931344.4404175822</v>
      </c>
      <c r="AF33" s="64">
        <f t="shared" si="16"/>
        <v>-1931344.4404175822</v>
      </c>
      <c r="AG33" s="64">
        <f t="shared" si="16"/>
        <v>-1931344.4404175822</v>
      </c>
      <c r="AH33" s="64"/>
      <c r="AI33" s="65">
        <f>NPV(Lookups!$E$17,G33:AG33)</f>
        <v>-43094741.5499845</v>
      </c>
      <c r="AJ33" s="65"/>
      <c r="AM33" s="71">
        <f>AM22</f>
        <v>-1931344.4404175822</v>
      </c>
      <c r="AN33" s="71">
        <f t="shared" ref="AN33:BM33" si="17">AN22</f>
        <v>-1931344.4404175822</v>
      </c>
      <c r="AO33" s="71">
        <f t="shared" si="17"/>
        <v>-1931344.4404175822</v>
      </c>
      <c r="AP33" s="71">
        <f t="shared" si="17"/>
        <v>-1931344.4404175822</v>
      </c>
      <c r="AQ33" s="71">
        <f t="shared" si="17"/>
        <v>-1931344.4404175822</v>
      </c>
      <c r="AR33" s="71">
        <f t="shared" si="17"/>
        <v>-1931344.4404175822</v>
      </c>
      <c r="AS33" s="71">
        <f t="shared" si="17"/>
        <v>-1931344.4404175822</v>
      </c>
      <c r="AT33" s="71">
        <f t="shared" si="17"/>
        <v>-1931344.4404175822</v>
      </c>
      <c r="AU33" s="71">
        <f t="shared" si="17"/>
        <v>-1931344.4404175822</v>
      </c>
      <c r="AV33" s="71">
        <f t="shared" si="17"/>
        <v>-1931344.4404175822</v>
      </c>
      <c r="AW33" s="71">
        <f t="shared" si="17"/>
        <v>-1931344.4404175822</v>
      </c>
      <c r="AX33" s="71">
        <f t="shared" si="17"/>
        <v>-1931344.4404175822</v>
      </c>
      <c r="AY33" s="71">
        <f t="shared" si="17"/>
        <v>-1931344.4404175822</v>
      </c>
      <c r="AZ33" s="71">
        <f t="shared" si="17"/>
        <v>-1931344.4404175822</v>
      </c>
      <c r="BA33" s="71">
        <f t="shared" si="17"/>
        <v>-1931344.4404175822</v>
      </c>
      <c r="BB33" s="71">
        <f t="shared" si="17"/>
        <v>-1931344.4404175822</v>
      </c>
      <c r="BC33" s="71">
        <f t="shared" si="17"/>
        <v>-1931344.4404175822</v>
      </c>
      <c r="BD33" s="71">
        <f t="shared" si="17"/>
        <v>-1931344.4404175822</v>
      </c>
      <c r="BE33" s="71">
        <f t="shared" si="17"/>
        <v>-1931344.4404175822</v>
      </c>
      <c r="BF33" s="71">
        <f t="shared" si="17"/>
        <v>-1931344.4404175822</v>
      </c>
      <c r="BG33" s="71">
        <f t="shared" si="17"/>
        <v>-1931344.4404175822</v>
      </c>
      <c r="BH33" s="71">
        <f t="shared" si="17"/>
        <v>-1931344.4404175822</v>
      </c>
      <c r="BI33" s="71">
        <f t="shared" si="17"/>
        <v>-1931344.4404175822</v>
      </c>
      <c r="BJ33" s="71">
        <f t="shared" si="17"/>
        <v>-1931344.4404175822</v>
      </c>
      <c r="BK33" s="71">
        <f t="shared" si="17"/>
        <v>-1931344.4404175822</v>
      </c>
      <c r="BL33" s="71">
        <f t="shared" si="17"/>
        <v>-1931344.4404175822</v>
      </c>
      <c r="BM33" s="71">
        <f t="shared" si="17"/>
        <v>-1931344.4404175822</v>
      </c>
      <c r="BN33" s="71"/>
      <c r="BO33" s="71">
        <f>NPV(Lookups!$E$17,AM33:BM33)</f>
        <v>-43094741.5499845</v>
      </c>
      <c r="BP33" s="71"/>
      <c r="BS33" s="84" t="s">
        <v>230</v>
      </c>
      <c r="BT33" s="51" t="s">
        <v>17</v>
      </c>
    </row>
    <row r="34" spans="1:72" x14ac:dyDescent="0.25">
      <c r="A34" s="1"/>
      <c r="B34" s="243" t="str">
        <f>B32</f>
        <v>Residential</v>
      </c>
      <c r="C34" s="243" t="str">
        <f>C32</f>
        <v>Revenue Requirements</v>
      </c>
      <c r="D34" s="244" t="str">
        <f>D32</f>
        <v>Revenue Requirement after DSM Scenario</v>
      </c>
      <c r="E34" s="84" t="s">
        <v>197</v>
      </c>
      <c r="F34" s="84" t="s">
        <v>32</v>
      </c>
      <c r="G34" s="64">
        <f ca="1">G23-G25-G27</f>
        <v>36032702.647868447</v>
      </c>
      <c r="H34" s="64">
        <f t="shared" ref="H34:AG34" ca="1" si="18">H23-H25-H27</f>
        <v>35758684.649400011</v>
      </c>
      <c r="I34" s="64">
        <f t="shared" ca="1" si="18"/>
        <v>35479663.235794306</v>
      </c>
      <c r="J34" s="64">
        <f t="shared" ca="1" si="18"/>
        <v>35479663.235794306</v>
      </c>
      <c r="K34" s="64">
        <f t="shared" ca="1" si="18"/>
        <v>35479663.235794306</v>
      </c>
      <c r="L34" s="64">
        <f t="shared" ca="1" si="18"/>
        <v>35479663.235794306</v>
      </c>
      <c r="M34" s="64">
        <f t="shared" ca="1" si="18"/>
        <v>35479663.235794306</v>
      </c>
      <c r="N34" s="64">
        <f t="shared" ca="1" si="18"/>
        <v>35479663.235794306</v>
      </c>
      <c r="O34" s="64">
        <f t="shared" ca="1" si="18"/>
        <v>35479663.235794306</v>
      </c>
      <c r="P34" s="64">
        <f t="shared" ca="1" si="18"/>
        <v>35479663.235794306</v>
      </c>
      <c r="Q34" s="64">
        <f t="shared" ca="1" si="18"/>
        <v>35479663.235794306</v>
      </c>
      <c r="R34" s="64">
        <f t="shared" ca="1" si="18"/>
        <v>35479663.235794306</v>
      </c>
      <c r="S34" s="64">
        <f t="shared" ca="1" si="18"/>
        <v>35479663.235794306</v>
      </c>
      <c r="T34" s="64">
        <f t="shared" ca="1" si="18"/>
        <v>35479663.235794306</v>
      </c>
      <c r="U34" s="64">
        <f t="shared" ca="1" si="18"/>
        <v>35479663.235794306</v>
      </c>
      <c r="V34" s="64">
        <f t="shared" ca="1" si="18"/>
        <v>35750383.508866042</v>
      </c>
      <c r="W34" s="64">
        <f t="shared" ca="1" si="18"/>
        <v>36024401.507334478</v>
      </c>
      <c r="X34" s="64">
        <f t="shared" ca="1" si="18"/>
        <v>36303422.920940183</v>
      </c>
      <c r="Y34" s="64">
        <f t="shared" ca="1" si="18"/>
        <v>36303422.920940183</v>
      </c>
      <c r="Z34" s="64">
        <f t="shared" ca="1" si="18"/>
        <v>36303422.920940183</v>
      </c>
      <c r="AA34" s="64">
        <f t="shared" ca="1" si="18"/>
        <v>36303422.920940183</v>
      </c>
      <c r="AB34" s="64">
        <f t="shared" ca="1" si="18"/>
        <v>36303422.920940183</v>
      </c>
      <c r="AC34" s="64">
        <f t="shared" ca="1" si="18"/>
        <v>36303422.920940183</v>
      </c>
      <c r="AD34" s="64">
        <f t="shared" ca="1" si="18"/>
        <v>36303422.920940183</v>
      </c>
      <c r="AE34" s="64">
        <f t="shared" ca="1" si="18"/>
        <v>36303422.920940183</v>
      </c>
      <c r="AF34" s="64">
        <f t="shared" ca="1" si="18"/>
        <v>36303422.920940183</v>
      </c>
      <c r="AG34" s="64">
        <f t="shared" ca="1" si="18"/>
        <v>36303422.920940183</v>
      </c>
      <c r="AH34" s="64"/>
      <c r="AI34" s="65">
        <f ca="1">NPV(Lookups!$E$17,G34:AG34)</f>
        <v>799142137.8241365</v>
      </c>
      <c r="AJ34" s="65"/>
      <c r="AM34" s="71">
        <f ca="1">AM23-AM25-AM27</f>
        <v>35994028.323143914</v>
      </c>
      <c r="AN34" s="71">
        <f t="shared" ref="AN34:BM34" ca="1" si="19">AN23-AN25-AN27</f>
        <v>35680864.896322846</v>
      </c>
      <c r="AO34" s="71">
        <f t="shared" ca="1" si="19"/>
        <v>35361983.280773461</v>
      </c>
      <c r="AP34" s="71">
        <f t="shared" ca="1" si="19"/>
        <v>35361983.280773461</v>
      </c>
      <c r="AQ34" s="71">
        <f t="shared" ca="1" si="19"/>
        <v>35361983.280773461</v>
      </c>
      <c r="AR34" s="71">
        <f t="shared" ca="1" si="19"/>
        <v>35361983.280773461</v>
      </c>
      <c r="AS34" s="71">
        <f t="shared" ca="1" si="19"/>
        <v>35361983.280773461</v>
      </c>
      <c r="AT34" s="71">
        <f t="shared" ca="1" si="19"/>
        <v>35361983.280773461</v>
      </c>
      <c r="AU34" s="71">
        <f t="shared" ca="1" si="19"/>
        <v>35361983.280773461</v>
      </c>
      <c r="AV34" s="71">
        <f t="shared" ca="1" si="19"/>
        <v>35361983.280773461</v>
      </c>
      <c r="AW34" s="71">
        <f t="shared" ca="1" si="19"/>
        <v>35361983.280773461</v>
      </c>
      <c r="AX34" s="71">
        <f t="shared" ca="1" si="19"/>
        <v>35361983.280773461</v>
      </c>
      <c r="AY34" s="71">
        <f t="shared" ca="1" si="19"/>
        <v>35361983.280773461</v>
      </c>
      <c r="AZ34" s="71">
        <f t="shared" ca="1" si="19"/>
        <v>35361983.280773461</v>
      </c>
      <c r="BA34" s="71">
        <f t="shared" ca="1" si="19"/>
        <v>35361983.280773461</v>
      </c>
      <c r="BB34" s="71">
        <f t="shared" ca="1" si="19"/>
        <v>35671377.87856973</v>
      </c>
      <c r="BC34" s="71">
        <f t="shared" ca="1" si="19"/>
        <v>35984541.305390798</v>
      </c>
      <c r="BD34" s="71">
        <f t="shared" ca="1" si="19"/>
        <v>36303422.920940183</v>
      </c>
      <c r="BE34" s="71">
        <f t="shared" ca="1" si="19"/>
        <v>36303422.920940183</v>
      </c>
      <c r="BF34" s="71">
        <f t="shared" ca="1" si="19"/>
        <v>36303422.920940183</v>
      </c>
      <c r="BG34" s="71">
        <f t="shared" ca="1" si="19"/>
        <v>36303422.920940183</v>
      </c>
      <c r="BH34" s="71">
        <f t="shared" ca="1" si="19"/>
        <v>36303422.920940183</v>
      </c>
      <c r="BI34" s="71">
        <f t="shared" ca="1" si="19"/>
        <v>36303422.920940183</v>
      </c>
      <c r="BJ34" s="71">
        <f t="shared" ca="1" si="19"/>
        <v>36303422.920940183</v>
      </c>
      <c r="BK34" s="71">
        <f t="shared" ca="1" si="19"/>
        <v>36303422.920940183</v>
      </c>
      <c r="BL34" s="71">
        <f t="shared" ca="1" si="19"/>
        <v>36303422.920940183</v>
      </c>
      <c r="BM34" s="71">
        <f t="shared" ca="1" si="19"/>
        <v>36303422.920940183</v>
      </c>
      <c r="BN34" s="71"/>
      <c r="BO34" s="71">
        <f ca="1">NPV(Lookups!$E$17,AM34:BM34)</f>
        <v>797583793.08275616</v>
      </c>
      <c r="BP34" s="71"/>
      <c r="BS34" s="84" t="s">
        <v>231</v>
      </c>
      <c r="BT34" s="51" t="s">
        <v>17</v>
      </c>
    </row>
    <row r="35" spans="1:72" x14ac:dyDescent="0.25">
      <c r="B35" s="243" t="str">
        <f t="shared" si="13"/>
        <v>Residential</v>
      </c>
      <c r="C35" s="243" t="str">
        <f t="shared" si="13"/>
        <v>Revenue Requirements</v>
      </c>
      <c r="D35" s="244"/>
      <c r="E35" s="84" t="s">
        <v>17</v>
      </c>
      <c r="F35" s="84"/>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S35" s="84"/>
      <c r="BT35" s="51" t="s">
        <v>17</v>
      </c>
    </row>
    <row r="36" spans="1:72" s="5" customFormat="1" ht="15.75" x14ac:dyDescent="0.25">
      <c r="A36" s="52"/>
      <c r="B36" s="241" t="str">
        <f t="shared" si="13"/>
        <v>Residential</v>
      </c>
      <c r="C36" s="63" t="s">
        <v>30</v>
      </c>
      <c r="D36" s="61"/>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2"/>
      <c r="BO36" s="62"/>
      <c r="BP36" s="62"/>
      <c r="BS36" s="62"/>
      <c r="BT36" s="51" t="s">
        <v>17</v>
      </c>
    </row>
    <row r="37" spans="1:72" x14ac:dyDescent="0.25">
      <c r="B37" s="243" t="str">
        <f t="shared" si="13"/>
        <v>Residential</v>
      </c>
      <c r="C37" s="243" t="str">
        <f t="shared" si="13"/>
        <v>Rates</v>
      </c>
      <c r="D37" s="114" t="str">
        <f>"Rates before DSM ("&amp;Lookups!$D$22&amp;" Scenario)"</f>
        <v>Rates before DSM (No EE Scenario)</v>
      </c>
      <c r="E37" s="84"/>
      <c r="F37" s="84"/>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S37" s="84"/>
      <c r="BT37" s="51" t="s">
        <v>17</v>
      </c>
    </row>
    <row r="38" spans="1:72" x14ac:dyDescent="0.25">
      <c r="B38" s="243" t="str">
        <f t="shared" si="13"/>
        <v>Residential</v>
      </c>
      <c r="C38" s="243" t="str">
        <f t="shared" si="13"/>
        <v>Rates</v>
      </c>
      <c r="D38" s="244" t="str">
        <f>D37</f>
        <v>Rates before DSM (No EE Scenario)</v>
      </c>
      <c r="E38" s="84" t="s">
        <v>26</v>
      </c>
      <c r="F38" s="84" t="s">
        <v>182</v>
      </c>
      <c r="G38" s="506">
        <f>IF(G$8=0,0,INDEX('R&amp;B Inputs'!$I$78:$V$78,MATCH($B38,'R&amp;B Inputs'!$I$4:$V$4,0))*(1+INDEX('R&amp;B Inputs'!$I$48:$V$48,MATCH($B38,'R&amp;B Inputs'!$I$4:$V$4,0)))^(G$7-Year1))</f>
        <v>0.55689999999999995</v>
      </c>
      <c r="H38" s="506">
        <f>IF(H$8=0,0,INDEX('R&amp;B Inputs'!$I$78:$V$78,MATCH($B38,'R&amp;B Inputs'!$I$4:$V$4,0))*(1+INDEX('R&amp;B Inputs'!$I$48:$V$48,MATCH($B38,'R&amp;B Inputs'!$I$4:$V$4,0)))^(H$7-Year1))</f>
        <v>0.55689999999999995</v>
      </c>
      <c r="I38" s="506">
        <f>IF(I$8=0,0,INDEX('R&amp;B Inputs'!$I$78:$V$78,MATCH($B38,'R&amp;B Inputs'!$I$4:$V$4,0))*(1+INDEX('R&amp;B Inputs'!$I$48:$V$48,MATCH($B38,'R&amp;B Inputs'!$I$4:$V$4,0)))^(I$7-Year1))</f>
        <v>0.55689999999999995</v>
      </c>
      <c r="J38" s="506">
        <f>IF(J$8=0,0,INDEX('R&amp;B Inputs'!$I$78:$V$78,MATCH($B38,'R&amp;B Inputs'!$I$4:$V$4,0))*(1+INDEX('R&amp;B Inputs'!$I$48:$V$48,MATCH($B38,'R&amp;B Inputs'!$I$4:$V$4,0)))^(J$7-Year1))</f>
        <v>0.55689999999999995</v>
      </c>
      <c r="K38" s="506">
        <f>IF(K$8=0,0,INDEX('R&amp;B Inputs'!$I$78:$V$78,MATCH($B38,'R&amp;B Inputs'!$I$4:$V$4,0))*(1+INDEX('R&amp;B Inputs'!$I$48:$V$48,MATCH($B38,'R&amp;B Inputs'!$I$4:$V$4,0)))^(K$7-Year1))</f>
        <v>0.55689999999999995</v>
      </c>
      <c r="L38" s="506">
        <f>IF(L$8=0,0,INDEX('R&amp;B Inputs'!$I$78:$V$78,MATCH($B38,'R&amp;B Inputs'!$I$4:$V$4,0))*(1+INDEX('R&amp;B Inputs'!$I$48:$V$48,MATCH($B38,'R&amp;B Inputs'!$I$4:$V$4,0)))^(L$7-Year1))</f>
        <v>0.55689999999999995</v>
      </c>
      <c r="M38" s="506">
        <f>IF(M$8=0,0,INDEX('R&amp;B Inputs'!$I$78:$V$78,MATCH($B38,'R&amp;B Inputs'!$I$4:$V$4,0))*(1+INDEX('R&amp;B Inputs'!$I$48:$V$48,MATCH($B38,'R&amp;B Inputs'!$I$4:$V$4,0)))^(M$7-Year1))</f>
        <v>0.55689999999999995</v>
      </c>
      <c r="N38" s="506">
        <f>IF(N$8=0,0,INDEX('R&amp;B Inputs'!$I$78:$V$78,MATCH($B38,'R&amp;B Inputs'!$I$4:$V$4,0))*(1+INDEX('R&amp;B Inputs'!$I$48:$V$48,MATCH($B38,'R&amp;B Inputs'!$I$4:$V$4,0)))^(N$7-Year1))</f>
        <v>0.55689999999999995</v>
      </c>
      <c r="O38" s="506">
        <f>IF(O$8=0,0,INDEX('R&amp;B Inputs'!$I$78:$V$78,MATCH($B38,'R&amp;B Inputs'!$I$4:$V$4,0))*(1+INDEX('R&amp;B Inputs'!$I$48:$V$48,MATCH($B38,'R&amp;B Inputs'!$I$4:$V$4,0)))^(O$7-Year1))</f>
        <v>0.55689999999999995</v>
      </c>
      <c r="P38" s="506">
        <f>IF(P$8=0,0,INDEX('R&amp;B Inputs'!$I$78:$V$78,MATCH($B38,'R&amp;B Inputs'!$I$4:$V$4,0))*(1+INDEX('R&amp;B Inputs'!$I$48:$V$48,MATCH($B38,'R&amp;B Inputs'!$I$4:$V$4,0)))^(P$7-Year1))</f>
        <v>0.55689999999999995</v>
      </c>
      <c r="Q38" s="506">
        <f>IF(Q$8=0,0,INDEX('R&amp;B Inputs'!$I$78:$V$78,MATCH($B38,'R&amp;B Inputs'!$I$4:$V$4,0))*(1+INDEX('R&amp;B Inputs'!$I$48:$V$48,MATCH($B38,'R&amp;B Inputs'!$I$4:$V$4,0)))^(Q$7-Year1))</f>
        <v>0.55689999999999995</v>
      </c>
      <c r="R38" s="506">
        <f>IF(R$8=0,0,INDEX('R&amp;B Inputs'!$I$78:$V$78,MATCH($B38,'R&amp;B Inputs'!$I$4:$V$4,0))*(1+INDEX('R&amp;B Inputs'!$I$48:$V$48,MATCH($B38,'R&amp;B Inputs'!$I$4:$V$4,0)))^(R$7-Year1))</f>
        <v>0.55689999999999995</v>
      </c>
      <c r="S38" s="506">
        <f>IF(S$8=0,0,INDEX('R&amp;B Inputs'!$I$78:$V$78,MATCH($B38,'R&amp;B Inputs'!$I$4:$V$4,0))*(1+INDEX('R&amp;B Inputs'!$I$48:$V$48,MATCH($B38,'R&amp;B Inputs'!$I$4:$V$4,0)))^(S$7-Year1))</f>
        <v>0.55689999999999995</v>
      </c>
      <c r="T38" s="506">
        <f>IF(T$8=0,0,INDEX('R&amp;B Inputs'!$I$78:$V$78,MATCH($B38,'R&amp;B Inputs'!$I$4:$V$4,0))*(1+INDEX('R&amp;B Inputs'!$I$48:$V$48,MATCH($B38,'R&amp;B Inputs'!$I$4:$V$4,0)))^(T$7-Year1))</f>
        <v>0.55689999999999995</v>
      </c>
      <c r="U38" s="506">
        <f>IF(U$8=0,0,INDEX('R&amp;B Inputs'!$I$78:$V$78,MATCH($B38,'R&amp;B Inputs'!$I$4:$V$4,0))*(1+INDEX('R&amp;B Inputs'!$I$48:$V$48,MATCH($B38,'R&amp;B Inputs'!$I$4:$V$4,0)))^(U$7-Year1))</f>
        <v>0.55689999999999995</v>
      </c>
      <c r="V38" s="506">
        <f>IF(V$8=0,0,INDEX('R&amp;B Inputs'!$I$78:$V$78,MATCH($B38,'R&amp;B Inputs'!$I$4:$V$4,0))*(1+INDEX('R&amp;B Inputs'!$I$48:$V$48,MATCH($B38,'R&amp;B Inputs'!$I$4:$V$4,0)))^(V$7-Year1))</f>
        <v>0.55689999999999995</v>
      </c>
      <c r="W38" s="506">
        <f>IF(W$8=0,0,INDEX('R&amp;B Inputs'!$I$78:$V$78,MATCH($B38,'R&amp;B Inputs'!$I$4:$V$4,0))*(1+INDEX('R&amp;B Inputs'!$I$48:$V$48,MATCH($B38,'R&amp;B Inputs'!$I$4:$V$4,0)))^(W$7-Year1))</f>
        <v>0.55689999999999995</v>
      </c>
      <c r="X38" s="506">
        <f>IF(X$8=0,0,INDEX('R&amp;B Inputs'!$I$78:$V$78,MATCH($B38,'R&amp;B Inputs'!$I$4:$V$4,0))*(1+INDEX('R&amp;B Inputs'!$I$48:$V$48,MATCH($B38,'R&amp;B Inputs'!$I$4:$V$4,0)))^(X$7-Year1))</f>
        <v>0.55689999999999995</v>
      </c>
      <c r="Y38" s="506">
        <f>IF(Y$8=0,0,INDEX('R&amp;B Inputs'!$I$78:$V$78,MATCH($B38,'R&amp;B Inputs'!$I$4:$V$4,0))*(1+INDEX('R&amp;B Inputs'!$I$48:$V$48,MATCH($B38,'R&amp;B Inputs'!$I$4:$V$4,0)))^(Y$7-Year1))</f>
        <v>0.55689999999999995</v>
      </c>
      <c r="Z38" s="506">
        <f>IF(Z$8=0,0,INDEX('R&amp;B Inputs'!$I$78:$V$78,MATCH($B38,'R&amp;B Inputs'!$I$4:$V$4,0))*(1+INDEX('R&amp;B Inputs'!$I$48:$V$48,MATCH($B38,'R&amp;B Inputs'!$I$4:$V$4,0)))^(Z$7-Year1))</f>
        <v>0.55689999999999995</v>
      </c>
      <c r="AA38" s="506">
        <f>IF(AA$8=0,0,INDEX('R&amp;B Inputs'!$I$78:$V$78,MATCH($B38,'R&amp;B Inputs'!$I$4:$V$4,0))*(1+INDEX('R&amp;B Inputs'!$I$48:$V$48,MATCH($B38,'R&amp;B Inputs'!$I$4:$V$4,0)))^(AA$7-Year1))</f>
        <v>0.55689999999999995</v>
      </c>
      <c r="AB38" s="506">
        <f>IF(AB$8=0,0,INDEX('R&amp;B Inputs'!$I$78:$V$78,MATCH($B38,'R&amp;B Inputs'!$I$4:$V$4,0))*(1+INDEX('R&amp;B Inputs'!$I$48:$V$48,MATCH($B38,'R&amp;B Inputs'!$I$4:$V$4,0)))^(AB$7-Year1))</f>
        <v>0.55689999999999995</v>
      </c>
      <c r="AC38" s="506">
        <f>IF(AC$8=0,0,INDEX('R&amp;B Inputs'!$I$78:$V$78,MATCH($B38,'R&amp;B Inputs'!$I$4:$V$4,0))*(1+INDEX('R&amp;B Inputs'!$I$48:$V$48,MATCH($B38,'R&amp;B Inputs'!$I$4:$V$4,0)))^(AC$7-Year1))</f>
        <v>0.55689999999999995</v>
      </c>
      <c r="AD38" s="506">
        <f>IF(AD$8=0,0,INDEX('R&amp;B Inputs'!$I$78:$V$78,MATCH($B38,'R&amp;B Inputs'!$I$4:$V$4,0))*(1+INDEX('R&amp;B Inputs'!$I$48:$V$48,MATCH($B38,'R&amp;B Inputs'!$I$4:$V$4,0)))^(AD$7-Year1))</f>
        <v>0.55689999999999995</v>
      </c>
      <c r="AE38" s="506">
        <f>IF(AE$8=0,0,INDEX('R&amp;B Inputs'!$I$78:$V$78,MATCH($B38,'R&amp;B Inputs'!$I$4:$V$4,0))*(1+INDEX('R&amp;B Inputs'!$I$48:$V$48,MATCH($B38,'R&amp;B Inputs'!$I$4:$V$4,0)))^(AE$7-Year1))</f>
        <v>0.55689999999999995</v>
      </c>
      <c r="AF38" s="506">
        <f>IF(AF$8=0,0,INDEX('R&amp;B Inputs'!$I$78:$V$78,MATCH($B38,'R&amp;B Inputs'!$I$4:$V$4,0))*(1+INDEX('R&amp;B Inputs'!$I$48:$V$48,MATCH($B38,'R&amp;B Inputs'!$I$4:$V$4,0)))^(AF$7-Year1))</f>
        <v>0.55689999999999995</v>
      </c>
      <c r="AG38" s="506">
        <f>IF(AG$8=0,0,INDEX('R&amp;B Inputs'!$I$78:$V$78,MATCH($B38,'R&amp;B Inputs'!$I$4:$V$4,0))*(1+INDEX('R&amp;B Inputs'!$I$48:$V$48,MATCH($B38,'R&amp;B Inputs'!$I$4:$V$4,0)))^(AG$7-Year1))</f>
        <v>0.55689999999999995</v>
      </c>
      <c r="AH38" s="506"/>
      <c r="AI38" s="506"/>
      <c r="AJ38" s="506">
        <f>IF($C$4=Year1,-PMT(Lookups!$E$17,25,NPV(Lookups!$E$17,G38:AE38),0,1),IF($C$4=Year2,-PMT(Lookups!$F$17,25,NPV(Lookups!$F$17,H38:AF38),0,1),IF($C$4=Year3,-PMT(Lookups!$G$17,25,NPV(Lookups!$G$17,I38:AG38),0,1),-PMT(Lookups!$G$17,27,NPV(Lookups!$G$17,G38:AG38),0,1))))</f>
        <v>0.54913306537530249</v>
      </c>
      <c r="AK38" s="507"/>
      <c r="AL38" s="507"/>
      <c r="AM38" s="508">
        <f>IF(AM$8=0,0,INDEX('R&amp;B Inputs'!$I$78:$V$78,MATCH($B38,'R&amp;B Inputs'!$I$4:$V$4,0))*(1+INDEX('R&amp;B Inputs'!$I$48:$V$48,MATCH($B38,'R&amp;B Inputs'!$I$4:$V$4,0)))^(AM$7-Year1))</f>
        <v>0.55689999999999995</v>
      </c>
      <c r="AN38" s="508">
        <f>IF(AN$8=0,0,INDEX('R&amp;B Inputs'!$I$78:$V$78,MATCH($B38,'R&amp;B Inputs'!$I$4:$V$4,0))*(1+INDEX('R&amp;B Inputs'!$I$48:$V$48,MATCH($B38,'R&amp;B Inputs'!$I$4:$V$4,0)))^(AN$7-Year1))</f>
        <v>0.55689999999999995</v>
      </c>
      <c r="AO38" s="508">
        <f>IF(AO$8=0,0,INDEX('R&amp;B Inputs'!$I$78:$V$78,MATCH($B38,'R&amp;B Inputs'!$I$4:$V$4,0))*(1+INDEX('R&amp;B Inputs'!$I$48:$V$48,MATCH($B38,'R&amp;B Inputs'!$I$4:$V$4,0)))^(AO$7-Year1))</f>
        <v>0.55689999999999995</v>
      </c>
      <c r="AP38" s="508">
        <f>IF(AP$8=0,0,INDEX('R&amp;B Inputs'!$I$78:$V$78,MATCH($B38,'R&amp;B Inputs'!$I$4:$V$4,0))*(1+INDEX('R&amp;B Inputs'!$I$48:$V$48,MATCH($B38,'R&amp;B Inputs'!$I$4:$V$4,0)))^(AP$7-Year1))</f>
        <v>0.55689999999999995</v>
      </c>
      <c r="AQ38" s="508">
        <f>IF(AQ$8=0,0,INDEX('R&amp;B Inputs'!$I$78:$V$78,MATCH($B38,'R&amp;B Inputs'!$I$4:$V$4,0))*(1+INDEX('R&amp;B Inputs'!$I$48:$V$48,MATCH($B38,'R&amp;B Inputs'!$I$4:$V$4,0)))^(AQ$7-Year1))</f>
        <v>0.55689999999999995</v>
      </c>
      <c r="AR38" s="508">
        <f>IF(AR$8=0,0,INDEX('R&amp;B Inputs'!$I$78:$V$78,MATCH($B38,'R&amp;B Inputs'!$I$4:$V$4,0))*(1+INDEX('R&amp;B Inputs'!$I$48:$V$48,MATCH($B38,'R&amp;B Inputs'!$I$4:$V$4,0)))^(AR$7-Year1))</f>
        <v>0.55689999999999995</v>
      </c>
      <c r="AS38" s="508">
        <f>IF(AS$8=0,0,INDEX('R&amp;B Inputs'!$I$78:$V$78,MATCH($B38,'R&amp;B Inputs'!$I$4:$V$4,0))*(1+INDEX('R&amp;B Inputs'!$I$48:$V$48,MATCH($B38,'R&amp;B Inputs'!$I$4:$V$4,0)))^(AS$7-Year1))</f>
        <v>0.55689999999999995</v>
      </c>
      <c r="AT38" s="508">
        <f>IF(AT$8=0,0,INDEX('R&amp;B Inputs'!$I$78:$V$78,MATCH($B38,'R&amp;B Inputs'!$I$4:$V$4,0))*(1+INDEX('R&amp;B Inputs'!$I$48:$V$48,MATCH($B38,'R&amp;B Inputs'!$I$4:$V$4,0)))^(AT$7-Year1))</f>
        <v>0.55689999999999995</v>
      </c>
      <c r="AU38" s="508">
        <f>IF(AU$8=0,0,INDEX('R&amp;B Inputs'!$I$78:$V$78,MATCH($B38,'R&amp;B Inputs'!$I$4:$V$4,0))*(1+INDEX('R&amp;B Inputs'!$I$48:$V$48,MATCH($B38,'R&amp;B Inputs'!$I$4:$V$4,0)))^(AU$7-Year1))</f>
        <v>0.55689999999999995</v>
      </c>
      <c r="AV38" s="508">
        <f>IF(AV$8=0,0,INDEX('R&amp;B Inputs'!$I$78:$V$78,MATCH($B38,'R&amp;B Inputs'!$I$4:$V$4,0))*(1+INDEX('R&amp;B Inputs'!$I$48:$V$48,MATCH($B38,'R&amp;B Inputs'!$I$4:$V$4,0)))^(AV$7-Year1))</f>
        <v>0.55689999999999995</v>
      </c>
      <c r="AW38" s="508">
        <f>IF(AW$8=0,0,INDEX('R&amp;B Inputs'!$I$78:$V$78,MATCH($B38,'R&amp;B Inputs'!$I$4:$V$4,0))*(1+INDEX('R&amp;B Inputs'!$I$48:$V$48,MATCH($B38,'R&amp;B Inputs'!$I$4:$V$4,0)))^(AW$7-Year1))</f>
        <v>0.55689999999999995</v>
      </c>
      <c r="AX38" s="508">
        <f>IF(AX$8=0,0,INDEX('R&amp;B Inputs'!$I$78:$V$78,MATCH($B38,'R&amp;B Inputs'!$I$4:$V$4,0))*(1+INDEX('R&amp;B Inputs'!$I$48:$V$48,MATCH($B38,'R&amp;B Inputs'!$I$4:$V$4,0)))^(AX$7-Year1))</f>
        <v>0.55689999999999995</v>
      </c>
      <c r="AY38" s="508">
        <f>IF(AY$8=0,0,INDEX('R&amp;B Inputs'!$I$78:$V$78,MATCH($B38,'R&amp;B Inputs'!$I$4:$V$4,0))*(1+INDEX('R&amp;B Inputs'!$I$48:$V$48,MATCH($B38,'R&amp;B Inputs'!$I$4:$V$4,0)))^(AY$7-Year1))</f>
        <v>0.55689999999999995</v>
      </c>
      <c r="AZ38" s="508">
        <f>IF(AZ$8=0,0,INDEX('R&amp;B Inputs'!$I$78:$V$78,MATCH($B38,'R&amp;B Inputs'!$I$4:$V$4,0))*(1+INDEX('R&amp;B Inputs'!$I$48:$V$48,MATCH($B38,'R&amp;B Inputs'!$I$4:$V$4,0)))^(AZ$7-Year1))</f>
        <v>0.55689999999999995</v>
      </c>
      <c r="BA38" s="508">
        <f>IF(BA$8=0,0,INDEX('R&amp;B Inputs'!$I$78:$V$78,MATCH($B38,'R&amp;B Inputs'!$I$4:$V$4,0))*(1+INDEX('R&amp;B Inputs'!$I$48:$V$48,MATCH($B38,'R&amp;B Inputs'!$I$4:$V$4,0)))^(BA$7-Year1))</f>
        <v>0.55689999999999995</v>
      </c>
      <c r="BB38" s="508">
        <f>IF(BB$8=0,0,INDEX('R&amp;B Inputs'!$I$78:$V$78,MATCH($B38,'R&amp;B Inputs'!$I$4:$V$4,0))*(1+INDEX('R&amp;B Inputs'!$I$48:$V$48,MATCH($B38,'R&amp;B Inputs'!$I$4:$V$4,0)))^(BB$7-Year1))</f>
        <v>0.55689999999999995</v>
      </c>
      <c r="BC38" s="508">
        <f>IF(BC$8=0,0,INDEX('R&amp;B Inputs'!$I$78:$V$78,MATCH($B38,'R&amp;B Inputs'!$I$4:$V$4,0))*(1+INDEX('R&amp;B Inputs'!$I$48:$V$48,MATCH($B38,'R&amp;B Inputs'!$I$4:$V$4,0)))^(BC$7-Year1))</f>
        <v>0.55689999999999995</v>
      </c>
      <c r="BD38" s="508">
        <f>IF(BD$8=0,0,INDEX('R&amp;B Inputs'!$I$78:$V$78,MATCH($B38,'R&amp;B Inputs'!$I$4:$V$4,0))*(1+INDEX('R&amp;B Inputs'!$I$48:$V$48,MATCH($B38,'R&amp;B Inputs'!$I$4:$V$4,0)))^(BD$7-Year1))</f>
        <v>0.55689999999999995</v>
      </c>
      <c r="BE38" s="508">
        <f>IF(BE$8=0,0,INDEX('R&amp;B Inputs'!$I$78:$V$78,MATCH($B38,'R&amp;B Inputs'!$I$4:$V$4,0))*(1+INDEX('R&amp;B Inputs'!$I$48:$V$48,MATCH($B38,'R&amp;B Inputs'!$I$4:$V$4,0)))^(BE$7-Year1))</f>
        <v>0.55689999999999995</v>
      </c>
      <c r="BF38" s="508">
        <f>IF(BF$8=0,0,INDEX('R&amp;B Inputs'!$I$78:$V$78,MATCH($B38,'R&amp;B Inputs'!$I$4:$V$4,0))*(1+INDEX('R&amp;B Inputs'!$I$48:$V$48,MATCH($B38,'R&amp;B Inputs'!$I$4:$V$4,0)))^(BF$7-Year1))</f>
        <v>0.55689999999999995</v>
      </c>
      <c r="BG38" s="508">
        <f>IF(BG$8=0,0,INDEX('R&amp;B Inputs'!$I$78:$V$78,MATCH($B38,'R&amp;B Inputs'!$I$4:$V$4,0))*(1+INDEX('R&amp;B Inputs'!$I$48:$V$48,MATCH($B38,'R&amp;B Inputs'!$I$4:$V$4,0)))^(BG$7-Year1))</f>
        <v>0.55689999999999995</v>
      </c>
      <c r="BH38" s="508">
        <f>IF(BH$8=0,0,INDEX('R&amp;B Inputs'!$I$78:$V$78,MATCH($B38,'R&amp;B Inputs'!$I$4:$V$4,0))*(1+INDEX('R&amp;B Inputs'!$I$48:$V$48,MATCH($B38,'R&amp;B Inputs'!$I$4:$V$4,0)))^(BH$7-Year1))</f>
        <v>0.55689999999999995</v>
      </c>
      <c r="BI38" s="508">
        <f>IF(BI$8=0,0,INDEX('R&amp;B Inputs'!$I$78:$V$78,MATCH($B38,'R&amp;B Inputs'!$I$4:$V$4,0))*(1+INDEX('R&amp;B Inputs'!$I$48:$V$48,MATCH($B38,'R&amp;B Inputs'!$I$4:$V$4,0)))^(BI$7-Year1))</f>
        <v>0.55689999999999995</v>
      </c>
      <c r="BJ38" s="508">
        <f>IF(BJ$8=0,0,INDEX('R&amp;B Inputs'!$I$78:$V$78,MATCH($B38,'R&amp;B Inputs'!$I$4:$V$4,0))*(1+INDEX('R&amp;B Inputs'!$I$48:$V$48,MATCH($B38,'R&amp;B Inputs'!$I$4:$V$4,0)))^(BJ$7-Year1))</f>
        <v>0.55689999999999995</v>
      </c>
      <c r="BK38" s="508">
        <f>IF(BK$8=0,0,INDEX('R&amp;B Inputs'!$I$78:$V$78,MATCH($B38,'R&amp;B Inputs'!$I$4:$V$4,0))*(1+INDEX('R&amp;B Inputs'!$I$48:$V$48,MATCH($B38,'R&amp;B Inputs'!$I$4:$V$4,0)))^(BK$7-Year1))</f>
        <v>0.55689999999999995</v>
      </c>
      <c r="BL38" s="508">
        <f>IF(BL$8=0,0,INDEX('R&amp;B Inputs'!$I$78:$V$78,MATCH($B38,'R&amp;B Inputs'!$I$4:$V$4,0))*(1+INDEX('R&amp;B Inputs'!$I$48:$V$48,MATCH($B38,'R&amp;B Inputs'!$I$4:$V$4,0)))^(BL$7-Year1))</f>
        <v>0.55689999999999995</v>
      </c>
      <c r="BM38" s="508">
        <f>IF(BM$8=0,0,INDEX('R&amp;B Inputs'!$I$78:$V$78,MATCH($B38,'R&amp;B Inputs'!$I$4:$V$4,0))*(1+INDEX('R&amp;B Inputs'!$I$48:$V$48,MATCH($B38,'R&amp;B Inputs'!$I$4:$V$4,0)))^(BM$7-Year1))</f>
        <v>0.55689999999999995</v>
      </c>
      <c r="BN38" s="508"/>
      <c r="BO38" s="508"/>
      <c r="BP38" s="508">
        <f>IF($C$4=Year1,-PMT(Lookups!$E$17,25,NPV(Lookups!$E$17,AM38:BK38),0,1),IF($C$4=Year2,-PMT(Lookups!$F$17,25,NPV(Lookups!$F$17,AN38:BL38),0,1),IF($C$4=Year3,-PMT(Lookups!$G$17,25,NPV(Lookups!$G$17,AO38:BM38),0,1),-PMT(Lookups!$G$17,27,NPV(Lookups!$G$17,AM38:BM38),0,1))))</f>
        <v>0.54913306537530249</v>
      </c>
      <c r="BS38" s="76" t="str">
        <f t="shared" ref="BS38:BS40" si="20">E38&amp;" charge from the R&amp;B Inputs tab, escalated annually by the growth rate included on the R&amp;B Inputs tab."</f>
        <v>Distribution charge from the R&amp;B Inputs tab, escalated annually by the growth rate included on the R&amp;B Inputs tab.</v>
      </c>
      <c r="BT38" s="51" t="s">
        <v>17</v>
      </c>
    </row>
    <row r="39" spans="1:72" x14ac:dyDescent="0.25">
      <c r="B39" s="243" t="str">
        <f t="shared" si="13"/>
        <v>Residential</v>
      </c>
      <c r="C39" s="243" t="str">
        <f t="shared" si="13"/>
        <v>Rates</v>
      </c>
      <c r="D39" s="244" t="str">
        <f>D38</f>
        <v>Rates before DSM (No EE Scenario)</v>
      </c>
      <c r="E39" s="84" t="s">
        <v>407</v>
      </c>
      <c r="F39" s="84" t="s">
        <v>182</v>
      </c>
      <c r="G39" s="506">
        <f>IF(G$8=0,0,INDEX('R&amp;B Inputs'!$I$82:$V$82,MATCH($B39,'R&amp;B Inputs'!$I$4:$V$4,0))*(1+INDEX('R&amp;B Inputs'!$I$62:$V$62,MATCH($B39,'R&amp;B Inputs'!$I$4:$V$4,0)))^(G$7-Year1))</f>
        <v>-3.3000000000000002E-2</v>
      </c>
      <c r="H39" s="506">
        <f>IF(H$8=0,0,INDEX('R&amp;B Inputs'!$I$82:$V$82,MATCH($B39,'R&amp;B Inputs'!$I$4:$V$4,0))*(1+INDEX('R&amp;B Inputs'!$I$62:$V$62,MATCH($B39,'R&amp;B Inputs'!$I$4:$V$4,0)))^(H$7-Year1))</f>
        <v>-3.3000000000000002E-2</v>
      </c>
      <c r="I39" s="506">
        <f>IF(I$8=0,0,INDEX('R&amp;B Inputs'!$I$82:$V$82,MATCH($B39,'R&amp;B Inputs'!$I$4:$V$4,0))*(1+INDEX('R&amp;B Inputs'!$I$62:$V$62,MATCH($B39,'R&amp;B Inputs'!$I$4:$V$4,0)))^(I$7-Year1))</f>
        <v>-3.3000000000000002E-2</v>
      </c>
      <c r="J39" s="506">
        <f>IF(J$8=0,0,INDEX('R&amp;B Inputs'!$I$82:$V$82,MATCH($B39,'R&amp;B Inputs'!$I$4:$V$4,0))*(1+INDEX('R&amp;B Inputs'!$I$62:$V$62,MATCH($B39,'R&amp;B Inputs'!$I$4:$V$4,0)))^(J$7-Year1))</f>
        <v>-3.3000000000000002E-2</v>
      </c>
      <c r="K39" s="506">
        <f>IF(K$8=0,0,INDEX('R&amp;B Inputs'!$I$82:$V$82,MATCH($B39,'R&amp;B Inputs'!$I$4:$V$4,0))*(1+INDEX('R&amp;B Inputs'!$I$62:$V$62,MATCH($B39,'R&amp;B Inputs'!$I$4:$V$4,0)))^(K$7-Year1))</f>
        <v>-3.3000000000000002E-2</v>
      </c>
      <c r="L39" s="506">
        <f>IF(L$8=0,0,INDEX('R&amp;B Inputs'!$I$82:$V$82,MATCH($B39,'R&amp;B Inputs'!$I$4:$V$4,0))*(1+INDEX('R&amp;B Inputs'!$I$62:$V$62,MATCH($B39,'R&amp;B Inputs'!$I$4:$V$4,0)))^(L$7-Year1))</f>
        <v>-3.3000000000000002E-2</v>
      </c>
      <c r="M39" s="506">
        <f>IF(M$8=0,0,INDEX('R&amp;B Inputs'!$I$82:$V$82,MATCH($B39,'R&amp;B Inputs'!$I$4:$V$4,0))*(1+INDEX('R&amp;B Inputs'!$I$62:$V$62,MATCH($B39,'R&amp;B Inputs'!$I$4:$V$4,0)))^(M$7-Year1))</f>
        <v>-3.3000000000000002E-2</v>
      </c>
      <c r="N39" s="506">
        <f>IF(N$8=0,0,INDEX('R&amp;B Inputs'!$I$82:$V$82,MATCH($B39,'R&amp;B Inputs'!$I$4:$V$4,0))*(1+INDEX('R&amp;B Inputs'!$I$62:$V$62,MATCH($B39,'R&amp;B Inputs'!$I$4:$V$4,0)))^(N$7-Year1))</f>
        <v>-3.3000000000000002E-2</v>
      </c>
      <c r="O39" s="506">
        <f>IF(O$8=0,0,INDEX('R&amp;B Inputs'!$I$82:$V$82,MATCH($B39,'R&amp;B Inputs'!$I$4:$V$4,0))*(1+INDEX('R&amp;B Inputs'!$I$62:$V$62,MATCH($B39,'R&amp;B Inputs'!$I$4:$V$4,0)))^(O$7-Year1))</f>
        <v>-3.3000000000000002E-2</v>
      </c>
      <c r="P39" s="506">
        <f>IF(P$8=0,0,INDEX('R&amp;B Inputs'!$I$82:$V$82,MATCH($B39,'R&amp;B Inputs'!$I$4:$V$4,0))*(1+INDEX('R&amp;B Inputs'!$I$62:$V$62,MATCH($B39,'R&amp;B Inputs'!$I$4:$V$4,0)))^(P$7-Year1))</f>
        <v>-3.3000000000000002E-2</v>
      </c>
      <c r="Q39" s="506">
        <f>IF(Q$8=0,0,INDEX('R&amp;B Inputs'!$I$82:$V$82,MATCH($B39,'R&amp;B Inputs'!$I$4:$V$4,0))*(1+INDEX('R&amp;B Inputs'!$I$62:$V$62,MATCH($B39,'R&amp;B Inputs'!$I$4:$V$4,0)))^(Q$7-Year1))</f>
        <v>-3.3000000000000002E-2</v>
      </c>
      <c r="R39" s="506">
        <f>IF(R$8=0,0,INDEX('R&amp;B Inputs'!$I$82:$V$82,MATCH($B39,'R&amp;B Inputs'!$I$4:$V$4,0))*(1+INDEX('R&amp;B Inputs'!$I$62:$V$62,MATCH($B39,'R&amp;B Inputs'!$I$4:$V$4,0)))^(R$7-Year1))</f>
        <v>-3.3000000000000002E-2</v>
      </c>
      <c r="S39" s="506">
        <f>IF(S$8=0,0,INDEX('R&amp;B Inputs'!$I$82:$V$82,MATCH($B39,'R&amp;B Inputs'!$I$4:$V$4,0))*(1+INDEX('R&amp;B Inputs'!$I$62:$V$62,MATCH($B39,'R&amp;B Inputs'!$I$4:$V$4,0)))^(S$7-Year1))</f>
        <v>-3.3000000000000002E-2</v>
      </c>
      <c r="T39" s="506">
        <f>IF(T$8=0,0,INDEX('R&amp;B Inputs'!$I$82:$V$82,MATCH($B39,'R&amp;B Inputs'!$I$4:$V$4,0))*(1+INDEX('R&amp;B Inputs'!$I$62:$V$62,MATCH($B39,'R&amp;B Inputs'!$I$4:$V$4,0)))^(T$7-Year1))</f>
        <v>-3.3000000000000002E-2</v>
      </c>
      <c r="U39" s="506">
        <f>IF(U$8=0,0,INDEX('R&amp;B Inputs'!$I$82:$V$82,MATCH($B39,'R&amp;B Inputs'!$I$4:$V$4,0))*(1+INDEX('R&amp;B Inputs'!$I$62:$V$62,MATCH($B39,'R&amp;B Inputs'!$I$4:$V$4,0)))^(U$7-Year1))</f>
        <v>-3.3000000000000002E-2</v>
      </c>
      <c r="V39" s="506">
        <f>IF(V$8=0,0,INDEX('R&amp;B Inputs'!$I$82:$V$82,MATCH($B39,'R&amp;B Inputs'!$I$4:$V$4,0))*(1+INDEX('R&amp;B Inputs'!$I$62:$V$62,MATCH($B39,'R&amp;B Inputs'!$I$4:$V$4,0)))^(V$7-Year1))</f>
        <v>-3.3000000000000002E-2</v>
      </c>
      <c r="W39" s="506">
        <f>IF(W$8=0,0,INDEX('R&amp;B Inputs'!$I$82:$V$82,MATCH($B39,'R&amp;B Inputs'!$I$4:$V$4,0))*(1+INDEX('R&amp;B Inputs'!$I$62:$V$62,MATCH($B39,'R&amp;B Inputs'!$I$4:$V$4,0)))^(W$7-Year1))</f>
        <v>-3.3000000000000002E-2</v>
      </c>
      <c r="X39" s="506">
        <f>IF(X$8=0,0,INDEX('R&amp;B Inputs'!$I$82:$V$82,MATCH($B39,'R&amp;B Inputs'!$I$4:$V$4,0))*(1+INDEX('R&amp;B Inputs'!$I$62:$V$62,MATCH($B39,'R&amp;B Inputs'!$I$4:$V$4,0)))^(X$7-Year1))</f>
        <v>-3.3000000000000002E-2</v>
      </c>
      <c r="Y39" s="506">
        <f>IF(Y$8=0,0,INDEX('R&amp;B Inputs'!$I$82:$V$82,MATCH($B39,'R&amp;B Inputs'!$I$4:$V$4,0))*(1+INDEX('R&amp;B Inputs'!$I$62:$V$62,MATCH($B39,'R&amp;B Inputs'!$I$4:$V$4,0)))^(Y$7-Year1))</f>
        <v>-3.3000000000000002E-2</v>
      </c>
      <c r="Z39" s="506">
        <f>IF(Z$8=0,0,INDEX('R&amp;B Inputs'!$I$82:$V$82,MATCH($B39,'R&amp;B Inputs'!$I$4:$V$4,0))*(1+INDEX('R&amp;B Inputs'!$I$62:$V$62,MATCH($B39,'R&amp;B Inputs'!$I$4:$V$4,0)))^(Z$7-Year1))</f>
        <v>-3.3000000000000002E-2</v>
      </c>
      <c r="AA39" s="506">
        <f>IF(AA$8=0,0,INDEX('R&amp;B Inputs'!$I$82:$V$82,MATCH($B39,'R&amp;B Inputs'!$I$4:$V$4,0))*(1+INDEX('R&amp;B Inputs'!$I$62:$V$62,MATCH($B39,'R&amp;B Inputs'!$I$4:$V$4,0)))^(AA$7-Year1))</f>
        <v>-3.3000000000000002E-2</v>
      </c>
      <c r="AB39" s="506">
        <f>IF(AB$8=0,0,INDEX('R&amp;B Inputs'!$I$82:$V$82,MATCH($B39,'R&amp;B Inputs'!$I$4:$V$4,0))*(1+INDEX('R&amp;B Inputs'!$I$62:$V$62,MATCH($B39,'R&amp;B Inputs'!$I$4:$V$4,0)))^(AB$7-Year1))</f>
        <v>-3.3000000000000002E-2</v>
      </c>
      <c r="AC39" s="506">
        <f>IF(AC$8=0,0,INDEX('R&amp;B Inputs'!$I$82:$V$82,MATCH($B39,'R&amp;B Inputs'!$I$4:$V$4,0))*(1+INDEX('R&amp;B Inputs'!$I$62:$V$62,MATCH($B39,'R&amp;B Inputs'!$I$4:$V$4,0)))^(AC$7-Year1))</f>
        <v>-3.3000000000000002E-2</v>
      </c>
      <c r="AD39" s="506">
        <f>IF(AD$8=0,0,INDEX('R&amp;B Inputs'!$I$82:$V$82,MATCH($B39,'R&amp;B Inputs'!$I$4:$V$4,0))*(1+INDEX('R&amp;B Inputs'!$I$62:$V$62,MATCH($B39,'R&amp;B Inputs'!$I$4:$V$4,0)))^(AD$7-Year1))</f>
        <v>-3.3000000000000002E-2</v>
      </c>
      <c r="AE39" s="506">
        <f>IF(AE$8=0,0,INDEX('R&amp;B Inputs'!$I$82:$V$82,MATCH($B39,'R&amp;B Inputs'!$I$4:$V$4,0))*(1+INDEX('R&amp;B Inputs'!$I$62:$V$62,MATCH($B39,'R&amp;B Inputs'!$I$4:$V$4,0)))^(AE$7-Year1))</f>
        <v>-3.3000000000000002E-2</v>
      </c>
      <c r="AF39" s="506">
        <f>IF(AF$8=0,0,INDEX('R&amp;B Inputs'!$I$82:$V$82,MATCH($B39,'R&amp;B Inputs'!$I$4:$V$4,0))*(1+INDEX('R&amp;B Inputs'!$I$62:$V$62,MATCH($B39,'R&amp;B Inputs'!$I$4:$V$4,0)))^(AF$7-Year1))</f>
        <v>-3.3000000000000002E-2</v>
      </c>
      <c r="AG39" s="506">
        <f>IF(AG$8=0,0,INDEX('R&amp;B Inputs'!$I$82:$V$82,MATCH($B39,'R&amp;B Inputs'!$I$4:$V$4,0))*(1+INDEX('R&amp;B Inputs'!$I$62:$V$62,MATCH($B39,'R&amp;B Inputs'!$I$4:$V$4,0)))^(AG$7-Year1))</f>
        <v>-3.3000000000000002E-2</v>
      </c>
      <c r="AH39" s="506"/>
      <c r="AI39" s="506"/>
      <c r="AJ39" s="506">
        <f>IF($C$4=Year1,-PMT(Lookups!$E$17,25,NPV(Lookups!$E$17,G39:AE39),0,1),IF($C$4=Year2,-PMT(Lookups!$F$17,25,NPV(Lookups!$F$17,H39:AF39),0,1),IF($C$4=Year3,-PMT(Lookups!$G$17,25,NPV(Lookups!$G$17,I39:AG39),0,1),-PMT(Lookups!$G$17,27,NPV(Lookups!$G$17,G39:AG39),0,1))))</f>
        <v>-3.2539757869249397E-2</v>
      </c>
      <c r="AK39" s="507"/>
      <c r="AL39" s="507"/>
      <c r="AM39" s="508">
        <f>IF(AM$8=0,0,INDEX('R&amp;B Inputs'!$I$82:$V$82,MATCH($B39,'R&amp;B Inputs'!$I$4:$V$4,0))*(1+INDEX('R&amp;B Inputs'!$I$62:$V$62,MATCH($B39,'R&amp;B Inputs'!$I$4:$V$4,0)))^(AM$7-Year1))</f>
        <v>-3.3000000000000002E-2</v>
      </c>
      <c r="AN39" s="508">
        <f>IF(AN$8=0,0,INDEX('R&amp;B Inputs'!$I$82:$V$82,MATCH($B39,'R&amp;B Inputs'!$I$4:$V$4,0))*(1+INDEX('R&amp;B Inputs'!$I$62:$V$62,MATCH($B39,'R&amp;B Inputs'!$I$4:$V$4,0)))^(AN$7-Year1))</f>
        <v>-3.3000000000000002E-2</v>
      </c>
      <c r="AO39" s="508">
        <f>IF(AO$8=0,0,INDEX('R&amp;B Inputs'!$I$82:$V$82,MATCH($B39,'R&amp;B Inputs'!$I$4:$V$4,0))*(1+INDEX('R&amp;B Inputs'!$I$62:$V$62,MATCH($B39,'R&amp;B Inputs'!$I$4:$V$4,0)))^(AO$7-Year1))</f>
        <v>-3.3000000000000002E-2</v>
      </c>
      <c r="AP39" s="508">
        <f>IF(AP$8=0,0,INDEX('R&amp;B Inputs'!$I$82:$V$82,MATCH($B39,'R&amp;B Inputs'!$I$4:$V$4,0))*(1+INDEX('R&amp;B Inputs'!$I$62:$V$62,MATCH($B39,'R&amp;B Inputs'!$I$4:$V$4,0)))^(AP$7-Year1))</f>
        <v>-3.3000000000000002E-2</v>
      </c>
      <c r="AQ39" s="508">
        <f>IF(AQ$8=0,0,INDEX('R&amp;B Inputs'!$I$82:$V$82,MATCH($B39,'R&amp;B Inputs'!$I$4:$V$4,0))*(1+INDEX('R&amp;B Inputs'!$I$62:$V$62,MATCH($B39,'R&amp;B Inputs'!$I$4:$V$4,0)))^(AQ$7-Year1))</f>
        <v>-3.3000000000000002E-2</v>
      </c>
      <c r="AR39" s="508">
        <f>IF(AR$8=0,0,INDEX('R&amp;B Inputs'!$I$82:$V$82,MATCH($B39,'R&amp;B Inputs'!$I$4:$V$4,0))*(1+INDEX('R&amp;B Inputs'!$I$62:$V$62,MATCH($B39,'R&amp;B Inputs'!$I$4:$V$4,0)))^(AR$7-Year1))</f>
        <v>-3.3000000000000002E-2</v>
      </c>
      <c r="AS39" s="508">
        <f>IF(AS$8=0,0,INDEX('R&amp;B Inputs'!$I$82:$V$82,MATCH($B39,'R&amp;B Inputs'!$I$4:$V$4,0))*(1+INDEX('R&amp;B Inputs'!$I$62:$V$62,MATCH($B39,'R&amp;B Inputs'!$I$4:$V$4,0)))^(AS$7-Year1))</f>
        <v>-3.3000000000000002E-2</v>
      </c>
      <c r="AT39" s="508">
        <f>IF(AT$8=0,0,INDEX('R&amp;B Inputs'!$I$82:$V$82,MATCH($B39,'R&amp;B Inputs'!$I$4:$V$4,0))*(1+INDEX('R&amp;B Inputs'!$I$62:$V$62,MATCH($B39,'R&amp;B Inputs'!$I$4:$V$4,0)))^(AT$7-Year1))</f>
        <v>-3.3000000000000002E-2</v>
      </c>
      <c r="AU39" s="508">
        <f>IF(AU$8=0,0,INDEX('R&amp;B Inputs'!$I$82:$V$82,MATCH($B39,'R&amp;B Inputs'!$I$4:$V$4,0))*(1+INDEX('R&amp;B Inputs'!$I$62:$V$62,MATCH($B39,'R&amp;B Inputs'!$I$4:$V$4,0)))^(AU$7-Year1))</f>
        <v>-3.3000000000000002E-2</v>
      </c>
      <c r="AV39" s="508">
        <f>IF(AV$8=0,0,INDEX('R&amp;B Inputs'!$I$82:$V$82,MATCH($B39,'R&amp;B Inputs'!$I$4:$V$4,0))*(1+INDEX('R&amp;B Inputs'!$I$62:$V$62,MATCH($B39,'R&amp;B Inputs'!$I$4:$V$4,0)))^(AV$7-Year1))</f>
        <v>-3.3000000000000002E-2</v>
      </c>
      <c r="AW39" s="508">
        <f>IF(AW$8=0,0,INDEX('R&amp;B Inputs'!$I$82:$V$82,MATCH($B39,'R&amp;B Inputs'!$I$4:$V$4,0))*(1+INDEX('R&amp;B Inputs'!$I$62:$V$62,MATCH($B39,'R&amp;B Inputs'!$I$4:$V$4,0)))^(AW$7-Year1))</f>
        <v>-3.3000000000000002E-2</v>
      </c>
      <c r="AX39" s="508">
        <f>IF(AX$8=0,0,INDEX('R&amp;B Inputs'!$I$82:$V$82,MATCH($B39,'R&amp;B Inputs'!$I$4:$V$4,0))*(1+INDEX('R&amp;B Inputs'!$I$62:$V$62,MATCH($B39,'R&amp;B Inputs'!$I$4:$V$4,0)))^(AX$7-Year1))</f>
        <v>-3.3000000000000002E-2</v>
      </c>
      <c r="AY39" s="508">
        <f>IF(AY$8=0,0,INDEX('R&amp;B Inputs'!$I$82:$V$82,MATCH($B39,'R&amp;B Inputs'!$I$4:$V$4,0))*(1+INDEX('R&amp;B Inputs'!$I$62:$V$62,MATCH($B39,'R&amp;B Inputs'!$I$4:$V$4,0)))^(AY$7-Year1))</f>
        <v>-3.3000000000000002E-2</v>
      </c>
      <c r="AZ39" s="508">
        <f>IF(AZ$8=0,0,INDEX('R&amp;B Inputs'!$I$82:$V$82,MATCH($B39,'R&amp;B Inputs'!$I$4:$V$4,0))*(1+INDEX('R&amp;B Inputs'!$I$62:$V$62,MATCH($B39,'R&amp;B Inputs'!$I$4:$V$4,0)))^(AZ$7-Year1))</f>
        <v>-3.3000000000000002E-2</v>
      </c>
      <c r="BA39" s="508">
        <f>IF(BA$8=0,0,INDEX('R&amp;B Inputs'!$I$82:$V$82,MATCH($B39,'R&amp;B Inputs'!$I$4:$V$4,0))*(1+INDEX('R&amp;B Inputs'!$I$62:$V$62,MATCH($B39,'R&amp;B Inputs'!$I$4:$V$4,0)))^(BA$7-Year1))</f>
        <v>-3.3000000000000002E-2</v>
      </c>
      <c r="BB39" s="508">
        <f>IF(BB$8=0,0,INDEX('R&amp;B Inputs'!$I$82:$V$82,MATCH($B39,'R&amp;B Inputs'!$I$4:$V$4,0))*(1+INDEX('R&amp;B Inputs'!$I$62:$V$62,MATCH($B39,'R&amp;B Inputs'!$I$4:$V$4,0)))^(BB$7-Year1))</f>
        <v>-3.3000000000000002E-2</v>
      </c>
      <c r="BC39" s="508">
        <f>IF(BC$8=0,0,INDEX('R&amp;B Inputs'!$I$82:$V$82,MATCH($B39,'R&amp;B Inputs'!$I$4:$V$4,0))*(1+INDEX('R&amp;B Inputs'!$I$62:$V$62,MATCH($B39,'R&amp;B Inputs'!$I$4:$V$4,0)))^(BC$7-Year1))</f>
        <v>-3.3000000000000002E-2</v>
      </c>
      <c r="BD39" s="508">
        <f>IF(BD$8=0,0,INDEX('R&amp;B Inputs'!$I$82:$V$82,MATCH($B39,'R&amp;B Inputs'!$I$4:$V$4,0))*(1+INDEX('R&amp;B Inputs'!$I$62:$V$62,MATCH($B39,'R&amp;B Inputs'!$I$4:$V$4,0)))^(BD$7-Year1))</f>
        <v>-3.3000000000000002E-2</v>
      </c>
      <c r="BE39" s="508">
        <f>IF(BE$8=0,0,INDEX('R&amp;B Inputs'!$I$82:$V$82,MATCH($B39,'R&amp;B Inputs'!$I$4:$V$4,0))*(1+INDEX('R&amp;B Inputs'!$I$62:$V$62,MATCH($B39,'R&amp;B Inputs'!$I$4:$V$4,0)))^(BE$7-Year1))</f>
        <v>-3.3000000000000002E-2</v>
      </c>
      <c r="BF39" s="508">
        <f>IF(BF$8=0,0,INDEX('R&amp;B Inputs'!$I$82:$V$82,MATCH($B39,'R&amp;B Inputs'!$I$4:$V$4,0))*(1+INDEX('R&amp;B Inputs'!$I$62:$V$62,MATCH($B39,'R&amp;B Inputs'!$I$4:$V$4,0)))^(BF$7-Year1))</f>
        <v>-3.3000000000000002E-2</v>
      </c>
      <c r="BG39" s="508">
        <f>IF(BG$8=0,0,INDEX('R&amp;B Inputs'!$I$82:$V$82,MATCH($B39,'R&amp;B Inputs'!$I$4:$V$4,0))*(1+INDEX('R&amp;B Inputs'!$I$62:$V$62,MATCH($B39,'R&amp;B Inputs'!$I$4:$V$4,0)))^(BG$7-Year1))</f>
        <v>-3.3000000000000002E-2</v>
      </c>
      <c r="BH39" s="508">
        <f>IF(BH$8=0,0,INDEX('R&amp;B Inputs'!$I$82:$V$82,MATCH($B39,'R&amp;B Inputs'!$I$4:$V$4,0))*(1+INDEX('R&amp;B Inputs'!$I$62:$V$62,MATCH($B39,'R&amp;B Inputs'!$I$4:$V$4,0)))^(BH$7-Year1))</f>
        <v>-3.3000000000000002E-2</v>
      </c>
      <c r="BI39" s="508">
        <f>IF(BI$8=0,0,INDEX('R&amp;B Inputs'!$I$82:$V$82,MATCH($B39,'R&amp;B Inputs'!$I$4:$V$4,0))*(1+INDEX('R&amp;B Inputs'!$I$62:$V$62,MATCH($B39,'R&amp;B Inputs'!$I$4:$V$4,0)))^(BI$7-Year1))</f>
        <v>-3.3000000000000002E-2</v>
      </c>
      <c r="BJ39" s="508">
        <f>IF(BJ$8=0,0,INDEX('R&amp;B Inputs'!$I$82:$V$82,MATCH($B39,'R&amp;B Inputs'!$I$4:$V$4,0))*(1+INDEX('R&amp;B Inputs'!$I$62:$V$62,MATCH($B39,'R&amp;B Inputs'!$I$4:$V$4,0)))^(BJ$7-Year1))</f>
        <v>-3.3000000000000002E-2</v>
      </c>
      <c r="BK39" s="508">
        <f>IF(BK$8=0,0,INDEX('R&amp;B Inputs'!$I$82:$V$82,MATCH($B39,'R&amp;B Inputs'!$I$4:$V$4,0))*(1+INDEX('R&amp;B Inputs'!$I$62:$V$62,MATCH($B39,'R&amp;B Inputs'!$I$4:$V$4,0)))^(BK$7-Year1))</f>
        <v>-3.3000000000000002E-2</v>
      </c>
      <c r="BL39" s="508">
        <f>IF(BL$8=0,0,INDEX('R&amp;B Inputs'!$I$82:$V$82,MATCH($B39,'R&amp;B Inputs'!$I$4:$V$4,0))*(1+INDEX('R&amp;B Inputs'!$I$62:$V$62,MATCH($B39,'R&amp;B Inputs'!$I$4:$V$4,0)))^(BL$7-Year1))</f>
        <v>-3.3000000000000002E-2</v>
      </c>
      <c r="BM39" s="508">
        <f>IF(BM$8=0,0,INDEX('R&amp;B Inputs'!$I$82:$V$82,MATCH($B39,'R&amp;B Inputs'!$I$4:$V$4,0))*(1+INDEX('R&amp;B Inputs'!$I$62:$V$62,MATCH($B39,'R&amp;B Inputs'!$I$4:$V$4,0)))^(BM$7-Year1))</f>
        <v>-3.3000000000000002E-2</v>
      </c>
      <c r="BN39" s="508"/>
      <c r="BO39" s="508"/>
      <c r="BP39" s="508">
        <f>IF($C$4=Year1,-PMT(Lookups!$E$17,25,NPV(Lookups!$E$17,AM39:BK39),0,1),IF($C$4=Year2,-PMT(Lookups!$F$17,25,NPV(Lookups!$F$17,AN39:BL39),0,1),IF($C$4=Year3,-PMT(Lookups!$G$17,25,NPV(Lookups!$G$17,AO39:BM39),0,1),-PMT(Lookups!$G$17,27,NPV(Lookups!$G$17,AM39:BM39),0,1))))</f>
        <v>-3.2539757869249397E-2</v>
      </c>
      <c r="BS39" s="76" t="str">
        <f t="shared" si="20"/>
        <v>LDAC, Non-EE charge from the R&amp;B Inputs tab, escalated annually by the growth rate included on the R&amp;B Inputs tab.</v>
      </c>
      <c r="BT39" s="51" t="s">
        <v>17</v>
      </c>
    </row>
    <row r="40" spans="1:72" x14ac:dyDescent="0.25">
      <c r="B40" s="243" t="str">
        <f>B38</f>
        <v>Residential</v>
      </c>
      <c r="C40" s="243" t="str">
        <f>C38</f>
        <v>Rates</v>
      </c>
      <c r="D40" s="244" t="str">
        <f>D38</f>
        <v>Rates before DSM (No EE Scenario)</v>
      </c>
      <c r="E40" s="84" t="s">
        <v>197</v>
      </c>
      <c r="F40" s="84" t="s">
        <v>182</v>
      </c>
      <c r="G40" s="506">
        <f>IF(G$8=0,0,INDEX('R&amp;B Inputs'!$I$86:$V$86,MATCH($B40,'R&amp;B Inputs'!$I$4:$V$4,0))*(1+INDEX('R&amp;B Inputs'!$I$66:$V$66,MATCH($B40,'R&amp;B Inputs'!$I$4:$V$4,0)))^(G$7-Year1))</f>
        <v>0.62029999999999996</v>
      </c>
      <c r="H40" s="506">
        <f>IF(H$8=0,0,INDEX('R&amp;B Inputs'!$I$86:$V$86,MATCH($B40,'R&amp;B Inputs'!$I$4:$V$4,0))*(1+INDEX('R&amp;B Inputs'!$I$66:$V$66,MATCH($B40,'R&amp;B Inputs'!$I$4:$V$4,0)))^(H$7-Year1))</f>
        <v>0.62029999999999996</v>
      </c>
      <c r="I40" s="506">
        <f>IF(I$8=0,0,INDEX('R&amp;B Inputs'!$I$86:$V$86,MATCH($B40,'R&amp;B Inputs'!$I$4:$V$4,0))*(1+INDEX('R&amp;B Inputs'!$I$66:$V$66,MATCH($B40,'R&amp;B Inputs'!$I$4:$V$4,0)))^(I$7-Year1))</f>
        <v>0.62029999999999996</v>
      </c>
      <c r="J40" s="506">
        <f>IF(J$8=0,0,INDEX('R&amp;B Inputs'!$I$86:$V$86,MATCH($B40,'R&amp;B Inputs'!$I$4:$V$4,0))*(1+INDEX('R&amp;B Inputs'!$I$66:$V$66,MATCH($B40,'R&amp;B Inputs'!$I$4:$V$4,0)))^(J$7-Year1))</f>
        <v>0.62029999999999996</v>
      </c>
      <c r="K40" s="506">
        <f>IF(K$8=0,0,INDEX('R&amp;B Inputs'!$I$86:$V$86,MATCH($B40,'R&amp;B Inputs'!$I$4:$V$4,0))*(1+INDEX('R&amp;B Inputs'!$I$66:$V$66,MATCH($B40,'R&amp;B Inputs'!$I$4:$V$4,0)))^(K$7-Year1))</f>
        <v>0.62029999999999996</v>
      </c>
      <c r="L40" s="506">
        <f>IF(L$8=0,0,INDEX('R&amp;B Inputs'!$I$86:$V$86,MATCH($B40,'R&amp;B Inputs'!$I$4:$V$4,0))*(1+INDEX('R&amp;B Inputs'!$I$66:$V$66,MATCH($B40,'R&amp;B Inputs'!$I$4:$V$4,0)))^(L$7-Year1))</f>
        <v>0.62029999999999996</v>
      </c>
      <c r="M40" s="506">
        <f>IF(M$8=0,0,INDEX('R&amp;B Inputs'!$I$86:$V$86,MATCH($B40,'R&amp;B Inputs'!$I$4:$V$4,0))*(1+INDEX('R&amp;B Inputs'!$I$66:$V$66,MATCH($B40,'R&amp;B Inputs'!$I$4:$V$4,0)))^(M$7-Year1))</f>
        <v>0.62029999999999996</v>
      </c>
      <c r="N40" s="506">
        <f>IF(N$8=0,0,INDEX('R&amp;B Inputs'!$I$86:$V$86,MATCH($B40,'R&amp;B Inputs'!$I$4:$V$4,0))*(1+INDEX('R&amp;B Inputs'!$I$66:$V$66,MATCH($B40,'R&amp;B Inputs'!$I$4:$V$4,0)))^(N$7-Year1))</f>
        <v>0.62029999999999996</v>
      </c>
      <c r="O40" s="506">
        <f>IF(O$8=0,0,INDEX('R&amp;B Inputs'!$I$86:$V$86,MATCH($B40,'R&amp;B Inputs'!$I$4:$V$4,0))*(1+INDEX('R&amp;B Inputs'!$I$66:$V$66,MATCH($B40,'R&amp;B Inputs'!$I$4:$V$4,0)))^(O$7-Year1))</f>
        <v>0.62029999999999996</v>
      </c>
      <c r="P40" s="506">
        <f>IF(P$8=0,0,INDEX('R&amp;B Inputs'!$I$86:$V$86,MATCH($B40,'R&amp;B Inputs'!$I$4:$V$4,0))*(1+INDEX('R&amp;B Inputs'!$I$66:$V$66,MATCH($B40,'R&amp;B Inputs'!$I$4:$V$4,0)))^(P$7-Year1))</f>
        <v>0.62029999999999996</v>
      </c>
      <c r="Q40" s="506">
        <f>IF(Q$8=0,0,INDEX('R&amp;B Inputs'!$I$86:$V$86,MATCH($B40,'R&amp;B Inputs'!$I$4:$V$4,0))*(1+INDEX('R&amp;B Inputs'!$I$66:$V$66,MATCH($B40,'R&amp;B Inputs'!$I$4:$V$4,0)))^(Q$7-Year1))</f>
        <v>0.62029999999999996</v>
      </c>
      <c r="R40" s="506">
        <f>IF(R$8=0,0,INDEX('R&amp;B Inputs'!$I$86:$V$86,MATCH($B40,'R&amp;B Inputs'!$I$4:$V$4,0))*(1+INDEX('R&amp;B Inputs'!$I$66:$V$66,MATCH($B40,'R&amp;B Inputs'!$I$4:$V$4,0)))^(R$7-Year1))</f>
        <v>0.62029999999999996</v>
      </c>
      <c r="S40" s="506">
        <f>IF(S$8=0,0,INDEX('R&amp;B Inputs'!$I$86:$V$86,MATCH($B40,'R&amp;B Inputs'!$I$4:$V$4,0))*(1+INDEX('R&amp;B Inputs'!$I$66:$V$66,MATCH($B40,'R&amp;B Inputs'!$I$4:$V$4,0)))^(S$7-Year1))</f>
        <v>0.62029999999999996</v>
      </c>
      <c r="T40" s="506">
        <f>IF(T$8=0,0,INDEX('R&amp;B Inputs'!$I$86:$V$86,MATCH($B40,'R&amp;B Inputs'!$I$4:$V$4,0))*(1+INDEX('R&amp;B Inputs'!$I$66:$V$66,MATCH($B40,'R&amp;B Inputs'!$I$4:$V$4,0)))^(T$7-Year1))</f>
        <v>0.62029999999999996</v>
      </c>
      <c r="U40" s="506">
        <f>IF(U$8=0,0,INDEX('R&amp;B Inputs'!$I$86:$V$86,MATCH($B40,'R&amp;B Inputs'!$I$4:$V$4,0))*(1+INDEX('R&amp;B Inputs'!$I$66:$V$66,MATCH($B40,'R&amp;B Inputs'!$I$4:$V$4,0)))^(U$7-Year1))</f>
        <v>0.62029999999999996</v>
      </c>
      <c r="V40" s="506">
        <f>IF(V$8=0,0,INDEX('R&amp;B Inputs'!$I$86:$V$86,MATCH($B40,'R&amp;B Inputs'!$I$4:$V$4,0))*(1+INDEX('R&amp;B Inputs'!$I$66:$V$66,MATCH($B40,'R&amp;B Inputs'!$I$4:$V$4,0)))^(V$7-Year1))</f>
        <v>0.62029999999999996</v>
      </c>
      <c r="W40" s="506">
        <f>IF(W$8=0,0,INDEX('R&amp;B Inputs'!$I$86:$V$86,MATCH($B40,'R&amp;B Inputs'!$I$4:$V$4,0))*(1+INDEX('R&amp;B Inputs'!$I$66:$V$66,MATCH($B40,'R&amp;B Inputs'!$I$4:$V$4,0)))^(W$7-Year1))</f>
        <v>0.62029999999999996</v>
      </c>
      <c r="X40" s="506">
        <f>IF(X$8=0,0,INDEX('R&amp;B Inputs'!$I$86:$V$86,MATCH($B40,'R&amp;B Inputs'!$I$4:$V$4,0))*(1+INDEX('R&amp;B Inputs'!$I$66:$V$66,MATCH($B40,'R&amp;B Inputs'!$I$4:$V$4,0)))^(X$7-Year1))</f>
        <v>0.62029999999999996</v>
      </c>
      <c r="Y40" s="506">
        <f>IF(Y$8=0,0,INDEX('R&amp;B Inputs'!$I$86:$V$86,MATCH($B40,'R&amp;B Inputs'!$I$4:$V$4,0))*(1+INDEX('R&amp;B Inputs'!$I$66:$V$66,MATCH($B40,'R&amp;B Inputs'!$I$4:$V$4,0)))^(Y$7-Year1))</f>
        <v>0.62029999999999996</v>
      </c>
      <c r="Z40" s="506">
        <f>IF(Z$8=0,0,INDEX('R&amp;B Inputs'!$I$86:$V$86,MATCH($B40,'R&amp;B Inputs'!$I$4:$V$4,0))*(1+INDEX('R&amp;B Inputs'!$I$66:$V$66,MATCH($B40,'R&amp;B Inputs'!$I$4:$V$4,0)))^(Z$7-Year1))</f>
        <v>0.62029999999999996</v>
      </c>
      <c r="AA40" s="506">
        <f>IF(AA$8=0,0,INDEX('R&amp;B Inputs'!$I$86:$V$86,MATCH($B40,'R&amp;B Inputs'!$I$4:$V$4,0))*(1+INDEX('R&amp;B Inputs'!$I$66:$V$66,MATCH($B40,'R&amp;B Inputs'!$I$4:$V$4,0)))^(AA$7-Year1))</f>
        <v>0.62029999999999996</v>
      </c>
      <c r="AB40" s="506">
        <f>IF(AB$8=0,0,INDEX('R&amp;B Inputs'!$I$86:$V$86,MATCH($B40,'R&amp;B Inputs'!$I$4:$V$4,0))*(1+INDEX('R&amp;B Inputs'!$I$66:$V$66,MATCH($B40,'R&amp;B Inputs'!$I$4:$V$4,0)))^(AB$7-Year1))</f>
        <v>0.62029999999999996</v>
      </c>
      <c r="AC40" s="506">
        <f>IF(AC$8=0,0,INDEX('R&amp;B Inputs'!$I$86:$V$86,MATCH($B40,'R&amp;B Inputs'!$I$4:$V$4,0))*(1+INDEX('R&amp;B Inputs'!$I$66:$V$66,MATCH($B40,'R&amp;B Inputs'!$I$4:$V$4,0)))^(AC$7-Year1))</f>
        <v>0.62029999999999996</v>
      </c>
      <c r="AD40" s="506">
        <f>IF(AD$8=0,0,INDEX('R&amp;B Inputs'!$I$86:$V$86,MATCH($B40,'R&amp;B Inputs'!$I$4:$V$4,0))*(1+INDEX('R&amp;B Inputs'!$I$66:$V$66,MATCH($B40,'R&amp;B Inputs'!$I$4:$V$4,0)))^(AD$7-Year1))</f>
        <v>0.62029999999999996</v>
      </c>
      <c r="AE40" s="506">
        <f>IF(AE$8=0,0,INDEX('R&amp;B Inputs'!$I$86:$V$86,MATCH($B40,'R&amp;B Inputs'!$I$4:$V$4,0))*(1+INDEX('R&amp;B Inputs'!$I$66:$V$66,MATCH($B40,'R&amp;B Inputs'!$I$4:$V$4,0)))^(AE$7-Year1))</f>
        <v>0.62029999999999996</v>
      </c>
      <c r="AF40" s="506">
        <f>IF(AF$8=0,0,INDEX('R&amp;B Inputs'!$I$86:$V$86,MATCH($B40,'R&amp;B Inputs'!$I$4:$V$4,0))*(1+INDEX('R&amp;B Inputs'!$I$66:$V$66,MATCH($B40,'R&amp;B Inputs'!$I$4:$V$4,0)))^(AF$7-Year1))</f>
        <v>0.62029999999999996</v>
      </c>
      <c r="AG40" s="506">
        <f>IF(AG$8=0,0,INDEX('R&amp;B Inputs'!$I$86:$V$86,MATCH($B40,'R&amp;B Inputs'!$I$4:$V$4,0))*(1+INDEX('R&amp;B Inputs'!$I$66:$V$66,MATCH($B40,'R&amp;B Inputs'!$I$4:$V$4,0)))^(AG$7-Year1))</f>
        <v>0.62029999999999996</v>
      </c>
      <c r="AH40" s="506"/>
      <c r="AI40" s="506"/>
      <c r="AJ40" s="506">
        <f>IF($C$4=Year1,-PMT(Lookups!$E$17,25,NPV(Lookups!$E$17,G40:AE40),0,1),IF($C$4=Year2,-PMT(Lookups!$F$17,25,NPV(Lookups!$F$17,H40:AF40),0,1),IF($C$4=Year3,-PMT(Lookups!$G$17,25,NPV(Lookups!$G$17,I40:AG40),0,1),-PMT(Lookups!$G$17,27,NPV(Lookups!$G$17,G40:AG40),0,1))))</f>
        <v>0.61164884261501196</v>
      </c>
      <c r="AK40" s="507"/>
      <c r="AL40" s="507"/>
      <c r="AM40" s="508">
        <f>IF(AM$8=0,0,INDEX('R&amp;B Inputs'!$I$86:$V$86,MATCH($B40,'R&amp;B Inputs'!$I$4:$V$4,0))*(1+INDEX('R&amp;B Inputs'!$I$66:$V$66,MATCH($B40,'R&amp;B Inputs'!$I$4:$V$4,0)))^(AM$7-Year1))</f>
        <v>0.62029999999999996</v>
      </c>
      <c r="AN40" s="508">
        <f>IF(AN$8=0,0,INDEX('R&amp;B Inputs'!$I$86:$V$86,MATCH($B40,'R&amp;B Inputs'!$I$4:$V$4,0))*(1+INDEX('R&amp;B Inputs'!$I$66:$V$66,MATCH($B40,'R&amp;B Inputs'!$I$4:$V$4,0)))^(AN$7-Year1))</f>
        <v>0.62029999999999996</v>
      </c>
      <c r="AO40" s="508">
        <f>IF(AO$8=0,0,INDEX('R&amp;B Inputs'!$I$86:$V$86,MATCH($B40,'R&amp;B Inputs'!$I$4:$V$4,0))*(1+INDEX('R&amp;B Inputs'!$I$66:$V$66,MATCH($B40,'R&amp;B Inputs'!$I$4:$V$4,0)))^(AO$7-Year1))</f>
        <v>0.62029999999999996</v>
      </c>
      <c r="AP40" s="508">
        <f>IF(AP$8=0,0,INDEX('R&amp;B Inputs'!$I$86:$V$86,MATCH($B40,'R&amp;B Inputs'!$I$4:$V$4,0))*(1+INDEX('R&amp;B Inputs'!$I$66:$V$66,MATCH($B40,'R&amp;B Inputs'!$I$4:$V$4,0)))^(AP$7-Year1))</f>
        <v>0.62029999999999996</v>
      </c>
      <c r="AQ40" s="508">
        <f>IF(AQ$8=0,0,INDEX('R&amp;B Inputs'!$I$86:$V$86,MATCH($B40,'R&amp;B Inputs'!$I$4:$V$4,0))*(1+INDEX('R&amp;B Inputs'!$I$66:$V$66,MATCH($B40,'R&amp;B Inputs'!$I$4:$V$4,0)))^(AQ$7-Year1))</f>
        <v>0.62029999999999996</v>
      </c>
      <c r="AR40" s="508">
        <f>IF(AR$8=0,0,INDEX('R&amp;B Inputs'!$I$86:$V$86,MATCH($B40,'R&amp;B Inputs'!$I$4:$V$4,0))*(1+INDEX('R&amp;B Inputs'!$I$66:$V$66,MATCH($B40,'R&amp;B Inputs'!$I$4:$V$4,0)))^(AR$7-Year1))</f>
        <v>0.62029999999999996</v>
      </c>
      <c r="AS40" s="508">
        <f>IF(AS$8=0,0,INDEX('R&amp;B Inputs'!$I$86:$V$86,MATCH($B40,'R&amp;B Inputs'!$I$4:$V$4,0))*(1+INDEX('R&amp;B Inputs'!$I$66:$V$66,MATCH($B40,'R&amp;B Inputs'!$I$4:$V$4,0)))^(AS$7-Year1))</f>
        <v>0.62029999999999996</v>
      </c>
      <c r="AT40" s="508">
        <f>IF(AT$8=0,0,INDEX('R&amp;B Inputs'!$I$86:$V$86,MATCH($B40,'R&amp;B Inputs'!$I$4:$V$4,0))*(1+INDEX('R&amp;B Inputs'!$I$66:$V$66,MATCH($B40,'R&amp;B Inputs'!$I$4:$V$4,0)))^(AT$7-Year1))</f>
        <v>0.62029999999999996</v>
      </c>
      <c r="AU40" s="508">
        <f>IF(AU$8=0,0,INDEX('R&amp;B Inputs'!$I$86:$V$86,MATCH($B40,'R&amp;B Inputs'!$I$4:$V$4,0))*(1+INDEX('R&amp;B Inputs'!$I$66:$V$66,MATCH($B40,'R&amp;B Inputs'!$I$4:$V$4,0)))^(AU$7-Year1))</f>
        <v>0.62029999999999996</v>
      </c>
      <c r="AV40" s="508">
        <f>IF(AV$8=0,0,INDEX('R&amp;B Inputs'!$I$86:$V$86,MATCH($B40,'R&amp;B Inputs'!$I$4:$V$4,0))*(1+INDEX('R&amp;B Inputs'!$I$66:$V$66,MATCH($B40,'R&amp;B Inputs'!$I$4:$V$4,0)))^(AV$7-Year1))</f>
        <v>0.62029999999999996</v>
      </c>
      <c r="AW40" s="508">
        <f>IF(AW$8=0,0,INDEX('R&amp;B Inputs'!$I$86:$V$86,MATCH($B40,'R&amp;B Inputs'!$I$4:$V$4,0))*(1+INDEX('R&amp;B Inputs'!$I$66:$V$66,MATCH($B40,'R&amp;B Inputs'!$I$4:$V$4,0)))^(AW$7-Year1))</f>
        <v>0.62029999999999996</v>
      </c>
      <c r="AX40" s="508">
        <f>IF(AX$8=0,0,INDEX('R&amp;B Inputs'!$I$86:$V$86,MATCH($B40,'R&amp;B Inputs'!$I$4:$V$4,0))*(1+INDEX('R&amp;B Inputs'!$I$66:$V$66,MATCH($B40,'R&amp;B Inputs'!$I$4:$V$4,0)))^(AX$7-Year1))</f>
        <v>0.62029999999999996</v>
      </c>
      <c r="AY40" s="508">
        <f>IF(AY$8=0,0,INDEX('R&amp;B Inputs'!$I$86:$V$86,MATCH($B40,'R&amp;B Inputs'!$I$4:$V$4,0))*(1+INDEX('R&amp;B Inputs'!$I$66:$V$66,MATCH($B40,'R&amp;B Inputs'!$I$4:$V$4,0)))^(AY$7-Year1))</f>
        <v>0.62029999999999996</v>
      </c>
      <c r="AZ40" s="508">
        <f>IF(AZ$8=0,0,INDEX('R&amp;B Inputs'!$I$86:$V$86,MATCH($B40,'R&amp;B Inputs'!$I$4:$V$4,0))*(1+INDEX('R&amp;B Inputs'!$I$66:$V$66,MATCH($B40,'R&amp;B Inputs'!$I$4:$V$4,0)))^(AZ$7-Year1))</f>
        <v>0.62029999999999996</v>
      </c>
      <c r="BA40" s="508">
        <f>IF(BA$8=0,0,INDEX('R&amp;B Inputs'!$I$86:$V$86,MATCH($B40,'R&amp;B Inputs'!$I$4:$V$4,0))*(1+INDEX('R&amp;B Inputs'!$I$66:$V$66,MATCH($B40,'R&amp;B Inputs'!$I$4:$V$4,0)))^(BA$7-Year1))</f>
        <v>0.62029999999999996</v>
      </c>
      <c r="BB40" s="508">
        <f>IF(BB$8=0,0,INDEX('R&amp;B Inputs'!$I$86:$V$86,MATCH($B40,'R&amp;B Inputs'!$I$4:$V$4,0))*(1+INDEX('R&amp;B Inputs'!$I$66:$V$66,MATCH($B40,'R&amp;B Inputs'!$I$4:$V$4,0)))^(BB$7-Year1))</f>
        <v>0.62029999999999996</v>
      </c>
      <c r="BC40" s="508">
        <f>IF(BC$8=0,0,INDEX('R&amp;B Inputs'!$I$86:$V$86,MATCH($B40,'R&amp;B Inputs'!$I$4:$V$4,0))*(1+INDEX('R&amp;B Inputs'!$I$66:$V$66,MATCH($B40,'R&amp;B Inputs'!$I$4:$V$4,0)))^(BC$7-Year1))</f>
        <v>0.62029999999999996</v>
      </c>
      <c r="BD40" s="508">
        <f>IF(BD$8=0,0,INDEX('R&amp;B Inputs'!$I$86:$V$86,MATCH($B40,'R&amp;B Inputs'!$I$4:$V$4,0))*(1+INDEX('R&amp;B Inputs'!$I$66:$V$66,MATCH($B40,'R&amp;B Inputs'!$I$4:$V$4,0)))^(BD$7-Year1))</f>
        <v>0.62029999999999996</v>
      </c>
      <c r="BE40" s="508">
        <f>IF(BE$8=0,0,INDEX('R&amp;B Inputs'!$I$86:$V$86,MATCH($B40,'R&amp;B Inputs'!$I$4:$V$4,0))*(1+INDEX('R&amp;B Inputs'!$I$66:$V$66,MATCH($B40,'R&amp;B Inputs'!$I$4:$V$4,0)))^(BE$7-Year1))</f>
        <v>0.62029999999999996</v>
      </c>
      <c r="BF40" s="508">
        <f>IF(BF$8=0,0,INDEX('R&amp;B Inputs'!$I$86:$V$86,MATCH($B40,'R&amp;B Inputs'!$I$4:$V$4,0))*(1+INDEX('R&amp;B Inputs'!$I$66:$V$66,MATCH($B40,'R&amp;B Inputs'!$I$4:$V$4,0)))^(BF$7-Year1))</f>
        <v>0.62029999999999996</v>
      </c>
      <c r="BG40" s="508">
        <f>IF(BG$8=0,0,INDEX('R&amp;B Inputs'!$I$86:$V$86,MATCH($B40,'R&amp;B Inputs'!$I$4:$V$4,0))*(1+INDEX('R&amp;B Inputs'!$I$66:$V$66,MATCH($B40,'R&amp;B Inputs'!$I$4:$V$4,0)))^(BG$7-Year1))</f>
        <v>0.62029999999999996</v>
      </c>
      <c r="BH40" s="508">
        <f>IF(BH$8=0,0,INDEX('R&amp;B Inputs'!$I$86:$V$86,MATCH($B40,'R&amp;B Inputs'!$I$4:$V$4,0))*(1+INDEX('R&amp;B Inputs'!$I$66:$V$66,MATCH($B40,'R&amp;B Inputs'!$I$4:$V$4,0)))^(BH$7-Year1))</f>
        <v>0.62029999999999996</v>
      </c>
      <c r="BI40" s="508">
        <f>IF(BI$8=0,0,INDEX('R&amp;B Inputs'!$I$86:$V$86,MATCH($B40,'R&amp;B Inputs'!$I$4:$V$4,0))*(1+INDEX('R&amp;B Inputs'!$I$66:$V$66,MATCH($B40,'R&amp;B Inputs'!$I$4:$V$4,0)))^(BI$7-Year1))</f>
        <v>0.62029999999999996</v>
      </c>
      <c r="BJ40" s="508">
        <f>IF(BJ$8=0,0,INDEX('R&amp;B Inputs'!$I$86:$V$86,MATCH($B40,'R&amp;B Inputs'!$I$4:$V$4,0))*(1+INDEX('R&amp;B Inputs'!$I$66:$V$66,MATCH($B40,'R&amp;B Inputs'!$I$4:$V$4,0)))^(BJ$7-Year1))</f>
        <v>0.62029999999999996</v>
      </c>
      <c r="BK40" s="508">
        <f>IF(BK$8=0,0,INDEX('R&amp;B Inputs'!$I$86:$V$86,MATCH($B40,'R&amp;B Inputs'!$I$4:$V$4,0))*(1+INDEX('R&amp;B Inputs'!$I$66:$V$66,MATCH($B40,'R&amp;B Inputs'!$I$4:$V$4,0)))^(BK$7-Year1))</f>
        <v>0.62029999999999996</v>
      </c>
      <c r="BL40" s="508">
        <f>IF(BL$8=0,0,INDEX('R&amp;B Inputs'!$I$86:$V$86,MATCH($B40,'R&amp;B Inputs'!$I$4:$V$4,0))*(1+INDEX('R&amp;B Inputs'!$I$66:$V$66,MATCH($B40,'R&amp;B Inputs'!$I$4:$V$4,0)))^(BL$7-Year1))</f>
        <v>0.62029999999999996</v>
      </c>
      <c r="BM40" s="508">
        <f>IF(BM$8=0,0,INDEX('R&amp;B Inputs'!$I$86:$V$86,MATCH($B40,'R&amp;B Inputs'!$I$4:$V$4,0))*(1+INDEX('R&amp;B Inputs'!$I$66:$V$66,MATCH($B40,'R&amp;B Inputs'!$I$4:$V$4,0)))^(BM$7-Year1))</f>
        <v>0.62029999999999996</v>
      </c>
      <c r="BN40" s="508"/>
      <c r="BO40" s="508"/>
      <c r="BP40" s="508">
        <f>IF($C$4=Year1,-PMT(Lookups!$E$17,25,NPV(Lookups!$E$17,AM40:BK40),0,1),IF($C$4=Year2,-PMT(Lookups!$F$17,25,NPV(Lookups!$F$17,AN40:BL40),0,1),IF($C$4=Year3,-PMT(Lookups!$G$17,25,NPV(Lookups!$G$17,AO40:BM40),0,1),-PMT(Lookups!$G$17,27,NPV(Lookups!$G$17,AM40:BM40),0,1))))</f>
        <v>0.61164884261501196</v>
      </c>
      <c r="BS40" s="76" t="str">
        <f t="shared" si="20"/>
        <v>Cost of Gas charge from the R&amp;B Inputs tab, escalated annually by the growth rate included on the R&amp;B Inputs tab.</v>
      </c>
      <c r="BT40" s="51" t="s">
        <v>17</v>
      </c>
    </row>
    <row r="41" spans="1:72" x14ac:dyDescent="0.25">
      <c r="B41" s="243" t="str">
        <f>B42</f>
        <v>Residential</v>
      </c>
      <c r="C41" s="243" t="str">
        <f>C42</f>
        <v>Rates</v>
      </c>
      <c r="D41" s="244" t="str">
        <f>D42</f>
        <v>Rates before DSM (No EE Scenario)</v>
      </c>
      <c r="E41" s="86" t="s">
        <v>75</v>
      </c>
      <c r="F41" s="84" t="s">
        <v>182</v>
      </c>
      <c r="G41" s="506">
        <f>IF(G$8=0,0,INDEX('R&amp;B Inputs'!$H$73:$U$73,MATCH($B40,'R&amp;B Inputs'!$H$4:$U$4,0))*(1+INDEX('R&amp;B Inputs'!$H$46:$U$46,MATCH($B40,'R&amp;B Inputs'!$H$4:$U$4,0)))^(G$7-Year1))</f>
        <v>0.2233803664496018</v>
      </c>
      <c r="H41" s="506">
        <f>IF(H$8=0,0,INDEX('R&amp;B Inputs'!$H$73:$U$73,MATCH($B40,'R&amp;B Inputs'!$H$4:$U$4,0))*(1+INDEX('R&amp;B Inputs'!$H$46:$U$46,MATCH($B40,'R&amp;B Inputs'!$H$4:$U$4,0)))^(H$7-Year1))</f>
        <v>0.2233803664496018</v>
      </c>
      <c r="I41" s="506">
        <f>IF(I$8=0,0,INDEX('R&amp;B Inputs'!$H$73:$U$73,MATCH($B40,'R&amp;B Inputs'!$H$4:$U$4,0))*(1+INDEX('R&amp;B Inputs'!$H$46:$U$46,MATCH($B40,'R&amp;B Inputs'!$H$4:$U$4,0)))^(I$7-Year1))</f>
        <v>0.2233803664496018</v>
      </c>
      <c r="J41" s="506">
        <f>IF(J$8=0,0,INDEX('R&amp;B Inputs'!$H$73:$U$73,MATCH($B40,'R&amp;B Inputs'!$H$4:$U$4,0))*(1+INDEX('R&amp;B Inputs'!$H$46:$U$46,MATCH($B40,'R&amp;B Inputs'!$H$4:$U$4,0)))^(J$7-Year1))</f>
        <v>0.2233803664496018</v>
      </c>
      <c r="K41" s="506">
        <f>IF(K$8=0,0,INDEX('R&amp;B Inputs'!$H$73:$U$73,MATCH($B40,'R&amp;B Inputs'!$H$4:$U$4,0))*(1+INDEX('R&amp;B Inputs'!$H$46:$U$46,MATCH($B40,'R&amp;B Inputs'!$H$4:$U$4,0)))^(K$7-Year1))</f>
        <v>0.2233803664496018</v>
      </c>
      <c r="L41" s="506">
        <f>IF(L$8=0,0,INDEX('R&amp;B Inputs'!$H$73:$U$73,MATCH($B40,'R&amp;B Inputs'!$H$4:$U$4,0))*(1+INDEX('R&amp;B Inputs'!$H$46:$U$46,MATCH($B40,'R&amp;B Inputs'!$H$4:$U$4,0)))^(L$7-Year1))</f>
        <v>0.2233803664496018</v>
      </c>
      <c r="M41" s="506">
        <f>IF(M$8=0,0,INDEX('R&amp;B Inputs'!$H$73:$U$73,MATCH($B40,'R&amp;B Inputs'!$H$4:$U$4,0))*(1+INDEX('R&amp;B Inputs'!$H$46:$U$46,MATCH($B40,'R&amp;B Inputs'!$H$4:$U$4,0)))^(M$7-Year1))</f>
        <v>0.2233803664496018</v>
      </c>
      <c r="N41" s="506">
        <f>IF(N$8=0,0,INDEX('R&amp;B Inputs'!$H$73:$U$73,MATCH($B40,'R&amp;B Inputs'!$H$4:$U$4,0))*(1+INDEX('R&amp;B Inputs'!$H$46:$U$46,MATCH($B40,'R&amp;B Inputs'!$H$4:$U$4,0)))^(N$7-Year1))</f>
        <v>0.2233803664496018</v>
      </c>
      <c r="O41" s="506">
        <f>IF(O$8=0,0,INDEX('R&amp;B Inputs'!$H$73:$U$73,MATCH($B40,'R&amp;B Inputs'!$H$4:$U$4,0))*(1+INDEX('R&amp;B Inputs'!$H$46:$U$46,MATCH($B40,'R&amp;B Inputs'!$H$4:$U$4,0)))^(O$7-Year1))</f>
        <v>0.2233803664496018</v>
      </c>
      <c r="P41" s="506">
        <f>IF(P$8=0,0,INDEX('R&amp;B Inputs'!$H$73:$U$73,MATCH($B40,'R&amp;B Inputs'!$H$4:$U$4,0))*(1+INDEX('R&amp;B Inputs'!$H$46:$U$46,MATCH($B40,'R&amp;B Inputs'!$H$4:$U$4,0)))^(P$7-Year1))</f>
        <v>0.2233803664496018</v>
      </c>
      <c r="Q41" s="506">
        <f>IF(Q$8=0,0,INDEX('R&amp;B Inputs'!$H$73:$U$73,MATCH($B40,'R&amp;B Inputs'!$H$4:$U$4,0))*(1+INDEX('R&amp;B Inputs'!$H$46:$U$46,MATCH($B40,'R&amp;B Inputs'!$H$4:$U$4,0)))^(Q$7-Year1))</f>
        <v>0.2233803664496018</v>
      </c>
      <c r="R41" s="506">
        <f>IF(R$8=0,0,INDEX('R&amp;B Inputs'!$H$73:$U$73,MATCH($B40,'R&amp;B Inputs'!$H$4:$U$4,0))*(1+INDEX('R&amp;B Inputs'!$H$46:$U$46,MATCH($B40,'R&amp;B Inputs'!$H$4:$U$4,0)))^(R$7-Year1))</f>
        <v>0.2233803664496018</v>
      </c>
      <c r="S41" s="506">
        <f>IF(S$8=0,0,INDEX('R&amp;B Inputs'!$H$73:$U$73,MATCH($B40,'R&amp;B Inputs'!$H$4:$U$4,0))*(1+INDEX('R&amp;B Inputs'!$H$46:$U$46,MATCH($B40,'R&amp;B Inputs'!$H$4:$U$4,0)))^(S$7-Year1))</f>
        <v>0.2233803664496018</v>
      </c>
      <c r="T41" s="506">
        <f>IF(T$8=0,0,INDEX('R&amp;B Inputs'!$H$73:$U$73,MATCH($B40,'R&amp;B Inputs'!$H$4:$U$4,0))*(1+INDEX('R&amp;B Inputs'!$H$46:$U$46,MATCH($B40,'R&amp;B Inputs'!$H$4:$U$4,0)))^(T$7-Year1))</f>
        <v>0.2233803664496018</v>
      </c>
      <c r="U41" s="506">
        <f>IF(U$8=0,0,INDEX('R&amp;B Inputs'!$H$73:$U$73,MATCH($B40,'R&amp;B Inputs'!$H$4:$U$4,0))*(1+INDEX('R&amp;B Inputs'!$H$46:$U$46,MATCH($B40,'R&amp;B Inputs'!$H$4:$U$4,0)))^(U$7-Year1))</f>
        <v>0.2233803664496018</v>
      </c>
      <c r="V41" s="506">
        <f>IF(V$8=0,0,INDEX('R&amp;B Inputs'!$H$73:$U$73,MATCH($B40,'R&amp;B Inputs'!$H$4:$U$4,0))*(1+INDEX('R&amp;B Inputs'!$H$46:$U$46,MATCH($B40,'R&amp;B Inputs'!$H$4:$U$4,0)))^(V$7-Year1))</f>
        <v>0.2233803664496018</v>
      </c>
      <c r="W41" s="506">
        <f>IF(W$8=0,0,INDEX('R&amp;B Inputs'!$H$73:$U$73,MATCH($B40,'R&amp;B Inputs'!$H$4:$U$4,0))*(1+INDEX('R&amp;B Inputs'!$H$46:$U$46,MATCH($B40,'R&amp;B Inputs'!$H$4:$U$4,0)))^(W$7-Year1))</f>
        <v>0.2233803664496018</v>
      </c>
      <c r="X41" s="506">
        <f>IF(X$8=0,0,INDEX('R&amp;B Inputs'!$H$73:$U$73,MATCH($B40,'R&amp;B Inputs'!$H$4:$U$4,0))*(1+INDEX('R&amp;B Inputs'!$H$46:$U$46,MATCH($B40,'R&amp;B Inputs'!$H$4:$U$4,0)))^(X$7-Year1))</f>
        <v>0.2233803664496018</v>
      </c>
      <c r="Y41" s="506">
        <f>IF(Y$8=0,0,INDEX('R&amp;B Inputs'!$H$73:$U$73,MATCH($B40,'R&amp;B Inputs'!$H$4:$U$4,0))*(1+INDEX('R&amp;B Inputs'!$H$46:$U$46,MATCH($B40,'R&amp;B Inputs'!$H$4:$U$4,0)))^(Y$7-Year1))</f>
        <v>0.2233803664496018</v>
      </c>
      <c r="Z41" s="506">
        <f>IF(Z$8=0,0,INDEX('R&amp;B Inputs'!$H$73:$U$73,MATCH($B40,'R&amp;B Inputs'!$H$4:$U$4,0))*(1+INDEX('R&amp;B Inputs'!$H$46:$U$46,MATCH($B40,'R&amp;B Inputs'!$H$4:$U$4,0)))^(Z$7-Year1))</f>
        <v>0.2233803664496018</v>
      </c>
      <c r="AA41" s="506">
        <f>IF(AA$8=0,0,INDEX('R&amp;B Inputs'!$H$73:$U$73,MATCH($B40,'R&amp;B Inputs'!$H$4:$U$4,0))*(1+INDEX('R&amp;B Inputs'!$H$46:$U$46,MATCH($B40,'R&amp;B Inputs'!$H$4:$U$4,0)))^(AA$7-Year1))</f>
        <v>0.2233803664496018</v>
      </c>
      <c r="AB41" s="506">
        <f>IF(AB$8=0,0,INDEX('R&amp;B Inputs'!$H$73:$U$73,MATCH($B40,'R&amp;B Inputs'!$H$4:$U$4,0))*(1+INDEX('R&amp;B Inputs'!$H$46:$U$46,MATCH($B40,'R&amp;B Inputs'!$H$4:$U$4,0)))^(AB$7-Year1))</f>
        <v>0.2233803664496018</v>
      </c>
      <c r="AC41" s="506">
        <f>IF(AC$8=0,0,INDEX('R&amp;B Inputs'!$H$73:$U$73,MATCH($B40,'R&amp;B Inputs'!$H$4:$U$4,0))*(1+INDEX('R&amp;B Inputs'!$H$46:$U$46,MATCH($B40,'R&amp;B Inputs'!$H$4:$U$4,0)))^(AC$7-Year1))</f>
        <v>0.2233803664496018</v>
      </c>
      <c r="AD41" s="506">
        <f>IF(AD$8=0,0,INDEX('R&amp;B Inputs'!$H$73:$U$73,MATCH($B40,'R&amp;B Inputs'!$H$4:$U$4,0))*(1+INDEX('R&amp;B Inputs'!$H$46:$U$46,MATCH($B40,'R&amp;B Inputs'!$H$4:$U$4,0)))^(AD$7-Year1))</f>
        <v>0.2233803664496018</v>
      </c>
      <c r="AE41" s="506">
        <f>IF(AE$8=0,0,INDEX('R&amp;B Inputs'!$H$73:$U$73,MATCH($B40,'R&amp;B Inputs'!$H$4:$U$4,0))*(1+INDEX('R&amp;B Inputs'!$H$46:$U$46,MATCH($B40,'R&amp;B Inputs'!$H$4:$U$4,0)))^(AE$7-Year1))</f>
        <v>0.2233803664496018</v>
      </c>
      <c r="AF41" s="506">
        <f>IF(AF$8=0,0,INDEX('R&amp;B Inputs'!$H$73:$U$73,MATCH($B40,'R&amp;B Inputs'!$H$4:$U$4,0))*(1+INDEX('R&amp;B Inputs'!$H$46:$U$46,MATCH($B40,'R&amp;B Inputs'!$H$4:$U$4,0)))^(AF$7-Year1))</f>
        <v>0.2233803664496018</v>
      </c>
      <c r="AG41" s="506">
        <f>IF(AG$8=0,0,INDEX('R&amp;B Inputs'!$H$73:$U$73,MATCH($B40,'R&amp;B Inputs'!$H$4:$U$4,0))*(1+INDEX('R&amp;B Inputs'!$H$46:$U$46,MATCH($B40,'R&amp;B Inputs'!$H$4:$U$4,0)))^(AG$7-Year1))</f>
        <v>0.2233803664496018</v>
      </c>
      <c r="AH41" s="506"/>
      <c r="AI41" s="506"/>
      <c r="AJ41" s="506">
        <f>IF($C$4=Year1,-PMT(Lookups!$E$17,25,NPV(Lookups!$E$17,G41:AE41),0,1),IF($C$4=Year2,-PMT(Lookups!$F$17,25,NPV(Lookups!$F$17,H41:AF41),0,1),IF($C$4=Year3,-PMT(Lookups!$G$17,25,NPV(Lookups!$G$17,I41:AG41),0,1),-PMT(Lookups!$G$17,27,NPV(Lookups!$G$17,G41:AG41),0,1))))</f>
        <v>0.22026494051558318</v>
      </c>
      <c r="AK41" s="507"/>
      <c r="AL41" s="507"/>
      <c r="AM41" s="508">
        <f>IF(AM$8=0,0,INDEX('R&amp;B Inputs'!$H$73:$U$73,MATCH($B40,'R&amp;B Inputs'!$H$4:$U$4,0))*(1+INDEX('R&amp;B Inputs'!$H$46:$U$46,MATCH($B40,'R&amp;B Inputs'!$H$4:$U$4,0)))^(AM$7-Year1))</f>
        <v>0.2233803664496018</v>
      </c>
      <c r="AN41" s="508">
        <f>IF(AN$8=0,0,INDEX('R&amp;B Inputs'!$H$73:$U$73,MATCH($B40,'R&amp;B Inputs'!$H$4:$U$4,0))*(1+INDEX('R&amp;B Inputs'!$H$46:$U$46,MATCH($B40,'R&amp;B Inputs'!$H$4:$U$4,0)))^(AN$7-Year1))</f>
        <v>0.2233803664496018</v>
      </c>
      <c r="AO41" s="508">
        <f>IF(AO$8=0,0,INDEX('R&amp;B Inputs'!$H$73:$U$73,MATCH($B40,'R&amp;B Inputs'!$H$4:$U$4,0))*(1+INDEX('R&amp;B Inputs'!$H$46:$U$46,MATCH($B40,'R&amp;B Inputs'!$H$4:$U$4,0)))^(AO$7-Year1))</f>
        <v>0.2233803664496018</v>
      </c>
      <c r="AP41" s="508">
        <f>IF(AP$8=0,0,INDEX('R&amp;B Inputs'!$H$73:$U$73,MATCH($B40,'R&amp;B Inputs'!$H$4:$U$4,0))*(1+INDEX('R&amp;B Inputs'!$H$46:$U$46,MATCH($B40,'R&amp;B Inputs'!$H$4:$U$4,0)))^(AP$7-Year1))</f>
        <v>0.2233803664496018</v>
      </c>
      <c r="AQ41" s="508">
        <f>IF(AQ$8=0,0,INDEX('R&amp;B Inputs'!$H$73:$U$73,MATCH($B40,'R&amp;B Inputs'!$H$4:$U$4,0))*(1+INDEX('R&amp;B Inputs'!$H$46:$U$46,MATCH($B40,'R&amp;B Inputs'!$H$4:$U$4,0)))^(AQ$7-Year1))</f>
        <v>0.2233803664496018</v>
      </c>
      <c r="AR41" s="508">
        <f>IF(AR$8=0,0,INDEX('R&amp;B Inputs'!$H$73:$U$73,MATCH($B40,'R&amp;B Inputs'!$H$4:$U$4,0))*(1+INDEX('R&amp;B Inputs'!$H$46:$U$46,MATCH($B40,'R&amp;B Inputs'!$H$4:$U$4,0)))^(AR$7-Year1))</f>
        <v>0.2233803664496018</v>
      </c>
      <c r="AS41" s="508">
        <f>IF(AS$8=0,0,INDEX('R&amp;B Inputs'!$H$73:$U$73,MATCH($B40,'R&amp;B Inputs'!$H$4:$U$4,0))*(1+INDEX('R&amp;B Inputs'!$H$46:$U$46,MATCH($B40,'R&amp;B Inputs'!$H$4:$U$4,0)))^(AS$7-Year1))</f>
        <v>0.2233803664496018</v>
      </c>
      <c r="AT41" s="508">
        <f>IF(AT$8=0,0,INDEX('R&amp;B Inputs'!$H$73:$U$73,MATCH($B40,'R&amp;B Inputs'!$H$4:$U$4,0))*(1+INDEX('R&amp;B Inputs'!$H$46:$U$46,MATCH($B40,'R&amp;B Inputs'!$H$4:$U$4,0)))^(AT$7-Year1))</f>
        <v>0.2233803664496018</v>
      </c>
      <c r="AU41" s="508">
        <f>IF(AU$8=0,0,INDEX('R&amp;B Inputs'!$H$73:$U$73,MATCH($B40,'R&amp;B Inputs'!$H$4:$U$4,0))*(1+INDEX('R&amp;B Inputs'!$H$46:$U$46,MATCH($B40,'R&amp;B Inputs'!$H$4:$U$4,0)))^(AU$7-Year1))</f>
        <v>0.2233803664496018</v>
      </c>
      <c r="AV41" s="508">
        <f>IF(AV$8=0,0,INDEX('R&amp;B Inputs'!$H$73:$U$73,MATCH($B40,'R&amp;B Inputs'!$H$4:$U$4,0))*(1+INDEX('R&amp;B Inputs'!$H$46:$U$46,MATCH($B40,'R&amp;B Inputs'!$H$4:$U$4,0)))^(AV$7-Year1))</f>
        <v>0.2233803664496018</v>
      </c>
      <c r="AW41" s="508">
        <f>IF(AW$8=0,0,INDEX('R&amp;B Inputs'!$H$73:$U$73,MATCH($B40,'R&amp;B Inputs'!$H$4:$U$4,0))*(1+INDEX('R&amp;B Inputs'!$H$46:$U$46,MATCH($B40,'R&amp;B Inputs'!$H$4:$U$4,0)))^(AW$7-Year1))</f>
        <v>0.2233803664496018</v>
      </c>
      <c r="AX41" s="508">
        <f>IF(AX$8=0,0,INDEX('R&amp;B Inputs'!$H$73:$U$73,MATCH($B40,'R&amp;B Inputs'!$H$4:$U$4,0))*(1+INDEX('R&amp;B Inputs'!$H$46:$U$46,MATCH($B40,'R&amp;B Inputs'!$H$4:$U$4,0)))^(AX$7-Year1))</f>
        <v>0.2233803664496018</v>
      </c>
      <c r="AY41" s="508">
        <f>IF(AY$8=0,0,INDEX('R&amp;B Inputs'!$H$73:$U$73,MATCH($B40,'R&amp;B Inputs'!$H$4:$U$4,0))*(1+INDEX('R&amp;B Inputs'!$H$46:$U$46,MATCH($B40,'R&amp;B Inputs'!$H$4:$U$4,0)))^(AY$7-Year1))</f>
        <v>0.2233803664496018</v>
      </c>
      <c r="AZ41" s="508">
        <f>IF(AZ$8=0,0,INDEX('R&amp;B Inputs'!$H$73:$U$73,MATCH($B40,'R&amp;B Inputs'!$H$4:$U$4,0))*(1+INDEX('R&amp;B Inputs'!$H$46:$U$46,MATCH($B40,'R&amp;B Inputs'!$H$4:$U$4,0)))^(AZ$7-Year1))</f>
        <v>0.2233803664496018</v>
      </c>
      <c r="BA41" s="508">
        <f>IF(BA$8=0,0,INDEX('R&amp;B Inputs'!$H$73:$U$73,MATCH($B40,'R&amp;B Inputs'!$H$4:$U$4,0))*(1+INDEX('R&amp;B Inputs'!$H$46:$U$46,MATCH($B40,'R&amp;B Inputs'!$H$4:$U$4,0)))^(BA$7-Year1))</f>
        <v>0.2233803664496018</v>
      </c>
      <c r="BB41" s="508">
        <f>IF(BB$8=0,0,INDEX('R&amp;B Inputs'!$H$73:$U$73,MATCH($B40,'R&amp;B Inputs'!$H$4:$U$4,0))*(1+INDEX('R&amp;B Inputs'!$H$46:$U$46,MATCH($B40,'R&amp;B Inputs'!$H$4:$U$4,0)))^(BB$7-Year1))</f>
        <v>0.2233803664496018</v>
      </c>
      <c r="BC41" s="508">
        <f>IF(BC$8=0,0,INDEX('R&amp;B Inputs'!$H$73:$U$73,MATCH($B40,'R&amp;B Inputs'!$H$4:$U$4,0))*(1+INDEX('R&amp;B Inputs'!$H$46:$U$46,MATCH($B40,'R&amp;B Inputs'!$H$4:$U$4,0)))^(BC$7-Year1))</f>
        <v>0.2233803664496018</v>
      </c>
      <c r="BD41" s="508">
        <f>IF(BD$8=0,0,INDEX('R&amp;B Inputs'!$H$73:$U$73,MATCH($B40,'R&amp;B Inputs'!$H$4:$U$4,0))*(1+INDEX('R&amp;B Inputs'!$H$46:$U$46,MATCH($B40,'R&amp;B Inputs'!$H$4:$U$4,0)))^(BD$7-Year1))</f>
        <v>0.2233803664496018</v>
      </c>
      <c r="BE41" s="508">
        <f>IF(BE$8=0,0,INDEX('R&amp;B Inputs'!$H$73:$U$73,MATCH($B40,'R&amp;B Inputs'!$H$4:$U$4,0))*(1+INDEX('R&amp;B Inputs'!$H$46:$U$46,MATCH($B40,'R&amp;B Inputs'!$H$4:$U$4,0)))^(BE$7-Year1))</f>
        <v>0.2233803664496018</v>
      </c>
      <c r="BF41" s="508">
        <f>IF(BF$8=0,0,INDEX('R&amp;B Inputs'!$H$73:$U$73,MATCH($B40,'R&amp;B Inputs'!$H$4:$U$4,0))*(1+INDEX('R&amp;B Inputs'!$H$46:$U$46,MATCH($B40,'R&amp;B Inputs'!$H$4:$U$4,0)))^(BF$7-Year1))</f>
        <v>0.2233803664496018</v>
      </c>
      <c r="BG41" s="508">
        <f>IF(BG$8=0,0,INDEX('R&amp;B Inputs'!$H$73:$U$73,MATCH($B40,'R&amp;B Inputs'!$H$4:$U$4,0))*(1+INDEX('R&amp;B Inputs'!$H$46:$U$46,MATCH($B40,'R&amp;B Inputs'!$H$4:$U$4,0)))^(BG$7-Year1))</f>
        <v>0.2233803664496018</v>
      </c>
      <c r="BH41" s="508">
        <f>IF(BH$8=0,0,INDEX('R&amp;B Inputs'!$H$73:$U$73,MATCH($B40,'R&amp;B Inputs'!$H$4:$U$4,0))*(1+INDEX('R&amp;B Inputs'!$H$46:$U$46,MATCH($B40,'R&amp;B Inputs'!$H$4:$U$4,0)))^(BH$7-Year1))</f>
        <v>0.2233803664496018</v>
      </c>
      <c r="BI41" s="508">
        <f>IF(BI$8=0,0,INDEX('R&amp;B Inputs'!$H$73:$U$73,MATCH($B40,'R&amp;B Inputs'!$H$4:$U$4,0))*(1+INDEX('R&amp;B Inputs'!$H$46:$U$46,MATCH($B40,'R&amp;B Inputs'!$H$4:$U$4,0)))^(BI$7-Year1))</f>
        <v>0.2233803664496018</v>
      </c>
      <c r="BJ41" s="508">
        <f>IF(BJ$8=0,0,INDEX('R&amp;B Inputs'!$H$73:$U$73,MATCH($B40,'R&amp;B Inputs'!$H$4:$U$4,0))*(1+INDEX('R&amp;B Inputs'!$H$46:$U$46,MATCH($B40,'R&amp;B Inputs'!$H$4:$U$4,0)))^(BJ$7-Year1))</f>
        <v>0.2233803664496018</v>
      </c>
      <c r="BK41" s="508">
        <f>IF(BK$8=0,0,INDEX('R&amp;B Inputs'!$H$73:$U$73,MATCH($B40,'R&amp;B Inputs'!$H$4:$U$4,0))*(1+INDEX('R&amp;B Inputs'!$H$46:$U$46,MATCH($B40,'R&amp;B Inputs'!$H$4:$U$4,0)))^(BK$7-Year1))</f>
        <v>0.2233803664496018</v>
      </c>
      <c r="BL41" s="508">
        <f>IF(BL$8=0,0,INDEX('R&amp;B Inputs'!$H$73:$U$73,MATCH($B40,'R&amp;B Inputs'!$H$4:$U$4,0))*(1+INDEX('R&amp;B Inputs'!$H$46:$U$46,MATCH($B40,'R&amp;B Inputs'!$H$4:$U$4,0)))^(BL$7-Year1))</f>
        <v>0.2233803664496018</v>
      </c>
      <c r="BM41" s="508">
        <f>IF(BM$8=0,0,INDEX('R&amp;B Inputs'!$H$73:$U$73,MATCH($B40,'R&amp;B Inputs'!$H$4:$U$4,0))*(1+INDEX('R&amp;B Inputs'!$H$46:$U$46,MATCH($B40,'R&amp;B Inputs'!$H$4:$U$4,0)))^(BM$7-Year1))</f>
        <v>0.2233803664496018</v>
      </c>
      <c r="BN41" s="508"/>
      <c r="BO41" s="508"/>
      <c r="BP41" s="508">
        <f>IF($C$4=Year1,-PMT(Lookups!$E$17,25,NPV(Lookups!$E$17,AM41:BK41),0,1),IF($C$4=Year2,-PMT(Lookups!$F$17,25,NPV(Lookups!$F$17,AN41:BL41),0,1),IF($C$4=Year3,-PMT(Lookups!$G$17,25,NPV(Lookups!$G$17,AO41:BM41),0,1),-PMT(Lookups!$G$17,27,NPV(Lookups!$G$17,AM41:BM41),0,1))))</f>
        <v>0.22026494051558318</v>
      </c>
      <c r="BS41" s="84" t="str">
        <f>E41&amp;" charge from the R&amp;B Inputs tab, escalated annually by the growth rate included on the R&amp;B Inputs tab."</f>
        <v>Customer Charge charge from the R&amp;B Inputs tab, escalated annually by the growth rate included on the R&amp;B Inputs tab.</v>
      </c>
      <c r="BT41" s="51" t="s">
        <v>17</v>
      </c>
    </row>
    <row r="42" spans="1:72" x14ac:dyDescent="0.25">
      <c r="B42" s="243" t="str">
        <f>B40</f>
        <v>Residential</v>
      </c>
      <c r="C42" s="243" t="str">
        <f>C40</f>
        <v>Rates</v>
      </c>
      <c r="D42" s="244" t="str">
        <f>D40</f>
        <v>Rates before DSM (No EE Scenario)</v>
      </c>
      <c r="E42" s="84" t="s">
        <v>76</v>
      </c>
      <c r="F42" s="84" t="s">
        <v>182</v>
      </c>
      <c r="G42" s="506">
        <f>SUM(G38:G41)</f>
        <v>1.3675803664496016</v>
      </c>
      <c r="H42" s="506">
        <f>SUM(H38:H41)</f>
        <v>1.3675803664496016</v>
      </c>
      <c r="I42" s="506">
        <f t="shared" ref="I42:AG42" si="21">SUM(I38:I41)</f>
        <v>1.3675803664496016</v>
      </c>
      <c r="J42" s="506">
        <f t="shared" si="21"/>
        <v>1.3675803664496016</v>
      </c>
      <c r="K42" s="506">
        <f t="shared" si="21"/>
        <v>1.3675803664496016</v>
      </c>
      <c r="L42" s="506">
        <f t="shared" si="21"/>
        <v>1.3675803664496016</v>
      </c>
      <c r="M42" s="506">
        <f t="shared" si="21"/>
        <v>1.3675803664496016</v>
      </c>
      <c r="N42" s="506">
        <f t="shared" si="21"/>
        <v>1.3675803664496016</v>
      </c>
      <c r="O42" s="506">
        <f t="shared" si="21"/>
        <v>1.3675803664496016</v>
      </c>
      <c r="P42" s="506">
        <f t="shared" si="21"/>
        <v>1.3675803664496016</v>
      </c>
      <c r="Q42" s="506">
        <f t="shared" si="21"/>
        <v>1.3675803664496016</v>
      </c>
      <c r="R42" s="506">
        <f t="shared" si="21"/>
        <v>1.3675803664496016</v>
      </c>
      <c r="S42" s="506">
        <f t="shared" si="21"/>
        <v>1.3675803664496016</v>
      </c>
      <c r="T42" s="506">
        <f t="shared" si="21"/>
        <v>1.3675803664496016</v>
      </c>
      <c r="U42" s="506">
        <f t="shared" si="21"/>
        <v>1.3675803664496016</v>
      </c>
      <c r="V42" s="506">
        <f t="shared" si="21"/>
        <v>1.3675803664496016</v>
      </c>
      <c r="W42" s="506">
        <f t="shared" si="21"/>
        <v>1.3675803664496016</v>
      </c>
      <c r="X42" s="506">
        <f t="shared" si="21"/>
        <v>1.3675803664496016</v>
      </c>
      <c r="Y42" s="506">
        <f t="shared" si="21"/>
        <v>1.3675803664496016</v>
      </c>
      <c r="Z42" s="506">
        <f t="shared" si="21"/>
        <v>1.3675803664496016</v>
      </c>
      <c r="AA42" s="506">
        <f t="shared" si="21"/>
        <v>1.3675803664496016</v>
      </c>
      <c r="AB42" s="506">
        <f t="shared" si="21"/>
        <v>1.3675803664496016</v>
      </c>
      <c r="AC42" s="506">
        <f t="shared" si="21"/>
        <v>1.3675803664496016</v>
      </c>
      <c r="AD42" s="506">
        <f t="shared" si="21"/>
        <v>1.3675803664496016</v>
      </c>
      <c r="AE42" s="506">
        <f t="shared" si="21"/>
        <v>1.3675803664496016</v>
      </c>
      <c r="AF42" s="506">
        <f t="shared" si="21"/>
        <v>1.3675803664496016</v>
      </c>
      <c r="AG42" s="506">
        <f t="shared" si="21"/>
        <v>1.3675803664496016</v>
      </c>
      <c r="AH42" s="506"/>
      <c r="AI42" s="506"/>
      <c r="AJ42" s="506">
        <f>IF($C$4=Year1,-PMT(Lookups!$E$17,25,NPV(Lookups!$E$17,G42:AE42),0,1),IF($C$4=Year2,-PMT(Lookups!$F$17,25,NPV(Lookups!$F$17,H42:AF42),0,1),IF($C$4=Year3,-PMT(Lookups!$G$17,25,NPV(Lookups!$G$17,I42:AG42),0,1),-PMT(Lookups!$G$17,27,NPV(Lookups!$G$17,G42:AG42),0,1))))</f>
        <v>1.3485070906366481</v>
      </c>
      <c r="AK42" s="507"/>
      <c r="AL42" s="507"/>
      <c r="AM42" s="508">
        <f>SUM(AM38:AM41)</f>
        <v>1.3675803664496016</v>
      </c>
      <c r="AN42" s="508">
        <f>SUM(AN38:AN41)</f>
        <v>1.3675803664496016</v>
      </c>
      <c r="AO42" s="508">
        <f t="shared" ref="AO42:BM42" si="22">SUM(AO38:AO41)</f>
        <v>1.3675803664496016</v>
      </c>
      <c r="AP42" s="508">
        <f t="shared" si="22"/>
        <v>1.3675803664496016</v>
      </c>
      <c r="AQ42" s="508">
        <f t="shared" si="22"/>
        <v>1.3675803664496016</v>
      </c>
      <c r="AR42" s="508">
        <f t="shared" si="22"/>
        <v>1.3675803664496016</v>
      </c>
      <c r="AS42" s="508">
        <f t="shared" si="22"/>
        <v>1.3675803664496016</v>
      </c>
      <c r="AT42" s="508">
        <f t="shared" si="22"/>
        <v>1.3675803664496016</v>
      </c>
      <c r="AU42" s="508">
        <f t="shared" si="22"/>
        <v>1.3675803664496016</v>
      </c>
      <c r="AV42" s="508">
        <f t="shared" si="22"/>
        <v>1.3675803664496016</v>
      </c>
      <c r="AW42" s="508">
        <f t="shared" si="22"/>
        <v>1.3675803664496016</v>
      </c>
      <c r="AX42" s="508">
        <f t="shared" si="22"/>
        <v>1.3675803664496016</v>
      </c>
      <c r="AY42" s="508">
        <f t="shared" si="22"/>
        <v>1.3675803664496016</v>
      </c>
      <c r="AZ42" s="508">
        <f t="shared" si="22"/>
        <v>1.3675803664496016</v>
      </c>
      <c r="BA42" s="508">
        <f t="shared" si="22"/>
        <v>1.3675803664496016</v>
      </c>
      <c r="BB42" s="508">
        <f t="shared" si="22"/>
        <v>1.3675803664496016</v>
      </c>
      <c r="BC42" s="508">
        <f t="shared" si="22"/>
        <v>1.3675803664496016</v>
      </c>
      <c r="BD42" s="508">
        <f t="shared" si="22"/>
        <v>1.3675803664496016</v>
      </c>
      <c r="BE42" s="508">
        <f t="shared" si="22"/>
        <v>1.3675803664496016</v>
      </c>
      <c r="BF42" s="508">
        <f t="shared" si="22"/>
        <v>1.3675803664496016</v>
      </c>
      <c r="BG42" s="508">
        <f t="shared" si="22"/>
        <v>1.3675803664496016</v>
      </c>
      <c r="BH42" s="508">
        <f t="shared" si="22"/>
        <v>1.3675803664496016</v>
      </c>
      <c r="BI42" s="508">
        <f t="shared" si="22"/>
        <v>1.3675803664496016</v>
      </c>
      <c r="BJ42" s="508">
        <f t="shared" si="22"/>
        <v>1.3675803664496016</v>
      </c>
      <c r="BK42" s="508">
        <f t="shared" si="22"/>
        <v>1.3675803664496016</v>
      </c>
      <c r="BL42" s="508">
        <f t="shared" si="22"/>
        <v>1.3675803664496016</v>
      </c>
      <c r="BM42" s="508">
        <f t="shared" si="22"/>
        <v>1.3675803664496016</v>
      </c>
      <c r="BN42" s="508"/>
      <c r="BO42" s="508"/>
      <c r="BP42" s="508">
        <f>IF($C$4=Year1,-PMT(Lookups!$E$17,25,NPV(Lookups!$E$17,AM42:BK42),0,1),IF($C$4=Year2,-PMT(Lookups!$F$17,25,NPV(Lookups!$F$17,AN42:BL42),0,1),IF($C$4=Year3,-PMT(Lookups!$G$17,25,NPV(Lookups!$G$17,AO42:BM42),0,1),-PMT(Lookups!$G$17,27,NPV(Lookups!$G$17,AM42:BM42),0,1))))</f>
        <v>1.3485070906366481</v>
      </c>
      <c r="BS42" s="84" t="s">
        <v>94</v>
      </c>
      <c r="BT42" s="51" t="s">
        <v>17</v>
      </c>
    </row>
    <row r="43" spans="1:72" x14ac:dyDescent="0.25">
      <c r="B43" s="243" t="str">
        <f>B41</f>
        <v>Residential</v>
      </c>
      <c r="C43" s="243" t="str">
        <f>C41</f>
        <v>Rates</v>
      </c>
      <c r="D43" s="114" t="s">
        <v>24</v>
      </c>
      <c r="E43" s="86"/>
      <c r="F43" s="8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506"/>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S43" s="84"/>
      <c r="BT43" s="51" t="s">
        <v>17</v>
      </c>
    </row>
    <row r="44" spans="1:72" x14ac:dyDescent="0.25">
      <c r="B44" s="243" t="str">
        <f t="shared" ref="B44:D59" si="23">B43</f>
        <v>Residential</v>
      </c>
      <c r="C44" s="243" t="str">
        <f t="shared" si="23"/>
        <v>Rates</v>
      </c>
      <c r="D44" s="244" t="str">
        <f t="shared" si="23"/>
        <v>Avoided Costs</v>
      </c>
      <c r="E44" s="84" t="s">
        <v>45</v>
      </c>
      <c r="F44" s="84" t="s">
        <v>182</v>
      </c>
      <c r="G44" s="506">
        <f ca="1">IFERROR(-G25/G17,0)</f>
        <v>-4.4658182562492179E-3</v>
      </c>
      <c r="H44" s="506">
        <f t="shared" ref="H44:AG44" ca="1" si="24">IFERROR(-H25/H17,0)</f>
        <v>-9.0461588408130497E-3</v>
      </c>
      <c r="I44" s="506">
        <f t="shared" ca="1" si="24"/>
        <v>-1.3773079449666556E-2</v>
      </c>
      <c r="J44" s="506">
        <f t="shared" ca="1" si="24"/>
        <v>-1.3773079449666556E-2</v>
      </c>
      <c r="K44" s="506">
        <f t="shared" ca="1" si="24"/>
        <v>-1.3773079449666556E-2</v>
      </c>
      <c r="L44" s="506">
        <f t="shared" ca="1" si="24"/>
        <v>-1.3773079449666556E-2</v>
      </c>
      <c r="M44" s="506">
        <f t="shared" ca="1" si="24"/>
        <v>-1.3773079449666556E-2</v>
      </c>
      <c r="N44" s="506">
        <f t="shared" ca="1" si="24"/>
        <v>-1.3773079449666556E-2</v>
      </c>
      <c r="O44" s="506">
        <f t="shared" ca="1" si="24"/>
        <v>-1.3773079449666556E-2</v>
      </c>
      <c r="P44" s="506">
        <f t="shared" ca="1" si="24"/>
        <v>-1.3773079449666556E-2</v>
      </c>
      <c r="Q44" s="506">
        <f t="shared" ca="1" si="24"/>
        <v>-1.3773079449666556E-2</v>
      </c>
      <c r="R44" s="506">
        <f t="shared" ca="1" si="24"/>
        <v>-1.3773079449666556E-2</v>
      </c>
      <c r="S44" s="506">
        <f t="shared" ca="1" si="24"/>
        <v>-1.3773079449666556E-2</v>
      </c>
      <c r="T44" s="506">
        <f t="shared" ca="1" si="24"/>
        <v>-1.3773079449666556E-2</v>
      </c>
      <c r="U44" s="506">
        <f t="shared" ca="1" si="24"/>
        <v>-1.3773079449666556E-2</v>
      </c>
      <c r="V44" s="506">
        <f t="shared" ca="1" si="24"/>
        <v>-9.1873675050363011E-3</v>
      </c>
      <c r="W44" s="506">
        <f t="shared" ca="1" si="24"/>
        <v>-4.6051409379465526E-3</v>
      </c>
      <c r="X44" s="506">
        <f t="shared" ca="1" si="24"/>
        <v>0</v>
      </c>
      <c r="Y44" s="506">
        <f t="shared" ca="1" si="24"/>
        <v>0</v>
      </c>
      <c r="Z44" s="506">
        <f t="shared" ca="1" si="24"/>
        <v>0</v>
      </c>
      <c r="AA44" s="506">
        <f t="shared" ca="1" si="24"/>
        <v>0</v>
      </c>
      <c r="AB44" s="506">
        <f t="shared" ca="1" si="24"/>
        <v>0</v>
      </c>
      <c r="AC44" s="506">
        <f t="shared" ca="1" si="24"/>
        <v>0</v>
      </c>
      <c r="AD44" s="506">
        <f t="shared" ca="1" si="24"/>
        <v>0</v>
      </c>
      <c r="AE44" s="506">
        <f t="shared" ca="1" si="24"/>
        <v>0</v>
      </c>
      <c r="AF44" s="506">
        <f t="shared" ca="1" si="24"/>
        <v>0</v>
      </c>
      <c r="AG44" s="506">
        <f t="shared" ca="1" si="24"/>
        <v>0</v>
      </c>
      <c r="AH44" s="506"/>
      <c r="AI44" s="506"/>
      <c r="AJ44" s="506">
        <f ca="1">IF($C$4=Year1,-PMT(Lookups!$E$17,25,NPV(Lookups!$E$17,G44:AE44),0,1),IF($C$4=Year2,-PMT(Lookups!$F$17,25,NPV(Lookups!$F$17,H44:AF44),0,1),IF($C$4=Year3,-PMT(Lookups!$G$17,25,NPV(Lookups!$G$17,I44:AG44),0,1),-PMT(Lookups!$G$17,27,NPV(Lookups!$G$17,G44:AG44),0,1))))</f>
        <v>-8.0503922329110723E-3</v>
      </c>
      <c r="AK44" s="507"/>
      <c r="AL44" s="507"/>
      <c r="AM44" s="508">
        <f ca="1">IFERROR(-AM25/AM17,0)</f>
        <v>-5.1085041063533027E-3</v>
      </c>
      <c r="AN44" s="508">
        <f t="shared" ref="AN44:BM44" ca="1" si="25">IFERROR(-AN25/AN17,0)</f>
        <v>-1.0357829625322747E-2</v>
      </c>
      <c r="AO44" s="508">
        <f t="shared" ca="1" si="25"/>
        <v>-1.5785604838559498E-2</v>
      </c>
      <c r="AP44" s="508">
        <f t="shared" ca="1" si="25"/>
        <v>-1.5785604838559498E-2</v>
      </c>
      <c r="AQ44" s="508">
        <f t="shared" ca="1" si="25"/>
        <v>-1.5785604838559498E-2</v>
      </c>
      <c r="AR44" s="508">
        <f t="shared" ca="1" si="25"/>
        <v>-1.5785604838559498E-2</v>
      </c>
      <c r="AS44" s="508">
        <f t="shared" ca="1" si="25"/>
        <v>-1.5785604838559498E-2</v>
      </c>
      <c r="AT44" s="508">
        <f t="shared" ca="1" si="25"/>
        <v>-1.5785604838559498E-2</v>
      </c>
      <c r="AU44" s="508">
        <f t="shared" ca="1" si="25"/>
        <v>-1.5785604838559498E-2</v>
      </c>
      <c r="AV44" s="508">
        <f t="shared" ca="1" si="25"/>
        <v>-1.5785604838559498E-2</v>
      </c>
      <c r="AW44" s="508">
        <f t="shared" ca="1" si="25"/>
        <v>-1.5785604838559498E-2</v>
      </c>
      <c r="AX44" s="508">
        <f t="shared" ca="1" si="25"/>
        <v>-1.5785604838559498E-2</v>
      </c>
      <c r="AY44" s="508">
        <f t="shared" ca="1" si="25"/>
        <v>-1.5785604838559498E-2</v>
      </c>
      <c r="AZ44" s="508">
        <f t="shared" ca="1" si="25"/>
        <v>-1.5785604838559498E-2</v>
      </c>
      <c r="BA44" s="508">
        <f t="shared" ca="1" si="25"/>
        <v>-1.5785604838559498E-2</v>
      </c>
      <c r="BB44" s="508">
        <f t="shared" ca="1" si="25"/>
        <v>-1.0519835610724167E-2</v>
      </c>
      <c r="BC44" s="508">
        <f t="shared" ca="1" si="25"/>
        <v>-5.2680362230431814E-3</v>
      </c>
      <c r="BD44" s="508">
        <f t="shared" ca="1" si="25"/>
        <v>0</v>
      </c>
      <c r="BE44" s="508">
        <f t="shared" ca="1" si="25"/>
        <v>0</v>
      </c>
      <c r="BF44" s="508">
        <f t="shared" ca="1" si="25"/>
        <v>0</v>
      </c>
      <c r="BG44" s="508">
        <f t="shared" ca="1" si="25"/>
        <v>0</v>
      </c>
      <c r="BH44" s="508">
        <f t="shared" ca="1" si="25"/>
        <v>0</v>
      </c>
      <c r="BI44" s="508">
        <f t="shared" ca="1" si="25"/>
        <v>0</v>
      </c>
      <c r="BJ44" s="508">
        <f t="shared" ca="1" si="25"/>
        <v>0</v>
      </c>
      <c r="BK44" s="508">
        <f t="shared" ca="1" si="25"/>
        <v>0</v>
      </c>
      <c r="BL44" s="508">
        <f t="shared" ca="1" si="25"/>
        <v>0</v>
      </c>
      <c r="BM44" s="508">
        <f t="shared" ca="1" si="25"/>
        <v>0</v>
      </c>
      <c r="BN44" s="508"/>
      <c r="BO44" s="508"/>
      <c r="BP44" s="508">
        <f ca="1">IF($C$4=Year1,-PMT(Lookups!$E$17,25,NPV(Lookups!$E$17,AM44:BK44),0,1),IF($C$4=Year2,-PMT(Lookups!$F$17,25,NPV(Lookups!$F$17,AN44:BL44),0,1),IF($C$4=Year3,-PMT(Lookups!$G$17,25,NPV(Lookups!$G$17,AO44:BM44),0,1),-PMT(Lookups!$G$17,27,NPV(Lookups!$G$17,AM44:BM44),0,1))))</f>
        <v>-9.2251502163438696E-3</v>
      </c>
      <c r="BS44" s="84" t="str">
        <f t="shared" ref="BS44:BS46" si="26">"Avoided "&amp;E44&amp;" avoided costs divided by After Scenario sales."</f>
        <v>Avoided Gas avoided costs divided by After Scenario sales.</v>
      </c>
      <c r="BT44" s="51" t="s">
        <v>17</v>
      </c>
    </row>
    <row r="45" spans="1:72" x14ac:dyDescent="0.25">
      <c r="B45" s="243" t="str">
        <f t="shared" si="23"/>
        <v>Residential</v>
      </c>
      <c r="C45" s="243" t="str">
        <f t="shared" si="23"/>
        <v>Rates</v>
      </c>
      <c r="D45" s="244" t="str">
        <f t="shared" si="23"/>
        <v>Avoided Costs</v>
      </c>
      <c r="E45" s="86" t="s">
        <v>412</v>
      </c>
      <c r="F45" s="84" t="s">
        <v>182</v>
      </c>
      <c r="G45" s="506">
        <f ca="1">IFERROR(-G26/G17,0)</f>
        <v>-3.0448760838062847E-4</v>
      </c>
      <c r="H45" s="506">
        <f t="shared" ref="H45:AG45" ca="1" si="27">IFERROR(-H26/H17,0)</f>
        <v>-6.1678355732816244E-4</v>
      </c>
      <c r="I45" s="506">
        <f t="shared" ca="1" si="27"/>
        <v>-9.3907359884090168E-4</v>
      </c>
      <c r="J45" s="506">
        <f t="shared" ca="1" si="27"/>
        <v>-9.3907359884090168E-4</v>
      </c>
      <c r="K45" s="506">
        <f t="shared" ca="1" si="27"/>
        <v>-9.3907359884090168E-4</v>
      </c>
      <c r="L45" s="506">
        <f t="shared" ca="1" si="27"/>
        <v>-9.3907359884090168E-4</v>
      </c>
      <c r="M45" s="506">
        <f t="shared" ca="1" si="27"/>
        <v>-9.3907359884090168E-4</v>
      </c>
      <c r="N45" s="506">
        <f t="shared" ca="1" si="27"/>
        <v>-9.3907359884090168E-4</v>
      </c>
      <c r="O45" s="506">
        <f t="shared" ca="1" si="27"/>
        <v>-9.3907359884090168E-4</v>
      </c>
      <c r="P45" s="506">
        <f t="shared" ca="1" si="27"/>
        <v>-9.3907359884090168E-4</v>
      </c>
      <c r="Q45" s="506">
        <f t="shared" ca="1" si="27"/>
        <v>-9.3907359884090168E-4</v>
      </c>
      <c r="R45" s="506">
        <f t="shared" ca="1" si="27"/>
        <v>-9.3907359884090168E-4</v>
      </c>
      <c r="S45" s="506">
        <f t="shared" ca="1" si="27"/>
        <v>-9.3907359884090168E-4</v>
      </c>
      <c r="T45" s="506">
        <f t="shared" ca="1" si="27"/>
        <v>-9.3907359884090168E-4</v>
      </c>
      <c r="U45" s="506">
        <f t="shared" ca="1" si="27"/>
        <v>-9.3907359884090168E-4</v>
      </c>
      <c r="V45" s="506">
        <f t="shared" ca="1" si="27"/>
        <v>-6.2641142079792949E-4</v>
      </c>
      <c r="W45" s="506">
        <f t="shared" ca="1" si="27"/>
        <v>-3.139868821327195E-4</v>
      </c>
      <c r="X45" s="506">
        <f t="shared" ca="1" si="27"/>
        <v>0</v>
      </c>
      <c r="Y45" s="506">
        <f t="shared" ca="1" si="27"/>
        <v>0</v>
      </c>
      <c r="Z45" s="506">
        <f t="shared" ca="1" si="27"/>
        <v>0</v>
      </c>
      <c r="AA45" s="506">
        <f t="shared" ca="1" si="27"/>
        <v>0</v>
      </c>
      <c r="AB45" s="506">
        <f t="shared" ca="1" si="27"/>
        <v>0</v>
      </c>
      <c r="AC45" s="506">
        <f t="shared" ca="1" si="27"/>
        <v>0</v>
      </c>
      <c r="AD45" s="506">
        <f t="shared" ca="1" si="27"/>
        <v>0</v>
      </c>
      <c r="AE45" s="506">
        <f t="shared" ca="1" si="27"/>
        <v>0</v>
      </c>
      <c r="AF45" s="506">
        <f t="shared" ca="1" si="27"/>
        <v>0</v>
      </c>
      <c r="AG45" s="506">
        <f t="shared" ca="1" si="27"/>
        <v>0</v>
      </c>
      <c r="AH45" s="506"/>
      <c r="AI45" s="506"/>
      <c r="AJ45" s="506">
        <f ca="1">IF($C$4=Year1,-PMT(Lookups!$E$17,25,NPV(Lookups!$E$17,G45:AE45),0,1),IF($C$4=Year2,-PMT(Lookups!$F$17,25,NPV(Lookups!$F$17,H45:AF45),0,1),IF($C$4=Year3,-PMT(Lookups!$G$17,25,NPV(Lookups!$G$17,I45:AG45),0,1),-PMT(Lookups!$G$17,27,NPV(Lookups!$G$17,G45:AG45),0,1))))</f>
        <v>-5.488903795166642E-4</v>
      </c>
      <c r="AK45" s="507"/>
      <c r="AL45" s="507"/>
      <c r="AM45" s="508">
        <f ca="1">IFERROR(-AM26/AM17,0)</f>
        <v>-3.4830709816045238E-4</v>
      </c>
      <c r="AN45" s="508">
        <f t="shared" ref="AN45:BM45" ca="1" si="28">IFERROR(-AN26/AN17,0)</f>
        <v>-7.0621565627200554E-4</v>
      </c>
      <c r="AO45" s="508">
        <f t="shared" ca="1" si="28"/>
        <v>-1.0762912389926931E-3</v>
      </c>
      <c r="AP45" s="508">
        <f t="shared" ca="1" si="28"/>
        <v>-1.0762912389926931E-3</v>
      </c>
      <c r="AQ45" s="508">
        <f t="shared" ca="1" si="28"/>
        <v>-1.0762912389926931E-3</v>
      </c>
      <c r="AR45" s="508">
        <f t="shared" ca="1" si="28"/>
        <v>-1.0762912389926931E-3</v>
      </c>
      <c r="AS45" s="508">
        <f t="shared" ca="1" si="28"/>
        <v>-1.0762912389926931E-3</v>
      </c>
      <c r="AT45" s="508">
        <f t="shared" ca="1" si="28"/>
        <v>-1.0762912389926931E-3</v>
      </c>
      <c r="AU45" s="508">
        <f t="shared" ca="1" si="28"/>
        <v>-1.0762912389926931E-3</v>
      </c>
      <c r="AV45" s="508">
        <f t="shared" ca="1" si="28"/>
        <v>-1.0762912389926931E-3</v>
      </c>
      <c r="AW45" s="508">
        <f t="shared" ca="1" si="28"/>
        <v>-1.0762912389926931E-3</v>
      </c>
      <c r="AX45" s="508">
        <f t="shared" ca="1" si="28"/>
        <v>-1.0762912389926931E-3</v>
      </c>
      <c r="AY45" s="508">
        <f t="shared" ca="1" si="28"/>
        <v>-1.0762912389926931E-3</v>
      </c>
      <c r="AZ45" s="508">
        <f t="shared" ca="1" si="28"/>
        <v>-1.0762912389926931E-3</v>
      </c>
      <c r="BA45" s="508">
        <f t="shared" ca="1" si="28"/>
        <v>-1.0762912389926931E-3</v>
      </c>
      <c r="BB45" s="508">
        <f t="shared" ca="1" si="28"/>
        <v>-7.1726151891301159E-4</v>
      </c>
      <c r="BC45" s="508">
        <f t="shared" ca="1" si="28"/>
        <v>-3.5918428793476226E-4</v>
      </c>
      <c r="BD45" s="508">
        <f t="shared" ca="1" si="28"/>
        <v>0</v>
      </c>
      <c r="BE45" s="508">
        <f t="shared" ca="1" si="28"/>
        <v>0</v>
      </c>
      <c r="BF45" s="508">
        <f t="shared" ca="1" si="28"/>
        <v>0</v>
      </c>
      <c r="BG45" s="508">
        <f t="shared" ca="1" si="28"/>
        <v>0</v>
      </c>
      <c r="BH45" s="508">
        <f t="shared" ca="1" si="28"/>
        <v>0</v>
      </c>
      <c r="BI45" s="508">
        <f t="shared" ca="1" si="28"/>
        <v>0</v>
      </c>
      <c r="BJ45" s="508">
        <f t="shared" ca="1" si="28"/>
        <v>0</v>
      </c>
      <c r="BK45" s="508">
        <f t="shared" ca="1" si="28"/>
        <v>0</v>
      </c>
      <c r="BL45" s="508">
        <f t="shared" ca="1" si="28"/>
        <v>0</v>
      </c>
      <c r="BM45" s="508">
        <f t="shared" ca="1" si="28"/>
        <v>0</v>
      </c>
      <c r="BN45" s="508"/>
      <c r="BO45" s="508"/>
      <c r="BP45" s="508">
        <f ca="1">IF($C$4=Year1,-PMT(Lookups!$E$17,25,NPV(Lookups!$E$17,AM45:BK45),0,1),IF($C$4=Year2,-PMT(Lookups!$F$17,25,NPV(Lookups!$F$17,AN45:BL45),0,1),IF($C$4=Year3,-PMT(Lookups!$G$17,25,NPV(Lookups!$G$17,AO45:BM45),0,1),-PMT(Lookups!$G$17,27,NPV(Lookups!$G$17,AM45:BM45),0,1))))</f>
        <v>-6.2898751475071819E-4</v>
      </c>
      <c r="BS45" s="84" t="str">
        <f t="shared" si="26"/>
        <v>Avoided Gas, Retail Margin avoided costs divided by After Scenario sales.</v>
      </c>
      <c r="BT45" s="51"/>
    </row>
    <row r="46" spans="1:72" x14ac:dyDescent="0.25">
      <c r="B46" s="243" t="str">
        <f>B44</f>
        <v>Residential</v>
      </c>
      <c r="C46" s="243" t="str">
        <f>C44</f>
        <v>Rates</v>
      </c>
      <c r="D46" s="244" t="str">
        <f>D44</f>
        <v>Avoided Costs</v>
      </c>
      <c r="E46" s="86" t="s">
        <v>175</v>
      </c>
      <c r="F46" s="84" t="s">
        <v>182</v>
      </c>
      <c r="G46" s="506">
        <f ca="1">IFERROR(-G27/G17,0)</f>
        <v>-1.8972068815722599E-4</v>
      </c>
      <c r="H46" s="506">
        <f t="shared" ref="H46:AG46" ca="1" si="29">IFERROR(-H27/H17,0)</f>
        <v>-3.833302820811465E-4</v>
      </c>
      <c r="I46" s="506">
        <f t="shared" ca="1" si="29"/>
        <v>-5.8263687299827435E-4</v>
      </c>
      <c r="J46" s="506">
        <f t="shared" ca="1" si="29"/>
        <v>-5.8263687299827435E-4</v>
      </c>
      <c r="K46" s="506">
        <f t="shared" ca="1" si="29"/>
        <v>-5.8263687299827435E-4</v>
      </c>
      <c r="L46" s="506">
        <f t="shared" ca="1" si="29"/>
        <v>-5.8263687299827435E-4</v>
      </c>
      <c r="M46" s="506">
        <f t="shared" ca="1" si="29"/>
        <v>-5.8263687299827435E-4</v>
      </c>
      <c r="N46" s="506">
        <f t="shared" ca="1" si="29"/>
        <v>-5.8263687299827435E-4</v>
      </c>
      <c r="O46" s="506">
        <f t="shared" ca="1" si="29"/>
        <v>-5.8263687299827435E-4</v>
      </c>
      <c r="P46" s="506">
        <f t="shared" ca="1" si="29"/>
        <v>-5.8263687299827435E-4</v>
      </c>
      <c r="Q46" s="506">
        <f t="shared" ca="1" si="29"/>
        <v>-5.8263687299827435E-4</v>
      </c>
      <c r="R46" s="506">
        <f t="shared" ca="1" si="29"/>
        <v>-5.8263687299827435E-4</v>
      </c>
      <c r="S46" s="506">
        <f t="shared" ca="1" si="29"/>
        <v>-5.8263687299827435E-4</v>
      </c>
      <c r="T46" s="506">
        <f t="shared" ca="1" si="29"/>
        <v>-5.8263687299827435E-4</v>
      </c>
      <c r="U46" s="506">
        <f t="shared" ca="1" si="29"/>
        <v>-5.8263687299827435E-4</v>
      </c>
      <c r="V46" s="506">
        <f t="shared" ca="1" si="29"/>
        <v>-3.8783889823796398E-4</v>
      </c>
      <c r="W46" s="506">
        <f t="shared" ca="1" si="29"/>
        <v>-1.9415914125841033E-4</v>
      </c>
      <c r="X46" s="506">
        <f t="shared" ca="1" si="29"/>
        <v>0</v>
      </c>
      <c r="Y46" s="506">
        <f t="shared" ca="1" si="29"/>
        <v>0</v>
      </c>
      <c r="Z46" s="506">
        <f t="shared" ca="1" si="29"/>
        <v>0</v>
      </c>
      <c r="AA46" s="506">
        <f t="shared" ca="1" si="29"/>
        <v>0</v>
      </c>
      <c r="AB46" s="506">
        <f t="shared" ca="1" si="29"/>
        <v>0</v>
      </c>
      <c r="AC46" s="506">
        <f t="shared" ca="1" si="29"/>
        <v>0</v>
      </c>
      <c r="AD46" s="506">
        <f t="shared" ca="1" si="29"/>
        <v>0</v>
      </c>
      <c r="AE46" s="506">
        <f t="shared" ca="1" si="29"/>
        <v>0</v>
      </c>
      <c r="AF46" s="506">
        <f t="shared" ca="1" si="29"/>
        <v>0</v>
      </c>
      <c r="AG46" s="506">
        <f t="shared" ca="1" si="29"/>
        <v>0</v>
      </c>
      <c r="AH46" s="506"/>
      <c r="AI46" s="506"/>
      <c r="AJ46" s="506">
        <f ca="1">IF($C$4=Year1,-PMT(Lookups!$E$17,25,NPV(Lookups!$E$17,G46:AE46),0,1),IF($C$4=Year2,-PMT(Lookups!$F$17,25,NPV(Lookups!$F$17,H46:AF46),0,1),IF($C$4=Year3,-PMT(Lookups!$G$17,25,NPV(Lookups!$G$17,I46:AG46),0,1),-PMT(Lookups!$G$17,27,NPV(Lookups!$G$17,G46:AG46),0,1))))</f>
        <v>-3.4056436270144772E-4</v>
      </c>
      <c r="AK46" s="507"/>
      <c r="AL46" s="507"/>
      <c r="AM46" s="508">
        <f ca="1">IFERROR(-AM27/AM17,0)</f>
        <v>-2.1702381487538909E-4</v>
      </c>
      <c r="AN46" s="508">
        <f t="shared" ref="AN46:BM46" ca="1" si="30">IFERROR(-AN27/AN17,0)</f>
        <v>-4.3891223025070914E-4</v>
      </c>
      <c r="AO46" s="508">
        <f t="shared" ca="1" si="30"/>
        <v>-6.677719006222241E-4</v>
      </c>
      <c r="AP46" s="508">
        <f t="shared" ca="1" si="30"/>
        <v>-6.677719006222241E-4</v>
      </c>
      <c r="AQ46" s="508">
        <f t="shared" ca="1" si="30"/>
        <v>-6.677719006222241E-4</v>
      </c>
      <c r="AR46" s="508">
        <f t="shared" ca="1" si="30"/>
        <v>-6.677719006222241E-4</v>
      </c>
      <c r="AS46" s="508">
        <f t="shared" ca="1" si="30"/>
        <v>-6.677719006222241E-4</v>
      </c>
      <c r="AT46" s="508">
        <f t="shared" ca="1" si="30"/>
        <v>-6.677719006222241E-4</v>
      </c>
      <c r="AU46" s="508">
        <f t="shared" ca="1" si="30"/>
        <v>-6.677719006222241E-4</v>
      </c>
      <c r="AV46" s="508">
        <f t="shared" ca="1" si="30"/>
        <v>-6.677719006222241E-4</v>
      </c>
      <c r="AW46" s="508">
        <f t="shared" ca="1" si="30"/>
        <v>-6.677719006222241E-4</v>
      </c>
      <c r="AX46" s="508">
        <f t="shared" ca="1" si="30"/>
        <v>-6.677719006222241E-4</v>
      </c>
      <c r="AY46" s="508">
        <f t="shared" ca="1" si="30"/>
        <v>-6.677719006222241E-4</v>
      </c>
      <c r="AZ46" s="508">
        <f t="shared" ca="1" si="30"/>
        <v>-6.677719006222241E-4</v>
      </c>
      <c r="BA46" s="508">
        <f t="shared" ca="1" si="30"/>
        <v>-6.677719006222241E-4</v>
      </c>
      <c r="BB46" s="508">
        <f t="shared" ca="1" si="30"/>
        <v>-4.440881950864814E-4</v>
      </c>
      <c r="BC46" s="508">
        <f t="shared" ca="1" si="30"/>
        <v>-2.2210772763891777E-4</v>
      </c>
      <c r="BD46" s="508">
        <f t="shared" ca="1" si="30"/>
        <v>0</v>
      </c>
      <c r="BE46" s="508">
        <f t="shared" ca="1" si="30"/>
        <v>0</v>
      </c>
      <c r="BF46" s="508">
        <f t="shared" ca="1" si="30"/>
        <v>0</v>
      </c>
      <c r="BG46" s="508">
        <f t="shared" ca="1" si="30"/>
        <v>0</v>
      </c>
      <c r="BH46" s="508">
        <f t="shared" ca="1" si="30"/>
        <v>0</v>
      </c>
      <c r="BI46" s="508">
        <f t="shared" ca="1" si="30"/>
        <v>0</v>
      </c>
      <c r="BJ46" s="508">
        <f t="shared" ca="1" si="30"/>
        <v>0</v>
      </c>
      <c r="BK46" s="508">
        <f t="shared" ca="1" si="30"/>
        <v>0</v>
      </c>
      <c r="BL46" s="508">
        <f t="shared" ca="1" si="30"/>
        <v>0</v>
      </c>
      <c r="BM46" s="508">
        <f t="shared" ca="1" si="30"/>
        <v>0</v>
      </c>
      <c r="BN46" s="508"/>
      <c r="BO46" s="508"/>
      <c r="BP46" s="508">
        <f ca="1">IF($C$4=Year1,-PMT(Lookups!$E$17,25,NPV(Lookups!$E$17,AM46:BK46),0,1),IF($C$4=Year2,-PMT(Lookups!$F$17,25,NPV(Lookups!$F$17,AN46:BL46),0,1),IF($C$4=Year3,-PMT(Lookups!$G$17,25,NPV(Lookups!$G$17,AO46:BM46),0,1),-PMT(Lookups!$G$17,27,NPV(Lookups!$G$17,AM46:BM46),0,1))))</f>
        <v>-3.9026138117220137E-4</v>
      </c>
      <c r="BS46" s="84" t="str">
        <f t="shared" si="26"/>
        <v>Avoided Gas DRIPE avoided costs divided by After Scenario sales.</v>
      </c>
      <c r="BT46" s="51" t="s">
        <v>17</v>
      </c>
    </row>
    <row r="47" spans="1:72" x14ac:dyDescent="0.25">
      <c r="B47" s="243" t="str">
        <f t="shared" si="23"/>
        <v>Residential</v>
      </c>
      <c r="C47" s="243" t="str">
        <f t="shared" si="23"/>
        <v>Rates</v>
      </c>
      <c r="D47" s="244" t="str">
        <f t="shared" si="23"/>
        <v>Avoided Costs</v>
      </c>
      <c r="E47" s="86" t="s">
        <v>76</v>
      </c>
      <c r="F47" s="84" t="s">
        <v>182</v>
      </c>
      <c r="G47" s="506">
        <f ca="1">SUM(G44:G46)</f>
        <v>-4.9600265527870724E-3</v>
      </c>
      <c r="H47" s="506">
        <f ca="1">SUM(H44:H46)</f>
        <v>-1.0046272680222358E-2</v>
      </c>
      <c r="I47" s="506">
        <f t="shared" ref="I47:AG47" ca="1" si="31">SUM(I44:I46)</f>
        <v>-1.5294789921505731E-2</v>
      </c>
      <c r="J47" s="506">
        <f t="shared" ca="1" si="31"/>
        <v>-1.5294789921505731E-2</v>
      </c>
      <c r="K47" s="506">
        <f t="shared" ca="1" si="31"/>
        <v>-1.5294789921505731E-2</v>
      </c>
      <c r="L47" s="506">
        <f t="shared" ca="1" si="31"/>
        <v>-1.5294789921505731E-2</v>
      </c>
      <c r="M47" s="506">
        <f t="shared" ca="1" si="31"/>
        <v>-1.5294789921505731E-2</v>
      </c>
      <c r="N47" s="506">
        <f t="shared" ca="1" si="31"/>
        <v>-1.5294789921505731E-2</v>
      </c>
      <c r="O47" s="506">
        <f t="shared" ca="1" si="31"/>
        <v>-1.5294789921505731E-2</v>
      </c>
      <c r="P47" s="506">
        <f t="shared" ca="1" si="31"/>
        <v>-1.5294789921505731E-2</v>
      </c>
      <c r="Q47" s="506">
        <f t="shared" ca="1" si="31"/>
        <v>-1.5294789921505731E-2</v>
      </c>
      <c r="R47" s="506">
        <f t="shared" ca="1" si="31"/>
        <v>-1.5294789921505731E-2</v>
      </c>
      <c r="S47" s="506">
        <f t="shared" ca="1" si="31"/>
        <v>-1.5294789921505731E-2</v>
      </c>
      <c r="T47" s="506">
        <f t="shared" ca="1" si="31"/>
        <v>-1.5294789921505731E-2</v>
      </c>
      <c r="U47" s="506">
        <f t="shared" ca="1" si="31"/>
        <v>-1.5294789921505731E-2</v>
      </c>
      <c r="V47" s="506">
        <f t="shared" ca="1" si="31"/>
        <v>-1.0201617824072196E-2</v>
      </c>
      <c r="W47" s="506">
        <f t="shared" ca="1" si="31"/>
        <v>-5.1132869613376829E-3</v>
      </c>
      <c r="X47" s="506">
        <f t="shared" ca="1" si="31"/>
        <v>0</v>
      </c>
      <c r="Y47" s="506">
        <f t="shared" ca="1" si="31"/>
        <v>0</v>
      </c>
      <c r="Z47" s="506">
        <f t="shared" ca="1" si="31"/>
        <v>0</v>
      </c>
      <c r="AA47" s="506">
        <f t="shared" ca="1" si="31"/>
        <v>0</v>
      </c>
      <c r="AB47" s="506">
        <f t="shared" ca="1" si="31"/>
        <v>0</v>
      </c>
      <c r="AC47" s="506">
        <f t="shared" ca="1" si="31"/>
        <v>0</v>
      </c>
      <c r="AD47" s="506">
        <f t="shared" ca="1" si="31"/>
        <v>0</v>
      </c>
      <c r="AE47" s="506">
        <f t="shared" ca="1" si="31"/>
        <v>0</v>
      </c>
      <c r="AF47" s="506">
        <f t="shared" ca="1" si="31"/>
        <v>0</v>
      </c>
      <c r="AG47" s="506">
        <f t="shared" ca="1" si="31"/>
        <v>0</v>
      </c>
      <c r="AH47" s="506"/>
      <c r="AI47" s="506"/>
      <c r="AJ47" s="506">
        <f ca="1">IF($C$4=Year1,-PMT(Lookups!$E$17,25,NPV(Lookups!$E$17,G47:AE47),0,1),IF($C$4=Year2,-PMT(Lookups!$F$17,25,NPV(Lookups!$F$17,H47:AF47),0,1),IF($C$4=Year3,-PMT(Lookups!$G$17,25,NPV(Lookups!$G$17,I47:AG47),0,1),-PMT(Lookups!$G$17,27,NPV(Lookups!$G$17,G47:AG47),0,1))))</f>
        <v>-8.939846975129187E-3</v>
      </c>
      <c r="AK47" s="507"/>
      <c r="AL47" s="507"/>
      <c r="AM47" s="508">
        <f ca="1">SUM(AM44:AM46)</f>
        <v>-5.6738350193891443E-3</v>
      </c>
      <c r="AN47" s="508">
        <f t="shared" ref="AN47:BM47" ca="1" si="32">SUM(AN44:AN46)</f>
        <v>-1.1502957511845461E-2</v>
      </c>
      <c r="AO47" s="508">
        <f t="shared" ca="1" si="32"/>
        <v>-1.7529667978174415E-2</v>
      </c>
      <c r="AP47" s="508">
        <f t="shared" ca="1" si="32"/>
        <v>-1.7529667978174415E-2</v>
      </c>
      <c r="AQ47" s="508">
        <f t="shared" ca="1" si="32"/>
        <v>-1.7529667978174415E-2</v>
      </c>
      <c r="AR47" s="508">
        <f t="shared" ca="1" si="32"/>
        <v>-1.7529667978174415E-2</v>
      </c>
      <c r="AS47" s="508">
        <f t="shared" ca="1" si="32"/>
        <v>-1.7529667978174415E-2</v>
      </c>
      <c r="AT47" s="508">
        <f t="shared" ca="1" si="32"/>
        <v>-1.7529667978174415E-2</v>
      </c>
      <c r="AU47" s="508">
        <f t="shared" ca="1" si="32"/>
        <v>-1.7529667978174415E-2</v>
      </c>
      <c r="AV47" s="508">
        <f t="shared" ca="1" si="32"/>
        <v>-1.7529667978174415E-2</v>
      </c>
      <c r="AW47" s="508">
        <f t="shared" ca="1" si="32"/>
        <v>-1.7529667978174415E-2</v>
      </c>
      <c r="AX47" s="508">
        <f t="shared" ca="1" si="32"/>
        <v>-1.7529667978174415E-2</v>
      </c>
      <c r="AY47" s="508">
        <f t="shared" ca="1" si="32"/>
        <v>-1.7529667978174415E-2</v>
      </c>
      <c r="AZ47" s="508">
        <f t="shared" ca="1" si="32"/>
        <v>-1.7529667978174415E-2</v>
      </c>
      <c r="BA47" s="508">
        <f t="shared" ca="1" si="32"/>
        <v>-1.7529667978174415E-2</v>
      </c>
      <c r="BB47" s="508">
        <f t="shared" ca="1" si="32"/>
        <v>-1.1681185324723661E-2</v>
      </c>
      <c r="BC47" s="508">
        <f t="shared" ca="1" si="32"/>
        <v>-5.8493282386168615E-3</v>
      </c>
      <c r="BD47" s="508">
        <f t="shared" ca="1" si="32"/>
        <v>0</v>
      </c>
      <c r="BE47" s="508">
        <f t="shared" ca="1" si="32"/>
        <v>0</v>
      </c>
      <c r="BF47" s="508">
        <f t="shared" ca="1" si="32"/>
        <v>0</v>
      </c>
      <c r="BG47" s="508">
        <f t="shared" ca="1" si="32"/>
        <v>0</v>
      </c>
      <c r="BH47" s="508">
        <f t="shared" ca="1" si="32"/>
        <v>0</v>
      </c>
      <c r="BI47" s="508">
        <f t="shared" ca="1" si="32"/>
        <v>0</v>
      </c>
      <c r="BJ47" s="508">
        <f t="shared" ca="1" si="32"/>
        <v>0</v>
      </c>
      <c r="BK47" s="508">
        <f t="shared" ca="1" si="32"/>
        <v>0</v>
      </c>
      <c r="BL47" s="508">
        <f t="shared" ca="1" si="32"/>
        <v>0</v>
      </c>
      <c r="BM47" s="508">
        <f t="shared" ca="1" si="32"/>
        <v>0</v>
      </c>
      <c r="BN47" s="508"/>
      <c r="BO47" s="508"/>
      <c r="BP47" s="508">
        <f ca="1">IF($C$4=Year1,-PMT(Lookups!$E$17,25,NPV(Lookups!$E$17,AM47:BK47),0,1),IF($C$4=Year2,-PMT(Lookups!$F$17,25,NPV(Lookups!$F$17,AN47:BL47),0,1),IF($C$4=Year3,-PMT(Lookups!$G$17,25,NPV(Lookups!$G$17,AO47:BM47),0,1),-PMT(Lookups!$G$17,27,NPV(Lookups!$G$17,AM47:BM47),0,1))))</f>
        <v>-1.0244399112266789E-2</v>
      </c>
      <c r="BS47" s="84" t="s">
        <v>232</v>
      </c>
      <c r="BT47" s="51" t="s">
        <v>17</v>
      </c>
    </row>
    <row r="48" spans="1:72" x14ac:dyDescent="0.25">
      <c r="B48" s="243" t="str">
        <f t="shared" si="23"/>
        <v>Residential</v>
      </c>
      <c r="C48" s="243" t="str">
        <f t="shared" si="23"/>
        <v>Rates</v>
      </c>
      <c r="D48" s="114" t="s">
        <v>165</v>
      </c>
      <c r="E48" s="86"/>
      <c r="F48" s="86"/>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506"/>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S48" s="84"/>
      <c r="BT48" s="51" t="s">
        <v>17</v>
      </c>
    </row>
    <row r="49" spans="1:72" x14ac:dyDescent="0.25">
      <c r="A49" s="246"/>
      <c r="B49" s="243" t="str">
        <f t="shared" si="23"/>
        <v>Residential</v>
      </c>
      <c r="C49" s="243" t="str">
        <f t="shared" si="23"/>
        <v>Rates</v>
      </c>
      <c r="D49" s="244" t="str">
        <f t="shared" si="23"/>
        <v>Increased Costs and Cost Shifting</v>
      </c>
      <c r="E49" s="84" t="s">
        <v>406</v>
      </c>
      <c r="F49" s="84" t="s">
        <v>182</v>
      </c>
      <c r="G49" s="509">
        <f ca="1">IF($C$4=Lookups!$D$40,SUM(INDIRECT("'Yr1'!"&amp;ADDRESS(ROW(G49),COLUMN(G49))),INDIRECT("'Yr2'!"&amp;ADDRESS(ROW(G49),COLUMN(G49))),INDIRECT("'Yr3'!"&amp;ADDRESS(ROW(G49),COLUMN(G49)))),
IF($C$4=G$7,SUMIFS('EE Inputs'!$L$9:$L$32,'EE Inputs'!$C$9:$C$32,$G$6,'EE Inputs'!$D$9:$D$32,$C$4,'EE Inputs'!$E$9:$E$32,$B49),0))</f>
        <v>6.4686396991858353E-2</v>
      </c>
      <c r="H49" s="509">
        <f ca="1">IF($C$4=Lookups!$D$40,SUM(INDIRECT("'Yr1'!"&amp;ADDRESS(ROW(H49),COLUMN(H49))),INDIRECT("'Yr2'!"&amp;ADDRESS(ROW(H49),COLUMN(H49))),INDIRECT("'Yr3'!"&amp;ADDRESS(ROW(H49),COLUMN(H49)))),
IF($C$4=H$7,SUMIFS('EE Inputs'!$L$9:$L$32,'EE Inputs'!$C$9:$C$32,$G$6,'EE Inputs'!$D$9:$D$32,$C$4,'EE Inputs'!$E$9:$E$32,$B49),0))</f>
        <v>6.6654138295917709E-2</v>
      </c>
      <c r="I49" s="509">
        <f ca="1">IF($C$4=Lookups!$D$40,SUM(INDIRECT("'Yr1'!"&amp;ADDRESS(ROW(I49),COLUMN(I49))),INDIRECT("'Yr2'!"&amp;ADDRESS(ROW(I49),COLUMN(I49))),INDIRECT("'Yr3'!"&amp;ADDRESS(ROW(I49),COLUMN(I49)))),
IF($C$4=I$7,SUMIFS('EE Inputs'!$L$9:$L$32,'EE Inputs'!$C$9:$C$32,$G$6,'EE Inputs'!$D$9:$D$32,$C$4,'EE Inputs'!$E$9:$E$32,$B49),0))</f>
        <v>6.8785811560470811E-2</v>
      </c>
      <c r="J49" s="509">
        <f ca="1">IF($C$4=Lookups!$D$40,SUM(INDIRECT("'Yr1'!"&amp;ADDRESS(ROW(J49),COLUMN(J49))),INDIRECT("'Yr2'!"&amp;ADDRESS(ROW(J49),COLUMN(J49))),INDIRECT("'Yr3'!"&amp;ADDRESS(ROW(J49),COLUMN(J49)))),
IF($C$4=J$7,SUMIFS('EE Inputs'!$L$9:$L$32,'EE Inputs'!$C$9:$C$32,$G$6,'EE Inputs'!$D$9:$D$32,$C$4,'EE Inputs'!$E$9:$E$32,$B49),0))</f>
        <v>0</v>
      </c>
      <c r="K49" s="509">
        <f ca="1">IF($C$4=Lookups!$D$40,SUM(INDIRECT("'Yr1'!"&amp;ADDRESS(ROW(K49),COLUMN(K49))),INDIRECT("'Yr2'!"&amp;ADDRESS(ROW(K49),COLUMN(K49))),INDIRECT("'Yr3'!"&amp;ADDRESS(ROW(K49),COLUMN(K49)))),
IF($C$4=K$7,SUMIFS('EE Inputs'!$L$9:$L$32,'EE Inputs'!$C$9:$C$32,$G$6,'EE Inputs'!$D$9:$D$32,$C$4,'EE Inputs'!$E$9:$E$32,$B49),0))</f>
        <v>0</v>
      </c>
      <c r="L49" s="509">
        <f ca="1">IF($C$4=Lookups!$D$40,SUM(INDIRECT("'Yr1'!"&amp;ADDRESS(ROW(L49),COLUMN(L49))),INDIRECT("'Yr2'!"&amp;ADDRESS(ROW(L49),COLUMN(L49))),INDIRECT("'Yr3'!"&amp;ADDRESS(ROW(L49),COLUMN(L49)))),
IF($C$4=L$7,SUMIFS('EE Inputs'!$L$9:$L$32,'EE Inputs'!$C$9:$C$32,$G$6,'EE Inputs'!$D$9:$D$32,$C$4,'EE Inputs'!$E$9:$E$32,$B49),0))</f>
        <v>0</v>
      </c>
      <c r="M49" s="509">
        <f ca="1">IF($C$4=Lookups!$D$40,SUM(INDIRECT("'Yr1'!"&amp;ADDRESS(ROW(M49),COLUMN(M49))),INDIRECT("'Yr2'!"&amp;ADDRESS(ROW(M49),COLUMN(M49))),INDIRECT("'Yr3'!"&amp;ADDRESS(ROW(M49),COLUMN(M49)))),
IF($C$4=M$7,SUMIFS('EE Inputs'!$L$9:$L$32,'EE Inputs'!$C$9:$C$32,$G$6,'EE Inputs'!$D$9:$D$32,$C$4,'EE Inputs'!$E$9:$E$32,$B49),0))</f>
        <v>0</v>
      </c>
      <c r="N49" s="509">
        <f ca="1">IF($C$4=Lookups!$D$40,SUM(INDIRECT("'Yr1'!"&amp;ADDRESS(ROW(N49),COLUMN(N49))),INDIRECT("'Yr2'!"&amp;ADDRESS(ROW(N49),COLUMN(N49))),INDIRECT("'Yr3'!"&amp;ADDRESS(ROW(N49),COLUMN(N49)))),
IF($C$4=N$7,SUMIFS('EE Inputs'!$L$9:$L$32,'EE Inputs'!$C$9:$C$32,$G$6,'EE Inputs'!$D$9:$D$32,$C$4,'EE Inputs'!$E$9:$E$32,$B49),0))</f>
        <v>0</v>
      </c>
      <c r="O49" s="509">
        <f ca="1">IF($C$4=Lookups!$D$40,SUM(INDIRECT("'Yr1'!"&amp;ADDRESS(ROW(O49),COLUMN(O49))),INDIRECT("'Yr2'!"&amp;ADDRESS(ROW(O49),COLUMN(O49))),INDIRECT("'Yr3'!"&amp;ADDRESS(ROW(O49),COLUMN(O49)))),
IF($C$4=O$7,SUMIFS('EE Inputs'!$L$9:$L$32,'EE Inputs'!$C$9:$C$32,$G$6,'EE Inputs'!$D$9:$D$32,$C$4,'EE Inputs'!$E$9:$E$32,$B49),0))</f>
        <v>0</v>
      </c>
      <c r="P49" s="509">
        <f ca="1">IF($C$4=Lookups!$D$40,SUM(INDIRECT("'Yr1'!"&amp;ADDRESS(ROW(P49),COLUMN(P49))),INDIRECT("'Yr2'!"&amp;ADDRESS(ROW(P49),COLUMN(P49))),INDIRECT("'Yr3'!"&amp;ADDRESS(ROW(P49),COLUMN(P49)))),
IF($C$4=P$7,SUMIFS('EE Inputs'!$L$9:$L$32,'EE Inputs'!$C$9:$C$32,$G$6,'EE Inputs'!$D$9:$D$32,$C$4,'EE Inputs'!$E$9:$E$32,$B49),0))</f>
        <v>0</v>
      </c>
      <c r="Q49" s="509">
        <f ca="1">IF($C$4=Lookups!$D$40,SUM(INDIRECT("'Yr1'!"&amp;ADDRESS(ROW(Q49),COLUMN(Q49))),INDIRECT("'Yr2'!"&amp;ADDRESS(ROW(Q49),COLUMN(Q49))),INDIRECT("'Yr3'!"&amp;ADDRESS(ROW(Q49),COLUMN(Q49)))),
IF($C$4=Q$7,SUMIFS('EE Inputs'!$L$9:$L$32,'EE Inputs'!$C$9:$C$32,$G$6,'EE Inputs'!$D$9:$D$32,$C$4,'EE Inputs'!$E$9:$E$32,$B49),0))</f>
        <v>0</v>
      </c>
      <c r="R49" s="509">
        <f ca="1">IF($C$4=Lookups!$D$40,SUM(INDIRECT("'Yr1'!"&amp;ADDRESS(ROW(R49),COLUMN(R49))),INDIRECT("'Yr2'!"&amp;ADDRESS(ROW(R49),COLUMN(R49))),INDIRECT("'Yr3'!"&amp;ADDRESS(ROW(R49),COLUMN(R49)))),
IF($C$4=R$7,SUMIFS('EE Inputs'!$L$9:$L$32,'EE Inputs'!$C$9:$C$32,$G$6,'EE Inputs'!$D$9:$D$32,$C$4,'EE Inputs'!$E$9:$E$32,$B49),0))</f>
        <v>0</v>
      </c>
      <c r="S49" s="509">
        <f ca="1">IF($C$4=Lookups!$D$40,SUM(INDIRECT("'Yr1'!"&amp;ADDRESS(ROW(S49),COLUMN(S49))),INDIRECT("'Yr2'!"&amp;ADDRESS(ROW(S49),COLUMN(S49))),INDIRECT("'Yr3'!"&amp;ADDRESS(ROW(S49),COLUMN(S49)))),
IF($C$4=S$7,SUMIFS('EE Inputs'!$L$9:$L$32,'EE Inputs'!$C$9:$C$32,$G$6,'EE Inputs'!$D$9:$D$32,$C$4,'EE Inputs'!$E$9:$E$32,$B49),0))</f>
        <v>0</v>
      </c>
      <c r="T49" s="509">
        <f ca="1">IF($C$4=Lookups!$D$40,SUM(INDIRECT("'Yr1'!"&amp;ADDRESS(ROW(T49),COLUMN(T49))),INDIRECT("'Yr2'!"&amp;ADDRESS(ROW(T49),COLUMN(T49))),INDIRECT("'Yr3'!"&amp;ADDRESS(ROW(T49),COLUMN(T49)))),
IF($C$4=T$7,SUMIFS('EE Inputs'!$L$9:$L$32,'EE Inputs'!$C$9:$C$32,$G$6,'EE Inputs'!$D$9:$D$32,$C$4,'EE Inputs'!$E$9:$E$32,$B49),0))</f>
        <v>0</v>
      </c>
      <c r="U49" s="509">
        <f ca="1">IF($C$4=Lookups!$D$40,SUM(INDIRECT("'Yr1'!"&amp;ADDRESS(ROW(U49),COLUMN(U49))),INDIRECT("'Yr2'!"&amp;ADDRESS(ROW(U49),COLUMN(U49))),INDIRECT("'Yr3'!"&amp;ADDRESS(ROW(U49),COLUMN(U49)))),
IF($C$4=U$7,SUMIFS('EE Inputs'!$L$9:$L$32,'EE Inputs'!$C$9:$C$32,$G$6,'EE Inputs'!$D$9:$D$32,$C$4,'EE Inputs'!$E$9:$E$32,$B49),0))</f>
        <v>0</v>
      </c>
      <c r="V49" s="509">
        <f ca="1">IF($C$4=Lookups!$D$40,SUM(INDIRECT("'Yr1'!"&amp;ADDRESS(ROW(V49),COLUMN(V49))),INDIRECT("'Yr2'!"&amp;ADDRESS(ROW(V49),COLUMN(V49))),INDIRECT("'Yr3'!"&amp;ADDRESS(ROW(V49),COLUMN(V49)))),
IF($C$4=V$7,SUMIFS('EE Inputs'!$L$9:$L$32,'EE Inputs'!$C$9:$C$32,$G$6,'EE Inputs'!$D$9:$D$32,$C$4,'EE Inputs'!$E$9:$E$32,$B49),0))</f>
        <v>0</v>
      </c>
      <c r="W49" s="509">
        <f ca="1">IF($C$4=Lookups!$D$40,SUM(INDIRECT("'Yr1'!"&amp;ADDRESS(ROW(W49),COLUMN(W49))),INDIRECT("'Yr2'!"&amp;ADDRESS(ROW(W49),COLUMN(W49))),INDIRECT("'Yr3'!"&amp;ADDRESS(ROW(W49),COLUMN(W49)))),
IF($C$4=W$7,SUMIFS('EE Inputs'!$L$9:$L$32,'EE Inputs'!$C$9:$C$32,$G$6,'EE Inputs'!$D$9:$D$32,$C$4,'EE Inputs'!$E$9:$E$32,$B49),0))</f>
        <v>0</v>
      </c>
      <c r="X49" s="509">
        <f ca="1">IF($C$4=Lookups!$D$40,SUM(INDIRECT("'Yr1'!"&amp;ADDRESS(ROW(X49),COLUMN(X49))),INDIRECT("'Yr2'!"&amp;ADDRESS(ROW(X49),COLUMN(X49))),INDIRECT("'Yr3'!"&amp;ADDRESS(ROW(X49),COLUMN(X49)))),
IF($C$4=X$7,SUMIFS('EE Inputs'!$L$9:$L$32,'EE Inputs'!$C$9:$C$32,$G$6,'EE Inputs'!$D$9:$D$32,$C$4,'EE Inputs'!$E$9:$E$32,$B49),0))</f>
        <v>0</v>
      </c>
      <c r="Y49" s="509">
        <f ca="1">IF($C$4=Lookups!$D$40,SUM(INDIRECT("'Yr1'!"&amp;ADDRESS(ROW(Y49),COLUMN(Y49))),INDIRECT("'Yr2'!"&amp;ADDRESS(ROW(Y49),COLUMN(Y49))),INDIRECT("'Yr3'!"&amp;ADDRESS(ROW(Y49),COLUMN(Y49)))),
IF($C$4=Y$7,SUMIFS('EE Inputs'!$L$9:$L$32,'EE Inputs'!$C$9:$C$32,$G$6,'EE Inputs'!$D$9:$D$32,$C$4,'EE Inputs'!$E$9:$E$32,$B49),0))</f>
        <v>0</v>
      </c>
      <c r="Z49" s="509">
        <f ca="1">IF($C$4=Lookups!$D$40,SUM(INDIRECT("'Yr1'!"&amp;ADDRESS(ROW(Z49),COLUMN(Z49))),INDIRECT("'Yr2'!"&amp;ADDRESS(ROW(Z49),COLUMN(Z49))),INDIRECT("'Yr3'!"&amp;ADDRESS(ROW(Z49),COLUMN(Z49)))),
IF($C$4=Z$7,SUMIFS('EE Inputs'!$L$9:$L$32,'EE Inputs'!$C$9:$C$32,$G$6,'EE Inputs'!$D$9:$D$32,$C$4,'EE Inputs'!$E$9:$E$32,$B49),0))</f>
        <v>0</v>
      </c>
      <c r="AA49" s="509">
        <f ca="1">IF($C$4=Lookups!$D$40,SUM(INDIRECT("'Yr1'!"&amp;ADDRESS(ROW(AA49),COLUMN(AA49))),INDIRECT("'Yr2'!"&amp;ADDRESS(ROW(AA49),COLUMN(AA49))),INDIRECT("'Yr3'!"&amp;ADDRESS(ROW(AA49),COLUMN(AA49)))),
IF($C$4=AA$7,SUMIFS('EE Inputs'!$L$9:$L$32,'EE Inputs'!$C$9:$C$32,$G$6,'EE Inputs'!$D$9:$D$32,$C$4,'EE Inputs'!$E$9:$E$32,$B49),0))</f>
        <v>0</v>
      </c>
      <c r="AB49" s="509">
        <f ca="1">IF($C$4=Lookups!$D$40,SUM(INDIRECT("'Yr1'!"&amp;ADDRESS(ROW(AB49),COLUMN(AB49))),INDIRECT("'Yr2'!"&amp;ADDRESS(ROW(AB49),COLUMN(AB49))),INDIRECT("'Yr3'!"&amp;ADDRESS(ROW(AB49),COLUMN(AB49)))),
IF($C$4=AB$7,SUMIFS('EE Inputs'!$L$9:$L$32,'EE Inputs'!$C$9:$C$32,$G$6,'EE Inputs'!$D$9:$D$32,$C$4,'EE Inputs'!$E$9:$E$32,$B49),0))</f>
        <v>0</v>
      </c>
      <c r="AC49" s="509">
        <f ca="1">IF($C$4=Lookups!$D$40,SUM(INDIRECT("'Yr1'!"&amp;ADDRESS(ROW(AC49),COLUMN(AC49))),INDIRECT("'Yr2'!"&amp;ADDRESS(ROW(AC49),COLUMN(AC49))),INDIRECT("'Yr3'!"&amp;ADDRESS(ROW(AC49),COLUMN(AC49)))),
IF($C$4=AC$7,SUMIFS('EE Inputs'!$L$9:$L$32,'EE Inputs'!$C$9:$C$32,$G$6,'EE Inputs'!$D$9:$D$32,$C$4,'EE Inputs'!$E$9:$E$32,$B49),0))</f>
        <v>0</v>
      </c>
      <c r="AD49" s="509">
        <f ca="1">IF($C$4=Lookups!$D$40,SUM(INDIRECT("'Yr1'!"&amp;ADDRESS(ROW(AD49),COLUMN(AD49))),INDIRECT("'Yr2'!"&amp;ADDRESS(ROW(AD49),COLUMN(AD49))),INDIRECT("'Yr3'!"&amp;ADDRESS(ROW(AD49),COLUMN(AD49)))),
IF($C$4=AD$7,SUMIFS('EE Inputs'!$L$9:$L$32,'EE Inputs'!$C$9:$C$32,$G$6,'EE Inputs'!$D$9:$D$32,$C$4,'EE Inputs'!$E$9:$E$32,$B49),0))</f>
        <v>0</v>
      </c>
      <c r="AE49" s="509">
        <f ca="1">IF($C$4=Lookups!$D$40,SUM(INDIRECT("'Yr1'!"&amp;ADDRESS(ROW(AE49),COLUMN(AE49))),INDIRECT("'Yr2'!"&amp;ADDRESS(ROW(AE49),COLUMN(AE49))),INDIRECT("'Yr3'!"&amp;ADDRESS(ROW(AE49),COLUMN(AE49)))),
IF($C$4=AE$7,SUMIFS('EE Inputs'!$L$9:$L$32,'EE Inputs'!$C$9:$C$32,$G$6,'EE Inputs'!$D$9:$D$32,$C$4,'EE Inputs'!$E$9:$E$32,$B49),0))</f>
        <v>0</v>
      </c>
      <c r="AF49" s="509">
        <f ca="1">IF($C$4=Lookups!$D$40,SUM(INDIRECT("'Yr1'!"&amp;ADDRESS(ROW(AF49),COLUMN(AF49))),INDIRECT("'Yr2'!"&amp;ADDRESS(ROW(AF49),COLUMN(AF49))),INDIRECT("'Yr3'!"&amp;ADDRESS(ROW(AF49),COLUMN(AF49)))),
IF($C$4=AF$7,SUMIFS('EE Inputs'!$L$9:$L$32,'EE Inputs'!$C$9:$C$32,$G$6,'EE Inputs'!$D$9:$D$32,$C$4,'EE Inputs'!$E$9:$E$32,$B49),0))</f>
        <v>0</v>
      </c>
      <c r="AG49" s="509">
        <f ca="1">IF($C$4=Lookups!$D$40,SUM(INDIRECT("'Yr1'!"&amp;ADDRESS(ROW(AG49),COLUMN(AG49))),INDIRECT("'Yr2'!"&amp;ADDRESS(ROW(AG49),COLUMN(AG49))),INDIRECT("'Yr3'!"&amp;ADDRESS(ROW(AG49),COLUMN(AG49)))),
IF($C$4=AG$7,SUMIFS('EE Inputs'!$L$9:$L$32,'EE Inputs'!$C$9:$C$32,$G$6,'EE Inputs'!$D$9:$D$32,$C$4,'EE Inputs'!$E$9:$E$32,$B49),0))</f>
        <v>0</v>
      </c>
      <c r="AH49" s="509"/>
      <c r="AI49" s="509"/>
      <c r="AJ49" s="506">
        <f ca="1">IF($C$4=Year1,-PMT(Lookups!$E$17,25,NPV(Lookups!$E$17,G49:AE49),0,1),IF($C$4=Year2,-PMT(Lookups!$F$17,25,NPV(Lookups!$F$17,H49:AF49),0,1),IF($C$4=Year3,-PMT(Lookups!$G$17,25,NPV(Lookups!$G$17,I49:AG49),0,1),-PMT(Lookups!$G$17,27,NPV(Lookups!$G$17,G49:AG49),0,1))))</f>
        <v>8.5969511791399115E-3</v>
      </c>
      <c r="AK49" s="507"/>
      <c r="AL49" s="507"/>
      <c r="AM49" s="508">
        <f ca="1">IF($C$4=Lookups!$D$40,SUM(INDIRECT("'Yr1'!"&amp;ADDRESS(ROW(AM49),COLUMN(AM49))),INDIRECT("'Yr2'!"&amp;ADDRESS(ROW(AM49),COLUMN(AM49))),INDIRECT("'Yr3'!"&amp;ADDRESS(ROW(AM49),COLUMN(AM49)))),
IF($C$4=AM$7,SUMIFS('EE Inputs'!$L$9:$L$32,'EE Inputs'!$C$9:$C$32,$AM$6,'EE Inputs'!$D$9:$D$32,$C$4,'EE Inputs'!$E$9:$E$32,$B49),0))</f>
        <v>7.7623676390230018E-2</v>
      </c>
      <c r="AN49" s="508">
        <f ca="1">IF($C$4=Lookups!$D$40,SUM(INDIRECT("'Yr1'!"&amp;ADDRESS(ROW(AN49),COLUMN(AN49))),INDIRECT("'Yr2'!"&amp;ADDRESS(ROW(AN49),COLUMN(AN49))),INDIRECT("'Yr3'!"&amp;ADDRESS(ROW(AN49),COLUMN(AN49)))),
IF($C$4=AN$7,SUMIFS('EE Inputs'!$L$9:$L$32,'EE Inputs'!$C$9:$C$32,$AM$6,'EE Inputs'!$D$9:$D$32,$C$4,'EE Inputs'!$E$9:$E$32,$B49),0))</f>
        <v>7.9984965955101253E-2</v>
      </c>
      <c r="AO49" s="508">
        <f ca="1">IF($C$4=Lookups!$D$40,SUM(INDIRECT("'Yr1'!"&amp;ADDRESS(ROW(AO49),COLUMN(AO49))),INDIRECT("'Yr2'!"&amp;ADDRESS(ROW(AO49),COLUMN(AO49))),INDIRECT("'Yr3'!"&amp;ADDRESS(ROW(AO49),COLUMN(AO49)))),
IF($C$4=AO$7,SUMIFS('EE Inputs'!$L$9:$L$32,'EE Inputs'!$C$9:$C$32,$AM$6,'EE Inputs'!$D$9:$D$32,$C$4,'EE Inputs'!$E$9:$E$32,$B49),0))</f>
        <v>8.254297387256497E-2</v>
      </c>
      <c r="AP49" s="508">
        <f ca="1">IF($C$4=Lookups!$D$40,SUM(INDIRECT("'Yr1'!"&amp;ADDRESS(ROW(AP49),COLUMN(AP49))),INDIRECT("'Yr2'!"&amp;ADDRESS(ROW(AP49),COLUMN(AP49))),INDIRECT("'Yr3'!"&amp;ADDRESS(ROW(AP49),COLUMN(AP49)))),
IF($C$4=AP$7,SUMIFS('EE Inputs'!$L$9:$L$32,'EE Inputs'!$C$9:$C$32,$AM$6,'EE Inputs'!$D$9:$D$32,$C$4,'EE Inputs'!$E$9:$E$32,$B49),0))</f>
        <v>0</v>
      </c>
      <c r="AQ49" s="508">
        <f ca="1">IF($C$4=Lookups!$D$40,SUM(INDIRECT("'Yr1'!"&amp;ADDRESS(ROW(AQ49),COLUMN(AQ49))),INDIRECT("'Yr2'!"&amp;ADDRESS(ROW(AQ49),COLUMN(AQ49))),INDIRECT("'Yr3'!"&amp;ADDRESS(ROW(AQ49),COLUMN(AQ49)))),
IF($C$4=AQ$7,SUMIFS('EE Inputs'!$L$9:$L$32,'EE Inputs'!$C$9:$C$32,$AM$6,'EE Inputs'!$D$9:$D$32,$C$4,'EE Inputs'!$E$9:$E$32,$B49),0))</f>
        <v>0</v>
      </c>
      <c r="AR49" s="508">
        <f ca="1">IF($C$4=Lookups!$D$40,SUM(INDIRECT("'Yr1'!"&amp;ADDRESS(ROW(AR49),COLUMN(AR49))),INDIRECT("'Yr2'!"&amp;ADDRESS(ROW(AR49),COLUMN(AR49))),INDIRECT("'Yr3'!"&amp;ADDRESS(ROW(AR49),COLUMN(AR49)))),
IF($C$4=AR$7,SUMIFS('EE Inputs'!$L$9:$L$32,'EE Inputs'!$C$9:$C$32,$AM$6,'EE Inputs'!$D$9:$D$32,$C$4,'EE Inputs'!$E$9:$E$32,$B49),0))</f>
        <v>0</v>
      </c>
      <c r="AS49" s="508">
        <f ca="1">IF($C$4=Lookups!$D$40,SUM(INDIRECT("'Yr1'!"&amp;ADDRESS(ROW(AS49),COLUMN(AS49))),INDIRECT("'Yr2'!"&amp;ADDRESS(ROW(AS49),COLUMN(AS49))),INDIRECT("'Yr3'!"&amp;ADDRESS(ROW(AS49),COLUMN(AS49)))),
IF($C$4=AS$7,SUMIFS('EE Inputs'!$L$9:$L$32,'EE Inputs'!$C$9:$C$32,$AM$6,'EE Inputs'!$D$9:$D$32,$C$4,'EE Inputs'!$E$9:$E$32,$B49),0))</f>
        <v>0</v>
      </c>
      <c r="AT49" s="508">
        <f ca="1">IF($C$4=Lookups!$D$40,SUM(INDIRECT("'Yr1'!"&amp;ADDRESS(ROW(AT49),COLUMN(AT49))),INDIRECT("'Yr2'!"&amp;ADDRESS(ROW(AT49),COLUMN(AT49))),INDIRECT("'Yr3'!"&amp;ADDRESS(ROW(AT49),COLUMN(AT49)))),
IF($C$4=AT$7,SUMIFS('EE Inputs'!$L$9:$L$32,'EE Inputs'!$C$9:$C$32,$AM$6,'EE Inputs'!$D$9:$D$32,$C$4,'EE Inputs'!$E$9:$E$32,$B49),0))</f>
        <v>0</v>
      </c>
      <c r="AU49" s="508">
        <f ca="1">IF($C$4=Lookups!$D$40,SUM(INDIRECT("'Yr1'!"&amp;ADDRESS(ROW(AU49),COLUMN(AU49))),INDIRECT("'Yr2'!"&amp;ADDRESS(ROW(AU49),COLUMN(AU49))),INDIRECT("'Yr3'!"&amp;ADDRESS(ROW(AU49),COLUMN(AU49)))),
IF($C$4=AU$7,SUMIFS('EE Inputs'!$L$9:$L$32,'EE Inputs'!$C$9:$C$32,$AM$6,'EE Inputs'!$D$9:$D$32,$C$4,'EE Inputs'!$E$9:$E$32,$B49),0))</f>
        <v>0</v>
      </c>
      <c r="AV49" s="508">
        <f ca="1">IF($C$4=Lookups!$D$40,SUM(INDIRECT("'Yr1'!"&amp;ADDRESS(ROW(AV49),COLUMN(AV49))),INDIRECT("'Yr2'!"&amp;ADDRESS(ROW(AV49),COLUMN(AV49))),INDIRECT("'Yr3'!"&amp;ADDRESS(ROW(AV49),COLUMN(AV49)))),
IF($C$4=AV$7,SUMIFS('EE Inputs'!$L$9:$L$32,'EE Inputs'!$C$9:$C$32,$AM$6,'EE Inputs'!$D$9:$D$32,$C$4,'EE Inputs'!$E$9:$E$32,$B49),0))</f>
        <v>0</v>
      </c>
      <c r="AW49" s="508">
        <f ca="1">IF($C$4=Lookups!$D$40,SUM(INDIRECT("'Yr1'!"&amp;ADDRESS(ROW(AW49),COLUMN(AW49))),INDIRECT("'Yr2'!"&amp;ADDRESS(ROW(AW49),COLUMN(AW49))),INDIRECT("'Yr3'!"&amp;ADDRESS(ROW(AW49),COLUMN(AW49)))),
IF($C$4=AW$7,SUMIFS('EE Inputs'!$L$9:$L$32,'EE Inputs'!$C$9:$C$32,$AM$6,'EE Inputs'!$D$9:$D$32,$C$4,'EE Inputs'!$E$9:$E$32,$B49),0))</f>
        <v>0</v>
      </c>
      <c r="AX49" s="508">
        <f ca="1">IF($C$4=Lookups!$D$40,SUM(INDIRECT("'Yr1'!"&amp;ADDRESS(ROW(AX49),COLUMN(AX49))),INDIRECT("'Yr2'!"&amp;ADDRESS(ROW(AX49),COLUMN(AX49))),INDIRECT("'Yr3'!"&amp;ADDRESS(ROW(AX49),COLUMN(AX49)))),
IF($C$4=AX$7,SUMIFS('EE Inputs'!$L$9:$L$32,'EE Inputs'!$C$9:$C$32,$AM$6,'EE Inputs'!$D$9:$D$32,$C$4,'EE Inputs'!$E$9:$E$32,$B49),0))</f>
        <v>0</v>
      </c>
      <c r="AY49" s="508">
        <f ca="1">IF($C$4=Lookups!$D$40,SUM(INDIRECT("'Yr1'!"&amp;ADDRESS(ROW(AY49),COLUMN(AY49))),INDIRECT("'Yr2'!"&amp;ADDRESS(ROW(AY49),COLUMN(AY49))),INDIRECT("'Yr3'!"&amp;ADDRESS(ROW(AY49),COLUMN(AY49)))),
IF($C$4=AY$7,SUMIFS('EE Inputs'!$L$9:$L$32,'EE Inputs'!$C$9:$C$32,$AM$6,'EE Inputs'!$D$9:$D$32,$C$4,'EE Inputs'!$E$9:$E$32,$B49),0))</f>
        <v>0</v>
      </c>
      <c r="AZ49" s="508">
        <f ca="1">IF($C$4=Lookups!$D$40,SUM(INDIRECT("'Yr1'!"&amp;ADDRESS(ROW(AZ49),COLUMN(AZ49))),INDIRECT("'Yr2'!"&amp;ADDRESS(ROW(AZ49),COLUMN(AZ49))),INDIRECT("'Yr3'!"&amp;ADDRESS(ROW(AZ49),COLUMN(AZ49)))),
IF($C$4=AZ$7,SUMIFS('EE Inputs'!$L$9:$L$32,'EE Inputs'!$C$9:$C$32,$AM$6,'EE Inputs'!$D$9:$D$32,$C$4,'EE Inputs'!$E$9:$E$32,$B49),0))</f>
        <v>0</v>
      </c>
      <c r="BA49" s="508">
        <f ca="1">IF($C$4=Lookups!$D$40,SUM(INDIRECT("'Yr1'!"&amp;ADDRESS(ROW(BA49),COLUMN(BA49))),INDIRECT("'Yr2'!"&amp;ADDRESS(ROW(BA49),COLUMN(BA49))),INDIRECT("'Yr3'!"&amp;ADDRESS(ROW(BA49),COLUMN(BA49)))),
IF($C$4=BA$7,SUMIFS('EE Inputs'!$L$9:$L$32,'EE Inputs'!$C$9:$C$32,$AM$6,'EE Inputs'!$D$9:$D$32,$C$4,'EE Inputs'!$E$9:$E$32,$B49),0))</f>
        <v>0</v>
      </c>
      <c r="BB49" s="508">
        <f ca="1">IF($C$4=Lookups!$D$40,SUM(INDIRECT("'Yr1'!"&amp;ADDRESS(ROW(BB49),COLUMN(BB49))),INDIRECT("'Yr2'!"&amp;ADDRESS(ROW(BB49),COLUMN(BB49))),INDIRECT("'Yr3'!"&amp;ADDRESS(ROW(BB49),COLUMN(BB49)))),
IF($C$4=BB$7,SUMIFS('EE Inputs'!$L$9:$L$32,'EE Inputs'!$C$9:$C$32,$AM$6,'EE Inputs'!$D$9:$D$32,$C$4,'EE Inputs'!$E$9:$E$32,$B49),0))</f>
        <v>0</v>
      </c>
      <c r="BC49" s="508">
        <f ca="1">IF($C$4=Lookups!$D$40,SUM(INDIRECT("'Yr1'!"&amp;ADDRESS(ROW(BC49),COLUMN(BC49))),INDIRECT("'Yr2'!"&amp;ADDRESS(ROW(BC49),COLUMN(BC49))),INDIRECT("'Yr3'!"&amp;ADDRESS(ROW(BC49),COLUMN(BC49)))),
IF($C$4=BC$7,SUMIFS('EE Inputs'!$L$9:$L$32,'EE Inputs'!$C$9:$C$32,$AM$6,'EE Inputs'!$D$9:$D$32,$C$4,'EE Inputs'!$E$9:$E$32,$B49),0))</f>
        <v>0</v>
      </c>
      <c r="BD49" s="508">
        <f ca="1">IF($C$4=Lookups!$D$40,SUM(INDIRECT("'Yr1'!"&amp;ADDRESS(ROW(BD49),COLUMN(BD49))),INDIRECT("'Yr2'!"&amp;ADDRESS(ROW(BD49),COLUMN(BD49))),INDIRECT("'Yr3'!"&amp;ADDRESS(ROW(BD49),COLUMN(BD49)))),
IF($C$4=BD$7,SUMIFS('EE Inputs'!$L$9:$L$32,'EE Inputs'!$C$9:$C$32,$AM$6,'EE Inputs'!$D$9:$D$32,$C$4,'EE Inputs'!$E$9:$E$32,$B49),0))</f>
        <v>0</v>
      </c>
      <c r="BE49" s="508">
        <f ca="1">IF($C$4=Lookups!$D$40,SUM(INDIRECT("'Yr1'!"&amp;ADDRESS(ROW(BE49),COLUMN(BE49))),INDIRECT("'Yr2'!"&amp;ADDRESS(ROW(BE49),COLUMN(BE49))),INDIRECT("'Yr3'!"&amp;ADDRESS(ROW(BE49),COLUMN(BE49)))),
IF($C$4=BE$7,SUMIFS('EE Inputs'!$L$9:$L$32,'EE Inputs'!$C$9:$C$32,$AM$6,'EE Inputs'!$D$9:$D$32,$C$4,'EE Inputs'!$E$9:$E$32,$B49),0))</f>
        <v>0</v>
      </c>
      <c r="BF49" s="508">
        <f ca="1">IF($C$4=Lookups!$D$40,SUM(INDIRECT("'Yr1'!"&amp;ADDRESS(ROW(BF49),COLUMN(BF49))),INDIRECT("'Yr2'!"&amp;ADDRESS(ROW(BF49),COLUMN(BF49))),INDIRECT("'Yr3'!"&amp;ADDRESS(ROW(BF49),COLUMN(BF49)))),
IF($C$4=BF$7,SUMIFS('EE Inputs'!$L$9:$L$32,'EE Inputs'!$C$9:$C$32,$AM$6,'EE Inputs'!$D$9:$D$32,$C$4,'EE Inputs'!$E$9:$E$32,$B49),0))</f>
        <v>0</v>
      </c>
      <c r="BG49" s="508">
        <f ca="1">IF($C$4=Lookups!$D$40,SUM(INDIRECT("'Yr1'!"&amp;ADDRESS(ROW(BG49),COLUMN(BG49))),INDIRECT("'Yr2'!"&amp;ADDRESS(ROW(BG49),COLUMN(BG49))),INDIRECT("'Yr3'!"&amp;ADDRESS(ROW(BG49),COLUMN(BG49)))),
IF($C$4=BG$7,SUMIFS('EE Inputs'!$L$9:$L$32,'EE Inputs'!$C$9:$C$32,$AM$6,'EE Inputs'!$D$9:$D$32,$C$4,'EE Inputs'!$E$9:$E$32,$B49),0))</f>
        <v>0</v>
      </c>
      <c r="BH49" s="508">
        <f ca="1">IF($C$4=Lookups!$D$40,SUM(INDIRECT("'Yr1'!"&amp;ADDRESS(ROW(BH49),COLUMN(BH49))),INDIRECT("'Yr2'!"&amp;ADDRESS(ROW(BH49),COLUMN(BH49))),INDIRECT("'Yr3'!"&amp;ADDRESS(ROW(BH49),COLUMN(BH49)))),
IF($C$4=BH$7,SUMIFS('EE Inputs'!$L$9:$L$32,'EE Inputs'!$C$9:$C$32,$AM$6,'EE Inputs'!$D$9:$D$32,$C$4,'EE Inputs'!$E$9:$E$32,$B49),0))</f>
        <v>0</v>
      </c>
      <c r="BI49" s="508">
        <f ca="1">IF($C$4=Lookups!$D$40,SUM(INDIRECT("'Yr1'!"&amp;ADDRESS(ROW(BI49),COLUMN(BI49))),INDIRECT("'Yr2'!"&amp;ADDRESS(ROW(BI49),COLUMN(BI49))),INDIRECT("'Yr3'!"&amp;ADDRESS(ROW(BI49),COLUMN(BI49)))),
IF($C$4=BI$7,SUMIFS('EE Inputs'!$L$9:$L$32,'EE Inputs'!$C$9:$C$32,$AM$6,'EE Inputs'!$D$9:$D$32,$C$4,'EE Inputs'!$E$9:$E$32,$B49),0))</f>
        <v>0</v>
      </c>
      <c r="BJ49" s="508">
        <f ca="1">IF($C$4=Lookups!$D$40,SUM(INDIRECT("'Yr1'!"&amp;ADDRESS(ROW(BJ49),COLUMN(BJ49))),INDIRECT("'Yr2'!"&amp;ADDRESS(ROW(BJ49),COLUMN(BJ49))),INDIRECT("'Yr3'!"&amp;ADDRESS(ROW(BJ49),COLUMN(BJ49)))),
IF($C$4=BJ$7,SUMIFS('EE Inputs'!$L$9:$L$32,'EE Inputs'!$C$9:$C$32,$AM$6,'EE Inputs'!$D$9:$D$32,$C$4,'EE Inputs'!$E$9:$E$32,$B49),0))</f>
        <v>0</v>
      </c>
      <c r="BK49" s="508">
        <f ca="1">IF($C$4=Lookups!$D$40,SUM(INDIRECT("'Yr1'!"&amp;ADDRESS(ROW(BK49),COLUMN(BK49))),INDIRECT("'Yr2'!"&amp;ADDRESS(ROW(BK49),COLUMN(BK49))),INDIRECT("'Yr3'!"&amp;ADDRESS(ROW(BK49),COLUMN(BK49)))),
IF($C$4=BK$7,SUMIFS('EE Inputs'!$L$9:$L$32,'EE Inputs'!$C$9:$C$32,$AM$6,'EE Inputs'!$D$9:$D$32,$C$4,'EE Inputs'!$E$9:$E$32,$B49),0))</f>
        <v>0</v>
      </c>
      <c r="BL49" s="508">
        <f ca="1">IF($C$4=Lookups!$D$40,SUM(INDIRECT("'Yr1'!"&amp;ADDRESS(ROW(BL49),COLUMN(BL49))),INDIRECT("'Yr2'!"&amp;ADDRESS(ROW(BL49),COLUMN(BL49))),INDIRECT("'Yr3'!"&amp;ADDRESS(ROW(BL49),COLUMN(BL49)))),
IF($C$4=BL$7,SUMIFS('EE Inputs'!$L$9:$L$32,'EE Inputs'!$C$9:$C$32,$AM$6,'EE Inputs'!$D$9:$D$32,$C$4,'EE Inputs'!$E$9:$E$32,$B49),0))</f>
        <v>0</v>
      </c>
      <c r="BM49" s="508">
        <f ca="1">IF($C$4=Lookups!$D$40,SUM(INDIRECT("'Yr1'!"&amp;ADDRESS(ROW(BM49),COLUMN(BM49))),INDIRECT("'Yr2'!"&amp;ADDRESS(ROW(BM49),COLUMN(BM49))),INDIRECT("'Yr3'!"&amp;ADDRESS(ROW(BM49),COLUMN(BM49)))),
IF($C$4=BM$7,SUMIFS('EE Inputs'!$L$9:$L$32,'EE Inputs'!$C$9:$C$32,$AM$6,'EE Inputs'!$D$9:$D$32,$C$4,'EE Inputs'!$E$9:$E$32,$B49),0))</f>
        <v>0</v>
      </c>
      <c r="BN49" s="508"/>
      <c r="BO49" s="508"/>
      <c r="BP49" s="508">
        <f ca="1">IF($C$4=Year1,-PMT(Lookups!$E$17,25,NPV(Lookups!$E$17,AM49:BK49),0,1),IF($C$4=Year2,-PMT(Lookups!$F$17,25,NPV(Lookups!$F$17,AN49:BL49),0,1),IF($C$4=Year3,-PMT(Lookups!$G$17,25,NPV(Lookups!$G$17,AO49:BM49),0,1),-PMT(Lookups!$G$17,27,NPV(Lookups!$G$17,AM49:BM49),0,1))))</f>
        <v>1.0316341414967891E-2</v>
      </c>
      <c r="BS49" s="86" t="s">
        <v>402</v>
      </c>
      <c r="BT49" s="51" t="s">
        <v>17</v>
      </c>
    </row>
    <row r="50" spans="1:72" x14ac:dyDescent="0.25">
      <c r="A50" s="246"/>
      <c r="B50" s="243" t="str">
        <f t="shared" si="23"/>
        <v>Residential</v>
      </c>
      <c r="C50" s="243" t="str">
        <f t="shared" si="23"/>
        <v>Rates</v>
      </c>
      <c r="D50" s="244" t="str">
        <f t="shared" si="23"/>
        <v>Increased Costs and Cost Shifting</v>
      </c>
      <c r="E50" s="86" t="s">
        <v>198</v>
      </c>
      <c r="F50" s="84" t="s">
        <v>182</v>
      </c>
      <c r="G50" s="506">
        <f ca="1">IFERROR((G32/G17)-(G32/G15),0)</f>
        <v>3.593632064576413E-3</v>
      </c>
      <c r="H50" s="506">
        <f ca="1">IFERROR((H32/H17)-(H32/H15),0)</f>
        <v>7.279309133829015E-3</v>
      </c>
      <c r="I50" s="506">
        <f t="shared" ref="I50:AG50" ca="1" si="33">IFERROR((I32/I17)-(I32/I15),0)</f>
        <v>1.1080355905574657E-2</v>
      </c>
      <c r="J50" s="506">
        <f t="shared" ca="1" si="33"/>
        <v>1.1080355905574657E-2</v>
      </c>
      <c r="K50" s="506">
        <f t="shared" ca="1" si="33"/>
        <v>1.1080355905574657E-2</v>
      </c>
      <c r="L50" s="506">
        <f t="shared" ca="1" si="33"/>
        <v>1.1080355905574657E-2</v>
      </c>
      <c r="M50" s="506">
        <f t="shared" ca="1" si="33"/>
        <v>1.1080355905574657E-2</v>
      </c>
      <c r="N50" s="506">
        <f t="shared" ca="1" si="33"/>
        <v>1.1080355905574657E-2</v>
      </c>
      <c r="O50" s="506">
        <f t="shared" ca="1" si="33"/>
        <v>1.1080355905574657E-2</v>
      </c>
      <c r="P50" s="506">
        <f t="shared" ca="1" si="33"/>
        <v>1.1080355905574657E-2</v>
      </c>
      <c r="Q50" s="506">
        <f t="shared" ca="1" si="33"/>
        <v>1.1080355905574657E-2</v>
      </c>
      <c r="R50" s="506">
        <f t="shared" ca="1" si="33"/>
        <v>1.1080355905574657E-2</v>
      </c>
      <c r="S50" s="506">
        <f t="shared" ca="1" si="33"/>
        <v>1.1080355905574657E-2</v>
      </c>
      <c r="T50" s="506">
        <f t="shared" ca="1" si="33"/>
        <v>1.1080355905574657E-2</v>
      </c>
      <c r="U50" s="506">
        <f t="shared" ca="1" si="33"/>
        <v>1.1080355905574657E-2</v>
      </c>
      <c r="V50" s="506">
        <f t="shared" ca="1" si="33"/>
        <v>7.3983059499383996E-3</v>
      </c>
      <c r="W50" s="506">
        <f t="shared" ca="1" si="33"/>
        <v>3.7112017938366604E-3</v>
      </c>
      <c r="X50" s="506">
        <f t="shared" ca="1" si="33"/>
        <v>0</v>
      </c>
      <c r="Y50" s="506">
        <f t="shared" ca="1" si="33"/>
        <v>0</v>
      </c>
      <c r="Z50" s="506">
        <f t="shared" ca="1" si="33"/>
        <v>0</v>
      </c>
      <c r="AA50" s="506">
        <f t="shared" ca="1" si="33"/>
        <v>0</v>
      </c>
      <c r="AB50" s="506">
        <f t="shared" ca="1" si="33"/>
        <v>0</v>
      </c>
      <c r="AC50" s="506">
        <f t="shared" ca="1" si="33"/>
        <v>0</v>
      </c>
      <c r="AD50" s="506">
        <f t="shared" ca="1" si="33"/>
        <v>0</v>
      </c>
      <c r="AE50" s="506">
        <f t="shared" ca="1" si="33"/>
        <v>0</v>
      </c>
      <c r="AF50" s="506">
        <f t="shared" ca="1" si="33"/>
        <v>0</v>
      </c>
      <c r="AG50" s="506">
        <f t="shared" ca="1" si="33"/>
        <v>0</v>
      </c>
      <c r="AH50" s="506"/>
      <c r="AI50" s="506"/>
      <c r="AJ50" s="506">
        <f ca="1">IF($C$4=Year1,-PMT(Lookups!$E$17,25,NPV(Lookups!$E$17,G50:AE50),0,1),IF($C$4=Year2,-PMT(Lookups!$F$17,25,NPV(Lookups!$F$17,H50:AF50),0,1),IF($C$4=Year3,-PMT(Lookups!$G$17,25,NPV(Lookups!$G$17,I50:AG50),0,1),-PMT(Lookups!$G$17,27,NPV(Lookups!$G$17,G50:AG50),0,1))))</f>
        <v>6.4770781112977122E-3</v>
      </c>
      <c r="AK50" s="507"/>
      <c r="AL50" s="507"/>
      <c r="AM50" s="508">
        <f ca="1">IFERROR((AM32/AM17)-(AM32/AM15),0)</f>
        <v>4.1104804584570775E-3</v>
      </c>
      <c r="AN50" s="508">
        <f t="shared" ref="AN50:BM50" ca="1" si="34">IFERROR((AN32/AN17)-(AN32/AN15),0)</f>
        <v>8.3334879456536948E-3</v>
      </c>
      <c r="AO50" s="508">
        <f t="shared" ca="1" si="34"/>
        <v>1.2696415546816109E-2</v>
      </c>
      <c r="AP50" s="508">
        <f t="shared" ca="1" si="34"/>
        <v>1.2696415546816109E-2</v>
      </c>
      <c r="AQ50" s="508">
        <f t="shared" ca="1" si="34"/>
        <v>1.2696415546816109E-2</v>
      </c>
      <c r="AR50" s="508">
        <f t="shared" ca="1" si="34"/>
        <v>1.2696415546816109E-2</v>
      </c>
      <c r="AS50" s="508">
        <f t="shared" ca="1" si="34"/>
        <v>1.2696415546816109E-2</v>
      </c>
      <c r="AT50" s="508">
        <f t="shared" ca="1" si="34"/>
        <v>1.2696415546816109E-2</v>
      </c>
      <c r="AU50" s="508">
        <f t="shared" ca="1" si="34"/>
        <v>1.2696415546816109E-2</v>
      </c>
      <c r="AV50" s="508">
        <f t="shared" ca="1" si="34"/>
        <v>1.2696415546816109E-2</v>
      </c>
      <c r="AW50" s="508">
        <f t="shared" ca="1" si="34"/>
        <v>1.2696415546816109E-2</v>
      </c>
      <c r="AX50" s="508">
        <f t="shared" ca="1" si="34"/>
        <v>1.2696415546816109E-2</v>
      </c>
      <c r="AY50" s="508">
        <f t="shared" ca="1" si="34"/>
        <v>1.2696415546816109E-2</v>
      </c>
      <c r="AZ50" s="508">
        <f t="shared" ca="1" si="34"/>
        <v>1.2696415546816109E-2</v>
      </c>
      <c r="BA50" s="508">
        <f t="shared" ca="1" si="34"/>
        <v>1.2696415546816109E-2</v>
      </c>
      <c r="BB50" s="508">
        <f t="shared" ca="1" si="34"/>
        <v>8.4699568803523473E-3</v>
      </c>
      <c r="BC50" s="508">
        <f t="shared" ca="1" si="34"/>
        <v>4.2450775321953849E-3</v>
      </c>
      <c r="BD50" s="508">
        <f t="shared" ca="1" si="34"/>
        <v>0</v>
      </c>
      <c r="BE50" s="508">
        <f t="shared" ca="1" si="34"/>
        <v>0</v>
      </c>
      <c r="BF50" s="508">
        <f t="shared" ca="1" si="34"/>
        <v>0</v>
      </c>
      <c r="BG50" s="508">
        <f t="shared" ca="1" si="34"/>
        <v>0</v>
      </c>
      <c r="BH50" s="508">
        <f t="shared" ca="1" si="34"/>
        <v>0</v>
      </c>
      <c r="BI50" s="508">
        <f t="shared" ca="1" si="34"/>
        <v>0</v>
      </c>
      <c r="BJ50" s="508">
        <f t="shared" ca="1" si="34"/>
        <v>0</v>
      </c>
      <c r="BK50" s="508">
        <f t="shared" ca="1" si="34"/>
        <v>0</v>
      </c>
      <c r="BL50" s="508">
        <f t="shared" ca="1" si="34"/>
        <v>0</v>
      </c>
      <c r="BM50" s="508">
        <f t="shared" ca="1" si="34"/>
        <v>0</v>
      </c>
      <c r="BN50" s="508"/>
      <c r="BO50" s="508"/>
      <c r="BP50" s="508">
        <f ca="1">IF($C$4=Year1,-PMT(Lookups!$E$17,25,NPV(Lookups!$E$17,AM50:BK50),0,1),IF($C$4=Year2,-PMT(Lookups!$F$17,25,NPV(Lookups!$F$17,AN50:BL50),0,1),IF($C$4=Year3,-PMT(Lookups!$G$17,25,NPV(Lookups!$G$17,AO50:BM50),0,1),-PMT(Lookups!$G$17,27,NPV(Lookups!$G$17,AM50:BM50),0,1))))</f>
        <v>7.420596202925879E-3</v>
      </c>
      <c r="BS50" s="84" t="s">
        <v>103</v>
      </c>
      <c r="BT50" s="51" t="s">
        <v>17</v>
      </c>
    </row>
    <row r="51" spans="1:72" x14ac:dyDescent="0.25">
      <c r="B51" s="243" t="str">
        <f t="shared" si="23"/>
        <v>Residential</v>
      </c>
      <c r="C51" s="243" t="str">
        <f t="shared" si="23"/>
        <v>Rates</v>
      </c>
      <c r="D51" s="114" t="s">
        <v>110</v>
      </c>
      <c r="E51" s="86"/>
      <c r="F51" s="86"/>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49"/>
      <c r="AI51" s="238"/>
      <c r="AJ51" s="506"/>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S51" s="84"/>
      <c r="BT51" s="51" t="s">
        <v>17</v>
      </c>
    </row>
    <row r="52" spans="1:72" x14ac:dyDescent="0.25">
      <c r="B52" s="243" t="str">
        <f t="shared" si="23"/>
        <v>Residential</v>
      </c>
      <c r="C52" s="243" t="str">
        <f t="shared" si="23"/>
        <v>Rates</v>
      </c>
      <c r="D52" s="244" t="str">
        <f>D51</f>
        <v>Rates after DSM Scenario</v>
      </c>
      <c r="E52" s="86" t="s">
        <v>26</v>
      </c>
      <c r="F52" s="84" t="s">
        <v>182</v>
      </c>
      <c r="G52" s="506">
        <f ca="1">IFERROR(G32/G17,0)</f>
        <v>0.56019109774755849</v>
      </c>
      <c r="H52" s="506">
        <f t="shared" ref="H52:AG52" ca="1" si="35">IFERROR(H32/H17,0)</f>
        <v>0.5635704922075514</v>
      </c>
      <c r="I52" s="506">
        <f t="shared" ca="1" si="35"/>
        <v>0.56705963182257424</v>
      </c>
      <c r="J52" s="506">
        <f t="shared" ca="1" si="35"/>
        <v>0.56705963182257424</v>
      </c>
      <c r="K52" s="506">
        <f t="shared" ca="1" si="35"/>
        <v>0.56705963182257424</v>
      </c>
      <c r="L52" s="506">
        <f t="shared" ca="1" si="35"/>
        <v>0.56705963182257424</v>
      </c>
      <c r="M52" s="506">
        <f t="shared" ca="1" si="35"/>
        <v>0.56705963182257424</v>
      </c>
      <c r="N52" s="506">
        <f t="shared" ca="1" si="35"/>
        <v>0.56705963182257424</v>
      </c>
      <c r="O52" s="506">
        <f t="shared" ca="1" si="35"/>
        <v>0.56705963182257424</v>
      </c>
      <c r="P52" s="506">
        <f t="shared" ca="1" si="35"/>
        <v>0.56705963182257424</v>
      </c>
      <c r="Q52" s="506">
        <f t="shared" ca="1" si="35"/>
        <v>0.56705963182257424</v>
      </c>
      <c r="R52" s="506">
        <f t="shared" ca="1" si="35"/>
        <v>0.56705963182257424</v>
      </c>
      <c r="S52" s="506">
        <f t="shared" ca="1" si="35"/>
        <v>0.56705963182257424</v>
      </c>
      <c r="T52" s="506">
        <f t="shared" ca="1" si="35"/>
        <v>0.56705963182257424</v>
      </c>
      <c r="U52" s="506">
        <f t="shared" ca="1" si="35"/>
        <v>0.56705963182257424</v>
      </c>
      <c r="V52" s="506">
        <f t="shared" ca="1" si="35"/>
        <v>0.56368011618395586</v>
      </c>
      <c r="W52" s="506">
        <f t="shared" ca="1" si="35"/>
        <v>0.56029929463711381</v>
      </c>
      <c r="X52" s="506">
        <f t="shared" ca="1" si="35"/>
        <v>0.55689999999999995</v>
      </c>
      <c r="Y52" s="506">
        <f t="shared" ca="1" si="35"/>
        <v>0.55689999999999995</v>
      </c>
      <c r="Z52" s="506">
        <f t="shared" ca="1" si="35"/>
        <v>0.55689999999999995</v>
      </c>
      <c r="AA52" s="506">
        <f t="shared" ca="1" si="35"/>
        <v>0.55689999999999995</v>
      </c>
      <c r="AB52" s="506">
        <f t="shared" ca="1" si="35"/>
        <v>0.55689999999999995</v>
      </c>
      <c r="AC52" s="506">
        <f t="shared" ca="1" si="35"/>
        <v>0.55689999999999995</v>
      </c>
      <c r="AD52" s="506">
        <f t="shared" ca="1" si="35"/>
        <v>0.55689999999999995</v>
      </c>
      <c r="AE52" s="506">
        <f t="shared" ca="1" si="35"/>
        <v>0.55689999999999995</v>
      </c>
      <c r="AF52" s="506">
        <f t="shared" ca="1" si="35"/>
        <v>0.55689999999999995</v>
      </c>
      <c r="AG52" s="506">
        <f t="shared" ca="1" si="35"/>
        <v>0.55689999999999995</v>
      </c>
      <c r="AH52" s="509"/>
      <c r="AI52" s="506"/>
      <c r="AJ52" s="506">
        <f ca="1">IF($C$4=Year1,-PMT(Lookups!$E$17,25,NPV(Lookups!$E$17,G52:AE52),0,1),IF($C$4=Year2,-PMT(Lookups!$F$17,25,NPV(Lookups!$F$17,H52:AF52),0,1),IF($C$4=Year3,-PMT(Lookups!$G$17,25,NPV(Lookups!$G$17,I52:AG52),0,1),-PMT(Lookups!$G$17,27,NPV(Lookups!$G$17,G52:AG52),0,1))))</f>
        <v>0.55507134576277284</v>
      </c>
      <c r="AK52" s="507"/>
      <c r="AL52" s="507"/>
      <c r="AM52" s="508">
        <f ca="1">IFERROR(AM32/AM17,0)</f>
        <v>0.56066472695329372</v>
      </c>
      <c r="AN52" s="508">
        <f t="shared" ref="AN52:BM52" ca="1" si="36">IFERROR(AN32/AN17,0)</f>
        <v>0.56453769717276503</v>
      </c>
      <c r="AO52" s="508">
        <f t="shared" ca="1" si="36"/>
        <v>0.56854415945195858</v>
      </c>
      <c r="AP52" s="508">
        <f t="shared" ca="1" si="36"/>
        <v>0.56854415945195858</v>
      </c>
      <c r="AQ52" s="508">
        <f t="shared" ca="1" si="36"/>
        <v>0.56854415945195858</v>
      </c>
      <c r="AR52" s="508">
        <f t="shared" ca="1" si="36"/>
        <v>0.56854415945195858</v>
      </c>
      <c r="AS52" s="508">
        <f t="shared" ca="1" si="36"/>
        <v>0.56854415945195858</v>
      </c>
      <c r="AT52" s="508">
        <f t="shared" ca="1" si="36"/>
        <v>0.56854415945195858</v>
      </c>
      <c r="AU52" s="508">
        <f t="shared" ca="1" si="36"/>
        <v>0.56854415945195858</v>
      </c>
      <c r="AV52" s="508">
        <f t="shared" ca="1" si="36"/>
        <v>0.56854415945195858</v>
      </c>
      <c r="AW52" s="508">
        <f t="shared" ca="1" si="36"/>
        <v>0.56854415945195858</v>
      </c>
      <c r="AX52" s="508">
        <f t="shared" ca="1" si="36"/>
        <v>0.56854415945195858</v>
      </c>
      <c r="AY52" s="508">
        <f t="shared" ca="1" si="36"/>
        <v>0.56854415945195858</v>
      </c>
      <c r="AZ52" s="508">
        <f t="shared" ca="1" si="36"/>
        <v>0.56854415945195858</v>
      </c>
      <c r="BA52" s="508">
        <f t="shared" ca="1" si="36"/>
        <v>0.56854415945195858</v>
      </c>
      <c r="BB52" s="508">
        <f t="shared" ca="1" si="36"/>
        <v>0.56466345429065801</v>
      </c>
      <c r="BC52" s="508">
        <f t="shared" ca="1" si="36"/>
        <v>0.56078861221022636</v>
      </c>
      <c r="BD52" s="508">
        <f t="shared" ca="1" si="36"/>
        <v>0.55689999999999995</v>
      </c>
      <c r="BE52" s="508">
        <f t="shared" ca="1" si="36"/>
        <v>0.55689999999999995</v>
      </c>
      <c r="BF52" s="508">
        <f t="shared" ca="1" si="36"/>
        <v>0.55689999999999995</v>
      </c>
      <c r="BG52" s="508">
        <f t="shared" ca="1" si="36"/>
        <v>0.55689999999999995</v>
      </c>
      <c r="BH52" s="508">
        <f t="shared" ca="1" si="36"/>
        <v>0.55689999999999995</v>
      </c>
      <c r="BI52" s="508">
        <f t="shared" ca="1" si="36"/>
        <v>0.55689999999999995</v>
      </c>
      <c r="BJ52" s="508">
        <f t="shared" ca="1" si="36"/>
        <v>0.55689999999999995</v>
      </c>
      <c r="BK52" s="508">
        <f t="shared" ca="1" si="36"/>
        <v>0.55689999999999995</v>
      </c>
      <c r="BL52" s="508">
        <f t="shared" ca="1" si="36"/>
        <v>0.55689999999999995</v>
      </c>
      <c r="BM52" s="508">
        <f t="shared" ca="1" si="36"/>
        <v>0.55689999999999995</v>
      </c>
      <c r="BN52" s="508"/>
      <c r="BO52" s="508"/>
      <c r="BP52" s="508">
        <f ca="1">IF($C$4=Year1,-PMT(Lookups!$E$17,25,NPV(Lookups!$E$17,AM52:BK52),0,1),IF($C$4=Year2,-PMT(Lookups!$F$17,25,NPV(Lookups!$F$17,AN52:BL52),0,1),IF($C$4=Year3,-PMT(Lookups!$G$17,25,NPV(Lookups!$G$17,AO52:BM52),0,1),-PMT(Lookups!$G$17,27,NPV(Lookups!$G$17,AM52:BM52),0,1))))</f>
        <v>0.55593789275099714</v>
      </c>
      <c r="BS52" s="84" t="s">
        <v>238</v>
      </c>
      <c r="BT52" s="51" t="s">
        <v>17</v>
      </c>
    </row>
    <row r="53" spans="1:72" x14ac:dyDescent="0.25">
      <c r="B53" s="243" t="str">
        <f t="shared" si="23"/>
        <v>Residential</v>
      </c>
      <c r="C53" s="243" t="str">
        <f t="shared" si="23"/>
        <v>Rates</v>
      </c>
      <c r="D53" s="244" t="str">
        <f>D52</f>
        <v>Rates after DSM Scenario</v>
      </c>
      <c r="E53" s="84" t="s">
        <v>407</v>
      </c>
      <c r="F53" s="84" t="s">
        <v>182</v>
      </c>
      <c r="G53" s="506">
        <f ca="1">IFERROR(G33/G17,0)</f>
        <v>-3.3213062159716276E-2</v>
      </c>
      <c r="H53" s="506">
        <f t="shared" ref="H53:AG53" ca="1" si="37">IFERROR(H33/H17,0)</f>
        <v>-3.3431819178023035E-2</v>
      </c>
      <c r="I53" s="506">
        <f t="shared" ca="1" si="37"/>
        <v>-3.3657671536912737E-2</v>
      </c>
      <c r="J53" s="506">
        <f t="shared" ca="1" si="37"/>
        <v>-3.3657671536912737E-2</v>
      </c>
      <c r="K53" s="506">
        <f t="shared" ca="1" si="37"/>
        <v>-3.3657671536912737E-2</v>
      </c>
      <c r="L53" s="506">
        <f t="shared" ca="1" si="37"/>
        <v>-3.3657671536912737E-2</v>
      </c>
      <c r="M53" s="506">
        <f t="shared" ca="1" si="37"/>
        <v>-3.3657671536912737E-2</v>
      </c>
      <c r="N53" s="506">
        <f t="shared" ca="1" si="37"/>
        <v>-3.3657671536912737E-2</v>
      </c>
      <c r="O53" s="506">
        <f t="shared" ca="1" si="37"/>
        <v>-3.3657671536912737E-2</v>
      </c>
      <c r="P53" s="506">
        <f t="shared" ca="1" si="37"/>
        <v>-3.3657671536912737E-2</v>
      </c>
      <c r="Q53" s="506">
        <f t="shared" ca="1" si="37"/>
        <v>-3.3657671536912737E-2</v>
      </c>
      <c r="R53" s="506">
        <f t="shared" ca="1" si="37"/>
        <v>-3.3657671536912737E-2</v>
      </c>
      <c r="S53" s="506">
        <f t="shared" ca="1" si="37"/>
        <v>-3.3657671536912737E-2</v>
      </c>
      <c r="T53" s="506">
        <f t="shared" ca="1" si="37"/>
        <v>-3.3657671536912737E-2</v>
      </c>
      <c r="U53" s="506">
        <f t="shared" ca="1" si="37"/>
        <v>-3.3657671536912737E-2</v>
      </c>
      <c r="V53" s="506">
        <f t="shared" ca="1" si="37"/>
        <v>-3.3438885636482098E-2</v>
      </c>
      <c r="W53" s="506">
        <f t="shared" ca="1" si="37"/>
        <v>-3.3220036434072793E-2</v>
      </c>
      <c r="X53" s="506">
        <f t="shared" ca="1" si="37"/>
        <v>-3.3000000000000002E-2</v>
      </c>
      <c r="Y53" s="506">
        <f t="shared" ca="1" si="37"/>
        <v>-3.3000000000000002E-2</v>
      </c>
      <c r="Z53" s="506">
        <f t="shared" ca="1" si="37"/>
        <v>-3.3000000000000002E-2</v>
      </c>
      <c r="AA53" s="506">
        <f t="shared" ca="1" si="37"/>
        <v>-3.3000000000000002E-2</v>
      </c>
      <c r="AB53" s="506">
        <f t="shared" ca="1" si="37"/>
        <v>-3.3000000000000002E-2</v>
      </c>
      <c r="AC53" s="506">
        <f t="shared" ca="1" si="37"/>
        <v>-3.3000000000000002E-2</v>
      </c>
      <c r="AD53" s="506">
        <f t="shared" ca="1" si="37"/>
        <v>-3.3000000000000002E-2</v>
      </c>
      <c r="AE53" s="506">
        <f t="shared" ca="1" si="37"/>
        <v>-3.3000000000000002E-2</v>
      </c>
      <c r="AF53" s="506">
        <f t="shared" ca="1" si="37"/>
        <v>-3.3000000000000002E-2</v>
      </c>
      <c r="AG53" s="506">
        <f t="shared" ca="1" si="37"/>
        <v>-3.3000000000000002E-2</v>
      </c>
      <c r="AH53" s="509"/>
      <c r="AI53" s="506"/>
      <c r="AJ53" s="506">
        <f ca="1">IF($C$4=Year1,-PMT(Lookups!$E$17,25,NPV(Lookups!$E$17,G53:AE53),0,1),IF($C$4=Year2,-PMT(Lookups!$F$17,25,NPV(Lookups!$F$17,H53:AF53),0,1),IF($C$4=Year3,-PMT(Lookups!$G$17,25,NPV(Lookups!$G$17,I53:AG53),0,1),-PMT(Lookups!$G$17,27,NPV(Lookups!$G$17,G53:AG53),0,1))))</f>
        <v>-3.2924165546230129E-2</v>
      </c>
      <c r="AK53" s="507"/>
      <c r="AL53" s="507"/>
      <c r="AM53" s="508">
        <f ca="1">IFERROR(AM33/AM17,0)</f>
        <v>-3.3243724409585187E-2</v>
      </c>
      <c r="AN53" s="508">
        <f t="shared" ref="AN53:BM53" ca="1" si="38">IFERROR(AN33/AN17,0)</f>
        <v>-3.3494431896854415E-2</v>
      </c>
      <c r="AO53" s="508">
        <f t="shared" ca="1" si="38"/>
        <v>-3.3753770646078998E-2</v>
      </c>
      <c r="AP53" s="508">
        <f t="shared" ca="1" si="38"/>
        <v>-3.3753770646078998E-2</v>
      </c>
      <c r="AQ53" s="508">
        <f t="shared" ca="1" si="38"/>
        <v>-3.3753770646078998E-2</v>
      </c>
      <c r="AR53" s="508">
        <f t="shared" ca="1" si="38"/>
        <v>-3.3753770646078998E-2</v>
      </c>
      <c r="AS53" s="508">
        <f t="shared" ca="1" si="38"/>
        <v>-3.3753770646078998E-2</v>
      </c>
      <c r="AT53" s="508">
        <f t="shared" ca="1" si="38"/>
        <v>-3.3753770646078998E-2</v>
      </c>
      <c r="AU53" s="508">
        <f t="shared" ca="1" si="38"/>
        <v>-3.3753770646078998E-2</v>
      </c>
      <c r="AV53" s="508">
        <f t="shared" ca="1" si="38"/>
        <v>-3.3753770646078998E-2</v>
      </c>
      <c r="AW53" s="508">
        <f t="shared" ca="1" si="38"/>
        <v>-3.3753770646078998E-2</v>
      </c>
      <c r="AX53" s="508">
        <f t="shared" ca="1" si="38"/>
        <v>-3.3753770646078998E-2</v>
      </c>
      <c r="AY53" s="508">
        <f t="shared" ca="1" si="38"/>
        <v>-3.3753770646078998E-2</v>
      </c>
      <c r="AZ53" s="508">
        <f t="shared" ca="1" si="38"/>
        <v>-3.3753770646078998E-2</v>
      </c>
      <c r="BA53" s="508">
        <f t="shared" ca="1" si="38"/>
        <v>-3.3753770646078998E-2</v>
      </c>
      <c r="BB53" s="508">
        <f t="shared" ca="1" si="38"/>
        <v>-3.3502538376218083E-2</v>
      </c>
      <c r="BC53" s="508">
        <f t="shared" ca="1" si="38"/>
        <v>-3.325170997385405E-2</v>
      </c>
      <c r="BD53" s="508">
        <f t="shared" ca="1" si="38"/>
        <v>-3.3000000000000002E-2</v>
      </c>
      <c r="BE53" s="508">
        <f t="shared" ca="1" si="38"/>
        <v>-3.3000000000000002E-2</v>
      </c>
      <c r="BF53" s="508">
        <f t="shared" ca="1" si="38"/>
        <v>-3.3000000000000002E-2</v>
      </c>
      <c r="BG53" s="508">
        <f t="shared" ca="1" si="38"/>
        <v>-3.3000000000000002E-2</v>
      </c>
      <c r="BH53" s="508">
        <f t="shared" ca="1" si="38"/>
        <v>-3.3000000000000002E-2</v>
      </c>
      <c r="BI53" s="508">
        <f t="shared" ca="1" si="38"/>
        <v>-3.3000000000000002E-2</v>
      </c>
      <c r="BJ53" s="508">
        <f t="shared" ca="1" si="38"/>
        <v>-3.3000000000000002E-2</v>
      </c>
      <c r="BK53" s="508">
        <f t="shared" ca="1" si="38"/>
        <v>-3.3000000000000002E-2</v>
      </c>
      <c r="BL53" s="508">
        <f t="shared" ca="1" si="38"/>
        <v>-3.3000000000000002E-2</v>
      </c>
      <c r="BM53" s="508">
        <f t="shared" ca="1" si="38"/>
        <v>-3.3000000000000002E-2</v>
      </c>
      <c r="BN53" s="508"/>
      <c r="BO53" s="508"/>
      <c r="BP53" s="508">
        <f ca="1">IF($C$4=Year1,-PMT(Lookups!$E$17,25,NPV(Lookups!$E$17,AM53:BK53),0,1),IF($C$4=Year2,-PMT(Lookups!$F$17,25,NPV(Lookups!$F$17,AN53:BL53),0,1),IF($C$4=Year3,-PMT(Lookups!$G$17,25,NPV(Lookups!$G$17,AO53:BM53),0,1),-PMT(Lookups!$G$17,27,NPV(Lookups!$G$17,AM53:BM53),0,1))))</f>
        <v>-3.298026045747833E-2</v>
      </c>
      <c r="BS53" s="84" t="s">
        <v>237</v>
      </c>
      <c r="BT53" s="51" t="s">
        <v>17</v>
      </c>
    </row>
    <row r="54" spans="1:72" x14ac:dyDescent="0.25">
      <c r="B54" s="243" t="str">
        <f t="shared" si="23"/>
        <v>Residential</v>
      </c>
      <c r="C54" s="243" t="str">
        <f t="shared" si="23"/>
        <v>Rates</v>
      </c>
      <c r="D54" s="244" t="str">
        <f t="shared" si="23"/>
        <v>Rates after DSM Scenario</v>
      </c>
      <c r="E54" s="84" t="s">
        <v>197</v>
      </c>
      <c r="F54" s="84" t="s">
        <v>182</v>
      </c>
      <c r="G54" s="506">
        <f ca="1">IFERROR(G40+G46,0)</f>
        <v>0.6201102793118427</v>
      </c>
      <c r="H54" s="506">
        <f t="shared" ref="H54:AG54" ca="1" si="39">IFERROR(H40+H46,0)</f>
        <v>0.61991666971791881</v>
      </c>
      <c r="I54" s="506">
        <f t="shared" ca="1" si="39"/>
        <v>0.61971736312700165</v>
      </c>
      <c r="J54" s="506">
        <f t="shared" ca="1" si="39"/>
        <v>0.61971736312700165</v>
      </c>
      <c r="K54" s="506">
        <f t="shared" ca="1" si="39"/>
        <v>0.61971736312700165</v>
      </c>
      <c r="L54" s="506">
        <f t="shared" ca="1" si="39"/>
        <v>0.61971736312700165</v>
      </c>
      <c r="M54" s="506">
        <f t="shared" ca="1" si="39"/>
        <v>0.61971736312700165</v>
      </c>
      <c r="N54" s="506">
        <f t="shared" ca="1" si="39"/>
        <v>0.61971736312700165</v>
      </c>
      <c r="O54" s="506">
        <f t="shared" ca="1" si="39"/>
        <v>0.61971736312700165</v>
      </c>
      <c r="P54" s="506">
        <f t="shared" ca="1" si="39"/>
        <v>0.61971736312700165</v>
      </c>
      <c r="Q54" s="506">
        <f t="shared" ca="1" si="39"/>
        <v>0.61971736312700165</v>
      </c>
      <c r="R54" s="506">
        <f t="shared" ca="1" si="39"/>
        <v>0.61971736312700165</v>
      </c>
      <c r="S54" s="506">
        <f t="shared" ca="1" si="39"/>
        <v>0.61971736312700165</v>
      </c>
      <c r="T54" s="506">
        <f t="shared" ca="1" si="39"/>
        <v>0.61971736312700165</v>
      </c>
      <c r="U54" s="506">
        <f t="shared" ca="1" si="39"/>
        <v>0.61971736312700165</v>
      </c>
      <c r="V54" s="506">
        <f t="shared" ca="1" si="39"/>
        <v>0.61991216110176195</v>
      </c>
      <c r="W54" s="506">
        <f t="shared" ca="1" si="39"/>
        <v>0.62010584085874154</v>
      </c>
      <c r="X54" s="506">
        <f t="shared" ca="1" si="39"/>
        <v>0.62029999999999996</v>
      </c>
      <c r="Y54" s="506">
        <f t="shared" ca="1" si="39"/>
        <v>0.62029999999999996</v>
      </c>
      <c r="Z54" s="506">
        <f t="shared" ca="1" si="39"/>
        <v>0.62029999999999996</v>
      </c>
      <c r="AA54" s="506">
        <f t="shared" ca="1" si="39"/>
        <v>0.62029999999999996</v>
      </c>
      <c r="AB54" s="506">
        <f t="shared" ca="1" si="39"/>
        <v>0.62029999999999996</v>
      </c>
      <c r="AC54" s="506">
        <f t="shared" ca="1" si="39"/>
        <v>0.62029999999999996</v>
      </c>
      <c r="AD54" s="506">
        <f t="shared" ca="1" si="39"/>
        <v>0.62029999999999996</v>
      </c>
      <c r="AE54" s="506">
        <f t="shared" ca="1" si="39"/>
        <v>0.62029999999999996</v>
      </c>
      <c r="AF54" s="506">
        <f t="shared" ca="1" si="39"/>
        <v>0.62029999999999996</v>
      </c>
      <c r="AG54" s="506">
        <f t="shared" ca="1" si="39"/>
        <v>0.62029999999999996</v>
      </c>
      <c r="AH54" s="509"/>
      <c r="AI54" s="506"/>
      <c r="AJ54" s="506">
        <f ca="1">IF($C$4=Year1,-PMT(Lookups!$E$17,25,NPV(Lookups!$E$17,G54:AE54),0,1),IF($C$4=Year2,-PMT(Lookups!$F$17,25,NPV(Lookups!$F$17,H54:AF54),0,1),IF($C$4=Year3,-PMT(Lookups!$G$17,25,NPV(Lookups!$G$17,I54:AG54),0,1),-PMT(Lookups!$G$17,27,NPV(Lookups!$G$17,G54:AG54),0,1))))</f>
        <v>0.61130827825231049</v>
      </c>
      <c r="AK54" s="507"/>
      <c r="AL54" s="507"/>
      <c r="AM54" s="508">
        <f ca="1">IFERROR(AM40+AM46,0)</f>
        <v>0.62008297618512453</v>
      </c>
      <c r="AN54" s="508">
        <f t="shared" ref="AN54:BM54" ca="1" si="40">IFERROR(AN40+AN46,0)</f>
        <v>0.61986108776974924</v>
      </c>
      <c r="AO54" s="508">
        <f t="shared" ca="1" si="40"/>
        <v>0.61963222809937779</v>
      </c>
      <c r="AP54" s="508">
        <f t="shared" ca="1" si="40"/>
        <v>0.61963222809937779</v>
      </c>
      <c r="AQ54" s="508">
        <f t="shared" ca="1" si="40"/>
        <v>0.61963222809937779</v>
      </c>
      <c r="AR54" s="508">
        <f t="shared" ca="1" si="40"/>
        <v>0.61963222809937779</v>
      </c>
      <c r="AS54" s="508">
        <f t="shared" ca="1" si="40"/>
        <v>0.61963222809937779</v>
      </c>
      <c r="AT54" s="508">
        <f t="shared" ca="1" si="40"/>
        <v>0.61963222809937779</v>
      </c>
      <c r="AU54" s="508">
        <f t="shared" ca="1" si="40"/>
        <v>0.61963222809937779</v>
      </c>
      <c r="AV54" s="508">
        <f t="shared" ca="1" si="40"/>
        <v>0.61963222809937779</v>
      </c>
      <c r="AW54" s="508">
        <f t="shared" ca="1" si="40"/>
        <v>0.61963222809937779</v>
      </c>
      <c r="AX54" s="508">
        <f t="shared" ca="1" si="40"/>
        <v>0.61963222809937779</v>
      </c>
      <c r="AY54" s="508">
        <f t="shared" ca="1" si="40"/>
        <v>0.61963222809937779</v>
      </c>
      <c r="AZ54" s="508">
        <f t="shared" ca="1" si="40"/>
        <v>0.61963222809937779</v>
      </c>
      <c r="BA54" s="508">
        <f t="shared" ca="1" si="40"/>
        <v>0.61963222809937779</v>
      </c>
      <c r="BB54" s="508">
        <f t="shared" ca="1" si="40"/>
        <v>0.61985591180491351</v>
      </c>
      <c r="BC54" s="508">
        <f t="shared" ca="1" si="40"/>
        <v>0.6200778922723611</v>
      </c>
      <c r="BD54" s="508">
        <f t="shared" ca="1" si="40"/>
        <v>0.62029999999999996</v>
      </c>
      <c r="BE54" s="508">
        <f t="shared" ca="1" si="40"/>
        <v>0.62029999999999996</v>
      </c>
      <c r="BF54" s="508">
        <f t="shared" ca="1" si="40"/>
        <v>0.62029999999999996</v>
      </c>
      <c r="BG54" s="508">
        <f t="shared" ca="1" si="40"/>
        <v>0.62029999999999996</v>
      </c>
      <c r="BH54" s="508">
        <f t="shared" ca="1" si="40"/>
        <v>0.62029999999999996</v>
      </c>
      <c r="BI54" s="508">
        <f t="shared" ca="1" si="40"/>
        <v>0.62029999999999996</v>
      </c>
      <c r="BJ54" s="508">
        <f t="shared" ca="1" si="40"/>
        <v>0.62029999999999996</v>
      </c>
      <c r="BK54" s="508">
        <f t="shared" ca="1" si="40"/>
        <v>0.62029999999999996</v>
      </c>
      <c r="BL54" s="508">
        <f t="shared" ca="1" si="40"/>
        <v>0.62029999999999996</v>
      </c>
      <c r="BM54" s="508">
        <f t="shared" ca="1" si="40"/>
        <v>0.62029999999999996</v>
      </c>
      <c r="BN54" s="508"/>
      <c r="BO54" s="508"/>
      <c r="BP54" s="508">
        <f ca="1">IF($C$4=Year1,-PMT(Lookups!$E$17,25,NPV(Lookups!$E$17,AM54:BK54),0,1),IF($C$4=Year2,-PMT(Lookups!$F$17,25,NPV(Lookups!$F$17,AN54:BL54),0,1),IF($C$4=Year3,-PMT(Lookups!$G$17,25,NPV(Lookups!$G$17,AO54:BM54),0,1),-PMT(Lookups!$G$17,27,NPV(Lookups!$G$17,AM54:BM54),0,1))))</f>
        <v>0.6112585812338398</v>
      </c>
      <c r="BS54" s="86" t="s">
        <v>236</v>
      </c>
      <c r="BT54" s="51" t="s">
        <v>17</v>
      </c>
    </row>
    <row r="55" spans="1:72" x14ac:dyDescent="0.25">
      <c r="B55" s="243" t="str">
        <f t="shared" si="23"/>
        <v>Residential</v>
      </c>
      <c r="C55" s="243" t="str">
        <f t="shared" si="23"/>
        <v>Rates</v>
      </c>
      <c r="D55" s="244" t="str">
        <f t="shared" si="23"/>
        <v>Rates after DSM Scenario</v>
      </c>
      <c r="E55" s="84" t="s">
        <v>406</v>
      </c>
      <c r="F55" s="84" t="s">
        <v>182</v>
      </c>
      <c r="G55" s="509">
        <f ca="1">G49</f>
        <v>6.4686396991858353E-2</v>
      </c>
      <c r="H55" s="509">
        <f t="shared" ref="H55:AG55" ca="1" si="41">H49</f>
        <v>6.6654138295917709E-2</v>
      </c>
      <c r="I55" s="509">
        <f t="shared" ca="1" si="41"/>
        <v>6.8785811560470811E-2</v>
      </c>
      <c r="J55" s="509">
        <f t="shared" ca="1" si="41"/>
        <v>0</v>
      </c>
      <c r="K55" s="509">
        <f t="shared" ca="1" si="41"/>
        <v>0</v>
      </c>
      <c r="L55" s="509">
        <f t="shared" ca="1" si="41"/>
        <v>0</v>
      </c>
      <c r="M55" s="509">
        <f t="shared" ca="1" si="41"/>
        <v>0</v>
      </c>
      <c r="N55" s="509">
        <f t="shared" ca="1" si="41"/>
        <v>0</v>
      </c>
      <c r="O55" s="509">
        <f t="shared" ca="1" si="41"/>
        <v>0</v>
      </c>
      <c r="P55" s="509">
        <f t="shared" ca="1" si="41"/>
        <v>0</v>
      </c>
      <c r="Q55" s="509">
        <f t="shared" ca="1" si="41"/>
        <v>0</v>
      </c>
      <c r="R55" s="509">
        <f t="shared" ca="1" si="41"/>
        <v>0</v>
      </c>
      <c r="S55" s="509">
        <f t="shared" ca="1" si="41"/>
        <v>0</v>
      </c>
      <c r="T55" s="509">
        <f t="shared" ca="1" si="41"/>
        <v>0</v>
      </c>
      <c r="U55" s="509">
        <f t="shared" ca="1" si="41"/>
        <v>0</v>
      </c>
      <c r="V55" s="509">
        <f t="shared" ca="1" si="41"/>
        <v>0</v>
      </c>
      <c r="W55" s="509">
        <f t="shared" ca="1" si="41"/>
        <v>0</v>
      </c>
      <c r="X55" s="509">
        <f t="shared" ca="1" si="41"/>
        <v>0</v>
      </c>
      <c r="Y55" s="509">
        <f t="shared" ca="1" si="41"/>
        <v>0</v>
      </c>
      <c r="Z55" s="509">
        <f t="shared" ca="1" si="41"/>
        <v>0</v>
      </c>
      <c r="AA55" s="509">
        <f t="shared" ca="1" si="41"/>
        <v>0</v>
      </c>
      <c r="AB55" s="509">
        <f t="shared" ca="1" si="41"/>
        <v>0</v>
      </c>
      <c r="AC55" s="509">
        <f t="shared" ca="1" si="41"/>
        <v>0</v>
      </c>
      <c r="AD55" s="509">
        <f t="shared" ca="1" si="41"/>
        <v>0</v>
      </c>
      <c r="AE55" s="509">
        <f t="shared" ca="1" si="41"/>
        <v>0</v>
      </c>
      <c r="AF55" s="509">
        <f t="shared" ca="1" si="41"/>
        <v>0</v>
      </c>
      <c r="AG55" s="509">
        <f t="shared" ca="1" si="41"/>
        <v>0</v>
      </c>
      <c r="AH55" s="509"/>
      <c r="AI55" s="509"/>
      <c r="AJ55" s="506">
        <f ca="1">IF($C$4=Year1,-PMT(Lookups!$E$17,25,NPV(Lookups!$E$17,G55:AE55),0,1),IF($C$4=Year2,-PMT(Lookups!$F$17,25,NPV(Lookups!$F$17,H55:AF55),0,1),IF($C$4=Year3,-PMT(Lookups!$G$17,25,NPV(Lookups!$G$17,I55:AG55),0,1),-PMT(Lookups!$G$17,27,NPV(Lookups!$G$17,G55:AG55),0,1))))</f>
        <v>8.5969511791399115E-3</v>
      </c>
      <c r="AK55" s="507"/>
      <c r="AL55" s="507"/>
      <c r="AM55" s="508">
        <f ca="1">AM49</f>
        <v>7.7623676390230018E-2</v>
      </c>
      <c r="AN55" s="508">
        <f t="shared" ref="AN55:BM55" ca="1" si="42">AN49</f>
        <v>7.9984965955101253E-2</v>
      </c>
      <c r="AO55" s="508">
        <f t="shared" ca="1" si="42"/>
        <v>8.254297387256497E-2</v>
      </c>
      <c r="AP55" s="508">
        <f t="shared" ca="1" si="42"/>
        <v>0</v>
      </c>
      <c r="AQ55" s="508">
        <f t="shared" ca="1" si="42"/>
        <v>0</v>
      </c>
      <c r="AR55" s="508">
        <f t="shared" ca="1" si="42"/>
        <v>0</v>
      </c>
      <c r="AS55" s="508">
        <f t="shared" ca="1" si="42"/>
        <v>0</v>
      </c>
      <c r="AT55" s="508">
        <f t="shared" ca="1" si="42"/>
        <v>0</v>
      </c>
      <c r="AU55" s="508">
        <f t="shared" ca="1" si="42"/>
        <v>0</v>
      </c>
      <c r="AV55" s="508">
        <f t="shared" ca="1" si="42"/>
        <v>0</v>
      </c>
      <c r="AW55" s="508">
        <f t="shared" ca="1" si="42"/>
        <v>0</v>
      </c>
      <c r="AX55" s="508">
        <f t="shared" ca="1" si="42"/>
        <v>0</v>
      </c>
      <c r="AY55" s="508">
        <f t="shared" ca="1" si="42"/>
        <v>0</v>
      </c>
      <c r="AZ55" s="508">
        <f t="shared" ca="1" si="42"/>
        <v>0</v>
      </c>
      <c r="BA55" s="508">
        <f t="shared" ca="1" si="42"/>
        <v>0</v>
      </c>
      <c r="BB55" s="508">
        <f t="shared" ca="1" si="42"/>
        <v>0</v>
      </c>
      <c r="BC55" s="508">
        <f t="shared" ca="1" si="42"/>
        <v>0</v>
      </c>
      <c r="BD55" s="508">
        <f t="shared" ca="1" si="42"/>
        <v>0</v>
      </c>
      <c r="BE55" s="508">
        <f t="shared" ca="1" si="42"/>
        <v>0</v>
      </c>
      <c r="BF55" s="508">
        <f t="shared" ca="1" si="42"/>
        <v>0</v>
      </c>
      <c r="BG55" s="508">
        <f t="shared" ca="1" si="42"/>
        <v>0</v>
      </c>
      <c r="BH55" s="508">
        <f t="shared" ca="1" si="42"/>
        <v>0</v>
      </c>
      <c r="BI55" s="508">
        <f t="shared" ca="1" si="42"/>
        <v>0</v>
      </c>
      <c r="BJ55" s="508">
        <f t="shared" ca="1" si="42"/>
        <v>0</v>
      </c>
      <c r="BK55" s="508">
        <f t="shared" ca="1" si="42"/>
        <v>0</v>
      </c>
      <c r="BL55" s="508">
        <f t="shared" ca="1" si="42"/>
        <v>0</v>
      </c>
      <c r="BM55" s="508">
        <f t="shared" ca="1" si="42"/>
        <v>0</v>
      </c>
      <c r="BN55" s="508"/>
      <c r="BO55" s="508"/>
      <c r="BP55" s="508">
        <f ca="1">IF($C$4=Year1,-PMT(Lookups!$E$17,25,NPV(Lookups!$E$17,AM55:BK55),0,1),IF($C$4=Year2,-PMT(Lookups!$F$17,25,NPV(Lookups!$F$17,AN55:BL55),0,1),IF($C$4=Year3,-PMT(Lookups!$G$17,25,NPV(Lookups!$G$17,AO55:BM55),0,1),-PMT(Lookups!$G$17,27,NPV(Lookups!$G$17,AM55:BM55),0,1))))</f>
        <v>1.0316341414967891E-2</v>
      </c>
      <c r="BS55" s="84" t="s">
        <v>403</v>
      </c>
      <c r="BT55" s="51" t="s">
        <v>17</v>
      </c>
    </row>
    <row r="56" spans="1:72" x14ac:dyDescent="0.25">
      <c r="B56" s="243" t="str">
        <f>B57</f>
        <v>Residential</v>
      </c>
      <c r="C56" s="243" t="str">
        <f>C57</f>
        <v>Rates</v>
      </c>
      <c r="D56" s="244" t="str">
        <f>D57</f>
        <v>Rates after DSM Scenario</v>
      </c>
      <c r="E56" s="86" t="s">
        <v>75</v>
      </c>
      <c r="F56" s="84" t="s">
        <v>182</v>
      </c>
      <c r="G56" s="506">
        <f>G41</f>
        <v>0.2233803664496018</v>
      </c>
      <c r="H56" s="506">
        <f>H41</f>
        <v>0.2233803664496018</v>
      </c>
      <c r="I56" s="506">
        <f t="shared" ref="I56:AG56" si="43">I41</f>
        <v>0.2233803664496018</v>
      </c>
      <c r="J56" s="506">
        <f t="shared" si="43"/>
        <v>0.2233803664496018</v>
      </c>
      <c r="K56" s="506">
        <f t="shared" si="43"/>
        <v>0.2233803664496018</v>
      </c>
      <c r="L56" s="506">
        <f t="shared" si="43"/>
        <v>0.2233803664496018</v>
      </c>
      <c r="M56" s="506">
        <f t="shared" si="43"/>
        <v>0.2233803664496018</v>
      </c>
      <c r="N56" s="506">
        <f t="shared" si="43"/>
        <v>0.2233803664496018</v>
      </c>
      <c r="O56" s="506">
        <f t="shared" si="43"/>
        <v>0.2233803664496018</v>
      </c>
      <c r="P56" s="506">
        <f t="shared" si="43"/>
        <v>0.2233803664496018</v>
      </c>
      <c r="Q56" s="506">
        <f t="shared" si="43"/>
        <v>0.2233803664496018</v>
      </c>
      <c r="R56" s="506">
        <f t="shared" si="43"/>
        <v>0.2233803664496018</v>
      </c>
      <c r="S56" s="506">
        <f t="shared" si="43"/>
        <v>0.2233803664496018</v>
      </c>
      <c r="T56" s="506">
        <f t="shared" si="43"/>
        <v>0.2233803664496018</v>
      </c>
      <c r="U56" s="506">
        <f t="shared" si="43"/>
        <v>0.2233803664496018</v>
      </c>
      <c r="V56" s="506">
        <f t="shared" si="43"/>
        <v>0.2233803664496018</v>
      </c>
      <c r="W56" s="506">
        <f t="shared" si="43"/>
        <v>0.2233803664496018</v>
      </c>
      <c r="X56" s="506">
        <f t="shared" si="43"/>
        <v>0.2233803664496018</v>
      </c>
      <c r="Y56" s="506">
        <f t="shared" si="43"/>
        <v>0.2233803664496018</v>
      </c>
      <c r="Z56" s="506">
        <f t="shared" si="43"/>
        <v>0.2233803664496018</v>
      </c>
      <c r="AA56" s="506">
        <f t="shared" si="43"/>
        <v>0.2233803664496018</v>
      </c>
      <c r="AB56" s="506">
        <f t="shared" si="43"/>
        <v>0.2233803664496018</v>
      </c>
      <c r="AC56" s="506">
        <f t="shared" si="43"/>
        <v>0.2233803664496018</v>
      </c>
      <c r="AD56" s="506">
        <f t="shared" si="43"/>
        <v>0.2233803664496018</v>
      </c>
      <c r="AE56" s="506">
        <f t="shared" si="43"/>
        <v>0.2233803664496018</v>
      </c>
      <c r="AF56" s="506">
        <f t="shared" si="43"/>
        <v>0.2233803664496018</v>
      </c>
      <c r="AG56" s="506">
        <f t="shared" si="43"/>
        <v>0.2233803664496018</v>
      </c>
      <c r="AH56" s="506"/>
      <c r="AI56" s="506"/>
      <c r="AJ56" s="506">
        <f>IF($C$4=Year1,-PMT(Lookups!$E$17,25,NPV(Lookups!$E$17,G56:AE56),0,1),IF($C$4=Year2,-PMT(Lookups!$F$17,25,NPV(Lookups!$F$17,H56:AF56),0,1),IF($C$4=Year3,-PMT(Lookups!$G$17,25,NPV(Lookups!$G$17,I56:AG56),0,1),-PMT(Lookups!$G$17,27,NPV(Lookups!$G$17,G56:AG56),0,1))))</f>
        <v>0.22026494051558318</v>
      </c>
      <c r="AK56" s="507"/>
      <c r="AL56" s="507"/>
      <c r="AM56" s="508">
        <f>AM41</f>
        <v>0.2233803664496018</v>
      </c>
      <c r="AN56" s="508">
        <f t="shared" ref="AN56:BM56" si="44">AN41</f>
        <v>0.2233803664496018</v>
      </c>
      <c r="AO56" s="508">
        <f t="shared" si="44"/>
        <v>0.2233803664496018</v>
      </c>
      <c r="AP56" s="508">
        <f t="shared" si="44"/>
        <v>0.2233803664496018</v>
      </c>
      <c r="AQ56" s="508">
        <f t="shared" si="44"/>
        <v>0.2233803664496018</v>
      </c>
      <c r="AR56" s="508">
        <f t="shared" si="44"/>
        <v>0.2233803664496018</v>
      </c>
      <c r="AS56" s="508">
        <f t="shared" si="44"/>
        <v>0.2233803664496018</v>
      </c>
      <c r="AT56" s="508">
        <f t="shared" si="44"/>
        <v>0.2233803664496018</v>
      </c>
      <c r="AU56" s="508">
        <f t="shared" si="44"/>
        <v>0.2233803664496018</v>
      </c>
      <c r="AV56" s="508">
        <f t="shared" si="44"/>
        <v>0.2233803664496018</v>
      </c>
      <c r="AW56" s="508">
        <f t="shared" si="44"/>
        <v>0.2233803664496018</v>
      </c>
      <c r="AX56" s="508">
        <f t="shared" si="44"/>
        <v>0.2233803664496018</v>
      </c>
      <c r="AY56" s="508">
        <f t="shared" si="44"/>
        <v>0.2233803664496018</v>
      </c>
      <c r="AZ56" s="508">
        <f t="shared" si="44"/>
        <v>0.2233803664496018</v>
      </c>
      <c r="BA56" s="508">
        <f t="shared" si="44"/>
        <v>0.2233803664496018</v>
      </c>
      <c r="BB56" s="508">
        <f t="shared" si="44"/>
        <v>0.2233803664496018</v>
      </c>
      <c r="BC56" s="508">
        <f t="shared" si="44"/>
        <v>0.2233803664496018</v>
      </c>
      <c r="BD56" s="508">
        <f t="shared" si="44"/>
        <v>0.2233803664496018</v>
      </c>
      <c r="BE56" s="508">
        <f t="shared" si="44"/>
        <v>0.2233803664496018</v>
      </c>
      <c r="BF56" s="508">
        <f t="shared" si="44"/>
        <v>0.2233803664496018</v>
      </c>
      <c r="BG56" s="508">
        <f t="shared" si="44"/>
        <v>0.2233803664496018</v>
      </c>
      <c r="BH56" s="508">
        <f t="shared" si="44"/>
        <v>0.2233803664496018</v>
      </c>
      <c r="BI56" s="508">
        <f t="shared" si="44"/>
        <v>0.2233803664496018</v>
      </c>
      <c r="BJ56" s="508">
        <f t="shared" si="44"/>
        <v>0.2233803664496018</v>
      </c>
      <c r="BK56" s="508">
        <f t="shared" si="44"/>
        <v>0.2233803664496018</v>
      </c>
      <c r="BL56" s="508">
        <f t="shared" si="44"/>
        <v>0.2233803664496018</v>
      </c>
      <c r="BM56" s="508">
        <f t="shared" si="44"/>
        <v>0.2233803664496018</v>
      </c>
      <c r="BN56" s="508"/>
      <c r="BO56" s="508"/>
      <c r="BP56" s="508">
        <f>IF($C$4=Year1,-PMT(Lookups!$E$17,25,NPV(Lookups!$E$17,AM56:BK56),0,1),IF($C$4=Year2,-PMT(Lookups!$F$17,25,NPV(Lookups!$F$17,AN56:BL56),0,1),IF($C$4=Year3,-PMT(Lookups!$G$17,25,NPV(Lookups!$G$17,AO56:BM56),0,1),-PMT(Lookups!$G$17,27,NPV(Lookups!$G$17,AM56:BM56),0,1))))</f>
        <v>0.22026494051558318</v>
      </c>
      <c r="BS56" s="84" t="s">
        <v>171</v>
      </c>
      <c r="BT56" s="51" t="s">
        <v>17</v>
      </c>
    </row>
    <row r="57" spans="1:72" x14ac:dyDescent="0.25">
      <c r="B57" s="243" t="str">
        <f>B55</f>
        <v>Residential</v>
      </c>
      <c r="C57" s="243" t="str">
        <f>C55</f>
        <v>Rates</v>
      </c>
      <c r="D57" s="244" t="str">
        <f>D55</f>
        <v>Rates after DSM Scenario</v>
      </c>
      <c r="E57" s="84" t="s">
        <v>76</v>
      </c>
      <c r="F57" s="84" t="s">
        <v>182</v>
      </c>
      <c r="G57" s="506">
        <f ca="1">SUM(G52:G56)</f>
        <v>1.4351550783411451</v>
      </c>
      <c r="H57" s="506">
        <f ca="1">SUM(H52:H56)</f>
        <v>1.4400898474929669</v>
      </c>
      <c r="I57" s="506">
        <f t="shared" ref="I57:AG57" ca="1" si="45">SUM(I52:I56)</f>
        <v>1.4452855014227359</v>
      </c>
      <c r="J57" s="506">
        <f t="shared" ca="1" si="45"/>
        <v>1.376499689862265</v>
      </c>
      <c r="K57" s="506">
        <f t="shared" ca="1" si="45"/>
        <v>1.376499689862265</v>
      </c>
      <c r="L57" s="506">
        <f t="shared" ca="1" si="45"/>
        <v>1.376499689862265</v>
      </c>
      <c r="M57" s="506">
        <f t="shared" ca="1" si="45"/>
        <v>1.376499689862265</v>
      </c>
      <c r="N57" s="506">
        <f t="shared" ca="1" si="45"/>
        <v>1.376499689862265</v>
      </c>
      <c r="O57" s="506">
        <f t="shared" ca="1" si="45"/>
        <v>1.376499689862265</v>
      </c>
      <c r="P57" s="506">
        <f t="shared" ca="1" si="45"/>
        <v>1.376499689862265</v>
      </c>
      <c r="Q57" s="506">
        <f t="shared" ca="1" si="45"/>
        <v>1.376499689862265</v>
      </c>
      <c r="R57" s="506">
        <f t="shared" ca="1" si="45"/>
        <v>1.376499689862265</v>
      </c>
      <c r="S57" s="506">
        <f t="shared" ca="1" si="45"/>
        <v>1.376499689862265</v>
      </c>
      <c r="T57" s="506">
        <f t="shared" ca="1" si="45"/>
        <v>1.376499689862265</v>
      </c>
      <c r="U57" s="506">
        <f t="shared" ca="1" si="45"/>
        <v>1.376499689862265</v>
      </c>
      <c r="V57" s="506">
        <f t="shared" ca="1" si="45"/>
        <v>1.3735337580988376</v>
      </c>
      <c r="W57" s="506">
        <f t="shared" ca="1" si="45"/>
        <v>1.3705654655113846</v>
      </c>
      <c r="X57" s="506">
        <f t="shared" ca="1" si="45"/>
        <v>1.3675803664496016</v>
      </c>
      <c r="Y57" s="506">
        <f t="shared" ca="1" si="45"/>
        <v>1.3675803664496016</v>
      </c>
      <c r="Z57" s="506">
        <f t="shared" ca="1" si="45"/>
        <v>1.3675803664496016</v>
      </c>
      <c r="AA57" s="506">
        <f t="shared" ca="1" si="45"/>
        <v>1.3675803664496016</v>
      </c>
      <c r="AB57" s="506">
        <f t="shared" ca="1" si="45"/>
        <v>1.3675803664496016</v>
      </c>
      <c r="AC57" s="506">
        <f t="shared" ca="1" si="45"/>
        <v>1.3675803664496016</v>
      </c>
      <c r="AD57" s="506">
        <f t="shared" ca="1" si="45"/>
        <v>1.3675803664496016</v>
      </c>
      <c r="AE57" s="506">
        <f t="shared" ca="1" si="45"/>
        <v>1.3675803664496016</v>
      </c>
      <c r="AF57" s="506">
        <f t="shared" ca="1" si="45"/>
        <v>1.3675803664496016</v>
      </c>
      <c r="AG57" s="506">
        <f t="shared" ca="1" si="45"/>
        <v>1.3675803664496016</v>
      </c>
      <c r="AH57" s="506"/>
      <c r="AI57" s="506"/>
      <c r="AJ57" s="506">
        <f ca="1">IF($C$4=Year1,-PMT(Lookups!$E$17,25,NPV(Lookups!$E$17,G57:AE57),0,1),IF($C$4=Year2,-PMT(Lookups!$F$17,25,NPV(Lookups!$F$17,H57:AF57),0,1),IF($C$4=Year3,-PMT(Lookups!$G$17,25,NPV(Lookups!$G$17,I57:AG57),0,1),-PMT(Lookups!$G$17,27,NPV(Lookups!$G$17,G57:AG57),0,1))))</f>
        <v>1.3623173501635764</v>
      </c>
      <c r="AK57" s="507"/>
      <c r="AL57" s="507"/>
      <c r="AM57" s="508">
        <f ca="1">SUM(AM52:AM56)</f>
        <v>1.448508021568665</v>
      </c>
      <c r="AN57" s="508">
        <f ca="1">SUM(AN52:AN56)</f>
        <v>1.4542696854503632</v>
      </c>
      <c r="AO57" s="508">
        <f t="shared" ref="AO57:BM57" ca="1" si="46">SUM(AO52:AO56)</f>
        <v>1.4603459572274242</v>
      </c>
      <c r="AP57" s="508">
        <f t="shared" ca="1" si="46"/>
        <v>1.3778029833548593</v>
      </c>
      <c r="AQ57" s="508">
        <f t="shared" ca="1" si="46"/>
        <v>1.3778029833548593</v>
      </c>
      <c r="AR57" s="508">
        <f t="shared" ca="1" si="46"/>
        <v>1.3778029833548593</v>
      </c>
      <c r="AS57" s="508">
        <f t="shared" ca="1" si="46"/>
        <v>1.3778029833548593</v>
      </c>
      <c r="AT57" s="508">
        <f t="shared" ca="1" si="46"/>
        <v>1.3778029833548593</v>
      </c>
      <c r="AU57" s="508">
        <f t="shared" ca="1" si="46"/>
        <v>1.3778029833548593</v>
      </c>
      <c r="AV57" s="508">
        <f t="shared" ca="1" si="46"/>
        <v>1.3778029833548593</v>
      </c>
      <c r="AW57" s="508">
        <f t="shared" ca="1" si="46"/>
        <v>1.3778029833548593</v>
      </c>
      <c r="AX57" s="508">
        <f t="shared" ca="1" si="46"/>
        <v>1.3778029833548593</v>
      </c>
      <c r="AY57" s="508">
        <f t="shared" ca="1" si="46"/>
        <v>1.3778029833548593</v>
      </c>
      <c r="AZ57" s="508">
        <f t="shared" ca="1" si="46"/>
        <v>1.3778029833548593</v>
      </c>
      <c r="BA57" s="508">
        <f t="shared" ca="1" si="46"/>
        <v>1.3778029833548593</v>
      </c>
      <c r="BB57" s="508">
        <f t="shared" ca="1" si="46"/>
        <v>1.3743971941689552</v>
      </c>
      <c r="BC57" s="508">
        <f t="shared" ca="1" si="46"/>
        <v>1.3709951609583353</v>
      </c>
      <c r="BD57" s="508">
        <f t="shared" ca="1" si="46"/>
        <v>1.3675803664496016</v>
      </c>
      <c r="BE57" s="508">
        <f t="shared" ca="1" si="46"/>
        <v>1.3675803664496016</v>
      </c>
      <c r="BF57" s="508">
        <f t="shared" ca="1" si="46"/>
        <v>1.3675803664496016</v>
      </c>
      <c r="BG57" s="508">
        <f t="shared" ca="1" si="46"/>
        <v>1.3675803664496016</v>
      </c>
      <c r="BH57" s="508">
        <f t="shared" ca="1" si="46"/>
        <v>1.3675803664496016</v>
      </c>
      <c r="BI57" s="508">
        <f t="shared" ca="1" si="46"/>
        <v>1.3675803664496016</v>
      </c>
      <c r="BJ57" s="508">
        <f t="shared" ca="1" si="46"/>
        <v>1.3675803664496016</v>
      </c>
      <c r="BK57" s="508">
        <f t="shared" ca="1" si="46"/>
        <v>1.3675803664496016</v>
      </c>
      <c r="BL57" s="508">
        <f t="shared" ca="1" si="46"/>
        <v>1.3675803664496016</v>
      </c>
      <c r="BM57" s="508">
        <f t="shared" ca="1" si="46"/>
        <v>1.3675803664496016</v>
      </c>
      <c r="BN57" s="508"/>
      <c r="BO57" s="508"/>
      <c r="BP57" s="508">
        <f ca="1">IF($C$4=Year1,-PMT(Lookups!$E$17,25,NPV(Lookups!$E$17,AM57:BK57),0,1),IF($C$4=Year2,-PMT(Lookups!$F$17,25,NPV(Lookups!$F$17,AN57:BL57),0,1),IF($C$4=Year3,-PMT(Lookups!$G$17,25,NPV(Lookups!$G$17,AO57:BM57),0,1),-PMT(Lookups!$G$17,27,NPV(Lookups!$G$17,AM57:BM57),0,1))))</f>
        <v>1.3647974954579098</v>
      </c>
      <c r="BS57" s="84" t="s">
        <v>235</v>
      </c>
      <c r="BT57" s="51" t="s">
        <v>17</v>
      </c>
    </row>
    <row r="58" spans="1:72" x14ac:dyDescent="0.25">
      <c r="B58" s="243" t="str">
        <f>B56</f>
        <v>Residential</v>
      </c>
      <c r="C58" s="243" t="str">
        <f>C56</f>
        <v>Rates</v>
      </c>
      <c r="D58" s="114" t="s">
        <v>114</v>
      </c>
      <c r="E58" s="84"/>
      <c r="F58" s="84"/>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49"/>
      <c r="AI58" s="109"/>
      <c r="AJ58" s="506"/>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S58" s="84"/>
      <c r="BT58" s="51" t="s">
        <v>17</v>
      </c>
    </row>
    <row r="59" spans="1:72" x14ac:dyDescent="0.25">
      <c r="B59" s="243" t="str">
        <f t="shared" si="23"/>
        <v>Residential</v>
      </c>
      <c r="C59" s="243" t="str">
        <f t="shared" si="23"/>
        <v>Rates</v>
      </c>
      <c r="D59" s="244" t="str">
        <f t="shared" si="23"/>
        <v>Change in Rates after DSM Scenario</v>
      </c>
      <c r="E59" s="84" t="s">
        <v>76</v>
      </c>
      <c r="F59" s="84" t="s">
        <v>182</v>
      </c>
      <c r="G59" s="510">
        <f ca="1">G57-G42</f>
        <v>6.7574711891543515E-2</v>
      </c>
      <c r="H59" s="510">
        <f ca="1">H57-H42</f>
        <v>7.2509481043365298E-2</v>
      </c>
      <c r="I59" s="510">
        <f t="shared" ref="I59:AG59" ca="1" si="47">I57-I42</f>
        <v>7.770513497313436E-2</v>
      </c>
      <c r="J59" s="510">
        <f t="shared" ca="1" si="47"/>
        <v>8.919323412663438E-3</v>
      </c>
      <c r="K59" s="510">
        <f t="shared" ca="1" si="47"/>
        <v>8.919323412663438E-3</v>
      </c>
      <c r="L59" s="510">
        <f t="shared" ca="1" si="47"/>
        <v>8.919323412663438E-3</v>
      </c>
      <c r="M59" s="510">
        <f t="shared" ca="1" si="47"/>
        <v>8.919323412663438E-3</v>
      </c>
      <c r="N59" s="510">
        <f t="shared" ca="1" si="47"/>
        <v>8.919323412663438E-3</v>
      </c>
      <c r="O59" s="510">
        <f t="shared" ca="1" si="47"/>
        <v>8.919323412663438E-3</v>
      </c>
      <c r="P59" s="510">
        <f t="shared" ca="1" si="47"/>
        <v>8.919323412663438E-3</v>
      </c>
      <c r="Q59" s="510">
        <f t="shared" ca="1" si="47"/>
        <v>8.919323412663438E-3</v>
      </c>
      <c r="R59" s="510">
        <f t="shared" ca="1" si="47"/>
        <v>8.919323412663438E-3</v>
      </c>
      <c r="S59" s="510">
        <f t="shared" ca="1" si="47"/>
        <v>8.919323412663438E-3</v>
      </c>
      <c r="T59" s="510">
        <f t="shared" ca="1" si="47"/>
        <v>8.919323412663438E-3</v>
      </c>
      <c r="U59" s="510">
        <f t="shared" ca="1" si="47"/>
        <v>8.919323412663438E-3</v>
      </c>
      <c r="V59" s="510">
        <f t="shared" ca="1" si="47"/>
        <v>5.9533916492360284E-3</v>
      </c>
      <c r="W59" s="510">
        <f t="shared" ca="1" si="47"/>
        <v>2.9850990617830142E-3</v>
      </c>
      <c r="X59" s="510">
        <f t="shared" ca="1" si="47"/>
        <v>0</v>
      </c>
      <c r="Y59" s="510">
        <f t="shared" ca="1" si="47"/>
        <v>0</v>
      </c>
      <c r="Z59" s="510">
        <f t="shared" ca="1" si="47"/>
        <v>0</v>
      </c>
      <c r="AA59" s="510">
        <f t="shared" ca="1" si="47"/>
        <v>0</v>
      </c>
      <c r="AB59" s="510">
        <f t="shared" ca="1" si="47"/>
        <v>0</v>
      </c>
      <c r="AC59" s="510">
        <f t="shared" ca="1" si="47"/>
        <v>0</v>
      </c>
      <c r="AD59" s="510">
        <f t="shared" ca="1" si="47"/>
        <v>0</v>
      </c>
      <c r="AE59" s="510">
        <f t="shared" ca="1" si="47"/>
        <v>0</v>
      </c>
      <c r="AF59" s="510">
        <f t="shared" ca="1" si="47"/>
        <v>0</v>
      </c>
      <c r="AG59" s="510">
        <f t="shared" ca="1" si="47"/>
        <v>0</v>
      </c>
      <c r="AH59" s="510"/>
      <c r="AI59" s="510"/>
      <c r="AJ59" s="506">
        <f ca="1">IF($C$4=Year1,-PMT(Lookups!$E$17,25,NPV(Lookups!$E$17,G59:AE59),0,1),IF($C$4=Year2,-PMT(Lookups!$F$17,25,NPV(Lookups!$F$17,H59:AF59),0,1),IF($C$4=Year3,-PMT(Lookups!$G$17,25,NPV(Lookups!$G$17,I59:AG59),0,1),-PMT(Lookups!$G$17,27,NPV(Lookups!$G$17,G59:AG59),0,1))))</f>
        <v>1.3810259526928208E-2</v>
      </c>
      <c r="AK59" s="507"/>
      <c r="AL59" s="507"/>
      <c r="AM59" s="508">
        <f ca="1">AM57-AM42</f>
        <v>8.0927655119063413E-2</v>
      </c>
      <c r="AN59" s="508">
        <f ca="1">AN57-AN42</f>
        <v>8.66893190007616E-2</v>
      </c>
      <c r="AO59" s="508">
        <f t="shared" ref="AO59:BM59" ca="1" si="48">AO57-AO42</f>
        <v>9.2765590777822649E-2</v>
      </c>
      <c r="AP59" s="508">
        <f t="shared" ca="1" si="48"/>
        <v>1.022261690525772E-2</v>
      </c>
      <c r="AQ59" s="508">
        <f t="shared" ca="1" si="48"/>
        <v>1.022261690525772E-2</v>
      </c>
      <c r="AR59" s="508">
        <f t="shared" ca="1" si="48"/>
        <v>1.022261690525772E-2</v>
      </c>
      <c r="AS59" s="508">
        <f t="shared" ca="1" si="48"/>
        <v>1.022261690525772E-2</v>
      </c>
      <c r="AT59" s="508">
        <f t="shared" ca="1" si="48"/>
        <v>1.022261690525772E-2</v>
      </c>
      <c r="AU59" s="508">
        <f t="shared" ca="1" si="48"/>
        <v>1.022261690525772E-2</v>
      </c>
      <c r="AV59" s="508">
        <f t="shared" ca="1" si="48"/>
        <v>1.022261690525772E-2</v>
      </c>
      <c r="AW59" s="508">
        <f t="shared" ca="1" si="48"/>
        <v>1.022261690525772E-2</v>
      </c>
      <c r="AX59" s="508">
        <f t="shared" ca="1" si="48"/>
        <v>1.022261690525772E-2</v>
      </c>
      <c r="AY59" s="508">
        <f t="shared" ca="1" si="48"/>
        <v>1.022261690525772E-2</v>
      </c>
      <c r="AZ59" s="508">
        <f t="shared" ca="1" si="48"/>
        <v>1.022261690525772E-2</v>
      </c>
      <c r="BA59" s="508">
        <f t="shared" ca="1" si="48"/>
        <v>1.022261690525772E-2</v>
      </c>
      <c r="BB59" s="508">
        <f t="shared" ca="1" si="48"/>
        <v>6.8168277193536575E-3</v>
      </c>
      <c r="BC59" s="508">
        <f t="shared" ca="1" si="48"/>
        <v>3.4147945087337206E-3</v>
      </c>
      <c r="BD59" s="508">
        <f t="shared" ca="1" si="48"/>
        <v>0</v>
      </c>
      <c r="BE59" s="508">
        <f t="shared" ca="1" si="48"/>
        <v>0</v>
      </c>
      <c r="BF59" s="508">
        <f t="shared" ca="1" si="48"/>
        <v>0</v>
      </c>
      <c r="BG59" s="508">
        <f t="shared" ca="1" si="48"/>
        <v>0</v>
      </c>
      <c r="BH59" s="508">
        <f t="shared" ca="1" si="48"/>
        <v>0</v>
      </c>
      <c r="BI59" s="508">
        <f t="shared" ca="1" si="48"/>
        <v>0</v>
      </c>
      <c r="BJ59" s="508">
        <f t="shared" ca="1" si="48"/>
        <v>0</v>
      </c>
      <c r="BK59" s="508">
        <f t="shared" ca="1" si="48"/>
        <v>0</v>
      </c>
      <c r="BL59" s="508">
        <f t="shared" ca="1" si="48"/>
        <v>0</v>
      </c>
      <c r="BM59" s="508">
        <f t="shared" ca="1" si="48"/>
        <v>0</v>
      </c>
      <c r="BN59" s="508"/>
      <c r="BO59" s="508"/>
      <c r="BP59" s="508">
        <f ca="1">IF($C$4=Year1,-PMT(Lookups!$E$17,25,NPV(Lookups!$E$17,AM59:BK59),0,1),IF($C$4=Year2,-PMT(Lookups!$F$17,25,NPV(Lookups!$F$17,AN59:BL59),0,1),IF($C$4=Year3,-PMT(Lookups!$G$17,25,NPV(Lookups!$G$17,AO59:BM59),0,1),-PMT(Lookups!$G$17,27,NPV(Lookups!$G$17,AM59:BM59),0,1))))</f>
        <v>1.6290404821261612E-2</v>
      </c>
      <c r="BS59" s="84" t="s">
        <v>233</v>
      </c>
      <c r="BT59" s="51" t="s">
        <v>17</v>
      </c>
    </row>
    <row r="60" spans="1:72" x14ac:dyDescent="0.25">
      <c r="B60" s="243" t="str">
        <f t="shared" ref="B60:D75" si="49">B59</f>
        <v>Residential</v>
      </c>
      <c r="C60" s="243" t="str">
        <f t="shared" si="49"/>
        <v>Rates</v>
      </c>
      <c r="D60" s="244" t="str">
        <f t="shared" si="49"/>
        <v>Change in Rates after DSM Scenario</v>
      </c>
      <c r="E60" s="84" t="s">
        <v>76</v>
      </c>
      <c r="F60" s="84" t="s">
        <v>16</v>
      </c>
      <c r="G60" s="224">
        <f ca="1">IFERROR(G57/G42-1,0)</f>
        <v>4.9411876295778701E-2</v>
      </c>
      <c r="H60" s="224">
        <f ca="1">IFERROR(H57/H42-1,0)</f>
        <v>5.3020270561216387E-2</v>
      </c>
      <c r="I60" s="224">
        <f t="shared" ref="I60:AF60" ca="1" si="50">IFERROR(I57/I42-1,0)</f>
        <v>5.6819428590413334E-2</v>
      </c>
      <c r="J60" s="224">
        <f t="shared" ca="1" si="50"/>
        <v>6.5219738682116279E-3</v>
      </c>
      <c r="K60" s="224">
        <f t="shared" ca="1" si="50"/>
        <v>6.5219738682116279E-3</v>
      </c>
      <c r="L60" s="224">
        <f t="shared" ca="1" si="50"/>
        <v>6.5219738682116279E-3</v>
      </c>
      <c r="M60" s="224">
        <f t="shared" ca="1" si="50"/>
        <v>6.5219738682116279E-3</v>
      </c>
      <c r="N60" s="224">
        <f t="shared" ca="1" si="50"/>
        <v>6.5219738682116279E-3</v>
      </c>
      <c r="O60" s="224">
        <f t="shared" ca="1" si="50"/>
        <v>6.5219738682116279E-3</v>
      </c>
      <c r="P60" s="224">
        <f t="shared" ca="1" si="50"/>
        <v>6.5219738682116279E-3</v>
      </c>
      <c r="Q60" s="224">
        <f t="shared" ca="1" si="50"/>
        <v>6.5219738682116279E-3</v>
      </c>
      <c r="R60" s="224">
        <f t="shared" ca="1" si="50"/>
        <v>6.5219738682116279E-3</v>
      </c>
      <c r="S60" s="224">
        <f t="shared" ca="1" si="50"/>
        <v>6.5219738682116279E-3</v>
      </c>
      <c r="T60" s="224">
        <f t="shared" ca="1" si="50"/>
        <v>6.5219738682116279E-3</v>
      </c>
      <c r="U60" s="224">
        <f t="shared" ca="1" si="50"/>
        <v>6.5219738682116279E-3</v>
      </c>
      <c r="V60" s="224">
        <f t="shared" ca="1" si="50"/>
        <v>4.3532298322559448E-3</v>
      </c>
      <c r="W60" s="224">
        <f t="shared" ca="1" si="50"/>
        <v>2.1827595182084547E-3</v>
      </c>
      <c r="X60" s="224">
        <f t="shared" ca="1" si="50"/>
        <v>0</v>
      </c>
      <c r="Y60" s="224">
        <f t="shared" ca="1" si="50"/>
        <v>0</v>
      </c>
      <c r="Z60" s="224">
        <f t="shared" ca="1" si="50"/>
        <v>0</v>
      </c>
      <c r="AA60" s="224">
        <f t="shared" ca="1" si="50"/>
        <v>0</v>
      </c>
      <c r="AB60" s="224">
        <f t="shared" ca="1" si="50"/>
        <v>0</v>
      </c>
      <c r="AC60" s="224">
        <f t="shared" ca="1" si="50"/>
        <v>0</v>
      </c>
      <c r="AD60" s="224">
        <f t="shared" ca="1" si="50"/>
        <v>0</v>
      </c>
      <c r="AE60" s="224">
        <f t="shared" ca="1" si="50"/>
        <v>0</v>
      </c>
      <c r="AF60" s="224">
        <f t="shared" ca="1" si="50"/>
        <v>0</v>
      </c>
      <c r="AG60" s="224">
        <f ca="1">IFERROR(AG57/AG42-1,0)</f>
        <v>0</v>
      </c>
      <c r="AH60" s="224"/>
      <c r="AI60" s="224"/>
      <c r="AJ60" s="224">
        <f ca="1">IFERROR(AJ57/AJ42-1,0)</f>
        <v>1.024114713435309E-2</v>
      </c>
      <c r="AK60" s="212"/>
      <c r="AL60" s="212"/>
      <c r="AM60" s="504">
        <f ca="1">IFERROR(AM57/AM42-1,0)</f>
        <v>5.9175794786496594E-2</v>
      </c>
      <c r="AN60" s="504">
        <f t="shared" ref="AN60:BM60" ca="1" si="51">IFERROR(AN57/AN42-1,0)</f>
        <v>6.3388829737163643E-2</v>
      </c>
      <c r="AO60" s="504">
        <f t="shared" ca="1" si="51"/>
        <v>6.7831911786400578E-2</v>
      </c>
      <c r="AP60" s="504">
        <f t="shared" ca="1" si="51"/>
        <v>7.4749661197586192E-3</v>
      </c>
      <c r="AQ60" s="504">
        <f t="shared" ca="1" si="51"/>
        <v>7.4749661197586192E-3</v>
      </c>
      <c r="AR60" s="504">
        <f t="shared" ca="1" si="51"/>
        <v>7.4749661197586192E-3</v>
      </c>
      <c r="AS60" s="504">
        <f t="shared" ca="1" si="51"/>
        <v>7.4749661197586192E-3</v>
      </c>
      <c r="AT60" s="504">
        <f t="shared" ca="1" si="51"/>
        <v>7.4749661197586192E-3</v>
      </c>
      <c r="AU60" s="504">
        <f t="shared" ca="1" si="51"/>
        <v>7.4749661197586192E-3</v>
      </c>
      <c r="AV60" s="504">
        <f t="shared" ca="1" si="51"/>
        <v>7.4749661197586192E-3</v>
      </c>
      <c r="AW60" s="504">
        <f t="shared" ca="1" si="51"/>
        <v>7.4749661197586192E-3</v>
      </c>
      <c r="AX60" s="504">
        <f t="shared" ca="1" si="51"/>
        <v>7.4749661197586192E-3</v>
      </c>
      <c r="AY60" s="504">
        <f t="shared" ca="1" si="51"/>
        <v>7.4749661197586192E-3</v>
      </c>
      <c r="AZ60" s="504">
        <f t="shared" ca="1" si="51"/>
        <v>7.4749661197586192E-3</v>
      </c>
      <c r="BA60" s="504">
        <f t="shared" ca="1" si="51"/>
        <v>7.4749661197586192E-3</v>
      </c>
      <c r="BB60" s="504">
        <f t="shared" ca="1" si="51"/>
        <v>4.9845902197696024E-3</v>
      </c>
      <c r="BC60" s="504">
        <f t="shared" ca="1" si="51"/>
        <v>2.4969607582177034E-3</v>
      </c>
      <c r="BD60" s="504">
        <f t="shared" ca="1" si="51"/>
        <v>0</v>
      </c>
      <c r="BE60" s="504">
        <f t="shared" ca="1" si="51"/>
        <v>0</v>
      </c>
      <c r="BF60" s="504">
        <f t="shared" ca="1" si="51"/>
        <v>0</v>
      </c>
      <c r="BG60" s="504">
        <f t="shared" ca="1" si="51"/>
        <v>0</v>
      </c>
      <c r="BH60" s="504">
        <f t="shared" ca="1" si="51"/>
        <v>0</v>
      </c>
      <c r="BI60" s="504">
        <f t="shared" ca="1" si="51"/>
        <v>0</v>
      </c>
      <c r="BJ60" s="504">
        <f t="shared" ca="1" si="51"/>
        <v>0</v>
      </c>
      <c r="BK60" s="504">
        <f t="shared" ca="1" si="51"/>
        <v>0</v>
      </c>
      <c r="BL60" s="504">
        <f t="shared" ca="1" si="51"/>
        <v>0</v>
      </c>
      <c r="BM60" s="504">
        <f t="shared" ca="1" si="51"/>
        <v>0</v>
      </c>
      <c r="BN60" s="504"/>
      <c r="BO60" s="504"/>
      <c r="BP60" s="504">
        <f ca="1">IFERROR(BP57/BP42-1,0)</f>
        <v>1.2080325668566427E-2</v>
      </c>
      <c r="BS60" s="84" t="s">
        <v>234</v>
      </c>
      <c r="BT60" s="51" t="s">
        <v>17</v>
      </c>
    </row>
    <row r="61" spans="1:72" x14ac:dyDescent="0.25">
      <c r="B61" s="243" t="str">
        <f t="shared" si="49"/>
        <v>Residential</v>
      </c>
      <c r="C61" s="243" t="str">
        <f t="shared" si="49"/>
        <v>Rates</v>
      </c>
      <c r="D61" s="85"/>
      <c r="E61" s="84" t="s">
        <v>17</v>
      </c>
      <c r="F61" s="84"/>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S61" s="84"/>
      <c r="BT61" s="51" t="s">
        <v>17</v>
      </c>
    </row>
    <row r="62" spans="1:72" s="5" customFormat="1" ht="15.75" x14ac:dyDescent="0.25">
      <c r="A62" s="52"/>
      <c r="B62" s="241" t="str">
        <f t="shared" si="49"/>
        <v>Residential</v>
      </c>
      <c r="C62" s="63" t="s">
        <v>51</v>
      </c>
      <c r="D62" s="61"/>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2"/>
      <c r="BO62" s="62"/>
      <c r="BP62" s="62"/>
      <c r="BS62" s="62"/>
      <c r="BT62" s="51" t="s">
        <v>17</v>
      </c>
    </row>
    <row r="63" spans="1:72" x14ac:dyDescent="0.25">
      <c r="B63" s="243" t="str">
        <f t="shared" si="49"/>
        <v>Residential</v>
      </c>
      <c r="C63" s="243" t="str">
        <f>C62</f>
        <v>Bills</v>
      </c>
      <c r="D63" s="114" t="str">
        <f>"Bills before DSM ("&amp;Lookups!$D$22&amp;" Scenario, Non-Participant)"</f>
        <v>Bills before DSM (No EE Scenario, Non-Participant)</v>
      </c>
      <c r="E63" s="86"/>
      <c r="F63" s="84"/>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S63" s="84"/>
      <c r="BT63" s="51" t="s">
        <v>17</v>
      </c>
    </row>
    <row r="64" spans="1:72" x14ac:dyDescent="0.25">
      <c r="B64" s="243" t="str">
        <f t="shared" si="49"/>
        <v>Residential</v>
      </c>
      <c r="C64" s="243" t="str">
        <f t="shared" si="49"/>
        <v>Bills</v>
      </c>
      <c r="D64" s="244" t="str">
        <f>D63</f>
        <v>Bills before DSM (No EE Scenario, Non-Participant)</v>
      </c>
      <c r="E64" s="86" t="s">
        <v>75</v>
      </c>
      <c r="F64" s="84" t="s">
        <v>31</v>
      </c>
      <c r="G64" s="659">
        <f>IF(G$8=0,0,INDEX('R&amp;B Inputs'!$H$45:$U$45,MATCH($B64,'R&amp;B Inputs'!$H$4:$U$4,0))*(1+INDEX('R&amp;B Inputs'!$H$46:$U$46,MATCH($B64,'R&amp;B Inputs'!$H$4:$U$4,0)))^(G$7-Year1)*12)</f>
        <v>182.39999999999998</v>
      </c>
      <c r="H64" s="659">
        <f>IF(H$8=0,0,INDEX('R&amp;B Inputs'!$H$45:$U$45,MATCH($B64,'R&amp;B Inputs'!$H$4:$U$4,0))*(1+INDEX('R&amp;B Inputs'!$H$46:$U$46,MATCH($B64,'R&amp;B Inputs'!$H$4:$U$4,0)))^(H$7-Year1)*12)</f>
        <v>182.39999999999998</v>
      </c>
      <c r="I64" s="659">
        <f>IF(I$8=0,0,INDEX('R&amp;B Inputs'!$H$45:$U$45,MATCH($B64,'R&amp;B Inputs'!$H$4:$U$4,0))*(1+INDEX('R&amp;B Inputs'!$H$46:$U$46,MATCH($B64,'R&amp;B Inputs'!$H$4:$U$4,0)))^(I$7-Year1)*12)</f>
        <v>182.39999999999998</v>
      </c>
      <c r="J64" s="659">
        <f>IF(J$8=0,0,INDEX('R&amp;B Inputs'!$H$45:$U$45,MATCH($B64,'R&amp;B Inputs'!$H$4:$U$4,0))*(1+INDEX('R&amp;B Inputs'!$H$46:$U$46,MATCH($B64,'R&amp;B Inputs'!$H$4:$U$4,0)))^(J$7-Year1)*12)</f>
        <v>182.39999999999998</v>
      </c>
      <c r="K64" s="659">
        <f>IF(K$8=0,0,INDEX('R&amp;B Inputs'!$H$45:$U$45,MATCH($B64,'R&amp;B Inputs'!$H$4:$U$4,0))*(1+INDEX('R&amp;B Inputs'!$H$46:$U$46,MATCH($B64,'R&amp;B Inputs'!$H$4:$U$4,0)))^(K$7-Year1)*12)</f>
        <v>182.39999999999998</v>
      </c>
      <c r="L64" s="659">
        <f>IF(L$8=0,0,INDEX('R&amp;B Inputs'!$H$45:$U$45,MATCH($B64,'R&amp;B Inputs'!$H$4:$U$4,0))*(1+INDEX('R&amp;B Inputs'!$H$46:$U$46,MATCH($B64,'R&amp;B Inputs'!$H$4:$U$4,0)))^(L$7-Year1)*12)</f>
        <v>182.39999999999998</v>
      </c>
      <c r="M64" s="659">
        <f>IF(M$8=0,0,INDEX('R&amp;B Inputs'!$H$45:$U$45,MATCH($B64,'R&amp;B Inputs'!$H$4:$U$4,0))*(1+INDEX('R&amp;B Inputs'!$H$46:$U$46,MATCH($B64,'R&amp;B Inputs'!$H$4:$U$4,0)))^(M$7-Year1)*12)</f>
        <v>182.39999999999998</v>
      </c>
      <c r="N64" s="659">
        <f>IF(N$8=0,0,INDEX('R&amp;B Inputs'!$H$45:$U$45,MATCH($B64,'R&amp;B Inputs'!$H$4:$U$4,0))*(1+INDEX('R&amp;B Inputs'!$H$46:$U$46,MATCH($B64,'R&amp;B Inputs'!$H$4:$U$4,0)))^(N$7-Year1)*12)</f>
        <v>182.39999999999998</v>
      </c>
      <c r="O64" s="659">
        <f>IF(O$8=0,0,INDEX('R&amp;B Inputs'!$H$45:$U$45,MATCH($B64,'R&amp;B Inputs'!$H$4:$U$4,0))*(1+INDEX('R&amp;B Inputs'!$H$46:$U$46,MATCH($B64,'R&amp;B Inputs'!$H$4:$U$4,0)))^(O$7-Year1)*12)</f>
        <v>182.39999999999998</v>
      </c>
      <c r="P64" s="659">
        <f>IF(P$8=0,0,INDEX('R&amp;B Inputs'!$H$45:$U$45,MATCH($B64,'R&amp;B Inputs'!$H$4:$U$4,0))*(1+INDEX('R&amp;B Inputs'!$H$46:$U$46,MATCH($B64,'R&amp;B Inputs'!$H$4:$U$4,0)))^(P$7-Year1)*12)</f>
        <v>182.39999999999998</v>
      </c>
      <c r="Q64" s="659">
        <f>IF(Q$8=0,0,INDEX('R&amp;B Inputs'!$H$45:$U$45,MATCH($B64,'R&amp;B Inputs'!$H$4:$U$4,0))*(1+INDEX('R&amp;B Inputs'!$H$46:$U$46,MATCH($B64,'R&amp;B Inputs'!$H$4:$U$4,0)))^(Q$7-Year1)*12)</f>
        <v>182.39999999999998</v>
      </c>
      <c r="R64" s="659">
        <f>IF(R$8=0,0,INDEX('R&amp;B Inputs'!$H$45:$U$45,MATCH($B64,'R&amp;B Inputs'!$H$4:$U$4,0))*(1+INDEX('R&amp;B Inputs'!$H$46:$U$46,MATCH($B64,'R&amp;B Inputs'!$H$4:$U$4,0)))^(R$7-Year1)*12)</f>
        <v>182.39999999999998</v>
      </c>
      <c r="S64" s="659">
        <f>IF(S$8=0,0,INDEX('R&amp;B Inputs'!$H$45:$U$45,MATCH($B64,'R&amp;B Inputs'!$H$4:$U$4,0))*(1+INDEX('R&amp;B Inputs'!$H$46:$U$46,MATCH($B64,'R&amp;B Inputs'!$H$4:$U$4,0)))^(S$7-Year1)*12)</f>
        <v>182.39999999999998</v>
      </c>
      <c r="T64" s="659">
        <f>IF(T$8=0,0,INDEX('R&amp;B Inputs'!$H$45:$U$45,MATCH($B64,'R&amp;B Inputs'!$H$4:$U$4,0))*(1+INDEX('R&amp;B Inputs'!$H$46:$U$46,MATCH($B64,'R&amp;B Inputs'!$H$4:$U$4,0)))^(T$7-Year1)*12)</f>
        <v>182.39999999999998</v>
      </c>
      <c r="U64" s="659">
        <f>IF(U$8=0,0,INDEX('R&amp;B Inputs'!$H$45:$U$45,MATCH($B64,'R&amp;B Inputs'!$H$4:$U$4,0))*(1+INDEX('R&amp;B Inputs'!$H$46:$U$46,MATCH($B64,'R&amp;B Inputs'!$H$4:$U$4,0)))^(U$7-Year1)*12)</f>
        <v>182.39999999999998</v>
      </c>
      <c r="V64" s="659">
        <f>IF(V$8=0,0,INDEX('R&amp;B Inputs'!$H$45:$U$45,MATCH($B64,'R&amp;B Inputs'!$H$4:$U$4,0))*(1+INDEX('R&amp;B Inputs'!$H$46:$U$46,MATCH($B64,'R&amp;B Inputs'!$H$4:$U$4,0)))^(V$7-Year1)*12)</f>
        <v>182.39999999999998</v>
      </c>
      <c r="W64" s="659">
        <f>IF(W$8=0,0,INDEX('R&amp;B Inputs'!$H$45:$U$45,MATCH($B64,'R&amp;B Inputs'!$H$4:$U$4,0))*(1+INDEX('R&amp;B Inputs'!$H$46:$U$46,MATCH($B64,'R&amp;B Inputs'!$H$4:$U$4,0)))^(W$7-Year1)*12)</f>
        <v>182.39999999999998</v>
      </c>
      <c r="X64" s="659">
        <f>IF(X$8=0,0,INDEX('R&amp;B Inputs'!$H$45:$U$45,MATCH($B64,'R&amp;B Inputs'!$H$4:$U$4,0))*(1+INDEX('R&amp;B Inputs'!$H$46:$U$46,MATCH($B64,'R&amp;B Inputs'!$H$4:$U$4,0)))^(X$7-Year1)*12)</f>
        <v>182.39999999999998</v>
      </c>
      <c r="Y64" s="659">
        <f>IF(Y$8=0,0,INDEX('R&amp;B Inputs'!$H$45:$U$45,MATCH($B64,'R&amp;B Inputs'!$H$4:$U$4,0))*(1+INDEX('R&amp;B Inputs'!$H$46:$U$46,MATCH($B64,'R&amp;B Inputs'!$H$4:$U$4,0)))^(Y$7-Year1)*12)</f>
        <v>182.39999999999998</v>
      </c>
      <c r="Z64" s="659">
        <f>IF(Z$8=0,0,INDEX('R&amp;B Inputs'!$H$45:$U$45,MATCH($B64,'R&amp;B Inputs'!$H$4:$U$4,0))*(1+INDEX('R&amp;B Inputs'!$H$46:$U$46,MATCH($B64,'R&amp;B Inputs'!$H$4:$U$4,0)))^(Z$7-Year1)*12)</f>
        <v>182.39999999999998</v>
      </c>
      <c r="AA64" s="659">
        <f>IF(AA$8=0,0,INDEX('R&amp;B Inputs'!$H$45:$U$45,MATCH($B64,'R&amp;B Inputs'!$H$4:$U$4,0))*(1+INDEX('R&amp;B Inputs'!$H$46:$U$46,MATCH($B64,'R&amp;B Inputs'!$H$4:$U$4,0)))^(AA$7-Year1)*12)</f>
        <v>182.39999999999998</v>
      </c>
      <c r="AB64" s="659">
        <f>IF(AB$8=0,0,INDEX('R&amp;B Inputs'!$H$45:$U$45,MATCH($B64,'R&amp;B Inputs'!$H$4:$U$4,0))*(1+INDEX('R&amp;B Inputs'!$H$46:$U$46,MATCH($B64,'R&amp;B Inputs'!$H$4:$U$4,0)))^(AB$7-Year1)*12)</f>
        <v>182.39999999999998</v>
      </c>
      <c r="AC64" s="659">
        <f>IF(AC$8=0,0,INDEX('R&amp;B Inputs'!$H$45:$U$45,MATCH($B64,'R&amp;B Inputs'!$H$4:$U$4,0))*(1+INDEX('R&amp;B Inputs'!$H$46:$U$46,MATCH($B64,'R&amp;B Inputs'!$H$4:$U$4,0)))^(AC$7-Year1)*12)</f>
        <v>182.39999999999998</v>
      </c>
      <c r="AD64" s="659">
        <f>IF(AD$8=0,0,INDEX('R&amp;B Inputs'!$H$45:$U$45,MATCH($B64,'R&amp;B Inputs'!$H$4:$U$4,0))*(1+INDEX('R&amp;B Inputs'!$H$46:$U$46,MATCH($B64,'R&amp;B Inputs'!$H$4:$U$4,0)))^(AD$7-Year1)*12)</f>
        <v>182.39999999999998</v>
      </c>
      <c r="AE64" s="659">
        <f>IF(AE$8=0,0,INDEX('R&amp;B Inputs'!$H$45:$U$45,MATCH($B64,'R&amp;B Inputs'!$H$4:$U$4,0))*(1+INDEX('R&amp;B Inputs'!$H$46:$U$46,MATCH($B64,'R&amp;B Inputs'!$H$4:$U$4,0)))^(AE$7-Year1)*12)</f>
        <v>182.39999999999998</v>
      </c>
      <c r="AF64" s="659">
        <f>IF(AF$8=0,0,INDEX('R&amp;B Inputs'!$H$45:$U$45,MATCH($B64,'R&amp;B Inputs'!$H$4:$U$4,0))*(1+INDEX('R&amp;B Inputs'!$H$46:$U$46,MATCH($B64,'R&amp;B Inputs'!$H$4:$U$4,0)))^(AF$7-Year1)*12)</f>
        <v>182.39999999999998</v>
      </c>
      <c r="AG64" s="659">
        <f>IF(AG$8=0,0,INDEX('R&amp;B Inputs'!$H$45:$U$45,MATCH($B64,'R&amp;B Inputs'!$H$4:$U$4,0))*(1+INDEX('R&amp;B Inputs'!$H$46:$U$46,MATCH($B64,'R&amp;B Inputs'!$H$4:$U$4,0)))^(AG$7-Year1)*12)</f>
        <v>182.39999999999998</v>
      </c>
      <c r="AH64" s="49"/>
      <c r="AI64" s="49"/>
      <c r="AJ64" s="720">
        <f>IF($C$4=Year1,-PMT(Lookups!$E$17,25,NPV(Lookups!$E$17,G64:AE64),0,1),IF($C$4=Year2,-PMT(Lookups!$F$17,25,NPV(Lookups!$F$17,H64:AF64),0,1),IF($C$4=Year3,-PMT(Lookups!$G$17,25,NPV(Lookups!$G$17,I64:AG64),0,1),-PMT(Lookups!$G$17,27,NPV(Lookups!$G$17,G64:AG64),0,1))))</f>
        <v>179.85611622276031</v>
      </c>
      <c r="AM64" s="705">
        <f>IF(AM$8=0,0,INDEX('R&amp;B Inputs'!$H$45:$U$45,MATCH($B64,'R&amp;B Inputs'!$H$4:$U$4,0))*(1+INDEX('R&amp;B Inputs'!$H$46:$U$46,MATCH($B64,'R&amp;B Inputs'!$H$4:$U$4,0)))^(AM$7-Year1)*12)</f>
        <v>182.39999999999998</v>
      </c>
      <c r="AN64" s="705">
        <f>IF(AN$8=0,0,INDEX('R&amp;B Inputs'!$H$45:$U$45,MATCH($B64,'R&amp;B Inputs'!$H$4:$U$4,0))*(1+INDEX('R&amp;B Inputs'!$H$46:$U$46,MATCH($B64,'R&amp;B Inputs'!$H$4:$U$4,0)))^(AN$7-Year1)*12)</f>
        <v>182.39999999999998</v>
      </c>
      <c r="AO64" s="705">
        <f>IF(AO$8=0,0,INDEX('R&amp;B Inputs'!$H$45:$U$45,MATCH($B64,'R&amp;B Inputs'!$H$4:$U$4,0))*(1+INDEX('R&amp;B Inputs'!$H$46:$U$46,MATCH($B64,'R&amp;B Inputs'!$H$4:$U$4,0)))^(AO$7-Year1)*12)</f>
        <v>182.39999999999998</v>
      </c>
      <c r="AP64" s="705">
        <f>IF(AP$8=0,0,INDEX('R&amp;B Inputs'!$H$45:$U$45,MATCH($B64,'R&amp;B Inputs'!$H$4:$U$4,0))*(1+INDEX('R&amp;B Inputs'!$H$46:$U$46,MATCH($B64,'R&amp;B Inputs'!$H$4:$U$4,0)))^(AP$7-Year1)*12)</f>
        <v>182.39999999999998</v>
      </c>
      <c r="AQ64" s="705">
        <f>IF(AQ$8=0,0,INDEX('R&amp;B Inputs'!$H$45:$U$45,MATCH($B64,'R&amp;B Inputs'!$H$4:$U$4,0))*(1+INDEX('R&amp;B Inputs'!$H$46:$U$46,MATCH($B64,'R&amp;B Inputs'!$H$4:$U$4,0)))^(AQ$7-Year1)*12)</f>
        <v>182.39999999999998</v>
      </c>
      <c r="AR64" s="705">
        <f>IF(AR$8=0,0,INDEX('R&amp;B Inputs'!$H$45:$U$45,MATCH($B64,'R&amp;B Inputs'!$H$4:$U$4,0))*(1+INDEX('R&amp;B Inputs'!$H$46:$U$46,MATCH($B64,'R&amp;B Inputs'!$H$4:$U$4,0)))^(AR$7-Year1)*12)</f>
        <v>182.39999999999998</v>
      </c>
      <c r="AS64" s="705">
        <f>IF(AS$8=0,0,INDEX('R&amp;B Inputs'!$H$45:$U$45,MATCH($B64,'R&amp;B Inputs'!$H$4:$U$4,0))*(1+INDEX('R&amp;B Inputs'!$H$46:$U$46,MATCH($B64,'R&amp;B Inputs'!$H$4:$U$4,0)))^(AS$7-Year1)*12)</f>
        <v>182.39999999999998</v>
      </c>
      <c r="AT64" s="705">
        <f>IF(AT$8=0,0,INDEX('R&amp;B Inputs'!$H$45:$U$45,MATCH($B64,'R&amp;B Inputs'!$H$4:$U$4,0))*(1+INDEX('R&amp;B Inputs'!$H$46:$U$46,MATCH($B64,'R&amp;B Inputs'!$H$4:$U$4,0)))^(AT$7-Year1)*12)</f>
        <v>182.39999999999998</v>
      </c>
      <c r="AU64" s="705">
        <f>IF(AU$8=0,0,INDEX('R&amp;B Inputs'!$H$45:$U$45,MATCH($B64,'R&amp;B Inputs'!$H$4:$U$4,0))*(1+INDEX('R&amp;B Inputs'!$H$46:$U$46,MATCH($B64,'R&amp;B Inputs'!$H$4:$U$4,0)))^(AU$7-Year1)*12)</f>
        <v>182.39999999999998</v>
      </c>
      <c r="AV64" s="705">
        <f>IF(AV$8=0,0,INDEX('R&amp;B Inputs'!$H$45:$U$45,MATCH($B64,'R&amp;B Inputs'!$H$4:$U$4,0))*(1+INDEX('R&amp;B Inputs'!$H$46:$U$46,MATCH($B64,'R&amp;B Inputs'!$H$4:$U$4,0)))^(AV$7-Year1)*12)</f>
        <v>182.39999999999998</v>
      </c>
      <c r="AW64" s="705">
        <f>IF(AW$8=0,0,INDEX('R&amp;B Inputs'!$H$45:$U$45,MATCH($B64,'R&amp;B Inputs'!$H$4:$U$4,0))*(1+INDEX('R&amp;B Inputs'!$H$46:$U$46,MATCH($B64,'R&amp;B Inputs'!$H$4:$U$4,0)))^(AW$7-Year1)*12)</f>
        <v>182.39999999999998</v>
      </c>
      <c r="AX64" s="705">
        <f>IF(AX$8=0,0,INDEX('R&amp;B Inputs'!$H$45:$U$45,MATCH($B64,'R&amp;B Inputs'!$H$4:$U$4,0))*(1+INDEX('R&amp;B Inputs'!$H$46:$U$46,MATCH($B64,'R&amp;B Inputs'!$H$4:$U$4,0)))^(AX$7-Year1)*12)</f>
        <v>182.39999999999998</v>
      </c>
      <c r="AY64" s="705">
        <f>IF(AY$8=0,0,INDEX('R&amp;B Inputs'!$H$45:$U$45,MATCH($B64,'R&amp;B Inputs'!$H$4:$U$4,0))*(1+INDEX('R&amp;B Inputs'!$H$46:$U$46,MATCH($B64,'R&amp;B Inputs'!$H$4:$U$4,0)))^(AY$7-Year1)*12)</f>
        <v>182.39999999999998</v>
      </c>
      <c r="AZ64" s="705">
        <f>IF(AZ$8=0,0,INDEX('R&amp;B Inputs'!$H$45:$U$45,MATCH($B64,'R&amp;B Inputs'!$H$4:$U$4,0))*(1+INDEX('R&amp;B Inputs'!$H$46:$U$46,MATCH($B64,'R&amp;B Inputs'!$H$4:$U$4,0)))^(AZ$7-Year1)*12)</f>
        <v>182.39999999999998</v>
      </c>
      <c r="BA64" s="705">
        <f>IF(BA$8=0,0,INDEX('R&amp;B Inputs'!$H$45:$U$45,MATCH($B64,'R&amp;B Inputs'!$H$4:$U$4,0))*(1+INDEX('R&amp;B Inputs'!$H$46:$U$46,MATCH($B64,'R&amp;B Inputs'!$H$4:$U$4,0)))^(BA$7-Year1)*12)</f>
        <v>182.39999999999998</v>
      </c>
      <c r="BB64" s="705">
        <f>IF(BB$8=0,0,INDEX('R&amp;B Inputs'!$H$45:$U$45,MATCH($B64,'R&amp;B Inputs'!$H$4:$U$4,0))*(1+INDEX('R&amp;B Inputs'!$H$46:$U$46,MATCH($B64,'R&amp;B Inputs'!$H$4:$U$4,0)))^(BB$7-Year1)*12)</f>
        <v>182.39999999999998</v>
      </c>
      <c r="BC64" s="705">
        <f>IF(BC$8=0,0,INDEX('R&amp;B Inputs'!$H$45:$U$45,MATCH($B64,'R&amp;B Inputs'!$H$4:$U$4,0))*(1+INDEX('R&amp;B Inputs'!$H$46:$U$46,MATCH($B64,'R&amp;B Inputs'!$H$4:$U$4,0)))^(BC$7-Year1)*12)</f>
        <v>182.39999999999998</v>
      </c>
      <c r="BD64" s="705">
        <f>IF(BD$8=0,0,INDEX('R&amp;B Inputs'!$H$45:$U$45,MATCH($B64,'R&amp;B Inputs'!$H$4:$U$4,0))*(1+INDEX('R&amp;B Inputs'!$H$46:$U$46,MATCH($B64,'R&amp;B Inputs'!$H$4:$U$4,0)))^(BD$7-Year1)*12)</f>
        <v>182.39999999999998</v>
      </c>
      <c r="BE64" s="705">
        <f>IF(BE$8=0,0,INDEX('R&amp;B Inputs'!$H$45:$U$45,MATCH($B64,'R&amp;B Inputs'!$H$4:$U$4,0))*(1+INDEX('R&amp;B Inputs'!$H$46:$U$46,MATCH($B64,'R&amp;B Inputs'!$H$4:$U$4,0)))^(BE$7-Year1)*12)</f>
        <v>182.39999999999998</v>
      </c>
      <c r="BF64" s="705">
        <f>IF(BF$8=0,0,INDEX('R&amp;B Inputs'!$H$45:$U$45,MATCH($B64,'R&amp;B Inputs'!$H$4:$U$4,0))*(1+INDEX('R&amp;B Inputs'!$H$46:$U$46,MATCH($B64,'R&amp;B Inputs'!$H$4:$U$4,0)))^(BF$7-Year1)*12)</f>
        <v>182.39999999999998</v>
      </c>
      <c r="BG64" s="705">
        <f>IF(BG$8=0,0,INDEX('R&amp;B Inputs'!$H$45:$U$45,MATCH($B64,'R&amp;B Inputs'!$H$4:$U$4,0))*(1+INDEX('R&amp;B Inputs'!$H$46:$U$46,MATCH($B64,'R&amp;B Inputs'!$H$4:$U$4,0)))^(BG$7-Year1)*12)</f>
        <v>182.39999999999998</v>
      </c>
      <c r="BH64" s="705">
        <f>IF(BH$8=0,0,INDEX('R&amp;B Inputs'!$H$45:$U$45,MATCH($B64,'R&amp;B Inputs'!$H$4:$U$4,0))*(1+INDEX('R&amp;B Inputs'!$H$46:$U$46,MATCH($B64,'R&amp;B Inputs'!$H$4:$U$4,0)))^(BH$7-Year1)*12)</f>
        <v>182.39999999999998</v>
      </c>
      <c r="BI64" s="705">
        <f>IF(BI$8=0,0,INDEX('R&amp;B Inputs'!$H$45:$U$45,MATCH($B64,'R&amp;B Inputs'!$H$4:$U$4,0))*(1+INDEX('R&amp;B Inputs'!$H$46:$U$46,MATCH($B64,'R&amp;B Inputs'!$H$4:$U$4,0)))^(BI$7-Year1)*12)</f>
        <v>182.39999999999998</v>
      </c>
      <c r="BJ64" s="705">
        <f>IF(BJ$8=0,0,INDEX('R&amp;B Inputs'!$H$45:$U$45,MATCH($B64,'R&amp;B Inputs'!$H$4:$U$4,0))*(1+INDEX('R&amp;B Inputs'!$H$46:$U$46,MATCH($B64,'R&amp;B Inputs'!$H$4:$U$4,0)))^(BJ$7-Year1)*12)</f>
        <v>182.39999999999998</v>
      </c>
      <c r="BK64" s="705">
        <f>IF(BK$8=0,0,INDEX('R&amp;B Inputs'!$H$45:$U$45,MATCH($B64,'R&amp;B Inputs'!$H$4:$U$4,0))*(1+INDEX('R&amp;B Inputs'!$H$46:$U$46,MATCH($B64,'R&amp;B Inputs'!$H$4:$U$4,0)))^(BK$7-Year1)*12)</f>
        <v>182.39999999999998</v>
      </c>
      <c r="BL64" s="705">
        <f>IF(BL$8=0,0,INDEX('R&amp;B Inputs'!$H$45:$U$45,MATCH($B64,'R&amp;B Inputs'!$H$4:$U$4,0))*(1+INDEX('R&amp;B Inputs'!$H$46:$U$46,MATCH($B64,'R&amp;B Inputs'!$H$4:$U$4,0)))^(BL$7-Year1)*12)</f>
        <v>182.39999999999998</v>
      </c>
      <c r="BM64" s="705">
        <f>IF(BM$8=0,0,INDEX('R&amp;B Inputs'!$H$45:$U$45,MATCH($B64,'R&amp;B Inputs'!$H$4:$U$4,0))*(1+INDEX('R&amp;B Inputs'!$H$46:$U$46,MATCH($B64,'R&amp;B Inputs'!$H$4:$U$4,0)))^(BM$7-Year1)*12)</f>
        <v>182.39999999999998</v>
      </c>
      <c r="BN64" s="74"/>
      <c r="BO64" s="74"/>
      <c r="BP64" s="149">
        <f>IF($C$4=Year1,-PMT(Lookups!$E$17,25,NPV(Lookups!$E$17,AM64:BK64),0,1),IF($C$4=Year2,-PMT(Lookups!$F$17,25,NPV(Lookups!$F$17,AN64:BL64),0,1),IF($C$4=Year3,-PMT(Lookups!$G$17,25,NPV(Lookups!$G$17,AO64:BM64),0,1),-PMT(Lookups!$G$17,27,NPV(Lookups!$G$17,AM64:BM64),0,1))))</f>
        <v>179.85611622276031</v>
      </c>
      <c r="BS64" s="84" t="str">
        <f t="shared" ref="BS64" si="52">E64&amp;" charge from the R&amp;B Inputs tab, escalated annually by the growth rate included on the R&amp;B Inputs tab."</f>
        <v>Customer Charge charge from the R&amp;B Inputs tab, escalated annually by the growth rate included on the R&amp;B Inputs tab.</v>
      </c>
      <c r="BT64" s="51" t="s">
        <v>17</v>
      </c>
    </row>
    <row r="65" spans="1:72" x14ac:dyDescent="0.25">
      <c r="B65" s="243" t="str">
        <f t="shared" si="49"/>
        <v>Residential</v>
      </c>
      <c r="C65" s="243" t="str">
        <f t="shared" si="49"/>
        <v>Bills</v>
      </c>
      <c r="D65" s="244" t="str">
        <f>D64</f>
        <v>Bills before DSM (No EE Scenario, Non-Participant)</v>
      </c>
      <c r="E65" s="84" t="s">
        <v>309</v>
      </c>
      <c r="F65" s="84" t="s">
        <v>195</v>
      </c>
      <c r="G65" s="64">
        <f>IF(G$8=0,0,INDEX('R&amp;B Inputs'!$I$27:$V$27,MATCH($B65,'R&amp;B Inputs'!$I$4:$V$4,0))+INDEX('R&amp;B Inputs'!$I$28:$V$28,MATCH($B65,'R&amp;B Inputs'!$I$4:$V$4,0)))</f>
        <v>666</v>
      </c>
      <c r="H65" s="64">
        <f>IF(H$8=0,0,INDEX('R&amp;B Inputs'!$I$27:$V$27,MATCH($B65,'R&amp;B Inputs'!$I$4:$V$4,0))+INDEX('R&amp;B Inputs'!$I$28:$V$28,MATCH($B65,'R&amp;B Inputs'!$I$4:$V$4,0)))</f>
        <v>666</v>
      </c>
      <c r="I65" s="64">
        <f>IF(I$8=0,0,INDEX('R&amp;B Inputs'!$I$27:$V$27,MATCH($B65,'R&amp;B Inputs'!$I$4:$V$4,0))+INDEX('R&amp;B Inputs'!$I$28:$V$28,MATCH($B65,'R&amp;B Inputs'!$I$4:$V$4,0)))</f>
        <v>666</v>
      </c>
      <c r="J65" s="64">
        <f>IF(J$8=0,0,INDEX('R&amp;B Inputs'!$I$27:$V$27,MATCH($B65,'R&amp;B Inputs'!$I$4:$V$4,0))+INDEX('R&amp;B Inputs'!$I$28:$V$28,MATCH($B65,'R&amp;B Inputs'!$I$4:$V$4,0)))</f>
        <v>666</v>
      </c>
      <c r="K65" s="64">
        <f>IF(K$8=0,0,INDEX('R&amp;B Inputs'!$I$27:$V$27,MATCH($B65,'R&amp;B Inputs'!$I$4:$V$4,0))+INDEX('R&amp;B Inputs'!$I$28:$V$28,MATCH($B65,'R&amp;B Inputs'!$I$4:$V$4,0)))</f>
        <v>666</v>
      </c>
      <c r="L65" s="64">
        <f>IF(L$8=0,0,INDEX('R&amp;B Inputs'!$I$27:$V$27,MATCH($B65,'R&amp;B Inputs'!$I$4:$V$4,0))+INDEX('R&amp;B Inputs'!$I$28:$V$28,MATCH($B65,'R&amp;B Inputs'!$I$4:$V$4,0)))</f>
        <v>666</v>
      </c>
      <c r="M65" s="64">
        <f>IF(M$8=0,0,INDEX('R&amp;B Inputs'!$I$27:$V$27,MATCH($B65,'R&amp;B Inputs'!$I$4:$V$4,0))+INDEX('R&amp;B Inputs'!$I$28:$V$28,MATCH($B65,'R&amp;B Inputs'!$I$4:$V$4,0)))</f>
        <v>666</v>
      </c>
      <c r="N65" s="64">
        <f>IF(N$8=0,0,INDEX('R&amp;B Inputs'!$I$27:$V$27,MATCH($B65,'R&amp;B Inputs'!$I$4:$V$4,0))+INDEX('R&amp;B Inputs'!$I$28:$V$28,MATCH($B65,'R&amp;B Inputs'!$I$4:$V$4,0)))</f>
        <v>666</v>
      </c>
      <c r="O65" s="64">
        <f>IF(O$8=0,0,INDEX('R&amp;B Inputs'!$I$27:$V$27,MATCH($B65,'R&amp;B Inputs'!$I$4:$V$4,0))+INDEX('R&amp;B Inputs'!$I$28:$V$28,MATCH($B65,'R&amp;B Inputs'!$I$4:$V$4,0)))</f>
        <v>666</v>
      </c>
      <c r="P65" s="64">
        <f>IF(P$8=0,0,INDEX('R&amp;B Inputs'!$I$27:$V$27,MATCH($B65,'R&amp;B Inputs'!$I$4:$V$4,0))+INDEX('R&amp;B Inputs'!$I$28:$V$28,MATCH($B65,'R&amp;B Inputs'!$I$4:$V$4,0)))</f>
        <v>666</v>
      </c>
      <c r="Q65" s="64">
        <f>IF(Q$8=0,0,INDEX('R&amp;B Inputs'!$I$27:$V$27,MATCH($B65,'R&amp;B Inputs'!$I$4:$V$4,0))+INDEX('R&amp;B Inputs'!$I$28:$V$28,MATCH($B65,'R&amp;B Inputs'!$I$4:$V$4,0)))</f>
        <v>666</v>
      </c>
      <c r="R65" s="64">
        <f>IF(R$8=0,0,INDEX('R&amp;B Inputs'!$I$27:$V$27,MATCH($B65,'R&amp;B Inputs'!$I$4:$V$4,0))+INDEX('R&amp;B Inputs'!$I$28:$V$28,MATCH($B65,'R&amp;B Inputs'!$I$4:$V$4,0)))</f>
        <v>666</v>
      </c>
      <c r="S65" s="64">
        <f>IF(S$8=0,0,INDEX('R&amp;B Inputs'!$I$27:$V$27,MATCH($B65,'R&amp;B Inputs'!$I$4:$V$4,0))+INDEX('R&amp;B Inputs'!$I$28:$V$28,MATCH($B65,'R&amp;B Inputs'!$I$4:$V$4,0)))</f>
        <v>666</v>
      </c>
      <c r="T65" s="64">
        <f>IF(T$8=0,0,INDEX('R&amp;B Inputs'!$I$27:$V$27,MATCH($B65,'R&amp;B Inputs'!$I$4:$V$4,0))+INDEX('R&amp;B Inputs'!$I$28:$V$28,MATCH($B65,'R&amp;B Inputs'!$I$4:$V$4,0)))</f>
        <v>666</v>
      </c>
      <c r="U65" s="64">
        <f>IF(U$8=0,0,INDEX('R&amp;B Inputs'!$I$27:$V$27,MATCH($B65,'R&amp;B Inputs'!$I$4:$V$4,0))+INDEX('R&amp;B Inputs'!$I$28:$V$28,MATCH($B65,'R&amp;B Inputs'!$I$4:$V$4,0)))</f>
        <v>666</v>
      </c>
      <c r="V65" s="64">
        <f>IF(V$8=0,0,INDEX('R&amp;B Inputs'!$I$27:$V$27,MATCH($B65,'R&amp;B Inputs'!$I$4:$V$4,0))+INDEX('R&amp;B Inputs'!$I$28:$V$28,MATCH($B65,'R&amp;B Inputs'!$I$4:$V$4,0)))</f>
        <v>666</v>
      </c>
      <c r="W65" s="64">
        <f>IF(W$8=0,0,INDEX('R&amp;B Inputs'!$I$27:$V$27,MATCH($B65,'R&amp;B Inputs'!$I$4:$V$4,0))+INDEX('R&amp;B Inputs'!$I$28:$V$28,MATCH($B65,'R&amp;B Inputs'!$I$4:$V$4,0)))</f>
        <v>666</v>
      </c>
      <c r="X65" s="64">
        <f>IF(X$8=0,0,INDEX('R&amp;B Inputs'!$I$27:$V$27,MATCH($B65,'R&amp;B Inputs'!$I$4:$V$4,0))+INDEX('R&amp;B Inputs'!$I$28:$V$28,MATCH($B65,'R&amp;B Inputs'!$I$4:$V$4,0)))</f>
        <v>666</v>
      </c>
      <c r="Y65" s="64">
        <f>IF(Y$8=0,0,INDEX('R&amp;B Inputs'!$I$27:$V$27,MATCH($B65,'R&amp;B Inputs'!$I$4:$V$4,0))+INDEX('R&amp;B Inputs'!$I$28:$V$28,MATCH($B65,'R&amp;B Inputs'!$I$4:$V$4,0)))</f>
        <v>666</v>
      </c>
      <c r="Z65" s="64">
        <f>IF(Z$8=0,0,INDEX('R&amp;B Inputs'!$I$27:$V$27,MATCH($B65,'R&amp;B Inputs'!$I$4:$V$4,0))+INDEX('R&amp;B Inputs'!$I$28:$V$28,MATCH($B65,'R&amp;B Inputs'!$I$4:$V$4,0)))</f>
        <v>666</v>
      </c>
      <c r="AA65" s="64">
        <f>IF(AA$8=0,0,INDEX('R&amp;B Inputs'!$I$27:$V$27,MATCH($B65,'R&amp;B Inputs'!$I$4:$V$4,0))+INDEX('R&amp;B Inputs'!$I$28:$V$28,MATCH($B65,'R&amp;B Inputs'!$I$4:$V$4,0)))</f>
        <v>666</v>
      </c>
      <c r="AB65" s="64">
        <f>IF(AB$8=0,0,INDEX('R&amp;B Inputs'!$I$27:$V$27,MATCH($B65,'R&amp;B Inputs'!$I$4:$V$4,0))+INDEX('R&amp;B Inputs'!$I$28:$V$28,MATCH($B65,'R&amp;B Inputs'!$I$4:$V$4,0)))</f>
        <v>666</v>
      </c>
      <c r="AC65" s="64">
        <f>IF(AC$8=0,0,INDEX('R&amp;B Inputs'!$I$27:$V$27,MATCH($B65,'R&amp;B Inputs'!$I$4:$V$4,0))+INDEX('R&amp;B Inputs'!$I$28:$V$28,MATCH($B65,'R&amp;B Inputs'!$I$4:$V$4,0)))</f>
        <v>666</v>
      </c>
      <c r="AD65" s="64">
        <f>IF(AD$8=0,0,INDEX('R&amp;B Inputs'!$I$27:$V$27,MATCH($B65,'R&amp;B Inputs'!$I$4:$V$4,0))+INDEX('R&amp;B Inputs'!$I$28:$V$28,MATCH($B65,'R&amp;B Inputs'!$I$4:$V$4,0)))</f>
        <v>666</v>
      </c>
      <c r="AE65" s="64">
        <f>IF(AE$8=0,0,INDEX('R&amp;B Inputs'!$I$27:$V$27,MATCH($B65,'R&amp;B Inputs'!$I$4:$V$4,0))+INDEX('R&amp;B Inputs'!$I$28:$V$28,MATCH($B65,'R&amp;B Inputs'!$I$4:$V$4,0)))</f>
        <v>666</v>
      </c>
      <c r="AF65" s="64">
        <f>IF(AF$8=0,0,INDEX('R&amp;B Inputs'!$I$27:$V$27,MATCH($B65,'R&amp;B Inputs'!$I$4:$V$4,0))+INDEX('R&amp;B Inputs'!$I$28:$V$28,MATCH($B65,'R&amp;B Inputs'!$I$4:$V$4,0)))</f>
        <v>666</v>
      </c>
      <c r="AG65" s="64">
        <f>IF(AG$8=0,0,INDEX('R&amp;B Inputs'!$I$27:$V$27,MATCH($B65,'R&amp;B Inputs'!$I$4:$V$4,0))+INDEX('R&amp;B Inputs'!$I$28:$V$28,MATCH($B65,'R&amp;B Inputs'!$I$4:$V$4,0)))</f>
        <v>666</v>
      </c>
      <c r="AH65" s="64"/>
      <c r="AI65" s="64"/>
      <c r="AJ65" s="720"/>
      <c r="AM65" s="71">
        <f>IF(AM$8=0,0,INDEX('R&amp;B Inputs'!$I$27:$V$27,MATCH($B65,'R&amp;B Inputs'!$I$4:$V$4,0))+INDEX('R&amp;B Inputs'!$I$28:$V$28,MATCH($B65,'R&amp;B Inputs'!$I$4:$V$4,0)))</f>
        <v>666</v>
      </c>
      <c r="AN65" s="71">
        <f>IF(AN$8=0,0,INDEX('R&amp;B Inputs'!$I$27:$V$27,MATCH($B65,'R&amp;B Inputs'!$I$4:$V$4,0))+INDEX('R&amp;B Inputs'!$I$28:$V$28,MATCH($B65,'R&amp;B Inputs'!$I$4:$V$4,0)))</f>
        <v>666</v>
      </c>
      <c r="AO65" s="71">
        <f>IF(AO$8=0,0,INDEX('R&amp;B Inputs'!$I$27:$V$27,MATCH($B65,'R&amp;B Inputs'!$I$4:$V$4,0))+INDEX('R&amp;B Inputs'!$I$28:$V$28,MATCH($B65,'R&amp;B Inputs'!$I$4:$V$4,0)))</f>
        <v>666</v>
      </c>
      <c r="AP65" s="71">
        <f>IF(AP$8=0,0,INDEX('R&amp;B Inputs'!$I$27:$V$27,MATCH($B65,'R&amp;B Inputs'!$I$4:$V$4,0))+INDEX('R&amp;B Inputs'!$I$28:$V$28,MATCH($B65,'R&amp;B Inputs'!$I$4:$V$4,0)))</f>
        <v>666</v>
      </c>
      <c r="AQ65" s="71">
        <f>IF(AQ$8=0,0,INDEX('R&amp;B Inputs'!$I$27:$V$27,MATCH($B65,'R&amp;B Inputs'!$I$4:$V$4,0))+INDEX('R&amp;B Inputs'!$I$28:$V$28,MATCH($B65,'R&amp;B Inputs'!$I$4:$V$4,0)))</f>
        <v>666</v>
      </c>
      <c r="AR65" s="71">
        <f>IF(AR$8=0,0,INDEX('R&amp;B Inputs'!$I$27:$V$27,MATCH($B65,'R&amp;B Inputs'!$I$4:$V$4,0))+INDEX('R&amp;B Inputs'!$I$28:$V$28,MATCH($B65,'R&amp;B Inputs'!$I$4:$V$4,0)))</f>
        <v>666</v>
      </c>
      <c r="AS65" s="71">
        <f>IF(AS$8=0,0,INDEX('R&amp;B Inputs'!$I$27:$V$27,MATCH($B65,'R&amp;B Inputs'!$I$4:$V$4,0))+INDEX('R&amp;B Inputs'!$I$28:$V$28,MATCH($B65,'R&amp;B Inputs'!$I$4:$V$4,0)))</f>
        <v>666</v>
      </c>
      <c r="AT65" s="71">
        <f>IF(AT$8=0,0,INDEX('R&amp;B Inputs'!$I$27:$V$27,MATCH($B65,'R&amp;B Inputs'!$I$4:$V$4,0))+INDEX('R&amp;B Inputs'!$I$28:$V$28,MATCH($B65,'R&amp;B Inputs'!$I$4:$V$4,0)))</f>
        <v>666</v>
      </c>
      <c r="AU65" s="71">
        <f>IF(AU$8=0,0,INDEX('R&amp;B Inputs'!$I$27:$V$27,MATCH($B65,'R&amp;B Inputs'!$I$4:$V$4,0))+INDEX('R&amp;B Inputs'!$I$28:$V$28,MATCH($B65,'R&amp;B Inputs'!$I$4:$V$4,0)))</f>
        <v>666</v>
      </c>
      <c r="AV65" s="71">
        <f>IF(AV$8=0,0,INDEX('R&amp;B Inputs'!$I$27:$V$27,MATCH($B65,'R&amp;B Inputs'!$I$4:$V$4,0))+INDEX('R&amp;B Inputs'!$I$28:$V$28,MATCH($B65,'R&amp;B Inputs'!$I$4:$V$4,0)))</f>
        <v>666</v>
      </c>
      <c r="AW65" s="71">
        <f>IF(AW$8=0,0,INDEX('R&amp;B Inputs'!$I$27:$V$27,MATCH($B65,'R&amp;B Inputs'!$I$4:$V$4,0))+INDEX('R&amp;B Inputs'!$I$28:$V$28,MATCH($B65,'R&amp;B Inputs'!$I$4:$V$4,0)))</f>
        <v>666</v>
      </c>
      <c r="AX65" s="71">
        <f>IF(AX$8=0,0,INDEX('R&amp;B Inputs'!$I$27:$V$27,MATCH($B65,'R&amp;B Inputs'!$I$4:$V$4,0))+INDEX('R&amp;B Inputs'!$I$28:$V$28,MATCH($B65,'R&amp;B Inputs'!$I$4:$V$4,0)))</f>
        <v>666</v>
      </c>
      <c r="AY65" s="71">
        <f>IF(AY$8=0,0,INDEX('R&amp;B Inputs'!$I$27:$V$27,MATCH($B65,'R&amp;B Inputs'!$I$4:$V$4,0))+INDEX('R&amp;B Inputs'!$I$28:$V$28,MATCH($B65,'R&amp;B Inputs'!$I$4:$V$4,0)))</f>
        <v>666</v>
      </c>
      <c r="AZ65" s="71">
        <f>IF(AZ$8=0,0,INDEX('R&amp;B Inputs'!$I$27:$V$27,MATCH($B65,'R&amp;B Inputs'!$I$4:$V$4,0))+INDEX('R&amp;B Inputs'!$I$28:$V$28,MATCH($B65,'R&amp;B Inputs'!$I$4:$V$4,0)))</f>
        <v>666</v>
      </c>
      <c r="BA65" s="71">
        <f>IF(BA$8=0,0,INDEX('R&amp;B Inputs'!$I$27:$V$27,MATCH($B65,'R&amp;B Inputs'!$I$4:$V$4,0))+INDEX('R&amp;B Inputs'!$I$28:$V$28,MATCH($B65,'R&amp;B Inputs'!$I$4:$V$4,0)))</f>
        <v>666</v>
      </c>
      <c r="BB65" s="71">
        <f>IF(BB$8=0,0,INDEX('R&amp;B Inputs'!$I$27:$V$27,MATCH($B65,'R&amp;B Inputs'!$I$4:$V$4,0))+INDEX('R&amp;B Inputs'!$I$28:$V$28,MATCH($B65,'R&amp;B Inputs'!$I$4:$V$4,0)))</f>
        <v>666</v>
      </c>
      <c r="BC65" s="71">
        <f>IF(BC$8=0,0,INDEX('R&amp;B Inputs'!$I$27:$V$27,MATCH($B65,'R&amp;B Inputs'!$I$4:$V$4,0))+INDEX('R&amp;B Inputs'!$I$28:$V$28,MATCH($B65,'R&amp;B Inputs'!$I$4:$V$4,0)))</f>
        <v>666</v>
      </c>
      <c r="BD65" s="71">
        <f>IF(BD$8=0,0,INDEX('R&amp;B Inputs'!$I$27:$V$27,MATCH($B65,'R&amp;B Inputs'!$I$4:$V$4,0))+INDEX('R&amp;B Inputs'!$I$28:$V$28,MATCH($B65,'R&amp;B Inputs'!$I$4:$V$4,0)))</f>
        <v>666</v>
      </c>
      <c r="BE65" s="71">
        <f>IF(BE$8=0,0,INDEX('R&amp;B Inputs'!$I$27:$V$27,MATCH($B65,'R&amp;B Inputs'!$I$4:$V$4,0))+INDEX('R&amp;B Inputs'!$I$28:$V$28,MATCH($B65,'R&amp;B Inputs'!$I$4:$V$4,0)))</f>
        <v>666</v>
      </c>
      <c r="BF65" s="71">
        <f>IF(BF$8=0,0,INDEX('R&amp;B Inputs'!$I$27:$V$27,MATCH($B65,'R&amp;B Inputs'!$I$4:$V$4,0))+INDEX('R&amp;B Inputs'!$I$28:$V$28,MATCH($B65,'R&amp;B Inputs'!$I$4:$V$4,0)))</f>
        <v>666</v>
      </c>
      <c r="BG65" s="71">
        <f>IF(BG$8=0,0,INDEX('R&amp;B Inputs'!$I$27:$V$27,MATCH($B65,'R&amp;B Inputs'!$I$4:$V$4,0))+INDEX('R&amp;B Inputs'!$I$28:$V$28,MATCH($B65,'R&amp;B Inputs'!$I$4:$V$4,0)))</f>
        <v>666</v>
      </c>
      <c r="BH65" s="71">
        <f>IF(BH$8=0,0,INDEX('R&amp;B Inputs'!$I$27:$V$27,MATCH($B65,'R&amp;B Inputs'!$I$4:$V$4,0))+INDEX('R&amp;B Inputs'!$I$28:$V$28,MATCH($B65,'R&amp;B Inputs'!$I$4:$V$4,0)))</f>
        <v>666</v>
      </c>
      <c r="BI65" s="71">
        <f>IF(BI$8=0,0,INDEX('R&amp;B Inputs'!$I$27:$V$27,MATCH($B65,'R&amp;B Inputs'!$I$4:$V$4,0))+INDEX('R&amp;B Inputs'!$I$28:$V$28,MATCH($B65,'R&amp;B Inputs'!$I$4:$V$4,0)))</f>
        <v>666</v>
      </c>
      <c r="BJ65" s="71">
        <f>IF(BJ$8=0,0,INDEX('R&amp;B Inputs'!$I$27:$V$27,MATCH($B65,'R&amp;B Inputs'!$I$4:$V$4,0))+INDEX('R&amp;B Inputs'!$I$28:$V$28,MATCH($B65,'R&amp;B Inputs'!$I$4:$V$4,0)))</f>
        <v>666</v>
      </c>
      <c r="BK65" s="71">
        <f>IF(BK$8=0,0,INDEX('R&amp;B Inputs'!$I$27:$V$27,MATCH($B65,'R&amp;B Inputs'!$I$4:$V$4,0))+INDEX('R&amp;B Inputs'!$I$28:$V$28,MATCH($B65,'R&amp;B Inputs'!$I$4:$V$4,0)))</f>
        <v>666</v>
      </c>
      <c r="BL65" s="71">
        <f>IF(BL$8=0,0,INDEX('R&amp;B Inputs'!$I$27:$V$27,MATCH($B65,'R&amp;B Inputs'!$I$4:$V$4,0))+INDEX('R&amp;B Inputs'!$I$28:$V$28,MATCH($B65,'R&amp;B Inputs'!$I$4:$V$4,0)))</f>
        <v>666</v>
      </c>
      <c r="BM65" s="71">
        <f>IF(BM$8=0,0,INDEX('R&amp;B Inputs'!$I$27:$V$27,MATCH($B65,'R&amp;B Inputs'!$I$4:$V$4,0))+INDEX('R&amp;B Inputs'!$I$28:$V$28,MATCH($B65,'R&amp;B Inputs'!$I$4:$V$4,0)))</f>
        <v>666</v>
      </c>
      <c r="BN65" s="71"/>
      <c r="BO65" s="71"/>
      <c r="BP65" s="149"/>
      <c r="BS65" s="76" t="s">
        <v>96</v>
      </c>
      <c r="BT65" s="51" t="s">
        <v>17</v>
      </c>
    </row>
    <row r="66" spans="1:72" x14ac:dyDescent="0.25">
      <c r="B66" s="243" t="str">
        <f t="shared" si="49"/>
        <v>Residential</v>
      </c>
      <c r="C66" s="243" t="str">
        <f t="shared" si="49"/>
        <v>Bills</v>
      </c>
      <c r="D66" s="244" t="str">
        <f>D65</f>
        <v>Bills before DSM (No EE Scenario, Non-Participant)</v>
      </c>
      <c r="E66" s="84" t="s">
        <v>77</v>
      </c>
      <c r="F66" s="84" t="s">
        <v>32</v>
      </c>
      <c r="G66" s="103">
        <f>G64+G65*(G42-G41)</f>
        <v>944.43719999999973</v>
      </c>
      <c r="H66" s="103">
        <f>H64+H65*(H42-H41)</f>
        <v>944.43719999999973</v>
      </c>
      <c r="I66" s="103">
        <f t="shared" ref="I66:AG66" si="53">I64+I65*(I42-I41)</f>
        <v>944.43719999999973</v>
      </c>
      <c r="J66" s="103">
        <f t="shared" si="53"/>
        <v>944.43719999999973</v>
      </c>
      <c r="K66" s="103">
        <f t="shared" si="53"/>
        <v>944.43719999999973</v>
      </c>
      <c r="L66" s="103">
        <f t="shared" si="53"/>
        <v>944.43719999999973</v>
      </c>
      <c r="M66" s="103">
        <f t="shared" si="53"/>
        <v>944.43719999999973</v>
      </c>
      <c r="N66" s="103">
        <f t="shared" si="53"/>
        <v>944.43719999999973</v>
      </c>
      <c r="O66" s="103">
        <f t="shared" si="53"/>
        <v>944.43719999999973</v>
      </c>
      <c r="P66" s="103">
        <f t="shared" si="53"/>
        <v>944.43719999999973</v>
      </c>
      <c r="Q66" s="103">
        <f t="shared" si="53"/>
        <v>944.43719999999973</v>
      </c>
      <c r="R66" s="103">
        <f t="shared" si="53"/>
        <v>944.43719999999973</v>
      </c>
      <c r="S66" s="103">
        <f t="shared" si="53"/>
        <v>944.43719999999973</v>
      </c>
      <c r="T66" s="103">
        <f t="shared" si="53"/>
        <v>944.43719999999973</v>
      </c>
      <c r="U66" s="103">
        <f t="shared" si="53"/>
        <v>944.43719999999973</v>
      </c>
      <c r="V66" s="103">
        <f t="shared" si="53"/>
        <v>944.43719999999973</v>
      </c>
      <c r="W66" s="103">
        <f t="shared" si="53"/>
        <v>944.43719999999973</v>
      </c>
      <c r="X66" s="103">
        <f t="shared" si="53"/>
        <v>944.43719999999973</v>
      </c>
      <c r="Y66" s="103">
        <f t="shared" si="53"/>
        <v>944.43719999999973</v>
      </c>
      <c r="Z66" s="103">
        <f t="shared" si="53"/>
        <v>944.43719999999973</v>
      </c>
      <c r="AA66" s="103">
        <f t="shared" si="53"/>
        <v>944.43719999999973</v>
      </c>
      <c r="AB66" s="103">
        <f t="shared" si="53"/>
        <v>944.43719999999973</v>
      </c>
      <c r="AC66" s="103">
        <f t="shared" si="53"/>
        <v>944.43719999999973</v>
      </c>
      <c r="AD66" s="103">
        <f t="shared" si="53"/>
        <v>944.43719999999973</v>
      </c>
      <c r="AE66" s="103">
        <f t="shared" si="53"/>
        <v>944.43719999999973</v>
      </c>
      <c r="AF66" s="103">
        <f t="shared" si="53"/>
        <v>944.43719999999973</v>
      </c>
      <c r="AG66" s="103">
        <f t="shared" si="53"/>
        <v>944.43719999999973</v>
      </c>
      <c r="AH66" s="103"/>
      <c r="AI66" s="103"/>
      <c r="AJ66" s="720">
        <f>IF($C$4=Year1,-PMT(Lookups!$E$17,25,NPV(Lookups!$E$17,G66:AE66),0,1),IF($C$4=Year2,-PMT(Lookups!$F$17,25,NPV(Lookups!$F$17,H66:AF66),0,1),IF($C$4=Year3,-PMT(Lookups!$G$17,25,NPV(Lookups!$G$17,I66:AG66),0,1),-PMT(Lookups!$G$17,27,NPV(Lookups!$G$17,G66:AG66),0,1))))</f>
        <v>931.26538820338953</v>
      </c>
      <c r="AM66" s="149">
        <f>AM64+AM65*(AM42-AM41)</f>
        <v>944.43719999999973</v>
      </c>
      <c r="AN66" s="149">
        <f>AN64+AN65*(AN42-AN41)</f>
        <v>944.43719999999973</v>
      </c>
      <c r="AO66" s="149">
        <f t="shared" ref="AO66:BM66" si="54">AO64+AO65*(AO42-AO41)</f>
        <v>944.43719999999973</v>
      </c>
      <c r="AP66" s="149">
        <f t="shared" si="54"/>
        <v>944.43719999999973</v>
      </c>
      <c r="AQ66" s="149">
        <f t="shared" si="54"/>
        <v>944.43719999999973</v>
      </c>
      <c r="AR66" s="149">
        <f t="shared" si="54"/>
        <v>944.43719999999973</v>
      </c>
      <c r="AS66" s="149">
        <f t="shared" si="54"/>
        <v>944.43719999999973</v>
      </c>
      <c r="AT66" s="149">
        <f t="shared" si="54"/>
        <v>944.43719999999973</v>
      </c>
      <c r="AU66" s="149">
        <f t="shared" si="54"/>
        <v>944.43719999999973</v>
      </c>
      <c r="AV66" s="149">
        <f t="shared" si="54"/>
        <v>944.43719999999973</v>
      </c>
      <c r="AW66" s="149">
        <f t="shared" si="54"/>
        <v>944.43719999999973</v>
      </c>
      <c r="AX66" s="149">
        <f t="shared" si="54"/>
        <v>944.43719999999973</v>
      </c>
      <c r="AY66" s="149">
        <f t="shared" si="54"/>
        <v>944.43719999999973</v>
      </c>
      <c r="AZ66" s="149">
        <f t="shared" si="54"/>
        <v>944.43719999999973</v>
      </c>
      <c r="BA66" s="149">
        <f t="shared" si="54"/>
        <v>944.43719999999973</v>
      </c>
      <c r="BB66" s="149">
        <f t="shared" si="54"/>
        <v>944.43719999999973</v>
      </c>
      <c r="BC66" s="149">
        <f t="shared" si="54"/>
        <v>944.43719999999973</v>
      </c>
      <c r="BD66" s="149">
        <f t="shared" si="54"/>
        <v>944.43719999999973</v>
      </c>
      <c r="BE66" s="149">
        <f t="shared" si="54"/>
        <v>944.43719999999973</v>
      </c>
      <c r="BF66" s="149">
        <f t="shared" si="54"/>
        <v>944.43719999999973</v>
      </c>
      <c r="BG66" s="149">
        <f t="shared" si="54"/>
        <v>944.43719999999973</v>
      </c>
      <c r="BH66" s="149">
        <f t="shared" si="54"/>
        <v>944.43719999999973</v>
      </c>
      <c r="BI66" s="149">
        <f t="shared" si="54"/>
        <v>944.43719999999973</v>
      </c>
      <c r="BJ66" s="149">
        <f t="shared" si="54"/>
        <v>944.43719999999973</v>
      </c>
      <c r="BK66" s="149">
        <f t="shared" si="54"/>
        <v>944.43719999999973</v>
      </c>
      <c r="BL66" s="149">
        <f t="shared" si="54"/>
        <v>944.43719999999973</v>
      </c>
      <c r="BM66" s="149">
        <f t="shared" si="54"/>
        <v>944.43719999999973</v>
      </c>
      <c r="BN66" s="149"/>
      <c r="BO66" s="149"/>
      <c r="BP66" s="149">
        <f>IF($C$4=Year1,-PMT(Lookups!$E$17,25,NPV(Lookups!$E$17,AM66:BK66),0,1),IF($C$4=Year2,-PMT(Lookups!$F$17,25,NPV(Lookups!$F$17,AN66:BL66),0,1),IF($C$4=Year3,-PMT(Lookups!$G$17,25,NPV(Lookups!$G$17,AO66:BM66),0,1),-PMT(Lookups!$G$17,27,NPV(Lookups!$G$17,AM66:BM66),0,1))))</f>
        <v>931.26538820338953</v>
      </c>
      <c r="BS66" s="84" t="s">
        <v>97</v>
      </c>
      <c r="BT66" s="51" t="s">
        <v>17</v>
      </c>
    </row>
    <row r="67" spans="1:72" x14ac:dyDescent="0.25">
      <c r="B67" s="243" t="str">
        <f t="shared" si="49"/>
        <v>Residential</v>
      </c>
      <c r="C67" s="243" t="str">
        <f t="shared" si="49"/>
        <v>Bills</v>
      </c>
      <c r="D67" s="114" t="s">
        <v>347</v>
      </c>
      <c r="E67" s="84"/>
      <c r="F67" s="84"/>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720"/>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S67" s="84"/>
      <c r="BT67" s="51" t="s">
        <v>17</v>
      </c>
    </row>
    <row r="68" spans="1:72" x14ac:dyDescent="0.25">
      <c r="B68" s="243" t="str">
        <f t="shared" si="49"/>
        <v>Residential</v>
      </c>
      <c r="C68" s="243" t="str">
        <f t="shared" si="49"/>
        <v>Bills</v>
      </c>
      <c r="D68" s="244" t="str">
        <f>D67</f>
        <v>Annual Savings from DSM Scenario</v>
      </c>
      <c r="E68" s="84" t="s">
        <v>78</v>
      </c>
      <c r="F68" s="84" t="s">
        <v>195</v>
      </c>
      <c r="G68" s="65">
        <f t="shared" ref="G68:AG68" ca="1" si="55">IFERROR(G16/G11,0)</f>
        <v>5.2381416880609697</v>
      </c>
      <c r="H68" s="65">
        <f t="shared" ca="1" si="55"/>
        <v>10.546825295720071</v>
      </c>
      <c r="I68" s="65">
        <f t="shared" ca="1" si="55"/>
        <v>15.955294094666277</v>
      </c>
      <c r="J68" s="65">
        <f t="shared" ca="1" si="55"/>
        <v>15.955294094666277</v>
      </c>
      <c r="K68" s="65">
        <f t="shared" ca="1" si="55"/>
        <v>15.955294094666277</v>
      </c>
      <c r="L68" s="65">
        <f t="shared" ca="1" si="55"/>
        <v>15.955294094666277</v>
      </c>
      <c r="M68" s="65">
        <f t="shared" ca="1" si="55"/>
        <v>15.955294094666277</v>
      </c>
      <c r="N68" s="65">
        <f t="shared" ca="1" si="55"/>
        <v>15.955294094666277</v>
      </c>
      <c r="O68" s="65">
        <f t="shared" ca="1" si="55"/>
        <v>15.955294094666277</v>
      </c>
      <c r="P68" s="65">
        <f t="shared" ca="1" si="55"/>
        <v>15.955294094666277</v>
      </c>
      <c r="Q68" s="65">
        <f t="shared" ca="1" si="55"/>
        <v>15.955294094666277</v>
      </c>
      <c r="R68" s="65">
        <f t="shared" ca="1" si="55"/>
        <v>15.955294094666277</v>
      </c>
      <c r="S68" s="65">
        <f t="shared" ca="1" si="55"/>
        <v>15.955294094666277</v>
      </c>
      <c r="T68" s="65">
        <f t="shared" ca="1" si="55"/>
        <v>15.955294094666277</v>
      </c>
      <c r="U68" s="65">
        <f t="shared" ca="1" si="55"/>
        <v>15.955294094666277</v>
      </c>
      <c r="V68" s="65">
        <f t="shared" ca="1" si="55"/>
        <v>10.71715240660531</v>
      </c>
      <c r="W68" s="65">
        <f t="shared" ca="1" si="55"/>
        <v>5.408468798946207</v>
      </c>
      <c r="X68" s="65">
        <f t="shared" ca="1" si="55"/>
        <v>0</v>
      </c>
      <c r="Y68" s="65">
        <f t="shared" ca="1" si="55"/>
        <v>0</v>
      </c>
      <c r="Z68" s="65">
        <f t="shared" ca="1" si="55"/>
        <v>0</v>
      </c>
      <c r="AA68" s="65">
        <f t="shared" ca="1" si="55"/>
        <v>0</v>
      </c>
      <c r="AB68" s="65">
        <f t="shared" ca="1" si="55"/>
        <v>0</v>
      </c>
      <c r="AC68" s="65">
        <f t="shared" ca="1" si="55"/>
        <v>0</v>
      </c>
      <c r="AD68" s="65">
        <f t="shared" ca="1" si="55"/>
        <v>0</v>
      </c>
      <c r="AE68" s="65">
        <f t="shared" ca="1" si="55"/>
        <v>0</v>
      </c>
      <c r="AF68" s="65">
        <f t="shared" ca="1" si="55"/>
        <v>0</v>
      </c>
      <c r="AG68" s="65">
        <f t="shared" ca="1" si="55"/>
        <v>0</v>
      </c>
      <c r="AH68" s="65"/>
      <c r="AI68" s="65"/>
      <c r="AJ68" s="720"/>
      <c r="AM68" s="645">
        <f ca="1">IFERROR(AM16/AM11,0)</f>
        <v>5.9864476434982512</v>
      </c>
      <c r="AN68" s="645">
        <f t="shared" ref="AN68:BM68" ca="1" si="56">IFERROR(AN16/AN11,0)</f>
        <v>12.05351462368008</v>
      </c>
      <c r="AO68" s="645">
        <f t="shared" ca="1" si="56"/>
        <v>18.234621822475749</v>
      </c>
      <c r="AP68" s="645">
        <f t="shared" ca="1" si="56"/>
        <v>18.234621822475749</v>
      </c>
      <c r="AQ68" s="645">
        <f t="shared" ca="1" si="56"/>
        <v>18.234621822475749</v>
      </c>
      <c r="AR68" s="645">
        <f t="shared" ca="1" si="56"/>
        <v>18.234621822475749</v>
      </c>
      <c r="AS68" s="645">
        <f t="shared" ca="1" si="56"/>
        <v>18.234621822475749</v>
      </c>
      <c r="AT68" s="645">
        <f t="shared" ca="1" si="56"/>
        <v>18.234621822475749</v>
      </c>
      <c r="AU68" s="645">
        <f t="shared" ca="1" si="56"/>
        <v>18.234621822475749</v>
      </c>
      <c r="AV68" s="645">
        <f t="shared" ca="1" si="56"/>
        <v>18.234621822475749</v>
      </c>
      <c r="AW68" s="645">
        <f t="shared" ca="1" si="56"/>
        <v>18.234621822475749</v>
      </c>
      <c r="AX68" s="645">
        <f t="shared" ca="1" si="56"/>
        <v>18.234621822475749</v>
      </c>
      <c r="AY68" s="645">
        <f t="shared" ca="1" si="56"/>
        <v>18.234621822475749</v>
      </c>
      <c r="AZ68" s="645">
        <f t="shared" ca="1" si="56"/>
        <v>18.234621822475749</v>
      </c>
      <c r="BA68" s="645">
        <f t="shared" ca="1" si="56"/>
        <v>18.234621822475749</v>
      </c>
      <c r="BB68" s="645">
        <f t="shared" ca="1" si="56"/>
        <v>12.248174178977495</v>
      </c>
      <c r="BC68" s="645">
        <f t="shared" ca="1" si="56"/>
        <v>6.1811071987956661</v>
      </c>
      <c r="BD68" s="645">
        <f t="shared" ca="1" si="56"/>
        <v>0</v>
      </c>
      <c r="BE68" s="645">
        <f t="shared" ca="1" si="56"/>
        <v>0</v>
      </c>
      <c r="BF68" s="645">
        <f t="shared" ca="1" si="56"/>
        <v>0</v>
      </c>
      <c r="BG68" s="645">
        <f t="shared" ca="1" si="56"/>
        <v>0</v>
      </c>
      <c r="BH68" s="645">
        <f t="shared" ca="1" si="56"/>
        <v>0</v>
      </c>
      <c r="BI68" s="645">
        <f t="shared" ca="1" si="56"/>
        <v>0</v>
      </c>
      <c r="BJ68" s="645">
        <f t="shared" ca="1" si="56"/>
        <v>0</v>
      </c>
      <c r="BK68" s="645">
        <f t="shared" ca="1" si="56"/>
        <v>0</v>
      </c>
      <c r="BL68" s="645">
        <f t="shared" ca="1" si="56"/>
        <v>0</v>
      </c>
      <c r="BM68" s="645">
        <f t="shared" ca="1" si="56"/>
        <v>0</v>
      </c>
      <c r="BN68" s="71"/>
      <c r="BO68" s="71"/>
      <c r="BP68" s="71"/>
      <c r="BS68" s="84" t="s">
        <v>104</v>
      </c>
      <c r="BT68" s="51" t="s">
        <v>17</v>
      </c>
    </row>
    <row r="69" spans="1:72" x14ac:dyDescent="0.25">
      <c r="A69" s="246"/>
      <c r="B69" s="243" t="str">
        <f t="shared" si="49"/>
        <v>Residential</v>
      </c>
      <c r="C69" s="243" t="str">
        <f t="shared" si="49"/>
        <v>Bills</v>
      </c>
      <c r="D69" s="244" t="str">
        <f>D68</f>
        <v>Annual Savings from DSM Scenario</v>
      </c>
      <c r="E69" s="84" t="str">
        <f>'EE Inputs'!$N$15&amp;" Participant"</f>
        <v>Low Savings Participant</v>
      </c>
      <c r="F69" s="84" t="s">
        <v>195</v>
      </c>
      <c r="G69" s="64" cm="1">
        <f t="array" aca="1" ref="G69" ca="1">IF($C$4=Lookups!$D$40,INDIRECT("'Yr1'!"&amp;ADDRESS(ROW(G69),COLUMN(G69))),
IF(G12=0,0,SUMIFS('EE Inputs'!$S$9:$S$32,'EE Inputs'!$C$9:$C$32,$G$6,'EE Inputs'!$D$9:$D$32,$C$4,'EE Inputs'!$E$9:$E$32,$B69)))</f>
        <v>6.66</v>
      </c>
      <c r="H69" s="64" cm="1">
        <f t="array" aca="1" ref="H69" ca="1">IF($C$4=Lookups!$D$40,INDIRECT("'Yr1'!"&amp;ADDRESS(ROW(H69),COLUMN(H69))),
IF(H12=0,0,SUMIFS('EE Inputs'!$S$9:$S$32,'EE Inputs'!$C$9:$C$32,$G$6,'EE Inputs'!$D$9:$D$32,$C$4,'EE Inputs'!$E$9:$E$32,$B69)))</f>
        <v>6.66</v>
      </c>
      <c r="I69" s="64" cm="1">
        <f t="array" aca="1" ref="I69" ca="1">IF($C$4=Lookups!$D$40,INDIRECT("'Yr1'!"&amp;ADDRESS(ROW(I69),COLUMN(I69))),
IF(I12=0,0,SUMIFS('EE Inputs'!$S$9:$S$32,'EE Inputs'!$C$9:$C$32,$G$6,'EE Inputs'!$D$9:$D$32,$C$4,'EE Inputs'!$E$9:$E$32,$B69)))</f>
        <v>6.66</v>
      </c>
      <c r="J69" s="64" cm="1">
        <f t="array" aca="1" ref="J69" ca="1">IF($C$4=Lookups!$D$40,INDIRECT("'Yr1'!"&amp;ADDRESS(ROW(J69),COLUMN(J69))),
IF(J12=0,0,SUMIFS('EE Inputs'!$S$9:$S$32,'EE Inputs'!$C$9:$C$32,$G$6,'EE Inputs'!$D$9:$D$32,$C$4,'EE Inputs'!$E$9:$E$32,$B69)))</f>
        <v>6.66</v>
      </c>
      <c r="K69" s="64" cm="1">
        <f t="array" aca="1" ref="K69" ca="1">IF($C$4=Lookups!$D$40,INDIRECT("'Yr1'!"&amp;ADDRESS(ROW(K69),COLUMN(K69))),
IF(K12=0,0,SUMIFS('EE Inputs'!$S$9:$S$32,'EE Inputs'!$C$9:$C$32,$G$6,'EE Inputs'!$D$9:$D$32,$C$4,'EE Inputs'!$E$9:$E$32,$B69)))</f>
        <v>6.66</v>
      </c>
      <c r="L69" s="64" cm="1">
        <f t="array" aca="1" ref="L69" ca="1">IF($C$4=Lookups!$D$40,INDIRECT("'Yr1'!"&amp;ADDRESS(ROW(L69),COLUMN(L69))),
IF(L12=0,0,SUMIFS('EE Inputs'!$S$9:$S$32,'EE Inputs'!$C$9:$C$32,$G$6,'EE Inputs'!$D$9:$D$32,$C$4,'EE Inputs'!$E$9:$E$32,$B69)))</f>
        <v>6.66</v>
      </c>
      <c r="M69" s="64" cm="1">
        <f t="array" aca="1" ref="M69" ca="1">IF($C$4=Lookups!$D$40,INDIRECT("'Yr1'!"&amp;ADDRESS(ROW(M69),COLUMN(M69))),
IF(M12=0,0,SUMIFS('EE Inputs'!$S$9:$S$32,'EE Inputs'!$C$9:$C$32,$G$6,'EE Inputs'!$D$9:$D$32,$C$4,'EE Inputs'!$E$9:$E$32,$B69)))</f>
        <v>6.66</v>
      </c>
      <c r="N69" s="64" cm="1">
        <f t="array" aca="1" ref="N69" ca="1">IF($C$4=Lookups!$D$40,INDIRECT("'Yr1'!"&amp;ADDRESS(ROW(N69),COLUMN(N69))),
IF(N12=0,0,SUMIFS('EE Inputs'!$S$9:$S$32,'EE Inputs'!$C$9:$C$32,$G$6,'EE Inputs'!$D$9:$D$32,$C$4,'EE Inputs'!$E$9:$E$32,$B69)))</f>
        <v>6.66</v>
      </c>
      <c r="O69" s="64" cm="1">
        <f t="array" aca="1" ref="O69" ca="1">IF($C$4=Lookups!$D$40,INDIRECT("'Yr1'!"&amp;ADDRESS(ROW(O69),COLUMN(O69))),
IF(O12=0,0,SUMIFS('EE Inputs'!$S$9:$S$32,'EE Inputs'!$C$9:$C$32,$G$6,'EE Inputs'!$D$9:$D$32,$C$4,'EE Inputs'!$E$9:$E$32,$B69)))</f>
        <v>6.66</v>
      </c>
      <c r="P69" s="64" cm="1">
        <f t="array" aca="1" ref="P69" ca="1">IF($C$4=Lookups!$D$40,INDIRECT("'Yr1'!"&amp;ADDRESS(ROW(P69),COLUMN(P69))),
IF(P12=0,0,SUMIFS('EE Inputs'!$S$9:$S$32,'EE Inputs'!$C$9:$C$32,$G$6,'EE Inputs'!$D$9:$D$32,$C$4,'EE Inputs'!$E$9:$E$32,$B69)))</f>
        <v>6.66</v>
      </c>
      <c r="Q69" s="64" cm="1">
        <f t="array" aca="1" ref="Q69" ca="1">IF($C$4=Lookups!$D$40,INDIRECT("'Yr1'!"&amp;ADDRESS(ROW(Q69),COLUMN(Q69))),
IF(Q12=0,0,SUMIFS('EE Inputs'!$S$9:$S$32,'EE Inputs'!$C$9:$C$32,$G$6,'EE Inputs'!$D$9:$D$32,$C$4,'EE Inputs'!$E$9:$E$32,$B69)))</f>
        <v>6.66</v>
      </c>
      <c r="R69" s="64" cm="1">
        <f t="array" aca="1" ref="R69" ca="1">IF($C$4=Lookups!$D$40,INDIRECT("'Yr1'!"&amp;ADDRESS(ROW(R69),COLUMN(R69))),
IF(R12=0,0,SUMIFS('EE Inputs'!$S$9:$S$32,'EE Inputs'!$C$9:$C$32,$G$6,'EE Inputs'!$D$9:$D$32,$C$4,'EE Inputs'!$E$9:$E$32,$B69)))</f>
        <v>6.66</v>
      </c>
      <c r="S69" s="64" cm="1">
        <f t="array" aca="1" ref="S69" ca="1">IF($C$4=Lookups!$D$40,INDIRECT("'Yr1'!"&amp;ADDRESS(ROW(S69),COLUMN(S69))),
IF(S12=0,0,SUMIFS('EE Inputs'!$S$9:$S$32,'EE Inputs'!$C$9:$C$32,$G$6,'EE Inputs'!$D$9:$D$32,$C$4,'EE Inputs'!$E$9:$E$32,$B69)))</f>
        <v>6.66</v>
      </c>
      <c r="T69" s="64" cm="1">
        <f t="array" aca="1" ref="T69" ca="1">IF($C$4=Lookups!$D$40,INDIRECT("'Yr1'!"&amp;ADDRESS(ROW(T69),COLUMN(T69))),
IF(T12=0,0,SUMIFS('EE Inputs'!$S$9:$S$32,'EE Inputs'!$C$9:$C$32,$G$6,'EE Inputs'!$D$9:$D$32,$C$4,'EE Inputs'!$E$9:$E$32,$B69)))</f>
        <v>6.66</v>
      </c>
      <c r="U69" s="64" cm="1">
        <f t="array" aca="1" ref="U69" ca="1">IF($C$4=Lookups!$D$40,INDIRECT("'Yr1'!"&amp;ADDRESS(ROW(U69),COLUMN(U69))),
IF(U12=0,0,SUMIFS('EE Inputs'!$S$9:$S$32,'EE Inputs'!$C$9:$C$32,$G$6,'EE Inputs'!$D$9:$D$32,$C$4,'EE Inputs'!$E$9:$E$32,$B69)))</f>
        <v>6.66</v>
      </c>
      <c r="V69" s="64" cm="1">
        <f t="array" aca="1" ref="V69" ca="1">IF($C$4=Lookups!$D$40,INDIRECT("'Yr1'!"&amp;ADDRESS(ROW(V69),COLUMN(V69))),
IF(V12=0,0,SUMIFS('EE Inputs'!$S$9:$S$32,'EE Inputs'!$C$9:$C$32,$G$6,'EE Inputs'!$D$9:$D$32,$C$4,'EE Inputs'!$E$9:$E$32,$B69)))</f>
        <v>0</v>
      </c>
      <c r="W69" s="64" cm="1">
        <f t="array" aca="1" ref="W69" ca="1">IF($C$4=Lookups!$D$40,INDIRECT("'Yr1'!"&amp;ADDRESS(ROW(W69),COLUMN(W69))),
IF(W12=0,0,SUMIFS('EE Inputs'!$S$9:$S$32,'EE Inputs'!$C$9:$C$32,$G$6,'EE Inputs'!$D$9:$D$32,$C$4,'EE Inputs'!$E$9:$E$32,$B69)))</f>
        <v>0</v>
      </c>
      <c r="X69" s="64" cm="1">
        <f t="array" aca="1" ref="X69" ca="1">IF($C$4=Lookups!$D$40,INDIRECT("'Yr1'!"&amp;ADDRESS(ROW(X69),COLUMN(X69))),
IF(X12=0,0,SUMIFS('EE Inputs'!$S$9:$S$32,'EE Inputs'!$C$9:$C$32,$G$6,'EE Inputs'!$D$9:$D$32,$C$4,'EE Inputs'!$E$9:$E$32,$B69)))</f>
        <v>0</v>
      </c>
      <c r="Y69" s="64" cm="1">
        <f t="array" aca="1" ref="Y69" ca="1">IF($C$4=Lookups!$D$40,INDIRECT("'Yr1'!"&amp;ADDRESS(ROW(Y69),COLUMN(Y69))),
IF(Y12=0,0,SUMIFS('EE Inputs'!$S$9:$S$32,'EE Inputs'!$C$9:$C$32,$G$6,'EE Inputs'!$D$9:$D$32,$C$4,'EE Inputs'!$E$9:$E$32,$B69)))</f>
        <v>0</v>
      </c>
      <c r="Z69" s="64" cm="1">
        <f t="array" aca="1" ref="Z69" ca="1">IF($C$4=Lookups!$D$40,INDIRECT("'Yr1'!"&amp;ADDRESS(ROW(Z69),COLUMN(Z69))),
IF(Z12=0,0,SUMIFS('EE Inputs'!$S$9:$S$32,'EE Inputs'!$C$9:$C$32,$G$6,'EE Inputs'!$D$9:$D$32,$C$4,'EE Inputs'!$E$9:$E$32,$B69)))</f>
        <v>0</v>
      </c>
      <c r="AA69" s="64" cm="1">
        <f t="array" aca="1" ref="AA69" ca="1">IF($C$4=Lookups!$D$40,INDIRECT("'Yr1'!"&amp;ADDRESS(ROW(AA69),COLUMN(AA69))),
IF(AA12=0,0,SUMIFS('EE Inputs'!$S$9:$S$32,'EE Inputs'!$C$9:$C$32,$G$6,'EE Inputs'!$D$9:$D$32,$C$4,'EE Inputs'!$E$9:$E$32,$B69)))</f>
        <v>0</v>
      </c>
      <c r="AB69" s="64" cm="1">
        <f t="array" aca="1" ref="AB69" ca="1">IF($C$4=Lookups!$D$40,INDIRECT("'Yr1'!"&amp;ADDRESS(ROW(AB69),COLUMN(AB69))),
IF(AB12=0,0,SUMIFS('EE Inputs'!$S$9:$S$32,'EE Inputs'!$C$9:$C$32,$G$6,'EE Inputs'!$D$9:$D$32,$C$4,'EE Inputs'!$E$9:$E$32,$B69)))</f>
        <v>0</v>
      </c>
      <c r="AC69" s="64" cm="1">
        <f t="array" aca="1" ref="AC69" ca="1">IF($C$4=Lookups!$D$40,INDIRECT("'Yr1'!"&amp;ADDRESS(ROW(AC69),COLUMN(AC69))),
IF(AC12=0,0,SUMIFS('EE Inputs'!$S$9:$S$32,'EE Inputs'!$C$9:$C$32,$G$6,'EE Inputs'!$D$9:$D$32,$C$4,'EE Inputs'!$E$9:$E$32,$B69)))</f>
        <v>0</v>
      </c>
      <c r="AD69" s="64" cm="1">
        <f t="array" aca="1" ref="AD69" ca="1">IF($C$4=Lookups!$D$40,INDIRECT("'Yr1'!"&amp;ADDRESS(ROW(AD69),COLUMN(AD69))),
IF(AD12=0,0,SUMIFS('EE Inputs'!$S$9:$S$32,'EE Inputs'!$C$9:$C$32,$G$6,'EE Inputs'!$D$9:$D$32,$C$4,'EE Inputs'!$E$9:$E$32,$B69)))</f>
        <v>0</v>
      </c>
      <c r="AE69" s="64" cm="1">
        <f t="array" aca="1" ref="AE69" ca="1">IF($C$4=Lookups!$D$40,INDIRECT("'Yr1'!"&amp;ADDRESS(ROW(AE69),COLUMN(AE69))),
IF(AE12=0,0,SUMIFS('EE Inputs'!$S$9:$S$32,'EE Inputs'!$C$9:$C$32,$G$6,'EE Inputs'!$D$9:$D$32,$C$4,'EE Inputs'!$E$9:$E$32,$B69)))</f>
        <v>0</v>
      </c>
      <c r="AF69" s="64" cm="1">
        <f t="array" aca="1" ref="AF69" ca="1">IF($C$4=Lookups!$D$40,INDIRECT("'Yr1'!"&amp;ADDRESS(ROW(AF69),COLUMN(AF69))),
IF(AF12=0,0,SUMIFS('EE Inputs'!$S$9:$S$32,'EE Inputs'!$C$9:$C$32,$G$6,'EE Inputs'!$D$9:$D$32,$C$4,'EE Inputs'!$E$9:$E$32,$B69)))</f>
        <v>0</v>
      </c>
      <c r="AG69" s="64" cm="1">
        <f t="array" aca="1" ref="AG69" ca="1">IF($C$4=Lookups!$D$40,INDIRECT("'Yr1'!"&amp;ADDRESS(ROW(AG69),COLUMN(AG69))),
IF(AG12=0,0,SUMIFS('EE Inputs'!$S$9:$S$32,'EE Inputs'!$C$9:$C$32,$G$6,'EE Inputs'!$D$9:$D$32,$C$4,'EE Inputs'!$E$9:$E$32,$B69)))</f>
        <v>0</v>
      </c>
      <c r="AH69" s="64"/>
      <c r="AI69" s="64"/>
      <c r="AJ69" s="720"/>
      <c r="AM69" s="645" cm="1">
        <f t="array" aca="1" ref="AM69" ca="1">IF($C$4=Lookups!$D$40,INDIRECT("'Yr1'!"&amp;ADDRESS(ROW(AM69),COLUMN(AM69))),
IF(AM12=0,0,SUMIFS('EE Inputs'!$S$9:$S$32,'EE Inputs'!$C$9:$C$32,$AM$6,'EE Inputs'!$D$9:$D$32,$C$4,'EE Inputs'!$E$9:$E$32,$B69)))</f>
        <v>7.992</v>
      </c>
      <c r="AN69" s="645" cm="1">
        <f t="array" aca="1" ref="AN69" ca="1">IF($C$4=Lookups!$D$40,INDIRECT("'Yr1'!"&amp;ADDRESS(ROW(AN69),COLUMN(AN69))),
IF(AN12=0,0,SUMIFS('EE Inputs'!$S$9:$S$32,'EE Inputs'!$C$9:$C$32,$AM$6,'EE Inputs'!$D$9:$D$32,$C$4,'EE Inputs'!$E$9:$E$32,$B69)))</f>
        <v>7.992</v>
      </c>
      <c r="AO69" s="645" cm="1">
        <f t="array" aca="1" ref="AO69" ca="1">IF($C$4=Lookups!$D$40,INDIRECT("'Yr1'!"&amp;ADDRESS(ROW(AO69),COLUMN(AO69))),
IF(AO12=0,0,SUMIFS('EE Inputs'!$S$9:$S$32,'EE Inputs'!$C$9:$C$32,$AM$6,'EE Inputs'!$D$9:$D$32,$C$4,'EE Inputs'!$E$9:$E$32,$B69)))</f>
        <v>7.992</v>
      </c>
      <c r="AP69" s="645" cm="1">
        <f t="array" aca="1" ref="AP69" ca="1">IF($C$4=Lookups!$D$40,INDIRECT("'Yr1'!"&amp;ADDRESS(ROW(AP69),COLUMN(AP69))),
IF(AP12=0,0,SUMIFS('EE Inputs'!$S$9:$S$32,'EE Inputs'!$C$9:$C$32,$AM$6,'EE Inputs'!$D$9:$D$32,$C$4,'EE Inputs'!$E$9:$E$32,$B69)))</f>
        <v>7.992</v>
      </c>
      <c r="AQ69" s="645" cm="1">
        <f t="array" aca="1" ref="AQ69" ca="1">IF($C$4=Lookups!$D$40,INDIRECT("'Yr1'!"&amp;ADDRESS(ROW(AQ69),COLUMN(AQ69))),
IF(AQ12=0,0,SUMIFS('EE Inputs'!$S$9:$S$32,'EE Inputs'!$C$9:$C$32,$AM$6,'EE Inputs'!$D$9:$D$32,$C$4,'EE Inputs'!$E$9:$E$32,$B69)))</f>
        <v>7.992</v>
      </c>
      <c r="AR69" s="645" cm="1">
        <f t="array" aca="1" ref="AR69" ca="1">IF($C$4=Lookups!$D$40,INDIRECT("'Yr1'!"&amp;ADDRESS(ROW(AR69),COLUMN(AR69))),
IF(AR12=0,0,SUMIFS('EE Inputs'!$S$9:$S$32,'EE Inputs'!$C$9:$C$32,$AM$6,'EE Inputs'!$D$9:$D$32,$C$4,'EE Inputs'!$E$9:$E$32,$B69)))</f>
        <v>7.992</v>
      </c>
      <c r="AS69" s="645" cm="1">
        <f t="array" aca="1" ref="AS69" ca="1">IF($C$4=Lookups!$D$40,INDIRECT("'Yr1'!"&amp;ADDRESS(ROW(AS69),COLUMN(AS69))),
IF(AS12=0,0,SUMIFS('EE Inputs'!$S$9:$S$32,'EE Inputs'!$C$9:$C$32,$AM$6,'EE Inputs'!$D$9:$D$32,$C$4,'EE Inputs'!$E$9:$E$32,$B69)))</f>
        <v>7.992</v>
      </c>
      <c r="AT69" s="645" cm="1">
        <f t="array" aca="1" ref="AT69" ca="1">IF($C$4=Lookups!$D$40,INDIRECT("'Yr1'!"&amp;ADDRESS(ROW(AT69),COLUMN(AT69))),
IF(AT12=0,0,SUMIFS('EE Inputs'!$S$9:$S$32,'EE Inputs'!$C$9:$C$32,$AM$6,'EE Inputs'!$D$9:$D$32,$C$4,'EE Inputs'!$E$9:$E$32,$B69)))</f>
        <v>7.992</v>
      </c>
      <c r="AU69" s="645" cm="1">
        <f t="array" aca="1" ref="AU69" ca="1">IF($C$4=Lookups!$D$40,INDIRECT("'Yr1'!"&amp;ADDRESS(ROW(AU69),COLUMN(AU69))),
IF(AU12=0,0,SUMIFS('EE Inputs'!$S$9:$S$32,'EE Inputs'!$C$9:$C$32,$AM$6,'EE Inputs'!$D$9:$D$32,$C$4,'EE Inputs'!$E$9:$E$32,$B69)))</f>
        <v>7.992</v>
      </c>
      <c r="AV69" s="645" cm="1">
        <f t="array" aca="1" ref="AV69" ca="1">IF($C$4=Lookups!$D$40,INDIRECT("'Yr1'!"&amp;ADDRESS(ROW(AV69),COLUMN(AV69))),
IF(AV12=0,0,SUMIFS('EE Inputs'!$S$9:$S$32,'EE Inputs'!$C$9:$C$32,$AM$6,'EE Inputs'!$D$9:$D$32,$C$4,'EE Inputs'!$E$9:$E$32,$B69)))</f>
        <v>7.992</v>
      </c>
      <c r="AW69" s="645" cm="1">
        <f t="array" aca="1" ref="AW69" ca="1">IF($C$4=Lookups!$D$40,INDIRECT("'Yr1'!"&amp;ADDRESS(ROW(AW69),COLUMN(AW69))),
IF(AW12=0,0,SUMIFS('EE Inputs'!$S$9:$S$32,'EE Inputs'!$C$9:$C$32,$AM$6,'EE Inputs'!$D$9:$D$32,$C$4,'EE Inputs'!$E$9:$E$32,$B69)))</f>
        <v>7.992</v>
      </c>
      <c r="AX69" s="645" cm="1">
        <f t="array" aca="1" ref="AX69" ca="1">IF($C$4=Lookups!$D$40,INDIRECT("'Yr1'!"&amp;ADDRESS(ROW(AX69),COLUMN(AX69))),
IF(AX12=0,0,SUMIFS('EE Inputs'!$S$9:$S$32,'EE Inputs'!$C$9:$C$32,$AM$6,'EE Inputs'!$D$9:$D$32,$C$4,'EE Inputs'!$E$9:$E$32,$B69)))</f>
        <v>7.992</v>
      </c>
      <c r="AY69" s="645" cm="1">
        <f t="array" aca="1" ref="AY69" ca="1">IF($C$4=Lookups!$D$40,INDIRECT("'Yr1'!"&amp;ADDRESS(ROW(AY69),COLUMN(AY69))),
IF(AY12=0,0,SUMIFS('EE Inputs'!$S$9:$S$32,'EE Inputs'!$C$9:$C$32,$AM$6,'EE Inputs'!$D$9:$D$32,$C$4,'EE Inputs'!$E$9:$E$32,$B69)))</f>
        <v>7.992</v>
      </c>
      <c r="AZ69" s="645" cm="1">
        <f t="array" aca="1" ref="AZ69" ca="1">IF($C$4=Lookups!$D$40,INDIRECT("'Yr1'!"&amp;ADDRESS(ROW(AZ69),COLUMN(AZ69))),
IF(AZ12=0,0,SUMIFS('EE Inputs'!$S$9:$S$32,'EE Inputs'!$C$9:$C$32,$AM$6,'EE Inputs'!$D$9:$D$32,$C$4,'EE Inputs'!$E$9:$E$32,$B69)))</f>
        <v>7.992</v>
      </c>
      <c r="BA69" s="645" cm="1">
        <f t="array" aca="1" ref="BA69" ca="1">IF($C$4=Lookups!$D$40,INDIRECT("'Yr1'!"&amp;ADDRESS(ROW(BA69),COLUMN(BA69))),
IF(BA12=0,0,SUMIFS('EE Inputs'!$S$9:$S$32,'EE Inputs'!$C$9:$C$32,$AM$6,'EE Inputs'!$D$9:$D$32,$C$4,'EE Inputs'!$E$9:$E$32,$B69)))</f>
        <v>7.992</v>
      </c>
      <c r="BB69" s="645" cm="1">
        <f t="array" aca="1" ref="BB69" ca="1">IF($C$4=Lookups!$D$40,INDIRECT("'Yr1'!"&amp;ADDRESS(ROW(BB69),COLUMN(BB69))),
IF(BB12=0,0,SUMIFS('EE Inputs'!$S$9:$S$32,'EE Inputs'!$C$9:$C$32,$AM$6,'EE Inputs'!$D$9:$D$32,$C$4,'EE Inputs'!$E$9:$E$32,$B69)))</f>
        <v>0</v>
      </c>
      <c r="BC69" s="645" cm="1">
        <f t="array" aca="1" ref="BC69" ca="1">IF($C$4=Lookups!$D$40,INDIRECT("'Yr1'!"&amp;ADDRESS(ROW(BC69),COLUMN(BC69))),
IF(BC12=0,0,SUMIFS('EE Inputs'!$S$9:$S$32,'EE Inputs'!$C$9:$C$32,$AM$6,'EE Inputs'!$D$9:$D$32,$C$4,'EE Inputs'!$E$9:$E$32,$B69)))</f>
        <v>0</v>
      </c>
      <c r="BD69" s="645" cm="1">
        <f t="array" aca="1" ref="BD69" ca="1">IF($C$4=Lookups!$D$40,INDIRECT("'Yr1'!"&amp;ADDRESS(ROW(BD69),COLUMN(BD69))),
IF(BD12=0,0,SUMIFS('EE Inputs'!$S$9:$S$32,'EE Inputs'!$C$9:$C$32,$AM$6,'EE Inputs'!$D$9:$D$32,$C$4,'EE Inputs'!$E$9:$E$32,$B69)))</f>
        <v>0</v>
      </c>
      <c r="BE69" s="645" cm="1">
        <f t="array" aca="1" ref="BE69" ca="1">IF($C$4=Lookups!$D$40,INDIRECT("'Yr1'!"&amp;ADDRESS(ROW(BE69),COLUMN(BE69))),
IF(BE12=0,0,SUMIFS('EE Inputs'!$S$9:$S$32,'EE Inputs'!$C$9:$C$32,$AM$6,'EE Inputs'!$D$9:$D$32,$C$4,'EE Inputs'!$E$9:$E$32,$B69)))</f>
        <v>0</v>
      </c>
      <c r="BF69" s="645" cm="1">
        <f t="array" aca="1" ref="BF69" ca="1">IF($C$4=Lookups!$D$40,INDIRECT("'Yr1'!"&amp;ADDRESS(ROW(BF69),COLUMN(BF69))),
IF(BF12=0,0,SUMIFS('EE Inputs'!$S$9:$S$32,'EE Inputs'!$C$9:$C$32,$AM$6,'EE Inputs'!$D$9:$D$32,$C$4,'EE Inputs'!$E$9:$E$32,$B69)))</f>
        <v>0</v>
      </c>
      <c r="BG69" s="645" cm="1">
        <f t="array" aca="1" ref="BG69" ca="1">IF($C$4=Lookups!$D$40,INDIRECT("'Yr1'!"&amp;ADDRESS(ROW(BG69),COLUMN(BG69))),
IF(BG12=0,0,SUMIFS('EE Inputs'!$S$9:$S$32,'EE Inputs'!$C$9:$C$32,$AM$6,'EE Inputs'!$D$9:$D$32,$C$4,'EE Inputs'!$E$9:$E$32,$B69)))</f>
        <v>0</v>
      </c>
      <c r="BH69" s="645" cm="1">
        <f t="array" aca="1" ref="BH69" ca="1">IF($C$4=Lookups!$D$40,INDIRECT("'Yr1'!"&amp;ADDRESS(ROW(BH69),COLUMN(BH69))),
IF(BH12=0,0,SUMIFS('EE Inputs'!$S$9:$S$32,'EE Inputs'!$C$9:$C$32,$AM$6,'EE Inputs'!$D$9:$D$32,$C$4,'EE Inputs'!$E$9:$E$32,$B69)))</f>
        <v>0</v>
      </c>
      <c r="BI69" s="645" cm="1">
        <f t="array" aca="1" ref="BI69" ca="1">IF($C$4=Lookups!$D$40,INDIRECT("'Yr1'!"&amp;ADDRESS(ROW(BI69),COLUMN(BI69))),
IF(BI12=0,0,SUMIFS('EE Inputs'!$S$9:$S$32,'EE Inputs'!$C$9:$C$32,$AM$6,'EE Inputs'!$D$9:$D$32,$C$4,'EE Inputs'!$E$9:$E$32,$B69)))</f>
        <v>0</v>
      </c>
      <c r="BJ69" s="645" cm="1">
        <f t="array" aca="1" ref="BJ69" ca="1">IF($C$4=Lookups!$D$40,INDIRECT("'Yr1'!"&amp;ADDRESS(ROW(BJ69),COLUMN(BJ69))),
IF(BJ12=0,0,SUMIFS('EE Inputs'!$S$9:$S$32,'EE Inputs'!$C$9:$C$32,$AM$6,'EE Inputs'!$D$9:$D$32,$C$4,'EE Inputs'!$E$9:$E$32,$B69)))</f>
        <v>0</v>
      </c>
      <c r="BK69" s="645" cm="1">
        <f t="array" aca="1" ref="BK69" ca="1">IF($C$4=Lookups!$D$40,INDIRECT("'Yr1'!"&amp;ADDRESS(ROW(BK69),COLUMN(BK69))),
IF(BK12=0,0,SUMIFS('EE Inputs'!$S$9:$S$32,'EE Inputs'!$C$9:$C$32,$AM$6,'EE Inputs'!$D$9:$D$32,$C$4,'EE Inputs'!$E$9:$E$32,$B69)))</f>
        <v>0</v>
      </c>
      <c r="BL69" s="645" cm="1">
        <f t="array" aca="1" ref="BL69" ca="1">IF($C$4=Lookups!$D$40,INDIRECT("'Yr1'!"&amp;ADDRESS(ROW(BL69),COLUMN(BL69))),
IF(BL12=0,0,SUMIFS('EE Inputs'!$S$9:$S$32,'EE Inputs'!$C$9:$C$32,$AM$6,'EE Inputs'!$D$9:$D$32,$C$4,'EE Inputs'!$E$9:$E$32,$B69)))</f>
        <v>0</v>
      </c>
      <c r="BM69" s="645" cm="1">
        <f t="array" aca="1" ref="BM69" ca="1">IF($C$4=Lookups!$D$40,INDIRECT("'Yr1'!"&amp;ADDRESS(ROW(BM69),COLUMN(BM69))),
IF(BM12=0,0,SUMIFS('EE Inputs'!$S$9:$S$32,'EE Inputs'!$C$9:$C$32,$AM$6,'EE Inputs'!$D$9:$D$32,$C$4,'EE Inputs'!$E$9:$E$32,$B69)))</f>
        <v>0</v>
      </c>
      <c r="BN69" s="71"/>
      <c r="BO69" s="71"/>
      <c r="BP69" s="71"/>
      <c r="BS69" s="76" t="s">
        <v>96</v>
      </c>
      <c r="BT69" s="51" t="s">
        <v>17</v>
      </c>
    </row>
    <row r="70" spans="1:72" x14ac:dyDescent="0.25">
      <c r="A70" s="246"/>
      <c r="B70" s="243" t="str">
        <f t="shared" si="49"/>
        <v>Residential</v>
      </c>
      <c r="C70" s="243" t="str">
        <f t="shared" si="49"/>
        <v>Bills</v>
      </c>
      <c r="D70" s="244" t="str">
        <f t="shared" si="49"/>
        <v>Annual Savings from DSM Scenario</v>
      </c>
      <c r="E70" s="84" t="str">
        <f>'EE Inputs'!$N$16&amp;" Participant"</f>
        <v>High Savings Participant</v>
      </c>
      <c r="F70" s="84" t="s">
        <v>195</v>
      </c>
      <c r="G70" s="704" cm="1">
        <f t="array" aca="1" ref="G70" ca="1">IF($C$4=Lookups!$D$40,INDIRECT("'Yr1'!"&amp;ADDRESS(ROW(G70),COLUMN(G70))),
IF(G12=0,0,SUMIFS('EE Inputs'!$T$9:$T$32,'EE Inputs'!$C$9:$C$32,$G$6,'EE Inputs'!$D$9:$D$32,$C$4,'EE Inputs'!$E$9:$E$32,$B70)))</f>
        <v>46.620000000000005</v>
      </c>
      <c r="H70" s="704" cm="1">
        <f t="array" aca="1" ref="H70" ca="1">IF($C$4=Lookups!$D$40,INDIRECT("'Yr1'!"&amp;ADDRESS(ROW(H70),COLUMN(H70))),
IF(H12=0,0,SUMIFS('EE Inputs'!$T$9:$T$32,'EE Inputs'!$C$9:$C$32,$G$6,'EE Inputs'!$D$9:$D$32,$C$4,'EE Inputs'!$E$9:$E$32,$B70)))</f>
        <v>46.620000000000005</v>
      </c>
      <c r="I70" s="704" cm="1">
        <f t="array" aca="1" ref="I70" ca="1">IF($C$4=Lookups!$D$40,INDIRECT("'Yr1'!"&amp;ADDRESS(ROW(I70),COLUMN(I70))),
IF(I12=0,0,SUMIFS('EE Inputs'!$T$9:$T$32,'EE Inputs'!$C$9:$C$32,$G$6,'EE Inputs'!$D$9:$D$32,$C$4,'EE Inputs'!$E$9:$E$32,$B70)))</f>
        <v>46.620000000000005</v>
      </c>
      <c r="J70" s="704" cm="1">
        <f t="array" aca="1" ref="J70" ca="1">IF($C$4=Lookups!$D$40,INDIRECT("'Yr1'!"&amp;ADDRESS(ROW(J70),COLUMN(J70))),
IF(J12=0,0,SUMIFS('EE Inputs'!$T$9:$T$32,'EE Inputs'!$C$9:$C$32,$G$6,'EE Inputs'!$D$9:$D$32,$C$4,'EE Inputs'!$E$9:$E$32,$B70)))</f>
        <v>46.620000000000005</v>
      </c>
      <c r="K70" s="704" cm="1">
        <f t="array" aca="1" ref="K70" ca="1">IF($C$4=Lookups!$D$40,INDIRECT("'Yr1'!"&amp;ADDRESS(ROW(K70),COLUMN(K70))),
IF(K12=0,0,SUMIFS('EE Inputs'!$T$9:$T$32,'EE Inputs'!$C$9:$C$32,$G$6,'EE Inputs'!$D$9:$D$32,$C$4,'EE Inputs'!$E$9:$E$32,$B70)))</f>
        <v>46.620000000000005</v>
      </c>
      <c r="L70" s="704" cm="1">
        <f t="array" aca="1" ref="L70" ca="1">IF($C$4=Lookups!$D$40,INDIRECT("'Yr1'!"&amp;ADDRESS(ROW(L70),COLUMN(L70))),
IF(L12=0,0,SUMIFS('EE Inputs'!$T$9:$T$32,'EE Inputs'!$C$9:$C$32,$G$6,'EE Inputs'!$D$9:$D$32,$C$4,'EE Inputs'!$E$9:$E$32,$B70)))</f>
        <v>46.620000000000005</v>
      </c>
      <c r="M70" s="704" cm="1">
        <f t="array" aca="1" ref="M70" ca="1">IF($C$4=Lookups!$D$40,INDIRECT("'Yr1'!"&amp;ADDRESS(ROW(M70),COLUMN(M70))),
IF(M12=0,0,SUMIFS('EE Inputs'!$T$9:$T$32,'EE Inputs'!$C$9:$C$32,$G$6,'EE Inputs'!$D$9:$D$32,$C$4,'EE Inputs'!$E$9:$E$32,$B70)))</f>
        <v>46.620000000000005</v>
      </c>
      <c r="N70" s="704" cm="1">
        <f t="array" aca="1" ref="N70" ca="1">IF($C$4=Lookups!$D$40,INDIRECT("'Yr1'!"&amp;ADDRESS(ROW(N70),COLUMN(N70))),
IF(N12=0,0,SUMIFS('EE Inputs'!$T$9:$T$32,'EE Inputs'!$C$9:$C$32,$G$6,'EE Inputs'!$D$9:$D$32,$C$4,'EE Inputs'!$E$9:$E$32,$B70)))</f>
        <v>46.620000000000005</v>
      </c>
      <c r="O70" s="704" cm="1">
        <f t="array" aca="1" ref="O70" ca="1">IF($C$4=Lookups!$D$40,INDIRECT("'Yr1'!"&amp;ADDRESS(ROW(O70),COLUMN(O70))),
IF(O12=0,0,SUMIFS('EE Inputs'!$T$9:$T$32,'EE Inputs'!$C$9:$C$32,$G$6,'EE Inputs'!$D$9:$D$32,$C$4,'EE Inputs'!$E$9:$E$32,$B70)))</f>
        <v>46.620000000000005</v>
      </c>
      <c r="P70" s="704" cm="1">
        <f t="array" aca="1" ref="P70" ca="1">IF($C$4=Lookups!$D$40,INDIRECT("'Yr1'!"&amp;ADDRESS(ROW(P70),COLUMN(P70))),
IF(P12=0,0,SUMIFS('EE Inputs'!$T$9:$T$32,'EE Inputs'!$C$9:$C$32,$G$6,'EE Inputs'!$D$9:$D$32,$C$4,'EE Inputs'!$E$9:$E$32,$B70)))</f>
        <v>46.620000000000005</v>
      </c>
      <c r="Q70" s="704" cm="1">
        <f t="array" aca="1" ref="Q70" ca="1">IF($C$4=Lookups!$D$40,INDIRECT("'Yr1'!"&amp;ADDRESS(ROW(Q70),COLUMN(Q70))),
IF(Q12=0,0,SUMIFS('EE Inputs'!$T$9:$T$32,'EE Inputs'!$C$9:$C$32,$G$6,'EE Inputs'!$D$9:$D$32,$C$4,'EE Inputs'!$E$9:$E$32,$B70)))</f>
        <v>46.620000000000005</v>
      </c>
      <c r="R70" s="704" cm="1">
        <f t="array" aca="1" ref="R70" ca="1">IF($C$4=Lookups!$D$40,INDIRECT("'Yr1'!"&amp;ADDRESS(ROW(R70),COLUMN(R70))),
IF(R12=0,0,SUMIFS('EE Inputs'!$T$9:$T$32,'EE Inputs'!$C$9:$C$32,$G$6,'EE Inputs'!$D$9:$D$32,$C$4,'EE Inputs'!$E$9:$E$32,$B70)))</f>
        <v>46.620000000000005</v>
      </c>
      <c r="S70" s="704" cm="1">
        <f t="array" aca="1" ref="S70" ca="1">IF($C$4=Lookups!$D$40,INDIRECT("'Yr1'!"&amp;ADDRESS(ROW(S70),COLUMN(S70))),
IF(S12=0,0,SUMIFS('EE Inputs'!$T$9:$T$32,'EE Inputs'!$C$9:$C$32,$G$6,'EE Inputs'!$D$9:$D$32,$C$4,'EE Inputs'!$E$9:$E$32,$B70)))</f>
        <v>46.620000000000005</v>
      </c>
      <c r="T70" s="704" cm="1">
        <f t="array" aca="1" ref="T70" ca="1">IF($C$4=Lookups!$D$40,INDIRECT("'Yr1'!"&amp;ADDRESS(ROW(T70),COLUMN(T70))),
IF(T12=0,0,SUMIFS('EE Inputs'!$T$9:$T$32,'EE Inputs'!$C$9:$C$32,$G$6,'EE Inputs'!$D$9:$D$32,$C$4,'EE Inputs'!$E$9:$E$32,$B70)))</f>
        <v>46.620000000000005</v>
      </c>
      <c r="U70" s="704" cm="1">
        <f t="array" aca="1" ref="U70" ca="1">IF($C$4=Lookups!$D$40,INDIRECT("'Yr1'!"&amp;ADDRESS(ROW(U70),COLUMN(U70))),
IF(U12=0,0,SUMIFS('EE Inputs'!$T$9:$T$32,'EE Inputs'!$C$9:$C$32,$G$6,'EE Inputs'!$D$9:$D$32,$C$4,'EE Inputs'!$E$9:$E$32,$B70)))</f>
        <v>46.620000000000005</v>
      </c>
      <c r="V70" s="704" cm="1">
        <f t="array" aca="1" ref="V70" ca="1">IF($C$4=Lookups!$D$40,INDIRECT("'Yr1'!"&amp;ADDRESS(ROW(V70),COLUMN(V70))),
IF(V12=0,0,SUMIFS('EE Inputs'!$T$9:$T$32,'EE Inputs'!$C$9:$C$32,$G$6,'EE Inputs'!$D$9:$D$32,$C$4,'EE Inputs'!$E$9:$E$32,$B70)))</f>
        <v>0</v>
      </c>
      <c r="W70" s="704" cm="1">
        <f t="array" aca="1" ref="W70" ca="1">IF($C$4=Lookups!$D$40,INDIRECT("'Yr1'!"&amp;ADDRESS(ROW(W70),COLUMN(W70))),
IF(W12=0,0,SUMIFS('EE Inputs'!$T$9:$T$32,'EE Inputs'!$C$9:$C$32,$G$6,'EE Inputs'!$D$9:$D$32,$C$4,'EE Inputs'!$E$9:$E$32,$B70)))</f>
        <v>0</v>
      </c>
      <c r="X70" s="704" cm="1">
        <f t="array" aca="1" ref="X70" ca="1">IF($C$4=Lookups!$D$40,INDIRECT("'Yr1'!"&amp;ADDRESS(ROW(X70),COLUMN(X70))),
IF(X12=0,0,SUMIFS('EE Inputs'!$T$9:$T$32,'EE Inputs'!$C$9:$C$32,$G$6,'EE Inputs'!$D$9:$D$32,$C$4,'EE Inputs'!$E$9:$E$32,$B70)))</f>
        <v>0</v>
      </c>
      <c r="Y70" s="704" cm="1">
        <f t="array" aca="1" ref="Y70" ca="1">IF($C$4=Lookups!$D$40,INDIRECT("'Yr1'!"&amp;ADDRESS(ROW(Y70),COLUMN(Y70))),
IF(Y12=0,0,SUMIFS('EE Inputs'!$T$9:$T$32,'EE Inputs'!$C$9:$C$32,$G$6,'EE Inputs'!$D$9:$D$32,$C$4,'EE Inputs'!$E$9:$E$32,$B70)))</f>
        <v>0</v>
      </c>
      <c r="Z70" s="704" cm="1">
        <f t="array" aca="1" ref="Z70" ca="1">IF($C$4=Lookups!$D$40,INDIRECT("'Yr1'!"&amp;ADDRESS(ROW(Z70),COLUMN(Z70))),
IF(Z12=0,0,SUMIFS('EE Inputs'!$T$9:$T$32,'EE Inputs'!$C$9:$C$32,$G$6,'EE Inputs'!$D$9:$D$32,$C$4,'EE Inputs'!$E$9:$E$32,$B70)))</f>
        <v>0</v>
      </c>
      <c r="AA70" s="704" cm="1">
        <f t="array" aca="1" ref="AA70" ca="1">IF($C$4=Lookups!$D$40,INDIRECT("'Yr1'!"&amp;ADDRESS(ROW(AA70),COLUMN(AA70))),
IF(AA12=0,0,SUMIFS('EE Inputs'!$T$9:$T$32,'EE Inputs'!$C$9:$C$32,$G$6,'EE Inputs'!$D$9:$D$32,$C$4,'EE Inputs'!$E$9:$E$32,$B70)))</f>
        <v>0</v>
      </c>
      <c r="AB70" s="704" cm="1">
        <f t="array" aca="1" ref="AB70" ca="1">IF($C$4=Lookups!$D$40,INDIRECT("'Yr1'!"&amp;ADDRESS(ROW(AB70),COLUMN(AB70))),
IF(AB12=0,0,SUMIFS('EE Inputs'!$T$9:$T$32,'EE Inputs'!$C$9:$C$32,$G$6,'EE Inputs'!$D$9:$D$32,$C$4,'EE Inputs'!$E$9:$E$32,$B70)))</f>
        <v>0</v>
      </c>
      <c r="AC70" s="704" cm="1">
        <f t="array" aca="1" ref="AC70" ca="1">IF($C$4=Lookups!$D$40,INDIRECT("'Yr1'!"&amp;ADDRESS(ROW(AC70),COLUMN(AC70))),
IF(AC12=0,0,SUMIFS('EE Inputs'!$T$9:$T$32,'EE Inputs'!$C$9:$C$32,$G$6,'EE Inputs'!$D$9:$D$32,$C$4,'EE Inputs'!$E$9:$E$32,$B70)))</f>
        <v>0</v>
      </c>
      <c r="AD70" s="704" cm="1">
        <f t="array" aca="1" ref="AD70" ca="1">IF($C$4=Lookups!$D$40,INDIRECT("'Yr1'!"&amp;ADDRESS(ROW(AD70),COLUMN(AD70))),
IF(AD12=0,0,SUMIFS('EE Inputs'!$T$9:$T$32,'EE Inputs'!$C$9:$C$32,$G$6,'EE Inputs'!$D$9:$D$32,$C$4,'EE Inputs'!$E$9:$E$32,$B70)))</f>
        <v>0</v>
      </c>
      <c r="AE70" s="704" cm="1">
        <f t="array" aca="1" ref="AE70" ca="1">IF($C$4=Lookups!$D$40,INDIRECT("'Yr1'!"&amp;ADDRESS(ROW(AE70),COLUMN(AE70))),
IF(AE12=0,0,SUMIFS('EE Inputs'!$T$9:$T$32,'EE Inputs'!$C$9:$C$32,$G$6,'EE Inputs'!$D$9:$D$32,$C$4,'EE Inputs'!$E$9:$E$32,$B70)))</f>
        <v>0</v>
      </c>
      <c r="AF70" s="704" cm="1">
        <f t="array" aca="1" ref="AF70" ca="1">IF($C$4=Lookups!$D$40,INDIRECT("'Yr1'!"&amp;ADDRESS(ROW(AF70),COLUMN(AF70))),
IF(AF12=0,0,SUMIFS('EE Inputs'!$T$9:$T$32,'EE Inputs'!$C$9:$C$32,$G$6,'EE Inputs'!$D$9:$D$32,$C$4,'EE Inputs'!$E$9:$E$32,$B70)))</f>
        <v>0</v>
      </c>
      <c r="AG70" s="704" cm="1">
        <f t="array" aca="1" ref="AG70" ca="1">IF($C$4=Lookups!$D$40,INDIRECT("'Yr1'!"&amp;ADDRESS(ROW(AG70),COLUMN(AG70))),
IF(AG12=0,0,SUMIFS('EE Inputs'!$T$9:$T$32,'EE Inputs'!$C$9:$C$32,$G$6,'EE Inputs'!$D$9:$D$32,$C$4,'EE Inputs'!$E$9:$E$32,$B70)))</f>
        <v>0</v>
      </c>
      <c r="AH70" s="64"/>
      <c r="AI70" s="64"/>
      <c r="AJ70" s="720"/>
      <c r="AM70" s="645" cm="1">
        <f t="array" aca="1" ref="AM70" ca="1">IF($C$4=Lookups!$D$40,INDIRECT("'Yr1'!"&amp;ADDRESS(ROW(AM70),COLUMN(AM70))),
IF(AM12=0,0,SUMIFS('EE Inputs'!$T$9:$T$32,'EE Inputs'!$C$9:$C$32,$AM$6,'EE Inputs'!$D$9:$D$32,$C$4,'EE Inputs'!$E$9:$E$32,$B70)))</f>
        <v>55.944000000000003</v>
      </c>
      <c r="AN70" s="645" cm="1">
        <f t="array" aca="1" ref="AN70" ca="1">IF($C$4=Lookups!$D$40,INDIRECT("'Yr1'!"&amp;ADDRESS(ROW(AN70),COLUMN(AN70))),
IF(AN12=0,0,SUMIFS('EE Inputs'!$T$9:$T$32,'EE Inputs'!$C$9:$C$32,$AM$6,'EE Inputs'!$D$9:$D$32,$C$4,'EE Inputs'!$E$9:$E$32,$B70)))</f>
        <v>55.944000000000003</v>
      </c>
      <c r="AO70" s="645" cm="1">
        <f t="array" aca="1" ref="AO70" ca="1">IF($C$4=Lookups!$D$40,INDIRECT("'Yr1'!"&amp;ADDRESS(ROW(AO70),COLUMN(AO70))),
IF(AO12=0,0,SUMIFS('EE Inputs'!$T$9:$T$32,'EE Inputs'!$C$9:$C$32,$AM$6,'EE Inputs'!$D$9:$D$32,$C$4,'EE Inputs'!$E$9:$E$32,$B70)))</f>
        <v>55.944000000000003</v>
      </c>
      <c r="AP70" s="645" cm="1">
        <f t="array" aca="1" ref="AP70" ca="1">IF($C$4=Lookups!$D$40,INDIRECT("'Yr1'!"&amp;ADDRESS(ROW(AP70),COLUMN(AP70))),
IF(AP12=0,0,SUMIFS('EE Inputs'!$T$9:$T$32,'EE Inputs'!$C$9:$C$32,$AM$6,'EE Inputs'!$D$9:$D$32,$C$4,'EE Inputs'!$E$9:$E$32,$B70)))</f>
        <v>55.944000000000003</v>
      </c>
      <c r="AQ70" s="645" cm="1">
        <f t="array" aca="1" ref="AQ70" ca="1">IF($C$4=Lookups!$D$40,INDIRECT("'Yr1'!"&amp;ADDRESS(ROW(AQ70),COLUMN(AQ70))),
IF(AQ12=0,0,SUMIFS('EE Inputs'!$T$9:$T$32,'EE Inputs'!$C$9:$C$32,$AM$6,'EE Inputs'!$D$9:$D$32,$C$4,'EE Inputs'!$E$9:$E$32,$B70)))</f>
        <v>55.944000000000003</v>
      </c>
      <c r="AR70" s="645" cm="1">
        <f t="array" aca="1" ref="AR70" ca="1">IF($C$4=Lookups!$D$40,INDIRECT("'Yr1'!"&amp;ADDRESS(ROW(AR70),COLUMN(AR70))),
IF(AR12=0,0,SUMIFS('EE Inputs'!$T$9:$T$32,'EE Inputs'!$C$9:$C$32,$AM$6,'EE Inputs'!$D$9:$D$32,$C$4,'EE Inputs'!$E$9:$E$32,$B70)))</f>
        <v>55.944000000000003</v>
      </c>
      <c r="AS70" s="645" cm="1">
        <f t="array" aca="1" ref="AS70" ca="1">IF($C$4=Lookups!$D$40,INDIRECT("'Yr1'!"&amp;ADDRESS(ROW(AS70),COLUMN(AS70))),
IF(AS12=0,0,SUMIFS('EE Inputs'!$T$9:$T$32,'EE Inputs'!$C$9:$C$32,$AM$6,'EE Inputs'!$D$9:$D$32,$C$4,'EE Inputs'!$E$9:$E$32,$B70)))</f>
        <v>55.944000000000003</v>
      </c>
      <c r="AT70" s="645" cm="1">
        <f t="array" aca="1" ref="AT70" ca="1">IF($C$4=Lookups!$D$40,INDIRECT("'Yr1'!"&amp;ADDRESS(ROW(AT70),COLUMN(AT70))),
IF(AT12=0,0,SUMIFS('EE Inputs'!$T$9:$T$32,'EE Inputs'!$C$9:$C$32,$AM$6,'EE Inputs'!$D$9:$D$32,$C$4,'EE Inputs'!$E$9:$E$32,$B70)))</f>
        <v>55.944000000000003</v>
      </c>
      <c r="AU70" s="645" cm="1">
        <f t="array" aca="1" ref="AU70" ca="1">IF($C$4=Lookups!$D$40,INDIRECT("'Yr1'!"&amp;ADDRESS(ROW(AU70),COLUMN(AU70))),
IF(AU12=0,0,SUMIFS('EE Inputs'!$T$9:$T$32,'EE Inputs'!$C$9:$C$32,$AM$6,'EE Inputs'!$D$9:$D$32,$C$4,'EE Inputs'!$E$9:$E$32,$B70)))</f>
        <v>55.944000000000003</v>
      </c>
      <c r="AV70" s="645" cm="1">
        <f t="array" aca="1" ref="AV70" ca="1">IF($C$4=Lookups!$D$40,INDIRECT("'Yr1'!"&amp;ADDRESS(ROW(AV70),COLUMN(AV70))),
IF(AV12=0,0,SUMIFS('EE Inputs'!$T$9:$T$32,'EE Inputs'!$C$9:$C$32,$AM$6,'EE Inputs'!$D$9:$D$32,$C$4,'EE Inputs'!$E$9:$E$32,$B70)))</f>
        <v>55.944000000000003</v>
      </c>
      <c r="AW70" s="645" cm="1">
        <f t="array" aca="1" ref="AW70" ca="1">IF($C$4=Lookups!$D$40,INDIRECT("'Yr1'!"&amp;ADDRESS(ROW(AW70),COLUMN(AW70))),
IF(AW12=0,0,SUMIFS('EE Inputs'!$T$9:$T$32,'EE Inputs'!$C$9:$C$32,$AM$6,'EE Inputs'!$D$9:$D$32,$C$4,'EE Inputs'!$E$9:$E$32,$B70)))</f>
        <v>55.944000000000003</v>
      </c>
      <c r="AX70" s="645" cm="1">
        <f t="array" aca="1" ref="AX70" ca="1">IF($C$4=Lookups!$D$40,INDIRECT("'Yr1'!"&amp;ADDRESS(ROW(AX70),COLUMN(AX70))),
IF(AX12=0,0,SUMIFS('EE Inputs'!$T$9:$T$32,'EE Inputs'!$C$9:$C$32,$AM$6,'EE Inputs'!$D$9:$D$32,$C$4,'EE Inputs'!$E$9:$E$32,$B70)))</f>
        <v>55.944000000000003</v>
      </c>
      <c r="AY70" s="645" cm="1">
        <f t="array" aca="1" ref="AY70" ca="1">IF($C$4=Lookups!$D$40,INDIRECT("'Yr1'!"&amp;ADDRESS(ROW(AY70),COLUMN(AY70))),
IF(AY12=0,0,SUMIFS('EE Inputs'!$T$9:$T$32,'EE Inputs'!$C$9:$C$32,$AM$6,'EE Inputs'!$D$9:$D$32,$C$4,'EE Inputs'!$E$9:$E$32,$B70)))</f>
        <v>55.944000000000003</v>
      </c>
      <c r="AZ70" s="645" cm="1">
        <f t="array" aca="1" ref="AZ70" ca="1">IF($C$4=Lookups!$D$40,INDIRECT("'Yr1'!"&amp;ADDRESS(ROW(AZ70),COLUMN(AZ70))),
IF(AZ12=0,0,SUMIFS('EE Inputs'!$T$9:$T$32,'EE Inputs'!$C$9:$C$32,$AM$6,'EE Inputs'!$D$9:$D$32,$C$4,'EE Inputs'!$E$9:$E$32,$B70)))</f>
        <v>55.944000000000003</v>
      </c>
      <c r="BA70" s="645" cm="1">
        <f t="array" aca="1" ref="BA70" ca="1">IF($C$4=Lookups!$D$40,INDIRECT("'Yr1'!"&amp;ADDRESS(ROW(BA70),COLUMN(BA70))),
IF(BA12=0,0,SUMIFS('EE Inputs'!$T$9:$T$32,'EE Inputs'!$C$9:$C$32,$AM$6,'EE Inputs'!$D$9:$D$32,$C$4,'EE Inputs'!$E$9:$E$32,$B70)))</f>
        <v>55.944000000000003</v>
      </c>
      <c r="BB70" s="645" cm="1">
        <f t="array" aca="1" ref="BB70" ca="1">IF($C$4=Lookups!$D$40,INDIRECT("'Yr1'!"&amp;ADDRESS(ROW(BB70),COLUMN(BB70))),
IF(BB12=0,0,SUMIFS('EE Inputs'!$T$9:$T$32,'EE Inputs'!$C$9:$C$32,$AM$6,'EE Inputs'!$D$9:$D$32,$C$4,'EE Inputs'!$E$9:$E$32,$B70)))</f>
        <v>0</v>
      </c>
      <c r="BC70" s="645" cm="1">
        <f t="array" aca="1" ref="BC70" ca="1">IF($C$4=Lookups!$D$40,INDIRECT("'Yr1'!"&amp;ADDRESS(ROW(BC70),COLUMN(BC70))),
IF(BC12=0,0,SUMIFS('EE Inputs'!$T$9:$T$32,'EE Inputs'!$C$9:$C$32,$AM$6,'EE Inputs'!$D$9:$D$32,$C$4,'EE Inputs'!$E$9:$E$32,$B70)))</f>
        <v>0</v>
      </c>
      <c r="BD70" s="645" cm="1">
        <f t="array" aca="1" ref="BD70" ca="1">IF($C$4=Lookups!$D$40,INDIRECT("'Yr1'!"&amp;ADDRESS(ROW(BD70),COLUMN(BD70))),
IF(BD12=0,0,SUMIFS('EE Inputs'!$T$9:$T$32,'EE Inputs'!$C$9:$C$32,$AM$6,'EE Inputs'!$D$9:$D$32,$C$4,'EE Inputs'!$E$9:$E$32,$B70)))</f>
        <v>0</v>
      </c>
      <c r="BE70" s="645" cm="1">
        <f t="array" aca="1" ref="BE70" ca="1">IF($C$4=Lookups!$D$40,INDIRECT("'Yr1'!"&amp;ADDRESS(ROW(BE70),COLUMN(BE70))),
IF(BE12=0,0,SUMIFS('EE Inputs'!$T$9:$T$32,'EE Inputs'!$C$9:$C$32,$AM$6,'EE Inputs'!$D$9:$D$32,$C$4,'EE Inputs'!$E$9:$E$32,$B70)))</f>
        <v>0</v>
      </c>
      <c r="BF70" s="645" cm="1">
        <f t="array" aca="1" ref="BF70" ca="1">IF($C$4=Lookups!$D$40,INDIRECT("'Yr1'!"&amp;ADDRESS(ROW(BF70),COLUMN(BF70))),
IF(BF12=0,0,SUMIFS('EE Inputs'!$T$9:$T$32,'EE Inputs'!$C$9:$C$32,$AM$6,'EE Inputs'!$D$9:$D$32,$C$4,'EE Inputs'!$E$9:$E$32,$B70)))</f>
        <v>0</v>
      </c>
      <c r="BG70" s="645" cm="1">
        <f t="array" aca="1" ref="BG70" ca="1">IF($C$4=Lookups!$D$40,INDIRECT("'Yr1'!"&amp;ADDRESS(ROW(BG70),COLUMN(BG70))),
IF(BG12=0,0,SUMIFS('EE Inputs'!$T$9:$T$32,'EE Inputs'!$C$9:$C$32,$AM$6,'EE Inputs'!$D$9:$D$32,$C$4,'EE Inputs'!$E$9:$E$32,$B70)))</f>
        <v>0</v>
      </c>
      <c r="BH70" s="645" cm="1">
        <f t="array" aca="1" ref="BH70" ca="1">IF($C$4=Lookups!$D$40,INDIRECT("'Yr1'!"&amp;ADDRESS(ROW(BH70),COLUMN(BH70))),
IF(BH12=0,0,SUMIFS('EE Inputs'!$T$9:$T$32,'EE Inputs'!$C$9:$C$32,$AM$6,'EE Inputs'!$D$9:$D$32,$C$4,'EE Inputs'!$E$9:$E$32,$B70)))</f>
        <v>0</v>
      </c>
      <c r="BI70" s="645" cm="1">
        <f t="array" aca="1" ref="BI70" ca="1">IF($C$4=Lookups!$D$40,INDIRECT("'Yr1'!"&amp;ADDRESS(ROW(BI70),COLUMN(BI70))),
IF(BI12=0,0,SUMIFS('EE Inputs'!$T$9:$T$32,'EE Inputs'!$C$9:$C$32,$AM$6,'EE Inputs'!$D$9:$D$32,$C$4,'EE Inputs'!$E$9:$E$32,$B70)))</f>
        <v>0</v>
      </c>
      <c r="BJ70" s="645" cm="1">
        <f t="array" aca="1" ref="BJ70" ca="1">IF($C$4=Lookups!$D$40,INDIRECT("'Yr1'!"&amp;ADDRESS(ROW(BJ70),COLUMN(BJ70))),
IF(BJ12=0,0,SUMIFS('EE Inputs'!$T$9:$T$32,'EE Inputs'!$C$9:$C$32,$AM$6,'EE Inputs'!$D$9:$D$32,$C$4,'EE Inputs'!$E$9:$E$32,$B70)))</f>
        <v>0</v>
      </c>
      <c r="BK70" s="645" cm="1">
        <f t="array" aca="1" ref="BK70" ca="1">IF($C$4=Lookups!$D$40,INDIRECT("'Yr1'!"&amp;ADDRESS(ROW(BK70),COLUMN(BK70))),
IF(BK12=0,0,SUMIFS('EE Inputs'!$T$9:$T$32,'EE Inputs'!$C$9:$C$32,$AM$6,'EE Inputs'!$D$9:$D$32,$C$4,'EE Inputs'!$E$9:$E$32,$B70)))</f>
        <v>0</v>
      </c>
      <c r="BL70" s="645" cm="1">
        <f t="array" aca="1" ref="BL70" ca="1">IF($C$4=Lookups!$D$40,INDIRECT("'Yr1'!"&amp;ADDRESS(ROW(BL70),COLUMN(BL70))),
IF(BL12=0,0,SUMIFS('EE Inputs'!$T$9:$T$32,'EE Inputs'!$C$9:$C$32,$AM$6,'EE Inputs'!$D$9:$D$32,$C$4,'EE Inputs'!$E$9:$E$32,$B70)))</f>
        <v>0</v>
      </c>
      <c r="BM70" s="645" cm="1">
        <f t="array" aca="1" ref="BM70" ca="1">IF($C$4=Lookups!$D$40,INDIRECT("'Yr1'!"&amp;ADDRESS(ROW(BM70),COLUMN(BM70))),
IF(BM12=0,0,SUMIFS('EE Inputs'!$T$9:$T$32,'EE Inputs'!$C$9:$C$32,$AM$6,'EE Inputs'!$D$9:$D$32,$C$4,'EE Inputs'!$E$9:$E$32,$B70)))</f>
        <v>0</v>
      </c>
      <c r="BN70" s="71"/>
      <c r="BO70" s="71"/>
      <c r="BP70" s="71"/>
      <c r="BS70" s="76" t="s">
        <v>96</v>
      </c>
      <c r="BT70" s="51" t="s">
        <v>17</v>
      </c>
    </row>
    <row r="71" spans="1:72" x14ac:dyDescent="0.25">
      <c r="B71" s="243" t="str">
        <f t="shared" si="49"/>
        <v>Residential</v>
      </c>
      <c r="C71" s="243" t="str">
        <f t="shared" si="49"/>
        <v>Bills</v>
      </c>
      <c r="D71" s="114" t="s">
        <v>111</v>
      </c>
      <c r="E71" s="84"/>
      <c r="F71" s="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49"/>
      <c r="AI71" s="184"/>
      <c r="AJ71" s="720"/>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S71" s="84"/>
      <c r="BT71" s="51" t="s">
        <v>17</v>
      </c>
    </row>
    <row r="72" spans="1:72" x14ac:dyDescent="0.25">
      <c r="B72" s="243" t="str">
        <f t="shared" si="49"/>
        <v>Residential</v>
      </c>
      <c r="C72" s="243" t="str">
        <f t="shared" si="49"/>
        <v>Bills</v>
      </c>
      <c r="D72" s="244" t="str">
        <f t="shared" si="49"/>
        <v>Bills after DSM Scenario</v>
      </c>
      <c r="E72" s="84" t="s">
        <v>348</v>
      </c>
      <c r="F72" s="84" t="s">
        <v>32</v>
      </c>
      <c r="G72" s="103">
        <f ca="1">G64+G65*(G57-G56)</f>
        <v>989.44195811976772</v>
      </c>
      <c r="H72" s="103">
        <f ca="1">H64+H65*(H57-H56)</f>
        <v>992.728514374881</v>
      </c>
      <c r="I72" s="103">
        <f t="shared" ref="I72:AG72" ca="1" si="57">I64+I65*(I57-I56)</f>
        <v>996.18881989210729</v>
      </c>
      <c r="J72" s="103">
        <f t="shared" ca="1" si="57"/>
        <v>950.37746939283363</v>
      </c>
      <c r="K72" s="103">
        <f t="shared" ca="1" si="57"/>
        <v>950.37746939283363</v>
      </c>
      <c r="L72" s="103">
        <f t="shared" ca="1" si="57"/>
        <v>950.37746939283363</v>
      </c>
      <c r="M72" s="103">
        <f t="shared" ca="1" si="57"/>
        <v>950.37746939283363</v>
      </c>
      <c r="N72" s="103">
        <f t="shared" ca="1" si="57"/>
        <v>950.37746939283363</v>
      </c>
      <c r="O72" s="103">
        <f t="shared" ca="1" si="57"/>
        <v>950.37746939283363</v>
      </c>
      <c r="P72" s="103">
        <f t="shared" ca="1" si="57"/>
        <v>950.37746939283363</v>
      </c>
      <c r="Q72" s="103">
        <f t="shared" ca="1" si="57"/>
        <v>950.37746939283363</v>
      </c>
      <c r="R72" s="103">
        <f t="shared" ca="1" si="57"/>
        <v>950.37746939283363</v>
      </c>
      <c r="S72" s="103">
        <f t="shared" ca="1" si="57"/>
        <v>950.37746939283363</v>
      </c>
      <c r="T72" s="103">
        <f t="shared" ca="1" si="57"/>
        <v>950.37746939283363</v>
      </c>
      <c r="U72" s="103">
        <f t="shared" ca="1" si="57"/>
        <v>950.37746939283363</v>
      </c>
      <c r="V72" s="103">
        <f t="shared" ca="1" si="57"/>
        <v>948.40215883839096</v>
      </c>
      <c r="W72" s="103">
        <f t="shared" ca="1" si="57"/>
        <v>946.4252759751472</v>
      </c>
      <c r="X72" s="103">
        <f t="shared" ca="1" si="57"/>
        <v>944.43719999999973</v>
      </c>
      <c r="Y72" s="103">
        <f t="shared" ca="1" si="57"/>
        <v>944.43719999999973</v>
      </c>
      <c r="Z72" s="103">
        <f t="shared" ca="1" si="57"/>
        <v>944.43719999999973</v>
      </c>
      <c r="AA72" s="103">
        <f t="shared" ca="1" si="57"/>
        <v>944.43719999999973</v>
      </c>
      <c r="AB72" s="103">
        <f t="shared" ca="1" si="57"/>
        <v>944.43719999999973</v>
      </c>
      <c r="AC72" s="103">
        <f t="shared" ca="1" si="57"/>
        <v>944.43719999999973</v>
      </c>
      <c r="AD72" s="103">
        <f t="shared" ca="1" si="57"/>
        <v>944.43719999999973</v>
      </c>
      <c r="AE72" s="103">
        <f t="shared" ca="1" si="57"/>
        <v>944.43719999999973</v>
      </c>
      <c r="AF72" s="103">
        <f t="shared" ca="1" si="57"/>
        <v>944.43719999999973</v>
      </c>
      <c r="AG72" s="103">
        <f t="shared" ca="1" si="57"/>
        <v>944.43719999999973</v>
      </c>
      <c r="AH72" s="103"/>
      <c r="AI72" s="103"/>
      <c r="AJ72" s="720">
        <f ca="1">IF($C$4=Year1,-PMT(Lookups!$E$17,25,NPV(Lookups!$E$17,G72:AE72),0,1),IF($C$4=Year2,-PMT(Lookups!$F$17,25,NPV(Lookups!$F$17,H72:AF72),0,1),IF($C$4=Year3,-PMT(Lookups!$G$17,25,NPV(Lookups!$G$17,I72:AG72),0,1),-PMT(Lookups!$G$17,27,NPV(Lookups!$G$17,G72:AG72),0,1))))</f>
        <v>940.46302104832387</v>
      </c>
      <c r="AM72" s="149">
        <f ca="1">AM64+AM65*(AM57-AM56)</f>
        <v>998.33501830929595</v>
      </c>
      <c r="AN72" s="149">
        <f ca="1">AN64+AN65*(AN57-AN56)</f>
        <v>1002.172286454507</v>
      </c>
      <c r="AO72" s="149">
        <f t="shared" ref="AO72:BM72" ca="1" si="58">AO64+AO65*(AO57-AO56)</f>
        <v>1006.2190834580297</v>
      </c>
      <c r="AP72" s="149">
        <f t="shared" ca="1" si="58"/>
        <v>951.24546285890142</v>
      </c>
      <c r="AQ72" s="149">
        <f t="shared" ca="1" si="58"/>
        <v>951.24546285890142</v>
      </c>
      <c r="AR72" s="149">
        <f t="shared" ca="1" si="58"/>
        <v>951.24546285890142</v>
      </c>
      <c r="AS72" s="149">
        <f t="shared" ca="1" si="58"/>
        <v>951.24546285890142</v>
      </c>
      <c r="AT72" s="149">
        <f t="shared" ca="1" si="58"/>
        <v>951.24546285890142</v>
      </c>
      <c r="AU72" s="149">
        <f t="shared" ca="1" si="58"/>
        <v>951.24546285890142</v>
      </c>
      <c r="AV72" s="149">
        <f t="shared" ca="1" si="58"/>
        <v>951.24546285890142</v>
      </c>
      <c r="AW72" s="149">
        <f t="shared" ca="1" si="58"/>
        <v>951.24546285890142</v>
      </c>
      <c r="AX72" s="149">
        <f t="shared" ca="1" si="58"/>
        <v>951.24546285890142</v>
      </c>
      <c r="AY72" s="149">
        <f t="shared" ca="1" si="58"/>
        <v>951.24546285890142</v>
      </c>
      <c r="AZ72" s="149">
        <f t="shared" ca="1" si="58"/>
        <v>951.24546285890142</v>
      </c>
      <c r="BA72" s="149">
        <f t="shared" ca="1" si="58"/>
        <v>951.24546285890142</v>
      </c>
      <c r="BB72" s="149">
        <f t="shared" ca="1" si="58"/>
        <v>948.97720726108923</v>
      </c>
      <c r="BC72" s="149">
        <f t="shared" ca="1" si="58"/>
        <v>946.71145314281637</v>
      </c>
      <c r="BD72" s="149">
        <f t="shared" ca="1" si="58"/>
        <v>944.43719999999973</v>
      </c>
      <c r="BE72" s="149">
        <f t="shared" ca="1" si="58"/>
        <v>944.43719999999973</v>
      </c>
      <c r="BF72" s="149">
        <f t="shared" ca="1" si="58"/>
        <v>944.43719999999973</v>
      </c>
      <c r="BG72" s="149">
        <f t="shared" ca="1" si="58"/>
        <v>944.43719999999973</v>
      </c>
      <c r="BH72" s="149">
        <f t="shared" ca="1" si="58"/>
        <v>944.43719999999973</v>
      </c>
      <c r="BI72" s="149">
        <f t="shared" ca="1" si="58"/>
        <v>944.43719999999973</v>
      </c>
      <c r="BJ72" s="149">
        <f t="shared" ca="1" si="58"/>
        <v>944.43719999999973</v>
      </c>
      <c r="BK72" s="149">
        <f t="shared" ca="1" si="58"/>
        <v>944.43719999999973</v>
      </c>
      <c r="BL72" s="149">
        <f t="shared" ca="1" si="58"/>
        <v>944.43719999999973</v>
      </c>
      <c r="BM72" s="149">
        <f t="shared" ca="1" si="58"/>
        <v>944.43719999999973</v>
      </c>
      <c r="BN72" s="149"/>
      <c r="BO72" s="149"/>
      <c r="BP72" s="149">
        <f ca="1">IF($C$4=Year1,-PMT(Lookups!$E$17,25,NPV(Lookups!$E$17,AM72:BK72),0,1),IF($C$4=Year2,-PMT(Lookups!$F$17,25,NPV(Lookups!$F$17,AN72:BL72),0,1),IF($C$4=Year3,-PMT(Lookups!$G$17,25,NPV(Lookups!$G$17,AO72:BM72),0,1),-PMT(Lookups!$G$17,27,NPV(Lookups!$G$17,AM72:BM72),0,1))))</f>
        <v>942.11479781434991</v>
      </c>
      <c r="BS72" s="84" t="s">
        <v>239</v>
      </c>
      <c r="BT72" s="51" t="s">
        <v>17</v>
      </c>
    </row>
    <row r="73" spans="1:72" x14ac:dyDescent="0.25">
      <c r="B73" s="243" t="str">
        <f t="shared" si="49"/>
        <v>Residential</v>
      </c>
      <c r="C73" s="243" t="str">
        <f t="shared" si="49"/>
        <v>Bills</v>
      </c>
      <c r="D73" s="244" t="str">
        <f t="shared" si="49"/>
        <v>Bills after DSM Scenario</v>
      </c>
      <c r="E73" s="84" t="s">
        <v>349</v>
      </c>
      <c r="F73" s="84" t="s">
        <v>32</v>
      </c>
      <c r="G73" s="103">
        <f ca="1">G64+(G65-G68)*(G57-G56)</f>
        <v>983.09451048487051</v>
      </c>
      <c r="H73" s="103">
        <f ca="1">H64+(H65-H68)*(H57-H56)</f>
        <v>979.89609204267049</v>
      </c>
      <c r="I73" s="103">
        <f t="shared" ref="I73:AG73" ca="1" si="59">I64+(I65-I68)*(I57-I56)</f>
        <v>976.69296410782795</v>
      </c>
      <c r="J73" s="103">
        <f t="shared" ca="1" si="59"/>
        <v>931.97911146154195</v>
      </c>
      <c r="K73" s="103">
        <f t="shared" ca="1" si="59"/>
        <v>931.97911146154195</v>
      </c>
      <c r="L73" s="103">
        <f t="shared" ca="1" si="59"/>
        <v>931.97911146154195</v>
      </c>
      <c r="M73" s="103">
        <f t="shared" ca="1" si="59"/>
        <v>931.97911146154195</v>
      </c>
      <c r="N73" s="103">
        <f t="shared" ca="1" si="59"/>
        <v>931.97911146154195</v>
      </c>
      <c r="O73" s="103">
        <f t="shared" ca="1" si="59"/>
        <v>931.97911146154195</v>
      </c>
      <c r="P73" s="103">
        <f t="shared" ca="1" si="59"/>
        <v>931.97911146154195</v>
      </c>
      <c r="Q73" s="103">
        <f t="shared" ca="1" si="59"/>
        <v>931.97911146154195</v>
      </c>
      <c r="R73" s="103">
        <f t="shared" ca="1" si="59"/>
        <v>931.97911146154195</v>
      </c>
      <c r="S73" s="103">
        <f t="shared" ca="1" si="59"/>
        <v>931.97911146154195</v>
      </c>
      <c r="T73" s="103">
        <f t="shared" ca="1" si="59"/>
        <v>931.97911146154195</v>
      </c>
      <c r="U73" s="103">
        <f t="shared" ca="1" si="59"/>
        <v>931.97911146154195</v>
      </c>
      <c r="V73" s="103">
        <f t="shared" ca="1" si="59"/>
        <v>936.07578964911204</v>
      </c>
      <c r="W73" s="103">
        <f t="shared" ca="1" si="59"/>
        <v>940.22076116025562</v>
      </c>
      <c r="X73" s="103">
        <f t="shared" ca="1" si="59"/>
        <v>944.43719999999973</v>
      </c>
      <c r="Y73" s="103">
        <f t="shared" ca="1" si="59"/>
        <v>944.43719999999973</v>
      </c>
      <c r="Z73" s="103">
        <f t="shared" ca="1" si="59"/>
        <v>944.43719999999973</v>
      </c>
      <c r="AA73" s="103">
        <f t="shared" ca="1" si="59"/>
        <v>944.43719999999973</v>
      </c>
      <c r="AB73" s="103">
        <f t="shared" ca="1" si="59"/>
        <v>944.43719999999973</v>
      </c>
      <c r="AC73" s="103">
        <f t="shared" ca="1" si="59"/>
        <v>944.43719999999973</v>
      </c>
      <c r="AD73" s="103">
        <f t="shared" ca="1" si="59"/>
        <v>944.43719999999973</v>
      </c>
      <c r="AE73" s="103">
        <f t="shared" ca="1" si="59"/>
        <v>944.43719999999973</v>
      </c>
      <c r="AF73" s="103">
        <f t="shared" ca="1" si="59"/>
        <v>944.43719999999973</v>
      </c>
      <c r="AG73" s="103">
        <f t="shared" ca="1" si="59"/>
        <v>944.43719999999973</v>
      </c>
      <c r="AH73" s="103"/>
      <c r="AI73" s="103"/>
      <c r="AJ73" s="720">
        <f ca="1">IF($C$4=Year1,-PMT(Lookups!$E$17,25,NPV(Lookups!$E$17,G73:AE73),0,1),IF($C$4=Year2,-PMT(Lookups!$F$17,25,NPV(Lookups!$F$17,H73:AF73),0,1),IF($C$4=Year3,-PMT(Lookups!$G$17,25,NPV(Lookups!$G$17,I73:AG73),0,1),-PMT(Lookups!$G$17,27,NPV(Lookups!$G$17,G73:AG73),0,1))))</f>
        <v>929.61011221956255</v>
      </c>
      <c r="AM73" s="149">
        <f ca="1">AM64+(AM65-AM68)*(AM57-AM56)</f>
        <v>991.00085574532397</v>
      </c>
      <c r="AN73" s="149">
        <f ca="1">AN64+(AN65-AN68)*(AN57-AN56)</f>
        <v>987.33574404779972</v>
      </c>
      <c r="AO73" s="149">
        <f t="shared" ref="AO73:BM73" ca="1" si="60">AO64+(AO65-AO68)*(AO57-AO56)</f>
        <v>983.6634837027807</v>
      </c>
      <c r="AP73" s="149">
        <f t="shared" ca="1" si="60"/>
        <v>930.19500301632115</v>
      </c>
      <c r="AQ73" s="149">
        <f t="shared" ca="1" si="60"/>
        <v>930.19500301632115</v>
      </c>
      <c r="AR73" s="149">
        <f t="shared" ca="1" si="60"/>
        <v>930.19500301632115</v>
      </c>
      <c r="AS73" s="149">
        <f t="shared" ca="1" si="60"/>
        <v>930.19500301632115</v>
      </c>
      <c r="AT73" s="149">
        <f t="shared" ca="1" si="60"/>
        <v>930.19500301632115</v>
      </c>
      <c r="AU73" s="149">
        <f t="shared" ca="1" si="60"/>
        <v>930.19500301632115</v>
      </c>
      <c r="AV73" s="149">
        <f t="shared" ca="1" si="60"/>
        <v>930.19500301632115</v>
      </c>
      <c r="AW73" s="149">
        <f t="shared" ca="1" si="60"/>
        <v>930.19500301632115</v>
      </c>
      <c r="AX73" s="149">
        <f t="shared" ca="1" si="60"/>
        <v>930.19500301632115</v>
      </c>
      <c r="AY73" s="149">
        <f t="shared" ca="1" si="60"/>
        <v>930.19500301632115</v>
      </c>
      <c r="AZ73" s="149">
        <f t="shared" ca="1" si="60"/>
        <v>930.19500301632115</v>
      </c>
      <c r="BA73" s="149">
        <f t="shared" ca="1" si="60"/>
        <v>930.19500301632115</v>
      </c>
      <c r="BB73" s="149">
        <f t="shared" ca="1" si="60"/>
        <v>934.8793526722485</v>
      </c>
      <c r="BC73" s="149">
        <f t="shared" ca="1" si="60"/>
        <v>939.61792307503413</v>
      </c>
      <c r="BD73" s="149">
        <f t="shared" ca="1" si="60"/>
        <v>944.43719999999973</v>
      </c>
      <c r="BE73" s="149">
        <f t="shared" ca="1" si="60"/>
        <v>944.43719999999973</v>
      </c>
      <c r="BF73" s="149">
        <f t="shared" ca="1" si="60"/>
        <v>944.43719999999973</v>
      </c>
      <c r="BG73" s="149">
        <f t="shared" ca="1" si="60"/>
        <v>944.43719999999973</v>
      </c>
      <c r="BH73" s="149">
        <f t="shared" ca="1" si="60"/>
        <v>944.43719999999973</v>
      </c>
      <c r="BI73" s="149">
        <f t="shared" ca="1" si="60"/>
        <v>944.43719999999973</v>
      </c>
      <c r="BJ73" s="149">
        <f t="shared" ca="1" si="60"/>
        <v>944.43719999999973</v>
      </c>
      <c r="BK73" s="149">
        <f t="shared" ca="1" si="60"/>
        <v>944.43719999999973</v>
      </c>
      <c r="BL73" s="149">
        <f t="shared" ca="1" si="60"/>
        <v>944.43719999999973</v>
      </c>
      <c r="BM73" s="149">
        <f t="shared" ca="1" si="60"/>
        <v>944.43719999999973</v>
      </c>
      <c r="BN73" s="149"/>
      <c r="BO73" s="149"/>
      <c r="BP73" s="149">
        <f ca="1">IF($C$4=Year1,-PMT(Lookups!$E$17,25,NPV(Lookups!$E$17,AM73:BK73),0,1),IF($C$4=Year2,-PMT(Lookups!$F$17,25,NPV(Lookups!$F$17,AN73:BL73),0,1),IF($C$4=Year3,-PMT(Lookups!$G$17,25,NPV(Lookups!$G$17,AO73:BM73),0,1),-PMT(Lookups!$G$17,27,NPV(Lookups!$G$17,AM73:BM73),0,1))))</f>
        <v>929.67750422532572</v>
      </c>
      <c r="BS73" s="84" t="s">
        <v>240</v>
      </c>
      <c r="BT73" s="51" t="s">
        <v>17</v>
      </c>
    </row>
    <row r="74" spans="1:72" x14ac:dyDescent="0.25">
      <c r="B74" s="243" t="str">
        <f t="shared" si="49"/>
        <v>Residential</v>
      </c>
      <c r="C74" s="243" t="str">
        <f t="shared" si="49"/>
        <v>Bills</v>
      </c>
      <c r="D74" s="244" t="str">
        <f t="shared" si="49"/>
        <v>Bills after DSM Scenario</v>
      </c>
      <c r="E74" s="84" t="str">
        <f>'EE Inputs'!$N$15&amp;" Participant Annual Bill"</f>
        <v>Low Savings Participant Annual Bill</v>
      </c>
      <c r="F74" s="84" t="s">
        <v>32</v>
      </c>
      <c r="G74" s="103">
        <f ca="1">G64+(G65-G69)*(G57-G56)</f>
        <v>981.37153853857012</v>
      </c>
      <c r="H74" s="103">
        <f ca="1">H64+(H65-H69)*(H57-H56)</f>
        <v>984.62522923113227</v>
      </c>
      <c r="I74" s="103">
        <f t="shared" ref="I74:AG74" ca="1" si="61">I64+(I65-I69)*(I57-I56)</f>
        <v>988.05093169318616</v>
      </c>
      <c r="J74" s="103">
        <f t="shared" ca="1" si="61"/>
        <v>942.69769469890525</v>
      </c>
      <c r="K74" s="103">
        <f t="shared" ca="1" si="61"/>
        <v>942.69769469890525</v>
      </c>
      <c r="L74" s="103">
        <f t="shared" ca="1" si="61"/>
        <v>942.69769469890525</v>
      </c>
      <c r="M74" s="103">
        <f t="shared" ca="1" si="61"/>
        <v>942.69769469890525</v>
      </c>
      <c r="N74" s="103">
        <f t="shared" ca="1" si="61"/>
        <v>942.69769469890525</v>
      </c>
      <c r="O74" s="103">
        <f t="shared" ca="1" si="61"/>
        <v>942.69769469890525</v>
      </c>
      <c r="P74" s="103">
        <f t="shared" ca="1" si="61"/>
        <v>942.69769469890525</v>
      </c>
      <c r="Q74" s="103">
        <f t="shared" ca="1" si="61"/>
        <v>942.69769469890525</v>
      </c>
      <c r="R74" s="103">
        <f t="shared" ca="1" si="61"/>
        <v>942.69769469890525</v>
      </c>
      <c r="S74" s="103">
        <f t="shared" ca="1" si="61"/>
        <v>942.69769469890525</v>
      </c>
      <c r="T74" s="103">
        <f t="shared" ca="1" si="61"/>
        <v>942.69769469890525</v>
      </c>
      <c r="U74" s="103">
        <f t="shared" ca="1" si="61"/>
        <v>942.69769469890525</v>
      </c>
      <c r="V74" s="103">
        <f t="shared" ca="1" si="61"/>
        <v>948.40215883839096</v>
      </c>
      <c r="W74" s="103">
        <f t="shared" ca="1" si="61"/>
        <v>946.4252759751472</v>
      </c>
      <c r="X74" s="103">
        <f t="shared" ca="1" si="61"/>
        <v>944.43719999999973</v>
      </c>
      <c r="Y74" s="103">
        <f t="shared" ca="1" si="61"/>
        <v>944.43719999999973</v>
      </c>
      <c r="Z74" s="103">
        <f t="shared" ca="1" si="61"/>
        <v>944.43719999999973</v>
      </c>
      <c r="AA74" s="103">
        <f t="shared" ca="1" si="61"/>
        <v>944.43719999999973</v>
      </c>
      <c r="AB74" s="103">
        <f t="shared" ca="1" si="61"/>
        <v>944.43719999999973</v>
      </c>
      <c r="AC74" s="103">
        <f t="shared" ca="1" si="61"/>
        <v>944.43719999999973</v>
      </c>
      <c r="AD74" s="103">
        <f t="shared" ca="1" si="61"/>
        <v>944.43719999999973</v>
      </c>
      <c r="AE74" s="103">
        <f t="shared" ca="1" si="61"/>
        <v>944.43719999999973</v>
      </c>
      <c r="AF74" s="103">
        <f t="shared" ca="1" si="61"/>
        <v>944.43719999999973</v>
      </c>
      <c r="AG74" s="103">
        <f t="shared" ca="1" si="61"/>
        <v>944.43719999999973</v>
      </c>
      <c r="AH74" s="103"/>
      <c r="AI74" s="103"/>
      <c r="AJ74" s="720">
        <f ca="1">IF($C$4=Year1,-PMT(Lookups!$E$17,25,NPV(Lookups!$E$17,G74:AE74),0,1),IF($C$4=Year2,-PMT(Lookups!$F$17,25,NPV(Lookups!$F$17,H74:AF74),0,1),IF($C$4=Year3,-PMT(Lookups!$G$17,25,NPV(Lookups!$G$17,I74:AG74),0,1),-PMT(Lookups!$G$17,27,NPV(Lookups!$G$17,G74:AG74),0,1))))</f>
        <v>935.85035522977739</v>
      </c>
      <c r="AM74" s="149">
        <f ca="1">AM64+(AM65-AM69)*(AM57-AM56)</f>
        <v>988.54379808958447</v>
      </c>
      <c r="AN74" s="149">
        <f ca="1">AN64+(AN65-AN69)*(AN57-AN56)</f>
        <v>992.3350190170529</v>
      </c>
      <c r="AO74" s="149">
        <f t="shared" ref="AO74:BM74" ca="1" si="62">AO64+(AO65-AO69)*(AO57-AO56)</f>
        <v>996.33325445653338</v>
      </c>
      <c r="AP74" s="149">
        <f t="shared" ca="1" si="62"/>
        <v>942.01931730459467</v>
      </c>
      <c r="AQ74" s="149">
        <f t="shared" ca="1" si="62"/>
        <v>942.01931730459467</v>
      </c>
      <c r="AR74" s="149">
        <f t="shared" ca="1" si="62"/>
        <v>942.01931730459467</v>
      </c>
      <c r="AS74" s="149">
        <f t="shared" ca="1" si="62"/>
        <v>942.01931730459467</v>
      </c>
      <c r="AT74" s="149">
        <f t="shared" ca="1" si="62"/>
        <v>942.01931730459467</v>
      </c>
      <c r="AU74" s="149">
        <f t="shared" ca="1" si="62"/>
        <v>942.01931730459467</v>
      </c>
      <c r="AV74" s="149">
        <f t="shared" ca="1" si="62"/>
        <v>942.01931730459467</v>
      </c>
      <c r="AW74" s="149">
        <f t="shared" ca="1" si="62"/>
        <v>942.01931730459467</v>
      </c>
      <c r="AX74" s="149">
        <f t="shared" ca="1" si="62"/>
        <v>942.01931730459467</v>
      </c>
      <c r="AY74" s="149">
        <f t="shared" ca="1" si="62"/>
        <v>942.01931730459467</v>
      </c>
      <c r="AZ74" s="149">
        <f t="shared" ca="1" si="62"/>
        <v>942.01931730459467</v>
      </c>
      <c r="BA74" s="149">
        <f t="shared" ca="1" si="62"/>
        <v>942.01931730459467</v>
      </c>
      <c r="BB74" s="149">
        <f t="shared" ca="1" si="62"/>
        <v>948.97720726108923</v>
      </c>
      <c r="BC74" s="149">
        <f t="shared" ca="1" si="62"/>
        <v>946.71145314281637</v>
      </c>
      <c r="BD74" s="149">
        <f t="shared" ca="1" si="62"/>
        <v>944.43719999999973</v>
      </c>
      <c r="BE74" s="149">
        <f t="shared" ca="1" si="62"/>
        <v>944.43719999999973</v>
      </c>
      <c r="BF74" s="149">
        <f t="shared" ca="1" si="62"/>
        <v>944.43719999999973</v>
      </c>
      <c r="BG74" s="149">
        <f t="shared" ca="1" si="62"/>
        <v>944.43719999999973</v>
      </c>
      <c r="BH74" s="149">
        <f t="shared" ca="1" si="62"/>
        <v>944.43719999999973</v>
      </c>
      <c r="BI74" s="149">
        <f t="shared" ca="1" si="62"/>
        <v>944.43719999999973</v>
      </c>
      <c r="BJ74" s="149">
        <f t="shared" ca="1" si="62"/>
        <v>944.43719999999973</v>
      </c>
      <c r="BK74" s="149">
        <f t="shared" ca="1" si="62"/>
        <v>944.43719999999973</v>
      </c>
      <c r="BL74" s="149">
        <f t="shared" ca="1" si="62"/>
        <v>944.43719999999973</v>
      </c>
      <c r="BM74" s="149">
        <f t="shared" ca="1" si="62"/>
        <v>944.43719999999973</v>
      </c>
      <c r="BN74" s="149"/>
      <c r="BO74" s="149"/>
      <c r="BP74" s="149">
        <f ca="1">IF($C$4=Year1,-PMT(Lookups!$E$17,25,NPV(Lookups!$E$17,AM74:BK74),0,1),IF($C$4=Year2,-PMT(Lookups!$F$17,25,NPV(Lookups!$F$17,AN74:BL74),0,1),IF($C$4=Year3,-PMT(Lookups!$G$17,25,NPV(Lookups!$G$17,AO74:BM74),0,1),-PMT(Lookups!$G$17,27,NPV(Lookups!$G$17,AM74:BM74),0,1))))</f>
        <v>936.5601406079162</v>
      </c>
      <c r="BS74" s="84" t="s">
        <v>240</v>
      </c>
      <c r="BT74" s="51" t="s">
        <v>17</v>
      </c>
    </row>
    <row r="75" spans="1:72" x14ac:dyDescent="0.25">
      <c r="B75" s="243" t="str">
        <f t="shared" si="49"/>
        <v>Residential</v>
      </c>
      <c r="C75" s="243" t="str">
        <f t="shared" si="49"/>
        <v>Bills</v>
      </c>
      <c r="D75" s="244" t="str">
        <f t="shared" si="49"/>
        <v>Bills after DSM Scenario</v>
      </c>
      <c r="E75" s="84" t="str">
        <f>'EE Inputs'!$N$16&amp;" Participant Annual Bill"</f>
        <v>High Savings Participant Annual Bill</v>
      </c>
      <c r="F75" s="84" t="s">
        <v>32</v>
      </c>
      <c r="G75" s="103">
        <f ca="1">G64+(G65-G70)*(G57-G56)</f>
        <v>932.94902105138397</v>
      </c>
      <c r="H75" s="103">
        <f ca="1">H64+(H65-H70)*(H57-H56)</f>
        <v>936.0055183686394</v>
      </c>
      <c r="I75" s="103">
        <f t="shared" ref="I75:AG75" ca="1" si="63">I64+(I65-I70)*(I57-I56)</f>
        <v>939.22360249965971</v>
      </c>
      <c r="J75" s="103">
        <f t="shared" ca="1" si="63"/>
        <v>896.6190465353352</v>
      </c>
      <c r="K75" s="103">
        <f t="shared" ca="1" si="63"/>
        <v>896.6190465353352</v>
      </c>
      <c r="L75" s="103">
        <f t="shared" ca="1" si="63"/>
        <v>896.6190465353352</v>
      </c>
      <c r="M75" s="103">
        <f t="shared" ca="1" si="63"/>
        <v>896.6190465353352</v>
      </c>
      <c r="N75" s="103">
        <f t="shared" ca="1" si="63"/>
        <v>896.6190465353352</v>
      </c>
      <c r="O75" s="103">
        <f t="shared" ca="1" si="63"/>
        <v>896.6190465353352</v>
      </c>
      <c r="P75" s="103">
        <f t="shared" ca="1" si="63"/>
        <v>896.6190465353352</v>
      </c>
      <c r="Q75" s="103">
        <f t="shared" ca="1" si="63"/>
        <v>896.6190465353352</v>
      </c>
      <c r="R75" s="103">
        <f t="shared" ca="1" si="63"/>
        <v>896.6190465353352</v>
      </c>
      <c r="S75" s="103">
        <f t="shared" ca="1" si="63"/>
        <v>896.6190465353352</v>
      </c>
      <c r="T75" s="103">
        <f t="shared" ca="1" si="63"/>
        <v>896.6190465353352</v>
      </c>
      <c r="U75" s="103">
        <f t="shared" ca="1" si="63"/>
        <v>896.6190465353352</v>
      </c>
      <c r="V75" s="103">
        <f t="shared" ca="1" si="63"/>
        <v>948.40215883839096</v>
      </c>
      <c r="W75" s="103">
        <f t="shared" ca="1" si="63"/>
        <v>946.4252759751472</v>
      </c>
      <c r="X75" s="103">
        <f t="shared" ca="1" si="63"/>
        <v>944.43719999999973</v>
      </c>
      <c r="Y75" s="103">
        <f t="shared" ca="1" si="63"/>
        <v>944.43719999999973</v>
      </c>
      <c r="Z75" s="103">
        <f t="shared" ca="1" si="63"/>
        <v>944.43719999999973</v>
      </c>
      <c r="AA75" s="103">
        <f t="shared" ca="1" si="63"/>
        <v>944.43719999999973</v>
      </c>
      <c r="AB75" s="103">
        <f t="shared" ca="1" si="63"/>
        <v>944.43719999999973</v>
      </c>
      <c r="AC75" s="103">
        <f t="shared" ca="1" si="63"/>
        <v>944.43719999999973</v>
      </c>
      <c r="AD75" s="103">
        <f t="shared" ca="1" si="63"/>
        <v>944.43719999999973</v>
      </c>
      <c r="AE75" s="103">
        <f t="shared" ca="1" si="63"/>
        <v>944.43719999999973</v>
      </c>
      <c r="AF75" s="103">
        <f t="shared" ca="1" si="63"/>
        <v>944.43719999999973</v>
      </c>
      <c r="AG75" s="103">
        <f t="shared" ca="1" si="63"/>
        <v>944.43719999999973</v>
      </c>
      <c r="AH75" s="103"/>
      <c r="AI75" s="103"/>
      <c r="AJ75" s="720">
        <f ca="1">IF($C$4=Year1,-PMT(Lookups!$E$17,25,NPV(Lookups!$E$17,G75:AE75),0,1),IF($C$4=Year2,-PMT(Lookups!$F$17,25,NPV(Lookups!$F$17,H75:AF75),0,1),IF($C$4=Year3,-PMT(Lookups!$G$17,25,NPV(Lookups!$G$17,I75:AG75),0,1),-PMT(Lookups!$G$17,27,NPV(Lookups!$G$17,G75:AG75),0,1))))</f>
        <v>908.17436031849854</v>
      </c>
      <c r="AM75" s="149">
        <f ca="1">AM64+(AM65-AM70)*(AM57-AM56)</f>
        <v>929.79647677131516</v>
      </c>
      <c r="AN75" s="149">
        <f ca="1">AN64+(AN65-AN70)*(AN57-AN56)</f>
        <v>933.3114143923284</v>
      </c>
      <c r="AO75" s="149">
        <f t="shared" ref="AO75:BM75" ca="1" si="64">AO64+(AO65-AO70)*(AO57-AO56)</f>
        <v>937.01828044755518</v>
      </c>
      <c r="AP75" s="149">
        <f t="shared" ca="1" si="64"/>
        <v>886.66244397875369</v>
      </c>
      <c r="AQ75" s="149">
        <f t="shared" ca="1" si="64"/>
        <v>886.66244397875369</v>
      </c>
      <c r="AR75" s="149">
        <f t="shared" ca="1" si="64"/>
        <v>886.66244397875369</v>
      </c>
      <c r="AS75" s="149">
        <f t="shared" ca="1" si="64"/>
        <v>886.66244397875369</v>
      </c>
      <c r="AT75" s="149">
        <f t="shared" ca="1" si="64"/>
        <v>886.66244397875369</v>
      </c>
      <c r="AU75" s="149">
        <f t="shared" ca="1" si="64"/>
        <v>886.66244397875369</v>
      </c>
      <c r="AV75" s="149">
        <f t="shared" ca="1" si="64"/>
        <v>886.66244397875369</v>
      </c>
      <c r="AW75" s="149">
        <f t="shared" ca="1" si="64"/>
        <v>886.66244397875369</v>
      </c>
      <c r="AX75" s="149">
        <f t="shared" ca="1" si="64"/>
        <v>886.66244397875369</v>
      </c>
      <c r="AY75" s="149">
        <f t="shared" ca="1" si="64"/>
        <v>886.66244397875369</v>
      </c>
      <c r="AZ75" s="149">
        <f t="shared" ca="1" si="64"/>
        <v>886.66244397875369</v>
      </c>
      <c r="BA75" s="149">
        <f t="shared" ca="1" si="64"/>
        <v>886.66244397875369</v>
      </c>
      <c r="BB75" s="149">
        <f t="shared" ca="1" si="64"/>
        <v>948.97720726108923</v>
      </c>
      <c r="BC75" s="149">
        <f t="shared" ca="1" si="64"/>
        <v>946.71145314281637</v>
      </c>
      <c r="BD75" s="149">
        <f t="shared" ca="1" si="64"/>
        <v>944.43719999999973</v>
      </c>
      <c r="BE75" s="149">
        <f t="shared" ca="1" si="64"/>
        <v>944.43719999999973</v>
      </c>
      <c r="BF75" s="149">
        <f t="shared" ca="1" si="64"/>
        <v>944.43719999999973</v>
      </c>
      <c r="BG75" s="149">
        <f t="shared" ca="1" si="64"/>
        <v>944.43719999999973</v>
      </c>
      <c r="BH75" s="149">
        <f t="shared" ca="1" si="64"/>
        <v>944.43719999999973</v>
      </c>
      <c r="BI75" s="149">
        <f t="shared" ca="1" si="64"/>
        <v>944.43719999999973</v>
      </c>
      <c r="BJ75" s="149">
        <f t="shared" ca="1" si="64"/>
        <v>944.43719999999973</v>
      </c>
      <c r="BK75" s="149">
        <f t="shared" ca="1" si="64"/>
        <v>944.43719999999973</v>
      </c>
      <c r="BL75" s="149">
        <f t="shared" ca="1" si="64"/>
        <v>944.43719999999973</v>
      </c>
      <c r="BM75" s="149">
        <f t="shared" ca="1" si="64"/>
        <v>944.43719999999973</v>
      </c>
      <c r="BN75" s="149"/>
      <c r="BO75" s="149"/>
      <c r="BP75" s="149">
        <f ca="1">IF($C$4=Year1,-PMT(Lookups!$E$17,25,NPV(Lookups!$E$17,AM75:BK75),0,1),IF($C$4=Year2,-PMT(Lookups!$F$17,25,NPV(Lookups!$F$17,AN75:BL75),0,1),IF($C$4=Year3,-PMT(Lookups!$G$17,25,NPV(Lookups!$G$17,AO75:BM75),0,1),-PMT(Lookups!$G$17,27,NPV(Lookups!$G$17,AM75:BM75),0,1))))</f>
        <v>903.2321973693131</v>
      </c>
      <c r="BS75" s="84" t="s">
        <v>240</v>
      </c>
      <c r="BT75" s="51" t="s">
        <v>17</v>
      </c>
    </row>
    <row r="76" spans="1:72" x14ac:dyDescent="0.25">
      <c r="B76" s="243" t="str">
        <f t="shared" ref="B76:D85" si="65">B75</f>
        <v>Residential</v>
      </c>
      <c r="C76" s="243" t="str">
        <f t="shared" si="65"/>
        <v>Bills</v>
      </c>
      <c r="D76" s="114" t="s">
        <v>115</v>
      </c>
      <c r="E76" s="84"/>
      <c r="F76" s="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49"/>
      <c r="AI76" s="184"/>
      <c r="AJ76" s="49"/>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S76" s="84"/>
      <c r="BT76" s="51" t="s">
        <v>17</v>
      </c>
    </row>
    <row r="77" spans="1:72" x14ac:dyDescent="0.25">
      <c r="B77" s="243" t="str">
        <f t="shared" si="65"/>
        <v>Residential</v>
      </c>
      <c r="C77" s="243" t="str">
        <f t="shared" si="65"/>
        <v>Bills</v>
      </c>
      <c r="D77" s="244" t="str">
        <f t="shared" si="65"/>
        <v>Change in Bills</v>
      </c>
      <c r="E77" s="84" t="s">
        <v>348</v>
      </c>
      <c r="F77" s="84" t="s">
        <v>32</v>
      </c>
      <c r="G77" s="103">
        <f ca="1">G72-G66</f>
        <v>45.004758119767985</v>
      </c>
      <c r="H77" s="103">
        <f ca="1">H72-H66</f>
        <v>48.291314374881267</v>
      </c>
      <c r="I77" s="103">
        <f t="shared" ref="I77:AG77" ca="1" si="66">I72-I66</f>
        <v>51.751619892107556</v>
      </c>
      <c r="J77" s="103">
        <f t="shared" ca="1" si="66"/>
        <v>5.9402693928338977</v>
      </c>
      <c r="K77" s="103">
        <f t="shared" ca="1" si="66"/>
        <v>5.9402693928338977</v>
      </c>
      <c r="L77" s="103">
        <f t="shared" ca="1" si="66"/>
        <v>5.9402693928338977</v>
      </c>
      <c r="M77" s="103">
        <f t="shared" ca="1" si="66"/>
        <v>5.9402693928338977</v>
      </c>
      <c r="N77" s="103">
        <f t="shared" ca="1" si="66"/>
        <v>5.9402693928338977</v>
      </c>
      <c r="O77" s="103">
        <f t="shared" ca="1" si="66"/>
        <v>5.9402693928338977</v>
      </c>
      <c r="P77" s="103">
        <f t="shared" ca="1" si="66"/>
        <v>5.9402693928338977</v>
      </c>
      <c r="Q77" s="103">
        <f t="shared" ca="1" si="66"/>
        <v>5.9402693928338977</v>
      </c>
      <c r="R77" s="103">
        <f t="shared" ca="1" si="66"/>
        <v>5.9402693928338977</v>
      </c>
      <c r="S77" s="103">
        <f t="shared" ca="1" si="66"/>
        <v>5.9402693928338977</v>
      </c>
      <c r="T77" s="103">
        <f t="shared" ca="1" si="66"/>
        <v>5.9402693928338977</v>
      </c>
      <c r="U77" s="103">
        <f t="shared" ca="1" si="66"/>
        <v>5.9402693928338977</v>
      </c>
      <c r="V77" s="103">
        <f t="shared" ca="1" si="66"/>
        <v>3.964958838391226</v>
      </c>
      <c r="W77" s="103">
        <f t="shared" ca="1" si="66"/>
        <v>1.988075975147467</v>
      </c>
      <c r="X77" s="103">
        <f t="shared" ca="1" si="66"/>
        <v>0</v>
      </c>
      <c r="Y77" s="103">
        <f t="shared" ca="1" si="66"/>
        <v>0</v>
      </c>
      <c r="Z77" s="103">
        <f t="shared" ca="1" si="66"/>
        <v>0</v>
      </c>
      <c r="AA77" s="103">
        <f t="shared" ca="1" si="66"/>
        <v>0</v>
      </c>
      <c r="AB77" s="103">
        <f t="shared" ca="1" si="66"/>
        <v>0</v>
      </c>
      <c r="AC77" s="103">
        <f t="shared" ca="1" si="66"/>
        <v>0</v>
      </c>
      <c r="AD77" s="103">
        <f t="shared" ca="1" si="66"/>
        <v>0</v>
      </c>
      <c r="AE77" s="103">
        <f t="shared" ca="1" si="66"/>
        <v>0</v>
      </c>
      <c r="AF77" s="103">
        <f t="shared" ca="1" si="66"/>
        <v>0</v>
      </c>
      <c r="AG77" s="103">
        <f t="shared" ca="1" si="66"/>
        <v>0</v>
      </c>
      <c r="AH77" s="103"/>
      <c r="AI77" s="65">
        <f ca="1">NPV(Lookups!$E$17,G77:AG77)</f>
        <v>208.13266198852327</v>
      </c>
      <c r="AJ77" s="720">
        <f ca="1">IF($C$4=Year1,-PMT(Lookups!$E$17,25,NPV(Lookups!$E$17,G77:AE77),0,1),IF($C$4=Year2,-PMT(Lookups!$F$17,25,NPV(Lookups!$F$17,H77:AF77),0,1),IF($C$4=Year3,-PMT(Lookups!$G$17,25,NPV(Lookups!$G$17,I77:AG77),0,1),-PMT(Lookups!$G$17,27,NPV(Lookups!$G$17,G77:AG77),0,1))))</f>
        <v>9.1976328449342155</v>
      </c>
      <c r="AM77" s="149">
        <f ca="1">AM72-AM66</f>
        <v>53.897818309296213</v>
      </c>
      <c r="AN77" s="149">
        <f t="shared" ref="AN77:BM77" ca="1" si="67">AN72-AN66</f>
        <v>57.735086454507268</v>
      </c>
      <c r="AO77" s="149">
        <f t="shared" ca="1" si="67"/>
        <v>61.781883458029938</v>
      </c>
      <c r="AP77" s="149">
        <f t="shared" ca="1" si="67"/>
        <v>6.8082628589016849</v>
      </c>
      <c r="AQ77" s="149">
        <f t="shared" ca="1" si="67"/>
        <v>6.8082628589016849</v>
      </c>
      <c r="AR77" s="149">
        <f t="shared" ca="1" si="67"/>
        <v>6.8082628589016849</v>
      </c>
      <c r="AS77" s="149">
        <f t="shared" ca="1" si="67"/>
        <v>6.8082628589016849</v>
      </c>
      <c r="AT77" s="149">
        <f t="shared" ca="1" si="67"/>
        <v>6.8082628589016849</v>
      </c>
      <c r="AU77" s="149">
        <f t="shared" ca="1" si="67"/>
        <v>6.8082628589016849</v>
      </c>
      <c r="AV77" s="149">
        <f t="shared" ca="1" si="67"/>
        <v>6.8082628589016849</v>
      </c>
      <c r="AW77" s="149">
        <f t="shared" ca="1" si="67"/>
        <v>6.8082628589016849</v>
      </c>
      <c r="AX77" s="149">
        <f t="shared" ca="1" si="67"/>
        <v>6.8082628589016849</v>
      </c>
      <c r="AY77" s="149">
        <f t="shared" ca="1" si="67"/>
        <v>6.8082628589016849</v>
      </c>
      <c r="AZ77" s="149">
        <f t="shared" ca="1" si="67"/>
        <v>6.8082628589016849</v>
      </c>
      <c r="BA77" s="149">
        <f t="shared" ca="1" si="67"/>
        <v>6.8082628589016849</v>
      </c>
      <c r="BB77" s="149">
        <f t="shared" ca="1" si="67"/>
        <v>4.5400072610894995</v>
      </c>
      <c r="BC77" s="149">
        <f t="shared" ca="1" si="67"/>
        <v>2.274253142816633</v>
      </c>
      <c r="BD77" s="149">
        <f t="shared" ca="1" si="67"/>
        <v>0</v>
      </c>
      <c r="BE77" s="149">
        <f t="shared" ca="1" si="67"/>
        <v>0</v>
      </c>
      <c r="BF77" s="149">
        <f t="shared" ca="1" si="67"/>
        <v>0</v>
      </c>
      <c r="BG77" s="149">
        <f t="shared" ca="1" si="67"/>
        <v>0</v>
      </c>
      <c r="BH77" s="149">
        <f t="shared" ca="1" si="67"/>
        <v>0</v>
      </c>
      <c r="BI77" s="149">
        <f t="shared" ca="1" si="67"/>
        <v>0</v>
      </c>
      <c r="BJ77" s="149">
        <f t="shared" ca="1" si="67"/>
        <v>0</v>
      </c>
      <c r="BK77" s="149">
        <f t="shared" ca="1" si="67"/>
        <v>0</v>
      </c>
      <c r="BL77" s="149">
        <f t="shared" ca="1" si="67"/>
        <v>0</v>
      </c>
      <c r="BM77" s="149">
        <f t="shared" ca="1" si="67"/>
        <v>0</v>
      </c>
      <c r="BN77" s="149"/>
      <c r="BO77" s="149">
        <f ca="1">NPV(Lookups!$E$17,AM77:BM77)</f>
        <v>245.5106157642214</v>
      </c>
      <c r="BP77" s="149">
        <f ca="1">IF($C$4=Year1,-PMT(Lookups!$E$17,25,NPV(Lookups!$E$17,AM77:BK77),0,1),IF($C$4=Year2,-PMT(Lookups!$F$17,25,NPV(Lookups!$F$17,AN77:BL77),0,1),IF($C$4=Year3,-PMT(Lookups!$G$17,25,NPV(Lookups!$G$17,AO77:BM77),0,1),-PMT(Lookups!$G$17,27,NPV(Lookups!$G$17,AM77:BM77),0,1))))</f>
        <v>10.849409610960254</v>
      </c>
      <c r="BS77" s="84" t="s">
        <v>241</v>
      </c>
      <c r="BT77" s="51" t="s">
        <v>17</v>
      </c>
    </row>
    <row r="78" spans="1:72" x14ac:dyDescent="0.25">
      <c r="B78" s="243" t="str">
        <f t="shared" si="65"/>
        <v>Residential</v>
      </c>
      <c r="C78" s="243" t="str">
        <f t="shared" si="65"/>
        <v>Bills</v>
      </c>
      <c r="D78" s="244" t="str">
        <f t="shared" si="65"/>
        <v>Change in Bills</v>
      </c>
      <c r="E78" s="84" t="s">
        <v>348</v>
      </c>
      <c r="F78" s="84" t="s">
        <v>16</v>
      </c>
      <c r="G78" s="223">
        <f ca="1">IFERROR(G72/G66-1,0)</f>
        <v>4.7652462355112668E-2</v>
      </c>
      <c r="H78" s="223">
        <f t="shared" ref="H78:AJ78" ca="1" si="68">IFERROR(H72/H66-1,0)</f>
        <v>5.1132372141717175E-2</v>
      </c>
      <c r="I78" s="223">
        <f t="shared" ca="1" si="68"/>
        <v>5.4796253146432106E-2</v>
      </c>
      <c r="J78" s="223">
        <f t="shared" ca="1" si="68"/>
        <v>6.2897452502230777E-3</v>
      </c>
      <c r="K78" s="223">
        <f t="shared" ca="1" si="68"/>
        <v>6.2897452502230777E-3</v>
      </c>
      <c r="L78" s="223">
        <f t="shared" ca="1" si="68"/>
        <v>6.2897452502230777E-3</v>
      </c>
      <c r="M78" s="223">
        <f t="shared" ca="1" si="68"/>
        <v>6.2897452502230777E-3</v>
      </c>
      <c r="N78" s="223">
        <f t="shared" ca="1" si="68"/>
        <v>6.2897452502230777E-3</v>
      </c>
      <c r="O78" s="223">
        <f t="shared" ca="1" si="68"/>
        <v>6.2897452502230777E-3</v>
      </c>
      <c r="P78" s="223">
        <f t="shared" ca="1" si="68"/>
        <v>6.2897452502230777E-3</v>
      </c>
      <c r="Q78" s="223">
        <f t="shared" ca="1" si="68"/>
        <v>6.2897452502230777E-3</v>
      </c>
      <c r="R78" s="223">
        <f t="shared" ca="1" si="68"/>
        <v>6.2897452502230777E-3</v>
      </c>
      <c r="S78" s="224">
        <f t="shared" ca="1" si="68"/>
        <v>6.2897452502230777E-3</v>
      </c>
      <c r="T78" s="224">
        <f t="shared" ca="1" si="68"/>
        <v>6.2897452502230777E-3</v>
      </c>
      <c r="U78" s="224">
        <f t="shared" ca="1" si="68"/>
        <v>6.2897452502230777E-3</v>
      </c>
      <c r="V78" s="224">
        <f t="shared" ca="1" si="68"/>
        <v>4.1982239140847533E-3</v>
      </c>
      <c r="W78" s="224">
        <f t="shared" ca="1" si="68"/>
        <v>2.1050377676223864E-3</v>
      </c>
      <c r="X78" s="224">
        <f t="shared" ca="1" si="68"/>
        <v>0</v>
      </c>
      <c r="Y78" s="224">
        <f t="shared" ca="1" si="68"/>
        <v>0</v>
      </c>
      <c r="Z78" s="224">
        <f t="shared" ca="1" si="68"/>
        <v>0</v>
      </c>
      <c r="AA78" s="224">
        <f t="shared" ca="1" si="68"/>
        <v>0</v>
      </c>
      <c r="AB78" s="224">
        <f t="shared" ca="1" si="68"/>
        <v>0</v>
      </c>
      <c r="AC78" s="224">
        <f t="shared" ca="1" si="68"/>
        <v>0</v>
      </c>
      <c r="AD78" s="224">
        <f t="shared" ca="1" si="68"/>
        <v>0</v>
      </c>
      <c r="AE78" s="224">
        <f t="shared" ca="1" si="68"/>
        <v>0</v>
      </c>
      <c r="AF78" s="224">
        <f t="shared" ca="1" si="68"/>
        <v>0</v>
      </c>
      <c r="AG78" s="224">
        <f t="shared" ca="1" si="68"/>
        <v>0</v>
      </c>
      <c r="AH78" s="224">
        <f t="shared" si="68"/>
        <v>0</v>
      </c>
      <c r="AI78" s="224"/>
      <c r="AJ78" s="224">
        <f t="shared" ca="1" si="68"/>
        <v>9.8764895178575784E-3</v>
      </c>
      <c r="AK78" s="212"/>
      <c r="AL78" s="212"/>
      <c r="AM78" s="504">
        <f ca="1">IFERROR(AM72/AM66-1,0)</f>
        <v>5.7068715960464367E-2</v>
      </c>
      <c r="AN78" s="504">
        <f t="shared" ref="AN78:BM78" ca="1" si="69">IFERROR(AN72/AN66-1,0)</f>
        <v>6.1131736927036773E-2</v>
      </c>
      <c r="AO78" s="504">
        <f t="shared" ca="1" si="69"/>
        <v>6.5416613680644886E-2</v>
      </c>
      <c r="AP78" s="504">
        <f t="shared" ca="1" si="69"/>
        <v>7.208804205194097E-3</v>
      </c>
      <c r="AQ78" s="504">
        <f t="shared" ca="1" si="69"/>
        <v>7.208804205194097E-3</v>
      </c>
      <c r="AR78" s="504">
        <f t="shared" ca="1" si="69"/>
        <v>7.208804205194097E-3</v>
      </c>
      <c r="AS78" s="504">
        <f t="shared" ca="1" si="69"/>
        <v>7.208804205194097E-3</v>
      </c>
      <c r="AT78" s="504">
        <f t="shared" ca="1" si="69"/>
        <v>7.208804205194097E-3</v>
      </c>
      <c r="AU78" s="504">
        <f t="shared" ca="1" si="69"/>
        <v>7.208804205194097E-3</v>
      </c>
      <c r="AV78" s="504">
        <f t="shared" ca="1" si="69"/>
        <v>7.208804205194097E-3</v>
      </c>
      <c r="AW78" s="504">
        <f t="shared" ca="1" si="69"/>
        <v>7.208804205194097E-3</v>
      </c>
      <c r="AX78" s="504">
        <f t="shared" ca="1" si="69"/>
        <v>7.208804205194097E-3</v>
      </c>
      <c r="AY78" s="504">
        <f t="shared" ca="1" si="69"/>
        <v>7.208804205194097E-3</v>
      </c>
      <c r="AZ78" s="504">
        <f t="shared" ca="1" si="69"/>
        <v>7.208804205194097E-3</v>
      </c>
      <c r="BA78" s="504">
        <f t="shared" ca="1" si="69"/>
        <v>7.208804205194097E-3</v>
      </c>
      <c r="BB78" s="504">
        <f t="shared" ca="1" si="69"/>
        <v>4.8071033850525247E-3</v>
      </c>
      <c r="BC78" s="504">
        <f t="shared" ca="1" si="69"/>
        <v>2.408051210622153E-3</v>
      </c>
      <c r="BD78" s="504">
        <f t="shared" ca="1" si="69"/>
        <v>0</v>
      </c>
      <c r="BE78" s="504">
        <f t="shared" ca="1" si="69"/>
        <v>0</v>
      </c>
      <c r="BF78" s="504">
        <f t="shared" ca="1" si="69"/>
        <v>0</v>
      </c>
      <c r="BG78" s="504">
        <f t="shared" ca="1" si="69"/>
        <v>0</v>
      </c>
      <c r="BH78" s="504">
        <f t="shared" ca="1" si="69"/>
        <v>0</v>
      </c>
      <c r="BI78" s="504">
        <f t="shared" ca="1" si="69"/>
        <v>0</v>
      </c>
      <c r="BJ78" s="504">
        <f t="shared" ca="1" si="69"/>
        <v>0</v>
      </c>
      <c r="BK78" s="504">
        <f t="shared" ca="1" si="69"/>
        <v>0</v>
      </c>
      <c r="BL78" s="504">
        <f t="shared" ca="1" si="69"/>
        <v>0</v>
      </c>
      <c r="BM78" s="504">
        <f t="shared" ca="1" si="69"/>
        <v>0</v>
      </c>
      <c r="BN78" s="504"/>
      <c r="BO78" s="504"/>
      <c r="BP78" s="504">
        <f ca="1">IFERROR(BP72/BP66-1,0)</f>
        <v>1.1650180226166373E-2</v>
      </c>
      <c r="BS78" s="84" t="s">
        <v>242</v>
      </c>
      <c r="BT78" s="51" t="s">
        <v>17</v>
      </c>
    </row>
    <row r="79" spans="1:72" x14ac:dyDescent="0.25">
      <c r="B79" s="243" t="str">
        <f t="shared" si="65"/>
        <v>Residential</v>
      </c>
      <c r="C79" s="243" t="str">
        <f t="shared" si="65"/>
        <v>Bills</v>
      </c>
      <c r="D79" s="244" t="str">
        <f t="shared" si="65"/>
        <v>Change in Bills</v>
      </c>
      <c r="E79" s="84" t="s">
        <v>349</v>
      </c>
      <c r="F79" s="84" t="s">
        <v>32</v>
      </c>
      <c r="G79" s="103">
        <f ca="1">G73-G66</f>
        <v>38.657310484870777</v>
      </c>
      <c r="H79" s="103">
        <f ca="1">H73-H66</f>
        <v>35.458892042670755</v>
      </c>
      <c r="I79" s="103">
        <f t="shared" ref="I79:AG79" ca="1" si="70">I73-I66</f>
        <v>32.255764107828213</v>
      </c>
      <c r="J79" s="103">
        <f t="shared" ca="1" si="70"/>
        <v>-12.458088538457787</v>
      </c>
      <c r="K79" s="103">
        <f t="shared" ca="1" si="70"/>
        <v>-12.458088538457787</v>
      </c>
      <c r="L79" s="103">
        <f t="shared" ca="1" si="70"/>
        <v>-12.458088538457787</v>
      </c>
      <c r="M79" s="103">
        <f t="shared" ca="1" si="70"/>
        <v>-12.458088538457787</v>
      </c>
      <c r="N79" s="103">
        <f t="shared" ca="1" si="70"/>
        <v>-12.458088538457787</v>
      </c>
      <c r="O79" s="103">
        <f t="shared" ca="1" si="70"/>
        <v>-12.458088538457787</v>
      </c>
      <c r="P79" s="103">
        <f t="shared" ca="1" si="70"/>
        <v>-12.458088538457787</v>
      </c>
      <c r="Q79" s="103">
        <f t="shared" ca="1" si="70"/>
        <v>-12.458088538457787</v>
      </c>
      <c r="R79" s="103">
        <f t="shared" ca="1" si="70"/>
        <v>-12.458088538457787</v>
      </c>
      <c r="S79" s="103">
        <f t="shared" ca="1" si="70"/>
        <v>-12.458088538457787</v>
      </c>
      <c r="T79" s="103">
        <f t="shared" ca="1" si="70"/>
        <v>-12.458088538457787</v>
      </c>
      <c r="U79" s="103">
        <f t="shared" ca="1" si="70"/>
        <v>-12.458088538457787</v>
      </c>
      <c r="V79" s="103">
        <f t="shared" ca="1" si="70"/>
        <v>-8.3614103508876951</v>
      </c>
      <c r="W79" s="103">
        <f t="shared" ca="1" si="70"/>
        <v>-4.2164388397441144</v>
      </c>
      <c r="X79" s="103">
        <f t="shared" ca="1" si="70"/>
        <v>0</v>
      </c>
      <c r="Y79" s="103">
        <f t="shared" ca="1" si="70"/>
        <v>0</v>
      </c>
      <c r="Z79" s="103">
        <f t="shared" ca="1" si="70"/>
        <v>0</v>
      </c>
      <c r="AA79" s="103">
        <f t="shared" ca="1" si="70"/>
        <v>0</v>
      </c>
      <c r="AB79" s="103">
        <f t="shared" ca="1" si="70"/>
        <v>0</v>
      </c>
      <c r="AC79" s="103">
        <f t="shared" ca="1" si="70"/>
        <v>0</v>
      </c>
      <c r="AD79" s="103">
        <f t="shared" ca="1" si="70"/>
        <v>0</v>
      </c>
      <c r="AE79" s="103">
        <f t="shared" ca="1" si="70"/>
        <v>0</v>
      </c>
      <c r="AF79" s="103">
        <f t="shared" ca="1" si="70"/>
        <v>0</v>
      </c>
      <c r="AG79" s="103">
        <f t="shared" ca="1" si="70"/>
        <v>0</v>
      </c>
      <c r="AH79" s="103"/>
      <c r="AI79" s="65">
        <f ca="1">NPV(Lookups!$E$17,G79:AG79)</f>
        <v>-37.45713735783697</v>
      </c>
      <c r="AJ79" s="720">
        <f ca="1">IF($C$4=Year1,-PMT(Lookups!$E$17,25,NPV(Lookups!$E$17,G79:AE79),0,1),IF($C$4=Year2,-PMT(Lookups!$F$17,25,NPV(Lookups!$F$17,H79:AF79),0,1),IF($C$4=Year3,-PMT(Lookups!$G$17,25,NPV(Lookups!$G$17,I79:AG79),0,1),-PMT(Lookups!$G$17,27,NPV(Lookups!$G$17,G79:AG79),0,1))))</f>
        <v>-1.6552759838273285</v>
      </c>
      <c r="AM79" s="149">
        <f ca="1">AM73-AM66</f>
        <v>46.56365574532424</v>
      </c>
      <c r="AN79" s="149">
        <f t="shared" ref="AN79:BM79" ca="1" si="71">AN73-AN66</f>
        <v>42.898544047799987</v>
      </c>
      <c r="AO79" s="149">
        <f t="shared" ca="1" si="71"/>
        <v>39.226283702780961</v>
      </c>
      <c r="AP79" s="149">
        <f t="shared" ca="1" si="71"/>
        <v>-14.242196983678582</v>
      </c>
      <c r="AQ79" s="149">
        <f t="shared" ca="1" si="71"/>
        <v>-14.242196983678582</v>
      </c>
      <c r="AR79" s="149">
        <f t="shared" ca="1" si="71"/>
        <v>-14.242196983678582</v>
      </c>
      <c r="AS79" s="149">
        <f t="shared" ca="1" si="71"/>
        <v>-14.242196983678582</v>
      </c>
      <c r="AT79" s="149">
        <f t="shared" ca="1" si="71"/>
        <v>-14.242196983678582</v>
      </c>
      <c r="AU79" s="149">
        <f t="shared" ca="1" si="71"/>
        <v>-14.242196983678582</v>
      </c>
      <c r="AV79" s="149">
        <f t="shared" ca="1" si="71"/>
        <v>-14.242196983678582</v>
      </c>
      <c r="AW79" s="149">
        <f t="shared" ca="1" si="71"/>
        <v>-14.242196983678582</v>
      </c>
      <c r="AX79" s="149">
        <f t="shared" ca="1" si="71"/>
        <v>-14.242196983678582</v>
      </c>
      <c r="AY79" s="149">
        <f t="shared" ca="1" si="71"/>
        <v>-14.242196983678582</v>
      </c>
      <c r="AZ79" s="149">
        <f t="shared" ca="1" si="71"/>
        <v>-14.242196983678582</v>
      </c>
      <c r="BA79" s="149">
        <f t="shared" ca="1" si="71"/>
        <v>-14.242196983678582</v>
      </c>
      <c r="BB79" s="149">
        <f t="shared" ca="1" si="71"/>
        <v>-9.557847327751233</v>
      </c>
      <c r="BC79" s="149">
        <f t="shared" ca="1" si="71"/>
        <v>-4.8192769249656067</v>
      </c>
      <c r="BD79" s="149">
        <f t="shared" ca="1" si="71"/>
        <v>0</v>
      </c>
      <c r="BE79" s="149">
        <f t="shared" ca="1" si="71"/>
        <v>0</v>
      </c>
      <c r="BF79" s="149">
        <f t="shared" ca="1" si="71"/>
        <v>0</v>
      </c>
      <c r="BG79" s="149">
        <f t="shared" ca="1" si="71"/>
        <v>0</v>
      </c>
      <c r="BH79" s="149">
        <f t="shared" ca="1" si="71"/>
        <v>0</v>
      </c>
      <c r="BI79" s="149">
        <f t="shared" ca="1" si="71"/>
        <v>0</v>
      </c>
      <c r="BJ79" s="149">
        <f t="shared" ca="1" si="71"/>
        <v>0</v>
      </c>
      <c r="BK79" s="149">
        <f t="shared" ca="1" si="71"/>
        <v>0</v>
      </c>
      <c r="BL79" s="149">
        <f t="shared" ca="1" si="71"/>
        <v>0</v>
      </c>
      <c r="BM79" s="149">
        <f t="shared" ca="1" si="71"/>
        <v>0</v>
      </c>
      <c r="BN79" s="149"/>
      <c r="BO79" s="149">
        <f ca="1">NPV(Lookups!$E$17,AM79:BM79)</f>
        <v>-35.932127848023804</v>
      </c>
      <c r="BP79" s="149">
        <f ca="1">IF($C$4=Year1,-PMT(Lookups!$E$17,25,NPV(Lookups!$E$17,AM79:BK79),0,1),IF($C$4=Year2,-PMT(Lookups!$F$17,25,NPV(Lookups!$F$17,AN79:BL79),0,1),IF($C$4=Year3,-PMT(Lookups!$G$17,25,NPV(Lookups!$G$17,AO79:BM79),0,1),-PMT(Lookups!$G$17,27,NPV(Lookups!$G$17,AM79:BM79),0,1))))</f>
        <v>-1.5878839780638696</v>
      </c>
      <c r="BS79" s="84" t="s">
        <v>241</v>
      </c>
      <c r="BT79" s="51" t="s">
        <v>17</v>
      </c>
    </row>
    <row r="80" spans="1:72" x14ac:dyDescent="0.25">
      <c r="B80" s="243" t="str">
        <f t="shared" si="65"/>
        <v>Residential</v>
      </c>
      <c r="C80" s="243" t="str">
        <f t="shared" si="65"/>
        <v>Bills</v>
      </c>
      <c r="D80" s="244" t="str">
        <f t="shared" si="65"/>
        <v>Change in Bills</v>
      </c>
      <c r="E80" s="84" t="s">
        <v>349</v>
      </c>
      <c r="F80" s="84" t="s">
        <v>16</v>
      </c>
      <c r="G80" s="223">
        <f ca="1">IFERROR(G73/G66-1,0)</f>
        <v>4.0931583894483259E-2</v>
      </c>
      <c r="H80" s="223">
        <f t="shared" ref="H80:AJ80" ca="1" si="72">IFERROR(H73/H66-1,0)</f>
        <v>3.7544997213865283E-2</v>
      </c>
      <c r="I80" s="223">
        <f t="shared" ca="1" si="72"/>
        <v>3.4153423973376063E-2</v>
      </c>
      <c r="J80" s="223">
        <f t="shared" ca="1" si="72"/>
        <v>-1.3191018458885151E-2</v>
      </c>
      <c r="K80" s="223">
        <f t="shared" ca="1" si="72"/>
        <v>-1.3191018458885151E-2</v>
      </c>
      <c r="L80" s="223">
        <f t="shared" ca="1" si="72"/>
        <v>-1.3191018458885151E-2</v>
      </c>
      <c r="M80" s="223">
        <f t="shared" ca="1" si="72"/>
        <v>-1.3191018458885151E-2</v>
      </c>
      <c r="N80" s="223">
        <f t="shared" ca="1" si="72"/>
        <v>-1.3191018458885151E-2</v>
      </c>
      <c r="O80" s="223">
        <f t="shared" ca="1" si="72"/>
        <v>-1.3191018458885151E-2</v>
      </c>
      <c r="P80" s="223">
        <f t="shared" ca="1" si="72"/>
        <v>-1.3191018458885151E-2</v>
      </c>
      <c r="Q80" s="223">
        <f t="shared" ca="1" si="72"/>
        <v>-1.3191018458885151E-2</v>
      </c>
      <c r="R80" s="223">
        <f t="shared" ca="1" si="72"/>
        <v>-1.3191018458885151E-2</v>
      </c>
      <c r="S80" s="224">
        <f t="shared" ca="1" si="72"/>
        <v>-1.3191018458885151E-2</v>
      </c>
      <c r="T80" s="224">
        <f t="shared" ca="1" si="72"/>
        <v>-1.3191018458885151E-2</v>
      </c>
      <c r="U80" s="224">
        <f t="shared" ca="1" si="72"/>
        <v>-1.3191018458885151E-2</v>
      </c>
      <c r="V80" s="224">
        <f t="shared" ca="1" si="72"/>
        <v>-8.8533259288047228E-3</v>
      </c>
      <c r="W80" s="224">
        <f t="shared" ca="1" si="72"/>
        <v>-4.4644988991794365E-3</v>
      </c>
      <c r="X80" s="224">
        <f t="shared" ca="1" si="72"/>
        <v>0</v>
      </c>
      <c r="Y80" s="224">
        <f t="shared" ca="1" si="72"/>
        <v>0</v>
      </c>
      <c r="Z80" s="224">
        <f t="shared" ca="1" si="72"/>
        <v>0</v>
      </c>
      <c r="AA80" s="224">
        <f t="shared" ca="1" si="72"/>
        <v>0</v>
      </c>
      <c r="AB80" s="224">
        <f t="shared" ca="1" si="72"/>
        <v>0</v>
      </c>
      <c r="AC80" s="224">
        <f t="shared" ca="1" si="72"/>
        <v>0</v>
      </c>
      <c r="AD80" s="224">
        <f t="shared" ca="1" si="72"/>
        <v>0</v>
      </c>
      <c r="AE80" s="224">
        <f t="shared" ca="1" si="72"/>
        <v>0</v>
      </c>
      <c r="AF80" s="224">
        <f t="shared" ca="1" si="72"/>
        <v>0</v>
      </c>
      <c r="AG80" s="224">
        <f t="shared" ca="1" si="72"/>
        <v>0</v>
      </c>
      <c r="AH80" s="224">
        <f t="shared" si="72"/>
        <v>0</v>
      </c>
      <c r="AI80" s="224"/>
      <c r="AJ80" s="224">
        <f t="shared" ca="1" si="72"/>
        <v>-1.7774481955357135E-3</v>
      </c>
      <c r="AK80" s="212"/>
      <c r="AL80" s="212"/>
      <c r="AM80" s="504">
        <f ca="1">IFERROR(AM73/AM66-1,0)</f>
        <v>4.9303072502146605E-2</v>
      </c>
      <c r="AN80" s="504">
        <f t="shared" ref="AN80:BM80" ca="1" si="73">IFERROR(AN73/AN66-1,0)</f>
        <v>4.5422336231355498E-2</v>
      </c>
      <c r="AO80" s="504">
        <f t="shared" ca="1" si="73"/>
        <v>4.1534030746333439E-2</v>
      </c>
      <c r="AP80" s="504">
        <f t="shared" ca="1" si="73"/>
        <v>-1.5080088949989023E-2</v>
      </c>
      <c r="AQ80" s="504">
        <f t="shared" ca="1" si="73"/>
        <v>-1.5080088949989023E-2</v>
      </c>
      <c r="AR80" s="504">
        <f t="shared" ca="1" si="73"/>
        <v>-1.5080088949989023E-2</v>
      </c>
      <c r="AS80" s="504">
        <f t="shared" ca="1" si="73"/>
        <v>-1.5080088949989023E-2</v>
      </c>
      <c r="AT80" s="504">
        <f t="shared" ca="1" si="73"/>
        <v>-1.5080088949989023E-2</v>
      </c>
      <c r="AU80" s="504">
        <f t="shared" ca="1" si="73"/>
        <v>-1.5080088949989023E-2</v>
      </c>
      <c r="AV80" s="504">
        <f t="shared" ca="1" si="73"/>
        <v>-1.5080088949989023E-2</v>
      </c>
      <c r="AW80" s="504">
        <f t="shared" ca="1" si="73"/>
        <v>-1.5080088949989023E-2</v>
      </c>
      <c r="AX80" s="504">
        <f t="shared" ca="1" si="73"/>
        <v>-1.5080088949989023E-2</v>
      </c>
      <c r="AY80" s="504">
        <f t="shared" ca="1" si="73"/>
        <v>-1.5080088949989023E-2</v>
      </c>
      <c r="AZ80" s="504">
        <f t="shared" ca="1" si="73"/>
        <v>-1.5080088949989023E-2</v>
      </c>
      <c r="BA80" s="504">
        <f t="shared" ca="1" si="73"/>
        <v>-1.5080088949989023E-2</v>
      </c>
      <c r="BB80" s="504">
        <f t="shared" ca="1" si="73"/>
        <v>-1.0120151268661615E-2</v>
      </c>
      <c r="BC80" s="504">
        <f t="shared" ca="1" si="73"/>
        <v>-5.102802944405016E-3</v>
      </c>
      <c r="BD80" s="504">
        <f t="shared" ca="1" si="73"/>
        <v>0</v>
      </c>
      <c r="BE80" s="504">
        <f t="shared" ca="1" si="73"/>
        <v>0</v>
      </c>
      <c r="BF80" s="504">
        <f t="shared" ca="1" si="73"/>
        <v>0</v>
      </c>
      <c r="BG80" s="504">
        <f t="shared" ca="1" si="73"/>
        <v>0</v>
      </c>
      <c r="BH80" s="504">
        <f t="shared" ca="1" si="73"/>
        <v>0</v>
      </c>
      <c r="BI80" s="504">
        <f t="shared" ca="1" si="73"/>
        <v>0</v>
      </c>
      <c r="BJ80" s="504">
        <f t="shared" ca="1" si="73"/>
        <v>0</v>
      </c>
      <c r="BK80" s="504">
        <f t="shared" ca="1" si="73"/>
        <v>0</v>
      </c>
      <c r="BL80" s="504">
        <f t="shared" ca="1" si="73"/>
        <v>0</v>
      </c>
      <c r="BM80" s="504">
        <f t="shared" ca="1" si="73"/>
        <v>0</v>
      </c>
      <c r="BN80" s="504"/>
      <c r="BO80" s="504"/>
      <c r="BP80" s="504">
        <f t="shared" ref="BP80" ca="1" si="74">IFERROR(BP73/BP66-1,0)</f>
        <v>-1.7050821368194136E-3</v>
      </c>
      <c r="BS80" s="84" t="s">
        <v>242</v>
      </c>
      <c r="BT80" s="51" t="s">
        <v>17</v>
      </c>
    </row>
    <row r="81" spans="1:72" x14ac:dyDescent="0.25">
      <c r="B81" s="243" t="str">
        <f t="shared" si="65"/>
        <v>Residential</v>
      </c>
      <c r="C81" s="243" t="str">
        <f t="shared" si="65"/>
        <v>Bills</v>
      </c>
      <c r="D81" s="244" t="str">
        <f t="shared" si="65"/>
        <v>Change in Bills</v>
      </c>
      <c r="E81" s="84" t="str">
        <f>'EE Inputs'!$N$15&amp;" Participant Annual Bill"</f>
        <v>Low Savings Participant Annual Bill</v>
      </c>
      <c r="F81" s="84" t="s">
        <v>32</v>
      </c>
      <c r="G81" s="103">
        <f ca="1">G74-G66</f>
        <v>36.934338538570387</v>
      </c>
      <c r="H81" s="103">
        <f ca="1">H74-H66</f>
        <v>40.188029231132532</v>
      </c>
      <c r="I81" s="103">
        <f t="shared" ref="I81:AG81" ca="1" si="75">I74-I66</f>
        <v>43.613731693186423</v>
      </c>
      <c r="J81" s="103">
        <f t="shared" ca="1" si="75"/>
        <v>-1.7395053010944821</v>
      </c>
      <c r="K81" s="103">
        <f t="shared" ca="1" si="75"/>
        <v>-1.7395053010944821</v>
      </c>
      <c r="L81" s="103">
        <f t="shared" ca="1" si="75"/>
        <v>-1.7395053010944821</v>
      </c>
      <c r="M81" s="103">
        <f t="shared" ca="1" si="75"/>
        <v>-1.7395053010944821</v>
      </c>
      <c r="N81" s="103">
        <f t="shared" ca="1" si="75"/>
        <v>-1.7395053010944821</v>
      </c>
      <c r="O81" s="103">
        <f t="shared" ca="1" si="75"/>
        <v>-1.7395053010944821</v>
      </c>
      <c r="P81" s="103">
        <f t="shared" ca="1" si="75"/>
        <v>-1.7395053010944821</v>
      </c>
      <c r="Q81" s="103">
        <f t="shared" ca="1" si="75"/>
        <v>-1.7395053010944821</v>
      </c>
      <c r="R81" s="103">
        <f t="shared" ca="1" si="75"/>
        <v>-1.7395053010944821</v>
      </c>
      <c r="S81" s="103">
        <f t="shared" ca="1" si="75"/>
        <v>-1.7395053010944821</v>
      </c>
      <c r="T81" s="103">
        <f t="shared" ca="1" si="75"/>
        <v>-1.7395053010944821</v>
      </c>
      <c r="U81" s="103">
        <f t="shared" ca="1" si="75"/>
        <v>-1.7395053010944821</v>
      </c>
      <c r="V81" s="103">
        <f t="shared" ca="1" si="75"/>
        <v>3.964958838391226</v>
      </c>
      <c r="W81" s="103">
        <f t="shared" ca="1" si="75"/>
        <v>1.988075975147467</v>
      </c>
      <c r="X81" s="103">
        <f t="shared" ca="1" si="75"/>
        <v>0</v>
      </c>
      <c r="Y81" s="103">
        <f t="shared" ca="1" si="75"/>
        <v>0</v>
      </c>
      <c r="Z81" s="103">
        <f t="shared" ca="1" si="75"/>
        <v>0</v>
      </c>
      <c r="AA81" s="103">
        <f t="shared" ca="1" si="75"/>
        <v>0</v>
      </c>
      <c r="AB81" s="103">
        <f t="shared" ca="1" si="75"/>
        <v>0</v>
      </c>
      <c r="AC81" s="103">
        <f t="shared" ca="1" si="75"/>
        <v>0</v>
      </c>
      <c r="AD81" s="103">
        <f t="shared" ca="1" si="75"/>
        <v>0</v>
      </c>
      <c r="AE81" s="103">
        <f t="shared" ca="1" si="75"/>
        <v>0</v>
      </c>
      <c r="AF81" s="103">
        <f t="shared" ca="1" si="75"/>
        <v>0</v>
      </c>
      <c r="AG81" s="103">
        <f t="shared" ca="1" si="75"/>
        <v>0</v>
      </c>
      <c r="AH81" s="103"/>
      <c r="AI81" s="65">
        <f ca="1">NPV(Lookups!$E$17,G81:AG81)</f>
        <v>103.75293387116163</v>
      </c>
      <c r="AJ81" s="720">
        <f ca="1">IF($C$4=Year1,-PMT(Lookups!$E$17,25,NPV(Lookups!$E$17,G81:AE81),0,1),IF($C$4=Year2,-PMT(Lookups!$F$17,25,NPV(Lookups!$F$17,H81:AF81),0,1),IF($C$4=Year3,-PMT(Lookups!$G$17,25,NPV(Lookups!$G$17,I81:AG81),0,1),-PMT(Lookups!$G$17,27,NPV(Lookups!$G$17,G81:AG81),0,1))))</f>
        <v>4.584967026387738</v>
      </c>
      <c r="AM81" s="149">
        <f ca="1">AM74-AM66</f>
        <v>44.106598089584736</v>
      </c>
      <c r="AN81" s="149">
        <f t="shared" ref="AN81:BM81" ca="1" si="76">AN74-AN66</f>
        <v>47.897819017053166</v>
      </c>
      <c r="AO81" s="149">
        <f t="shared" ca="1" si="76"/>
        <v>51.896054456533648</v>
      </c>
      <c r="AP81" s="149">
        <f t="shared" ca="1" si="76"/>
        <v>-2.4178826954050692</v>
      </c>
      <c r="AQ81" s="149">
        <f t="shared" ca="1" si="76"/>
        <v>-2.4178826954050692</v>
      </c>
      <c r="AR81" s="149">
        <f t="shared" ca="1" si="76"/>
        <v>-2.4178826954050692</v>
      </c>
      <c r="AS81" s="149">
        <f t="shared" ca="1" si="76"/>
        <v>-2.4178826954050692</v>
      </c>
      <c r="AT81" s="149">
        <f t="shared" ca="1" si="76"/>
        <v>-2.4178826954050692</v>
      </c>
      <c r="AU81" s="149">
        <f t="shared" ca="1" si="76"/>
        <v>-2.4178826954050692</v>
      </c>
      <c r="AV81" s="149">
        <f t="shared" ca="1" si="76"/>
        <v>-2.4178826954050692</v>
      </c>
      <c r="AW81" s="149">
        <f t="shared" ca="1" si="76"/>
        <v>-2.4178826954050692</v>
      </c>
      <c r="AX81" s="149">
        <f t="shared" ca="1" si="76"/>
        <v>-2.4178826954050692</v>
      </c>
      <c r="AY81" s="149">
        <f t="shared" ca="1" si="76"/>
        <v>-2.4178826954050692</v>
      </c>
      <c r="AZ81" s="149">
        <f t="shared" ca="1" si="76"/>
        <v>-2.4178826954050692</v>
      </c>
      <c r="BA81" s="149">
        <f t="shared" ca="1" si="76"/>
        <v>-2.4178826954050692</v>
      </c>
      <c r="BB81" s="149">
        <f t="shared" ca="1" si="76"/>
        <v>4.5400072610894995</v>
      </c>
      <c r="BC81" s="149">
        <f t="shared" ca="1" si="76"/>
        <v>2.274253142816633</v>
      </c>
      <c r="BD81" s="149">
        <f t="shared" ca="1" si="76"/>
        <v>0</v>
      </c>
      <c r="BE81" s="149">
        <f t="shared" ca="1" si="76"/>
        <v>0</v>
      </c>
      <c r="BF81" s="149">
        <f t="shared" ca="1" si="76"/>
        <v>0</v>
      </c>
      <c r="BG81" s="149">
        <f t="shared" ca="1" si="76"/>
        <v>0</v>
      </c>
      <c r="BH81" s="149">
        <f t="shared" ca="1" si="76"/>
        <v>0</v>
      </c>
      <c r="BI81" s="149">
        <f t="shared" ca="1" si="76"/>
        <v>0</v>
      </c>
      <c r="BJ81" s="149">
        <f t="shared" ca="1" si="76"/>
        <v>0</v>
      </c>
      <c r="BK81" s="149">
        <f t="shared" ca="1" si="76"/>
        <v>0</v>
      </c>
      <c r="BL81" s="149">
        <f t="shared" ca="1" si="76"/>
        <v>0</v>
      </c>
      <c r="BM81" s="149">
        <f t="shared" ca="1" si="76"/>
        <v>0</v>
      </c>
      <c r="BN81" s="149"/>
      <c r="BO81" s="149">
        <f ca="1">NPV(Lookups!$E$17,AM81:BM81)</f>
        <v>119.81462307784841</v>
      </c>
      <c r="BP81" s="149">
        <f ca="1">IF($C$4=Year1,-PMT(Lookups!$E$17,25,NPV(Lookups!$E$17,AM81:BK81),0,1),IF($C$4=Year2,-PMT(Lookups!$F$17,25,NPV(Lookups!$F$17,AN81:BL81),0,1),IF($C$4=Year3,-PMT(Lookups!$G$17,25,NPV(Lookups!$G$17,AO81:BM81),0,1),-PMT(Lookups!$G$17,27,NPV(Lookups!$G$17,AM81:BM81),0,1))))</f>
        <v>5.2947524045264833</v>
      </c>
      <c r="BS81" s="84" t="s">
        <v>241</v>
      </c>
      <c r="BT81" s="51" t="s">
        <v>17</v>
      </c>
    </row>
    <row r="82" spans="1:72" x14ac:dyDescent="0.25">
      <c r="B82" s="243" t="str">
        <f t="shared" si="65"/>
        <v>Residential</v>
      </c>
      <c r="C82" s="243" t="str">
        <f t="shared" si="65"/>
        <v>Bills</v>
      </c>
      <c r="D82" s="244" t="str">
        <f t="shared" si="65"/>
        <v>Change in Bills</v>
      </c>
      <c r="E82" s="84" t="str">
        <f>'EE Inputs'!$N$15&amp;" Participant Annual Bill"</f>
        <v>Low Savings Participant Annual Bill</v>
      </c>
      <c r="F82" s="84" t="s">
        <v>16</v>
      </c>
      <c r="G82" s="223">
        <f ca="1">IFERROR(G74/G66-1,0)</f>
        <v>3.9107246663484307E-2</v>
      </c>
      <c r="H82" s="223">
        <f t="shared" ref="H82:AJ82" ca="1" si="77">IFERROR(H74/H66-1,0)</f>
        <v>4.2552357352222625E-2</v>
      </c>
      <c r="I82" s="223">
        <f t="shared" ca="1" si="77"/>
        <v>4.6179599546890326E-2</v>
      </c>
      <c r="J82" s="223">
        <f t="shared" ca="1" si="77"/>
        <v>-1.8418432703566356E-3</v>
      </c>
      <c r="K82" s="223">
        <f t="shared" ca="1" si="77"/>
        <v>-1.8418432703566356E-3</v>
      </c>
      <c r="L82" s="223">
        <f t="shared" ca="1" si="77"/>
        <v>-1.8418432703566356E-3</v>
      </c>
      <c r="M82" s="223">
        <f t="shared" ca="1" si="77"/>
        <v>-1.8418432703566356E-3</v>
      </c>
      <c r="N82" s="223">
        <f t="shared" ca="1" si="77"/>
        <v>-1.8418432703566356E-3</v>
      </c>
      <c r="O82" s="223">
        <f t="shared" ca="1" si="77"/>
        <v>-1.8418432703566356E-3</v>
      </c>
      <c r="P82" s="223">
        <f t="shared" ca="1" si="77"/>
        <v>-1.8418432703566356E-3</v>
      </c>
      <c r="Q82" s="223">
        <f t="shared" ca="1" si="77"/>
        <v>-1.8418432703566356E-3</v>
      </c>
      <c r="R82" s="223">
        <f t="shared" ca="1" si="77"/>
        <v>-1.8418432703566356E-3</v>
      </c>
      <c r="S82" s="224">
        <f t="shared" ca="1" si="77"/>
        <v>-1.8418432703566356E-3</v>
      </c>
      <c r="T82" s="224">
        <f t="shared" ca="1" si="77"/>
        <v>-1.8418432703566356E-3</v>
      </c>
      <c r="U82" s="224">
        <f t="shared" ca="1" si="77"/>
        <v>-1.8418432703566356E-3</v>
      </c>
      <c r="V82" s="224">
        <f t="shared" ca="1" si="77"/>
        <v>4.1982239140847533E-3</v>
      </c>
      <c r="W82" s="224">
        <f t="shared" ca="1" si="77"/>
        <v>2.1050377676223864E-3</v>
      </c>
      <c r="X82" s="224">
        <f t="shared" ca="1" si="77"/>
        <v>0</v>
      </c>
      <c r="Y82" s="224">
        <f t="shared" ca="1" si="77"/>
        <v>0</v>
      </c>
      <c r="Z82" s="224">
        <f t="shared" ca="1" si="77"/>
        <v>0</v>
      </c>
      <c r="AA82" s="224">
        <f t="shared" ca="1" si="77"/>
        <v>0</v>
      </c>
      <c r="AB82" s="224">
        <f t="shared" ca="1" si="77"/>
        <v>0</v>
      </c>
      <c r="AC82" s="224">
        <f t="shared" ca="1" si="77"/>
        <v>0</v>
      </c>
      <c r="AD82" s="224">
        <f t="shared" ca="1" si="77"/>
        <v>0</v>
      </c>
      <c r="AE82" s="224">
        <f t="shared" ca="1" si="77"/>
        <v>0</v>
      </c>
      <c r="AF82" s="224">
        <f t="shared" ca="1" si="77"/>
        <v>0</v>
      </c>
      <c r="AG82" s="224">
        <f t="shared" ca="1" si="77"/>
        <v>0</v>
      </c>
      <c r="AH82" s="224">
        <f t="shared" si="77"/>
        <v>0</v>
      </c>
      <c r="AI82" s="224"/>
      <c r="AJ82" s="224">
        <f t="shared" ca="1" si="77"/>
        <v>4.9233731699545036E-3</v>
      </c>
      <c r="AK82" s="212"/>
      <c r="AL82" s="212"/>
      <c r="AM82" s="504">
        <f ca="1">IFERROR(AM74/AM66-1,0)</f>
        <v>4.6701462087245904E-2</v>
      </c>
      <c r="AN82" s="504">
        <f t="shared" ref="AN82:BM82" ca="1" si="78">IFERROR(AN74/AN66-1,0)</f>
        <v>5.0715726802219585E-2</v>
      </c>
      <c r="AO82" s="504">
        <f t="shared" ca="1" si="78"/>
        <v>5.4949185034784298E-2</v>
      </c>
      <c r="AP82" s="504">
        <f t="shared" ca="1" si="78"/>
        <v>-2.5601307269610407E-3</v>
      </c>
      <c r="AQ82" s="504">
        <f t="shared" ca="1" si="78"/>
        <v>-2.5601307269610407E-3</v>
      </c>
      <c r="AR82" s="504">
        <f t="shared" ca="1" si="78"/>
        <v>-2.5601307269610407E-3</v>
      </c>
      <c r="AS82" s="504">
        <f t="shared" ca="1" si="78"/>
        <v>-2.5601307269610407E-3</v>
      </c>
      <c r="AT82" s="504">
        <f t="shared" ca="1" si="78"/>
        <v>-2.5601307269610407E-3</v>
      </c>
      <c r="AU82" s="504">
        <f t="shared" ca="1" si="78"/>
        <v>-2.5601307269610407E-3</v>
      </c>
      <c r="AV82" s="504">
        <f t="shared" ca="1" si="78"/>
        <v>-2.5601307269610407E-3</v>
      </c>
      <c r="AW82" s="504">
        <f t="shared" ca="1" si="78"/>
        <v>-2.5601307269610407E-3</v>
      </c>
      <c r="AX82" s="504">
        <f t="shared" ca="1" si="78"/>
        <v>-2.5601307269610407E-3</v>
      </c>
      <c r="AY82" s="504">
        <f t="shared" ca="1" si="78"/>
        <v>-2.5601307269610407E-3</v>
      </c>
      <c r="AZ82" s="504">
        <f t="shared" ca="1" si="78"/>
        <v>-2.5601307269610407E-3</v>
      </c>
      <c r="BA82" s="504">
        <f t="shared" ca="1" si="78"/>
        <v>-2.5601307269610407E-3</v>
      </c>
      <c r="BB82" s="504">
        <f t="shared" ca="1" si="78"/>
        <v>4.8071033850525247E-3</v>
      </c>
      <c r="BC82" s="504">
        <f t="shared" ca="1" si="78"/>
        <v>2.408051210622153E-3</v>
      </c>
      <c r="BD82" s="504">
        <f t="shared" ca="1" si="78"/>
        <v>0</v>
      </c>
      <c r="BE82" s="504">
        <f t="shared" ca="1" si="78"/>
        <v>0</v>
      </c>
      <c r="BF82" s="504">
        <f t="shared" ca="1" si="78"/>
        <v>0</v>
      </c>
      <c r="BG82" s="504">
        <f t="shared" ca="1" si="78"/>
        <v>0</v>
      </c>
      <c r="BH82" s="504">
        <f t="shared" ca="1" si="78"/>
        <v>0</v>
      </c>
      <c r="BI82" s="504">
        <f t="shared" ca="1" si="78"/>
        <v>0</v>
      </c>
      <c r="BJ82" s="504">
        <f t="shared" ca="1" si="78"/>
        <v>0</v>
      </c>
      <c r="BK82" s="504">
        <f t="shared" ca="1" si="78"/>
        <v>0</v>
      </c>
      <c r="BL82" s="504">
        <f t="shared" ca="1" si="78"/>
        <v>0</v>
      </c>
      <c r="BM82" s="504">
        <f t="shared" ca="1" si="78"/>
        <v>0</v>
      </c>
      <c r="BN82" s="504"/>
      <c r="BO82" s="504"/>
      <c r="BP82" s="504">
        <f t="shared" ref="BP82" ca="1" si="79">IFERROR(BP74/BP66-1,0)</f>
        <v>5.6855462165745774E-3</v>
      </c>
      <c r="BS82" s="84" t="s">
        <v>242</v>
      </c>
      <c r="BT82" s="51" t="s">
        <v>17</v>
      </c>
    </row>
    <row r="83" spans="1:72" x14ac:dyDescent="0.25">
      <c r="B83" s="243" t="str">
        <f t="shared" si="65"/>
        <v>Residential</v>
      </c>
      <c r="C83" s="243" t="str">
        <f t="shared" si="65"/>
        <v>Bills</v>
      </c>
      <c r="D83" s="244" t="str">
        <f t="shared" si="65"/>
        <v>Change in Bills</v>
      </c>
      <c r="E83" s="84" t="str">
        <f>'EE Inputs'!$N$16&amp;" Participant Annual Bill"</f>
        <v>High Savings Participant Annual Bill</v>
      </c>
      <c r="F83" s="84" t="s">
        <v>32</v>
      </c>
      <c r="G83" s="103">
        <f ca="1">G75-G66</f>
        <v>-11.488178948615769</v>
      </c>
      <c r="H83" s="103">
        <f ca="1">H75-H66</f>
        <v>-8.431681631360334</v>
      </c>
      <c r="I83" s="103">
        <f t="shared" ref="I83:AG83" ca="1" si="80">I75-I66</f>
        <v>-5.213597500340029</v>
      </c>
      <c r="J83" s="103">
        <f t="shared" ca="1" si="80"/>
        <v>-47.818153464664533</v>
      </c>
      <c r="K83" s="103">
        <f t="shared" ca="1" si="80"/>
        <v>-47.818153464664533</v>
      </c>
      <c r="L83" s="103">
        <f t="shared" ca="1" si="80"/>
        <v>-47.818153464664533</v>
      </c>
      <c r="M83" s="103">
        <f t="shared" ca="1" si="80"/>
        <v>-47.818153464664533</v>
      </c>
      <c r="N83" s="103">
        <f t="shared" ca="1" si="80"/>
        <v>-47.818153464664533</v>
      </c>
      <c r="O83" s="103">
        <f t="shared" ca="1" si="80"/>
        <v>-47.818153464664533</v>
      </c>
      <c r="P83" s="103">
        <f t="shared" ca="1" si="80"/>
        <v>-47.818153464664533</v>
      </c>
      <c r="Q83" s="103">
        <f t="shared" ca="1" si="80"/>
        <v>-47.818153464664533</v>
      </c>
      <c r="R83" s="103">
        <f t="shared" ca="1" si="80"/>
        <v>-47.818153464664533</v>
      </c>
      <c r="S83" s="103">
        <f t="shared" ca="1" si="80"/>
        <v>-47.818153464664533</v>
      </c>
      <c r="T83" s="103">
        <f t="shared" ca="1" si="80"/>
        <v>-47.818153464664533</v>
      </c>
      <c r="U83" s="103">
        <f t="shared" ca="1" si="80"/>
        <v>-47.818153464664533</v>
      </c>
      <c r="V83" s="103">
        <f t="shared" ca="1" si="80"/>
        <v>3.964958838391226</v>
      </c>
      <c r="W83" s="103">
        <f t="shared" ca="1" si="80"/>
        <v>1.988075975147467</v>
      </c>
      <c r="X83" s="103">
        <f t="shared" ca="1" si="80"/>
        <v>0</v>
      </c>
      <c r="Y83" s="103">
        <f t="shared" ca="1" si="80"/>
        <v>0</v>
      </c>
      <c r="Z83" s="103">
        <f t="shared" ca="1" si="80"/>
        <v>0</v>
      </c>
      <c r="AA83" s="103">
        <f t="shared" ca="1" si="80"/>
        <v>0</v>
      </c>
      <c r="AB83" s="103">
        <f t="shared" ca="1" si="80"/>
        <v>0</v>
      </c>
      <c r="AC83" s="103">
        <f t="shared" ca="1" si="80"/>
        <v>0</v>
      </c>
      <c r="AD83" s="103">
        <f t="shared" ca="1" si="80"/>
        <v>0</v>
      </c>
      <c r="AE83" s="103">
        <f t="shared" ca="1" si="80"/>
        <v>0</v>
      </c>
      <c r="AF83" s="103">
        <f t="shared" ca="1" si="80"/>
        <v>0</v>
      </c>
      <c r="AG83" s="103">
        <f t="shared" ca="1" si="80"/>
        <v>0</v>
      </c>
      <c r="AH83" s="103"/>
      <c r="AI83" s="65">
        <f ca="1">NPV(Lookups!$E$17,G83:AG83)</f>
        <v>-522.52543483300656</v>
      </c>
      <c r="AJ83" s="720">
        <f ca="1">IF($C$4=Year1,-PMT(Lookups!$E$17,25,NPV(Lookups!$E$17,G83:AE83),0,1),IF($C$4=Year2,-PMT(Lookups!$F$17,25,NPV(Lookups!$F$17,H83:AF83),0,1),IF($C$4=Year3,-PMT(Lookups!$G$17,25,NPV(Lookups!$G$17,I83:AG83),0,1),-PMT(Lookups!$G$17,27,NPV(Lookups!$G$17,G83:AG83),0,1))))</f>
        <v>-23.091027884891044</v>
      </c>
      <c r="AM83" s="149">
        <f ca="1">AM75-AM66</f>
        <v>-14.640723228684578</v>
      </c>
      <c r="AN83" s="149">
        <f t="shared" ref="AN83:BM83" ca="1" si="81">AN75-AN66</f>
        <v>-11.125785607671332</v>
      </c>
      <c r="AO83" s="149">
        <f t="shared" ca="1" si="81"/>
        <v>-7.4189195524445495</v>
      </c>
      <c r="AP83" s="149">
        <f t="shared" ca="1" si="81"/>
        <v>-57.774756021246048</v>
      </c>
      <c r="AQ83" s="149">
        <f t="shared" ca="1" si="81"/>
        <v>-57.774756021246048</v>
      </c>
      <c r="AR83" s="149">
        <f t="shared" ca="1" si="81"/>
        <v>-57.774756021246048</v>
      </c>
      <c r="AS83" s="149">
        <f t="shared" ca="1" si="81"/>
        <v>-57.774756021246048</v>
      </c>
      <c r="AT83" s="149">
        <f t="shared" ca="1" si="81"/>
        <v>-57.774756021246048</v>
      </c>
      <c r="AU83" s="149">
        <f t="shared" ca="1" si="81"/>
        <v>-57.774756021246048</v>
      </c>
      <c r="AV83" s="149">
        <f t="shared" ca="1" si="81"/>
        <v>-57.774756021246048</v>
      </c>
      <c r="AW83" s="149">
        <f t="shared" ca="1" si="81"/>
        <v>-57.774756021246048</v>
      </c>
      <c r="AX83" s="149">
        <f t="shared" ca="1" si="81"/>
        <v>-57.774756021246048</v>
      </c>
      <c r="AY83" s="149">
        <f t="shared" ca="1" si="81"/>
        <v>-57.774756021246048</v>
      </c>
      <c r="AZ83" s="149">
        <f t="shared" ca="1" si="81"/>
        <v>-57.774756021246048</v>
      </c>
      <c r="BA83" s="149">
        <f t="shared" ca="1" si="81"/>
        <v>-57.774756021246048</v>
      </c>
      <c r="BB83" s="149">
        <f t="shared" ca="1" si="81"/>
        <v>4.5400072610894995</v>
      </c>
      <c r="BC83" s="149">
        <f t="shared" ca="1" si="81"/>
        <v>2.274253142816633</v>
      </c>
      <c r="BD83" s="149">
        <f t="shared" ca="1" si="81"/>
        <v>0</v>
      </c>
      <c r="BE83" s="149">
        <f t="shared" ca="1" si="81"/>
        <v>0</v>
      </c>
      <c r="BF83" s="149">
        <f t="shared" ca="1" si="81"/>
        <v>0</v>
      </c>
      <c r="BG83" s="149">
        <f t="shared" ca="1" si="81"/>
        <v>0</v>
      </c>
      <c r="BH83" s="149">
        <f t="shared" ca="1" si="81"/>
        <v>0</v>
      </c>
      <c r="BI83" s="149">
        <f t="shared" ca="1" si="81"/>
        <v>0</v>
      </c>
      <c r="BJ83" s="149">
        <f t="shared" ca="1" si="81"/>
        <v>0</v>
      </c>
      <c r="BK83" s="149">
        <f t="shared" ca="1" si="81"/>
        <v>0</v>
      </c>
      <c r="BL83" s="149">
        <f t="shared" ca="1" si="81"/>
        <v>0</v>
      </c>
      <c r="BM83" s="149">
        <f t="shared" ca="1" si="81"/>
        <v>0</v>
      </c>
      <c r="BN83" s="149"/>
      <c r="BO83" s="149">
        <f ca="1">NPV(Lookups!$E$17,AM83:BM83)</f>
        <v>-634.36133304039492</v>
      </c>
      <c r="BP83" s="149">
        <f ca="1">IF($C$4=Year1,-PMT(Lookups!$E$17,25,NPV(Lookups!$E$17,AM83:BK83),0,1),IF($C$4=Year2,-PMT(Lookups!$F$17,25,NPV(Lookups!$F$17,AN83:BL83),0,1),IF($C$4=Year3,-PMT(Lookups!$G$17,25,NPV(Lookups!$G$17,AO83:BM83),0,1),-PMT(Lookups!$G$17,27,NPV(Lookups!$G$17,AM83:BM83),0,1))))</f>
        <v>-28.033190834076382</v>
      </c>
      <c r="BS83" s="84" t="s">
        <v>241</v>
      </c>
      <c r="BT83" s="51" t="s">
        <v>17</v>
      </c>
    </row>
    <row r="84" spans="1:72" x14ac:dyDescent="0.25">
      <c r="B84" s="243" t="str">
        <f t="shared" si="65"/>
        <v>Residential</v>
      </c>
      <c r="C84" s="243" t="str">
        <f t="shared" si="65"/>
        <v>Bills</v>
      </c>
      <c r="D84" s="244" t="str">
        <f t="shared" si="65"/>
        <v>Change in Bills</v>
      </c>
      <c r="E84" s="84" t="str">
        <f>'EE Inputs'!$N$16&amp;" Participant Annual Bill"</f>
        <v>High Savings Participant Annual Bill</v>
      </c>
      <c r="F84" s="84" t="s">
        <v>16</v>
      </c>
      <c r="G84" s="223">
        <f ca="1">IFERROR(G75/G66-1,0)</f>
        <v>-1.2164047486286855E-2</v>
      </c>
      <c r="H84" s="223">
        <f t="shared" ref="H84:AJ84" ca="1" si="82">IFERROR(H75/H66-1,0)</f>
        <v>-8.9277313847446749E-3</v>
      </c>
      <c r="I84" s="223">
        <f t="shared" ca="1" si="82"/>
        <v>-5.5203220503597938E-3</v>
      </c>
      <c r="J84" s="223">
        <f t="shared" ca="1" si="82"/>
        <v>-5.063137439383425E-2</v>
      </c>
      <c r="K84" s="223">
        <f t="shared" ca="1" si="82"/>
        <v>-5.063137439383425E-2</v>
      </c>
      <c r="L84" s="223">
        <f t="shared" ca="1" si="82"/>
        <v>-5.063137439383425E-2</v>
      </c>
      <c r="M84" s="223">
        <f t="shared" ca="1" si="82"/>
        <v>-5.063137439383425E-2</v>
      </c>
      <c r="N84" s="223">
        <f t="shared" ca="1" si="82"/>
        <v>-5.063137439383425E-2</v>
      </c>
      <c r="O84" s="223">
        <f t="shared" ca="1" si="82"/>
        <v>-5.063137439383425E-2</v>
      </c>
      <c r="P84" s="223">
        <f t="shared" ca="1" si="82"/>
        <v>-5.063137439383425E-2</v>
      </c>
      <c r="Q84" s="223">
        <f t="shared" ca="1" si="82"/>
        <v>-5.063137439383425E-2</v>
      </c>
      <c r="R84" s="223">
        <f t="shared" ca="1" si="82"/>
        <v>-5.063137439383425E-2</v>
      </c>
      <c r="S84" s="224">
        <f t="shared" ca="1" si="82"/>
        <v>-5.063137439383425E-2</v>
      </c>
      <c r="T84" s="224">
        <f t="shared" ca="1" si="82"/>
        <v>-5.063137439383425E-2</v>
      </c>
      <c r="U84" s="224">
        <f t="shared" ca="1" si="82"/>
        <v>-5.063137439383425E-2</v>
      </c>
      <c r="V84" s="224">
        <f t="shared" ca="1" si="82"/>
        <v>4.1982239140847533E-3</v>
      </c>
      <c r="W84" s="224">
        <f t="shared" ca="1" si="82"/>
        <v>2.1050377676223864E-3</v>
      </c>
      <c r="X84" s="224">
        <f t="shared" ca="1" si="82"/>
        <v>0</v>
      </c>
      <c r="Y84" s="224">
        <f t="shared" ca="1" si="82"/>
        <v>0</v>
      </c>
      <c r="Z84" s="224">
        <f t="shared" ca="1" si="82"/>
        <v>0</v>
      </c>
      <c r="AA84" s="224">
        <f t="shared" ca="1" si="82"/>
        <v>0</v>
      </c>
      <c r="AB84" s="224">
        <f t="shared" ca="1" si="82"/>
        <v>0</v>
      </c>
      <c r="AC84" s="224">
        <f t="shared" ca="1" si="82"/>
        <v>0</v>
      </c>
      <c r="AD84" s="224">
        <f t="shared" ca="1" si="82"/>
        <v>0</v>
      </c>
      <c r="AE84" s="224">
        <f t="shared" ca="1" si="82"/>
        <v>0</v>
      </c>
      <c r="AF84" s="224">
        <f t="shared" ca="1" si="82"/>
        <v>0</v>
      </c>
      <c r="AG84" s="224">
        <f t="shared" ca="1" si="82"/>
        <v>0</v>
      </c>
      <c r="AH84" s="224">
        <f t="shared" si="82"/>
        <v>0</v>
      </c>
      <c r="AI84" s="224"/>
      <c r="AJ84" s="224">
        <f t="shared" ca="1" si="82"/>
        <v>-2.4795324917463724E-2</v>
      </c>
      <c r="AK84" s="212"/>
      <c r="AL84" s="212"/>
      <c r="AM84" s="504">
        <f ca="1">IFERROR(AM75/AM66-1,0)</f>
        <v>-1.5502061152064539E-2</v>
      </c>
      <c r="AN84" s="504">
        <f t="shared" ref="AN84:BM84" ca="1" si="83">IFERROR(AN75/AN66-1,0)</f>
        <v>-1.1780333946684207E-2</v>
      </c>
      <c r="AO84" s="504">
        <f t="shared" ca="1" si="83"/>
        <v>-7.8553868403791194E-3</v>
      </c>
      <c r="AP84" s="504">
        <f t="shared" ca="1" si="83"/>
        <v>-6.11737403198922E-2</v>
      </c>
      <c r="AQ84" s="504">
        <f t="shared" ca="1" si="83"/>
        <v>-6.11737403198922E-2</v>
      </c>
      <c r="AR84" s="504">
        <f t="shared" ca="1" si="83"/>
        <v>-6.11737403198922E-2</v>
      </c>
      <c r="AS84" s="504">
        <f t="shared" ca="1" si="83"/>
        <v>-6.11737403198922E-2</v>
      </c>
      <c r="AT84" s="504">
        <f t="shared" ca="1" si="83"/>
        <v>-6.11737403198922E-2</v>
      </c>
      <c r="AU84" s="504">
        <f t="shared" ca="1" si="83"/>
        <v>-6.11737403198922E-2</v>
      </c>
      <c r="AV84" s="504">
        <f t="shared" ca="1" si="83"/>
        <v>-6.11737403198922E-2</v>
      </c>
      <c r="AW84" s="504">
        <f t="shared" ca="1" si="83"/>
        <v>-6.11737403198922E-2</v>
      </c>
      <c r="AX84" s="504">
        <f t="shared" ca="1" si="83"/>
        <v>-6.11737403198922E-2</v>
      </c>
      <c r="AY84" s="504">
        <f t="shared" ca="1" si="83"/>
        <v>-6.11737403198922E-2</v>
      </c>
      <c r="AZ84" s="504">
        <f t="shared" ca="1" si="83"/>
        <v>-6.11737403198922E-2</v>
      </c>
      <c r="BA84" s="504">
        <f t="shared" ca="1" si="83"/>
        <v>-6.11737403198922E-2</v>
      </c>
      <c r="BB84" s="504">
        <f t="shared" ca="1" si="83"/>
        <v>4.8071033850525247E-3</v>
      </c>
      <c r="BC84" s="504">
        <f t="shared" ca="1" si="83"/>
        <v>2.408051210622153E-3</v>
      </c>
      <c r="BD84" s="504">
        <f t="shared" ca="1" si="83"/>
        <v>0</v>
      </c>
      <c r="BE84" s="504">
        <f t="shared" ca="1" si="83"/>
        <v>0</v>
      </c>
      <c r="BF84" s="504">
        <f t="shared" ca="1" si="83"/>
        <v>0</v>
      </c>
      <c r="BG84" s="504">
        <f t="shared" ca="1" si="83"/>
        <v>0</v>
      </c>
      <c r="BH84" s="504">
        <f t="shared" ca="1" si="83"/>
        <v>0</v>
      </c>
      <c r="BI84" s="504">
        <f t="shared" ca="1" si="83"/>
        <v>0</v>
      </c>
      <c r="BJ84" s="504">
        <f t="shared" ca="1" si="83"/>
        <v>0</v>
      </c>
      <c r="BK84" s="504">
        <f t="shared" ca="1" si="83"/>
        <v>0</v>
      </c>
      <c r="BL84" s="504">
        <f t="shared" ca="1" si="83"/>
        <v>0</v>
      </c>
      <c r="BM84" s="504">
        <f t="shared" ca="1" si="83"/>
        <v>0</v>
      </c>
      <c r="BN84" s="504"/>
      <c r="BO84" s="504"/>
      <c r="BP84" s="504">
        <f t="shared" ref="BP84" ca="1" si="84">IFERROR(BP75/BP66-1,0)</f>
        <v>-3.0102257840977531E-2</v>
      </c>
      <c r="BS84" s="84" t="s">
        <v>242</v>
      </c>
      <c r="BT84" s="51" t="s">
        <v>17</v>
      </c>
    </row>
    <row r="85" spans="1:72" x14ac:dyDescent="0.25">
      <c r="B85" s="243" t="str">
        <f t="shared" si="65"/>
        <v>Residential</v>
      </c>
      <c r="C85" s="243" t="str">
        <f t="shared" si="65"/>
        <v>Bills</v>
      </c>
      <c r="D85" s="244" t="str">
        <f t="shared" si="65"/>
        <v>Change in Bills</v>
      </c>
      <c r="E85" s="84" t="s">
        <v>17</v>
      </c>
      <c r="F85" s="84"/>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S85" s="84"/>
      <c r="BT85" s="51" t="s">
        <v>17</v>
      </c>
    </row>
    <row r="86" spans="1:72" x14ac:dyDescent="0.25">
      <c r="B86" t="s">
        <v>17</v>
      </c>
      <c r="BT86" s="51" t="s">
        <v>17</v>
      </c>
    </row>
    <row r="87" spans="1:72" x14ac:dyDescent="0.25">
      <c r="B87" t="s">
        <v>17</v>
      </c>
      <c r="BT87" s="51" t="s">
        <v>17</v>
      </c>
    </row>
    <row r="88" spans="1:72" s="51" customFormat="1" ht="23.25" x14ac:dyDescent="0.25">
      <c r="A88" s="52"/>
      <c r="B88" s="195" t="str">
        <f>Lookups!$D$27</f>
        <v>Low-Income</v>
      </c>
      <c r="C88" s="196"/>
      <c r="D88" s="196"/>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51" t="s">
        <v>17</v>
      </c>
    </row>
    <row r="89" spans="1:72" s="5" customFormat="1" ht="15.75" x14ac:dyDescent="0.25">
      <c r="A89" s="52"/>
      <c r="B89" s="241" t="str">
        <f>B88</f>
        <v>Low-Income</v>
      </c>
      <c r="C89" s="63" t="s">
        <v>3</v>
      </c>
      <c r="D89" s="61"/>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M89" s="63"/>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S89" s="62"/>
      <c r="BT89" s="51" t="s">
        <v>17</v>
      </c>
    </row>
    <row r="90" spans="1:72" s="5" customFormat="1" x14ac:dyDescent="0.25">
      <c r="A90" s="52"/>
      <c r="B90" s="242" t="str">
        <f t="shared" ref="B90:C101" si="85">B89</f>
        <v>Low-Income</v>
      </c>
      <c r="C90" s="242" t="str">
        <f>C89</f>
        <v>Customers</v>
      </c>
      <c r="D90" s="244" t="s">
        <v>3</v>
      </c>
      <c r="E90" s="77" t="s">
        <v>3</v>
      </c>
      <c r="F90" s="76" t="s">
        <v>48</v>
      </c>
      <c r="G90" s="64">
        <f>IF(G$8=0,0,INDEX('Multi-Year Inputs'!$E$12:$AE$15,MATCH($B90,'Multi-Year Inputs'!$D$12:$D$15,0),MATCH(G$7,'Multi-Year Inputs'!$E$4:$AE$4,0)))</f>
        <v>5826.1944158878568</v>
      </c>
      <c r="H90" s="64">
        <f>IF(H$8=0,0,INDEX('Multi-Year Inputs'!$E$12:$AE$15,MATCH($B90,'Multi-Year Inputs'!$D$12:$D$15,0),MATCH(H$7,'Multi-Year Inputs'!$E$4:$AE$4,0)))</f>
        <v>5826.1944158878568</v>
      </c>
      <c r="I90" s="64">
        <f>IF(I$8=0,0,INDEX('Multi-Year Inputs'!$E$12:$AE$15,MATCH($B90,'Multi-Year Inputs'!$D$12:$D$15,0),MATCH(I$7,'Multi-Year Inputs'!$E$4:$AE$4,0)))</f>
        <v>5826.1944158878568</v>
      </c>
      <c r="J90" s="64">
        <f>IF(J$8=0,0,INDEX('Multi-Year Inputs'!$E$12:$AE$15,MATCH($B90,'Multi-Year Inputs'!$D$12:$D$15,0),MATCH(J$7,'Multi-Year Inputs'!$E$4:$AE$4,0)))</f>
        <v>5826.1944158878568</v>
      </c>
      <c r="K90" s="64">
        <f>IF(K$8=0,0,INDEX('Multi-Year Inputs'!$E$12:$AE$15,MATCH($B90,'Multi-Year Inputs'!$D$12:$D$15,0),MATCH(K$7,'Multi-Year Inputs'!$E$4:$AE$4,0)))</f>
        <v>5826.1944158878568</v>
      </c>
      <c r="L90" s="64">
        <f>IF(L$8=0,0,INDEX('Multi-Year Inputs'!$E$12:$AE$15,MATCH($B90,'Multi-Year Inputs'!$D$12:$D$15,0),MATCH(L$7,'Multi-Year Inputs'!$E$4:$AE$4,0)))</f>
        <v>5826.1944158878568</v>
      </c>
      <c r="M90" s="64">
        <f>IF(M$8=0,0,INDEX('Multi-Year Inputs'!$E$12:$AE$15,MATCH($B90,'Multi-Year Inputs'!$D$12:$D$15,0),MATCH(M$7,'Multi-Year Inputs'!$E$4:$AE$4,0)))</f>
        <v>5826.1944158878568</v>
      </c>
      <c r="N90" s="64">
        <f>IF(N$8=0,0,INDEX('Multi-Year Inputs'!$E$12:$AE$15,MATCH($B90,'Multi-Year Inputs'!$D$12:$D$15,0),MATCH(N$7,'Multi-Year Inputs'!$E$4:$AE$4,0)))</f>
        <v>5826.1944158878568</v>
      </c>
      <c r="O90" s="64">
        <f>IF(O$8=0,0,INDEX('Multi-Year Inputs'!$E$12:$AE$15,MATCH($B90,'Multi-Year Inputs'!$D$12:$D$15,0),MATCH(O$7,'Multi-Year Inputs'!$E$4:$AE$4,0)))</f>
        <v>5826.1944158878568</v>
      </c>
      <c r="P90" s="64">
        <f>IF(P$8=0,0,INDEX('Multi-Year Inputs'!$E$12:$AE$15,MATCH($B90,'Multi-Year Inputs'!$D$12:$D$15,0),MATCH(P$7,'Multi-Year Inputs'!$E$4:$AE$4,0)))</f>
        <v>5826.1944158878568</v>
      </c>
      <c r="Q90" s="64">
        <f>IF(Q$8=0,0,INDEX('Multi-Year Inputs'!$E$12:$AE$15,MATCH($B90,'Multi-Year Inputs'!$D$12:$D$15,0),MATCH(Q$7,'Multi-Year Inputs'!$E$4:$AE$4,0)))</f>
        <v>5826.1944158878568</v>
      </c>
      <c r="R90" s="64">
        <f>IF(R$8=0,0,INDEX('Multi-Year Inputs'!$E$12:$AE$15,MATCH($B90,'Multi-Year Inputs'!$D$12:$D$15,0),MATCH(R$7,'Multi-Year Inputs'!$E$4:$AE$4,0)))</f>
        <v>5826.1944158878568</v>
      </c>
      <c r="S90" s="64">
        <f>IF(S$8=0,0,INDEX('Multi-Year Inputs'!$E$12:$AE$15,MATCH($B90,'Multi-Year Inputs'!$D$12:$D$15,0),MATCH(S$7,'Multi-Year Inputs'!$E$4:$AE$4,0)))</f>
        <v>5826.1944158878568</v>
      </c>
      <c r="T90" s="64">
        <f>IF(T$8=0,0,INDEX('Multi-Year Inputs'!$E$12:$AE$15,MATCH($B90,'Multi-Year Inputs'!$D$12:$D$15,0),MATCH(T$7,'Multi-Year Inputs'!$E$4:$AE$4,0)))</f>
        <v>5826.1944158878568</v>
      </c>
      <c r="U90" s="64">
        <f>IF(U$8=0,0,INDEX('Multi-Year Inputs'!$E$12:$AE$15,MATCH($B90,'Multi-Year Inputs'!$D$12:$D$15,0),MATCH(U$7,'Multi-Year Inputs'!$E$4:$AE$4,0)))</f>
        <v>5826.1944158878568</v>
      </c>
      <c r="V90" s="64">
        <f>IF(V$8=0,0,INDEX('Multi-Year Inputs'!$E$12:$AE$15,MATCH($B90,'Multi-Year Inputs'!$D$12:$D$15,0),MATCH(V$7,'Multi-Year Inputs'!$E$4:$AE$4,0)))</f>
        <v>5826.1944158878568</v>
      </c>
      <c r="W90" s="64">
        <f>IF(W$8=0,0,INDEX('Multi-Year Inputs'!$E$12:$AE$15,MATCH($B90,'Multi-Year Inputs'!$D$12:$D$15,0),MATCH(W$7,'Multi-Year Inputs'!$E$4:$AE$4,0)))</f>
        <v>5826.1944158878568</v>
      </c>
      <c r="X90" s="64">
        <f>IF(X$8=0,0,INDEX('Multi-Year Inputs'!$E$12:$AE$15,MATCH($B90,'Multi-Year Inputs'!$D$12:$D$15,0),MATCH(X$7,'Multi-Year Inputs'!$E$4:$AE$4,0)))</f>
        <v>5826.1944158878568</v>
      </c>
      <c r="Y90" s="64">
        <f>IF(Y$8=0,0,INDEX('Multi-Year Inputs'!$E$12:$AE$15,MATCH($B90,'Multi-Year Inputs'!$D$12:$D$15,0),MATCH(Y$7,'Multi-Year Inputs'!$E$4:$AE$4,0)))</f>
        <v>5826.1944158878568</v>
      </c>
      <c r="Z90" s="64">
        <f>IF(Z$8=0,0,INDEX('Multi-Year Inputs'!$E$12:$AE$15,MATCH($B90,'Multi-Year Inputs'!$D$12:$D$15,0),MATCH(Z$7,'Multi-Year Inputs'!$E$4:$AE$4,0)))</f>
        <v>5826.1944158878568</v>
      </c>
      <c r="AA90" s="64">
        <f>IF(AA$8=0,0,INDEX('Multi-Year Inputs'!$E$12:$AE$15,MATCH($B90,'Multi-Year Inputs'!$D$12:$D$15,0),MATCH(AA$7,'Multi-Year Inputs'!$E$4:$AE$4,0)))</f>
        <v>5826.1944158878568</v>
      </c>
      <c r="AB90" s="64">
        <f>IF(AB$8=0,0,INDEX('Multi-Year Inputs'!$E$12:$AE$15,MATCH($B90,'Multi-Year Inputs'!$D$12:$D$15,0),MATCH(AB$7,'Multi-Year Inputs'!$E$4:$AE$4,0)))</f>
        <v>5826.1944158878568</v>
      </c>
      <c r="AC90" s="64">
        <f>IF(AC$8=0,0,INDEX('Multi-Year Inputs'!$E$12:$AE$15,MATCH($B90,'Multi-Year Inputs'!$D$12:$D$15,0),MATCH(AC$7,'Multi-Year Inputs'!$E$4:$AE$4,0)))</f>
        <v>5826.1944158878568</v>
      </c>
      <c r="AD90" s="64">
        <f>IF(AD$8=0,0,INDEX('Multi-Year Inputs'!$E$12:$AE$15,MATCH($B90,'Multi-Year Inputs'!$D$12:$D$15,0),MATCH(AD$7,'Multi-Year Inputs'!$E$4:$AE$4,0)))</f>
        <v>5826.1944158878568</v>
      </c>
      <c r="AE90" s="64">
        <f>IF(AE$8=0,0,INDEX('Multi-Year Inputs'!$E$12:$AE$15,MATCH($B90,'Multi-Year Inputs'!$D$12:$D$15,0),MATCH(AE$7,'Multi-Year Inputs'!$E$4:$AE$4,0)))</f>
        <v>5826.1944158878568</v>
      </c>
      <c r="AF90" s="64">
        <f>IF(AF$8=0,0,INDEX('Multi-Year Inputs'!$E$12:$AE$15,MATCH($B90,'Multi-Year Inputs'!$D$12:$D$15,0),MATCH(AF$7,'Multi-Year Inputs'!$E$4:$AE$4,0)))</f>
        <v>5826.1944158878568</v>
      </c>
      <c r="AG90" s="64">
        <f>IF(AG$8=0,0,INDEX('Multi-Year Inputs'!$E$12:$AE$15,MATCH($B90,'Multi-Year Inputs'!$D$12:$D$15,0),MATCH(AG$7,'Multi-Year Inputs'!$E$4:$AE$4,0)))</f>
        <v>5826.1944158878568</v>
      </c>
      <c r="AH90" s="64"/>
      <c r="AI90" s="64"/>
      <c r="AJ90" s="64"/>
      <c r="AM90" s="71">
        <f>IF(AM$8=0,0,INDEX('Multi-Year Inputs'!$E$12:$AE$15,MATCH($B90,'Multi-Year Inputs'!$D$12:$D$15,0),MATCH(AM$7,'Multi-Year Inputs'!$E$4:$AE$4,0)))</f>
        <v>5826.1944158878568</v>
      </c>
      <c r="AN90" s="71">
        <f>IF(AN$8=0,0,INDEX('Multi-Year Inputs'!$E$12:$AE$15,MATCH($B90,'Multi-Year Inputs'!$D$12:$D$15,0),MATCH(AN$7,'Multi-Year Inputs'!$E$4:$AE$4,0)))</f>
        <v>5826.1944158878568</v>
      </c>
      <c r="AO90" s="71">
        <f>IF(AO$8=0,0,INDEX('Multi-Year Inputs'!$E$12:$AE$15,MATCH($B90,'Multi-Year Inputs'!$D$12:$D$15,0),MATCH(AO$7,'Multi-Year Inputs'!$E$4:$AE$4,0)))</f>
        <v>5826.1944158878568</v>
      </c>
      <c r="AP90" s="71">
        <f>IF(AP$8=0,0,INDEX('Multi-Year Inputs'!$E$12:$AE$15,MATCH($B90,'Multi-Year Inputs'!$D$12:$D$15,0),MATCH(AP$7,'Multi-Year Inputs'!$E$4:$AE$4,0)))</f>
        <v>5826.1944158878568</v>
      </c>
      <c r="AQ90" s="71">
        <f>IF(AQ$8=0,0,INDEX('Multi-Year Inputs'!$E$12:$AE$15,MATCH($B90,'Multi-Year Inputs'!$D$12:$D$15,0),MATCH(AQ$7,'Multi-Year Inputs'!$E$4:$AE$4,0)))</f>
        <v>5826.1944158878568</v>
      </c>
      <c r="AR90" s="71">
        <f>IF(AR$8=0,0,INDEX('Multi-Year Inputs'!$E$12:$AE$15,MATCH($B90,'Multi-Year Inputs'!$D$12:$D$15,0),MATCH(AR$7,'Multi-Year Inputs'!$E$4:$AE$4,0)))</f>
        <v>5826.1944158878568</v>
      </c>
      <c r="AS90" s="71">
        <f>IF(AS$8=0,0,INDEX('Multi-Year Inputs'!$E$12:$AE$15,MATCH($B90,'Multi-Year Inputs'!$D$12:$D$15,0),MATCH(AS$7,'Multi-Year Inputs'!$E$4:$AE$4,0)))</f>
        <v>5826.1944158878568</v>
      </c>
      <c r="AT90" s="71">
        <f>IF(AT$8=0,0,INDEX('Multi-Year Inputs'!$E$12:$AE$15,MATCH($B90,'Multi-Year Inputs'!$D$12:$D$15,0),MATCH(AT$7,'Multi-Year Inputs'!$E$4:$AE$4,0)))</f>
        <v>5826.1944158878568</v>
      </c>
      <c r="AU90" s="71">
        <f>IF(AU$8=0,0,INDEX('Multi-Year Inputs'!$E$12:$AE$15,MATCH($B90,'Multi-Year Inputs'!$D$12:$D$15,0),MATCH(AU$7,'Multi-Year Inputs'!$E$4:$AE$4,0)))</f>
        <v>5826.1944158878568</v>
      </c>
      <c r="AV90" s="71">
        <f>IF(AV$8=0,0,INDEX('Multi-Year Inputs'!$E$12:$AE$15,MATCH($B90,'Multi-Year Inputs'!$D$12:$D$15,0),MATCH(AV$7,'Multi-Year Inputs'!$E$4:$AE$4,0)))</f>
        <v>5826.1944158878568</v>
      </c>
      <c r="AW90" s="71">
        <f>IF(AW$8=0,0,INDEX('Multi-Year Inputs'!$E$12:$AE$15,MATCH($B90,'Multi-Year Inputs'!$D$12:$D$15,0),MATCH(AW$7,'Multi-Year Inputs'!$E$4:$AE$4,0)))</f>
        <v>5826.1944158878568</v>
      </c>
      <c r="AX90" s="71">
        <f>IF(AX$8=0,0,INDEX('Multi-Year Inputs'!$E$12:$AE$15,MATCH($B90,'Multi-Year Inputs'!$D$12:$D$15,0),MATCH(AX$7,'Multi-Year Inputs'!$E$4:$AE$4,0)))</f>
        <v>5826.1944158878568</v>
      </c>
      <c r="AY90" s="71">
        <f>IF(AY$8=0,0,INDEX('Multi-Year Inputs'!$E$12:$AE$15,MATCH($B90,'Multi-Year Inputs'!$D$12:$D$15,0),MATCH(AY$7,'Multi-Year Inputs'!$E$4:$AE$4,0)))</f>
        <v>5826.1944158878568</v>
      </c>
      <c r="AZ90" s="71">
        <f>IF(AZ$8=0,0,INDEX('Multi-Year Inputs'!$E$12:$AE$15,MATCH($B90,'Multi-Year Inputs'!$D$12:$D$15,0),MATCH(AZ$7,'Multi-Year Inputs'!$E$4:$AE$4,0)))</f>
        <v>5826.1944158878568</v>
      </c>
      <c r="BA90" s="71">
        <f>IF(BA$8=0,0,INDEX('Multi-Year Inputs'!$E$12:$AE$15,MATCH($B90,'Multi-Year Inputs'!$D$12:$D$15,0),MATCH(BA$7,'Multi-Year Inputs'!$E$4:$AE$4,0)))</f>
        <v>5826.1944158878568</v>
      </c>
      <c r="BB90" s="71">
        <f>IF(BB$8=0,0,INDEX('Multi-Year Inputs'!$E$12:$AE$15,MATCH($B90,'Multi-Year Inputs'!$D$12:$D$15,0),MATCH(BB$7,'Multi-Year Inputs'!$E$4:$AE$4,0)))</f>
        <v>5826.1944158878568</v>
      </c>
      <c r="BC90" s="71">
        <f>IF(BC$8=0,0,INDEX('Multi-Year Inputs'!$E$12:$AE$15,MATCH($B90,'Multi-Year Inputs'!$D$12:$D$15,0),MATCH(BC$7,'Multi-Year Inputs'!$E$4:$AE$4,0)))</f>
        <v>5826.1944158878568</v>
      </c>
      <c r="BD90" s="71">
        <f>IF(BD$8=0,0,INDEX('Multi-Year Inputs'!$E$12:$AE$15,MATCH($B90,'Multi-Year Inputs'!$D$12:$D$15,0),MATCH(BD$7,'Multi-Year Inputs'!$E$4:$AE$4,0)))</f>
        <v>5826.1944158878568</v>
      </c>
      <c r="BE90" s="71">
        <f>IF(BE$8=0,0,INDEX('Multi-Year Inputs'!$E$12:$AE$15,MATCH($B90,'Multi-Year Inputs'!$D$12:$D$15,0),MATCH(BE$7,'Multi-Year Inputs'!$E$4:$AE$4,0)))</f>
        <v>5826.1944158878568</v>
      </c>
      <c r="BF90" s="71">
        <f>IF(BF$8=0,0,INDEX('Multi-Year Inputs'!$E$12:$AE$15,MATCH($B90,'Multi-Year Inputs'!$D$12:$D$15,0),MATCH(BF$7,'Multi-Year Inputs'!$E$4:$AE$4,0)))</f>
        <v>5826.1944158878568</v>
      </c>
      <c r="BG90" s="71">
        <f>IF(BG$8=0,0,INDEX('Multi-Year Inputs'!$E$12:$AE$15,MATCH($B90,'Multi-Year Inputs'!$D$12:$D$15,0),MATCH(BG$7,'Multi-Year Inputs'!$E$4:$AE$4,0)))</f>
        <v>5826.1944158878568</v>
      </c>
      <c r="BH90" s="71">
        <f>IF(BH$8=0,0,INDEX('Multi-Year Inputs'!$E$12:$AE$15,MATCH($B90,'Multi-Year Inputs'!$D$12:$D$15,0),MATCH(BH$7,'Multi-Year Inputs'!$E$4:$AE$4,0)))</f>
        <v>5826.1944158878568</v>
      </c>
      <c r="BI90" s="71">
        <f>IF(BI$8=0,0,INDEX('Multi-Year Inputs'!$E$12:$AE$15,MATCH($B90,'Multi-Year Inputs'!$D$12:$D$15,0),MATCH(BI$7,'Multi-Year Inputs'!$E$4:$AE$4,0)))</f>
        <v>5826.1944158878568</v>
      </c>
      <c r="BJ90" s="71">
        <f>IF(BJ$8=0,0,INDEX('Multi-Year Inputs'!$E$12:$AE$15,MATCH($B90,'Multi-Year Inputs'!$D$12:$D$15,0),MATCH(BJ$7,'Multi-Year Inputs'!$E$4:$AE$4,0)))</f>
        <v>5826.1944158878568</v>
      </c>
      <c r="BK90" s="71">
        <f>IF(BK$8=0,0,INDEX('Multi-Year Inputs'!$E$12:$AE$15,MATCH($B90,'Multi-Year Inputs'!$D$12:$D$15,0),MATCH(BK$7,'Multi-Year Inputs'!$E$4:$AE$4,0)))</f>
        <v>5826.1944158878568</v>
      </c>
      <c r="BL90" s="71">
        <f>IF(BL$8=0,0,INDEX('Multi-Year Inputs'!$E$12:$AE$15,MATCH($B90,'Multi-Year Inputs'!$D$12:$D$15,0),MATCH(BL$7,'Multi-Year Inputs'!$E$4:$AE$4,0)))</f>
        <v>5826.1944158878568</v>
      </c>
      <c r="BM90" s="71">
        <f>IF(BM$8=0,0,INDEX('Multi-Year Inputs'!$E$12:$AE$15,MATCH($B90,'Multi-Year Inputs'!$D$12:$D$15,0),MATCH(BM$7,'Multi-Year Inputs'!$E$4:$AE$4,0)))</f>
        <v>5826.1944158878568</v>
      </c>
      <c r="BN90" s="72"/>
      <c r="BO90" s="72"/>
      <c r="BP90" s="72"/>
      <c r="BS90" s="76" t="s">
        <v>89</v>
      </c>
      <c r="BT90" s="51" t="s">
        <v>17</v>
      </c>
    </row>
    <row r="91" spans="1:72" s="5" customFormat="1" x14ac:dyDescent="0.25">
      <c r="A91" s="52"/>
      <c r="B91" s="242" t="str">
        <f t="shared" si="85"/>
        <v>Low-Income</v>
      </c>
      <c r="C91" s="242" t="str">
        <f>C90</f>
        <v>Customers</v>
      </c>
      <c r="D91" s="244" t="s">
        <v>40</v>
      </c>
      <c r="E91" s="77" t="s">
        <v>40</v>
      </c>
      <c r="F91" s="76" t="s">
        <v>2</v>
      </c>
      <c r="G91" s="65" t="str">
        <f ca="1">IF($C$4=Lookups!$D$40,IF(SUM(INDIRECT("'Yr1'!"&amp;ADDRESS(ROW(G91),COLUMN(G91))),INDIRECT("'Yr2'!"&amp;ADDRESS(ROW(G91),COLUMN(G91))),INDIRECT("'Yr3'!"&amp;ADDRESS(ROW(G91),COLUMN(G91))))&gt;0,"3 Yr. total",0),
IF(G$7&lt;$C$4,0,IF(G$8&lt;=SUMIFS('EE Inputs'!$V$9:$V$32,'EE Inputs'!$C$9:$C$32,$G$6,'EE Inputs'!$D$9:$D$32,$C$4,'EE Inputs'!$E$9:$E$32,$B91),SUMIFS('EE Inputs'!$V$9:$V$32,'EE Inputs'!$C$9:$C$32,$G$6,'EE Inputs'!$D$9:$D$32,$C$4,'EE Inputs'!$E$9:$E$32,$B91),0)))</f>
        <v>3 Yr. total</v>
      </c>
      <c r="H91" s="65" t="str">
        <f ca="1">IF($C$4=Lookups!$D$40,IF(SUM(INDIRECT("'Yr1'!"&amp;ADDRESS(ROW(H91),COLUMN(H91))),INDIRECT("'Yr2'!"&amp;ADDRESS(ROW(H91),COLUMN(H91))),INDIRECT("'Yr3'!"&amp;ADDRESS(ROW(H91),COLUMN(H91))))&gt;0,"3 Yr. total",0),
IF(H$7&lt;$C$4,0,IF(H$8&lt;=SUMIFS('EE Inputs'!$V$9:$V$32,'EE Inputs'!$C$9:$C$32,$G$6,'EE Inputs'!$D$9:$D$32,$C$4,'EE Inputs'!$E$9:$E$32,$B91),SUMIFS('EE Inputs'!$V$9:$V$32,'EE Inputs'!$C$9:$C$32,$G$6,'EE Inputs'!$D$9:$D$32,$C$4,'EE Inputs'!$E$9:$E$32,$B91),0)))</f>
        <v>3 Yr. total</v>
      </c>
      <c r="I91" s="65" t="str">
        <f ca="1">IF($C$4=Lookups!$D$40,IF(SUM(INDIRECT("'Yr1'!"&amp;ADDRESS(ROW(I91),COLUMN(I91))),INDIRECT("'Yr2'!"&amp;ADDRESS(ROW(I91),COLUMN(I91))),INDIRECT("'Yr3'!"&amp;ADDRESS(ROW(I91),COLUMN(I91))))&gt;0,"3 Yr. total",0),
IF(I$7&lt;$C$4,0,IF(I$8&lt;=SUMIFS('EE Inputs'!$V$9:$V$32,'EE Inputs'!$C$9:$C$32,$G$6,'EE Inputs'!$D$9:$D$32,$C$4,'EE Inputs'!$E$9:$E$32,$B91),SUMIFS('EE Inputs'!$V$9:$V$32,'EE Inputs'!$C$9:$C$32,$G$6,'EE Inputs'!$D$9:$D$32,$C$4,'EE Inputs'!$E$9:$E$32,$B91),0)))</f>
        <v>3 Yr. total</v>
      </c>
      <c r="J91" s="65" t="str">
        <f ca="1">IF($C$4=Lookups!$D$40,IF(SUM(INDIRECT("'Yr1'!"&amp;ADDRESS(ROW(J91),COLUMN(J91))),INDIRECT("'Yr2'!"&amp;ADDRESS(ROW(J91),COLUMN(J91))),INDIRECT("'Yr3'!"&amp;ADDRESS(ROW(J91),COLUMN(J91))))&gt;0,"3 Yr. total",0),
IF(J$7&lt;$C$4,0,IF(J$8&lt;=SUMIFS('EE Inputs'!$V$9:$V$32,'EE Inputs'!$C$9:$C$32,$G$6,'EE Inputs'!$D$9:$D$32,$C$4,'EE Inputs'!$E$9:$E$32,$B91),SUMIFS('EE Inputs'!$V$9:$V$32,'EE Inputs'!$C$9:$C$32,$G$6,'EE Inputs'!$D$9:$D$32,$C$4,'EE Inputs'!$E$9:$E$32,$B91),0)))</f>
        <v>3 Yr. total</v>
      </c>
      <c r="K91" s="65" t="str">
        <f ca="1">IF($C$4=Lookups!$D$40,IF(SUM(INDIRECT("'Yr1'!"&amp;ADDRESS(ROW(K91),COLUMN(K91))),INDIRECT("'Yr2'!"&amp;ADDRESS(ROW(K91),COLUMN(K91))),INDIRECT("'Yr3'!"&amp;ADDRESS(ROW(K91),COLUMN(K91))))&gt;0,"3 Yr. total",0),
IF(K$7&lt;$C$4,0,IF(K$8&lt;=SUMIFS('EE Inputs'!$V$9:$V$32,'EE Inputs'!$C$9:$C$32,$G$6,'EE Inputs'!$D$9:$D$32,$C$4,'EE Inputs'!$E$9:$E$32,$B91),SUMIFS('EE Inputs'!$V$9:$V$32,'EE Inputs'!$C$9:$C$32,$G$6,'EE Inputs'!$D$9:$D$32,$C$4,'EE Inputs'!$E$9:$E$32,$B91),0)))</f>
        <v>3 Yr. total</v>
      </c>
      <c r="L91" s="65" t="str">
        <f ca="1">IF($C$4=Lookups!$D$40,IF(SUM(INDIRECT("'Yr1'!"&amp;ADDRESS(ROW(L91),COLUMN(L91))),INDIRECT("'Yr2'!"&amp;ADDRESS(ROW(L91),COLUMN(L91))),INDIRECT("'Yr3'!"&amp;ADDRESS(ROW(L91),COLUMN(L91))))&gt;0,"3 Yr. total",0),
IF(L$7&lt;$C$4,0,IF(L$8&lt;=SUMIFS('EE Inputs'!$V$9:$V$32,'EE Inputs'!$C$9:$C$32,$G$6,'EE Inputs'!$D$9:$D$32,$C$4,'EE Inputs'!$E$9:$E$32,$B91),SUMIFS('EE Inputs'!$V$9:$V$32,'EE Inputs'!$C$9:$C$32,$G$6,'EE Inputs'!$D$9:$D$32,$C$4,'EE Inputs'!$E$9:$E$32,$B91),0)))</f>
        <v>3 Yr. total</v>
      </c>
      <c r="M91" s="65" t="str">
        <f ca="1">IF($C$4=Lookups!$D$40,IF(SUM(INDIRECT("'Yr1'!"&amp;ADDRESS(ROW(M91),COLUMN(M91))),INDIRECT("'Yr2'!"&amp;ADDRESS(ROW(M91),COLUMN(M91))),INDIRECT("'Yr3'!"&amp;ADDRESS(ROW(M91),COLUMN(M91))))&gt;0,"3 Yr. total",0),
IF(M$7&lt;$C$4,0,IF(M$8&lt;=SUMIFS('EE Inputs'!$V$9:$V$32,'EE Inputs'!$C$9:$C$32,$G$6,'EE Inputs'!$D$9:$D$32,$C$4,'EE Inputs'!$E$9:$E$32,$B91),SUMIFS('EE Inputs'!$V$9:$V$32,'EE Inputs'!$C$9:$C$32,$G$6,'EE Inputs'!$D$9:$D$32,$C$4,'EE Inputs'!$E$9:$E$32,$B91),0)))</f>
        <v>3 Yr. total</v>
      </c>
      <c r="N91" s="65" t="str">
        <f ca="1">IF($C$4=Lookups!$D$40,IF(SUM(INDIRECT("'Yr1'!"&amp;ADDRESS(ROW(N91),COLUMN(N91))),INDIRECT("'Yr2'!"&amp;ADDRESS(ROW(N91),COLUMN(N91))),INDIRECT("'Yr3'!"&amp;ADDRESS(ROW(N91),COLUMN(N91))))&gt;0,"3 Yr. total",0),
IF(N$7&lt;$C$4,0,IF(N$8&lt;=SUMIFS('EE Inputs'!$V$9:$V$32,'EE Inputs'!$C$9:$C$32,$G$6,'EE Inputs'!$D$9:$D$32,$C$4,'EE Inputs'!$E$9:$E$32,$B91),SUMIFS('EE Inputs'!$V$9:$V$32,'EE Inputs'!$C$9:$C$32,$G$6,'EE Inputs'!$D$9:$D$32,$C$4,'EE Inputs'!$E$9:$E$32,$B91),0)))</f>
        <v>3 Yr. total</v>
      </c>
      <c r="O91" s="65" t="str">
        <f ca="1">IF($C$4=Lookups!$D$40,IF(SUM(INDIRECT("'Yr1'!"&amp;ADDRESS(ROW(O91),COLUMN(O91))),INDIRECT("'Yr2'!"&amp;ADDRESS(ROW(O91),COLUMN(O91))),INDIRECT("'Yr3'!"&amp;ADDRESS(ROW(O91),COLUMN(O91))))&gt;0,"3 Yr. total",0),
IF(O$7&lt;$C$4,0,IF(O$8&lt;=SUMIFS('EE Inputs'!$V$9:$V$32,'EE Inputs'!$C$9:$C$32,$G$6,'EE Inputs'!$D$9:$D$32,$C$4,'EE Inputs'!$E$9:$E$32,$B91),SUMIFS('EE Inputs'!$V$9:$V$32,'EE Inputs'!$C$9:$C$32,$G$6,'EE Inputs'!$D$9:$D$32,$C$4,'EE Inputs'!$E$9:$E$32,$B91),0)))</f>
        <v>3 Yr. total</v>
      </c>
      <c r="P91" s="65" t="str">
        <f ca="1">IF($C$4=Lookups!$D$40,IF(SUM(INDIRECT("'Yr1'!"&amp;ADDRESS(ROW(P91),COLUMN(P91))),INDIRECT("'Yr2'!"&amp;ADDRESS(ROW(P91),COLUMN(P91))),INDIRECT("'Yr3'!"&amp;ADDRESS(ROW(P91),COLUMN(P91))))&gt;0,"3 Yr. total",0),
IF(P$7&lt;$C$4,0,IF(P$8&lt;=SUMIFS('EE Inputs'!$V$9:$V$32,'EE Inputs'!$C$9:$C$32,$G$6,'EE Inputs'!$D$9:$D$32,$C$4,'EE Inputs'!$E$9:$E$32,$B91),SUMIFS('EE Inputs'!$V$9:$V$32,'EE Inputs'!$C$9:$C$32,$G$6,'EE Inputs'!$D$9:$D$32,$C$4,'EE Inputs'!$E$9:$E$32,$B91),0)))</f>
        <v>3 Yr. total</v>
      </c>
      <c r="Q91" s="65" t="str">
        <f ca="1">IF($C$4=Lookups!$D$40,IF(SUM(INDIRECT("'Yr1'!"&amp;ADDRESS(ROW(Q91),COLUMN(Q91))),INDIRECT("'Yr2'!"&amp;ADDRESS(ROW(Q91),COLUMN(Q91))),INDIRECT("'Yr3'!"&amp;ADDRESS(ROW(Q91),COLUMN(Q91))))&gt;0,"3 Yr. total",0),
IF(Q$7&lt;$C$4,0,IF(Q$8&lt;=SUMIFS('EE Inputs'!$V$9:$V$32,'EE Inputs'!$C$9:$C$32,$G$6,'EE Inputs'!$D$9:$D$32,$C$4,'EE Inputs'!$E$9:$E$32,$B91),SUMIFS('EE Inputs'!$V$9:$V$32,'EE Inputs'!$C$9:$C$32,$G$6,'EE Inputs'!$D$9:$D$32,$C$4,'EE Inputs'!$E$9:$E$32,$B91),0)))</f>
        <v>3 Yr. total</v>
      </c>
      <c r="R91" s="65" t="str">
        <f ca="1">IF($C$4=Lookups!$D$40,IF(SUM(INDIRECT("'Yr1'!"&amp;ADDRESS(ROW(R91),COLUMN(R91))),INDIRECT("'Yr2'!"&amp;ADDRESS(ROW(R91),COLUMN(R91))),INDIRECT("'Yr3'!"&amp;ADDRESS(ROW(R91),COLUMN(R91))))&gt;0,"3 Yr. total",0),
IF(R$7&lt;$C$4,0,IF(R$8&lt;=SUMIFS('EE Inputs'!$V$9:$V$32,'EE Inputs'!$C$9:$C$32,$G$6,'EE Inputs'!$D$9:$D$32,$C$4,'EE Inputs'!$E$9:$E$32,$B91),SUMIFS('EE Inputs'!$V$9:$V$32,'EE Inputs'!$C$9:$C$32,$G$6,'EE Inputs'!$D$9:$D$32,$C$4,'EE Inputs'!$E$9:$E$32,$B91),0)))</f>
        <v>3 Yr. total</v>
      </c>
      <c r="S91" s="65" t="str">
        <f ca="1">IF($C$4=Lookups!$D$40,IF(SUM(INDIRECT("'Yr1'!"&amp;ADDRESS(ROW(S91),COLUMN(S91))),INDIRECT("'Yr2'!"&amp;ADDRESS(ROW(S91),COLUMN(S91))),INDIRECT("'Yr3'!"&amp;ADDRESS(ROW(S91),COLUMN(S91))))&gt;0,"3 Yr. total",0),
IF(S$7&lt;$C$4,0,IF(S$8&lt;=SUMIFS('EE Inputs'!$V$9:$V$32,'EE Inputs'!$C$9:$C$32,$G$6,'EE Inputs'!$D$9:$D$32,$C$4,'EE Inputs'!$E$9:$E$32,$B91),SUMIFS('EE Inputs'!$V$9:$V$32,'EE Inputs'!$C$9:$C$32,$G$6,'EE Inputs'!$D$9:$D$32,$C$4,'EE Inputs'!$E$9:$E$32,$B91),0)))</f>
        <v>3 Yr. total</v>
      </c>
      <c r="T91" s="65" t="str">
        <f ca="1">IF($C$4=Lookups!$D$40,IF(SUM(INDIRECT("'Yr1'!"&amp;ADDRESS(ROW(T91),COLUMN(T91))),INDIRECT("'Yr2'!"&amp;ADDRESS(ROW(T91),COLUMN(T91))),INDIRECT("'Yr3'!"&amp;ADDRESS(ROW(T91),COLUMN(T91))))&gt;0,"3 Yr. total",0),
IF(T$7&lt;$C$4,0,IF(T$8&lt;=SUMIFS('EE Inputs'!$V$9:$V$32,'EE Inputs'!$C$9:$C$32,$G$6,'EE Inputs'!$D$9:$D$32,$C$4,'EE Inputs'!$E$9:$E$32,$B91),SUMIFS('EE Inputs'!$V$9:$V$32,'EE Inputs'!$C$9:$C$32,$G$6,'EE Inputs'!$D$9:$D$32,$C$4,'EE Inputs'!$E$9:$E$32,$B91),0)))</f>
        <v>3 Yr. total</v>
      </c>
      <c r="U91" s="65" t="str">
        <f ca="1">IF($C$4=Lookups!$D$40,IF(SUM(INDIRECT("'Yr1'!"&amp;ADDRESS(ROW(U91),COLUMN(U91))),INDIRECT("'Yr2'!"&amp;ADDRESS(ROW(U91),COLUMN(U91))),INDIRECT("'Yr3'!"&amp;ADDRESS(ROW(U91),COLUMN(U91))))&gt;0,"3 Yr. total",0),
IF(U$7&lt;$C$4,0,IF(U$8&lt;=SUMIFS('EE Inputs'!$V$9:$V$32,'EE Inputs'!$C$9:$C$32,$G$6,'EE Inputs'!$D$9:$D$32,$C$4,'EE Inputs'!$E$9:$E$32,$B91),SUMIFS('EE Inputs'!$V$9:$V$32,'EE Inputs'!$C$9:$C$32,$G$6,'EE Inputs'!$D$9:$D$32,$C$4,'EE Inputs'!$E$9:$E$32,$B91),0)))</f>
        <v>3 Yr. total</v>
      </c>
      <c r="V91" s="65" t="str">
        <f ca="1">IF($C$4=Lookups!$D$40,IF(SUM(INDIRECT("'Yr1'!"&amp;ADDRESS(ROW(V91),COLUMN(V91))),INDIRECT("'Yr2'!"&amp;ADDRESS(ROW(V91),COLUMN(V91))),INDIRECT("'Yr3'!"&amp;ADDRESS(ROW(V91),COLUMN(V91))))&gt;0,"3 Yr. total",0),
IF(V$7&lt;$C$4,0,IF(V$8&lt;=SUMIFS('EE Inputs'!$V$9:$V$32,'EE Inputs'!$C$9:$C$32,$G$6,'EE Inputs'!$D$9:$D$32,$C$4,'EE Inputs'!$E$9:$E$32,$B91),SUMIFS('EE Inputs'!$V$9:$V$32,'EE Inputs'!$C$9:$C$32,$G$6,'EE Inputs'!$D$9:$D$32,$C$4,'EE Inputs'!$E$9:$E$32,$B91),0)))</f>
        <v>3 Yr. total</v>
      </c>
      <c r="W91" s="65" t="str">
        <f ca="1">IF($C$4=Lookups!$D$40,IF(SUM(INDIRECT("'Yr1'!"&amp;ADDRESS(ROW(W91),COLUMN(W91))),INDIRECT("'Yr2'!"&amp;ADDRESS(ROW(W91),COLUMN(W91))),INDIRECT("'Yr3'!"&amp;ADDRESS(ROW(W91),COLUMN(W91))))&gt;0,"3 Yr. total",0),
IF(W$7&lt;$C$4,0,IF(W$8&lt;=SUMIFS('EE Inputs'!$V$9:$V$32,'EE Inputs'!$C$9:$C$32,$G$6,'EE Inputs'!$D$9:$D$32,$C$4,'EE Inputs'!$E$9:$E$32,$B91),SUMIFS('EE Inputs'!$V$9:$V$32,'EE Inputs'!$C$9:$C$32,$G$6,'EE Inputs'!$D$9:$D$32,$C$4,'EE Inputs'!$E$9:$E$32,$B91),0)))</f>
        <v>3 Yr. total</v>
      </c>
      <c r="X91" s="65" t="str">
        <f ca="1">IF($C$4=Lookups!$D$40,IF(SUM(INDIRECT("'Yr1'!"&amp;ADDRESS(ROW(X91),COLUMN(X91))),INDIRECT("'Yr2'!"&amp;ADDRESS(ROW(X91),COLUMN(X91))),INDIRECT("'Yr3'!"&amp;ADDRESS(ROW(X91),COLUMN(X91))))&gt;0,"3 Yr. total",0),
IF(X$7&lt;$C$4,0,IF(X$8&lt;=SUMIFS('EE Inputs'!$V$9:$V$32,'EE Inputs'!$C$9:$C$32,$G$6,'EE Inputs'!$D$9:$D$32,$C$4,'EE Inputs'!$E$9:$E$32,$B91),SUMIFS('EE Inputs'!$V$9:$V$32,'EE Inputs'!$C$9:$C$32,$G$6,'EE Inputs'!$D$9:$D$32,$C$4,'EE Inputs'!$E$9:$E$32,$B91),0)))</f>
        <v>3 Yr. total</v>
      </c>
      <c r="Y91" s="65" t="str">
        <f ca="1">IF($C$4=Lookups!$D$40,IF(SUM(INDIRECT("'Yr1'!"&amp;ADDRESS(ROW(Y91),COLUMN(Y91))),INDIRECT("'Yr2'!"&amp;ADDRESS(ROW(Y91),COLUMN(Y91))),INDIRECT("'Yr3'!"&amp;ADDRESS(ROW(Y91),COLUMN(Y91))))&gt;0,"3 Yr. total",0),
IF(Y$7&lt;$C$4,0,IF(Y$8&lt;=SUMIFS('EE Inputs'!$V$9:$V$32,'EE Inputs'!$C$9:$C$32,$G$6,'EE Inputs'!$D$9:$D$32,$C$4,'EE Inputs'!$E$9:$E$32,$B91),SUMIFS('EE Inputs'!$V$9:$V$32,'EE Inputs'!$C$9:$C$32,$G$6,'EE Inputs'!$D$9:$D$32,$C$4,'EE Inputs'!$E$9:$E$32,$B91),0)))</f>
        <v>3 Yr. total</v>
      </c>
      <c r="Z91" s="65" t="str">
        <f ca="1">IF($C$4=Lookups!$D$40,IF(SUM(INDIRECT("'Yr1'!"&amp;ADDRESS(ROW(Z91),COLUMN(Z91))),INDIRECT("'Yr2'!"&amp;ADDRESS(ROW(Z91),COLUMN(Z91))),INDIRECT("'Yr3'!"&amp;ADDRESS(ROW(Z91),COLUMN(Z91))))&gt;0,"3 Yr. total",0),
IF(Z$7&lt;$C$4,0,IF(Z$8&lt;=SUMIFS('EE Inputs'!$V$9:$V$32,'EE Inputs'!$C$9:$C$32,$G$6,'EE Inputs'!$D$9:$D$32,$C$4,'EE Inputs'!$E$9:$E$32,$B91),SUMIFS('EE Inputs'!$V$9:$V$32,'EE Inputs'!$C$9:$C$32,$G$6,'EE Inputs'!$D$9:$D$32,$C$4,'EE Inputs'!$E$9:$E$32,$B91),0)))</f>
        <v>3 Yr. total</v>
      </c>
      <c r="AA91" s="65" t="str">
        <f ca="1">IF($C$4=Lookups!$D$40,IF(SUM(INDIRECT("'Yr1'!"&amp;ADDRESS(ROW(AA91),COLUMN(AA91))),INDIRECT("'Yr2'!"&amp;ADDRESS(ROW(AA91),COLUMN(AA91))),INDIRECT("'Yr3'!"&amp;ADDRESS(ROW(AA91),COLUMN(AA91))))&gt;0,"3 Yr. total",0),
IF(AA$7&lt;$C$4,0,IF(AA$8&lt;=SUMIFS('EE Inputs'!$V$9:$V$32,'EE Inputs'!$C$9:$C$32,$G$6,'EE Inputs'!$D$9:$D$32,$C$4,'EE Inputs'!$E$9:$E$32,$B91),SUMIFS('EE Inputs'!$V$9:$V$32,'EE Inputs'!$C$9:$C$32,$G$6,'EE Inputs'!$D$9:$D$32,$C$4,'EE Inputs'!$E$9:$E$32,$B91),0)))</f>
        <v>3 Yr. total</v>
      </c>
      <c r="AB91" s="65" t="str">
        <f ca="1">IF($C$4=Lookups!$D$40,IF(SUM(INDIRECT("'Yr1'!"&amp;ADDRESS(ROW(AB91),COLUMN(AB91))),INDIRECT("'Yr2'!"&amp;ADDRESS(ROW(AB91),COLUMN(AB91))),INDIRECT("'Yr3'!"&amp;ADDRESS(ROW(AB91),COLUMN(AB91))))&gt;0,"3 Yr. total",0),
IF(AB$7&lt;$C$4,0,IF(AB$8&lt;=SUMIFS('EE Inputs'!$V$9:$V$32,'EE Inputs'!$C$9:$C$32,$G$6,'EE Inputs'!$D$9:$D$32,$C$4,'EE Inputs'!$E$9:$E$32,$B91),SUMIFS('EE Inputs'!$V$9:$V$32,'EE Inputs'!$C$9:$C$32,$G$6,'EE Inputs'!$D$9:$D$32,$C$4,'EE Inputs'!$E$9:$E$32,$B91),0)))</f>
        <v>3 Yr. total</v>
      </c>
      <c r="AC91" s="65">
        <f ca="1">IF($C$4=Lookups!$D$40,IF(SUM(INDIRECT("'Yr1'!"&amp;ADDRESS(ROW(AC91),COLUMN(AC91))),INDIRECT("'Yr2'!"&amp;ADDRESS(ROW(AC91),COLUMN(AC91))),INDIRECT("'Yr3'!"&amp;ADDRESS(ROW(AC91),COLUMN(AC91))))&gt;0,"3 Yr. total",0),
IF(AC$7&lt;$C$4,0,IF(AC$8&lt;=SUMIFS('EE Inputs'!$V$9:$V$32,'EE Inputs'!$C$9:$C$32,$G$6,'EE Inputs'!$D$9:$D$32,$C$4,'EE Inputs'!$E$9:$E$32,$B91),SUMIFS('EE Inputs'!$V$9:$V$32,'EE Inputs'!$C$9:$C$32,$G$6,'EE Inputs'!$D$9:$D$32,$C$4,'EE Inputs'!$E$9:$E$32,$B91),0)))</f>
        <v>0</v>
      </c>
      <c r="AD91" s="65">
        <f ca="1">IF($C$4=Lookups!$D$40,IF(SUM(INDIRECT("'Yr1'!"&amp;ADDRESS(ROW(AD91),COLUMN(AD91))),INDIRECT("'Yr2'!"&amp;ADDRESS(ROW(AD91),COLUMN(AD91))),INDIRECT("'Yr3'!"&amp;ADDRESS(ROW(AD91),COLUMN(AD91))))&gt;0,"3 Yr. total",0),
IF(AD$7&lt;$C$4,0,IF(AD$8&lt;=SUMIFS('EE Inputs'!$V$9:$V$32,'EE Inputs'!$C$9:$C$32,$G$6,'EE Inputs'!$D$9:$D$32,$C$4,'EE Inputs'!$E$9:$E$32,$B91),SUMIFS('EE Inputs'!$V$9:$V$32,'EE Inputs'!$C$9:$C$32,$G$6,'EE Inputs'!$D$9:$D$32,$C$4,'EE Inputs'!$E$9:$E$32,$B91),0)))</f>
        <v>0</v>
      </c>
      <c r="AE91" s="65">
        <f ca="1">IF($C$4=Lookups!$D$40,IF(SUM(INDIRECT("'Yr1'!"&amp;ADDRESS(ROW(AE91),COLUMN(AE91))),INDIRECT("'Yr2'!"&amp;ADDRESS(ROW(AE91),COLUMN(AE91))),INDIRECT("'Yr3'!"&amp;ADDRESS(ROW(AE91),COLUMN(AE91))))&gt;0,"3 Yr. total",0),
IF(AE$7&lt;$C$4,0,IF(AE$8&lt;=SUMIFS('EE Inputs'!$V$9:$V$32,'EE Inputs'!$C$9:$C$32,$G$6,'EE Inputs'!$D$9:$D$32,$C$4,'EE Inputs'!$E$9:$E$32,$B91),SUMIFS('EE Inputs'!$V$9:$V$32,'EE Inputs'!$C$9:$C$32,$G$6,'EE Inputs'!$D$9:$D$32,$C$4,'EE Inputs'!$E$9:$E$32,$B91),0)))</f>
        <v>0</v>
      </c>
      <c r="AF91" s="65">
        <f ca="1">IF($C$4=Lookups!$D$40,IF(SUM(INDIRECT("'Yr1'!"&amp;ADDRESS(ROW(AF91),COLUMN(AF91))),INDIRECT("'Yr2'!"&amp;ADDRESS(ROW(AF91),COLUMN(AF91))),INDIRECT("'Yr3'!"&amp;ADDRESS(ROW(AF91),COLUMN(AF91))))&gt;0,"3 Yr. total",0),
IF(AF$7&lt;$C$4,0,IF(AF$8&lt;=SUMIFS('EE Inputs'!$V$9:$V$32,'EE Inputs'!$C$9:$C$32,$G$6,'EE Inputs'!$D$9:$D$32,$C$4,'EE Inputs'!$E$9:$E$32,$B91),SUMIFS('EE Inputs'!$V$9:$V$32,'EE Inputs'!$C$9:$C$32,$G$6,'EE Inputs'!$D$9:$D$32,$C$4,'EE Inputs'!$E$9:$E$32,$B91),0)))</f>
        <v>0</v>
      </c>
      <c r="AG91" s="65">
        <f ca="1">IF($C$4=Lookups!$D$40,IF(SUM(INDIRECT("'Yr1'!"&amp;ADDRESS(ROW(AG91),COLUMN(AG91))),INDIRECT("'Yr2'!"&amp;ADDRESS(ROW(AG91),COLUMN(AG91))),INDIRECT("'Yr3'!"&amp;ADDRESS(ROW(AG91),COLUMN(AG91))))&gt;0,"3 Yr. total",0),
IF(AG$7&lt;$C$4,0,IF(AG$8&lt;=SUMIFS('EE Inputs'!$V$9:$V$32,'EE Inputs'!$C$9:$C$32,$G$6,'EE Inputs'!$D$9:$D$32,$C$4,'EE Inputs'!$E$9:$E$32,$B91),SUMIFS('EE Inputs'!$V$9:$V$32,'EE Inputs'!$C$9:$C$32,$G$6,'EE Inputs'!$D$9:$D$32,$C$4,'EE Inputs'!$E$9:$E$32,$B91),0)))</f>
        <v>0</v>
      </c>
      <c r="AH91" s="65"/>
      <c r="AI91" s="65"/>
      <c r="AJ91" s="65"/>
      <c r="AM91" s="72" t="str">
        <f ca="1">IF($C$4=Lookups!$D$40,IF(SUM(INDIRECT("'Yr1'!"&amp;ADDRESS(ROW(AM91),COLUMN(AM91))),INDIRECT("'Yr2'!"&amp;ADDRESS(ROW(AM91),COLUMN(AM91))),INDIRECT("'Yr3'!"&amp;ADDRESS(ROW(AM91),COLUMN(AM91))))&gt;0,"3 Yr. total",0),
IF(AM$7&lt;$C$4,0,IF(AM$8&lt;=SUMIFS('EE Inputs'!$V$9:$V$32,'EE Inputs'!$C$9:$C$32,$AM$6,'EE Inputs'!$D$9:$D$32,$C$4,'EE Inputs'!$E$9:$E$32,$B91),SUMIFS('EE Inputs'!$V$9:$V$32,'EE Inputs'!$C$9:$C$32,$AM$6,'EE Inputs'!$D$9:$D$32,$C$4,'EE Inputs'!$E$9:$E$32,$B91),0)))</f>
        <v>3 Yr. total</v>
      </c>
      <c r="AN91" s="72" t="str">
        <f ca="1">IF($C$4=Lookups!$D$40,IF(SUM(INDIRECT("'Yr1'!"&amp;ADDRESS(ROW(AN91),COLUMN(AN91))),INDIRECT("'Yr2'!"&amp;ADDRESS(ROW(AN91),COLUMN(AN91))),INDIRECT("'Yr3'!"&amp;ADDRESS(ROW(AN91),COLUMN(AN91))))&gt;0,"3 Yr. total",0),
IF(AN$7&lt;$C$4,0,IF(AN$8&lt;=SUMIFS('EE Inputs'!$V$9:$V$32,'EE Inputs'!$C$9:$C$32,$AM$6,'EE Inputs'!$D$9:$D$32,$C$4,'EE Inputs'!$E$9:$E$32,$B91),SUMIFS('EE Inputs'!$V$9:$V$32,'EE Inputs'!$C$9:$C$32,$AM$6,'EE Inputs'!$D$9:$D$32,$C$4,'EE Inputs'!$E$9:$E$32,$B91),0)))</f>
        <v>3 Yr. total</v>
      </c>
      <c r="AO91" s="72" t="str">
        <f ca="1">IF($C$4=Lookups!$D$40,IF(SUM(INDIRECT("'Yr1'!"&amp;ADDRESS(ROW(AO91),COLUMN(AO91))),INDIRECT("'Yr2'!"&amp;ADDRESS(ROW(AO91),COLUMN(AO91))),INDIRECT("'Yr3'!"&amp;ADDRESS(ROW(AO91),COLUMN(AO91))))&gt;0,"3 Yr. total",0),
IF(AO$7&lt;$C$4,0,IF(AO$8&lt;=SUMIFS('EE Inputs'!$V$9:$V$32,'EE Inputs'!$C$9:$C$32,$AM$6,'EE Inputs'!$D$9:$D$32,$C$4,'EE Inputs'!$E$9:$E$32,$B91),SUMIFS('EE Inputs'!$V$9:$V$32,'EE Inputs'!$C$9:$C$32,$AM$6,'EE Inputs'!$D$9:$D$32,$C$4,'EE Inputs'!$E$9:$E$32,$B91),0)))</f>
        <v>3 Yr. total</v>
      </c>
      <c r="AP91" s="72" t="str">
        <f ca="1">IF($C$4=Lookups!$D$40,IF(SUM(INDIRECT("'Yr1'!"&amp;ADDRESS(ROW(AP91),COLUMN(AP91))),INDIRECT("'Yr2'!"&amp;ADDRESS(ROW(AP91),COLUMN(AP91))),INDIRECT("'Yr3'!"&amp;ADDRESS(ROW(AP91),COLUMN(AP91))))&gt;0,"3 Yr. total",0),
IF(AP$7&lt;$C$4,0,IF(AP$8&lt;=SUMIFS('EE Inputs'!$V$9:$V$32,'EE Inputs'!$C$9:$C$32,$AM$6,'EE Inputs'!$D$9:$D$32,$C$4,'EE Inputs'!$E$9:$E$32,$B91),SUMIFS('EE Inputs'!$V$9:$V$32,'EE Inputs'!$C$9:$C$32,$AM$6,'EE Inputs'!$D$9:$D$32,$C$4,'EE Inputs'!$E$9:$E$32,$B91),0)))</f>
        <v>3 Yr. total</v>
      </c>
      <c r="AQ91" s="72" t="str">
        <f ca="1">IF($C$4=Lookups!$D$40,IF(SUM(INDIRECT("'Yr1'!"&amp;ADDRESS(ROW(AQ91),COLUMN(AQ91))),INDIRECT("'Yr2'!"&amp;ADDRESS(ROW(AQ91),COLUMN(AQ91))),INDIRECT("'Yr3'!"&amp;ADDRESS(ROW(AQ91),COLUMN(AQ91))))&gt;0,"3 Yr. total",0),
IF(AQ$7&lt;$C$4,0,IF(AQ$8&lt;=SUMIFS('EE Inputs'!$V$9:$V$32,'EE Inputs'!$C$9:$C$32,$AM$6,'EE Inputs'!$D$9:$D$32,$C$4,'EE Inputs'!$E$9:$E$32,$B91),SUMIFS('EE Inputs'!$V$9:$V$32,'EE Inputs'!$C$9:$C$32,$AM$6,'EE Inputs'!$D$9:$D$32,$C$4,'EE Inputs'!$E$9:$E$32,$B91),0)))</f>
        <v>3 Yr. total</v>
      </c>
      <c r="AR91" s="72" t="str">
        <f ca="1">IF($C$4=Lookups!$D$40,IF(SUM(INDIRECT("'Yr1'!"&amp;ADDRESS(ROW(AR91),COLUMN(AR91))),INDIRECT("'Yr2'!"&amp;ADDRESS(ROW(AR91),COLUMN(AR91))),INDIRECT("'Yr3'!"&amp;ADDRESS(ROW(AR91),COLUMN(AR91))))&gt;0,"3 Yr. total",0),
IF(AR$7&lt;$C$4,0,IF(AR$8&lt;=SUMIFS('EE Inputs'!$V$9:$V$32,'EE Inputs'!$C$9:$C$32,$AM$6,'EE Inputs'!$D$9:$D$32,$C$4,'EE Inputs'!$E$9:$E$32,$B91),SUMIFS('EE Inputs'!$V$9:$V$32,'EE Inputs'!$C$9:$C$32,$AM$6,'EE Inputs'!$D$9:$D$32,$C$4,'EE Inputs'!$E$9:$E$32,$B91),0)))</f>
        <v>3 Yr. total</v>
      </c>
      <c r="AS91" s="72" t="str">
        <f ca="1">IF($C$4=Lookups!$D$40,IF(SUM(INDIRECT("'Yr1'!"&amp;ADDRESS(ROW(AS91),COLUMN(AS91))),INDIRECT("'Yr2'!"&amp;ADDRESS(ROW(AS91),COLUMN(AS91))),INDIRECT("'Yr3'!"&amp;ADDRESS(ROW(AS91),COLUMN(AS91))))&gt;0,"3 Yr. total",0),
IF(AS$7&lt;$C$4,0,IF(AS$8&lt;=SUMIFS('EE Inputs'!$V$9:$V$32,'EE Inputs'!$C$9:$C$32,$AM$6,'EE Inputs'!$D$9:$D$32,$C$4,'EE Inputs'!$E$9:$E$32,$B91),SUMIFS('EE Inputs'!$V$9:$V$32,'EE Inputs'!$C$9:$C$32,$AM$6,'EE Inputs'!$D$9:$D$32,$C$4,'EE Inputs'!$E$9:$E$32,$B91),0)))</f>
        <v>3 Yr. total</v>
      </c>
      <c r="AT91" s="72" t="str">
        <f ca="1">IF($C$4=Lookups!$D$40,IF(SUM(INDIRECT("'Yr1'!"&amp;ADDRESS(ROW(AT91),COLUMN(AT91))),INDIRECT("'Yr2'!"&amp;ADDRESS(ROW(AT91),COLUMN(AT91))),INDIRECT("'Yr3'!"&amp;ADDRESS(ROW(AT91),COLUMN(AT91))))&gt;0,"3 Yr. total",0),
IF(AT$7&lt;$C$4,0,IF(AT$8&lt;=SUMIFS('EE Inputs'!$V$9:$V$32,'EE Inputs'!$C$9:$C$32,$AM$6,'EE Inputs'!$D$9:$D$32,$C$4,'EE Inputs'!$E$9:$E$32,$B91),SUMIFS('EE Inputs'!$V$9:$V$32,'EE Inputs'!$C$9:$C$32,$AM$6,'EE Inputs'!$D$9:$D$32,$C$4,'EE Inputs'!$E$9:$E$32,$B91),0)))</f>
        <v>3 Yr. total</v>
      </c>
      <c r="AU91" s="72" t="str">
        <f ca="1">IF($C$4=Lookups!$D$40,IF(SUM(INDIRECT("'Yr1'!"&amp;ADDRESS(ROW(AU91),COLUMN(AU91))),INDIRECT("'Yr2'!"&amp;ADDRESS(ROW(AU91),COLUMN(AU91))),INDIRECT("'Yr3'!"&amp;ADDRESS(ROW(AU91),COLUMN(AU91))))&gt;0,"3 Yr. total",0),
IF(AU$7&lt;$C$4,0,IF(AU$8&lt;=SUMIFS('EE Inputs'!$V$9:$V$32,'EE Inputs'!$C$9:$C$32,$AM$6,'EE Inputs'!$D$9:$D$32,$C$4,'EE Inputs'!$E$9:$E$32,$B91),SUMIFS('EE Inputs'!$V$9:$V$32,'EE Inputs'!$C$9:$C$32,$AM$6,'EE Inputs'!$D$9:$D$32,$C$4,'EE Inputs'!$E$9:$E$32,$B91),0)))</f>
        <v>3 Yr. total</v>
      </c>
      <c r="AV91" s="72" t="str">
        <f ca="1">IF($C$4=Lookups!$D$40,IF(SUM(INDIRECT("'Yr1'!"&amp;ADDRESS(ROW(AV91),COLUMN(AV91))),INDIRECT("'Yr2'!"&amp;ADDRESS(ROW(AV91),COLUMN(AV91))),INDIRECT("'Yr3'!"&amp;ADDRESS(ROW(AV91),COLUMN(AV91))))&gt;0,"3 Yr. total",0),
IF(AV$7&lt;$C$4,0,IF(AV$8&lt;=SUMIFS('EE Inputs'!$V$9:$V$32,'EE Inputs'!$C$9:$C$32,$AM$6,'EE Inputs'!$D$9:$D$32,$C$4,'EE Inputs'!$E$9:$E$32,$B91),SUMIFS('EE Inputs'!$V$9:$V$32,'EE Inputs'!$C$9:$C$32,$AM$6,'EE Inputs'!$D$9:$D$32,$C$4,'EE Inputs'!$E$9:$E$32,$B91),0)))</f>
        <v>3 Yr. total</v>
      </c>
      <c r="AW91" s="72" t="str">
        <f ca="1">IF($C$4=Lookups!$D$40,IF(SUM(INDIRECT("'Yr1'!"&amp;ADDRESS(ROW(AW91),COLUMN(AW91))),INDIRECT("'Yr2'!"&amp;ADDRESS(ROW(AW91),COLUMN(AW91))),INDIRECT("'Yr3'!"&amp;ADDRESS(ROW(AW91),COLUMN(AW91))))&gt;0,"3 Yr. total",0),
IF(AW$7&lt;$C$4,0,IF(AW$8&lt;=SUMIFS('EE Inputs'!$V$9:$V$32,'EE Inputs'!$C$9:$C$32,$AM$6,'EE Inputs'!$D$9:$D$32,$C$4,'EE Inputs'!$E$9:$E$32,$B91),SUMIFS('EE Inputs'!$V$9:$V$32,'EE Inputs'!$C$9:$C$32,$AM$6,'EE Inputs'!$D$9:$D$32,$C$4,'EE Inputs'!$E$9:$E$32,$B91),0)))</f>
        <v>3 Yr. total</v>
      </c>
      <c r="AX91" s="72" t="str">
        <f ca="1">IF($C$4=Lookups!$D$40,IF(SUM(INDIRECT("'Yr1'!"&amp;ADDRESS(ROW(AX91),COLUMN(AX91))),INDIRECT("'Yr2'!"&amp;ADDRESS(ROW(AX91),COLUMN(AX91))),INDIRECT("'Yr3'!"&amp;ADDRESS(ROW(AX91),COLUMN(AX91))))&gt;0,"3 Yr. total",0),
IF(AX$7&lt;$C$4,0,IF(AX$8&lt;=SUMIFS('EE Inputs'!$V$9:$V$32,'EE Inputs'!$C$9:$C$32,$AM$6,'EE Inputs'!$D$9:$D$32,$C$4,'EE Inputs'!$E$9:$E$32,$B91),SUMIFS('EE Inputs'!$V$9:$V$32,'EE Inputs'!$C$9:$C$32,$AM$6,'EE Inputs'!$D$9:$D$32,$C$4,'EE Inputs'!$E$9:$E$32,$B91),0)))</f>
        <v>3 Yr. total</v>
      </c>
      <c r="AY91" s="72" t="str">
        <f ca="1">IF($C$4=Lookups!$D$40,IF(SUM(INDIRECT("'Yr1'!"&amp;ADDRESS(ROW(AY91),COLUMN(AY91))),INDIRECT("'Yr2'!"&amp;ADDRESS(ROW(AY91),COLUMN(AY91))),INDIRECT("'Yr3'!"&amp;ADDRESS(ROW(AY91),COLUMN(AY91))))&gt;0,"3 Yr. total",0),
IF(AY$7&lt;$C$4,0,IF(AY$8&lt;=SUMIFS('EE Inputs'!$V$9:$V$32,'EE Inputs'!$C$9:$C$32,$AM$6,'EE Inputs'!$D$9:$D$32,$C$4,'EE Inputs'!$E$9:$E$32,$B91),SUMIFS('EE Inputs'!$V$9:$V$32,'EE Inputs'!$C$9:$C$32,$AM$6,'EE Inputs'!$D$9:$D$32,$C$4,'EE Inputs'!$E$9:$E$32,$B91),0)))</f>
        <v>3 Yr. total</v>
      </c>
      <c r="AZ91" s="72" t="str">
        <f ca="1">IF($C$4=Lookups!$D$40,IF(SUM(INDIRECT("'Yr1'!"&amp;ADDRESS(ROW(AZ91),COLUMN(AZ91))),INDIRECT("'Yr2'!"&amp;ADDRESS(ROW(AZ91),COLUMN(AZ91))),INDIRECT("'Yr3'!"&amp;ADDRESS(ROW(AZ91),COLUMN(AZ91))))&gt;0,"3 Yr. total",0),
IF(AZ$7&lt;$C$4,0,IF(AZ$8&lt;=SUMIFS('EE Inputs'!$V$9:$V$32,'EE Inputs'!$C$9:$C$32,$AM$6,'EE Inputs'!$D$9:$D$32,$C$4,'EE Inputs'!$E$9:$E$32,$B91),SUMIFS('EE Inputs'!$V$9:$V$32,'EE Inputs'!$C$9:$C$32,$AM$6,'EE Inputs'!$D$9:$D$32,$C$4,'EE Inputs'!$E$9:$E$32,$B91),0)))</f>
        <v>3 Yr. total</v>
      </c>
      <c r="BA91" s="72" t="str">
        <f ca="1">IF($C$4=Lookups!$D$40,IF(SUM(INDIRECT("'Yr1'!"&amp;ADDRESS(ROW(BA91),COLUMN(BA91))),INDIRECT("'Yr2'!"&amp;ADDRESS(ROW(BA91),COLUMN(BA91))),INDIRECT("'Yr3'!"&amp;ADDRESS(ROW(BA91),COLUMN(BA91))))&gt;0,"3 Yr. total",0),
IF(BA$7&lt;$C$4,0,IF(BA$8&lt;=SUMIFS('EE Inputs'!$V$9:$V$32,'EE Inputs'!$C$9:$C$32,$AM$6,'EE Inputs'!$D$9:$D$32,$C$4,'EE Inputs'!$E$9:$E$32,$B91),SUMIFS('EE Inputs'!$V$9:$V$32,'EE Inputs'!$C$9:$C$32,$AM$6,'EE Inputs'!$D$9:$D$32,$C$4,'EE Inputs'!$E$9:$E$32,$B91),0)))</f>
        <v>3 Yr. total</v>
      </c>
      <c r="BB91" s="72" t="str">
        <f ca="1">IF($C$4=Lookups!$D$40,IF(SUM(INDIRECT("'Yr1'!"&amp;ADDRESS(ROW(BB91),COLUMN(BB91))),INDIRECT("'Yr2'!"&amp;ADDRESS(ROW(BB91),COLUMN(BB91))),INDIRECT("'Yr3'!"&amp;ADDRESS(ROW(BB91),COLUMN(BB91))))&gt;0,"3 Yr. total",0),
IF(BB$7&lt;$C$4,0,IF(BB$8&lt;=SUMIFS('EE Inputs'!$V$9:$V$32,'EE Inputs'!$C$9:$C$32,$AM$6,'EE Inputs'!$D$9:$D$32,$C$4,'EE Inputs'!$E$9:$E$32,$B91),SUMIFS('EE Inputs'!$V$9:$V$32,'EE Inputs'!$C$9:$C$32,$AM$6,'EE Inputs'!$D$9:$D$32,$C$4,'EE Inputs'!$E$9:$E$32,$B91),0)))</f>
        <v>3 Yr. total</v>
      </c>
      <c r="BC91" s="72" t="str">
        <f ca="1">IF($C$4=Lookups!$D$40,IF(SUM(INDIRECT("'Yr1'!"&amp;ADDRESS(ROW(BC91),COLUMN(BC91))),INDIRECT("'Yr2'!"&amp;ADDRESS(ROW(BC91),COLUMN(BC91))),INDIRECT("'Yr3'!"&amp;ADDRESS(ROW(BC91),COLUMN(BC91))))&gt;0,"3 Yr. total",0),
IF(BC$7&lt;$C$4,0,IF(BC$8&lt;=SUMIFS('EE Inputs'!$V$9:$V$32,'EE Inputs'!$C$9:$C$32,$AM$6,'EE Inputs'!$D$9:$D$32,$C$4,'EE Inputs'!$E$9:$E$32,$B91),SUMIFS('EE Inputs'!$V$9:$V$32,'EE Inputs'!$C$9:$C$32,$AM$6,'EE Inputs'!$D$9:$D$32,$C$4,'EE Inputs'!$E$9:$E$32,$B91),0)))</f>
        <v>3 Yr. total</v>
      </c>
      <c r="BD91" s="72" t="str">
        <f ca="1">IF($C$4=Lookups!$D$40,IF(SUM(INDIRECT("'Yr1'!"&amp;ADDRESS(ROW(BD91),COLUMN(BD91))),INDIRECT("'Yr2'!"&amp;ADDRESS(ROW(BD91),COLUMN(BD91))),INDIRECT("'Yr3'!"&amp;ADDRESS(ROW(BD91),COLUMN(BD91))))&gt;0,"3 Yr. total",0),
IF(BD$7&lt;$C$4,0,IF(BD$8&lt;=SUMIFS('EE Inputs'!$V$9:$V$32,'EE Inputs'!$C$9:$C$32,$AM$6,'EE Inputs'!$D$9:$D$32,$C$4,'EE Inputs'!$E$9:$E$32,$B91),SUMIFS('EE Inputs'!$V$9:$V$32,'EE Inputs'!$C$9:$C$32,$AM$6,'EE Inputs'!$D$9:$D$32,$C$4,'EE Inputs'!$E$9:$E$32,$B91),0)))</f>
        <v>3 Yr. total</v>
      </c>
      <c r="BE91" s="72" t="str">
        <f ca="1">IF($C$4=Lookups!$D$40,IF(SUM(INDIRECT("'Yr1'!"&amp;ADDRESS(ROW(BE91),COLUMN(BE91))),INDIRECT("'Yr2'!"&amp;ADDRESS(ROW(BE91),COLUMN(BE91))),INDIRECT("'Yr3'!"&amp;ADDRESS(ROW(BE91),COLUMN(BE91))))&gt;0,"3 Yr. total",0),
IF(BE$7&lt;$C$4,0,IF(BE$8&lt;=SUMIFS('EE Inputs'!$V$9:$V$32,'EE Inputs'!$C$9:$C$32,$AM$6,'EE Inputs'!$D$9:$D$32,$C$4,'EE Inputs'!$E$9:$E$32,$B91),SUMIFS('EE Inputs'!$V$9:$V$32,'EE Inputs'!$C$9:$C$32,$AM$6,'EE Inputs'!$D$9:$D$32,$C$4,'EE Inputs'!$E$9:$E$32,$B91),0)))</f>
        <v>3 Yr. total</v>
      </c>
      <c r="BF91" s="72" t="str">
        <f ca="1">IF($C$4=Lookups!$D$40,IF(SUM(INDIRECT("'Yr1'!"&amp;ADDRESS(ROW(BF91),COLUMN(BF91))),INDIRECT("'Yr2'!"&amp;ADDRESS(ROW(BF91),COLUMN(BF91))),INDIRECT("'Yr3'!"&amp;ADDRESS(ROW(BF91),COLUMN(BF91))))&gt;0,"3 Yr. total",0),
IF(BF$7&lt;$C$4,0,IF(BF$8&lt;=SUMIFS('EE Inputs'!$V$9:$V$32,'EE Inputs'!$C$9:$C$32,$AM$6,'EE Inputs'!$D$9:$D$32,$C$4,'EE Inputs'!$E$9:$E$32,$B91),SUMIFS('EE Inputs'!$V$9:$V$32,'EE Inputs'!$C$9:$C$32,$AM$6,'EE Inputs'!$D$9:$D$32,$C$4,'EE Inputs'!$E$9:$E$32,$B91),0)))</f>
        <v>3 Yr. total</v>
      </c>
      <c r="BG91" s="72" t="str">
        <f ca="1">IF($C$4=Lookups!$D$40,IF(SUM(INDIRECT("'Yr1'!"&amp;ADDRESS(ROW(BG91),COLUMN(BG91))),INDIRECT("'Yr2'!"&amp;ADDRESS(ROW(BG91),COLUMN(BG91))),INDIRECT("'Yr3'!"&amp;ADDRESS(ROW(BG91),COLUMN(BG91))))&gt;0,"3 Yr. total",0),
IF(BG$7&lt;$C$4,0,IF(BG$8&lt;=SUMIFS('EE Inputs'!$V$9:$V$32,'EE Inputs'!$C$9:$C$32,$AM$6,'EE Inputs'!$D$9:$D$32,$C$4,'EE Inputs'!$E$9:$E$32,$B91),SUMIFS('EE Inputs'!$V$9:$V$32,'EE Inputs'!$C$9:$C$32,$AM$6,'EE Inputs'!$D$9:$D$32,$C$4,'EE Inputs'!$E$9:$E$32,$B91),0)))</f>
        <v>3 Yr. total</v>
      </c>
      <c r="BH91" s="72" t="str">
        <f ca="1">IF($C$4=Lookups!$D$40,IF(SUM(INDIRECT("'Yr1'!"&amp;ADDRESS(ROW(BH91),COLUMN(BH91))),INDIRECT("'Yr2'!"&amp;ADDRESS(ROW(BH91),COLUMN(BH91))),INDIRECT("'Yr3'!"&amp;ADDRESS(ROW(BH91),COLUMN(BH91))))&gt;0,"3 Yr. total",0),
IF(BH$7&lt;$C$4,0,IF(BH$8&lt;=SUMIFS('EE Inputs'!$V$9:$V$32,'EE Inputs'!$C$9:$C$32,$AM$6,'EE Inputs'!$D$9:$D$32,$C$4,'EE Inputs'!$E$9:$E$32,$B91),SUMIFS('EE Inputs'!$V$9:$V$32,'EE Inputs'!$C$9:$C$32,$AM$6,'EE Inputs'!$D$9:$D$32,$C$4,'EE Inputs'!$E$9:$E$32,$B91),0)))</f>
        <v>3 Yr. total</v>
      </c>
      <c r="BI91" s="72">
        <f ca="1">IF($C$4=Lookups!$D$40,IF(SUM(INDIRECT("'Yr1'!"&amp;ADDRESS(ROW(BI91),COLUMN(BI91))),INDIRECT("'Yr2'!"&amp;ADDRESS(ROW(BI91),COLUMN(BI91))),INDIRECT("'Yr3'!"&amp;ADDRESS(ROW(BI91),COLUMN(BI91))))&gt;0,"3 Yr. total",0),
IF(BI$7&lt;$C$4,0,IF(BI$8&lt;=SUMIFS('EE Inputs'!$V$9:$V$32,'EE Inputs'!$C$9:$C$32,$AM$6,'EE Inputs'!$D$9:$D$32,$C$4,'EE Inputs'!$E$9:$E$32,$B91),SUMIFS('EE Inputs'!$V$9:$V$32,'EE Inputs'!$C$9:$C$32,$AM$6,'EE Inputs'!$D$9:$D$32,$C$4,'EE Inputs'!$E$9:$E$32,$B91),0)))</f>
        <v>0</v>
      </c>
      <c r="BJ91" s="72">
        <f ca="1">IF($C$4=Lookups!$D$40,IF(SUM(INDIRECT("'Yr1'!"&amp;ADDRESS(ROW(BJ91),COLUMN(BJ91))),INDIRECT("'Yr2'!"&amp;ADDRESS(ROW(BJ91),COLUMN(BJ91))),INDIRECT("'Yr3'!"&amp;ADDRESS(ROW(BJ91),COLUMN(BJ91))))&gt;0,"3 Yr. total",0),
IF(BJ$7&lt;$C$4,0,IF(BJ$8&lt;=SUMIFS('EE Inputs'!$V$9:$V$32,'EE Inputs'!$C$9:$C$32,$AM$6,'EE Inputs'!$D$9:$D$32,$C$4,'EE Inputs'!$E$9:$E$32,$B91),SUMIFS('EE Inputs'!$V$9:$V$32,'EE Inputs'!$C$9:$C$32,$AM$6,'EE Inputs'!$D$9:$D$32,$C$4,'EE Inputs'!$E$9:$E$32,$B91),0)))</f>
        <v>0</v>
      </c>
      <c r="BK91" s="72">
        <f ca="1">IF($C$4=Lookups!$D$40,IF(SUM(INDIRECT("'Yr1'!"&amp;ADDRESS(ROW(BK91),COLUMN(BK91))),INDIRECT("'Yr2'!"&amp;ADDRESS(ROW(BK91),COLUMN(BK91))),INDIRECT("'Yr3'!"&amp;ADDRESS(ROW(BK91),COLUMN(BK91))))&gt;0,"3 Yr. total",0),
IF(BK$7&lt;$C$4,0,IF(BK$8&lt;=SUMIFS('EE Inputs'!$V$9:$V$32,'EE Inputs'!$C$9:$C$32,$AM$6,'EE Inputs'!$D$9:$D$32,$C$4,'EE Inputs'!$E$9:$E$32,$B91),SUMIFS('EE Inputs'!$V$9:$V$32,'EE Inputs'!$C$9:$C$32,$AM$6,'EE Inputs'!$D$9:$D$32,$C$4,'EE Inputs'!$E$9:$E$32,$B91),0)))</f>
        <v>0</v>
      </c>
      <c r="BL91" s="72">
        <f ca="1">IF($C$4=Lookups!$D$40,IF(SUM(INDIRECT("'Yr1'!"&amp;ADDRESS(ROW(BL91),COLUMN(BL91))),INDIRECT("'Yr2'!"&amp;ADDRESS(ROW(BL91),COLUMN(BL91))),INDIRECT("'Yr3'!"&amp;ADDRESS(ROW(BL91),COLUMN(BL91))))&gt;0,"3 Yr. total",0),
IF(BL$7&lt;$C$4,0,IF(BL$8&lt;=SUMIFS('EE Inputs'!$V$9:$V$32,'EE Inputs'!$C$9:$C$32,$AM$6,'EE Inputs'!$D$9:$D$32,$C$4,'EE Inputs'!$E$9:$E$32,$B91),SUMIFS('EE Inputs'!$V$9:$V$32,'EE Inputs'!$C$9:$C$32,$AM$6,'EE Inputs'!$D$9:$D$32,$C$4,'EE Inputs'!$E$9:$E$32,$B91),0)))</f>
        <v>0</v>
      </c>
      <c r="BM91" s="72">
        <f ca="1">IF($C$4=Lookups!$D$40,IF(SUM(INDIRECT("'Yr1'!"&amp;ADDRESS(ROW(BM91),COLUMN(BM91))),INDIRECT("'Yr2'!"&amp;ADDRESS(ROW(BM91),COLUMN(BM91))),INDIRECT("'Yr3'!"&amp;ADDRESS(ROW(BM91),COLUMN(BM91))))&gt;0,"3 Yr. total",0),
IF(BM$7&lt;$C$4,0,IF(BM$8&lt;=SUMIFS('EE Inputs'!$V$9:$V$32,'EE Inputs'!$C$9:$C$32,$AM$6,'EE Inputs'!$D$9:$D$32,$C$4,'EE Inputs'!$E$9:$E$32,$B91),SUMIFS('EE Inputs'!$V$9:$V$32,'EE Inputs'!$C$9:$C$32,$AM$6,'EE Inputs'!$D$9:$D$32,$C$4,'EE Inputs'!$E$9:$E$32,$B91),0)))</f>
        <v>0</v>
      </c>
      <c r="BN91" s="72"/>
      <c r="BO91" s="72"/>
      <c r="BP91" s="72"/>
      <c r="BS91" s="76" t="s">
        <v>90</v>
      </c>
      <c r="BT91" s="51" t="s">
        <v>17</v>
      </c>
    </row>
    <row r="92" spans="1:72" s="5" customFormat="1" x14ac:dyDescent="0.25">
      <c r="A92" s="52"/>
      <c r="B92" s="242" t="str">
        <f t="shared" si="85"/>
        <v>Low-Income</v>
      </c>
      <c r="C92" s="242" t="str">
        <f>C91</f>
        <v>Customers</v>
      </c>
      <c r="D92" s="77" t="s">
        <v>17</v>
      </c>
      <c r="E92" s="76"/>
      <c r="F92" s="76"/>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S92" s="76"/>
      <c r="BT92" s="51" t="s">
        <v>17</v>
      </c>
    </row>
    <row r="93" spans="1:72" s="5" customFormat="1" ht="15.75" x14ac:dyDescent="0.25">
      <c r="A93" s="52"/>
      <c r="B93" s="241" t="str">
        <f t="shared" si="85"/>
        <v>Low-Income</v>
      </c>
      <c r="C93" s="63" t="s">
        <v>4</v>
      </c>
      <c r="D93" s="61"/>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2"/>
      <c r="BO93" s="62"/>
      <c r="BP93" s="62"/>
      <c r="BS93" s="62"/>
      <c r="BT93" s="51" t="s">
        <v>17</v>
      </c>
    </row>
    <row r="94" spans="1:72" x14ac:dyDescent="0.25">
      <c r="B94" s="243" t="str">
        <f t="shared" si="85"/>
        <v>Low-Income</v>
      </c>
      <c r="C94" s="243" t="str">
        <f>C93</f>
        <v>Sales</v>
      </c>
      <c r="D94" s="244" t="str">
        <f>"Sales before DSM ("&amp;Lookups!$D$22&amp;" Scenario)"</f>
        <v>Sales before DSM (No EE Scenario)</v>
      </c>
      <c r="E94" s="85" t="str">
        <f>"Sales before DSM ("&amp;Lookups!$D$22&amp;" Scenario)"</f>
        <v>Sales before DSM (No EE Scenario)</v>
      </c>
      <c r="F94" s="84" t="s">
        <v>195</v>
      </c>
      <c r="G94" s="64">
        <f>IF(G$8=0,0,INDEX('Multi-Year Inputs'!$E$41:$AE$44,MATCH($B94,'Multi-Year Inputs'!$D$41:$D$44,0),MATCH(G$7,'Multi-Year Inputs'!$E$4:$AE$4,0)))</f>
        <v>4673617.4897935251</v>
      </c>
      <c r="H94" s="64">
        <f>IF(H$8=0,0,INDEX('Multi-Year Inputs'!$E$41:$AE$44,MATCH($B94,'Multi-Year Inputs'!$D$41:$D$44,0),MATCH(H$7,'Multi-Year Inputs'!$E$4:$AE$4,0)))</f>
        <v>4673617.4897935251</v>
      </c>
      <c r="I94" s="64">
        <f>IF(I$8=0,0,INDEX('Multi-Year Inputs'!$E$41:$AE$44,MATCH($B94,'Multi-Year Inputs'!$D$41:$D$44,0),MATCH(I$7,'Multi-Year Inputs'!$E$4:$AE$4,0)))</f>
        <v>4673617.4897935251</v>
      </c>
      <c r="J94" s="64">
        <f>IF(J$8=0,0,INDEX('Multi-Year Inputs'!$E$41:$AE$44,MATCH($B94,'Multi-Year Inputs'!$D$41:$D$44,0),MATCH(J$7,'Multi-Year Inputs'!$E$4:$AE$4,0)))</f>
        <v>4673617.4897935251</v>
      </c>
      <c r="K94" s="64">
        <f>IF(K$8=0,0,INDEX('Multi-Year Inputs'!$E$41:$AE$44,MATCH($B94,'Multi-Year Inputs'!$D$41:$D$44,0),MATCH(K$7,'Multi-Year Inputs'!$E$4:$AE$4,0)))</f>
        <v>4673617.4897935251</v>
      </c>
      <c r="L94" s="64">
        <f>IF(L$8=0,0,INDEX('Multi-Year Inputs'!$E$41:$AE$44,MATCH($B94,'Multi-Year Inputs'!$D$41:$D$44,0),MATCH(L$7,'Multi-Year Inputs'!$E$4:$AE$4,0)))</f>
        <v>4673617.4897935251</v>
      </c>
      <c r="M94" s="64">
        <f>IF(M$8=0,0,INDEX('Multi-Year Inputs'!$E$41:$AE$44,MATCH($B94,'Multi-Year Inputs'!$D$41:$D$44,0),MATCH(M$7,'Multi-Year Inputs'!$E$4:$AE$4,0)))</f>
        <v>4673617.4897935251</v>
      </c>
      <c r="N94" s="64">
        <f>IF(N$8=0,0,INDEX('Multi-Year Inputs'!$E$41:$AE$44,MATCH($B94,'Multi-Year Inputs'!$D$41:$D$44,0),MATCH(N$7,'Multi-Year Inputs'!$E$4:$AE$4,0)))</f>
        <v>4673617.4897935251</v>
      </c>
      <c r="O94" s="64">
        <f>IF(O$8=0,0,INDEX('Multi-Year Inputs'!$E$41:$AE$44,MATCH($B94,'Multi-Year Inputs'!$D$41:$D$44,0),MATCH(O$7,'Multi-Year Inputs'!$E$4:$AE$4,0)))</f>
        <v>4673617.4897935251</v>
      </c>
      <c r="P94" s="64">
        <f>IF(P$8=0,0,INDEX('Multi-Year Inputs'!$E$41:$AE$44,MATCH($B94,'Multi-Year Inputs'!$D$41:$D$44,0),MATCH(P$7,'Multi-Year Inputs'!$E$4:$AE$4,0)))</f>
        <v>4673617.4897935251</v>
      </c>
      <c r="Q94" s="64">
        <f>IF(Q$8=0,0,INDEX('Multi-Year Inputs'!$E$41:$AE$44,MATCH($B94,'Multi-Year Inputs'!$D$41:$D$44,0),MATCH(Q$7,'Multi-Year Inputs'!$E$4:$AE$4,0)))</f>
        <v>4673617.4897935251</v>
      </c>
      <c r="R94" s="64">
        <f>IF(R$8=0,0,INDEX('Multi-Year Inputs'!$E$41:$AE$44,MATCH($B94,'Multi-Year Inputs'!$D$41:$D$44,0),MATCH(R$7,'Multi-Year Inputs'!$E$4:$AE$4,0)))</f>
        <v>4673617.4897935251</v>
      </c>
      <c r="S94" s="64">
        <f>IF(S$8=0,0,INDEX('Multi-Year Inputs'!$E$41:$AE$44,MATCH($B94,'Multi-Year Inputs'!$D$41:$D$44,0),MATCH(S$7,'Multi-Year Inputs'!$E$4:$AE$4,0)))</f>
        <v>4673617.4897935251</v>
      </c>
      <c r="T94" s="64">
        <f>IF(T$8=0,0,INDEX('Multi-Year Inputs'!$E$41:$AE$44,MATCH($B94,'Multi-Year Inputs'!$D$41:$D$44,0),MATCH(T$7,'Multi-Year Inputs'!$E$4:$AE$4,0)))</f>
        <v>4673617.4897935251</v>
      </c>
      <c r="U94" s="64">
        <f>IF(U$8=0,0,INDEX('Multi-Year Inputs'!$E$41:$AE$44,MATCH($B94,'Multi-Year Inputs'!$D$41:$D$44,0),MATCH(U$7,'Multi-Year Inputs'!$E$4:$AE$4,0)))</f>
        <v>4673617.4897935251</v>
      </c>
      <c r="V94" s="64">
        <f>IF(V$8=0,0,INDEX('Multi-Year Inputs'!$E$41:$AE$44,MATCH($B94,'Multi-Year Inputs'!$D$41:$D$44,0),MATCH(V$7,'Multi-Year Inputs'!$E$4:$AE$4,0)))</f>
        <v>4673617.4897935251</v>
      </c>
      <c r="W94" s="64">
        <f>IF(W$8=0,0,INDEX('Multi-Year Inputs'!$E$41:$AE$44,MATCH($B94,'Multi-Year Inputs'!$D$41:$D$44,0),MATCH(W$7,'Multi-Year Inputs'!$E$4:$AE$4,0)))</f>
        <v>4673617.4897935251</v>
      </c>
      <c r="X94" s="64">
        <f>IF(X$8=0,0,INDEX('Multi-Year Inputs'!$E$41:$AE$44,MATCH($B94,'Multi-Year Inputs'!$D$41:$D$44,0),MATCH(X$7,'Multi-Year Inputs'!$E$4:$AE$4,0)))</f>
        <v>4673617.4897935251</v>
      </c>
      <c r="Y94" s="64">
        <f>IF(Y$8=0,0,INDEX('Multi-Year Inputs'!$E$41:$AE$44,MATCH($B94,'Multi-Year Inputs'!$D$41:$D$44,0),MATCH(Y$7,'Multi-Year Inputs'!$E$4:$AE$4,0)))</f>
        <v>4673617.4897935251</v>
      </c>
      <c r="Z94" s="64">
        <f>IF(Z$8=0,0,INDEX('Multi-Year Inputs'!$E$41:$AE$44,MATCH($B94,'Multi-Year Inputs'!$D$41:$D$44,0),MATCH(Z$7,'Multi-Year Inputs'!$E$4:$AE$4,0)))</f>
        <v>4673617.4897935251</v>
      </c>
      <c r="AA94" s="64">
        <f>IF(AA$8=0,0,INDEX('Multi-Year Inputs'!$E$41:$AE$44,MATCH($B94,'Multi-Year Inputs'!$D$41:$D$44,0),MATCH(AA$7,'Multi-Year Inputs'!$E$4:$AE$4,0)))</f>
        <v>4673617.4897935251</v>
      </c>
      <c r="AB94" s="64">
        <f>IF(AB$8=0,0,INDEX('Multi-Year Inputs'!$E$41:$AE$44,MATCH($B94,'Multi-Year Inputs'!$D$41:$D$44,0),MATCH(AB$7,'Multi-Year Inputs'!$E$4:$AE$4,0)))</f>
        <v>4673617.4897935251</v>
      </c>
      <c r="AC94" s="64">
        <f>IF(AC$8=0,0,INDEX('Multi-Year Inputs'!$E$41:$AE$44,MATCH($B94,'Multi-Year Inputs'!$D$41:$D$44,0),MATCH(AC$7,'Multi-Year Inputs'!$E$4:$AE$4,0)))</f>
        <v>4673617.4897935251</v>
      </c>
      <c r="AD94" s="64">
        <f>IF(AD$8=0,0,INDEX('Multi-Year Inputs'!$E$41:$AE$44,MATCH($B94,'Multi-Year Inputs'!$D$41:$D$44,0),MATCH(AD$7,'Multi-Year Inputs'!$E$4:$AE$4,0)))</f>
        <v>4673617.4897935251</v>
      </c>
      <c r="AE94" s="64">
        <f>IF(AE$8=0,0,INDEX('Multi-Year Inputs'!$E$41:$AE$44,MATCH($B94,'Multi-Year Inputs'!$D$41:$D$44,0),MATCH(AE$7,'Multi-Year Inputs'!$E$4:$AE$4,0)))</f>
        <v>4673617.4897935251</v>
      </c>
      <c r="AF94" s="64">
        <f>IF(AF$8=0,0,INDEX('Multi-Year Inputs'!$E$41:$AE$44,MATCH($B94,'Multi-Year Inputs'!$D$41:$D$44,0),MATCH(AF$7,'Multi-Year Inputs'!$E$4:$AE$4,0)))</f>
        <v>4673617.4897935251</v>
      </c>
      <c r="AG94" s="64">
        <f>IF(AG$8=0,0,INDEX('Multi-Year Inputs'!$E$41:$AE$44,MATCH($B94,'Multi-Year Inputs'!$D$41:$D$44,0),MATCH(AG$7,'Multi-Year Inputs'!$E$4:$AE$4,0)))</f>
        <v>4673617.4897935251</v>
      </c>
      <c r="AH94" s="64"/>
      <c r="AI94" s="64">
        <f t="shared" ref="AI94:AI96" si="86">SUM(G94:AG94)</f>
        <v>126187672.22442517</v>
      </c>
      <c r="AJ94" s="64"/>
      <c r="AM94" s="71">
        <f>IF(AM$8=0,0,INDEX('Multi-Year Inputs'!$E$41:$AE$44,MATCH($B94,'Multi-Year Inputs'!$D$41:$D$44,0),MATCH(AM$7,'Multi-Year Inputs'!$E$4:$AE$4,0)))</f>
        <v>4673617.4897935251</v>
      </c>
      <c r="AN94" s="71">
        <f>IF(AN$8=0,0,INDEX('Multi-Year Inputs'!$E$41:$AE$44,MATCH($B94,'Multi-Year Inputs'!$D$41:$D$44,0),MATCH(AN$7,'Multi-Year Inputs'!$E$4:$AE$4,0)))</f>
        <v>4673617.4897935251</v>
      </c>
      <c r="AO94" s="71">
        <f>IF(AO$8=0,0,INDEX('Multi-Year Inputs'!$E$41:$AE$44,MATCH($B94,'Multi-Year Inputs'!$D$41:$D$44,0),MATCH(AO$7,'Multi-Year Inputs'!$E$4:$AE$4,0)))</f>
        <v>4673617.4897935251</v>
      </c>
      <c r="AP94" s="71">
        <f>IF(AP$8=0,0,INDEX('Multi-Year Inputs'!$E$41:$AE$44,MATCH($B94,'Multi-Year Inputs'!$D$41:$D$44,0),MATCH(AP$7,'Multi-Year Inputs'!$E$4:$AE$4,0)))</f>
        <v>4673617.4897935251</v>
      </c>
      <c r="AQ94" s="71">
        <f>IF(AQ$8=0,0,INDEX('Multi-Year Inputs'!$E$41:$AE$44,MATCH($B94,'Multi-Year Inputs'!$D$41:$D$44,0),MATCH(AQ$7,'Multi-Year Inputs'!$E$4:$AE$4,0)))</f>
        <v>4673617.4897935251</v>
      </c>
      <c r="AR94" s="71">
        <f>IF(AR$8=0,0,INDEX('Multi-Year Inputs'!$E$41:$AE$44,MATCH($B94,'Multi-Year Inputs'!$D$41:$D$44,0),MATCH(AR$7,'Multi-Year Inputs'!$E$4:$AE$4,0)))</f>
        <v>4673617.4897935251</v>
      </c>
      <c r="AS94" s="71">
        <f>IF(AS$8=0,0,INDEX('Multi-Year Inputs'!$E$41:$AE$44,MATCH($B94,'Multi-Year Inputs'!$D$41:$D$44,0),MATCH(AS$7,'Multi-Year Inputs'!$E$4:$AE$4,0)))</f>
        <v>4673617.4897935251</v>
      </c>
      <c r="AT94" s="71">
        <f>IF(AT$8=0,0,INDEX('Multi-Year Inputs'!$E$41:$AE$44,MATCH($B94,'Multi-Year Inputs'!$D$41:$D$44,0),MATCH(AT$7,'Multi-Year Inputs'!$E$4:$AE$4,0)))</f>
        <v>4673617.4897935251</v>
      </c>
      <c r="AU94" s="71">
        <f>IF(AU$8=0,0,INDEX('Multi-Year Inputs'!$E$41:$AE$44,MATCH($B94,'Multi-Year Inputs'!$D$41:$D$44,0),MATCH(AU$7,'Multi-Year Inputs'!$E$4:$AE$4,0)))</f>
        <v>4673617.4897935251</v>
      </c>
      <c r="AV94" s="71">
        <f>IF(AV$8=0,0,INDEX('Multi-Year Inputs'!$E$41:$AE$44,MATCH($B94,'Multi-Year Inputs'!$D$41:$D$44,0),MATCH(AV$7,'Multi-Year Inputs'!$E$4:$AE$4,0)))</f>
        <v>4673617.4897935251</v>
      </c>
      <c r="AW94" s="71">
        <f>IF(AW$8=0,0,INDEX('Multi-Year Inputs'!$E$41:$AE$44,MATCH($B94,'Multi-Year Inputs'!$D$41:$D$44,0),MATCH(AW$7,'Multi-Year Inputs'!$E$4:$AE$4,0)))</f>
        <v>4673617.4897935251</v>
      </c>
      <c r="AX94" s="71">
        <f>IF(AX$8=0,0,INDEX('Multi-Year Inputs'!$E$41:$AE$44,MATCH($B94,'Multi-Year Inputs'!$D$41:$D$44,0),MATCH(AX$7,'Multi-Year Inputs'!$E$4:$AE$4,0)))</f>
        <v>4673617.4897935251</v>
      </c>
      <c r="AY94" s="71">
        <f>IF(AY$8=0,0,INDEX('Multi-Year Inputs'!$E$41:$AE$44,MATCH($B94,'Multi-Year Inputs'!$D$41:$D$44,0),MATCH(AY$7,'Multi-Year Inputs'!$E$4:$AE$4,0)))</f>
        <v>4673617.4897935251</v>
      </c>
      <c r="AZ94" s="71">
        <f>IF(AZ$8=0,0,INDEX('Multi-Year Inputs'!$E$41:$AE$44,MATCH($B94,'Multi-Year Inputs'!$D$41:$D$44,0),MATCH(AZ$7,'Multi-Year Inputs'!$E$4:$AE$4,0)))</f>
        <v>4673617.4897935251</v>
      </c>
      <c r="BA94" s="71">
        <f>IF(BA$8=0,0,INDEX('Multi-Year Inputs'!$E$41:$AE$44,MATCH($B94,'Multi-Year Inputs'!$D$41:$D$44,0),MATCH(BA$7,'Multi-Year Inputs'!$E$4:$AE$4,0)))</f>
        <v>4673617.4897935251</v>
      </c>
      <c r="BB94" s="71">
        <f>IF(BB$8=0,0,INDEX('Multi-Year Inputs'!$E$41:$AE$44,MATCH($B94,'Multi-Year Inputs'!$D$41:$D$44,0),MATCH(BB$7,'Multi-Year Inputs'!$E$4:$AE$4,0)))</f>
        <v>4673617.4897935251</v>
      </c>
      <c r="BC94" s="71">
        <f>IF(BC$8=0,0,INDEX('Multi-Year Inputs'!$E$41:$AE$44,MATCH($B94,'Multi-Year Inputs'!$D$41:$D$44,0),MATCH(BC$7,'Multi-Year Inputs'!$E$4:$AE$4,0)))</f>
        <v>4673617.4897935251</v>
      </c>
      <c r="BD94" s="71">
        <f>IF(BD$8=0,0,INDEX('Multi-Year Inputs'!$E$41:$AE$44,MATCH($B94,'Multi-Year Inputs'!$D$41:$D$44,0),MATCH(BD$7,'Multi-Year Inputs'!$E$4:$AE$4,0)))</f>
        <v>4673617.4897935251</v>
      </c>
      <c r="BE94" s="71">
        <f>IF(BE$8=0,0,INDEX('Multi-Year Inputs'!$E$41:$AE$44,MATCH($B94,'Multi-Year Inputs'!$D$41:$D$44,0),MATCH(BE$7,'Multi-Year Inputs'!$E$4:$AE$4,0)))</f>
        <v>4673617.4897935251</v>
      </c>
      <c r="BF94" s="71">
        <f>IF(BF$8=0,0,INDEX('Multi-Year Inputs'!$E$41:$AE$44,MATCH($B94,'Multi-Year Inputs'!$D$41:$D$44,0),MATCH(BF$7,'Multi-Year Inputs'!$E$4:$AE$4,0)))</f>
        <v>4673617.4897935251</v>
      </c>
      <c r="BG94" s="71">
        <f>IF(BG$8=0,0,INDEX('Multi-Year Inputs'!$E$41:$AE$44,MATCH($B94,'Multi-Year Inputs'!$D$41:$D$44,0),MATCH(BG$7,'Multi-Year Inputs'!$E$4:$AE$4,0)))</f>
        <v>4673617.4897935251</v>
      </c>
      <c r="BH94" s="71">
        <f>IF(BH$8=0,0,INDEX('Multi-Year Inputs'!$E$41:$AE$44,MATCH($B94,'Multi-Year Inputs'!$D$41:$D$44,0),MATCH(BH$7,'Multi-Year Inputs'!$E$4:$AE$4,0)))</f>
        <v>4673617.4897935251</v>
      </c>
      <c r="BI94" s="71">
        <f>IF(BI$8=0,0,INDEX('Multi-Year Inputs'!$E$41:$AE$44,MATCH($B94,'Multi-Year Inputs'!$D$41:$D$44,0),MATCH(BI$7,'Multi-Year Inputs'!$E$4:$AE$4,0)))</f>
        <v>4673617.4897935251</v>
      </c>
      <c r="BJ94" s="71">
        <f>IF(BJ$8=0,0,INDEX('Multi-Year Inputs'!$E$41:$AE$44,MATCH($B94,'Multi-Year Inputs'!$D$41:$D$44,0),MATCH(BJ$7,'Multi-Year Inputs'!$E$4:$AE$4,0)))</f>
        <v>4673617.4897935251</v>
      </c>
      <c r="BK94" s="71">
        <f>IF(BK$8=0,0,INDEX('Multi-Year Inputs'!$E$41:$AE$44,MATCH($B94,'Multi-Year Inputs'!$D$41:$D$44,0),MATCH(BK$7,'Multi-Year Inputs'!$E$4:$AE$4,0)))</f>
        <v>4673617.4897935251</v>
      </c>
      <c r="BL94" s="71">
        <f>IF(BL$8=0,0,INDEX('Multi-Year Inputs'!$E$41:$AE$44,MATCH($B94,'Multi-Year Inputs'!$D$41:$D$44,0),MATCH(BL$7,'Multi-Year Inputs'!$E$4:$AE$4,0)))</f>
        <v>4673617.4897935251</v>
      </c>
      <c r="BM94" s="71">
        <f>IF(BM$8=0,0,INDEX('Multi-Year Inputs'!$E$41:$AE$44,MATCH($B94,'Multi-Year Inputs'!$D$41:$D$44,0),MATCH(BM$7,'Multi-Year Inputs'!$E$4:$AE$4,0)))</f>
        <v>4673617.4897935251</v>
      </c>
      <c r="BN94" s="72"/>
      <c r="BO94" s="72">
        <f>SUM(AM94:BM94)</f>
        <v>126187672.22442517</v>
      </c>
      <c r="BP94" s="72"/>
      <c r="BS94" s="76" t="s">
        <v>91</v>
      </c>
      <c r="BT94" s="51" t="s">
        <v>17</v>
      </c>
    </row>
    <row r="95" spans="1:72" x14ac:dyDescent="0.25">
      <c r="A95" s="246"/>
      <c r="B95" s="243" t="str">
        <f t="shared" si="85"/>
        <v>Low-Income</v>
      </c>
      <c r="C95" s="243" t="str">
        <f>C94</f>
        <v>Sales</v>
      </c>
      <c r="D95" s="244" t="s">
        <v>108</v>
      </c>
      <c r="E95" s="85" t="s">
        <v>108</v>
      </c>
      <c r="F95" s="84" t="s">
        <v>195</v>
      </c>
      <c r="G95" s="64">
        <f ca="1">IF($C$4=Lookups!$D$40,SUM(INDIRECT("'Yr1'!"&amp;ADDRESS(ROW(G95),COLUMN(G95))),INDIRECT("'Yr2'!"&amp;ADDRESS(ROW(G95),COLUMN(G95))),INDIRECT("'Yr3'!"&amp;ADDRESS(ROW(G95),COLUMN(G95)))),
IF(G91&gt;0,SUMIFS('EE Inputs'!$I$9:$I$32,'EE Inputs'!$C$9:$C$32,$G$6,'EE Inputs'!$D$9:$D$32,$C$4,'EE Inputs'!$E$9:$E$32,$B95)/SUMIFS('EE Inputs'!$V$9:$V$32,'EE Inputs'!$C$9:$C$32,$G$6,'EE Inputs'!$D$9:$D$32,$C$4,'EE Inputs'!$E$9:$E$32,$B95)*10,0))</f>
        <v>87367.708744590491</v>
      </c>
      <c r="H95" s="64">
        <f ca="1">IF($C$4=Lookups!$D$40,SUM(INDIRECT("'Yr1'!"&amp;ADDRESS(ROW(H95),COLUMN(H95))),INDIRECT("'Yr2'!"&amp;ADDRESS(ROW(H95),COLUMN(H95))),INDIRECT("'Yr3'!"&amp;ADDRESS(ROW(H95),COLUMN(H95)))),
IF(H91&gt;0,SUMIFS('EE Inputs'!$I$9:$I$32,'EE Inputs'!$C$9:$C$32,$G$6,'EE Inputs'!$D$9:$D$32,$C$4,'EE Inputs'!$E$9:$E$32,$B95)/SUMIFS('EE Inputs'!$V$9:$V$32,'EE Inputs'!$C$9:$C$32,$G$6,'EE Inputs'!$D$9:$D$32,$C$4,'EE Inputs'!$E$9:$E$32,$B95)*10,0))</f>
        <v>177426.84415866691</v>
      </c>
      <c r="I95" s="64">
        <f ca="1">IF($C$4=Lookups!$D$40,SUM(INDIRECT("'Yr1'!"&amp;ADDRESS(ROW(I95),COLUMN(I95))),INDIRECT("'Yr2'!"&amp;ADDRESS(ROW(I95),COLUMN(I95))),INDIRECT("'Yr3'!"&amp;ADDRESS(ROW(I95),COLUMN(I95)))),
IF(I91&gt;0,SUMIFS('EE Inputs'!$I$9:$I$32,'EE Inputs'!$C$9:$C$32,$G$6,'EE Inputs'!$D$9:$D$32,$C$4,'EE Inputs'!$E$9:$E$32,$B95)/SUMIFS('EE Inputs'!$V$9:$V$32,'EE Inputs'!$C$9:$C$32,$G$6,'EE Inputs'!$D$9:$D$32,$C$4,'EE Inputs'!$E$9:$E$32,$B95)*10,0))</f>
        <v>270987.83684459428</v>
      </c>
      <c r="J95" s="64">
        <f ca="1">IF($C$4=Lookups!$D$40,SUM(INDIRECT("'Yr1'!"&amp;ADDRESS(ROW(J95),COLUMN(J95))),INDIRECT("'Yr2'!"&amp;ADDRESS(ROW(J95),COLUMN(J95))),INDIRECT("'Yr3'!"&amp;ADDRESS(ROW(J95),COLUMN(J95)))),
IF(J91&gt;0,SUMIFS('EE Inputs'!$I$9:$I$32,'EE Inputs'!$C$9:$C$32,$G$6,'EE Inputs'!$D$9:$D$32,$C$4,'EE Inputs'!$E$9:$E$32,$B95)/SUMIFS('EE Inputs'!$V$9:$V$32,'EE Inputs'!$C$9:$C$32,$G$6,'EE Inputs'!$D$9:$D$32,$C$4,'EE Inputs'!$E$9:$E$32,$B95)*10,0))</f>
        <v>270987.83684459428</v>
      </c>
      <c r="K95" s="64">
        <f ca="1">IF($C$4=Lookups!$D$40,SUM(INDIRECT("'Yr1'!"&amp;ADDRESS(ROW(K95),COLUMN(K95))),INDIRECT("'Yr2'!"&amp;ADDRESS(ROW(K95),COLUMN(K95))),INDIRECT("'Yr3'!"&amp;ADDRESS(ROW(K95),COLUMN(K95)))),
IF(K91&gt;0,SUMIFS('EE Inputs'!$I$9:$I$32,'EE Inputs'!$C$9:$C$32,$G$6,'EE Inputs'!$D$9:$D$32,$C$4,'EE Inputs'!$E$9:$E$32,$B95)/SUMIFS('EE Inputs'!$V$9:$V$32,'EE Inputs'!$C$9:$C$32,$G$6,'EE Inputs'!$D$9:$D$32,$C$4,'EE Inputs'!$E$9:$E$32,$B95)*10,0))</f>
        <v>270987.83684459428</v>
      </c>
      <c r="L95" s="64">
        <f ca="1">IF($C$4=Lookups!$D$40,SUM(INDIRECT("'Yr1'!"&amp;ADDRESS(ROW(L95),COLUMN(L95))),INDIRECT("'Yr2'!"&amp;ADDRESS(ROW(L95),COLUMN(L95))),INDIRECT("'Yr3'!"&amp;ADDRESS(ROW(L95),COLUMN(L95)))),
IF(L91&gt;0,SUMIFS('EE Inputs'!$I$9:$I$32,'EE Inputs'!$C$9:$C$32,$G$6,'EE Inputs'!$D$9:$D$32,$C$4,'EE Inputs'!$E$9:$E$32,$B95)/SUMIFS('EE Inputs'!$V$9:$V$32,'EE Inputs'!$C$9:$C$32,$G$6,'EE Inputs'!$D$9:$D$32,$C$4,'EE Inputs'!$E$9:$E$32,$B95)*10,0))</f>
        <v>270987.83684459428</v>
      </c>
      <c r="M95" s="64">
        <f ca="1">IF($C$4=Lookups!$D$40,SUM(INDIRECT("'Yr1'!"&amp;ADDRESS(ROW(M95),COLUMN(M95))),INDIRECT("'Yr2'!"&amp;ADDRESS(ROW(M95),COLUMN(M95))),INDIRECT("'Yr3'!"&amp;ADDRESS(ROW(M95),COLUMN(M95)))),
IF(M91&gt;0,SUMIFS('EE Inputs'!$I$9:$I$32,'EE Inputs'!$C$9:$C$32,$G$6,'EE Inputs'!$D$9:$D$32,$C$4,'EE Inputs'!$E$9:$E$32,$B95)/SUMIFS('EE Inputs'!$V$9:$V$32,'EE Inputs'!$C$9:$C$32,$G$6,'EE Inputs'!$D$9:$D$32,$C$4,'EE Inputs'!$E$9:$E$32,$B95)*10,0))</f>
        <v>270987.83684459428</v>
      </c>
      <c r="N95" s="64">
        <f ca="1">IF($C$4=Lookups!$D$40,SUM(INDIRECT("'Yr1'!"&amp;ADDRESS(ROW(N95),COLUMN(N95))),INDIRECT("'Yr2'!"&amp;ADDRESS(ROW(N95),COLUMN(N95))),INDIRECT("'Yr3'!"&amp;ADDRESS(ROW(N95),COLUMN(N95)))),
IF(N91&gt;0,SUMIFS('EE Inputs'!$I$9:$I$32,'EE Inputs'!$C$9:$C$32,$G$6,'EE Inputs'!$D$9:$D$32,$C$4,'EE Inputs'!$E$9:$E$32,$B95)/SUMIFS('EE Inputs'!$V$9:$V$32,'EE Inputs'!$C$9:$C$32,$G$6,'EE Inputs'!$D$9:$D$32,$C$4,'EE Inputs'!$E$9:$E$32,$B95)*10,0))</f>
        <v>270987.83684459428</v>
      </c>
      <c r="O95" s="64">
        <f ca="1">IF($C$4=Lookups!$D$40,SUM(INDIRECT("'Yr1'!"&amp;ADDRESS(ROW(O95),COLUMN(O95))),INDIRECT("'Yr2'!"&amp;ADDRESS(ROW(O95),COLUMN(O95))),INDIRECT("'Yr3'!"&amp;ADDRESS(ROW(O95),COLUMN(O95)))),
IF(O91&gt;0,SUMIFS('EE Inputs'!$I$9:$I$32,'EE Inputs'!$C$9:$C$32,$G$6,'EE Inputs'!$D$9:$D$32,$C$4,'EE Inputs'!$E$9:$E$32,$B95)/SUMIFS('EE Inputs'!$V$9:$V$32,'EE Inputs'!$C$9:$C$32,$G$6,'EE Inputs'!$D$9:$D$32,$C$4,'EE Inputs'!$E$9:$E$32,$B95)*10,0))</f>
        <v>270987.83684459428</v>
      </c>
      <c r="P95" s="64">
        <f ca="1">IF($C$4=Lookups!$D$40,SUM(INDIRECT("'Yr1'!"&amp;ADDRESS(ROW(P95),COLUMN(P95))),INDIRECT("'Yr2'!"&amp;ADDRESS(ROW(P95),COLUMN(P95))),INDIRECT("'Yr3'!"&amp;ADDRESS(ROW(P95),COLUMN(P95)))),
IF(P91&gt;0,SUMIFS('EE Inputs'!$I$9:$I$32,'EE Inputs'!$C$9:$C$32,$G$6,'EE Inputs'!$D$9:$D$32,$C$4,'EE Inputs'!$E$9:$E$32,$B95)/SUMIFS('EE Inputs'!$V$9:$V$32,'EE Inputs'!$C$9:$C$32,$G$6,'EE Inputs'!$D$9:$D$32,$C$4,'EE Inputs'!$E$9:$E$32,$B95)*10,0))</f>
        <v>270987.83684459428</v>
      </c>
      <c r="Q95" s="64">
        <f ca="1">IF($C$4=Lookups!$D$40,SUM(INDIRECT("'Yr1'!"&amp;ADDRESS(ROW(Q95),COLUMN(Q95))),INDIRECT("'Yr2'!"&amp;ADDRESS(ROW(Q95),COLUMN(Q95))),INDIRECT("'Yr3'!"&amp;ADDRESS(ROW(Q95),COLUMN(Q95)))),
IF(Q91&gt;0,SUMIFS('EE Inputs'!$I$9:$I$32,'EE Inputs'!$C$9:$C$32,$G$6,'EE Inputs'!$D$9:$D$32,$C$4,'EE Inputs'!$E$9:$E$32,$B95)/SUMIFS('EE Inputs'!$V$9:$V$32,'EE Inputs'!$C$9:$C$32,$G$6,'EE Inputs'!$D$9:$D$32,$C$4,'EE Inputs'!$E$9:$E$32,$B95)*10,0))</f>
        <v>270987.83684459428</v>
      </c>
      <c r="R95" s="64">
        <f ca="1">IF($C$4=Lookups!$D$40,SUM(INDIRECT("'Yr1'!"&amp;ADDRESS(ROW(R95),COLUMN(R95))),INDIRECT("'Yr2'!"&amp;ADDRESS(ROW(R95),COLUMN(R95))),INDIRECT("'Yr3'!"&amp;ADDRESS(ROW(R95),COLUMN(R95)))),
IF(R91&gt;0,SUMIFS('EE Inputs'!$I$9:$I$32,'EE Inputs'!$C$9:$C$32,$G$6,'EE Inputs'!$D$9:$D$32,$C$4,'EE Inputs'!$E$9:$E$32,$B95)/SUMIFS('EE Inputs'!$V$9:$V$32,'EE Inputs'!$C$9:$C$32,$G$6,'EE Inputs'!$D$9:$D$32,$C$4,'EE Inputs'!$E$9:$E$32,$B95)*10,0))</f>
        <v>270987.83684459428</v>
      </c>
      <c r="S95" s="64">
        <f ca="1">IF($C$4=Lookups!$D$40,SUM(INDIRECT("'Yr1'!"&amp;ADDRESS(ROW(S95),COLUMN(S95))),INDIRECT("'Yr2'!"&amp;ADDRESS(ROW(S95),COLUMN(S95))),INDIRECT("'Yr3'!"&amp;ADDRESS(ROW(S95),COLUMN(S95)))),
IF(S91&gt;0,SUMIFS('EE Inputs'!$I$9:$I$32,'EE Inputs'!$C$9:$C$32,$G$6,'EE Inputs'!$D$9:$D$32,$C$4,'EE Inputs'!$E$9:$E$32,$B95)/SUMIFS('EE Inputs'!$V$9:$V$32,'EE Inputs'!$C$9:$C$32,$G$6,'EE Inputs'!$D$9:$D$32,$C$4,'EE Inputs'!$E$9:$E$32,$B95)*10,0))</f>
        <v>270987.83684459428</v>
      </c>
      <c r="T95" s="64">
        <f ca="1">IF($C$4=Lookups!$D$40,SUM(INDIRECT("'Yr1'!"&amp;ADDRESS(ROW(T95),COLUMN(T95))),INDIRECT("'Yr2'!"&amp;ADDRESS(ROW(T95),COLUMN(T95))),INDIRECT("'Yr3'!"&amp;ADDRESS(ROW(T95),COLUMN(T95)))),
IF(T91&gt;0,SUMIFS('EE Inputs'!$I$9:$I$32,'EE Inputs'!$C$9:$C$32,$G$6,'EE Inputs'!$D$9:$D$32,$C$4,'EE Inputs'!$E$9:$E$32,$B95)/SUMIFS('EE Inputs'!$V$9:$V$32,'EE Inputs'!$C$9:$C$32,$G$6,'EE Inputs'!$D$9:$D$32,$C$4,'EE Inputs'!$E$9:$E$32,$B95)*10,0))</f>
        <v>270987.83684459428</v>
      </c>
      <c r="U95" s="64">
        <f ca="1">IF($C$4=Lookups!$D$40,SUM(INDIRECT("'Yr1'!"&amp;ADDRESS(ROW(U95),COLUMN(U95))),INDIRECT("'Yr2'!"&amp;ADDRESS(ROW(U95),COLUMN(U95))),INDIRECT("'Yr3'!"&amp;ADDRESS(ROW(U95),COLUMN(U95)))),
IF(U91&gt;0,SUMIFS('EE Inputs'!$I$9:$I$32,'EE Inputs'!$C$9:$C$32,$G$6,'EE Inputs'!$D$9:$D$32,$C$4,'EE Inputs'!$E$9:$E$32,$B95)/SUMIFS('EE Inputs'!$V$9:$V$32,'EE Inputs'!$C$9:$C$32,$G$6,'EE Inputs'!$D$9:$D$32,$C$4,'EE Inputs'!$E$9:$E$32,$B95)*10,0))</f>
        <v>270987.83684459428</v>
      </c>
      <c r="V95" s="64">
        <f ca="1">IF($C$4=Lookups!$D$40,SUM(INDIRECT("'Yr1'!"&amp;ADDRESS(ROW(V95),COLUMN(V95))),INDIRECT("'Yr2'!"&amp;ADDRESS(ROW(V95),COLUMN(V95))),INDIRECT("'Yr3'!"&amp;ADDRESS(ROW(V95),COLUMN(V95)))),
IF(V91&gt;0,SUMIFS('EE Inputs'!$I$9:$I$32,'EE Inputs'!$C$9:$C$32,$G$6,'EE Inputs'!$D$9:$D$32,$C$4,'EE Inputs'!$E$9:$E$32,$B95)/SUMIFS('EE Inputs'!$V$9:$V$32,'EE Inputs'!$C$9:$C$32,$G$6,'EE Inputs'!$D$9:$D$32,$C$4,'EE Inputs'!$E$9:$E$32,$B95)*10,0))</f>
        <v>270987.83684459428</v>
      </c>
      <c r="W95" s="64">
        <f ca="1">IF($C$4=Lookups!$D$40,SUM(INDIRECT("'Yr1'!"&amp;ADDRESS(ROW(W95),COLUMN(W95))),INDIRECT("'Yr2'!"&amp;ADDRESS(ROW(W95),COLUMN(W95))),INDIRECT("'Yr3'!"&amp;ADDRESS(ROW(W95),COLUMN(W95)))),
IF(W91&gt;0,SUMIFS('EE Inputs'!$I$9:$I$32,'EE Inputs'!$C$9:$C$32,$G$6,'EE Inputs'!$D$9:$D$32,$C$4,'EE Inputs'!$E$9:$E$32,$B95)/SUMIFS('EE Inputs'!$V$9:$V$32,'EE Inputs'!$C$9:$C$32,$G$6,'EE Inputs'!$D$9:$D$32,$C$4,'EE Inputs'!$E$9:$E$32,$B95)*10,0))</f>
        <v>270987.83684459428</v>
      </c>
      <c r="X95" s="64">
        <f ca="1">IF($C$4=Lookups!$D$40,SUM(INDIRECT("'Yr1'!"&amp;ADDRESS(ROW(X95),COLUMN(X95))),INDIRECT("'Yr2'!"&amp;ADDRESS(ROW(X95),COLUMN(X95))),INDIRECT("'Yr3'!"&amp;ADDRESS(ROW(X95),COLUMN(X95)))),
IF(X91&gt;0,SUMIFS('EE Inputs'!$I$9:$I$32,'EE Inputs'!$C$9:$C$32,$G$6,'EE Inputs'!$D$9:$D$32,$C$4,'EE Inputs'!$E$9:$E$32,$B95)/SUMIFS('EE Inputs'!$V$9:$V$32,'EE Inputs'!$C$9:$C$32,$G$6,'EE Inputs'!$D$9:$D$32,$C$4,'EE Inputs'!$E$9:$E$32,$B95)*10,0))</f>
        <v>270987.83684459428</v>
      </c>
      <c r="Y95" s="64">
        <f ca="1">IF($C$4=Lookups!$D$40,SUM(INDIRECT("'Yr1'!"&amp;ADDRESS(ROW(Y95),COLUMN(Y95))),INDIRECT("'Yr2'!"&amp;ADDRESS(ROW(Y95),COLUMN(Y95))),INDIRECT("'Yr3'!"&amp;ADDRESS(ROW(Y95),COLUMN(Y95)))),
IF(Y91&gt;0,SUMIFS('EE Inputs'!$I$9:$I$32,'EE Inputs'!$C$9:$C$32,$G$6,'EE Inputs'!$D$9:$D$32,$C$4,'EE Inputs'!$E$9:$E$32,$B95)/SUMIFS('EE Inputs'!$V$9:$V$32,'EE Inputs'!$C$9:$C$32,$G$6,'EE Inputs'!$D$9:$D$32,$C$4,'EE Inputs'!$E$9:$E$32,$B95)*10,0))</f>
        <v>270987.83684459428</v>
      </c>
      <c r="Z95" s="64">
        <f ca="1">IF($C$4=Lookups!$D$40,SUM(INDIRECT("'Yr1'!"&amp;ADDRESS(ROW(Z95),COLUMN(Z95))),INDIRECT("'Yr2'!"&amp;ADDRESS(ROW(Z95),COLUMN(Z95))),INDIRECT("'Yr3'!"&amp;ADDRESS(ROW(Z95),COLUMN(Z95)))),
IF(Z91&gt;0,SUMIFS('EE Inputs'!$I$9:$I$32,'EE Inputs'!$C$9:$C$32,$G$6,'EE Inputs'!$D$9:$D$32,$C$4,'EE Inputs'!$E$9:$E$32,$B95)/SUMIFS('EE Inputs'!$V$9:$V$32,'EE Inputs'!$C$9:$C$32,$G$6,'EE Inputs'!$D$9:$D$32,$C$4,'EE Inputs'!$E$9:$E$32,$B95)*10,0))</f>
        <v>270987.83684459428</v>
      </c>
      <c r="AA95" s="64">
        <f ca="1">IF($C$4=Lookups!$D$40,SUM(INDIRECT("'Yr1'!"&amp;ADDRESS(ROW(AA95),COLUMN(AA95))),INDIRECT("'Yr2'!"&amp;ADDRESS(ROW(AA95),COLUMN(AA95))),INDIRECT("'Yr3'!"&amp;ADDRESS(ROW(AA95),COLUMN(AA95)))),
IF(AA91&gt;0,SUMIFS('EE Inputs'!$I$9:$I$32,'EE Inputs'!$C$9:$C$32,$G$6,'EE Inputs'!$D$9:$D$32,$C$4,'EE Inputs'!$E$9:$E$32,$B95)/SUMIFS('EE Inputs'!$V$9:$V$32,'EE Inputs'!$C$9:$C$32,$G$6,'EE Inputs'!$D$9:$D$32,$C$4,'EE Inputs'!$E$9:$E$32,$B95)*10,0))</f>
        <v>183620.12810000379</v>
      </c>
      <c r="AB95" s="64">
        <f ca="1">IF($C$4=Lookups!$D$40,SUM(INDIRECT("'Yr1'!"&amp;ADDRESS(ROW(AB95),COLUMN(AB95))),INDIRECT("'Yr2'!"&amp;ADDRESS(ROW(AB95),COLUMN(AB95))),INDIRECT("'Yr3'!"&amp;ADDRESS(ROW(AB95),COLUMN(AB95)))),
IF(AB91&gt;0,SUMIFS('EE Inputs'!$I$9:$I$32,'EE Inputs'!$C$9:$C$32,$G$6,'EE Inputs'!$D$9:$D$32,$C$4,'EE Inputs'!$E$9:$E$32,$B95)/SUMIFS('EE Inputs'!$V$9:$V$32,'EE Inputs'!$C$9:$C$32,$G$6,'EE Inputs'!$D$9:$D$32,$C$4,'EE Inputs'!$E$9:$E$32,$B95)*10,0))</f>
        <v>93560.992685927369</v>
      </c>
      <c r="AC95" s="64">
        <f ca="1">IF($C$4=Lookups!$D$40,SUM(INDIRECT("'Yr1'!"&amp;ADDRESS(ROW(AC95),COLUMN(AC95))),INDIRECT("'Yr2'!"&amp;ADDRESS(ROW(AC95),COLUMN(AC95))),INDIRECT("'Yr3'!"&amp;ADDRESS(ROW(AC95),COLUMN(AC95)))),
IF(AC91&gt;0,SUMIFS('EE Inputs'!$I$9:$I$32,'EE Inputs'!$C$9:$C$32,$G$6,'EE Inputs'!$D$9:$D$32,$C$4,'EE Inputs'!$E$9:$E$32,$B95)/SUMIFS('EE Inputs'!$V$9:$V$32,'EE Inputs'!$C$9:$C$32,$G$6,'EE Inputs'!$D$9:$D$32,$C$4,'EE Inputs'!$E$9:$E$32,$B95)*10,0))</f>
        <v>0</v>
      </c>
      <c r="AD95" s="64">
        <f ca="1">IF($C$4=Lookups!$D$40,SUM(INDIRECT("'Yr1'!"&amp;ADDRESS(ROW(AD95),COLUMN(AD95))),INDIRECT("'Yr2'!"&amp;ADDRESS(ROW(AD95),COLUMN(AD95))),INDIRECT("'Yr3'!"&amp;ADDRESS(ROW(AD95),COLUMN(AD95)))),
IF(AD91&gt;0,SUMIFS('EE Inputs'!$I$9:$I$32,'EE Inputs'!$C$9:$C$32,$G$6,'EE Inputs'!$D$9:$D$32,$C$4,'EE Inputs'!$E$9:$E$32,$B95)/SUMIFS('EE Inputs'!$V$9:$V$32,'EE Inputs'!$C$9:$C$32,$G$6,'EE Inputs'!$D$9:$D$32,$C$4,'EE Inputs'!$E$9:$E$32,$B95)*10,0))</f>
        <v>0</v>
      </c>
      <c r="AE95" s="64">
        <f ca="1">IF($C$4=Lookups!$D$40,SUM(INDIRECT("'Yr1'!"&amp;ADDRESS(ROW(AE95),COLUMN(AE95))),INDIRECT("'Yr2'!"&amp;ADDRESS(ROW(AE95),COLUMN(AE95))),INDIRECT("'Yr3'!"&amp;ADDRESS(ROW(AE95),COLUMN(AE95)))),
IF(AE91&gt;0,SUMIFS('EE Inputs'!$I$9:$I$32,'EE Inputs'!$C$9:$C$32,$G$6,'EE Inputs'!$D$9:$D$32,$C$4,'EE Inputs'!$E$9:$E$32,$B95)/SUMIFS('EE Inputs'!$V$9:$V$32,'EE Inputs'!$C$9:$C$32,$G$6,'EE Inputs'!$D$9:$D$32,$C$4,'EE Inputs'!$E$9:$E$32,$B95)*10,0))</f>
        <v>0</v>
      </c>
      <c r="AF95" s="64">
        <f ca="1">IF($C$4=Lookups!$D$40,SUM(INDIRECT("'Yr1'!"&amp;ADDRESS(ROW(AF95),COLUMN(AF95))),INDIRECT("'Yr2'!"&amp;ADDRESS(ROW(AF95),COLUMN(AF95))),INDIRECT("'Yr3'!"&amp;ADDRESS(ROW(AF95),COLUMN(AF95)))),
IF(AF91&gt;0,SUMIFS('EE Inputs'!$I$9:$I$32,'EE Inputs'!$C$9:$C$32,$G$6,'EE Inputs'!$D$9:$D$32,$C$4,'EE Inputs'!$E$9:$E$32,$B95)/SUMIFS('EE Inputs'!$V$9:$V$32,'EE Inputs'!$C$9:$C$32,$G$6,'EE Inputs'!$D$9:$D$32,$C$4,'EE Inputs'!$E$9:$E$32,$B95)*10,0))</f>
        <v>0</v>
      </c>
      <c r="AG95" s="64">
        <f ca="1">IF($C$4=Lookups!$D$40,SUM(INDIRECT("'Yr1'!"&amp;ADDRESS(ROW(AG95),COLUMN(AG95))),INDIRECT("'Yr2'!"&amp;ADDRESS(ROW(AG95),COLUMN(AG95))),INDIRECT("'Yr3'!"&amp;ADDRESS(ROW(AG95),COLUMN(AG95)))),
IF(AG91&gt;0,SUMIFS('EE Inputs'!$I$9:$I$32,'EE Inputs'!$C$9:$C$32,$G$6,'EE Inputs'!$D$9:$D$32,$C$4,'EE Inputs'!$E$9:$E$32,$B95)/SUMIFS('EE Inputs'!$V$9:$V$32,'EE Inputs'!$C$9:$C$32,$G$6,'EE Inputs'!$D$9:$D$32,$C$4,'EE Inputs'!$E$9:$E$32,$B95)*10,0))</f>
        <v>0</v>
      </c>
      <c r="AH95" s="64"/>
      <c r="AI95" s="64">
        <f t="shared" ca="1" si="86"/>
        <v>5419756.7368918853</v>
      </c>
      <c r="AJ95" s="64"/>
      <c r="AM95" s="71">
        <f ca="1">IF($C$4=Lookups!$D$40,SUM(INDIRECT("'Yr1'!"&amp;ADDRESS(ROW(AM95),COLUMN(AM95))),INDIRECT("'Yr2'!"&amp;ADDRESS(ROW(AM95),COLUMN(AM95))),INDIRECT("'Yr3'!"&amp;ADDRESS(ROW(AM95),COLUMN(AM95)))),
IF(AM91&gt;0,SUMIFS('EE Inputs'!$I$9:$I$32,'EE Inputs'!$C$9:$C$32,$AM$6,'EE Inputs'!$D$9:$D$32,$C$4,'EE Inputs'!$E$9:$E$32,$B95)/SUMIFS('EE Inputs'!$V$9:$V$32,'EE Inputs'!$C$9:$C$32,$AM$6,'EE Inputs'!$D$9:$D$32,$C$4,'EE Inputs'!$E$9:$E$32,$B95)*10,0))</f>
        <v>99848.809993817718</v>
      </c>
      <c r="AN95" s="71">
        <f ca="1">IF($C$4=Lookups!$D$40,SUM(INDIRECT("'Yr1'!"&amp;ADDRESS(ROW(AN95),COLUMN(AN95))),INDIRECT("'Yr2'!"&amp;ADDRESS(ROW(AN95),COLUMN(AN95))),INDIRECT("'Yr3'!"&amp;ADDRESS(ROW(AN95),COLUMN(AN95)))),
IF(AN91&gt;0,SUMIFS('EE Inputs'!$I$9:$I$32,'EE Inputs'!$C$9:$C$32,$AM$6,'EE Inputs'!$D$9:$D$32,$C$4,'EE Inputs'!$E$9:$E$32,$B95)/SUMIFS('EE Inputs'!$V$9:$V$32,'EE Inputs'!$C$9:$C$32,$AM$6,'EE Inputs'!$D$9:$D$32,$C$4,'EE Inputs'!$E$9:$E$32,$B95)*10,0))</f>
        <v>202773.53618133362</v>
      </c>
      <c r="AO95" s="71">
        <f ca="1">IF($C$4=Lookups!$D$40,SUM(INDIRECT("'Yr1'!"&amp;ADDRESS(ROW(AO95),COLUMN(AO95))),INDIRECT("'Yr2'!"&amp;ADDRESS(ROW(AO95),COLUMN(AO95))),INDIRECT("'Yr3'!"&amp;ADDRESS(ROW(AO95),COLUMN(AO95)))),
IF(AO91&gt;0,SUMIFS('EE Inputs'!$I$9:$I$32,'EE Inputs'!$C$9:$C$32,$AM$6,'EE Inputs'!$D$9:$D$32,$C$4,'EE Inputs'!$E$9:$E$32,$B95)/SUMIFS('EE Inputs'!$V$9:$V$32,'EE Inputs'!$C$9:$C$32,$AM$6,'EE Inputs'!$D$9:$D$32,$C$4,'EE Inputs'!$E$9:$E$32,$B95)*10,0))</f>
        <v>309700.38496525062</v>
      </c>
      <c r="AP95" s="71">
        <f ca="1">IF($C$4=Lookups!$D$40,SUM(INDIRECT("'Yr1'!"&amp;ADDRESS(ROW(AP95),COLUMN(AP95))),INDIRECT("'Yr2'!"&amp;ADDRESS(ROW(AP95),COLUMN(AP95))),INDIRECT("'Yr3'!"&amp;ADDRESS(ROW(AP95),COLUMN(AP95)))),
IF(AP91&gt;0,SUMIFS('EE Inputs'!$I$9:$I$32,'EE Inputs'!$C$9:$C$32,$AM$6,'EE Inputs'!$D$9:$D$32,$C$4,'EE Inputs'!$E$9:$E$32,$B95)/SUMIFS('EE Inputs'!$V$9:$V$32,'EE Inputs'!$C$9:$C$32,$AM$6,'EE Inputs'!$D$9:$D$32,$C$4,'EE Inputs'!$E$9:$E$32,$B95)*10,0))</f>
        <v>309700.38496525062</v>
      </c>
      <c r="AQ95" s="71">
        <f ca="1">IF($C$4=Lookups!$D$40,SUM(INDIRECT("'Yr1'!"&amp;ADDRESS(ROW(AQ95),COLUMN(AQ95))),INDIRECT("'Yr2'!"&amp;ADDRESS(ROW(AQ95),COLUMN(AQ95))),INDIRECT("'Yr3'!"&amp;ADDRESS(ROW(AQ95),COLUMN(AQ95)))),
IF(AQ91&gt;0,SUMIFS('EE Inputs'!$I$9:$I$32,'EE Inputs'!$C$9:$C$32,$AM$6,'EE Inputs'!$D$9:$D$32,$C$4,'EE Inputs'!$E$9:$E$32,$B95)/SUMIFS('EE Inputs'!$V$9:$V$32,'EE Inputs'!$C$9:$C$32,$AM$6,'EE Inputs'!$D$9:$D$32,$C$4,'EE Inputs'!$E$9:$E$32,$B95)*10,0))</f>
        <v>309700.38496525062</v>
      </c>
      <c r="AR95" s="71">
        <f ca="1">IF($C$4=Lookups!$D$40,SUM(INDIRECT("'Yr1'!"&amp;ADDRESS(ROW(AR95),COLUMN(AR95))),INDIRECT("'Yr2'!"&amp;ADDRESS(ROW(AR95),COLUMN(AR95))),INDIRECT("'Yr3'!"&amp;ADDRESS(ROW(AR95),COLUMN(AR95)))),
IF(AR91&gt;0,SUMIFS('EE Inputs'!$I$9:$I$32,'EE Inputs'!$C$9:$C$32,$AM$6,'EE Inputs'!$D$9:$D$32,$C$4,'EE Inputs'!$E$9:$E$32,$B95)/SUMIFS('EE Inputs'!$V$9:$V$32,'EE Inputs'!$C$9:$C$32,$AM$6,'EE Inputs'!$D$9:$D$32,$C$4,'EE Inputs'!$E$9:$E$32,$B95)*10,0))</f>
        <v>309700.38496525062</v>
      </c>
      <c r="AS95" s="71">
        <f ca="1">IF($C$4=Lookups!$D$40,SUM(INDIRECT("'Yr1'!"&amp;ADDRESS(ROW(AS95),COLUMN(AS95))),INDIRECT("'Yr2'!"&amp;ADDRESS(ROW(AS95),COLUMN(AS95))),INDIRECT("'Yr3'!"&amp;ADDRESS(ROW(AS95),COLUMN(AS95)))),
IF(AS91&gt;0,SUMIFS('EE Inputs'!$I$9:$I$32,'EE Inputs'!$C$9:$C$32,$AM$6,'EE Inputs'!$D$9:$D$32,$C$4,'EE Inputs'!$E$9:$E$32,$B95)/SUMIFS('EE Inputs'!$V$9:$V$32,'EE Inputs'!$C$9:$C$32,$AM$6,'EE Inputs'!$D$9:$D$32,$C$4,'EE Inputs'!$E$9:$E$32,$B95)*10,0))</f>
        <v>309700.38496525062</v>
      </c>
      <c r="AT95" s="71">
        <f ca="1">IF($C$4=Lookups!$D$40,SUM(INDIRECT("'Yr1'!"&amp;ADDRESS(ROW(AT95),COLUMN(AT95))),INDIRECT("'Yr2'!"&amp;ADDRESS(ROW(AT95),COLUMN(AT95))),INDIRECT("'Yr3'!"&amp;ADDRESS(ROW(AT95),COLUMN(AT95)))),
IF(AT91&gt;0,SUMIFS('EE Inputs'!$I$9:$I$32,'EE Inputs'!$C$9:$C$32,$AM$6,'EE Inputs'!$D$9:$D$32,$C$4,'EE Inputs'!$E$9:$E$32,$B95)/SUMIFS('EE Inputs'!$V$9:$V$32,'EE Inputs'!$C$9:$C$32,$AM$6,'EE Inputs'!$D$9:$D$32,$C$4,'EE Inputs'!$E$9:$E$32,$B95)*10,0))</f>
        <v>309700.38496525062</v>
      </c>
      <c r="AU95" s="71">
        <f ca="1">IF($C$4=Lookups!$D$40,SUM(INDIRECT("'Yr1'!"&amp;ADDRESS(ROW(AU95),COLUMN(AU95))),INDIRECT("'Yr2'!"&amp;ADDRESS(ROW(AU95),COLUMN(AU95))),INDIRECT("'Yr3'!"&amp;ADDRESS(ROW(AU95),COLUMN(AU95)))),
IF(AU91&gt;0,SUMIFS('EE Inputs'!$I$9:$I$32,'EE Inputs'!$C$9:$C$32,$AM$6,'EE Inputs'!$D$9:$D$32,$C$4,'EE Inputs'!$E$9:$E$32,$B95)/SUMIFS('EE Inputs'!$V$9:$V$32,'EE Inputs'!$C$9:$C$32,$AM$6,'EE Inputs'!$D$9:$D$32,$C$4,'EE Inputs'!$E$9:$E$32,$B95)*10,0))</f>
        <v>309700.38496525062</v>
      </c>
      <c r="AV95" s="71">
        <f ca="1">IF($C$4=Lookups!$D$40,SUM(INDIRECT("'Yr1'!"&amp;ADDRESS(ROW(AV95),COLUMN(AV95))),INDIRECT("'Yr2'!"&amp;ADDRESS(ROW(AV95),COLUMN(AV95))),INDIRECT("'Yr3'!"&amp;ADDRESS(ROW(AV95),COLUMN(AV95)))),
IF(AV91&gt;0,SUMIFS('EE Inputs'!$I$9:$I$32,'EE Inputs'!$C$9:$C$32,$AM$6,'EE Inputs'!$D$9:$D$32,$C$4,'EE Inputs'!$E$9:$E$32,$B95)/SUMIFS('EE Inputs'!$V$9:$V$32,'EE Inputs'!$C$9:$C$32,$AM$6,'EE Inputs'!$D$9:$D$32,$C$4,'EE Inputs'!$E$9:$E$32,$B95)*10,0))</f>
        <v>309700.38496525062</v>
      </c>
      <c r="AW95" s="71">
        <f ca="1">IF($C$4=Lookups!$D$40,SUM(INDIRECT("'Yr1'!"&amp;ADDRESS(ROW(AW95),COLUMN(AW95))),INDIRECT("'Yr2'!"&amp;ADDRESS(ROW(AW95),COLUMN(AW95))),INDIRECT("'Yr3'!"&amp;ADDRESS(ROW(AW95),COLUMN(AW95)))),
IF(AW91&gt;0,SUMIFS('EE Inputs'!$I$9:$I$32,'EE Inputs'!$C$9:$C$32,$AM$6,'EE Inputs'!$D$9:$D$32,$C$4,'EE Inputs'!$E$9:$E$32,$B95)/SUMIFS('EE Inputs'!$V$9:$V$32,'EE Inputs'!$C$9:$C$32,$AM$6,'EE Inputs'!$D$9:$D$32,$C$4,'EE Inputs'!$E$9:$E$32,$B95)*10,0))</f>
        <v>309700.38496525062</v>
      </c>
      <c r="AX95" s="71">
        <f ca="1">IF($C$4=Lookups!$D$40,SUM(INDIRECT("'Yr1'!"&amp;ADDRESS(ROW(AX95),COLUMN(AX95))),INDIRECT("'Yr2'!"&amp;ADDRESS(ROW(AX95),COLUMN(AX95))),INDIRECT("'Yr3'!"&amp;ADDRESS(ROW(AX95),COLUMN(AX95)))),
IF(AX91&gt;0,SUMIFS('EE Inputs'!$I$9:$I$32,'EE Inputs'!$C$9:$C$32,$AM$6,'EE Inputs'!$D$9:$D$32,$C$4,'EE Inputs'!$E$9:$E$32,$B95)/SUMIFS('EE Inputs'!$V$9:$V$32,'EE Inputs'!$C$9:$C$32,$AM$6,'EE Inputs'!$D$9:$D$32,$C$4,'EE Inputs'!$E$9:$E$32,$B95)*10,0))</f>
        <v>309700.38496525062</v>
      </c>
      <c r="AY95" s="71">
        <f ca="1">IF($C$4=Lookups!$D$40,SUM(INDIRECT("'Yr1'!"&amp;ADDRESS(ROW(AY95),COLUMN(AY95))),INDIRECT("'Yr2'!"&amp;ADDRESS(ROW(AY95),COLUMN(AY95))),INDIRECT("'Yr3'!"&amp;ADDRESS(ROW(AY95),COLUMN(AY95)))),
IF(AY91&gt;0,SUMIFS('EE Inputs'!$I$9:$I$32,'EE Inputs'!$C$9:$C$32,$AM$6,'EE Inputs'!$D$9:$D$32,$C$4,'EE Inputs'!$E$9:$E$32,$B95)/SUMIFS('EE Inputs'!$V$9:$V$32,'EE Inputs'!$C$9:$C$32,$AM$6,'EE Inputs'!$D$9:$D$32,$C$4,'EE Inputs'!$E$9:$E$32,$B95)*10,0))</f>
        <v>309700.38496525062</v>
      </c>
      <c r="AZ95" s="71">
        <f ca="1">IF($C$4=Lookups!$D$40,SUM(INDIRECT("'Yr1'!"&amp;ADDRESS(ROW(AZ95),COLUMN(AZ95))),INDIRECT("'Yr2'!"&amp;ADDRESS(ROW(AZ95),COLUMN(AZ95))),INDIRECT("'Yr3'!"&amp;ADDRESS(ROW(AZ95),COLUMN(AZ95)))),
IF(AZ91&gt;0,SUMIFS('EE Inputs'!$I$9:$I$32,'EE Inputs'!$C$9:$C$32,$AM$6,'EE Inputs'!$D$9:$D$32,$C$4,'EE Inputs'!$E$9:$E$32,$B95)/SUMIFS('EE Inputs'!$V$9:$V$32,'EE Inputs'!$C$9:$C$32,$AM$6,'EE Inputs'!$D$9:$D$32,$C$4,'EE Inputs'!$E$9:$E$32,$B95)*10,0))</f>
        <v>309700.38496525062</v>
      </c>
      <c r="BA95" s="71">
        <f ca="1">IF($C$4=Lookups!$D$40,SUM(INDIRECT("'Yr1'!"&amp;ADDRESS(ROW(BA95),COLUMN(BA95))),INDIRECT("'Yr2'!"&amp;ADDRESS(ROW(BA95),COLUMN(BA95))),INDIRECT("'Yr3'!"&amp;ADDRESS(ROW(BA95),COLUMN(BA95)))),
IF(BA91&gt;0,SUMIFS('EE Inputs'!$I$9:$I$32,'EE Inputs'!$C$9:$C$32,$AM$6,'EE Inputs'!$D$9:$D$32,$C$4,'EE Inputs'!$E$9:$E$32,$B95)/SUMIFS('EE Inputs'!$V$9:$V$32,'EE Inputs'!$C$9:$C$32,$AM$6,'EE Inputs'!$D$9:$D$32,$C$4,'EE Inputs'!$E$9:$E$32,$B95)*10,0))</f>
        <v>309700.38496525062</v>
      </c>
      <c r="BB95" s="71">
        <f ca="1">IF($C$4=Lookups!$D$40,SUM(INDIRECT("'Yr1'!"&amp;ADDRESS(ROW(BB95),COLUMN(BB95))),INDIRECT("'Yr2'!"&amp;ADDRESS(ROW(BB95),COLUMN(BB95))),INDIRECT("'Yr3'!"&amp;ADDRESS(ROW(BB95),COLUMN(BB95)))),
IF(BB91&gt;0,SUMIFS('EE Inputs'!$I$9:$I$32,'EE Inputs'!$C$9:$C$32,$AM$6,'EE Inputs'!$D$9:$D$32,$C$4,'EE Inputs'!$E$9:$E$32,$B95)/SUMIFS('EE Inputs'!$V$9:$V$32,'EE Inputs'!$C$9:$C$32,$AM$6,'EE Inputs'!$D$9:$D$32,$C$4,'EE Inputs'!$E$9:$E$32,$B95)*10,0))</f>
        <v>309700.38496525062</v>
      </c>
      <c r="BC95" s="71">
        <f ca="1">IF($C$4=Lookups!$D$40,SUM(INDIRECT("'Yr1'!"&amp;ADDRESS(ROW(BC95),COLUMN(BC95))),INDIRECT("'Yr2'!"&amp;ADDRESS(ROW(BC95),COLUMN(BC95))),INDIRECT("'Yr3'!"&amp;ADDRESS(ROW(BC95),COLUMN(BC95)))),
IF(BC91&gt;0,SUMIFS('EE Inputs'!$I$9:$I$32,'EE Inputs'!$C$9:$C$32,$AM$6,'EE Inputs'!$D$9:$D$32,$C$4,'EE Inputs'!$E$9:$E$32,$B95)/SUMIFS('EE Inputs'!$V$9:$V$32,'EE Inputs'!$C$9:$C$32,$AM$6,'EE Inputs'!$D$9:$D$32,$C$4,'EE Inputs'!$E$9:$E$32,$B95)*10,0))</f>
        <v>309700.38496525062</v>
      </c>
      <c r="BD95" s="71">
        <f ca="1">IF($C$4=Lookups!$D$40,SUM(INDIRECT("'Yr1'!"&amp;ADDRESS(ROW(BD95),COLUMN(BD95))),INDIRECT("'Yr2'!"&amp;ADDRESS(ROW(BD95),COLUMN(BD95))),INDIRECT("'Yr3'!"&amp;ADDRESS(ROW(BD95),COLUMN(BD95)))),
IF(BD91&gt;0,SUMIFS('EE Inputs'!$I$9:$I$32,'EE Inputs'!$C$9:$C$32,$AM$6,'EE Inputs'!$D$9:$D$32,$C$4,'EE Inputs'!$E$9:$E$32,$B95)/SUMIFS('EE Inputs'!$V$9:$V$32,'EE Inputs'!$C$9:$C$32,$AM$6,'EE Inputs'!$D$9:$D$32,$C$4,'EE Inputs'!$E$9:$E$32,$B95)*10,0))</f>
        <v>309700.38496525062</v>
      </c>
      <c r="BE95" s="71">
        <f ca="1">IF($C$4=Lookups!$D$40,SUM(INDIRECT("'Yr1'!"&amp;ADDRESS(ROW(BE95),COLUMN(BE95))),INDIRECT("'Yr2'!"&amp;ADDRESS(ROW(BE95),COLUMN(BE95))),INDIRECT("'Yr3'!"&amp;ADDRESS(ROW(BE95),COLUMN(BE95)))),
IF(BE91&gt;0,SUMIFS('EE Inputs'!$I$9:$I$32,'EE Inputs'!$C$9:$C$32,$AM$6,'EE Inputs'!$D$9:$D$32,$C$4,'EE Inputs'!$E$9:$E$32,$B95)/SUMIFS('EE Inputs'!$V$9:$V$32,'EE Inputs'!$C$9:$C$32,$AM$6,'EE Inputs'!$D$9:$D$32,$C$4,'EE Inputs'!$E$9:$E$32,$B95)*10,0))</f>
        <v>309700.38496525062</v>
      </c>
      <c r="BF95" s="71">
        <f ca="1">IF($C$4=Lookups!$D$40,SUM(INDIRECT("'Yr1'!"&amp;ADDRESS(ROW(BF95),COLUMN(BF95))),INDIRECT("'Yr2'!"&amp;ADDRESS(ROW(BF95),COLUMN(BF95))),INDIRECT("'Yr3'!"&amp;ADDRESS(ROW(BF95),COLUMN(BF95)))),
IF(BF91&gt;0,SUMIFS('EE Inputs'!$I$9:$I$32,'EE Inputs'!$C$9:$C$32,$AM$6,'EE Inputs'!$D$9:$D$32,$C$4,'EE Inputs'!$E$9:$E$32,$B95)/SUMIFS('EE Inputs'!$V$9:$V$32,'EE Inputs'!$C$9:$C$32,$AM$6,'EE Inputs'!$D$9:$D$32,$C$4,'EE Inputs'!$E$9:$E$32,$B95)*10,0))</f>
        <v>309700.38496525062</v>
      </c>
      <c r="BG95" s="71">
        <f ca="1">IF($C$4=Lookups!$D$40,SUM(INDIRECT("'Yr1'!"&amp;ADDRESS(ROW(BG95),COLUMN(BG95))),INDIRECT("'Yr2'!"&amp;ADDRESS(ROW(BG95),COLUMN(BG95))),INDIRECT("'Yr3'!"&amp;ADDRESS(ROW(BG95),COLUMN(BG95)))),
IF(BG91&gt;0,SUMIFS('EE Inputs'!$I$9:$I$32,'EE Inputs'!$C$9:$C$32,$AM$6,'EE Inputs'!$D$9:$D$32,$C$4,'EE Inputs'!$E$9:$E$32,$B95)/SUMIFS('EE Inputs'!$V$9:$V$32,'EE Inputs'!$C$9:$C$32,$AM$6,'EE Inputs'!$D$9:$D$32,$C$4,'EE Inputs'!$E$9:$E$32,$B95)*10,0))</f>
        <v>209851.57497143291</v>
      </c>
      <c r="BH95" s="71">
        <f ca="1">IF($C$4=Lookups!$D$40,SUM(INDIRECT("'Yr1'!"&amp;ADDRESS(ROW(BH95),COLUMN(BH95))),INDIRECT("'Yr2'!"&amp;ADDRESS(ROW(BH95),COLUMN(BH95))),INDIRECT("'Yr3'!"&amp;ADDRESS(ROW(BH95),COLUMN(BH95)))),
IF(BH91&gt;0,SUMIFS('EE Inputs'!$I$9:$I$32,'EE Inputs'!$C$9:$C$32,$AM$6,'EE Inputs'!$D$9:$D$32,$C$4,'EE Inputs'!$E$9:$E$32,$B95)/SUMIFS('EE Inputs'!$V$9:$V$32,'EE Inputs'!$C$9:$C$32,$AM$6,'EE Inputs'!$D$9:$D$32,$C$4,'EE Inputs'!$E$9:$E$32,$B95)*10,0))</f>
        <v>106926.848783917</v>
      </c>
      <c r="BI95" s="71">
        <f ca="1">IF($C$4=Lookups!$D$40,SUM(INDIRECT("'Yr1'!"&amp;ADDRESS(ROW(BI95),COLUMN(BI95))),INDIRECT("'Yr2'!"&amp;ADDRESS(ROW(BI95),COLUMN(BI95))),INDIRECT("'Yr3'!"&amp;ADDRESS(ROW(BI95),COLUMN(BI95)))),
IF(BI91&gt;0,SUMIFS('EE Inputs'!$I$9:$I$32,'EE Inputs'!$C$9:$C$32,$AM$6,'EE Inputs'!$D$9:$D$32,$C$4,'EE Inputs'!$E$9:$E$32,$B95)/SUMIFS('EE Inputs'!$V$9:$V$32,'EE Inputs'!$C$9:$C$32,$AM$6,'EE Inputs'!$D$9:$D$32,$C$4,'EE Inputs'!$E$9:$E$32,$B95)*10,0))</f>
        <v>0</v>
      </c>
      <c r="BJ95" s="71">
        <f ca="1">IF($C$4=Lookups!$D$40,SUM(INDIRECT("'Yr1'!"&amp;ADDRESS(ROW(BJ95),COLUMN(BJ95))),INDIRECT("'Yr2'!"&amp;ADDRESS(ROW(BJ95),COLUMN(BJ95))),INDIRECT("'Yr3'!"&amp;ADDRESS(ROW(BJ95),COLUMN(BJ95)))),
IF(BJ91&gt;0,SUMIFS('EE Inputs'!$I$9:$I$32,'EE Inputs'!$C$9:$C$32,$AM$6,'EE Inputs'!$D$9:$D$32,$C$4,'EE Inputs'!$E$9:$E$32,$B95)/SUMIFS('EE Inputs'!$V$9:$V$32,'EE Inputs'!$C$9:$C$32,$AM$6,'EE Inputs'!$D$9:$D$32,$C$4,'EE Inputs'!$E$9:$E$32,$B95)*10,0))</f>
        <v>0</v>
      </c>
      <c r="BK95" s="71">
        <f ca="1">IF($C$4=Lookups!$D$40,SUM(INDIRECT("'Yr1'!"&amp;ADDRESS(ROW(BK95),COLUMN(BK95))),INDIRECT("'Yr2'!"&amp;ADDRESS(ROW(BK95),COLUMN(BK95))),INDIRECT("'Yr3'!"&amp;ADDRESS(ROW(BK95),COLUMN(BK95)))),
IF(BK91&gt;0,SUMIFS('EE Inputs'!$I$9:$I$32,'EE Inputs'!$C$9:$C$32,$AM$6,'EE Inputs'!$D$9:$D$32,$C$4,'EE Inputs'!$E$9:$E$32,$B95)/SUMIFS('EE Inputs'!$V$9:$V$32,'EE Inputs'!$C$9:$C$32,$AM$6,'EE Inputs'!$D$9:$D$32,$C$4,'EE Inputs'!$E$9:$E$32,$B95)*10,0))</f>
        <v>0</v>
      </c>
      <c r="BL95" s="71">
        <f ca="1">IF($C$4=Lookups!$D$40,SUM(INDIRECT("'Yr1'!"&amp;ADDRESS(ROW(BL95),COLUMN(BL95))),INDIRECT("'Yr2'!"&amp;ADDRESS(ROW(BL95),COLUMN(BL95))),INDIRECT("'Yr3'!"&amp;ADDRESS(ROW(BL95),COLUMN(BL95)))),
IF(BL91&gt;0,SUMIFS('EE Inputs'!$I$9:$I$32,'EE Inputs'!$C$9:$C$32,$AM$6,'EE Inputs'!$D$9:$D$32,$C$4,'EE Inputs'!$E$9:$E$32,$B95)/SUMIFS('EE Inputs'!$V$9:$V$32,'EE Inputs'!$C$9:$C$32,$AM$6,'EE Inputs'!$D$9:$D$32,$C$4,'EE Inputs'!$E$9:$E$32,$B95)*10,0))</f>
        <v>0</v>
      </c>
      <c r="BM95" s="71">
        <f ca="1">IF($C$4=Lookups!$D$40,SUM(INDIRECT("'Yr1'!"&amp;ADDRESS(ROW(BM95),COLUMN(BM95))),INDIRECT("'Yr2'!"&amp;ADDRESS(ROW(BM95),COLUMN(BM95))),INDIRECT("'Yr3'!"&amp;ADDRESS(ROW(BM95),COLUMN(BM95)))),
IF(BM91&gt;0,SUMIFS('EE Inputs'!$I$9:$I$32,'EE Inputs'!$C$9:$C$32,$AM$6,'EE Inputs'!$D$9:$D$32,$C$4,'EE Inputs'!$E$9:$E$32,$B95)/SUMIFS('EE Inputs'!$V$9:$V$32,'EE Inputs'!$C$9:$C$32,$AM$6,'EE Inputs'!$D$9:$D$32,$C$4,'EE Inputs'!$E$9:$E$32,$B95)*10,0))</f>
        <v>0</v>
      </c>
      <c r="BN95" s="71"/>
      <c r="BO95" s="71">
        <f t="shared" ref="BO95:BO96" ca="1" si="87">SUM(AM95:BM95)</f>
        <v>6194007.699305011</v>
      </c>
      <c r="BP95" s="71"/>
      <c r="BS95" s="84" t="s">
        <v>92</v>
      </c>
      <c r="BT95" s="51" t="s">
        <v>17</v>
      </c>
    </row>
    <row r="96" spans="1:72" x14ac:dyDescent="0.25">
      <c r="B96" s="243" t="str">
        <f t="shared" si="85"/>
        <v>Low-Income</v>
      </c>
      <c r="C96" s="243" t="str">
        <f>C95</f>
        <v>Sales</v>
      </c>
      <c r="D96" s="244" t="s">
        <v>109</v>
      </c>
      <c r="E96" s="85" t="s">
        <v>109</v>
      </c>
      <c r="F96" s="84" t="s">
        <v>195</v>
      </c>
      <c r="G96" s="65">
        <f ca="1">G94-G95</f>
        <v>4586249.7810489349</v>
      </c>
      <c r="H96" s="65">
        <f t="shared" ref="H96:AG96" ca="1" si="88">H94-H95</f>
        <v>4496190.6456348579</v>
      </c>
      <c r="I96" s="65">
        <f t="shared" ca="1" si="88"/>
        <v>4402629.6529489309</v>
      </c>
      <c r="J96" s="65">
        <f t="shared" ca="1" si="88"/>
        <v>4402629.6529489309</v>
      </c>
      <c r="K96" s="65">
        <f t="shared" ca="1" si="88"/>
        <v>4402629.6529489309</v>
      </c>
      <c r="L96" s="65">
        <f t="shared" ca="1" si="88"/>
        <v>4402629.6529489309</v>
      </c>
      <c r="M96" s="65">
        <f t="shared" ca="1" si="88"/>
        <v>4402629.6529489309</v>
      </c>
      <c r="N96" s="65">
        <f t="shared" ca="1" si="88"/>
        <v>4402629.6529489309</v>
      </c>
      <c r="O96" s="65">
        <f t="shared" ca="1" si="88"/>
        <v>4402629.6529489309</v>
      </c>
      <c r="P96" s="65">
        <f t="shared" ca="1" si="88"/>
        <v>4402629.6529489309</v>
      </c>
      <c r="Q96" s="65">
        <f t="shared" ca="1" si="88"/>
        <v>4402629.6529489309</v>
      </c>
      <c r="R96" s="65">
        <f t="shared" ca="1" si="88"/>
        <v>4402629.6529489309</v>
      </c>
      <c r="S96" s="65">
        <f t="shared" ca="1" si="88"/>
        <v>4402629.6529489309</v>
      </c>
      <c r="T96" s="65">
        <f t="shared" ca="1" si="88"/>
        <v>4402629.6529489309</v>
      </c>
      <c r="U96" s="65">
        <f t="shared" ca="1" si="88"/>
        <v>4402629.6529489309</v>
      </c>
      <c r="V96" s="65">
        <f t="shared" ca="1" si="88"/>
        <v>4402629.6529489309</v>
      </c>
      <c r="W96" s="65">
        <f t="shared" ca="1" si="88"/>
        <v>4402629.6529489309</v>
      </c>
      <c r="X96" s="65">
        <f t="shared" ca="1" si="88"/>
        <v>4402629.6529489309</v>
      </c>
      <c r="Y96" s="65">
        <f t="shared" ca="1" si="88"/>
        <v>4402629.6529489309</v>
      </c>
      <c r="Z96" s="65">
        <f t="shared" ca="1" si="88"/>
        <v>4402629.6529489309</v>
      </c>
      <c r="AA96" s="65">
        <f t="shared" ca="1" si="88"/>
        <v>4489997.361693521</v>
      </c>
      <c r="AB96" s="65">
        <f t="shared" ca="1" si="88"/>
        <v>4580056.497107598</v>
      </c>
      <c r="AC96" s="65">
        <f t="shared" ca="1" si="88"/>
        <v>4673617.4897935251</v>
      </c>
      <c r="AD96" s="65">
        <f t="shared" ca="1" si="88"/>
        <v>4673617.4897935251</v>
      </c>
      <c r="AE96" s="65">
        <f t="shared" ca="1" si="88"/>
        <v>4673617.4897935251</v>
      </c>
      <c r="AF96" s="65">
        <f t="shared" ca="1" si="88"/>
        <v>4673617.4897935251</v>
      </c>
      <c r="AG96" s="65">
        <f t="shared" ca="1" si="88"/>
        <v>4673617.4897935251</v>
      </c>
      <c r="AH96" s="65"/>
      <c r="AI96" s="65">
        <f t="shared" ca="1" si="86"/>
        <v>120767915.48753327</v>
      </c>
      <c r="AJ96" s="65"/>
      <c r="AM96" s="72">
        <f ca="1">AM94-AM95</f>
        <v>4573768.6797997076</v>
      </c>
      <c r="AN96" s="72">
        <f t="shared" ref="AN96:BM96" ca="1" si="89">AN94-AN95</f>
        <v>4470843.9536121916</v>
      </c>
      <c r="AO96" s="72">
        <f t="shared" ca="1" si="89"/>
        <v>4363917.1048282748</v>
      </c>
      <c r="AP96" s="72">
        <f t="shared" ca="1" si="89"/>
        <v>4363917.1048282748</v>
      </c>
      <c r="AQ96" s="72">
        <f t="shared" ca="1" si="89"/>
        <v>4363917.1048282748</v>
      </c>
      <c r="AR96" s="72">
        <f t="shared" ca="1" si="89"/>
        <v>4363917.1048282748</v>
      </c>
      <c r="AS96" s="72">
        <f t="shared" ca="1" si="89"/>
        <v>4363917.1048282748</v>
      </c>
      <c r="AT96" s="72">
        <f t="shared" ca="1" si="89"/>
        <v>4363917.1048282748</v>
      </c>
      <c r="AU96" s="72">
        <f t="shared" ca="1" si="89"/>
        <v>4363917.1048282748</v>
      </c>
      <c r="AV96" s="72">
        <f t="shared" ca="1" si="89"/>
        <v>4363917.1048282748</v>
      </c>
      <c r="AW96" s="72">
        <f t="shared" ca="1" si="89"/>
        <v>4363917.1048282748</v>
      </c>
      <c r="AX96" s="72">
        <f t="shared" ca="1" si="89"/>
        <v>4363917.1048282748</v>
      </c>
      <c r="AY96" s="72">
        <f t="shared" ca="1" si="89"/>
        <v>4363917.1048282748</v>
      </c>
      <c r="AZ96" s="72">
        <f t="shared" ca="1" si="89"/>
        <v>4363917.1048282748</v>
      </c>
      <c r="BA96" s="72">
        <f t="shared" ca="1" si="89"/>
        <v>4363917.1048282748</v>
      </c>
      <c r="BB96" s="72">
        <f t="shared" ca="1" si="89"/>
        <v>4363917.1048282748</v>
      </c>
      <c r="BC96" s="72">
        <f t="shared" ca="1" si="89"/>
        <v>4363917.1048282748</v>
      </c>
      <c r="BD96" s="72">
        <f t="shared" ca="1" si="89"/>
        <v>4363917.1048282748</v>
      </c>
      <c r="BE96" s="72">
        <f t="shared" ca="1" si="89"/>
        <v>4363917.1048282748</v>
      </c>
      <c r="BF96" s="72">
        <f t="shared" ca="1" si="89"/>
        <v>4363917.1048282748</v>
      </c>
      <c r="BG96" s="72">
        <f t="shared" ca="1" si="89"/>
        <v>4463765.9148220923</v>
      </c>
      <c r="BH96" s="72">
        <f t="shared" ca="1" si="89"/>
        <v>4566690.6410096083</v>
      </c>
      <c r="BI96" s="72">
        <f t="shared" ca="1" si="89"/>
        <v>4673617.4897935251</v>
      </c>
      <c r="BJ96" s="72">
        <f t="shared" ca="1" si="89"/>
        <v>4673617.4897935251</v>
      </c>
      <c r="BK96" s="72">
        <f t="shared" ca="1" si="89"/>
        <v>4673617.4897935251</v>
      </c>
      <c r="BL96" s="72">
        <f t="shared" ca="1" si="89"/>
        <v>4673617.4897935251</v>
      </c>
      <c r="BM96" s="72">
        <f t="shared" ca="1" si="89"/>
        <v>4673617.4897935251</v>
      </c>
      <c r="BN96" s="72"/>
      <c r="BO96" s="72">
        <f t="shared" ca="1" si="87"/>
        <v>119993664.52512015</v>
      </c>
      <c r="BP96" s="72"/>
      <c r="BS96" s="84" t="s">
        <v>93</v>
      </c>
      <c r="BT96" s="51" t="s">
        <v>17</v>
      </c>
    </row>
    <row r="97" spans="1:72" s="5" customFormat="1" x14ac:dyDescent="0.25">
      <c r="A97" s="52"/>
      <c r="B97" s="242" t="str">
        <f t="shared" si="85"/>
        <v>Low-Income</v>
      </c>
      <c r="C97" s="243" t="str">
        <f>C96</f>
        <v>Sales</v>
      </c>
      <c r="D97" s="77" t="s">
        <v>17</v>
      </c>
      <c r="E97" s="76"/>
      <c r="F97" s="76"/>
      <c r="G97" s="468"/>
      <c r="H97" s="468"/>
      <c r="I97" s="468"/>
      <c r="J97" s="468"/>
      <c r="K97" s="468"/>
      <c r="L97" s="468"/>
      <c r="M97" s="468"/>
      <c r="N97" s="468"/>
      <c r="O97" s="468"/>
      <c r="P97" s="468"/>
      <c r="Q97" s="468"/>
      <c r="R97" s="468"/>
      <c r="S97" s="468"/>
      <c r="T97" s="468"/>
      <c r="U97" s="468"/>
      <c r="V97" s="468"/>
      <c r="W97" s="468"/>
      <c r="X97" s="468"/>
      <c r="Y97" s="468"/>
      <c r="Z97" s="468"/>
      <c r="AA97" s="468"/>
      <c r="AB97" s="468"/>
      <c r="AC97" s="468"/>
      <c r="AD97" s="468"/>
      <c r="AE97" s="468"/>
      <c r="AF97" s="468"/>
      <c r="AG97" s="468"/>
      <c r="AH97" s="48"/>
      <c r="AI97" s="235"/>
      <c r="AJ97" s="48"/>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S97" s="76"/>
      <c r="BT97" s="51" t="s">
        <v>17</v>
      </c>
    </row>
    <row r="98" spans="1:72" s="5" customFormat="1" ht="15.75" x14ac:dyDescent="0.25">
      <c r="A98" s="52"/>
      <c r="B98" s="241" t="str">
        <f t="shared" si="85"/>
        <v>Low-Income</v>
      </c>
      <c r="C98" s="63" t="s">
        <v>124</v>
      </c>
      <c r="D98" s="61"/>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2"/>
      <c r="BO98" s="62"/>
      <c r="BP98" s="62"/>
      <c r="BS98" s="62"/>
      <c r="BT98" s="51" t="s">
        <v>17</v>
      </c>
    </row>
    <row r="99" spans="1:72" x14ac:dyDescent="0.25">
      <c r="B99" s="243" t="str">
        <f t="shared" si="85"/>
        <v>Low-Income</v>
      </c>
      <c r="C99" s="243" t="str">
        <f t="shared" si="85"/>
        <v>Revenue Requirements</v>
      </c>
      <c r="D99" s="114" t="str">
        <f>"Revenue Requirement before DSM ("&amp;Lookups!$D$22&amp;" Scenario)"</f>
        <v>Revenue Requirement before DSM (No EE Scenario)</v>
      </c>
      <c r="E99" s="84"/>
      <c r="F99" s="84"/>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S99" s="84"/>
      <c r="BT99" s="51" t="s">
        <v>17</v>
      </c>
    </row>
    <row r="100" spans="1:72" x14ac:dyDescent="0.25">
      <c r="B100" s="243" t="str">
        <f t="shared" si="85"/>
        <v>Low-Income</v>
      </c>
      <c r="C100" s="243" t="str">
        <f t="shared" si="85"/>
        <v>Revenue Requirements</v>
      </c>
      <c r="D100" s="244" t="str">
        <f>D99</f>
        <v>Revenue Requirement before DSM (No EE Scenario)</v>
      </c>
      <c r="E100" s="84" t="s">
        <v>26</v>
      </c>
      <c r="F100" s="84" t="s">
        <v>32</v>
      </c>
      <c r="G100" s="65">
        <f>G117*G94</f>
        <v>1041281.9767259974</v>
      </c>
      <c r="H100" s="65">
        <f t="shared" ref="H100:AG100" si="90">H117*H94</f>
        <v>1041281.9767259974</v>
      </c>
      <c r="I100" s="65">
        <f t="shared" si="90"/>
        <v>1041281.9767259974</v>
      </c>
      <c r="J100" s="65">
        <f t="shared" si="90"/>
        <v>1041281.9767259974</v>
      </c>
      <c r="K100" s="65">
        <f t="shared" si="90"/>
        <v>1041281.9767259974</v>
      </c>
      <c r="L100" s="65">
        <f t="shared" si="90"/>
        <v>1041281.9767259974</v>
      </c>
      <c r="M100" s="65">
        <f t="shared" si="90"/>
        <v>1041281.9767259974</v>
      </c>
      <c r="N100" s="65">
        <f t="shared" si="90"/>
        <v>1041281.9767259974</v>
      </c>
      <c r="O100" s="65">
        <f t="shared" si="90"/>
        <v>1041281.9767259974</v>
      </c>
      <c r="P100" s="65">
        <f t="shared" si="90"/>
        <v>1041281.9767259974</v>
      </c>
      <c r="Q100" s="65">
        <f t="shared" si="90"/>
        <v>1041281.9767259974</v>
      </c>
      <c r="R100" s="65">
        <f t="shared" si="90"/>
        <v>1041281.9767259974</v>
      </c>
      <c r="S100" s="65">
        <f t="shared" si="90"/>
        <v>1041281.9767259974</v>
      </c>
      <c r="T100" s="65">
        <f t="shared" si="90"/>
        <v>1041281.9767259974</v>
      </c>
      <c r="U100" s="65">
        <f t="shared" si="90"/>
        <v>1041281.9767259974</v>
      </c>
      <c r="V100" s="65">
        <f t="shared" si="90"/>
        <v>1041281.9767259974</v>
      </c>
      <c r="W100" s="65">
        <f t="shared" si="90"/>
        <v>1041281.9767259974</v>
      </c>
      <c r="X100" s="65">
        <f t="shared" si="90"/>
        <v>1041281.9767259974</v>
      </c>
      <c r="Y100" s="65">
        <f t="shared" si="90"/>
        <v>1041281.9767259974</v>
      </c>
      <c r="Z100" s="65">
        <f t="shared" si="90"/>
        <v>1041281.9767259974</v>
      </c>
      <c r="AA100" s="65">
        <f t="shared" si="90"/>
        <v>1041281.9767259974</v>
      </c>
      <c r="AB100" s="65">
        <f t="shared" si="90"/>
        <v>1041281.9767259974</v>
      </c>
      <c r="AC100" s="65">
        <f t="shared" si="90"/>
        <v>1041281.9767259974</v>
      </c>
      <c r="AD100" s="65">
        <f t="shared" si="90"/>
        <v>1041281.9767259974</v>
      </c>
      <c r="AE100" s="65">
        <f t="shared" si="90"/>
        <v>1041281.9767259974</v>
      </c>
      <c r="AF100" s="65">
        <f t="shared" si="90"/>
        <v>1041281.9767259974</v>
      </c>
      <c r="AG100" s="65">
        <f t="shared" si="90"/>
        <v>1041281.9767259974</v>
      </c>
      <c r="AH100" s="65"/>
      <c r="AI100" s="65">
        <f>NPV(Lookups!$E$17,G100:AG100)</f>
        <v>23234476.838301055</v>
      </c>
      <c r="AJ100" s="65"/>
      <c r="AM100" s="72">
        <f>AM117*AM94</f>
        <v>1041281.9767259974</v>
      </c>
      <c r="AN100" s="72">
        <f t="shared" ref="AN100:BM100" si="91">AN117*AN94</f>
        <v>1041281.9767259974</v>
      </c>
      <c r="AO100" s="72">
        <f t="shared" si="91"/>
        <v>1041281.9767259974</v>
      </c>
      <c r="AP100" s="72">
        <f t="shared" si="91"/>
        <v>1041281.9767259974</v>
      </c>
      <c r="AQ100" s="72">
        <f t="shared" si="91"/>
        <v>1041281.9767259974</v>
      </c>
      <c r="AR100" s="72">
        <f t="shared" si="91"/>
        <v>1041281.9767259974</v>
      </c>
      <c r="AS100" s="72">
        <f t="shared" si="91"/>
        <v>1041281.9767259974</v>
      </c>
      <c r="AT100" s="72">
        <f t="shared" si="91"/>
        <v>1041281.9767259974</v>
      </c>
      <c r="AU100" s="72">
        <f t="shared" si="91"/>
        <v>1041281.9767259974</v>
      </c>
      <c r="AV100" s="72">
        <f t="shared" si="91"/>
        <v>1041281.9767259974</v>
      </c>
      <c r="AW100" s="72">
        <f t="shared" si="91"/>
        <v>1041281.9767259974</v>
      </c>
      <c r="AX100" s="72">
        <f t="shared" si="91"/>
        <v>1041281.9767259974</v>
      </c>
      <c r="AY100" s="72">
        <f t="shared" si="91"/>
        <v>1041281.9767259974</v>
      </c>
      <c r="AZ100" s="72">
        <f t="shared" si="91"/>
        <v>1041281.9767259974</v>
      </c>
      <c r="BA100" s="72">
        <f t="shared" si="91"/>
        <v>1041281.9767259974</v>
      </c>
      <c r="BB100" s="72">
        <f t="shared" si="91"/>
        <v>1041281.9767259974</v>
      </c>
      <c r="BC100" s="72">
        <f t="shared" si="91"/>
        <v>1041281.9767259974</v>
      </c>
      <c r="BD100" s="72">
        <f t="shared" si="91"/>
        <v>1041281.9767259974</v>
      </c>
      <c r="BE100" s="72">
        <f t="shared" si="91"/>
        <v>1041281.9767259974</v>
      </c>
      <c r="BF100" s="72">
        <f t="shared" si="91"/>
        <v>1041281.9767259974</v>
      </c>
      <c r="BG100" s="72">
        <f t="shared" si="91"/>
        <v>1041281.9767259974</v>
      </c>
      <c r="BH100" s="72">
        <f t="shared" si="91"/>
        <v>1041281.9767259974</v>
      </c>
      <c r="BI100" s="72">
        <f t="shared" si="91"/>
        <v>1041281.9767259974</v>
      </c>
      <c r="BJ100" s="72">
        <f t="shared" si="91"/>
        <v>1041281.9767259974</v>
      </c>
      <c r="BK100" s="72">
        <f t="shared" si="91"/>
        <v>1041281.9767259974</v>
      </c>
      <c r="BL100" s="72">
        <f t="shared" si="91"/>
        <v>1041281.9767259974</v>
      </c>
      <c r="BM100" s="72">
        <f t="shared" si="91"/>
        <v>1041281.9767259974</v>
      </c>
      <c r="BN100" s="72"/>
      <c r="BO100" s="72">
        <f>NPV(Lookups!$E$17,AM100:BM100)</f>
        <v>23234476.838301055</v>
      </c>
      <c r="BP100" s="72"/>
      <c r="BS100" s="84" t="str">
        <f>"No EE Scenario "&amp;E100&amp;" rate multiplied by No EE Scenario sales."</f>
        <v>No EE Scenario Distribution rate multiplied by No EE Scenario sales.</v>
      </c>
      <c r="BT100" s="51" t="s">
        <v>17</v>
      </c>
    </row>
    <row r="101" spans="1:72" x14ac:dyDescent="0.25">
      <c r="B101" s="243" t="str">
        <f t="shared" si="85"/>
        <v>Low-Income</v>
      </c>
      <c r="C101" s="243" t="str">
        <f t="shared" si="85"/>
        <v>Revenue Requirements</v>
      </c>
      <c r="D101" s="244" t="str">
        <f>D100</f>
        <v>Revenue Requirement before DSM (No EE Scenario)</v>
      </c>
      <c r="E101" s="84" t="s">
        <v>407</v>
      </c>
      <c r="F101" s="84" t="s">
        <v>32</v>
      </c>
      <c r="G101" s="65">
        <f>G118*G94</f>
        <v>-154229.37716318635</v>
      </c>
      <c r="H101" s="65">
        <f t="shared" ref="H101:AG101" si="92">H118*H94</f>
        <v>-154229.37716318635</v>
      </c>
      <c r="I101" s="65">
        <f t="shared" si="92"/>
        <v>-154229.37716318635</v>
      </c>
      <c r="J101" s="65">
        <f t="shared" si="92"/>
        <v>-154229.37716318635</v>
      </c>
      <c r="K101" s="65">
        <f t="shared" si="92"/>
        <v>-154229.37716318635</v>
      </c>
      <c r="L101" s="65">
        <f t="shared" si="92"/>
        <v>-154229.37716318635</v>
      </c>
      <c r="M101" s="65">
        <f t="shared" si="92"/>
        <v>-154229.37716318635</v>
      </c>
      <c r="N101" s="65">
        <f t="shared" si="92"/>
        <v>-154229.37716318635</v>
      </c>
      <c r="O101" s="65">
        <f t="shared" si="92"/>
        <v>-154229.37716318635</v>
      </c>
      <c r="P101" s="65">
        <f t="shared" si="92"/>
        <v>-154229.37716318635</v>
      </c>
      <c r="Q101" s="65">
        <f t="shared" si="92"/>
        <v>-154229.37716318635</v>
      </c>
      <c r="R101" s="65">
        <f t="shared" si="92"/>
        <v>-154229.37716318635</v>
      </c>
      <c r="S101" s="65">
        <f t="shared" si="92"/>
        <v>-154229.37716318635</v>
      </c>
      <c r="T101" s="65">
        <f t="shared" si="92"/>
        <v>-154229.37716318635</v>
      </c>
      <c r="U101" s="65">
        <f t="shared" si="92"/>
        <v>-154229.37716318635</v>
      </c>
      <c r="V101" s="65">
        <f t="shared" si="92"/>
        <v>-154229.37716318635</v>
      </c>
      <c r="W101" s="65">
        <f t="shared" si="92"/>
        <v>-154229.37716318635</v>
      </c>
      <c r="X101" s="65">
        <f t="shared" si="92"/>
        <v>-154229.37716318635</v>
      </c>
      <c r="Y101" s="65">
        <f t="shared" si="92"/>
        <v>-154229.37716318635</v>
      </c>
      <c r="Z101" s="65">
        <f t="shared" si="92"/>
        <v>-154229.37716318635</v>
      </c>
      <c r="AA101" s="65">
        <f t="shared" si="92"/>
        <v>-154229.37716318635</v>
      </c>
      <c r="AB101" s="65">
        <f t="shared" si="92"/>
        <v>-154229.37716318635</v>
      </c>
      <c r="AC101" s="65">
        <f t="shared" si="92"/>
        <v>-154229.37716318635</v>
      </c>
      <c r="AD101" s="65">
        <f t="shared" si="92"/>
        <v>-154229.37716318635</v>
      </c>
      <c r="AE101" s="65">
        <f t="shared" si="92"/>
        <v>-154229.37716318635</v>
      </c>
      <c r="AF101" s="65">
        <f t="shared" si="92"/>
        <v>-154229.37716318635</v>
      </c>
      <c r="AG101" s="65">
        <f t="shared" si="92"/>
        <v>-154229.37716318635</v>
      </c>
      <c r="AH101" s="65"/>
      <c r="AI101" s="65">
        <f>NPV(Lookups!$E$17,G101:AG101)</f>
        <v>-3441372.2426568004</v>
      </c>
      <c r="AJ101" s="65"/>
      <c r="AM101" s="72">
        <f>AM118*AM94</f>
        <v>-154229.37716318635</v>
      </c>
      <c r="AN101" s="72">
        <f t="shared" ref="AN101:BM101" si="93">AN118*AN94</f>
        <v>-154229.37716318635</v>
      </c>
      <c r="AO101" s="72">
        <f t="shared" si="93"/>
        <v>-154229.37716318635</v>
      </c>
      <c r="AP101" s="72">
        <f t="shared" si="93"/>
        <v>-154229.37716318635</v>
      </c>
      <c r="AQ101" s="72">
        <f t="shared" si="93"/>
        <v>-154229.37716318635</v>
      </c>
      <c r="AR101" s="72">
        <f t="shared" si="93"/>
        <v>-154229.37716318635</v>
      </c>
      <c r="AS101" s="72">
        <f t="shared" si="93"/>
        <v>-154229.37716318635</v>
      </c>
      <c r="AT101" s="72">
        <f t="shared" si="93"/>
        <v>-154229.37716318635</v>
      </c>
      <c r="AU101" s="72">
        <f t="shared" si="93"/>
        <v>-154229.37716318635</v>
      </c>
      <c r="AV101" s="72">
        <f t="shared" si="93"/>
        <v>-154229.37716318635</v>
      </c>
      <c r="AW101" s="72">
        <f t="shared" si="93"/>
        <v>-154229.37716318635</v>
      </c>
      <c r="AX101" s="72">
        <f t="shared" si="93"/>
        <v>-154229.37716318635</v>
      </c>
      <c r="AY101" s="72">
        <f t="shared" si="93"/>
        <v>-154229.37716318635</v>
      </c>
      <c r="AZ101" s="72">
        <f t="shared" si="93"/>
        <v>-154229.37716318635</v>
      </c>
      <c r="BA101" s="72">
        <f t="shared" si="93"/>
        <v>-154229.37716318635</v>
      </c>
      <c r="BB101" s="72">
        <f t="shared" si="93"/>
        <v>-154229.37716318635</v>
      </c>
      <c r="BC101" s="72">
        <f t="shared" si="93"/>
        <v>-154229.37716318635</v>
      </c>
      <c r="BD101" s="72">
        <f t="shared" si="93"/>
        <v>-154229.37716318635</v>
      </c>
      <c r="BE101" s="72">
        <f t="shared" si="93"/>
        <v>-154229.37716318635</v>
      </c>
      <c r="BF101" s="72">
        <f t="shared" si="93"/>
        <v>-154229.37716318635</v>
      </c>
      <c r="BG101" s="72">
        <f t="shared" si="93"/>
        <v>-154229.37716318635</v>
      </c>
      <c r="BH101" s="72">
        <f t="shared" si="93"/>
        <v>-154229.37716318635</v>
      </c>
      <c r="BI101" s="72">
        <f t="shared" si="93"/>
        <v>-154229.37716318635</v>
      </c>
      <c r="BJ101" s="72">
        <f t="shared" si="93"/>
        <v>-154229.37716318635</v>
      </c>
      <c r="BK101" s="72">
        <f t="shared" si="93"/>
        <v>-154229.37716318635</v>
      </c>
      <c r="BL101" s="72">
        <f t="shared" si="93"/>
        <v>-154229.37716318635</v>
      </c>
      <c r="BM101" s="72">
        <f t="shared" si="93"/>
        <v>-154229.37716318635</v>
      </c>
      <c r="BN101" s="72"/>
      <c r="BO101" s="72">
        <f>NPV(Lookups!$E$17,AM101:BM101)</f>
        <v>-3441372.2426568004</v>
      </c>
      <c r="BP101" s="72"/>
      <c r="BS101" s="84" t="str">
        <f>"No EE Scenario "&amp;E101&amp;" rate multiplied by No EE Scenario sales."</f>
        <v>No EE Scenario LDAC, Non-EE rate multiplied by No EE Scenario sales.</v>
      </c>
      <c r="BT101" s="51" t="s">
        <v>17</v>
      </c>
    </row>
    <row r="102" spans="1:72" x14ac:dyDescent="0.25">
      <c r="A102" s="1"/>
      <c r="B102" s="243" t="str">
        <f>B100</f>
        <v>Low-Income</v>
      </c>
      <c r="C102" s="243" t="str">
        <f>C100</f>
        <v>Revenue Requirements</v>
      </c>
      <c r="D102" s="244" t="str">
        <f>D100</f>
        <v>Revenue Requirement before DSM (No EE Scenario)</v>
      </c>
      <c r="E102" s="84" t="s">
        <v>197</v>
      </c>
      <c r="F102" s="84" t="s">
        <v>32</v>
      </c>
      <c r="G102" s="65">
        <f>G119*G94</f>
        <v>2899044.9289189233</v>
      </c>
      <c r="H102" s="65">
        <f>H119*H94</f>
        <v>2899044.9289189233</v>
      </c>
      <c r="I102" s="65">
        <f t="shared" ref="I102:AG102" si="94">I119*I94</f>
        <v>2899044.9289189233</v>
      </c>
      <c r="J102" s="65">
        <f t="shared" si="94"/>
        <v>2899044.9289189233</v>
      </c>
      <c r="K102" s="65">
        <f t="shared" si="94"/>
        <v>2899044.9289189233</v>
      </c>
      <c r="L102" s="65">
        <f t="shared" si="94"/>
        <v>2899044.9289189233</v>
      </c>
      <c r="M102" s="65">
        <f t="shared" si="94"/>
        <v>2899044.9289189233</v>
      </c>
      <c r="N102" s="65">
        <f t="shared" si="94"/>
        <v>2899044.9289189233</v>
      </c>
      <c r="O102" s="65">
        <f t="shared" si="94"/>
        <v>2899044.9289189233</v>
      </c>
      <c r="P102" s="65">
        <f t="shared" si="94"/>
        <v>2899044.9289189233</v>
      </c>
      <c r="Q102" s="65">
        <f t="shared" si="94"/>
        <v>2899044.9289189233</v>
      </c>
      <c r="R102" s="65">
        <f t="shared" si="94"/>
        <v>2899044.9289189233</v>
      </c>
      <c r="S102" s="65">
        <f t="shared" si="94"/>
        <v>2899044.9289189233</v>
      </c>
      <c r="T102" s="65">
        <f t="shared" si="94"/>
        <v>2899044.9289189233</v>
      </c>
      <c r="U102" s="65">
        <f t="shared" si="94"/>
        <v>2899044.9289189233</v>
      </c>
      <c r="V102" s="65">
        <f t="shared" si="94"/>
        <v>2899044.9289189233</v>
      </c>
      <c r="W102" s="65">
        <f t="shared" si="94"/>
        <v>2899044.9289189233</v>
      </c>
      <c r="X102" s="65">
        <f t="shared" si="94"/>
        <v>2899044.9289189233</v>
      </c>
      <c r="Y102" s="65">
        <f t="shared" si="94"/>
        <v>2899044.9289189233</v>
      </c>
      <c r="Z102" s="65">
        <f t="shared" si="94"/>
        <v>2899044.9289189233</v>
      </c>
      <c r="AA102" s="65">
        <f t="shared" si="94"/>
        <v>2899044.9289189233</v>
      </c>
      <c r="AB102" s="65">
        <f t="shared" si="94"/>
        <v>2899044.9289189233</v>
      </c>
      <c r="AC102" s="65">
        <f t="shared" si="94"/>
        <v>2899044.9289189233</v>
      </c>
      <c r="AD102" s="65">
        <f t="shared" si="94"/>
        <v>2899044.9289189233</v>
      </c>
      <c r="AE102" s="65">
        <f t="shared" si="94"/>
        <v>2899044.9289189233</v>
      </c>
      <c r="AF102" s="65">
        <f t="shared" si="94"/>
        <v>2899044.9289189233</v>
      </c>
      <c r="AG102" s="65">
        <f t="shared" si="94"/>
        <v>2899044.9289189233</v>
      </c>
      <c r="AH102" s="65"/>
      <c r="AI102" s="65">
        <f>NPV(Lookups!$E$17,G102:AG102)</f>
        <v>64687369.76121252</v>
      </c>
      <c r="AJ102" s="65"/>
      <c r="AM102" s="72">
        <f>AM119*AM94</f>
        <v>2899044.9289189233</v>
      </c>
      <c r="AN102" s="72">
        <f t="shared" ref="AN102:BM102" si="95">AN119*AN94</f>
        <v>2899044.9289189233</v>
      </c>
      <c r="AO102" s="72">
        <f t="shared" si="95"/>
        <v>2899044.9289189233</v>
      </c>
      <c r="AP102" s="72">
        <f t="shared" si="95"/>
        <v>2899044.9289189233</v>
      </c>
      <c r="AQ102" s="72">
        <f t="shared" si="95"/>
        <v>2899044.9289189233</v>
      </c>
      <c r="AR102" s="72">
        <f t="shared" si="95"/>
        <v>2899044.9289189233</v>
      </c>
      <c r="AS102" s="72">
        <f t="shared" si="95"/>
        <v>2899044.9289189233</v>
      </c>
      <c r="AT102" s="72">
        <f t="shared" si="95"/>
        <v>2899044.9289189233</v>
      </c>
      <c r="AU102" s="72">
        <f t="shared" si="95"/>
        <v>2899044.9289189233</v>
      </c>
      <c r="AV102" s="72">
        <f t="shared" si="95"/>
        <v>2899044.9289189233</v>
      </c>
      <c r="AW102" s="72">
        <f t="shared" si="95"/>
        <v>2899044.9289189233</v>
      </c>
      <c r="AX102" s="72">
        <f t="shared" si="95"/>
        <v>2899044.9289189233</v>
      </c>
      <c r="AY102" s="72">
        <f t="shared" si="95"/>
        <v>2899044.9289189233</v>
      </c>
      <c r="AZ102" s="72">
        <f t="shared" si="95"/>
        <v>2899044.9289189233</v>
      </c>
      <c r="BA102" s="72">
        <f t="shared" si="95"/>
        <v>2899044.9289189233</v>
      </c>
      <c r="BB102" s="72">
        <f t="shared" si="95"/>
        <v>2899044.9289189233</v>
      </c>
      <c r="BC102" s="72">
        <f t="shared" si="95"/>
        <v>2899044.9289189233</v>
      </c>
      <c r="BD102" s="72">
        <f t="shared" si="95"/>
        <v>2899044.9289189233</v>
      </c>
      <c r="BE102" s="72">
        <f t="shared" si="95"/>
        <v>2899044.9289189233</v>
      </c>
      <c r="BF102" s="72">
        <f t="shared" si="95"/>
        <v>2899044.9289189233</v>
      </c>
      <c r="BG102" s="72">
        <f t="shared" si="95"/>
        <v>2899044.9289189233</v>
      </c>
      <c r="BH102" s="72">
        <f t="shared" si="95"/>
        <v>2899044.9289189233</v>
      </c>
      <c r="BI102" s="72">
        <f t="shared" si="95"/>
        <v>2899044.9289189233</v>
      </c>
      <c r="BJ102" s="72">
        <f t="shared" si="95"/>
        <v>2899044.9289189233</v>
      </c>
      <c r="BK102" s="72">
        <f t="shared" si="95"/>
        <v>2899044.9289189233</v>
      </c>
      <c r="BL102" s="72">
        <f t="shared" si="95"/>
        <v>2899044.9289189233</v>
      </c>
      <c r="BM102" s="72">
        <f t="shared" si="95"/>
        <v>2899044.9289189233</v>
      </c>
      <c r="BN102" s="72"/>
      <c r="BO102" s="72">
        <f>NPV(Lookups!$E$17,AM102:BM102)</f>
        <v>64687369.76121252</v>
      </c>
      <c r="BP102" s="72"/>
      <c r="BS102" s="84" t="str">
        <f>"No EE Scenario "&amp;E102&amp;" rate multiplied by No EE Scenario sales."</f>
        <v>No EE Scenario Cost of Gas rate multiplied by No EE Scenario sales.</v>
      </c>
      <c r="BT102" s="51" t="s">
        <v>17</v>
      </c>
    </row>
    <row r="103" spans="1:72" x14ac:dyDescent="0.25">
      <c r="B103" s="243" t="str">
        <f t="shared" ref="B103:C105" si="96">B102</f>
        <v>Low-Income</v>
      </c>
      <c r="C103" s="243" t="str">
        <f t="shared" si="96"/>
        <v>Revenue Requirements</v>
      </c>
      <c r="D103" s="114" t="s">
        <v>24</v>
      </c>
      <c r="E103" s="84"/>
      <c r="F103" s="84"/>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S103" s="84"/>
      <c r="BT103" s="51" t="s">
        <v>17</v>
      </c>
    </row>
    <row r="104" spans="1:72" x14ac:dyDescent="0.25">
      <c r="A104" s="246"/>
      <c r="B104" s="243" t="str">
        <f t="shared" si="96"/>
        <v>Low-Income</v>
      </c>
      <c r="C104" s="243" t="str">
        <f t="shared" si="96"/>
        <v>Revenue Requirements</v>
      </c>
      <c r="D104" s="244" t="str">
        <f>D103</f>
        <v>Avoided Costs</v>
      </c>
      <c r="E104" s="84" t="s">
        <v>45</v>
      </c>
      <c r="F104" s="84" t="s">
        <v>32</v>
      </c>
      <c r="G104" s="65">
        <f ca="1">IF($C$4=Lookups!$D$40,SUM(INDIRECT("'Yr1'!"&amp;ADDRESS(ROW(G104),COLUMN(G104))),INDIRECT("'Yr2'!"&amp;ADDRESS(ROW(G104),COLUMN(G104))),INDIRECT("'Yr3'!"&amp;ADDRESS(ROW(G104),COLUMN(G104)))),
IF(G91=0,0,-PMT(INDEX(Lookups!$E$17:$G$17,MATCH($C$4,Lookups!$E$14:$G$14,0)),G91,SUMIFS('EE Inputs'!$J$9:$J$32,'EE Inputs'!$C$9:$C$32,$G$6,'EE Inputs'!$D$9:$D$32,$C$4,'EE Inputs'!$E$9:$E$32,$B104),0,1)))-G105</f>
        <v>60747.214540140485</v>
      </c>
      <c r="H104" s="65">
        <f ca="1">IF($C$4=Lookups!$D$40,SUM(INDIRECT("'Yr1'!"&amp;ADDRESS(ROW(H104),COLUMN(H104))),INDIRECT("'Yr2'!"&amp;ADDRESS(ROW(H104),COLUMN(H104))),INDIRECT("'Yr3'!"&amp;ADDRESS(ROW(H104),COLUMN(H104)))),
IF(H91=0,0,-PMT(INDEX(Lookups!$E$17:$G$17,MATCH($C$4,Lookups!$E$14:$G$14,0)),H91,SUMIFS('EE Inputs'!$J$9:$J$32,'EE Inputs'!$C$9:$C$32,$G$6,'EE Inputs'!$D$9:$D$32,$C$4,'EE Inputs'!$E$9:$E$32,$B104),0,1)))-H105</f>
        <v>123361.10509248626</v>
      </c>
      <c r="I104" s="65">
        <f ca="1">IF($C$4=Lookups!$D$40,SUM(INDIRECT("'Yr1'!"&amp;ADDRESS(ROW(I104),COLUMN(I104))),INDIRECT("'Yr2'!"&amp;ADDRESS(ROW(I104),COLUMN(I104))),INDIRECT("'Yr3'!"&amp;ADDRESS(ROW(I104),COLUMN(I104)))),
IF(I91=0,0,-PMT(INDEX(Lookups!$E$17:$G$17,MATCH($C$4,Lookups!$E$14:$G$14,0)),I91,SUMIFS('EE Inputs'!$J$9:$J$32,'EE Inputs'!$C$9:$C$32,$G$6,'EE Inputs'!$D$9:$D$32,$C$4,'EE Inputs'!$E$9:$E$32,$B104),0,1)))-I105</f>
        <v>188373.61705019276</v>
      </c>
      <c r="J104" s="65">
        <f ca="1">IF($C$4=Lookups!$D$40,SUM(INDIRECT("'Yr1'!"&amp;ADDRESS(ROW(J104),COLUMN(J104))),INDIRECT("'Yr2'!"&amp;ADDRESS(ROW(J104),COLUMN(J104))),INDIRECT("'Yr3'!"&amp;ADDRESS(ROW(J104),COLUMN(J104)))),
IF(J91=0,0,-PMT(INDEX(Lookups!$E$17:$G$17,MATCH($C$4,Lookups!$E$14:$G$14,0)),J91,SUMIFS('EE Inputs'!$J$9:$J$32,'EE Inputs'!$C$9:$C$32,$G$6,'EE Inputs'!$D$9:$D$32,$C$4,'EE Inputs'!$E$9:$E$32,$B104),0,1)))-J105</f>
        <v>188373.61705019276</v>
      </c>
      <c r="K104" s="65">
        <f ca="1">IF($C$4=Lookups!$D$40,SUM(INDIRECT("'Yr1'!"&amp;ADDRESS(ROW(K104),COLUMN(K104))),INDIRECT("'Yr2'!"&amp;ADDRESS(ROW(K104),COLUMN(K104))),INDIRECT("'Yr3'!"&amp;ADDRESS(ROW(K104),COLUMN(K104)))),
IF(K91=0,0,-PMT(INDEX(Lookups!$E$17:$G$17,MATCH($C$4,Lookups!$E$14:$G$14,0)),K91,SUMIFS('EE Inputs'!$J$9:$J$32,'EE Inputs'!$C$9:$C$32,$G$6,'EE Inputs'!$D$9:$D$32,$C$4,'EE Inputs'!$E$9:$E$32,$B104),0,1)))-K105</f>
        <v>188373.61705019276</v>
      </c>
      <c r="L104" s="65">
        <f ca="1">IF($C$4=Lookups!$D$40,SUM(INDIRECT("'Yr1'!"&amp;ADDRESS(ROW(L104),COLUMN(L104))),INDIRECT("'Yr2'!"&amp;ADDRESS(ROW(L104),COLUMN(L104))),INDIRECT("'Yr3'!"&amp;ADDRESS(ROW(L104),COLUMN(L104)))),
IF(L91=0,0,-PMT(INDEX(Lookups!$E$17:$G$17,MATCH($C$4,Lookups!$E$14:$G$14,0)),L91,SUMIFS('EE Inputs'!$J$9:$J$32,'EE Inputs'!$C$9:$C$32,$G$6,'EE Inputs'!$D$9:$D$32,$C$4,'EE Inputs'!$E$9:$E$32,$B104),0,1)))-L105</f>
        <v>188373.61705019276</v>
      </c>
      <c r="M104" s="65">
        <f ca="1">IF($C$4=Lookups!$D$40,SUM(INDIRECT("'Yr1'!"&amp;ADDRESS(ROW(M104),COLUMN(M104))),INDIRECT("'Yr2'!"&amp;ADDRESS(ROW(M104),COLUMN(M104))),INDIRECT("'Yr3'!"&amp;ADDRESS(ROW(M104),COLUMN(M104)))),
IF(M91=0,0,-PMT(INDEX(Lookups!$E$17:$G$17,MATCH($C$4,Lookups!$E$14:$G$14,0)),M91,SUMIFS('EE Inputs'!$J$9:$J$32,'EE Inputs'!$C$9:$C$32,$G$6,'EE Inputs'!$D$9:$D$32,$C$4,'EE Inputs'!$E$9:$E$32,$B104),0,1)))-M105</f>
        <v>188373.61705019276</v>
      </c>
      <c r="N104" s="65">
        <f ca="1">IF($C$4=Lookups!$D$40,SUM(INDIRECT("'Yr1'!"&amp;ADDRESS(ROW(N104),COLUMN(N104))),INDIRECT("'Yr2'!"&amp;ADDRESS(ROW(N104),COLUMN(N104))),INDIRECT("'Yr3'!"&amp;ADDRESS(ROW(N104),COLUMN(N104)))),
IF(N91=0,0,-PMT(INDEX(Lookups!$E$17:$G$17,MATCH($C$4,Lookups!$E$14:$G$14,0)),N91,SUMIFS('EE Inputs'!$J$9:$J$32,'EE Inputs'!$C$9:$C$32,$G$6,'EE Inputs'!$D$9:$D$32,$C$4,'EE Inputs'!$E$9:$E$32,$B104),0,1)))-N105</f>
        <v>188373.61705019276</v>
      </c>
      <c r="O104" s="65">
        <f ca="1">IF($C$4=Lookups!$D$40,SUM(INDIRECT("'Yr1'!"&amp;ADDRESS(ROW(O104),COLUMN(O104))),INDIRECT("'Yr2'!"&amp;ADDRESS(ROW(O104),COLUMN(O104))),INDIRECT("'Yr3'!"&amp;ADDRESS(ROW(O104),COLUMN(O104)))),
IF(O91=0,0,-PMT(INDEX(Lookups!$E$17:$G$17,MATCH($C$4,Lookups!$E$14:$G$14,0)),O91,SUMIFS('EE Inputs'!$J$9:$J$32,'EE Inputs'!$C$9:$C$32,$G$6,'EE Inputs'!$D$9:$D$32,$C$4,'EE Inputs'!$E$9:$E$32,$B104),0,1)))-O105</f>
        <v>188373.61705019276</v>
      </c>
      <c r="P104" s="65">
        <f ca="1">IF($C$4=Lookups!$D$40,SUM(INDIRECT("'Yr1'!"&amp;ADDRESS(ROW(P104),COLUMN(P104))),INDIRECT("'Yr2'!"&amp;ADDRESS(ROW(P104),COLUMN(P104))),INDIRECT("'Yr3'!"&amp;ADDRESS(ROW(P104),COLUMN(P104)))),
IF(P91=0,0,-PMT(INDEX(Lookups!$E$17:$G$17,MATCH($C$4,Lookups!$E$14:$G$14,0)),P91,SUMIFS('EE Inputs'!$J$9:$J$32,'EE Inputs'!$C$9:$C$32,$G$6,'EE Inputs'!$D$9:$D$32,$C$4,'EE Inputs'!$E$9:$E$32,$B104),0,1)))-P105</f>
        <v>188373.61705019276</v>
      </c>
      <c r="Q104" s="65">
        <f ca="1">IF($C$4=Lookups!$D$40,SUM(INDIRECT("'Yr1'!"&amp;ADDRESS(ROW(Q104),COLUMN(Q104))),INDIRECT("'Yr2'!"&amp;ADDRESS(ROW(Q104),COLUMN(Q104))),INDIRECT("'Yr3'!"&amp;ADDRESS(ROW(Q104),COLUMN(Q104)))),
IF(Q91=0,0,-PMT(INDEX(Lookups!$E$17:$G$17,MATCH($C$4,Lookups!$E$14:$G$14,0)),Q91,SUMIFS('EE Inputs'!$J$9:$J$32,'EE Inputs'!$C$9:$C$32,$G$6,'EE Inputs'!$D$9:$D$32,$C$4,'EE Inputs'!$E$9:$E$32,$B104),0,1)))-Q105</f>
        <v>188373.61705019276</v>
      </c>
      <c r="R104" s="65">
        <f ca="1">IF($C$4=Lookups!$D$40,SUM(INDIRECT("'Yr1'!"&amp;ADDRESS(ROW(R104),COLUMN(R104))),INDIRECT("'Yr2'!"&amp;ADDRESS(ROW(R104),COLUMN(R104))),INDIRECT("'Yr3'!"&amp;ADDRESS(ROW(R104),COLUMN(R104)))),
IF(R91=0,0,-PMT(INDEX(Lookups!$E$17:$G$17,MATCH($C$4,Lookups!$E$14:$G$14,0)),R91,SUMIFS('EE Inputs'!$J$9:$J$32,'EE Inputs'!$C$9:$C$32,$G$6,'EE Inputs'!$D$9:$D$32,$C$4,'EE Inputs'!$E$9:$E$32,$B104),0,1)))-R105</f>
        <v>188373.61705019276</v>
      </c>
      <c r="S104" s="65">
        <f ca="1">IF($C$4=Lookups!$D$40,SUM(INDIRECT("'Yr1'!"&amp;ADDRESS(ROW(S104),COLUMN(S104))),INDIRECT("'Yr2'!"&amp;ADDRESS(ROW(S104),COLUMN(S104))),INDIRECT("'Yr3'!"&amp;ADDRESS(ROW(S104),COLUMN(S104)))),
IF(S91=0,0,-PMT(INDEX(Lookups!$E$17:$G$17,MATCH($C$4,Lookups!$E$14:$G$14,0)),S91,SUMIFS('EE Inputs'!$J$9:$J$32,'EE Inputs'!$C$9:$C$32,$G$6,'EE Inputs'!$D$9:$D$32,$C$4,'EE Inputs'!$E$9:$E$32,$B104),0,1)))-S105</f>
        <v>188373.61705019276</v>
      </c>
      <c r="T104" s="65">
        <f ca="1">IF($C$4=Lookups!$D$40,SUM(INDIRECT("'Yr1'!"&amp;ADDRESS(ROW(T104),COLUMN(T104))),INDIRECT("'Yr2'!"&amp;ADDRESS(ROW(T104),COLUMN(T104))),INDIRECT("'Yr3'!"&amp;ADDRESS(ROW(T104),COLUMN(T104)))),
IF(T91=0,0,-PMT(INDEX(Lookups!$E$17:$G$17,MATCH($C$4,Lookups!$E$14:$G$14,0)),T91,SUMIFS('EE Inputs'!$J$9:$J$32,'EE Inputs'!$C$9:$C$32,$G$6,'EE Inputs'!$D$9:$D$32,$C$4,'EE Inputs'!$E$9:$E$32,$B104),0,1)))-T105</f>
        <v>188373.61705019276</v>
      </c>
      <c r="U104" s="65">
        <f ca="1">IF($C$4=Lookups!$D$40,SUM(INDIRECT("'Yr1'!"&amp;ADDRESS(ROW(U104),COLUMN(U104))),INDIRECT("'Yr2'!"&amp;ADDRESS(ROW(U104),COLUMN(U104))),INDIRECT("'Yr3'!"&amp;ADDRESS(ROW(U104),COLUMN(U104)))),
IF(U91=0,0,-PMT(INDEX(Lookups!$E$17:$G$17,MATCH($C$4,Lookups!$E$14:$G$14,0)),U91,SUMIFS('EE Inputs'!$J$9:$J$32,'EE Inputs'!$C$9:$C$32,$G$6,'EE Inputs'!$D$9:$D$32,$C$4,'EE Inputs'!$E$9:$E$32,$B104),0,1)))-U105</f>
        <v>188373.61705019276</v>
      </c>
      <c r="V104" s="65">
        <f ca="1">IF($C$4=Lookups!$D$40,SUM(INDIRECT("'Yr1'!"&amp;ADDRESS(ROW(V104),COLUMN(V104))),INDIRECT("'Yr2'!"&amp;ADDRESS(ROW(V104),COLUMN(V104))),INDIRECT("'Yr3'!"&amp;ADDRESS(ROW(V104),COLUMN(V104)))),
IF(V91=0,0,-PMT(INDEX(Lookups!$E$17:$G$17,MATCH($C$4,Lookups!$E$14:$G$14,0)),V91,SUMIFS('EE Inputs'!$J$9:$J$32,'EE Inputs'!$C$9:$C$32,$G$6,'EE Inputs'!$D$9:$D$32,$C$4,'EE Inputs'!$E$9:$E$32,$B104),0,1)))-V105</f>
        <v>188373.61705019276</v>
      </c>
      <c r="W104" s="65">
        <f ca="1">IF($C$4=Lookups!$D$40,SUM(INDIRECT("'Yr1'!"&amp;ADDRESS(ROW(W104),COLUMN(W104))),INDIRECT("'Yr2'!"&amp;ADDRESS(ROW(W104),COLUMN(W104))),INDIRECT("'Yr3'!"&amp;ADDRESS(ROW(W104),COLUMN(W104)))),
IF(W91=0,0,-PMT(INDEX(Lookups!$E$17:$G$17,MATCH($C$4,Lookups!$E$14:$G$14,0)),W91,SUMIFS('EE Inputs'!$J$9:$J$32,'EE Inputs'!$C$9:$C$32,$G$6,'EE Inputs'!$D$9:$D$32,$C$4,'EE Inputs'!$E$9:$E$32,$B104),0,1)))-W105</f>
        <v>188373.61705019276</v>
      </c>
      <c r="X104" s="65">
        <f ca="1">IF($C$4=Lookups!$D$40,SUM(INDIRECT("'Yr1'!"&amp;ADDRESS(ROW(X104),COLUMN(X104))),INDIRECT("'Yr2'!"&amp;ADDRESS(ROW(X104),COLUMN(X104))),INDIRECT("'Yr3'!"&amp;ADDRESS(ROW(X104),COLUMN(X104)))),
IF(X91=0,0,-PMT(INDEX(Lookups!$E$17:$G$17,MATCH($C$4,Lookups!$E$14:$G$14,0)),X91,SUMIFS('EE Inputs'!$J$9:$J$32,'EE Inputs'!$C$9:$C$32,$G$6,'EE Inputs'!$D$9:$D$32,$C$4,'EE Inputs'!$E$9:$E$32,$B104),0,1)))-X105</f>
        <v>188373.61705019276</v>
      </c>
      <c r="Y104" s="65">
        <f ca="1">IF($C$4=Lookups!$D$40,SUM(INDIRECT("'Yr1'!"&amp;ADDRESS(ROW(Y104),COLUMN(Y104))),INDIRECT("'Yr2'!"&amp;ADDRESS(ROW(Y104),COLUMN(Y104))),INDIRECT("'Yr3'!"&amp;ADDRESS(ROW(Y104),COLUMN(Y104)))),
IF(Y91=0,0,-PMT(INDEX(Lookups!$E$17:$G$17,MATCH($C$4,Lookups!$E$14:$G$14,0)),Y91,SUMIFS('EE Inputs'!$J$9:$J$32,'EE Inputs'!$C$9:$C$32,$G$6,'EE Inputs'!$D$9:$D$32,$C$4,'EE Inputs'!$E$9:$E$32,$B104),0,1)))-Y105</f>
        <v>188373.61705019276</v>
      </c>
      <c r="Z104" s="65">
        <f ca="1">IF($C$4=Lookups!$D$40,SUM(INDIRECT("'Yr1'!"&amp;ADDRESS(ROW(Z104),COLUMN(Z104))),INDIRECT("'Yr2'!"&amp;ADDRESS(ROW(Z104),COLUMN(Z104))),INDIRECT("'Yr3'!"&amp;ADDRESS(ROW(Z104),COLUMN(Z104)))),
IF(Z91=0,0,-PMT(INDEX(Lookups!$E$17:$G$17,MATCH($C$4,Lookups!$E$14:$G$14,0)),Z91,SUMIFS('EE Inputs'!$J$9:$J$32,'EE Inputs'!$C$9:$C$32,$G$6,'EE Inputs'!$D$9:$D$32,$C$4,'EE Inputs'!$E$9:$E$32,$B104),0,1)))-Z105</f>
        <v>188373.61705019276</v>
      </c>
      <c r="AA104" s="65">
        <f ca="1">IF($C$4=Lookups!$D$40,SUM(INDIRECT("'Yr1'!"&amp;ADDRESS(ROW(AA104),COLUMN(AA104))),INDIRECT("'Yr2'!"&amp;ADDRESS(ROW(AA104),COLUMN(AA104))),INDIRECT("'Yr3'!"&amp;ADDRESS(ROW(AA104),COLUMN(AA104)))),
IF(AA91=0,0,-PMT(INDEX(Lookups!$E$17:$G$17,MATCH($C$4,Lookups!$E$14:$G$14,0)),AA91,SUMIFS('EE Inputs'!$J$9:$J$32,'EE Inputs'!$C$9:$C$32,$G$6,'EE Inputs'!$D$9:$D$32,$C$4,'EE Inputs'!$E$9:$E$32,$B104),0,1)))-AA105</f>
        <v>127626.40251005227</v>
      </c>
      <c r="AB104" s="65">
        <f ca="1">IF($C$4=Lookups!$D$40,SUM(INDIRECT("'Yr1'!"&amp;ADDRESS(ROW(AB104),COLUMN(AB104))),INDIRECT("'Yr2'!"&amp;ADDRESS(ROW(AB104),COLUMN(AB104))),INDIRECT("'Yr3'!"&amp;ADDRESS(ROW(AB104),COLUMN(AB104)))),
IF(AB91=0,0,-PMT(INDEX(Lookups!$E$17:$G$17,MATCH($C$4,Lookups!$E$14:$G$14,0)),AB91,SUMIFS('EE Inputs'!$J$9:$J$32,'EE Inputs'!$C$9:$C$32,$G$6,'EE Inputs'!$D$9:$D$32,$C$4,'EE Inputs'!$E$9:$E$32,$B104),0,1)))-AB105</f>
        <v>65012.511957706498</v>
      </c>
      <c r="AC104" s="65">
        <f ca="1">IF($C$4=Lookups!$D$40,SUM(INDIRECT("'Yr1'!"&amp;ADDRESS(ROW(AC104),COLUMN(AC104))),INDIRECT("'Yr2'!"&amp;ADDRESS(ROW(AC104),COLUMN(AC104))),INDIRECT("'Yr3'!"&amp;ADDRESS(ROW(AC104),COLUMN(AC104)))),
IF(AC91=0,0,-PMT(INDEX(Lookups!$E$17:$G$17,MATCH($C$4,Lookups!$E$14:$G$14,0)),AC91,SUMIFS('EE Inputs'!$J$9:$J$32,'EE Inputs'!$C$9:$C$32,$G$6,'EE Inputs'!$D$9:$D$32,$C$4,'EE Inputs'!$E$9:$E$32,$B104),0,1)))-AC105</f>
        <v>0</v>
      </c>
      <c r="AD104" s="65">
        <f ca="1">IF($C$4=Lookups!$D$40,SUM(INDIRECT("'Yr1'!"&amp;ADDRESS(ROW(AD104),COLUMN(AD104))),INDIRECT("'Yr2'!"&amp;ADDRESS(ROW(AD104),COLUMN(AD104))),INDIRECT("'Yr3'!"&amp;ADDRESS(ROW(AD104),COLUMN(AD104)))),
IF(AD91=0,0,-PMT(INDEX(Lookups!$E$17:$G$17,MATCH($C$4,Lookups!$E$14:$G$14,0)),AD91,SUMIFS('EE Inputs'!$J$9:$J$32,'EE Inputs'!$C$9:$C$32,$G$6,'EE Inputs'!$D$9:$D$32,$C$4,'EE Inputs'!$E$9:$E$32,$B104),0,1)))-AD105</f>
        <v>0</v>
      </c>
      <c r="AE104" s="65">
        <f ca="1">IF($C$4=Lookups!$D$40,SUM(INDIRECT("'Yr1'!"&amp;ADDRESS(ROW(AE104),COLUMN(AE104))),INDIRECT("'Yr2'!"&amp;ADDRESS(ROW(AE104),COLUMN(AE104))),INDIRECT("'Yr3'!"&amp;ADDRESS(ROW(AE104),COLUMN(AE104)))),
IF(AE91=0,0,-PMT(INDEX(Lookups!$E$17:$G$17,MATCH($C$4,Lookups!$E$14:$G$14,0)),AE91,SUMIFS('EE Inputs'!$J$9:$J$32,'EE Inputs'!$C$9:$C$32,$G$6,'EE Inputs'!$D$9:$D$32,$C$4,'EE Inputs'!$E$9:$E$32,$B104),0,1)))-AE105</f>
        <v>0</v>
      </c>
      <c r="AF104" s="65">
        <f ca="1">IF($C$4=Lookups!$D$40,SUM(INDIRECT("'Yr1'!"&amp;ADDRESS(ROW(AF104),COLUMN(AF104))),INDIRECT("'Yr2'!"&amp;ADDRESS(ROW(AF104),COLUMN(AF104))),INDIRECT("'Yr3'!"&amp;ADDRESS(ROW(AF104),COLUMN(AF104)))),
IF(AF91=0,0,-PMT(INDEX(Lookups!$E$17:$G$17,MATCH($C$4,Lookups!$E$14:$G$14,0)),AF91,SUMIFS('EE Inputs'!$J$9:$J$32,'EE Inputs'!$C$9:$C$32,$G$6,'EE Inputs'!$D$9:$D$32,$C$4,'EE Inputs'!$E$9:$E$32,$B104),0,1)))-AF105</f>
        <v>0</v>
      </c>
      <c r="AG104" s="65">
        <f ca="1">IF($C$4=Lookups!$D$40,SUM(INDIRECT("'Yr1'!"&amp;ADDRESS(ROW(AG104),COLUMN(AG104))),INDIRECT("'Yr2'!"&amp;ADDRESS(ROW(AG104),COLUMN(AG104))),INDIRECT("'Yr3'!"&amp;ADDRESS(ROW(AG104),COLUMN(AG104)))),
IF(AG91=0,0,-PMT(INDEX(Lookups!$E$17:$G$17,MATCH($C$4,Lookups!$E$14:$G$14,0)),AG91,SUMIFS('EE Inputs'!$J$9:$J$32,'EE Inputs'!$C$9:$C$32,$G$6,'EE Inputs'!$D$9:$D$32,$C$4,'EE Inputs'!$E$9:$E$32,$B104),0,1)))-AG105</f>
        <v>0</v>
      </c>
      <c r="AH104" s="65"/>
      <c r="AI104" s="65">
        <f ca="1">NPV(Lookups!$E$17,G104:AG104)</f>
        <v>3215275.4065350294</v>
      </c>
      <c r="AJ104" s="65"/>
      <c r="AM104" s="72">
        <f ca="1">IF($C$4=Lookups!$D$40,SUM(INDIRECT("'Yr1'!"&amp;ADDRESS(ROW(AM104),COLUMN(AM104))),INDIRECT("'Yr2'!"&amp;ADDRESS(ROW(AM104),COLUMN(AM104))),INDIRECT("'Yr3'!"&amp;ADDRESS(ROW(AM104),COLUMN(AM104)))),
IF(AM91=0,0,-PMT(INDEX(Lookups!$E$17:$G$17,MATCH($C$4,Lookups!$E$14:$G$14,0)),AM91,SUMIFS('EE Inputs'!$J$9:$J$32,'EE Inputs'!$C$9:$C$32,$AM$6,'EE Inputs'!$D$9:$D$32,$C$4,'EE Inputs'!$E$9:$E$32,$B104),0,1)))-AM105</f>
        <v>69425.388045874861</v>
      </c>
      <c r="AN104" s="72">
        <f ca="1">IF($C$4=Lookups!$D$40,SUM(INDIRECT("'Yr1'!"&amp;ADDRESS(ROW(AN104),COLUMN(AN104))),INDIRECT("'Yr2'!"&amp;ADDRESS(ROW(AN104),COLUMN(AN104))),INDIRECT("'Yr3'!"&amp;ADDRESS(ROW(AN104),COLUMN(AN104)))),
IF(AN91=0,0,-PMT(INDEX(Lookups!$E$17:$G$17,MATCH($C$4,Lookups!$E$14:$G$14,0)),AN91,SUMIFS('EE Inputs'!$J$9:$J$32,'EE Inputs'!$C$9:$C$32,$AM$6,'EE Inputs'!$D$9:$D$32,$C$4,'EE Inputs'!$E$9:$E$32,$B104),0,1)))-AN105</f>
        <v>140984.12010569862</v>
      </c>
      <c r="AO104" s="72">
        <f ca="1">IF($C$4=Lookups!$D$40,SUM(INDIRECT("'Yr1'!"&amp;ADDRESS(ROW(AO104),COLUMN(AO104))),INDIRECT("'Yr2'!"&amp;ADDRESS(ROW(AO104),COLUMN(AO104))),INDIRECT("'Yr3'!"&amp;ADDRESS(ROW(AO104),COLUMN(AO104)))),
IF(AO91=0,0,-PMT(INDEX(Lookups!$E$17:$G$17,MATCH($C$4,Lookups!$E$14:$G$14,0)),AO91,SUMIFS('EE Inputs'!$J$9:$J$32,'EE Inputs'!$C$9:$C$32,$AM$6,'EE Inputs'!$D$9:$D$32,$C$4,'EE Inputs'!$E$9:$E$32,$B104),0,1)))-AO105</f>
        <v>215284.13377164892</v>
      </c>
      <c r="AP104" s="72">
        <f ca="1">IF($C$4=Lookups!$D$40,SUM(INDIRECT("'Yr1'!"&amp;ADDRESS(ROW(AP104),COLUMN(AP104))),INDIRECT("'Yr2'!"&amp;ADDRESS(ROW(AP104),COLUMN(AP104))),INDIRECT("'Yr3'!"&amp;ADDRESS(ROW(AP104),COLUMN(AP104)))),
IF(AP91=0,0,-PMT(INDEX(Lookups!$E$17:$G$17,MATCH($C$4,Lookups!$E$14:$G$14,0)),AP91,SUMIFS('EE Inputs'!$J$9:$J$32,'EE Inputs'!$C$9:$C$32,$AM$6,'EE Inputs'!$D$9:$D$32,$C$4,'EE Inputs'!$E$9:$E$32,$B104),0,1)))-AP105</f>
        <v>215284.13377164892</v>
      </c>
      <c r="AQ104" s="72">
        <f ca="1">IF($C$4=Lookups!$D$40,SUM(INDIRECT("'Yr1'!"&amp;ADDRESS(ROW(AQ104),COLUMN(AQ104))),INDIRECT("'Yr2'!"&amp;ADDRESS(ROW(AQ104),COLUMN(AQ104))),INDIRECT("'Yr3'!"&amp;ADDRESS(ROW(AQ104),COLUMN(AQ104)))),
IF(AQ91=0,0,-PMT(INDEX(Lookups!$E$17:$G$17,MATCH($C$4,Lookups!$E$14:$G$14,0)),AQ91,SUMIFS('EE Inputs'!$J$9:$J$32,'EE Inputs'!$C$9:$C$32,$AM$6,'EE Inputs'!$D$9:$D$32,$C$4,'EE Inputs'!$E$9:$E$32,$B104),0,1)))-AQ105</f>
        <v>215284.13377164892</v>
      </c>
      <c r="AR104" s="72">
        <f ca="1">IF($C$4=Lookups!$D$40,SUM(INDIRECT("'Yr1'!"&amp;ADDRESS(ROW(AR104),COLUMN(AR104))),INDIRECT("'Yr2'!"&amp;ADDRESS(ROW(AR104),COLUMN(AR104))),INDIRECT("'Yr3'!"&amp;ADDRESS(ROW(AR104),COLUMN(AR104)))),
IF(AR91=0,0,-PMT(INDEX(Lookups!$E$17:$G$17,MATCH($C$4,Lookups!$E$14:$G$14,0)),AR91,SUMIFS('EE Inputs'!$J$9:$J$32,'EE Inputs'!$C$9:$C$32,$AM$6,'EE Inputs'!$D$9:$D$32,$C$4,'EE Inputs'!$E$9:$E$32,$B104),0,1)))-AR105</f>
        <v>215284.13377164892</v>
      </c>
      <c r="AS104" s="72">
        <f ca="1">IF($C$4=Lookups!$D$40,SUM(INDIRECT("'Yr1'!"&amp;ADDRESS(ROW(AS104),COLUMN(AS104))),INDIRECT("'Yr2'!"&amp;ADDRESS(ROW(AS104),COLUMN(AS104))),INDIRECT("'Yr3'!"&amp;ADDRESS(ROW(AS104),COLUMN(AS104)))),
IF(AS91=0,0,-PMT(INDEX(Lookups!$E$17:$G$17,MATCH($C$4,Lookups!$E$14:$G$14,0)),AS91,SUMIFS('EE Inputs'!$J$9:$J$32,'EE Inputs'!$C$9:$C$32,$AM$6,'EE Inputs'!$D$9:$D$32,$C$4,'EE Inputs'!$E$9:$E$32,$B104),0,1)))-AS105</f>
        <v>215284.13377164892</v>
      </c>
      <c r="AT104" s="72">
        <f ca="1">IF($C$4=Lookups!$D$40,SUM(INDIRECT("'Yr1'!"&amp;ADDRESS(ROW(AT104),COLUMN(AT104))),INDIRECT("'Yr2'!"&amp;ADDRESS(ROW(AT104),COLUMN(AT104))),INDIRECT("'Yr3'!"&amp;ADDRESS(ROW(AT104),COLUMN(AT104)))),
IF(AT91=0,0,-PMT(INDEX(Lookups!$E$17:$G$17,MATCH($C$4,Lookups!$E$14:$G$14,0)),AT91,SUMIFS('EE Inputs'!$J$9:$J$32,'EE Inputs'!$C$9:$C$32,$AM$6,'EE Inputs'!$D$9:$D$32,$C$4,'EE Inputs'!$E$9:$E$32,$B104),0,1)))-AT105</f>
        <v>215284.13377164892</v>
      </c>
      <c r="AU104" s="72">
        <f ca="1">IF($C$4=Lookups!$D$40,SUM(INDIRECT("'Yr1'!"&amp;ADDRESS(ROW(AU104),COLUMN(AU104))),INDIRECT("'Yr2'!"&amp;ADDRESS(ROW(AU104),COLUMN(AU104))),INDIRECT("'Yr3'!"&amp;ADDRESS(ROW(AU104),COLUMN(AU104)))),
IF(AU91=0,0,-PMT(INDEX(Lookups!$E$17:$G$17,MATCH($C$4,Lookups!$E$14:$G$14,0)),AU91,SUMIFS('EE Inputs'!$J$9:$J$32,'EE Inputs'!$C$9:$C$32,$AM$6,'EE Inputs'!$D$9:$D$32,$C$4,'EE Inputs'!$E$9:$E$32,$B104),0,1)))-AU105</f>
        <v>215284.13377164892</v>
      </c>
      <c r="AV104" s="72">
        <f ca="1">IF($C$4=Lookups!$D$40,SUM(INDIRECT("'Yr1'!"&amp;ADDRESS(ROW(AV104),COLUMN(AV104))),INDIRECT("'Yr2'!"&amp;ADDRESS(ROW(AV104),COLUMN(AV104))),INDIRECT("'Yr3'!"&amp;ADDRESS(ROW(AV104),COLUMN(AV104)))),
IF(AV91=0,0,-PMT(INDEX(Lookups!$E$17:$G$17,MATCH($C$4,Lookups!$E$14:$G$14,0)),AV91,SUMIFS('EE Inputs'!$J$9:$J$32,'EE Inputs'!$C$9:$C$32,$AM$6,'EE Inputs'!$D$9:$D$32,$C$4,'EE Inputs'!$E$9:$E$32,$B104),0,1)))-AV105</f>
        <v>215284.13377164892</v>
      </c>
      <c r="AW104" s="72">
        <f ca="1">IF($C$4=Lookups!$D$40,SUM(INDIRECT("'Yr1'!"&amp;ADDRESS(ROW(AW104),COLUMN(AW104))),INDIRECT("'Yr2'!"&amp;ADDRESS(ROW(AW104),COLUMN(AW104))),INDIRECT("'Yr3'!"&amp;ADDRESS(ROW(AW104),COLUMN(AW104)))),
IF(AW91=0,0,-PMT(INDEX(Lookups!$E$17:$G$17,MATCH($C$4,Lookups!$E$14:$G$14,0)),AW91,SUMIFS('EE Inputs'!$J$9:$J$32,'EE Inputs'!$C$9:$C$32,$AM$6,'EE Inputs'!$D$9:$D$32,$C$4,'EE Inputs'!$E$9:$E$32,$B104),0,1)))-AW105</f>
        <v>215284.13377164892</v>
      </c>
      <c r="AX104" s="72">
        <f ca="1">IF($C$4=Lookups!$D$40,SUM(INDIRECT("'Yr1'!"&amp;ADDRESS(ROW(AX104),COLUMN(AX104))),INDIRECT("'Yr2'!"&amp;ADDRESS(ROW(AX104),COLUMN(AX104))),INDIRECT("'Yr3'!"&amp;ADDRESS(ROW(AX104),COLUMN(AX104)))),
IF(AX91=0,0,-PMT(INDEX(Lookups!$E$17:$G$17,MATCH($C$4,Lookups!$E$14:$G$14,0)),AX91,SUMIFS('EE Inputs'!$J$9:$J$32,'EE Inputs'!$C$9:$C$32,$AM$6,'EE Inputs'!$D$9:$D$32,$C$4,'EE Inputs'!$E$9:$E$32,$B104),0,1)))-AX105</f>
        <v>215284.13377164892</v>
      </c>
      <c r="AY104" s="72">
        <f ca="1">IF($C$4=Lookups!$D$40,SUM(INDIRECT("'Yr1'!"&amp;ADDRESS(ROW(AY104),COLUMN(AY104))),INDIRECT("'Yr2'!"&amp;ADDRESS(ROW(AY104),COLUMN(AY104))),INDIRECT("'Yr3'!"&amp;ADDRESS(ROW(AY104),COLUMN(AY104)))),
IF(AY91=0,0,-PMT(INDEX(Lookups!$E$17:$G$17,MATCH($C$4,Lookups!$E$14:$G$14,0)),AY91,SUMIFS('EE Inputs'!$J$9:$J$32,'EE Inputs'!$C$9:$C$32,$AM$6,'EE Inputs'!$D$9:$D$32,$C$4,'EE Inputs'!$E$9:$E$32,$B104),0,1)))-AY105</f>
        <v>215284.13377164892</v>
      </c>
      <c r="AZ104" s="72">
        <f ca="1">IF($C$4=Lookups!$D$40,SUM(INDIRECT("'Yr1'!"&amp;ADDRESS(ROW(AZ104),COLUMN(AZ104))),INDIRECT("'Yr2'!"&amp;ADDRESS(ROW(AZ104),COLUMN(AZ104))),INDIRECT("'Yr3'!"&amp;ADDRESS(ROW(AZ104),COLUMN(AZ104)))),
IF(AZ91=0,0,-PMT(INDEX(Lookups!$E$17:$G$17,MATCH($C$4,Lookups!$E$14:$G$14,0)),AZ91,SUMIFS('EE Inputs'!$J$9:$J$32,'EE Inputs'!$C$9:$C$32,$AM$6,'EE Inputs'!$D$9:$D$32,$C$4,'EE Inputs'!$E$9:$E$32,$B104),0,1)))-AZ105</f>
        <v>215284.13377164892</v>
      </c>
      <c r="BA104" s="72">
        <f ca="1">IF($C$4=Lookups!$D$40,SUM(INDIRECT("'Yr1'!"&amp;ADDRESS(ROW(BA104),COLUMN(BA104))),INDIRECT("'Yr2'!"&amp;ADDRESS(ROW(BA104),COLUMN(BA104))),INDIRECT("'Yr3'!"&amp;ADDRESS(ROW(BA104),COLUMN(BA104)))),
IF(BA91=0,0,-PMT(INDEX(Lookups!$E$17:$G$17,MATCH($C$4,Lookups!$E$14:$G$14,0)),BA91,SUMIFS('EE Inputs'!$J$9:$J$32,'EE Inputs'!$C$9:$C$32,$AM$6,'EE Inputs'!$D$9:$D$32,$C$4,'EE Inputs'!$E$9:$E$32,$B104),0,1)))-BA105</f>
        <v>215284.13377164892</v>
      </c>
      <c r="BB104" s="72">
        <f ca="1">IF($C$4=Lookups!$D$40,SUM(INDIRECT("'Yr1'!"&amp;ADDRESS(ROW(BB104),COLUMN(BB104))),INDIRECT("'Yr2'!"&amp;ADDRESS(ROW(BB104),COLUMN(BB104))),INDIRECT("'Yr3'!"&amp;ADDRESS(ROW(BB104),COLUMN(BB104)))),
IF(BB91=0,0,-PMT(INDEX(Lookups!$E$17:$G$17,MATCH($C$4,Lookups!$E$14:$G$14,0)),BB91,SUMIFS('EE Inputs'!$J$9:$J$32,'EE Inputs'!$C$9:$C$32,$AM$6,'EE Inputs'!$D$9:$D$32,$C$4,'EE Inputs'!$E$9:$E$32,$B104),0,1)))-BB105</f>
        <v>215284.13377164892</v>
      </c>
      <c r="BC104" s="72">
        <f ca="1">IF($C$4=Lookups!$D$40,SUM(INDIRECT("'Yr1'!"&amp;ADDRESS(ROW(BC104),COLUMN(BC104))),INDIRECT("'Yr2'!"&amp;ADDRESS(ROW(BC104),COLUMN(BC104))),INDIRECT("'Yr3'!"&amp;ADDRESS(ROW(BC104),COLUMN(BC104)))),
IF(BC91=0,0,-PMT(INDEX(Lookups!$E$17:$G$17,MATCH($C$4,Lookups!$E$14:$G$14,0)),BC91,SUMIFS('EE Inputs'!$J$9:$J$32,'EE Inputs'!$C$9:$C$32,$AM$6,'EE Inputs'!$D$9:$D$32,$C$4,'EE Inputs'!$E$9:$E$32,$B104),0,1)))-BC105</f>
        <v>215284.13377164892</v>
      </c>
      <c r="BD104" s="72">
        <f ca="1">IF($C$4=Lookups!$D$40,SUM(INDIRECT("'Yr1'!"&amp;ADDRESS(ROW(BD104),COLUMN(BD104))),INDIRECT("'Yr2'!"&amp;ADDRESS(ROW(BD104),COLUMN(BD104))),INDIRECT("'Yr3'!"&amp;ADDRESS(ROW(BD104),COLUMN(BD104)))),
IF(BD91=0,0,-PMT(INDEX(Lookups!$E$17:$G$17,MATCH($C$4,Lookups!$E$14:$G$14,0)),BD91,SUMIFS('EE Inputs'!$J$9:$J$32,'EE Inputs'!$C$9:$C$32,$AM$6,'EE Inputs'!$D$9:$D$32,$C$4,'EE Inputs'!$E$9:$E$32,$B104),0,1)))-BD105</f>
        <v>215284.13377164892</v>
      </c>
      <c r="BE104" s="72">
        <f ca="1">IF($C$4=Lookups!$D$40,SUM(INDIRECT("'Yr1'!"&amp;ADDRESS(ROW(BE104),COLUMN(BE104))),INDIRECT("'Yr2'!"&amp;ADDRESS(ROW(BE104),COLUMN(BE104))),INDIRECT("'Yr3'!"&amp;ADDRESS(ROW(BE104),COLUMN(BE104)))),
IF(BE91=0,0,-PMT(INDEX(Lookups!$E$17:$G$17,MATCH($C$4,Lookups!$E$14:$G$14,0)),BE91,SUMIFS('EE Inputs'!$J$9:$J$32,'EE Inputs'!$C$9:$C$32,$AM$6,'EE Inputs'!$D$9:$D$32,$C$4,'EE Inputs'!$E$9:$E$32,$B104),0,1)))-BE105</f>
        <v>215284.13377164892</v>
      </c>
      <c r="BF104" s="72">
        <f ca="1">IF($C$4=Lookups!$D$40,SUM(INDIRECT("'Yr1'!"&amp;ADDRESS(ROW(BF104),COLUMN(BF104))),INDIRECT("'Yr2'!"&amp;ADDRESS(ROW(BF104),COLUMN(BF104))),INDIRECT("'Yr3'!"&amp;ADDRESS(ROW(BF104),COLUMN(BF104)))),
IF(BF91=0,0,-PMT(INDEX(Lookups!$E$17:$G$17,MATCH($C$4,Lookups!$E$14:$G$14,0)),BF91,SUMIFS('EE Inputs'!$J$9:$J$32,'EE Inputs'!$C$9:$C$32,$AM$6,'EE Inputs'!$D$9:$D$32,$C$4,'EE Inputs'!$E$9:$E$32,$B104),0,1)))-BF105</f>
        <v>215284.13377164892</v>
      </c>
      <c r="BG104" s="72">
        <f ca="1">IF($C$4=Lookups!$D$40,SUM(INDIRECT("'Yr1'!"&amp;ADDRESS(ROW(BG104),COLUMN(BG104))),INDIRECT("'Yr2'!"&amp;ADDRESS(ROW(BG104),COLUMN(BG104))),INDIRECT("'Yr3'!"&amp;ADDRESS(ROW(BG104),COLUMN(BG104)))),
IF(BG91=0,0,-PMT(INDEX(Lookups!$E$17:$G$17,MATCH($C$4,Lookups!$E$14:$G$14,0)),BG91,SUMIFS('EE Inputs'!$J$9:$J$32,'EE Inputs'!$C$9:$C$32,$AM$6,'EE Inputs'!$D$9:$D$32,$C$4,'EE Inputs'!$E$9:$E$32,$B104),0,1)))-BG105</f>
        <v>145858.74572577403</v>
      </c>
      <c r="BH104" s="72">
        <f ca="1">IF($C$4=Lookups!$D$40,SUM(INDIRECT("'Yr1'!"&amp;ADDRESS(ROW(BH104),COLUMN(BH104))),INDIRECT("'Yr2'!"&amp;ADDRESS(ROW(BH104),COLUMN(BH104))),INDIRECT("'Yr3'!"&amp;ADDRESS(ROW(BH104),COLUMN(BH104)))),
IF(BH91=0,0,-PMT(INDEX(Lookups!$E$17:$G$17,MATCH($C$4,Lookups!$E$14:$G$14,0)),BH91,SUMIFS('EE Inputs'!$J$9:$J$32,'EE Inputs'!$C$9:$C$32,$AM$6,'EE Inputs'!$D$9:$D$32,$C$4,'EE Inputs'!$E$9:$E$32,$B104),0,1)))-BH105</f>
        <v>74300.013665950275</v>
      </c>
      <c r="BI104" s="72">
        <f ca="1">IF($C$4=Lookups!$D$40,SUM(INDIRECT("'Yr1'!"&amp;ADDRESS(ROW(BI104),COLUMN(BI104))),INDIRECT("'Yr2'!"&amp;ADDRESS(ROW(BI104),COLUMN(BI104))),INDIRECT("'Yr3'!"&amp;ADDRESS(ROW(BI104),COLUMN(BI104)))),
IF(BI91=0,0,-PMT(INDEX(Lookups!$E$17:$G$17,MATCH($C$4,Lookups!$E$14:$G$14,0)),BI91,SUMIFS('EE Inputs'!$J$9:$J$32,'EE Inputs'!$C$9:$C$32,$AM$6,'EE Inputs'!$D$9:$D$32,$C$4,'EE Inputs'!$E$9:$E$32,$B104),0,1)))-BI105</f>
        <v>0</v>
      </c>
      <c r="BJ104" s="72">
        <f ca="1">IF($C$4=Lookups!$D$40,SUM(INDIRECT("'Yr1'!"&amp;ADDRESS(ROW(BJ104),COLUMN(BJ104))),INDIRECT("'Yr2'!"&amp;ADDRESS(ROW(BJ104),COLUMN(BJ104))),INDIRECT("'Yr3'!"&amp;ADDRESS(ROW(BJ104),COLUMN(BJ104)))),
IF(BJ91=0,0,-PMT(INDEX(Lookups!$E$17:$G$17,MATCH($C$4,Lookups!$E$14:$G$14,0)),BJ91,SUMIFS('EE Inputs'!$J$9:$J$32,'EE Inputs'!$C$9:$C$32,$AM$6,'EE Inputs'!$D$9:$D$32,$C$4,'EE Inputs'!$E$9:$E$32,$B104),0,1)))-BJ105</f>
        <v>0</v>
      </c>
      <c r="BK104" s="72">
        <f ca="1">IF($C$4=Lookups!$D$40,SUM(INDIRECT("'Yr1'!"&amp;ADDRESS(ROW(BK104),COLUMN(BK104))),INDIRECT("'Yr2'!"&amp;ADDRESS(ROW(BK104),COLUMN(BK104))),INDIRECT("'Yr3'!"&amp;ADDRESS(ROW(BK104),COLUMN(BK104)))),
IF(BK91=0,0,-PMT(INDEX(Lookups!$E$17:$G$17,MATCH($C$4,Lookups!$E$14:$G$14,0)),BK91,SUMIFS('EE Inputs'!$J$9:$J$32,'EE Inputs'!$C$9:$C$32,$AM$6,'EE Inputs'!$D$9:$D$32,$C$4,'EE Inputs'!$E$9:$E$32,$B104),0,1)))-BK105</f>
        <v>0</v>
      </c>
      <c r="BL104" s="72">
        <f ca="1">IF($C$4=Lookups!$D$40,SUM(INDIRECT("'Yr1'!"&amp;ADDRESS(ROW(BL104),COLUMN(BL104))),INDIRECT("'Yr2'!"&amp;ADDRESS(ROW(BL104),COLUMN(BL104))),INDIRECT("'Yr3'!"&amp;ADDRESS(ROW(BL104),COLUMN(BL104)))),
IF(BL91=0,0,-PMT(INDEX(Lookups!$E$17:$G$17,MATCH($C$4,Lookups!$E$14:$G$14,0)),BL91,SUMIFS('EE Inputs'!$J$9:$J$32,'EE Inputs'!$C$9:$C$32,$AM$6,'EE Inputs'!$D$9:$D$32,$C$4,'EE Inputs'!$E$9:$E$32,$B104),0,1)))-BL105</f>
        <v>0</v>
      </c>
      <c r="BM104" s="72">
        <f ca="1">IF($C$4=Lookups!$D$40,SUM(INDIRECT("'Yr1'!"&amp;ADDRESS(ROW(BM104),COLUMN(BM104))),INDIRECT("'Yr2'!"&amp;ADDRESS(ROW(BM104),COLUMN(BM104))),INDIRECT("'Yr3'!"&amp;ADDRESS(ROW(BM104),COLUMN(BM104)))),
IF(BM91=0,0,-PMT(INDEX(Lookups!$E$17:$G$17,MATCH($C$4,Lookups!$E$14:$G$14,0)),BM91,SUMIFS('EE Inputs'!$J$9:$J$32,'EE Inputs'!$C$9:$C$32,$AM$6,'EE Inputs'!$D$9:$D$32,$C$4,'EE Inputs'!$E$9:$E$32,$B104),0,1)))-BM105</f>
        <v>0</v>
      </c>
      <c r="BN104" s="72"/>
      <c r="BO104" s="72">
        <f ca="1">NPV(Lookups!$E$17,AM104:BM104)</f>
        <v>3674600.4646114642</v>
      </c>
      <c r="BP104" s="72"/>
      <c r="BS104" s="84" t="str">
        <f>"Avoided "&amp;E104&amp;" costs, less the retail margin."</f>
        <v>Avoided Gas costs, less the retail margin.</v>
      </c>
      <c r="BT104" s="51" t="s">
        <v>17</v>
      </c>
    </row>
    <row r="105" spans="1:72" x14ac:dyDescent="0.25">
      <c r="A105" s="246"/>
      <c r="B105" s="243" t="str">
        <f t="shared" si="96"/>
        <v>Low-Income</v>
      </c>
      <c r="C105" s="243" t="str">
        <f t="shared" si="96"/>
        <v>Revenue Requirements</v>
      </c>
      <c r="D105" s="244" t="str">
        <f>D104</f>
        <v>Avoided Costs</v>
      </c>
      <c r="E105" s="84" t="s">
        <v>412</v>
      </c>
      <c r="F105" s="84" t="s">
        <v>32</v>
      </c>
      <c r="G105" s="65">
        <f ca="1">IF($C$4=Lookups!$D$40,SUM(INDIRECT("'Yr1'!"&amp;ADDRESS(ROW(G105),COLUMN(G105))),INDIRECT("'Yr2'!"&amp;ADDRESS(ROW(G105),COLUMN(G105))),INDIRECT("'Yr3'!"&amp;ADDRESS(ROW(G105),COLUMN(G105)))),
IF(G91=0,0,-PMT(INDEX(Lookups!$E$17:$G$17,MATCH($C$4,Lookups!$E$14:$G$14,0)),G91,SUMIFS('EE Inputs'!$W$9:$W$32,'EE Inputs'!$C$9:$C$32,$G$6,'EE Inputs'!$D$9:$D$32,$C$4,'EE Inputs'!$E$9:$E$32,$B105),0,1)))</f>
        <v>4141.8555368277603</v>
      </c>
      <c r="H105" s="65">
        <f ca="1">IF($C$4=Lookups!$D$40,SUM(INDIRECT("'Yr1'!"&amp;ADDRESS(ROW(H105),COLUMN(H105))),INDIRECT("'Yr2'!"&amp;ADDRESS(ROW(H105),COLUMN(H105))),INDIRECT("'Yr3'!"&amp;ADDRESS(ROW(H105),COLUMN(H105)))),
IF(H91=0,0,-PMT(INDEX(Lookups!$E$17:$G$17,MATCH($C$4,Lookups!$E$14:$G$14,0)),H91,SUMIFS('EE Inputs'!$W$9:$W$32,'EE Inputs'!$C$9:$C$32,$G$6,'EE Inputs'!$D$9:$D$32,$C$4,'EE Inputs'!$E$9:$E$32,$B105),0,1)))</f>
        <v>8410.9844381240637</v>
      </c>
      <c r="I105" s="65">
        <f ca="1">IF($C$4=Lookups!$D$40,SUM(INDIRECT("'Yr1'!"&amp;ADDRESS(ROW(I105),COLUMN(I105))),INDIRECT("'Yr2'!"&amp;ADDRESS(ROW(I105),COLUMN(I105))),INDIRECT("'Yr3'!"&amp;ADDRESS(ROW(I105),COLUMN(I105)))),
IF(I91=0,0,-PMT(INDEX(Lookups!$E$17:$G$17,MATCH($C$4,Lookups!$E$14:$G$14,0)),I91,SUMIFS('EE Inputs'!$W$9:$W$32,'EE Inputs'!$C$9:$C$32,$G$6,'EE Inputs'!$D$9:$D$32,$C$4,'EE Inputs'!$E$9:$E$32,$B105),0,1)))</f>
        <v>12843.65570796769</v>
      </c>
      <c r="J105" s="65">
        <f ca="1">IF($C$4=Lookups!$D$40,SUM(INDIRECT("'Yr1'!"&amp;ADDRESS(ROW(J105),COLUMN(J105))),INDIRECT("'Yr2'!"&amp;ADDRESS(ROW(J105),COLUMN(J105))),INDIRECT("'Yr3'!"&amp;ADDRESS(ROW(J105),COLUMN(J105)))),
IF(J91=0,0,-PMT(INDEX(Lookups!$E$17:$G$17,MATCH($C$4,Lookups!$E$14:$G$14,0)),J91,SUMIFS('EE Inputs'!$W$9:$W$32,'EE Inputs'!$C$9:$C$32,$G$6,'EE Inputs'!$D$9:$D$32,$C$4,'EE Inputs'!$E$9:$E$32,$B105),0,1)))</f>
        <v>12843.65570796769</v>
      </c>
      <c r="K105" s="65">
        <f ca="1">IF($C$4=Lookups!$D$40,SUM(INDIRECT("'Yr1'!"&amp;ADDRESS(ROW(K105),COLUMN(K105))),INDIRECT("'Yr2'!"&amp;ADDRESS(ROW(K105),COLUMN(K105))),INDIRECT("'Yr3'!"&amp;ADDRESS(ROW(K105),COLUMN(K105)))),
IF(K91=0,0,-PMT(INDEX(Lookups!$E$17:$G$17,MATCH($C$4,Lookups!$E$14:$G$14,0)),K91,SUMIFS('EE Inputs'!$W$9:$W$32,'EE Inputs'!$C$9:$C$32,$G$6,'EE Inputs'!$D$9:$D$32,$C$4,'EE Inputs'!$E$9:$E$32,$B105),0,1)))</f>
        <v>12843.65570796769</v>
      </c>
      <c r="L105" s="65">
        <f ca="1">IF($C$4=Lookups!$D$40,SUM(INDIRECT("'Yr1'!"&amp;ADDRESS(ROW(L105),COLUMN(L105))),INDIRECT("'Yr2'!"&amp;ADDRESS(ROW(L105),COLUMN(L105))),INDIRECT("'Yr3'!"&amp;ADDRESS(ROW(L105),COLUMN(L105)))),
IF(L91=0,0,-PMT(INDEX(Lookups!$E$17:$G$17,MATCH($C$4,Lookups!$E$14:$G$14,0)),L91,SUMIFS('EE Inputs'!$W$9:$W$32,'EE Inputs'!$C$9:$C$32,$G$6,'EE Inputs'!$D$9:$D$32,$C$4,'EE Inputs'!$E$9:$E$32,$B105),0,1)))</f>
        <v>12843.65570796769</v>
      </c>
      <c r="M105" s="65">
        <f ca="1">IF($C$4=Lookups!$D$40,SUM(INDIRECT("'Yr1'!"&amp;ADDRESS(ROW(M105),COLUMN(M105))),INDIRECT("'Yr2'!"&amp;ADDRESS(ROW(M105),COLUMN(M105))),INDIRECT("'Yr3'!"&amp;ADDRESS(ROW(M105),COLUMN(M105)))),
IF(M91=0,0,-PMT(INDEX(Lookups!$E$17:$G$17,MATCH($C$4,Lookups!$E$14:$G$14,0)),M91,SUMIFS('EE Inputs'!$W$9:$W$32,'EE Inputs'!$C$9:$C$32,$G$6,'EE Inputs'!$D$9:$D$32,$C$4,'EE Inputs'!$E$9:$E$32,$B105),0,1)))</f>
        <v>12843.65570796769</v>
      </c>
      <c r="N105" s="65">
        <f ca="1">IF($C$4=Lookups!$D$40,SUM(INDIRECT("'Yr1'!"&amp;ADDRESS(ROW(N105),COLUMN(N105))),INDIRECT("'Yr2'!"&amp;ADDRESS(ROW(N105),COLUMN(N105))),INDIRECT("'Yr3'!"&amp;ADDRESS(ROW(N105),COLUMN(N105)))),
IF(N91=0,0,-PMT(INDEX(Lookups!$E$17:$G$17,MATCH($C$4,Lookups!$E$14:$G$14,0)),N91,SUMIFS('EE Inputs'!$W$9:$W$32,'EE Inputs'!$C$9:$C$32,$G$6,'EE Inputs'!$D$9:$D$32,$C$4,'EE Inputs'!$E$9:$E$32,$B105),0,1)))</f>
        <v>12843.65570796769</v>
      </c>
      <c r="O105" s="65">
        <f ca="1">IF($C$4=Lookups!$D$40,SUM(INDIRECT("'Yr1'!"&amp;ADDRESS(ROW(O105),COLUMN(O105))),INDIRECT("'Yr2'!"&amp;ADDRESS(ROW(O105),COLUMN(O105))),INDIRECT("'Yr3'!"&amp;ADDRESS(ROW(O105),COLUMN(O105)))),
IF(O91=0,0,-PMT(INDEX(Lookups!$E$17:$G$17,MATCH($C$4,Lookups!$E$14:$G$14,0)),O91,SUMIFS('EE Inputs'!$W$9:$W$32,'EE Inputs'!$C$9:$C$32,$G$6,'EE Inputs'!$D$9:$D$32,$C$4,'EE Inputs'!$E$9:$E$32,$B105),0,1)))</f>
        <v>12843.65570796769</v>
      </c>
      <c r="P105" s="65">
        <f ca="1">IF($C$4=Lookups!$D$40,SUM(INDIRECT("'Yr1'!"&amp;ADDRESS(ROW(P105),COLUMN(P105))),INDIRECT("'Yr2'!"&amp;ADDRESS(ROW(P105),COLUMN(P105))),INDIRECT("'Yr3'!"&amp;ADDRESS(ROW(P105),COLUMN(P105)))),
IF(P91=0,0,-PMT(INDEX(Lookups!$E$17:$G$17,MATCH($C$4,Lookups!$E$14:$G$14,0)),P91,SUMIFS('EE Inputs'!$W$9:$W$32,'EE Inputs'!$C$9:$C$32,$G$6,'EE Inputs'!$D$9:$D$32,$C$4,'EE Inputs'!$E$9:$E$32,$B105),0,1)))</f>
        <v>12843.65570796769</v>
      </c>
      <c r="Q105" s="65">
        <f ca="1">IF($C$4=Lookups!$D$40,SUM(INDIRECT("'Yr1'!"&amp;ADDRESS(ROW(Q105),COLUMN(Q105))),INDIRECT("'Yr2'!"&amp;ADDRESS(ROW(Q105),COLUMN(Q105))),INDIRECT("'Yr3'!"&amp;ADDRESS(ROW(Q105),COLUMN(Q105)))),
IF(Q91=0,0,-PMT(INDEX(Lookups!$E$17:$G$17,MATCH($C$4,Lookups!$E$14:$G$14,0)),Q91,SUMIFS('EE Inputs'!$W$9:$W$32,'EE Inputs'!$C$9:$C$32,$G$6,'EE Inputs'!$D$9:$D$32,$C$4,'EE Inputs'!$E$9:$E$32,$B105),0,1)))</f>
        <v>12843.65570796769</v>
      </c>
      <c r="R105" s="65">
        <f ca="1">IF($C$4=Lookups!$D$40,SUM(INDIRECT("'Yr1'!"&amp;ADDRESS(ROW(R105),COLUMN(R105))),INDIRECT("'Yr2'!"&amp;ADDRESS(ROW(R105),COLUMN(R105))),INDIRECT("'Yr3'!"&amp;ADDRESS(ROW(R105),COLUMN(R105)))),
IF(R91=0,0,-PMT(INDEX(Lookups!$E$17:$G$17,MATCH($C$4,Lookups!$E$14:$G$14,0)),R91,SUMIFS('EE Inputs'!$W$9:$W$32,'EE Inputs'!$C$9:$C$32,$G$6,'EE Inputs'!$D$9:$D$32,$C$4,'EE Inputs'!$E$9:$E$32,$B105),0,1)))</f>
        <v>12843.65570796769</v>
      </c>
      <c r="S105" s="65">
        <f ca="1">IF($C$4=Lookups!$D$40,SUM(INDIRECT("'Yr1'!"&amp;ADDRESS(ROW(S105),COLUMN(S105))),INDIRECT("'Yr2'!"&amp;ADDRESS(ROW(S105),COLUMN(S105))),INDIRECT("'Yr3'!"&amp;ADDRESS(ROW(S105),COLUMN(S105)))),
IF(S91=0,0,-PMT(INDEX(Lookups!$E$17:$G$17,MATCH($C$4,Lookups!$E$14:$G$14,0)),S91,SUMIFS('EE Inputs'!$W$9:$W$32,'EE Inputs'!$C$9:$C$32,$G$6,'EE Inputs'!$D$9:$D$32,$C$4,'EE Inputs'!$E$9:$E$32,$B105),0,1)))</f>
        <v>12843.65570796769</v>
      </c>
      <c r="T105" s="65">
        <f ca="1">IF($C$4=Lookups!$D$40,SUM(INDIRECT("'Yr1'!"&amp;ADDRESS(ROW(T105),COLUMN(T105))),INDIRECT("'Yr2'!"&amp;ADDRESS(ROW(T105),COLUMN(T105))),INDIRECT("'Yr3'!"&amp;ADDRESS(ROW(T105),COLUMN(T105)))),
IF(T91=0,0,-PMT(INDEX(Lookups!$E$17:$G$17,MATCH($C$4,Lookups!$E$14:$G$14,0)),T91,SUMIFS('EE Inputs'!$W$9:$W$32,'EE Inputs'!$C$9:$C$32,$G$6,'EE Inputs'!$D$9:$D$32,$C$4,'EE Inputs'!$E$9:$E$32,$B105),0,1)))</f>
        <v>12843.65570796769</v>
      </c>
      <c r="U105" s="65">
        <f ca="1">IF($C$4=Lookups!$D$40,SUM(INDIRECT("'Yr1'!"&amp;ADDRESS(ROW(U105),COLUMN(U105))),INDIRECT("'Yr2'!"&amp;ADDRESS(ROW(U105),COLUMN(U105))),INDIRECT("'Yr3'!"&amp;ADDRESS(ROW(U105),COLUMN(U105)))),
IF(U91=0,0,-PMT(INDEX(Lookups!$E$17:$G$17,MATCH($C$4,Lookups!$E$14:$G$14,0)),U91,SUMIFS('EE Inputs'!$W$9:$W$32,'EE Inputs'!$C$9:$C$32,$G$6,'EE Inputs'!$D$9:$D$32,$C$4,'EE Inputs'!$E$9:$E$32,$B105),0,1)))</f>
        <v>12843.65570796769</v>
      </c>
      <c r="V105" s="65">
        <f ca="1">IF($C$4=Lookups!$D$40,SUM(INDIRECT("'Yr1'!"&amp;ADDRESS(ROW(V105),COLUMN(V105))),INDIRECT("'Yr2'!"&amp;ADDRESS(ROW(V105),COLUMN(V105))),INDIRECT("'Yr3'!"&amp;ADDRESS(ROW(V105),COLUMN(V105)))),
IF(V91=0,0,-PMT(INDEX(Lookups!$E$17:$G$17,MATCH($C$4,Lookups!$E$14:$G$14,0)),V91,SUMIFS('EE Inputs'!$W$9:$W$32,'EE Inputs'!$C$9:$C$32,$G$6,'EE Inputs'!$D$9:$D$32,$C$4,'EE Inputs'!$E$9:$E$32,$B105),0,1)))</f>
        <v>12843.65570796769</v>
      </c>
      <c r="W105" s="65">
        <f ca="1">IF($C$4=Lookups!$D$40,SUM(INDIRECT("'Yr1'!"&amp;ADDRESS(ROW(W105),COLUMN(W105))),INDIRECT("'Yr2'!"&amp;ADDRESS(ROW(W105),COLUMN(W105))),INDIRECT("'Yr3'!"&amp;ADDRESS(ROW(W105),COLUMN(W105)))),
IF(W91=0,0,-PMT(INDEX(Lookups!$E$17:$G$17,MATCH($C$4,Lookups!$E$14:$G$14,0)),W91,SUMIFS('EE Inputs'!$W$9:$W$32,'EE Inputs'!$C$9:$C$32,$G$6,'EE Inputs'!$D$9:$D$32,$C$4,'EE Inputs'!$E$9:$E$32,$B105),0,1)))</f>
        <v>12843.65570796769</v>
      </c>
      <c r="X105" s="65">
        <f ca="1">IF($C$4=Lookups!$D$40,SUM(INDIRECT("'Yr1'!"&amp;ADDRESS(ROW(X105),COLUMN(X105))),INDIRECT("'Yr2'!"&amp;ADDRESS(ROW(X105),COLUMN(X105))),INDIRECT("'Yr3'!"&amp;ADDRESS(ROW(X105),COLUMN(X105)))),
IF(X91=0,0,-PMT(INDEX(Lookups!$E$17:$G$17,MATCH($C$4,Lookups!$E$14:$G$14,0)),X91,SUMIFS('EE Inputs'!$W$9:$W$32,'EE Inputs'!$C$9:$C$32,$G$6,'EE Inputs'!$D$9:$D$32,$C$4,'EE Inputs'!$E$9:$E$32,$B105),0,1)))</f>
        <v>12843.65570796769</v>
      </c>
      <c r="Y105" s="65">
        <f ca="1">IF($C$4=Lookups!$D$40,SUM(INDIRECT("'Yr1'!"&amp;ADDRESS(ROW(Y105),COLUMN(Y105))),INDIRECT("'Yr2'!"&amp;ADDRESS(ROW(Y105),COLUMN(Y105))),INDIRECT("'Yr3'!"&amp;ADDRESS(ROW(Y105),COLUMN(Y105)))),
IF(Y91=0,0,-PMT(INDEX(Lookups!$E$17:$G$17,MATCH($C$4,Lookups!$E$14:$G$14,0)),Y91,SUMIFS('EE Inputs'!$W$9:$W$32,'EE Inputs'!$C$9:$C$32,$G$6,'EE Inputs'!$D$9:$D$32,$C$4,'EE Inputs'!$E$9:$E$32,$B105),0,1)))</f>
        <v>12843.65570796769</v>
      </c>
      <c r="Z105" s="65">
        <f ca="1">IF($C$4=Lookups!$D$40,SUM(INDIRECT("'Yr1'!"&amp;ADDRESS(ROW(Z105),COLUMN(Z105))),INDIRECT("'Yr2'!"&amp;ADDRESS(ROW(Z105),COLUMN(Z105))),INDIRECT("'Yr3'!"&amp;ADDRESS(ROW(Z105),COLUMN(Z105)))),
IF(Z91=0,0,-PMT(INDEX(Lookups!$E$17:$G$17,MATCH($C$4,Lookups!$E$14:$G$14,0)),Z91,SUMIFS('EE Inputs'!$W$9:$W$32,'EE Inputs'!$C$9:$C$32,$G$6,'EE Inputs'!$D$9:$D$32,$C$4,'EE Inputs'!$E$9:$E$32,$B105),0,1)))</f>
        <v>12843.65570796769</v>
      </c>
      <c r="AA105" s="65">
        <f ca="1">IF($C$4=Lookups!$D$40,SUM(INDIRECT("'Yr1'!"&amp;ADDRESS(ROW(AA105),COLUMN(AA105))),INDIRECT("'Yr2'!"&amp;ADDRESS(ROW(AA105),COLUMN(AA105))),INDIRECT("'Yr3'!"&amp;ADDRESS(ROW(AA105),COLUMN(AA105)))),
IF(AA91=0,0,-PMT(INDEX(Lookups!$E$17:$G$17,MATCH($C$4,Lookups!$E$14:$G$14,0)),AA91,SUMIFS('EE Inputs'!$W$9:$W$32,'EE Inputs'!$C$9:$C$32,$G$6,'EE Inputs'!$D$9:$D$32,$C$4,'EE Inputs'!$E$9:$E$32,$B105),0,1)))</f>
        <v>8701.8001711399302</v>
      </c>
      <c r="AB105" s="65">
        <f ca="1">IF($C$4=Lookups!$D$40,SUM(INDIRECT("'Yr1'!"&amp;ADDRESS(ROW(AB105),COLUMN(AB105))),INDIRECT("'Yr2'!"&amp;ADDRESS(ROW(AB105),COLUMN(AB105))),INDIRECT("'Yr3'!"&amp;ADDRESS(ROW(AB105),COLUMN(AB105)))),
IF(AB91=0,0,-PMT(INDEX(Lookups!$E$17:$G$17,MATCH($C$4,Lookups!$E$14:$G$14,0)),AB91,SUMIFS('EE Inputs'!$W$9:$W$32,'EE Inputs'!$C$9:$C$32,$G$6,'EE Inputs'!$D$9:$D$32,$C$4,'EE Inputs'!$E$9:$E$32,$B105),0,1)))</f>
        <v>4432.6712698436259</v>
      </c>
      <c r="AC105" s="65">
        <f ca="1">IF($C$4=Lookups!$D$40,SUM(INDIRECT("'Yr1'!"&amp;ADDRESS(ROW(AC105),COLUMN(AC105))),INDIRECT("'Yr2'!"&amp;ADDRESS(ROW(AC105),COLUMN(AC105))),INDIRECT("'Yr3'!"&amp;ADDRESS(ROW(AC105),COLUMN(AC105)))),
IF(AC91=0,0,-PMT(INDEX(Lookups!$E$17:$G$17,MATCH($C$4,Lookups!$E$14:$G$14,0)),AC91,SUMIFS('EE Inputs'!$W$9:$W$32,'EE Inputs'!$C$9:$C$32,$G$6,'EE Inputs'!$D$9:$D$32,$C$4,'EE Inputs'!$E$9:$E$32,$B105),0,1)))</f>
        <v>0</v>
      </c>
      <c r="AD105" s="65">
        <f ca="1">IF($C$4=Lookups!$D$40,SUM(INDIRECT("'Yr1'!"&amp;ADDRESS(ROW(AD105),COLUMN(AD105))),INDIRECT("'Yr2'!"&amp;ADDRESS(ROW(AD105),COLUMN(AD105))),INDIRECT("'Yr3'!"&amp;ADDRESS(ROW(AD105),COLUMN(AD105)))),
IF(AD91=0,0,-PMT(INDEX(Lookups!$E$17:$G$17,MATCH($C$4,Lookups!$E$14:$G$14,0)),AD91,SUMIFS('EE Inputs'!$W$9:$W$32,'EE Inputs'!$C$9:$C$32,$G$6,'EE Inputs'!$D$9:$D$32,$C$4,'EE Inputs'!$E$9:$E$32,$B105),0,1)))</f>
        <v>0</v>
      </c>
      <c r="AE105" s="65">
        <f ca="1">IF($C$4=Lookups!$D$40,SUM(INDIRECT("'Yr1'!"&amp;ADDRESS(ROW(AE105),COLUMN(AE105))),INDIRECT("'Yr2'!"&amp;ADDRESS(ROW(AE105),COLUMN(AE105))),INDIRECT("'Yr3'!"&amp;ADDRESS(ROW(AE105),COLUMN(AE105)))),
IF(AE91=0,0,-PMT(INDEX(Lookups!$E$17:$G$17,MATCH($C$4,Lookups!$E$14:$G$14,0)),AE91,SUMIFS('EE Inputs'!$W$9:$W$32,'EE Inputs'!$C$9:$C$32,$G$6,'EE Inputs'!$D$9:$D$32,$C$4,'EE Inputs'!$E$9:$E$32,$B105),0,1)))</f>
        <v>0</v>
      </c>
      <c r="AF105" s="65">
        <f ca="1">IF($C$4=Lookups!$D$40,SUM(INDIRECT("'Yr1'!"&amp;ADDRESS(ROW(AF105),COLUMN(AF105))),INDIRECT("'Yr2'!"&amp;ADDRESS(ROW(AF105),COLUMN(AF105))),INDIRECT("'Yr3'!"&amp;ADDRESS(ROW(AF105),COLUMN(AF105)))),
IF(AF91=0,0,-PMT(INDEX(Lookups!$E$17:$G$17,MATCH($C$4,Lookups!$E$14:$G$14,0)),AF91,SUMIFS('EE Inputs'!$W$9:$W$32,'EE Inputs'!$C$9:$C$32,$G$6,'EE Inputs'!$D$9:$D$32,$C$4,'EE Inputs'!$E$9:$E$32,$B105),0,1)))</f>
        <v>0</v>
      </c>
      <c r="AG105" s="65">
        <f ca="1">IF($C$4=Lookups!$D$40,SUM(INDIRECT("'Yr1'!"&amp;ADDRESS(ROW(AG105),COLUMN(AG105))),INDIRECT("'Yr2'!"&amp;ADDRESS(ROW(AG105),COLUMN(AG105))),INDIRECT("'Yr3'!"&amp;ADDRESS(ROW(AG105),COLUMN(AG105)))),
IF(AG91=0,0,-PMT(INDEX(Lookups!$E$17:$G$17,MATCH($C$4,Lookups!$E$14:$G$14,0)),AG91,SUMIFS('EE Inputs'!$W$9:$W$32,'EE Inputs'!$C$9:$C$32,$G$6,'EE Inputs'!$D$9:$D$32,$C$4,'EE Inputs'!$E$9:$E$32,$B105),0,1)))</f>
        <v>0</v>
      </c>
      <c r="AH105" s="65"/>
      <c r="AI105" s="65">
        <f ca="1">NPV(Lookups!$E$17,G105:AG105)</f>
        <v>219223.323172843</v>
      </c>
      <c r="AJ105" s="65"/>
      <c r="AM105" s="72">
        <f ca="1">IF($C$4=Lookups!$D$40,SUM(INDIRECT("'Yr1'!"&amp;ADDRESS(ROW(AM105),COLUMN(AM105))),INDIRECT("'Yr2'!"&amp;ADDRESS(ROW(AM105),COLUMN(AM105))),INDIRECT("'Yr3'!"&amp;ADDRESS(ROW(AM105),COLUMN(AM105)))),
IF(AM91=0,0,-PMT(INDEX(Lookups!$E$17:$G$17,MATCH($C$4,Lookups!$E$14:$G$14,0)),AM91,SUMIFS('EE Inputs'!$W$9:$W$32,'EE Inputs'!$C$9:$C$32,$AM$6,'EE Inputs'!$D$9:$D$32,$C$4,'EE Inputs'!$E$9:$E$32,$B105),0,1)))</f>
        <v>4733.5491849460122</v>
      </c>
      <c r="AN105" s="72">
        <f ca="1">IF($C$4=Lookups!$D$40,SUM(INDIRECT("'Yr1'!"&amp;ADDRESS(ROW(AN105),COLUMN(AN105))),INDIRECT("'Yr2'!"&amp;ADDRESS(ROW(AN105),COLUMN(AN105))),INDIRECT("'Yr3'!"&amp;ADDRESS(ROW(AN105),COLUMN(AN105)))),
IF(AN91=0,0,-PMT(INDEX(Lookups!$E$17:$G$17,MATCH($C$4,Lookups!$E$14:$G$14,0)),AN91,SUMIFS('EE Inputs'!$W$9:$W$32,'EE Inputs'!$C$9:$C$32,$AM$6,'EE Inputs'!$D$9:$D$32,$C$4,'EE Inputs'!$E$9:$E$32,$B105),0,1)))</f>
        <v>9612.553643570358</v>
      </c>
      <c r="AO105" s="72">
        <f ca="1">IF($C$4=Lookups!$D$40,SUM(INDIRECT("'Yr1'!"&amp;ADDRESS(ROW(AO105),COLUMN(AO105))),INDIRECT("'Yr2'!"&amp;ADDRESS(ROW(AO105),COLUMN(AO105))),INDIRECT("'Yr3'!"&amp;ADDRESS(ROW(AO105),COLUMN(AO105)))),
IF(AO91=0,0,-PMT(INDEX(Lookups!$E$17:$G$17,MATCH($C$4,Lookups!$E$14:$G$14,0)),AO91,SUMIFS('EE Inputs'!$W$9:$W$32,'EE Inputs'!$C$9:$C$32,$AM$6,'EE Inputs'!$D$9:$D$32,$C$4,'EE Inputs'!$E$9:$E$32,$B105),0,1)))</f>
        <v>14678.463666248786</v>
      </c>
      <c r="AP105" s="72">
        <f ca="1">IF($C$4=Lookups!$D$40,SUM(INDIRECT("'Yr1'!"&amp;ADDRESS(ROW(AP105),COLUMN(AP105))),INDIRECT("'Yr2'!"&amp;ADDRESS(ROW(AP105),COLUMN(AP105))),INDIRECT("'Yr3'!"&amp;ADDRESS(ROW(AP105),COLUMN(AP105)))),
IF(AP91=0,0,-PMT(INDEX(Lookups!$E$17:$G$17,MATCH($C$4,Lookups!$E$14:$G$14,0)),AP91,SUMIFS('EE Inputs'!$W$9:$W$32,'EE Inputs'!$C$9:$C$32,$AM$6,'EE Inputs'!$D$9:$D$32,$C$4,'EE Inputs'!$E$9:$E$32,$B105),0,1)))</f>
        <v>14678.463666248786</v>
      </c>
      <c r="AQ105" s="72">
        <f ca="1">IF($C$4=Lookups!$D$40,SUM(INDIRECT("'Yr1'!"&amp;ADDRESS(ROW(AQ105),COLUMN(AQ105))),INDIRECT("'Yr2'!"&amp;ADDRESS(ROW(AQ105),COLUMN(AQ105))),INDIRECT("'Yr3'!"&amp;ADDRESS(ROW(AQ105),COLUMN(AQ105)))),
IF(AQ91=0,0,-PMT(INDEX(Lookups!$E$17:$G$17,MATCH($C$4,Lookups!$E$14:$G$14,0)),AQ91,SUMIFS('EE Inputs'!$W$9:$W$32,'EE Inputs'!$C$9:$C$32,$AM$6,'EE Inputs'!$D$9:$D$32,$C$4,'EE Inputs'!$E$9:$E$32,$B105),0,1)))</f>
        <v>14678.463666248786</v>
      </c>
      <c r="AR105" s="72">
        <f ca="1">IF($C$4=Lookups!$D$40,SUM(INDIRECT("'Yr1'!"&amp;ADDRESS(ROW(AR105),COLUMN(AR105))),INDIRECT("'Yr2'!"&amp;ADDRESS(ROW(AR105),COLUMN(AR105))),INDIRECT("'Yr3'!"&amp;ADDRESS(ROW(AR105),COLUMN(AR105)))),
IF(AR91=0,0,-PMT(INDEX(Lookups!$E$17:$G$17,MATCH($C$4,Lookups!$E$14:$G$14,0)),AR91,SUMIFS('EE Inputs'!$W$9:$W$32,'EE Inputs'!$C$9:$C$32,$AM$6,'EE Inputs'!$D$9:$D$32,$C$4,'EE Inputs'!$E$9:$E$32,$B105),0,1)))</f>
        <v>14678.463666248786</v>
      </c>
      <c r="AS105" s="72">
        <f ca="1">IF($C$4=Lookups!$D$40,SUM(INDIRECT("'Yr1'!"&amp;ADDRESS(ROW(AS105),COLUMN(AS105))),INDIRECT("'Yr2'!"&amp;ADDRESS(ROW(AS105),COLUMN(AS105))),INDIRECT("'Yr3'!"&amp;ADDRESS(ROW(AS105),COLUMN(AS105)))),
IF(AS91=0,0,-PMT(INDEX(Lookups!$E$17:$G$17,MATCH($C$4,Lookups!$E$14:$G$14,0)),AS91,SUMIFS('EE Inputs'!$W$9:$W$32,'EE Inputs'!$C$9:$C$32,$AM$6,'EE Inputs'!$D$9:$D$32,$C$4,'EE Inputs'!$E$9:$E$32,$B105),0,1)))</f>
        <v>14678.463666248786</v>
      </c>
      <c r="AT105" s="72">
        <f ca="1">IF($C$4=Lookups!$D$40,SUM(INDIRECT("'Yr1'!"&amp;ADDRESS(ROW(AT105),COLUMN(AT105))),INDIRECT("'Yr2'!"&amp;ADDRESS(ROW(AT105),COLUMN(AT105))),INDIRECT("'Yr3'!"&amp;ADDRESS(ROW(AT105),COLUMN(AT105)))),
IF(AT91=0,0,-PMT(INDEX(Lookups!$E$17:$G$17,MATCH($C$4,Lookups!$E$14:$G$14,0)),AT91,SUMIFS('EE Inputs'!$W$9:$W$32,'EE Inputs'!$C$9:$C$32,$AM$6,'EE Inputs'!$D$9:$D$32,$C$4,'EE Inputs'!$E$9:$E$32,$B105),0,1)))</f>
        <v>14678.463666248786</v>
      </c>
      <c r="AU105" s="72">
        <f ca="1">IF($C$4=Lookups!$D$40,SUM(INDIRECT("'Yr1'!"&amp;ADDRESS(ROW(AU105),COLUMN(AU105))),INDIRECT("'Yr2'!"&amp;ADDRESS(ROW(AU105),COLUMN(AU105))),INDIRECT("'Yr3'!"&amp;ADDRESS(ROW(AU105),COLUMN(AU105)))),
IF(AU91=0,0,-PMT(INDEX(Lookups!$E$17:$G$17,MATCH($C$4,Lookups!$E$14:$G$14,0)),AU91,SUMIFS('EE Inputs'!$W$9:$W$32,'EE Inputs'!$C$9:$C$32,$AM$6,'EE Inputs'!$D$9:$D$32,$C$4,'EE Inputs'!$E$9:$E$32,$B105),0,1)))</f>
        <v>14678.463666248786</v>
      </c>
      <c r="AV105" s="72">
        <f ca="1">IF($C$4=Lookups!$D$40,SUM(INDIRECT("'Yr1'!"&amp;ADDRESS(ROW(AV105),COLUMN(AV105))),INDIRECT("'Yr2'!"&amp;ADDRESS(ROW(AV105),COLUMN(AV105))),INDIRECT("'Yr3'!"&amp;ADDRESS(ROW(AV105),COLUMN(AV105)))),
IF(AV91=0,0,-PMT(INDEX(Lookups!$E$17:$G$17,MATCH($C$4,Lookups!$E$14:$G$14,0)),AV91,SUMIFS('EE Inputs'!$W$9:$W$32,'EE Inputs'!$C$9:$C$32,$AM$6,'EE Inputs'!$D$9:$D$32,$C$4,'EE Inputs'!$E$9:$E$32,$B105),0,1)))</f>
        <v>14678.463666248786</v>
      </c>
      <c r="AW105" s="72">
        <f ca="1">IF($C$4=Lookups!$D$40,SUM(INDIRECT("'Yr1'!"&amp;ADDRESS(ROW(AW105),COLUMN(AW105))),INDIRECT("'Yr2'!"&amp;ADDRESS(ROW(AW105),COLUMN(AW105))),INDIRECT("'Yr3'!"&amp;ADDRESS(ROW(AW105),COLUMN(AW105)))),
IF(AW91=0,0,-PMT(INDEX(Lookups!$E$17:$G$17,MATCH($C$4,Lookups!$E$14:$G$14,0)),AW91,SUMIFS('EE Inputs'!$W$9:$W$32,'EE Inputs'!$C$9:$C$32,$AM$6,'EE Inputs'!$D$9:$D$32,$C$4,'EE Inputs'!$E$9:$E$32,$B105),0,1)))</f>
        <v>14678.463666248786</v>
      </c>
      <c r="AX105" s="72">
        <f ca="1">IF($C$4=Lookups!$D$40,SUM(INDIRECT("'Yr1'!"&amp;ADDRESS(ROW(AX105),COLUMN(AX105))),INDIRECT("'Yr2'!"&amp;ADDRESS(ROW(AX105),COLUMN(AX105))),INDIRECT("'Yr3'!"&amp;ADDRESS(ROW(AX105),COLUMN(AX105)))),
IF(AX91=0,0,-PMT(INDEX(Lookups!$E$17:$G$17,MATCH($C$4,Lookups!$E$14:$G$14,0)),AX91,SUMIFS('EE Inputs'!$W$9:$W$32,'EE Inputs'!$C$9:$C$32,$AM$6,'EE Inputs'!$D$9:$D$32,$C$4,'EE Inputs'!$E$9:$E$32,$B105),0,1)))</f>
        <v>14678.463666248786</v>
      </c>
      <c r="AY105" s="72">
        <f ca="1">IF($C$4=Lookups!$D$40,SUM(INDIRECT("'Yr1'!"&amp;ADDRESS(ROW(AY105),COLUMN(AY105))),INDIRECT("'Yr2'!"&amp;ADDRESS(ROW(AY105),COLUMN(AY105))),INDIRECT("'Yr3'!"&amp;ADDRESS(ROW(AY105),COLUMN(AY105)))),
IF(AY91=0,0,-PMT(INDEX(Lookups!$E$17:$G$17,MATCH($C$4,Lookups!$E$14:$G$14,0)),AY91,SUMIFS('EE Inputs'!$W$9:$W$32,'EE Inputs'!$C$9:$C$32,$AM$6,'EE Inputs'!$D$9:$D$32,$C$4,'EE Inputs'!$E$9:$E$32,$B105),0,1)))</f>
        <v>14678.463666248786</v>
      </c>
      <c r="AZ105" s="72">
        <f ca="1">IF($C$4=Lookups!$D$40,SUM(INDIRECT("'Yr1'!"&amp;ADDRESS(ROW(AZ105),COLUMN(AZ105))),INDIRECT("'Yr2'!"&amp;ADDRESS(ROW(AZ105),COLUMN(AZ105))),INDIRECT("'Yr3'!"&amp;ADDRESS(ROW(AZ105),COLUMN(AZ105)))),
IF(AZ91=0,0,-PMT(INDEX(Lookups!$E$17:$G$17,MATCH($C$4,Lookups!$E$14:$G$14,0)),AZ91,SUMIFS('EE Inputs'!$W$9:$W$32,'EE Inputs'!$C$9:$C$32,$AM$6,'EE Inputs'!$D$9:$D$32,$C$4,'EE Inputs'!$E$9:$E$32,$B105),0,1)))</f>
        <v>14678.463666248786</v>
      </c>
      <c r="BA105" s="72">
        <f ca="1">IF($C$4=Lookups!$D$40,SUM(INDIRECT("'Yr1'!"&amp;ADDRESS(ROW(BA105),COLUMN(BA105))),INDIRECT("'Yr2'!"&amp;ADDRESS(ROW(BA105),COLUMN(BA105))),INDIRECT("'Yr3'!"&amp;ADDRESS(ROW(BA105),COLUMN(BA105)))),
IF(BA91=0,0,-PMT(INDEX(Lookups!$E$17:$G$17,MATCH($C$4,Lookups!$E$14:$G$14,0)),BA91,SUMIFS('EE Inputs'!$W$9:$W$32,'EE Inputs'!$C$9:$C$32,$AM$6,'EE Inputs'!$D$9:$D$32,$C$4,'EE Inputs'!$E$9:$E$32,$B105),0,1)))</f>
        <v>14678.463666248786</v>
      </c>
      <c r="BB105" s="72">
        <f ca="1">IF($C$4=Lookups!$D$40,SUM(INDIRECT("'Yr1'!"&amp;ADDRESS(ROW(BB105),COLUMN(BB105))),INDIRECT("'Yr2'!"&amp;ADDRESS(ROW(BB105),COLUMN(BB105))),INDIRECT("'Yr3'!"&amp;ADDRESS(ROW(BB105),COLUMN(BB105)))),
IF(BB91=0,0,-PMT(INDEX(Lookups!$E$17:$G$17,MATCH($C$4,Lookups!$E$14:$G$14,0)),BB91,SUMIFS('EE Inputs'!$W$9:$W$32,'EE Inputs'!$C$9:$C$32,$AM$6,'EE Inputs'!$D$9:$D$32,$C$4,'EE Inputs'!$E$9:$E$32,$B105),0,1)))</f>
        <v>14678.463666248786</v>
      </c>
      <c r="BC105" s="72">
        <f ca="1">IF($C$4=Lookups!$D$40,SUM(INDIRECT("'Yr1'!"&amp;ADDRESS(ROW(BC105),COLUMN(BC105))),INDIRECT("'Yr2'!"&amp;ADDRESS(ROW(BC105),COLUMN(BC105))),INDIRECT("'Yr3'!"&amp;ADDRESS(ROW(BC105),COLUMN(BC105)))),
IF(BC91=0,0,-PMT(INDEX(Lookups!$E$17:$G$17,MATCH($C$4,Lookups!$E$14:$G$14,0)),BC91,SUMIFS('EE Inputs'!$W$9:$W$32,'EE Inputs'!$C$9:$C$32,$AM$6,'EE Inputs'!$D$9:$D$32,$C$4,'EE Inputs'!$E$9:$E$32,$B105),0,1)))</f>
        <v>14678.463666248786</v>
      </c>
      <c r="BD105" s="72">
        <f ca="1">IF($C$4=Lookups!$D$40,SUM(INDIRECT("'Yr1'!"&amp;ADDRESS(ROW(BD105),COLUMN(BD105))),INDIRECT("'Yr2'!"&amp;ADDRESS(ROW(BD105),COLUMN(BD105))),INDIRECT("'Yr3'!"&amp;ADDRESS(ROW(BD105),COLUMN(BD105)))),
IF(BD91=0,0,-PMT(INDEX(Lookups!$E$17:$G$17,MATCH($C$4,Lookups!$E$14:$G$14,0)),BD91,SUMIFS('EE Inputs'!$W$9:$W$32,'EE Inputs'!$C$9:$C$32,$AM$6,'EE Inputs'!$D$9:$D$32,$C$4,'EE Inputs'!$E$9:$E$32,$B105),0,1)))</f>
        <v>14678.463666248786</v>
      </c>
      <c r="BE105" s="72">
        <f ca="1">IF($C$4=Lookups!$D$40,SUM(INDIRECT("'Yr1'!"&amp;ADDRESS(ROW(BE105),COLUMN(BE105))),INDIRECT("'Yr2'!"&amp;ADDRESS(ROW(BE105),COLUMN(BE105))),INDIRECT("'Yr3'!"&amp;ADDRESS(ROW(BE105),COLUMN(BE105)))),
IF(BE91=0,0,-PMT(INDEX(Lookups!$E$17:$G$17,MATCH($C$4,Lookups!$E$14:$G$14,0)),BE91,SUMIFS('EE Inputs'!$W$9:$W$32,'EE Inputs'!$C$9:$C$32,$AM$6,'EE Inputs'!$D$9:$D$32,$C$4,'EE Inputs'!$E$9:$E$32,$B105),0,1)))</f>
        <v>14678.463666248786</v>
      </c>
      <c r="BF105" s="72">
        <f ca="1">IF($C$4=Lookups!$D$40,SUM(INDIRECT("'Yr1'!"&amp;ADDRESS(ROW(BF105),COLUMN(BF105))),INDIRECT("'Yr2'!"&amp;ADDRESS(ROW(BF105),COLUMN(BF105))),INDIRECT("'Yr3'!"&amp;ADDRESS(ROW(BF105),COLUMN(BF105)))),
IF(BF91=0,0,-PMT(INDEX(Lookups!$E$17:$G$17,MATCH($C$4,Lookups!$E$14:$G$14,0)),BF91,SUMIFS('EE Inputs'!$W$9:$W$32,'EE Inputs'!$C$9:$C$32,$AM$6,'EE Inputs'!$D$9:$D$32,$C$4,'EE Inputs'!$E$9:$E$32,$B105),0,1)))</f>
        <v>14678.463666248786</v>
      </c>
      <c r="BG105" s="72">
        <f ca="1">IF($C$4=Lookups!$D$40,SUM(INDIRECT("'Yr1'!"&amp;ADDRESS(ROW(BG105),COLUMN(BG105))),INDIRECT("'Yr2'!"&amp;ADDRESS(ROW(BG105),COLUMN(BG105))),INDIRECT("'Yr3'!"&amp;ADDRESS(ROW(BG105),COLUMN(BG105)))),
IF(BG91=0,0,-PMT(INDEX(Lookups!$E$17:$G$17,MATCH($C$4,Lookups!$E$14:$G$14,0)),BG91,SUMIFS('EE Inputs'!$W$9:$W$32,'EE Inputs'!$C$9:$C$32,$AM$6,'EE Inputs'!$D$9:$D$32,$C$4,'EE Inputs'!$E$9:$E$32,$B105),0,1)))</f>
        <v>9944.9144813027742</v>
      </c>
      <c r="BH105" s="72">
        <f ca="1">IF($C$4=Lookups!$D$40,SUM(INDIRECT("'Yr1'!"&amp;ADDRESS(ROW(BH105),COLUMN(BH105))),INDIRECT("'Yr2'!"&amp;ADDRESS(ROW(BH105),COLUMN(BH105))),INDIRECT("'Yr3'!"&amp;ADDRESS(ROW(BH105),COLUMN(BH105)))),
IF(BH91=0,0,-PMT(INDEX(Lookups!$E$17:$G$17,MATCH($C$4,Lookups!$E$14:$G$14,0)),BH91,SUMIFS('EE Inputs'!$W$9:$W$32,'EE Inputs'!$C$9:$C$32,$AM$6,'EE Inputs'!$D$9:$D$32,$C$4,'EE Inputs'!$E$9:$E$32,$B105),0,1)))</f>
        <v>5065.9100226784285</v>
      </c>
      <c r="BI105" s="72">
        <f ca="1">IF($C$4=Lookups!$D$40,SUM(INDIRECT("'Yr1'!"&amp;ADDRESS(ROW(BI105),COLUMN(BI105))),INDIRECT("'Yr2'!"&amp;ADDRESS(ROW(BI105),COLUMN(BI105))),INDIRECT("'Yr3'!"&amp;ADDRESS(ROW(BI105),COLUMN(BI105)))),
IF(BI91=0,0,-PMT(INDEX(Lookups!$E$17:$G$17,MATCH($C$4,Lookups!$E$14:$G$14,0)),BI91,SUMIFS('EE Inputs'!$W$9:$W$32,'EE Inputs'!$C$9:$C$32,$AM$6,'EE Inputs'!$D$9:$D$32,$C$4,'EE Inputs'!$E$9:$E$32,$B105),0,1)))</f>
        <v>0</v>
      </c>
      <c r="BJ105" s="72">
        <f ca="1">IF($C$4=Lookups!$D$40,SUM(INDIRECT("'Yr1'!"&amp;ADDRESS(ROW(BJ105),COLUMN(BJ105))),INDIRECT("'Yr2'!"&amp;ADDRESS(ROW(BJ105),COLUMN(BJ105))),INDIRECT("'Yr3'!"&amp;ADDRESS(ROW(BJ105),COLUMN(BJ105)))),
IF(BJ91=0,0,-PMT(INDEX(Lookups!$E$17:$G$17,MATCH($C$4,Lookups!$E$14:$G$14,0)),BJ91,SUMIFS('EE Inputs'!$W$9:$W$32,'EE Inputs'!$C$9:$C$32,$AM$6,'EE Inputs'!$D$9:$D$32,$C$4,'EE Inputs'!$E$9:$E$32,$B105),0,1)))</f>
        <v>0</v>
      </c>
      <c r="BK105" s="72">
        <f ca="1">IF($C$4=Lookups!$D$40,SUM(INDIRECT("'Yr1'!"&amp;ADDRESS(ROW(BK105),COLUMN(BK105))),INDIRECT("'Yr2'!"&amp;ADDRESS(ROW(BK105),COLUMN(BK105))),INDIRECT("'Yr3'!"&amp;ADDRESS(ROW(BK105),COLUMN(BK105)))),
IF(BK91=0,0,-PMT(INDEX(Lookups!$E$17:$G$17,MATCH($C$4,Lookups!$E$14:$G$14,0)),BK91,SUMIFS('EE Inputs'!$W$9:$W$32,'EE Inputs'!$C$9:$C$32,$AM$6,'EE Inputs'!$D$9:$D$32,$C$4,'EE Inputs'!$E$9:$E$32,$B105),0,1)))</f>
        <v>0</v>
      </c>
      <c r="BL105" s="72">
        <f ca="1">IF($C$4=Lookups!$D$40,SUM(INDIRECT("'Yr1'!"&amp;ADDRESS(ROW(BL105),COLUMN(BL105))),INDIRECT("'Yr2'!"&amp;ADDRESS(ROW(BL105),COLUMN(BL105))),INDIRECT("'Yr3'!"&amp;ADDRESS(ROW(BL105),COLUMN(BL105)))),
IF(BL91=0,0,-PMT(INDEX(Lookups!$E$17:$G$17,MATCH($C$4,Lookups!$E$14:$G$14,0)),BL91,SUMIFS('EE Inputs'!$W$9:$W$32,'EE Inputs'!$C$9:$C$32,$AM$6,'EE Inputs'!$D$9:$D$32,$C$4,'EE Inputs'!$E$9:$E$32,$B105),0,1)))</f>
        <v>0</v>
      </c>
      <c r="BM105" s="72">
        <f ca="1">IF($C$4=Lookups!$D$40,SUM(INDIRECT("'Yr1'!"&amp;ADDRESS(ROW(BM105),COLUMN(BM105))),INDIRECT("'Yr2'!"&amp;ADDRESS(ROW(BM105),COLUMN(BM105))),INDIRECT("'Yr3'!"&amp;ADDRESS(ROW(BM105),COLUMN(BM105)))),
IF(BM91=0,0,-PMT(INDEX(Lookups!$E$17:$G$17,MATCH($C$4,Lookups!$E$14:$G$14,0)),BM91,SUMIFS('EE Inputs'!$W$9:$W$32,'EE Inputs'!$C$9:$C$32,$AM$6,'EE Inputs'!$D$9:$D$32,$C$4,'EE Inputs'!$E$9:$E$32,$B105),0,1)))</f>
        <v>0</v>
      </c>
      <c r="BN105" s="72"/>
      <c r="BO105" s="72">
        <f ca="1">NPV(Lookups!$E$17,AM105:BM105)</f>
        <v>250540.94076896337</v>
      </c>
      <c r="BP105" s="72"/>
      <c r="BS105" s="84" t="s">
        <v>413</v>
      </c>
      <c r="BT105" s="51"/>
    </row>
    <row r="106" spans="1:72" x14ac:dyDescent="0.25">
      <c r="A106" s="246"/>
      <c r="B106" s="243" t="str">
        <f t="shared" ref="B106:C106" si="97">B104</f>
        <v>Low-Income</v>
      </c>
      <c r="C106" s="243" t="str">
        <f t="shared" si="97"/>
        <v>Revenue Requirements</v>
      </c>
      <c r="D106" s="244" t="str">
        <f>D104</f>
        <v>Avoided Costs</v>
      </c>
      <c r="E106" s="86" t="s">
        <v>175</v>
      </c>
      <c r="F106" s="84" t="s">
        <v>32</v>
      </c>
      <c r="G106" s="65">
        <f ca="1">IF($C$4=Lookups!$D$40,SUM(INDIRECT("'Yr1'!"&amp;ADDRESS(ROW(G106),COLUMN(G106))),INDIRECT("'Yr2'!"&amp;ADDRESS(ROW(G106),COLUMN(G106))),INDIRECT("'Yr3'!"&amp;ADDRESS(ROW(G106),COLUMN(G106)))),
IF(G91=0,0,-PMT(INDEX(Lookups!$E$17:$G$17,MATCH($C$4,Lookups!$E$14:$G$14,0)),G91,SUMIFS('EE Inputs'!$K$9:$K$32,'EE Inputs'!$C$9:$C$32,$G$6,'EE Inputs'!$D$9:$D$32,$C$4,'EE Inputs'!$E$9:$E$32,$B106),0,1)))</f>
        <v>2217.1555517957595</v>
      </c>
      <c r="H106" s="65">
        <f ca="1">IF($C$4=Lookups!$D$40,SUM(INDIRECT("'Yr1'!"&amp;ADDRESS(ROW(H106),COLUMN(H106))),INDIRECT("'Yr2'!"&amp;ADDRESS(ROW(H106),COLUMN(H106))),INDIRECT("'Yr3'!"&amp;ADDRESS(ROW(H106),COLUMN(H106)))),
IF(H91=0,0,-PMT(INDEX(Lookups!$E$17:$G$17,MATCH($C$4,Lookups!$E$14:$G$14,0)),H91,SUMIFS('EE Inputs'!$K$9:$K$32,'EE Inputs'!$C$9:$C$32,$G$6,'EE Inputs'!$D$9:$D$32,$C$4,'EE Inputs'!$E$9:$E$32,$B106),0,1)))</f>
        <v>4501.3468940811645</v>
      </c>
      <c r="I106" s="65">
        <f ca="1">IF($C$4=Lookups!$D$40,SUM(INDIRECT("'Yr1'!"&amp;ADDRESS(ROW(I106),COLUMN(I106))),INDIRECT("'Yr2'!"&amp;ADDRESS(ROW(I106),COLUMN(I106))),INDIRECT("'Yr3'!"&amp;ADDRESS(ROW(I106),COLUMN(I106)))),
IF(I91=0,0,-PMT(INDEX(Lookups!$E$17:$G$17,MATCH($C$4,Lookups!$E$14:$G$14,0)),I91,SUMIFS('EE Inputs'!$K$9:$K$32,'EE Inputs'!$C$9:$C$32,$G$6,'EE Inputs'!$D$9:$D$32,$C$4,'EE Inputs'!$E$9:$E$32,$B106),0,1)))</f>
        <v>6868.4465962295653</v>
      </c>
      <c r="J106" s="65">
        <f ca="1">IF($C$4=Lookups!$D$40,SUM(INDIRECT("'Yr1'!"&amp;ADDRESS(ROW(J106),COLUMN(J106))),INDIRECT("'Yr2'!"&amp;ADDRESS(ROW(J106),COLUMN(J106))),INDIRECT("'Yr3'!"&amp;ADDRESS(ROW(J106),COLUMN(J106)))),
IF(J91=0,0,-PMT(INDEX(Lookups!$E$17:$G$17,MATCH($C$4,Lookups!$E$14:$G$14,0)),J91,SUMIFS('EE Inputs'!$K$9:$K$32,'EE Inputs'!$C$9:$C$32,$G$6,'EE Inputs'!$D$9:$D$32,$C$4,'EE Inputs'!$E$9:$E$32,$B106),0,1)))</f>
        <v>6868.4465962295653</v>
      </c>
      <c r="K106" s="65">
        <f ca="1">IF($C$4=Lookups!$D$40,SUM(INDIRECT("'Yr1'!"&amp;ADDRESS(ROW(K106),COLUMN(K106))),INDIRECT("'Yr2'!"&amp;ADDRESS(ROW(K106),COLUMN(K106))),INDIRECT("'Yr3'!"&amp;ADDRESS(ROW(K106),COLUMN(K106)))),
IF(K91=0,0,-PMT(INDEX(Lookups!$E$17:$G$17,MATCH($C$4,Lookups!$E$14:$G$14,0)),K91,SUMIFS('EE Inputs'!$K$9:$K$32,'EE Inputs'!$C$9:$C$32,$G$6,'EE Inputs'!$D$9:$D$32,$C$4,'EE Inputs'!$E$9:$E$32,$B106),0,1)))</f>
        <v>6868.4465962295653</v>
      </c>
      <c r="L106" s="65">
        <f ca="1">IF($C$4=Lookups!$D$40,SUM(INDIRECT("'Yr1'!"&amp;ADDRESS(ROW(L106),COLUMN(L106))),INDIRECT("'Yr2'!"&amp;ADDRESS(ROW(L106),COLUMN(L106))),INDIRECT("'Yr3'!"&amp;ADDRESS(ROW(L106),COLUMN(L106)))),
IF(L91=0,0,-PMT(INDEX(Lookups!$E$17:$G$17,MATCH($C$4,Lookups!$E$14:$G$14,0)),L91,SUMIFS('EE Inputs'!$K$9:$K$32,'EE Inputs'!$C$9:$C$32,$G$6,'EE Inputs'!$D$9:$D$32,$C$4,'EE Inputs'!$E$9:$E$32,$B106),0,1)))</f>
        <v>6868.4465962295653</v>
      </c>
      <c r="M106" s="65">
        <f ca="1">IF($C$4=Lookups!$D$40,SUM(INDIRECT("'Yr1'!"&amp;ADDRESS(ROW(M106),COLUMN(M106))),INDIRECT("'Yr2'!"&amp;ADDRESS(ROW(M106),COLUMN(M106))),INDIRECT("'Yr3'!"&amp;ADDRESS(ROW(M106),COLUMN(M106)))),
IF(M91=0,0,-PMT(INDEX(Lookups!$E$17:$G$17,MATCH($C$4,Lookups!$E$14:$G$14,0)),M91,SUMIFS('EE Inputs'!$K$9:$K$32,'EE Inputs'!$C$9:$C$32,$G$6,'EE Inputs'!$D$9:$D$32,$C$4,'EE Inputs'!$E$9:$E$32,$B106),0,1)))</f>
        <v>6868.4465962295653</v>
      </c>
      <c r="N106" s="65">
        <f ca="1">IF($C$4=Lookups!$D$40,SUM(INDIRECT("'Yr1'!"&amp;ADDRESS(ROW(N106),COLUMN(N106))),INDIRECT("'Yr2'!"&amp;ADDRESS(ROW(N106),COLUMN(N106))),INDIRECT("'Yr3'!"&amp;ADDRESS(ROW(N106),COLUMN(N106)))),
IF(N91=0,0,-PMT(INDEX(Lookups!$E$17:$G$17,MATCH($C$4,Lookups!$E$14:$G$14,0)),N91,SUMIFS('EE Inputs'!$K$9:$K$32,'EE Inputs'!$C$9:$C$32,$G$6,'EE Inputs'!$D$9:$D$32,$C$4,'EE Inputs'!$E$9:$E$32,$B106),0,1)))</f>
        <v>6868.4465962295653</v>
      </c>
      <c r="O106" s="65">
        <f ca="1">IF($C$4=Lookups!$D$40,SUM(INDIRECT("'Yr1'!"&amp;ADDRESS(ROW(O106),COLUMN(O106))),INDIRECT("'Yr2'!"&amp;ADDRESS(ROW(O106),COLUMN(O106))),INDIRECT("'Yr3'!"&amp;ADDRESS(ROW(O106),COLUMN(O106)))),
IF(O91=0,0,-PMT(INDEX(Lookups!$E$17:$G$17,MATCH($C$4,Lookups!$E$14:$G$14,0)),O91,SUMIFS('EE Inputs'!$K$9:$K$32,'EE Inputs'!$C$9:$C$32,$G$6,'EE Inputs'!$D$9:$D$32,$C$4,'EE Inputs'!$E$9:$E$32,$B106),0,1)))</f>
        <v>6868.4465962295653</v>
      </c>
      <c r="P106" s="65">
        <f ca="1">IF($C$4=Lookups!$D$40,SUM(INDIRECT("'Yr1'!"&amp;ADDRESS(ROW(P106),COLUMN(P106))),INDIRECT("'Yr2'!"&amp;ADDRESS(ROW(P106),COLUMN(P106))),INDIRECT("'Yr3'!"&amp;ADDRESS(ROW(P106),COLUMN(P106)))),
IF(P91=0,0,-PMT(INDEX(Lookups!$E$17:$G$17,MATCH($C$4,Lookups!$E$14:$G$14,0)),P91,SUMIFS('EE Inputs'!$K$9:$K$32,'EE Inputs'!$C$9:$C$32,$G$6,'EE Inputs'!$D$9:$D$32,$C$4,'EE Inputs'!$E$9:$E$32,$B106),0,1)))</f>
        <v>6868.4465962295653</v>
      </c>
      <c r="Q106" s="65">
        <f ca="1">IF($C$4=Lookups!$D$40,SUM(INDIRECT("'Yr1'!"&amp;ADDRESS(ROW(Q106),COLUMN(Q106))),INDIRECT("'Yr2'!"&amp;ADDRESS(ROW(Q106),COLUMN(Q106))),INDIRECT("'Yr3'!"&amp;ADDRESS(ROW(Q106),COLUMN(Q106)))),
IF(Q91=0,0,-PMT(INDEX(Lookups!$E$17:$G$17,MATCH($C$4,Lookups!$E$14:$G$14,0)),Q91,SUMIFS('EE Inputs'!$K$9:$K$32,'EE Inputs'!$C$9:$C$32,$G$6,'EE Inputs'!$D$9:$D$32,$C$4,'EE Inputs'!$E$9:$E$32,$B106),0,1)))</f>
        <v>6868.4465962295653</v>
      </c>
      <c r="R106" s="65">
        <f ca="1">IF($C$4=Lookups!$D$40,SUM(INDIRECT("'Yr1'!"&amp;ADDRESS(ROW(R106),COLUMN(R106))),INDIRECT("'Yr2'!"&amp;ADDRESS(ROW(R106),COLUMN(R106))),INDIRECT("'Yr3'!"&amp;ADDRESS(ROW(R106),COLUMN(R106)))),
IF(R91=0,0,-PMT(INDEX(Lookups!$E$17:$G$17,MATCH($C$4,Lookups!$E$14:$G$14,0)),R91,SUMIFS('EE Inputs'!$K$9:$K$32,'EE Inputs'!$C$9:$C$32,$G$6,'EE Inputs'!$D$9:$D$32,$C$4,'EE Inputs'!$E$9:$E$32,$B106),0,1)))</f>
        <v>6868.4465962295653</v>
      </c>
      <c r="S106" s="65">
        <f ca="1">IF($C$4=Lookups!$D$40,SUM(INDIRECT("'Yr1'!"&amp;ADDRESS(ROW(S106),COLUMN(S106))),INDIRECT("'Yr2'!"&amp;ADDRESS(ROW(S106),COLUMN(S106))),INDIRECT("'Yr3'!"&amp;ADDRESS(ROW(S106),COLUMN(S106)))),
IF(S91=0,0,-PMT(INDEX(Lookups!$E$17:$G$17,MATCH($C$4,Lookups!$E$14:$G$14,0)),S91,SUMIFS('EE Inputs'!$K$9:$K$32,'EE Inputs'!$C$9:$C$32,$G$6,'EE Inputs'!$D$9:$D$32,$C$4,'EE Inputs'!$E$9:$E$32,$B106),0,1)))</f>
        <v>6868.4465962295653</v>
      </c>
      <c r="T106" s="65">
        <f ca="1">IF($C$4=Lookups!$D$40,SUM(INDIRECT("'Yr1'!"&amp;ADDRESS(ROW(T106),COLUMN(T106))),INDIRECT("'Yr2'!"&amp;ADDRESS(ROW(T106),COLUMN(T106))),INDIRECT("'Yr3'!"&amp;ADDRESS(ROW(T106),COLUMN(T106)))),
IF(T91=0,0,-PMT(INDEX(Lookups!$E$17:$G$17,MATCH($C$4,Lookups!$E$14:$G$14,0)),T91,SUMIFS('EE Inputs'!$K$9:$K$32,'EE Inputs'!$C$9:$C$32,$G$6,'EE Inputs'!$D$9:$D$32,$C$4,'EE Inputs'!$E$9:$E$32,$B106),0,1)))</f>
        <v>6868.4465962295653</v>
      </c>
      <c r="U106" s="65">
        <f ca="1">IF($C$4=Lookups!$D$40,SUM(INDIRECT("'Yr1'!"&amp;ADDRESS(ROW(U106),COLUMN(U106))),INDIRECT("'Yr2'!"&amp;ADDRESS(ROW(U106),COLUMN(U106))),INDIRECT("'Yr3'!"&amp;ADDRESS(ROW(U106),COLUMN(U106)))),
IF(U91=0,0,-PMT(INDEX(Lookups!$E$17:$G$17,MATCH($C$4,Lookups!$E$14:$G$14,0)),U91,SUMIFS('EE Inputs'!$K$9:$K$32,'EE Inputs'!$C$9:$C$32,$G$6,'EE Inputs'!$D$9:$D$32,$C$4,'EE Inputs'!$E$9:$E$32,$B106),0,1)))</f>
        <v>6868.4465962295653</v>
      </c>
      <c r="V106" s="65">
        <f ca="1">IF($C$4=Lookups!$D$40,SUM(INDIRECT("'Yr1'!"&amp;ADDRESS(ROW(V106),COLUMN(V106))),INDIRECT("'Yr2'!"&amp;ADDRESS(ROW(V106),COLUMN(V106))),INDIRECT("'Yr3'!"&amp;ADDRESS(ROW(V106),COLUMN(V106)))),
IF(V91=0,0,-PMT(INDEX(Lookups!$E$17:$G$17,MATCH($C$4,Lookups!$E$14:$G$14,0)),V91,SUMIFS('EE Inputs'!$K$9:$K$32,'EE Inputs'!$C$9:$C$32,$G$6,'EE Inputs'!$D$9:$D$32,$C$4,'EE Inputs'!$E$9:$E$32,$B106),0,1)))</f>
        <v>6868.4465962295653</v>
      </c>
      <c r="W106" s="65">
        <f ca="1">IF($C$4=Lookups!$D$40,SUM(INDIRECT("'Yr1'!"&amp;ADDRESS(ROW(W106),COLUMN(W106))),INDIRECT("'Yr2'!"&amp;ADDRESS(ROW(W106),COLUMN(W106))),INDIRECT("'Yr3'!"&amp;ADDRESS(ROW(W106),COLUMN(W106)))),
IF(W91=0,0,-PMT(INDEX(Lookups!$E$17:$G$17,MATCH($C$4,Lookups!$E$14:$G$14,0)),W91,SUMIFS('EE Inputs'!$K$9:$K$32,'EE Inputs'!$C$9:$C$32,$G$6,'EE Inputs'!$D$9:$D$32,$C$4,'EE Inputs'!$E$9:$E$32,$B106),0,1)))</f>
        <v>6868.4465962295653</v>
      </c>
      <c r="X106" s="65">
        <f ca="1">IF($C$4=Lookups!$D$40,SUM(INDIRECT("'Yr1'!"&amp;ADDRESS(ROW(X106),COLUMN(X106))),INDIRECT("'Yr2'!"&amp;ADDRESS(ROW(X106),COLUMN(X106))),INDIRECT("'Yr3'!"&amp;ADDRESS(ROW(X106),COLUMN(X106)))),
IF(X91=0,0,-PMT(INDEX(Lookups!$E$17:$G$17,MATCH($C$4,Lookups!$E$14:$G$14,0)),X91,SUMIFS('EE Inputs'!$K$9:$K$32,'EE Inputs'!$C$9:$C$32,$G$6,'EE Inputs'!$D$9:$D$32,$C$4,'EE Inputs'!$E$9:$E$32,$B106),0,1)))</f>
        <v>6868.4465962295653</v>
      </c>
      <c r="Y106" s="65">
        <f ca="1">IF($C$4=Lookups!$D$40,SUM(INDIRECT("'Yr1'!"&amp;ADDRESS(ROW(Y106),COLUMN(Y106))),INDIRECT("'Yr2'!"&amp;ADDRESS(ROW(Y106),COLUMN(Y106))),INDIRECT("'Yr3'!"&amp;ADDRESS(ROW(Y106),COLUMN(Y106)))),
IF(Y91=0,0,-PMT(INDEX(Lookups!$E$17:$G$17,MATCH($C$4,Lookups!$E$14:$G$14,0)),Y91,SUMIFS('EE Inputs'!$K$9:$K$32,'EE Inputs'!$C$9:$C$32,$G$6,'EE Inputs'!$D$9:$D$32,$C$4,'EE Inputs'!$E$9:$E$32,$B106),0,1)))</f>
        <v>6868.4465962295653</v>
      </c>
      <c r="Z106" s="65">
        <f ca="1">IF($C$4=Lookups!$D$40,SUM(INDIRECT("'Yr1'!"&amp;ADDRESS(ROW(Z106),COLUMN(Z106))),INDIRECT("'Yr2'!"&amp;ADDRESS(ROW(Z106),COLUMN(Z106))),INDIRECT("'Yr3'!"&amp;ADDRESS(ROW(Z106),COLUMN(Z106)))),
IF(Z91=0,0,-PMT(INDEX(Lookups!$E$17:$G$17,MATCH($C$4,Lookups!$E$14:$G$14,0)),Z91,SUMIFS('EE Inputs'!$K$9:$K$32,'EE Inputs'!$C$9:$C$32,$G$6,'EE Inputs'!$D$9:$D$32,$C$4,'EE Inputs'!$E$9:$E$32,$B106),0,1)))</f>
        <v>6868.4465962295653</v>
      </c>
      <c r="AA106" s="65">
        <f ca="1">IF($C$4=Lookups!$D$40,SUM(INDIRECT("'Yr1'!"&amp;ADDRESS(ROW(AA106),COLUMN(AA106))),INDIRECT("'Yr2'!"&amp;ADDRESS(ROW(AA106),COLUMN(AA106))),INDIRECT("'Yr3'!"&amp;ADDRESS(ROW(AA106),COLUMN(AA106)))),
IF(AA91=0,0,-PMT(INDEX(Lookups!$E$17:$G$17,MATCH($C$4,Lookups!$E$14:$G$14,0)),AA91,SUMIFS('EE Inputs'!$K$9:$K$32,'EE Inputs'!$C$9:$C$32,$G$6,'EE Inputs'!$D$9:$D$32,$C$4,'EE Inputs'!$E$9:$E$32,$B106),0,1)))</f>
        <v>4651.2910444338067</v>
      </c>
      <c r="AB106" s="65">
        <f ca="1">IF($C$4=Lookups!$D$40,SUM(INDIRECT("'Yr1'!"&amp;ADDRESS(ROW(AB106),COLUMN(AB106))),INDIRECT("'Yr2'!"&amp;ADDRESS(ROW(AB106),COLUMN(AB106))),INDIRECT("'Yr3'!"&amp;ADDRESS(ROW(AB106),COLUMN(AB106)))),
IF(AB91=0,0,-PMT(INDEX(Lookups!$E$17:$G$17,MATCH($C$4,Lookups!$E$14:$G$14,0)),AB91,SUMIFS('EE Inputs'!$K$9:$K$32,'EE Inputs'!$C$9:$C$32,$G$6,'EE Inputs'!$D$9:$D$32,$C$4,'EE Inputs'!$E$9:$E$32,$B106),0,1)))</f>
        <v>2367.0997021484013</v>
      </c>
      <c r="AC106" s="65">
        <f ca="1">IF($C$4=Lookups!$D$40,SUM(INDIRECT("'Yr1'!"&amp;ADDRESS(ROW(AC106),COLUMN(AC106))),INDIRECT("'Yr2'!"&amp;ADDRESS(ROW(AC106),COLUMN(AC106))),INDIRECT("'Yr3'!"&amp;ADDRESS(ROW(AC106),COLUMN(AC106)))),
IF(AC91=0,0,-PMT(INDEX(Lookups!$E$17:$G$17,MATCH($C$4,Lookups!$E$14:$G$14,0)),AC91,SUMIFS('EE Inputs'!$K$9:$K$32,'EE Inputs'!$C$9:$C$32,$G$6,'EE Inputs'!$D$9:$D$32,$C$4,'EE Inputs'!$E$9:$E$32,$B106),0,1)))</f>
        <v>0</v>
      </c>
      <c r="AD106" s="65">
        <f ca="1">IF($C$4=Lookups!$D$40,SUM(INDIRECT("'Yr1'!"&amp;ADDRESS(ROW(AD106),COLUMN(AD106))),INDIRECT("'Yr2'!"&amp;ADDRESS(ROW(AD106),COLUMN(AD106))),INDIRECT("'Yr3'!"&amp;ADDRESS(ROW(AD106),COLUMN(AD106)))),
IF(AD91=0,0,-PMT(INDEX(Lookups!$E$17:$G$17,MATCH($C$4,Lookups!$E$14:$G$14,0)),AD91,SUMIFS('EE Inputs'!$K$9:$K$32,'EE Inputs'!$C$9:$C$32,$G$6,'EE Inputs'!$D$9:$D$32,$C$4,'EE Inputs'!$E$9:$E$32,$B106),0,1)))</f>
        <v>0</v>
      </c>
      <c r="AE106" s="65">
        <f ca="1">IF($C$4=Lookups!$D$40,SUM(INDIRECT("'Yr1'!"&amp;ADDRESS(ROW(AE106),COLUMN(AE106))),INDIRECT("'Yr2'!"&amp;ADDRESS(ROW(AE106),COLUMN(AE106))),INDIRECT("'Yr3'!"&amp;ADDRESS(ROW(AE106),COLUMN(AE106)))),
IF(AE91=0,0,-PMT(INDEX(Lookups!$E$17:$G$17,MATCH($C$4,Lookups!$E$14:$G$14,0)),AE91,SUMIFS('EE Inputs'!$K$9:$K$32,'EE Inputs'!$C$9:$C$32,$G$6,'EE Inputs'!$D$9:$D$32,$C$4,'EE Inputs'!$E$9:$E$32,$B106),0,1)))</f>
        <v>0</v>
      </c>
      <c r="AF106" s="65">
        <f ca="1">IF($C$4=Lookups!$D$40,SUM(INDIRECT("'Yr1'!"&amp;ADDRESS(ROW(AF106),COLUMN(AF106))),INDIRECT("'Yr2'!"&amp;ADDRESS(ROW(AF106),COLUMN(AF106))),INDIRECT("'Yr3'!"&amp;ADDRESS(ROW(AF106),COLUMN(AF106)))),
IF(AF91=0,0,-PMT(INDEX(Lookups!$E$17:$G$17,MATCH($C$4,Lookups!$E$14:$G$14,0)),AF91,SUMIFS('EE Inputs'!$K$9:$K$32,'EE Inputs'!$C$9:$C$32,$G$6,'EE Inputs'!$D$9:$D$32,$C$4,'EE Inputs'!$E$9:$E$32,$B106),0,1)))</f>
        <v>0</v>
      </c>
      <c r="AG106" s="65">
        <f ca="1">IF($C$4=Lookups!$D$40,SUM(INDIRECT("'Yr1'!"&amp;ADDRESS(ROW(AG106),COLUMN(AG106))),INDIRECT("'Yr2'!"&amp;ADDRESS(ROW(AG106),COLUMN(AG106))),INDIRECT("'Yr3'!"&amp;ADDRESS(ROW(AG106),COLUMN(AG106)))),
IF(AG91=0,0,-PMT(INDEX(Lookups!$E$17:$G$17,MATCH($C$4,Lookups!$E$14:$G$14,0)),AG91,SUMIFS('EE Inputs'!$K$9:$K$32,'EE Inputs'!$C$9:$C$32,$G$6,'EE Inputs'!$D$9:$D$32,$C$4,'EE Inputs'!$E$9:$E$32,$B106),0,1)))</f>
        <v>0</v>
      </c>
      <c r="AH106" s="65"/>
      <c r="AI106" s="65">
        <f ca="1">NPV(Lookups!$E$17,G106:AG106)</f>
        <v>117236.15699016055</v>
      </c>
      <c r="AJ106" s="65"/>
      <c r="AM106" s="72">
        <f ca="1">IF($C$4=Lookups!$D$40,SUM(INDIRECT("'Yr1'!"&amp;ADDRESS(ROW(AM106),COLUMN(AM106))),INDIRECT("'Yr2'!"&amp;ADDRESS(ROW(AM106),COLUMN(AM106))),INDIRECT("'Yr3'!"&amp;ADDRESS(ROW(AM106),COLUMN(AM106)))),
IF(AM91=0,0,-PMT(INDEX(Lookups!$E$17:$G$17,MATCH($C$4,Lookups!$E$14:$G$14,0)),AM91,SUMIFS('EE Inputs'!$K$9:$K$32,'EE Inputs'!$C$9:$C$32,$AM$6,'EE Inputs'!$D$9:$D$32,$C$4,'EE Inputs'!$E$9:$E$32,$B106),0,1)))</f>
        <v>2533.8920591951537</v>
      </c>
      <c r="AN106" s="72">
        <f ca="1">IF($C$4=Lookups!$D$40,SUM(INDIRECT("'Yr1'!"&amp;ADDRESS(ROW(AN106),COLUMN(AN106))),INDIRECT("'Yr2'!"&amp;ADDRESS(ROW(AN106),COLUMN(AN106))),INDIRECT("'Yr3'!"&amp;ADDRESS(ROW(AN106),COLUMN(AN106)))),
IF(AN91=0,0,-PMT(INDEX(Lookups!$E$17:$G$17,MATCH($C$4,Lookups!$E$14:$G$14,0)),AN91,SUMIFS('EE Inputs'!$K$9:$K$32,'EE Inputs'!$C$9:$C$32,$AM$6,'EE Inputs'!$D$9:$D$32,$C$4,'EE Inputs'!$E$9:$E$32,$B106),0,1)))</f>
        <v>5144.3964503784737</v>
      </c>
      <c r="AO106" s="72">
        <f ca="1">IF($C$4=Lookups!$D$40,SUM(INDIRECT("'Yr1'!"&amp;ADDRESS(ROW(AO106),COLUMN(AO106))),INDIRECT("'Yr2'!"&amp;ADDRESS(ROW(AO106),COLUMN(AO106))),INDIRECT("'Yr3'!"&amp;ADDRESS(ROW(AO106),COLUMN(AO106)))),
IF(AO91=0,0,-PMT(INDEX(Lookups!$E$17:$G$17,MATCH($C$4,Lookups!$E$14:$G$14,0)),AO91,SUMIFS('EE Inputs'!$K$9:$K$32,'EE Inputs'!$C$9:$C$32,$AM$6,'EE Inputs'!$D$9:$D$32,$C$4,'EE Inputs'!$E$9:$E$32,$B106),0,1)))</f>
        <v>7849.6532528337884</v>
      </c>
      <c r="AP106" s="72">
        <f ca="1">IF($C$4=Lookups!$D$40,SUM(INDIRECT("'Yr1'!"&amp;ADDRESS(ROW(AP106),COLUMN(AP106))),INDIRECT("'Yr2'!"&amp;ADDRESS(ROW(AP106),COLUMN(AP106))),INDIRECT("'Yr3'!"&amp;ADDRESS(ROW(AP106),COLUMN(AP106)))),
IF(AP91=0,0,-PMT(INDEX(Lookups!$E$17:$G$17,MATCH($C$4,Lookups!$E$14:$G$14,0)),AP91,SUMIFS('EE Inputs'!$K$9:$K$32,'EE Inputs'!$C$9:$C$32,$AM$6,'EE Inputs'!$D$9:$D$32,$C$4,'EE Inputs'!$E$9:$E$32,$B106),0,1)))</f>
        <v>7849.6532528337884</v>
      </c>
      <c r="AQ106" s="72">
        <f ca="1">IF($C$4=Lookups!$D$40,SUM(INDIRECT("'Yr1'!"&amp;ADDRESS(ROW(AQ106),COLUMN(AQ106))),INDIRECT("'Yr2'!"&amp;ADDRESS(ROW(AQ106),COLUMN(AQ106))),INDIRECT("'Yr3'!"&amp;ADDRESS(ROW(AQ106),COLUMN(AQ106)))),
IF(AQ91=0,0,-PMT(INDEX(Lookups!$E$17:$G$17,MATCH($C$4,Lookups!$E$14:$G$14,0)),AQ91,SUMIFS('EE Inputs'!$K$9:$K$32,'EE Inputs'!$C$9:$C$32,$AM$6,'EE Inputs'!$D$9:$D$32,$C$4,'EE Inputs'!$E$9:$E$32,$B106),0,1)))</f>
        <v>7849.6532528337884</v>
      </c>
      <c r="AR106" s="72">
        <f ca="1">IF($C$4=Lookups!$D$40,SUM(INDIRECT("'Yr1'!"&amp;ADDRESS(ROW(AR106),COLUMN(AR106))),INDIRECT("'Yr2'!"&amp;ADDRESS(ROW(AR106),COLUMN(AR106))),INDIRECT("'Yr3'!"&amp;ADDRESS(ROW(AR106),COLUMN(AR106)))),
IF(AR91=0,0,-PMT(INDEX(Lookups!$E$17:$G$17,MATCH($C$4,Lookups!$E$14:$G$14,0)),AR91,SUMIFS('EE Inputs'!$K$9:$K$32,'EE Inputs'!$C$9:$C$32,$AM$6,'EE Inputs'!$D$9:$D$32,$C$4,'EE Inputs'!$E$9:$E$32,$B106),0,1)))</f>
        <v>7849.6532528337884</v>
      </c>
      <c r="AS106" s="72">
        <f ca="1">IF($C$4=Lookups!$D$40,SUM(INDIRECT("'Yr1'!"&amp;ADDRESS(ROW(AS106),COLUMN(AS106))),INDIRECT("'Yr2'!"&amp;ADDRESS(ROW(AS106),COLUMN(AS106))),INDIRECT("'Yr3'!"&amp;ADDRESS(ROW(AS106),COLUMN(AS106)))),
IF(AS91=0,0,-PMT(INDEX(Lookups!$E$17:$G$17,MATCH($C$4,Lookups!$E$14:$G$14,0)),AS91,SUMIFS('EE Inputs'!$K$9:$K$32,'EE Inputs'!$C$9:$C$32,$AM$6,'EE Inputs'!$D$9:$D$32,$C$4,'EE Inputs'!$E$9:$E$32,$B106),0,1)))</f>
        <v>7849.6532528337884</v>
      </c>
      <c r="AT106" s="72">
        <f ca="1">IF($C$4=Lookups!$D$40,SUM(INDIRECT("'Yr1'!"&amp;ADDRESS(ROW(AT106),COLUMN(AT106))),INDIRECT("'Yr2'!"&amp;ADDRESS(ROW(AT106),COLUMN(AT106))),INDIRECT("'Yr3'!"&amp;ADDRESS(ROW(AT106),COLUMN(AT106)))),
IF(AT91=0,0,-PMT(INDEX(Lookups!$E$17:$G$17,MATCH($C$4,Lookups!$E$14:$G$14,0)),AT91,SUMIFS('EE Inputs'!$K$9:$K$32,'EE Inputs'!$C$9:$C$32,$AM$6,'EE Inputs'!$D$9:$D$32,$C$4,'EE Inputs'!$E$9:$E$32,$B106),0,1)))</f>
        <v>7849.6532528337884</v>
      </c>
      <c r="AU106" s="72">
        <f ca="1">IF($C$4=Lookups!$D$40,SUM(INDIRECT("'Yr1'!"&amp;ADDRESS(ROW(AU106),COLUMN(AU106))),INDIRECT("'Yr2'!"&amp;ADDRESS(ROW(AU106),COLUMN(AU106))),INDIRECT("'Yr3'!"&amp;ADDRESS(ROW(AU106),COLUMN(AU106)))),
IF(AU91=0,0,-PMT(INDEX(Lookups!$E$17:$G$17,MATCH($C$4,Lookups!$E$14:$G$14,0)),AU91,SUMIFS('EE Inputs'!$K$9:$K$32,'EE Inputs'!$C$9:$C$32,$AM$6,'EE Inputs'!$D$9:$D$32,$C$4,'EE Inputs'!$E$9:$E$32,$B106),0,1)))</f>
        <v>7849.6532528337884</v>
      </c>
      <c r="AV106" s="72">
        <f ca="1">IF($C$4=Lookups!$D$40,SUM(INDIRECT("'Yr1'!"&amp;ADDRESS(ROW(AV106),COLUMN(AV106))),INDIRECT("'Yr2'!"&amp;ADDRESS(ROW(AV106),COLUMN(AV106))),INDIRECT("'Yr3'!"&amp;ADDRESS(ROW(AV106),COLUMN(AV106)))),
IF(AV91=0,0,-PMT(INDEX(Lookups!$E$17:$G$17,MATCH($C$4,Lookups!$E$14:$G$14,0)),AV91,SUMIFS('EE Inputs'!$K$9:$K$32,'EE Inputs'!$C$9:$C$32,$AM$6,'EE Inputs'!$D$9:$D$32,$C$4,'EE Inputs'!$E$9:$E$32,$B106),0,1)))</f>
        <v>7849.6532528337884</v>
      </c>
      <c r="AW106" s="72">
        <f ca="1">IF($C$4=Lookups!$D$40,SUM(INDIRECT("'Yr1'!"&amp;ADDRESS(ROW(AW106),COLUMN(AW106))),INDIRECT("'Yr2'!"&amp;ADDRESS(ROW(AW106),COLUMN(AW106))),INDIRECT("'Yr3'!"&amp;ADDRESS(ROW(AW106),COLUMN(AW106)))),
IF(AW91=0,0,-PMT(INDEX(Lookups!$E$17:$G$17,MATCH($C$4,Lookups!$E$14:$G$14,0)),AW91,SUMIFS('EE Inputs'!$K$9:$K$32,'EE Inputs'!$C$9:$C$32,$AM$6,'EE Inputs'!$D$9:$D$32,$C$4,'EE Inputs'!$E$9:$E$32,$B106),0,1)))</f>
        <v>7849.6532528337884</v>
      </c>
      <c r="AX106" s="72">
        <f ca="1">IF($C$4=Lookups!$D$40,SUM(INDIRECT("'Yr1'!"&amp;ADDRESS(ROW(AX106),COLUMN(AX106))),INDIRECT("'Yr2'!"&amp;ADDRESS(ROW(AX106),COLUMN(AX106))),INDIRECT("'Yr3'!"&amp;ADDRESS(ROW(AX106),COLUMN(AX106)))),
IF(AX91=0,0,-PMT(INDEX(Lookups!$E$17:$G$17,MATCH($C$4,Lookups!$E$14:$G$14,0)),AX91,SUMIFS('EE Inputs'!$K$9:$K$32,'EE Inputs'!$C$9:$C$32,$AM$6,'EE Inputs'!$D$9:$D$32,$C$4,'EE Inputs'!$E$9:$E$32,$B106),0,1)))</f>
        <v>7849.6532528337884</v>
      </c>
      <c r="AY106" s="72">
        <f ca="1">IF($C$4=Lookups!$D$40,SUM(INDIRECT("'Yr1'!"&amp;ADDRESS(ROW(AY106),COLUMN(AY106))),INDIRECT("'Yr2'!"&amp;ADDRESS(ROW(AY106),COLUMN(AY106))),INDIRECT("'Yr3'!"&amp;ADDRESS(ROW(AY106),COLUMN(AY106)))),
IF(AY91=0,0,-PMT(INDEX(Lookups!$E$17:$G$17,MATCH($C$4,Lookups!$E$14:$G$14,0)),AY91,SUMIFS('EE Inputs'!$K$9:$K$32,'EE Inputs'!$C$9:$C$32,$AM$6,'EE Inputs'!$D$9:$D$32,$C$4,'EE Inputs'!$E$9:$E$32,$B106),0,1)))</f>
        <v>7849.6532528337884</v>
      </c>
      <c r="AZ106" s="72">
        <f ca="1">IF($C$4=Lookups!$D$40,SUM(INDIRECT("'Yr1'!"&amp;ADDRESS(ROW(AZ106),COLUMN(AZ106))),INDIRECT("'Yr2'!"&amp;ADDRESS(ROW(AZ106),COLUMN(AZ106))),INDIRECT("'Yr3'!"&amp;ADDRESS(ROW(AZ106),COLUMN(AZ106)))),
IF(AZ91=0,0,-PMT(INDEX(Lookups!$E$17:$G$17,MATCH($C$4,Lookups!$E$14:$G$14,0)),AZ91,SUMIFS('EE Inputs'!$K$9:$K$32,'EE Inputs'!$C$9:$C$32,$AM$6,'EE Inputs'!$D$9:$D$32,$C$4,'EE Inputs'!$E$9:$E$32,$B106),0,1)))</f>
        <v>7849.6532528337884</v>
      </c>
      <c r="BA106" s="72">
        <f ca="1">IF($C$4=Lookups!$D$40,SUM(INDIRECT("'Yr1'!"&amp;ADDRESS(ROW(BA106),COLUMN(BA106))),INDIRECT("'Yr2'!"&amp;ADDRESS(ROW(BA106),COLUMN(BA106))),INDIRECT("'Yr3'!"&amp;ADDRESS(ROW(BA106),COLUMN(BA106)))),
IF(BA91=0,0,-PMT(INDEX(Lookups!$E$17:$G$17,MATCH($C$4,Lookups!$E$14:$G$14,0)),BA91,SUMIFS('EE Inputs'!$K$9:$K$32,'EE Inputs'!$C$9:$C$32,$AM$6,'EE Inputs'!$D$9:$D$32,$C$4,'EE Inputs'!$E$9:$E$32,$B106),0,1)))</f>
        <v>7849.6532528337884</v>
      </c>
      <c r="BB106" s="72">
        <f ca="1">IF($C$4=Lookups!$D$40,SUM(INDIRECT("'Yr1'!"&amp;ADDRESS(ROW(BB106),COLUMN(BB106))),INDIRECT("'Yr2'!"&amp;ADDRESS(ROW(BB106),COLUMN(BB106))),INDIRECT("'Yr3'!"&amp;ADDRESS(ROW(BB106),COLUMN(BB106)))),
IF(BB91=0,0,-PMT(INDEX(Lookups!$E$17:$G$17,MATCH($C$4,Lookups!$E$14:$G$14,0)),BB91,SUMIFS('EE Inputs'!$K$9:$K$32,'EE Inputs'!$C$9:$C$32,$AM$6,'EE Inputs'!$D$9:$D$32,$C$4,'EE Inputs'!$E$9:$E$32,$B106),0,1)))</f>
        <v>7849.6532528337884</v>
      </c>
      <c r="BC106" s="72">
        <f ca="1">IF($C$4=Lookups!$D$40,SUM(INDIRECT("'Yr1'!"&amp;ADDRESS(ROW(BC106),COLUMN(BC106))),INDIRECT("'Yr2'!"&amp;ADDRESS(ROW(BC106),COLUMN(BC106))),INDIRECT("'Yr3'!"&amp;ADDRESS(ROW(BC106),COLUMN(BC106)))),
IF(BC91=0,0,-PMT(INDEX(Lookups!$E$17:$G$17,MATCH($C$4,Lookups!$E$14:$G$14,0)),BC91,SUMIFS('EE Inputs'!$K$9:$K$32,'EE Inputs'!$C$9:$C$32,$AM$6,'EE Inputs'!$D$9:$D$32,$C$4,'EE Inputs'!$E$9:$E$32,$B106),0,1)))</f>
        <v>7849.6532528337884</v>
      </c>
      <c r="BD106" s="72">
        <f ca="1">IF($C$4=Lookups!$D$40,SUM(INDIRECT("'Yr1'!"&amp;ADDRESS(ROW(BD106),COLUMN(BD106))),INDIRECT("'Yr2'!"&amp;ADDRESS(ROW(BD106),COLUMN(BD106))),INDIRECT("'Yr3'!"&amp;ADDRESS(ROW(BD106),COLUMN(BD106)))),
IF(BD91=0,0,-PMT(INDEX(Lookups!$E$17:$G$17,MATCH($C$4,Lookups!$E$14:$G$14,0)),BD91,SUMIFS('EE Inputs'!$K$9:$K$32,'EE Inputs'!$C$9:$C$32,$AM$6,'EE Inputs'!$D$9:$D$32,$C$4,'EE Inputs'!$E$9:$E$32,$B106),0,1)))</f>
        <v>7849.6532528337884</v>
      </c>
      <c r="BE106" s="72">
        <f ca="1">IF($C$4=Lookups!$D$40,SUM(INDIRECT("'Yr1'!"&amp;ADDRESS(ROW(BE106),COLUMN(BE106))),INDIRECT("'Yr2'!"&amp;ADDRESS(ROW(BE106),COLUMN(BE106))),INDIRECT("'Yr3'!"&amp;ADDRESS(ROW(BE106),COLUMN(BE106)))),
IF(BE91=0,0,-PMT(INDEX(Lookups!$E$17:$G$17,MATCH($C$4,Lookups!$E$14:$G$14,0)),BE91,SUMIFS('EE Inputs'!$K$9:$K$32,'EE Inputs'!$C$9:$C$32,$AM$6,'EE Inputs'!$D$9:$D$32,$C$4,'EE Inputs'!$E$9:$E$32,$B106),0,1)))</f>
        <v>7849.6532528337884</v>
      </c>
      <c r="BF106" s="72">
        <f ca="1">IF($C$4=Lookups!$D$40,SUM(INDIRECT("'Yr1'!"&amp;ADDRESS(ROW(BF106),COLUMN(BF106))),INDIRECT("'Yr2'!"&amp;ADDRESS(ROW(BF106),COLUMN(BF106))),INDIRECT("'Yr3'!"&amp;ADDRESS(ROW(BF106),COLUMN(BF106)))),
IF(BF91=0,0,-PMT(INDEX(Lookups!$E$17:$G$17,MATCH($C$4,Lookups!$E$14:$G$14,0)),BF91,SUMIFS('EE Inputs'!$K$9:$K$32,'EE Inputs'!$C$9:$C$32,$AM$6,'EE Inputs'!$D$9:$D$32,$C$4,'EE Inputs'!$E$9:$E$32,$B106),0,1)))</f>
        <v>7849.6532528337884</v>
      </c>
      <c r="BG106" s="72">
        <f ca="1">IF($C$4=Lookups!$D$40,SUM(INDIRECT("'Yr1'!"&amp;ADDRESS(ROW(BG106),COLUMN(BG106))),INDIRECT("'Yr2'!"&amp;ADDRESS(ROW(BG106),COLUMN(BG106))),INDIRECT("'Yr3'!"&amp;ADDRESS(ROW(BG106),COLUMN(BG106)))),
IF(BG91=0,0,-PMT(INDEX(Lookups!$E$17:$G$17,MATCH($C$4,Lookups!$E$14:$G$14,0)),BG91,SUMIFS('EE Inputs'!$K$9:$K$32,'EE Inputs'!$C$9:$C$32,$AM$6,'EE Inputs'!$D$9:$D$32,$C$4,'EE Inputs'!$E$9:$E$32,$B106),0,1)))</f>
        <v>5315.7611936386347</v>
      </c>
      <c r="BH106" s="72">
        <f ca="1">IF($C$4=Lookups!$D$40,SUM(INDIRECT("'Yr1'!"&amp;ADDRESS(ROW(BH106),COLUMN(BH106))),INDIRECT("'Yr2'!"&amp;ADDRESS(ROW(BH106),COLUMN(BH106))),INDIRECT("'Yr3'!"&amp;ADDRESS(ROW(BH106),COLUMN(BH106)))),
IF(BH91=0,0,-PMT(INDEX(Lookups!$E$17:$G$17,MATCH($C$4,Lookups!$E$14:$G$14,0)),BH91,SUMIFS('EE Inputs'!$K$9:$K$32,'EE Inputs'!$C$9:$C$32,$AM$6,'EE Inputs'!$D$9:$D$32,$C$4,'EE Inputs'!$E$9:$E$32,$B106),0,1)))</f>
        <v>2705.2568024553152</v>
      </c>
      <c r="BI106" s="72">
        <f ca="1">IF($C$4=Lookups!$D$40,SUM(INDIRECT("'Yr1'!"&amp;ADDRESS(ROW(BI106),COLUMN(BI106))),INDIRECT("'Yr2'!"&amp;ADDRESS(ROW(BI106),COLUMN(BI106))),INDIRECT("'Yr3'!"&amp;ADDRESS(ROW(BI106),COLUMN(BI106)))),
IF(BI91=0,0,-PMT(INDEX(Lookups!$E$17:$G$17,MATCH($C$4,Lookups!$E$14:$G$14,0)),BI91,SUMIFS('EE Inputs'!$K$9:$K$32,'EE Inputs'!$C$9:$C$32,$AM$6,'EE Inputs'!$D$9:$D$32,$C$4,'EE Inputs'!$E$9:$E$32,$B106),0,1)))</f>
        <v>0</v>
      </c>
      <c r="BJ106" s="72">
        <f ca="1">IF($C$4=Lookups!$D$40,SUM(INDIRECT("'Yr1'!"&amp;ADDRESS(ROW(BJ106),COLUMN(BJ106))),INDIRECT("'Yr2'!"&amp;ADDRESS(ROW(BJ106),COLUMN(BJ106))),INDIRECT("'Yr3'!"&amp;ADDRESS(ROW(BJ106),COLUMN(BJ106)))),
IF(BJ91=0,0,-PMT(INDEX(Lookups!$E$17:$G$17,MATCH($C$4,Lookups!$E$14:$G$14,0)),BJ91,SUMIFS('EE Inputs'!$K$9:$K$32,'EE Inputs'!$C$9:$C$32,$AM$6,'EE Inputs'!$D$9:$D$32,$C$4,'EE Inputs'!$E$9:$E$32,$B106),0,1)))</f>
        <v>0</v>
      </c>
      <c r="BK106" s="72">
        <f ca="1">IF($C$4=Lookups!$D$40,SUM(INDIRECT("'Yr1'!"&amp;ADDRESS(ROW(BK106),COLUMN(BK106))),INDIRECT("'Yr2'!"&amp;ADDRESS(ROW(BK106),COLUMN(BK106))),INDIRECT("'Yr3'!"&amp;ADDRESS(ROW(BK106),COLUMN(BK106)))),
IF(BK91=0,0,-PMT(INDEX(Lookups!$E$17:$G$17,MATCH($C$4,Lookups!$E$14:$G$14,0)),BK91,SUMIFS('EE Inputs'!$K$9:$K$32,'EE Inputs'!$C$9:$C$32,$AM$6,'EE Inputs'!$D$9:$D$32,$C$4,'EE Inputs'!$E$9:$E$32,$B106),0,1)))</f>
        <v>0</v>
      </c>
      <c r="BL106" s="72">
        <f ca="1">IF($C$4=Lookups!$D$40,SUM(INDIRECT("'Yr1'!"&amp;ADDRESS(ROW(BL106),COLUMN(BL106))),INDIRECT("'Yr2'!"&amp;ADDRESS(ROW(BL106),COLUMN(BL106))),INDIRECT("'Yr3'!"&amp;ADDRESS(ROW(BL106),COLUMN(BL106)))),
IF(BL91=0,0,-PMT(INDEX(Lookups!$E$17:$G$17,MATCH($C$4,Lookups!$E$14:$G$14,0)),BL91,SUMIFS('EE Inputs'!$K$9:$K$32,'EE Inputs'!$C$9:$C$32,$AM$6,'EE Inputs'!$D$9:$D$32,$C$4,'EE Inputs'!$E$9:$E$32,$B106),0,1)))</f>
        <v>0</v>
      </c>
      <c r="BM106" s="72">
        <f ca="1">IF($C$4=Lookups!$D$40,SUM(INDIRECT("'Yr1'!"&amp;ADDRESS(ROW(BM106),COLUMN(BM106))),INDIRECT("'Yr2'!"&amp;ADDRESS(ROW(BM106),COLUMN(BM106))),INDIRECT("'Yr3'!"&amp;ADDRESS(ROW(BM106),COLUMN(BM106)))),
IF(BM91=0,0,-PMT(INDEX(Lookups!$E$17:$G$17,MATCH($C$4,Lookups!$E$14:$G$14,0)),BM91,SUMIFS('EE Inputs'!$K$9:$K$32,'EE Inputs'!$C$9:$C$32,$AM$6,'EE Inputs'!$D$9:$D$32,$C$4,'EE Inputs'!$E$9:$E$32,$B106),0,1)))</f>
        <v>0</v>
      </c>
      <c r="BN106" s="72"/>
      <c r="BO106" s="72">
        <f ca="1">NPV(Lookups!$E$17,AM106:BM106)</f>
        <v>133984.17941732632</v>
      </c>
      <c r="BP106" s="72"/>
      <c r="BS106" s="84" t="str">
        <f>"Avoided "&amp;E106&amp;" costs."</f>
        <v>Avoided Gas DRIPE costs.</v>
      </c>
      <c r="BT106" s="51" t="s">
        <v>17</v>
      </c>
    </row>
    <row r="107" spans="1:72" x14ac:dyDescent="0.25">
      <c r="B107" s="243" t="str">
        <f t="shared" ref="B107:C109" si="98">B106</f>
        <v>Low-Income</v>
      </c>
      <c r="C107" s="243" t="str">
        <f t="shared" si="98"/>
        <v>Revenue Requirements</v>
      </c>
      <c r="D107" s="114" t="s">
        <v>165</v>
      </c>
      <c r="E107" s="84"/>
      <c r="F107" s="84"/>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S107" s="84"/>
      <c r="BT107" s="51" t="s">
        <v>17</v>
      </c>
    </row>
    <row r="108" spans="1:72" x14ac:dyDescent="0.25">
      <c r="A108" s="476"/>
      <c r="B108" s="243" t="str">
        <f t="shared" si="98"/>
        <v>Low-Income</v>
      </c>
      <c r="C108" s="243" t="str">
        <f t="shared" si="98"/>
        <v>Revenue Requirements</v>
      </c>
      <c r="D108" s="244" t="str">
        <f>D107</f>
        <v>Increased Costs and Cost Shifting</v>
      </c>
      <c r="E108" s="84" t="s">
        <v>406</v>
      </c>
      <c r="F108" s="84" t="s">
        <v>32</v>
      </c>
      <c r="G108" s="64">
        <f ca="1">IF($C$4=Lookups!$D$40,SUM(INDIRECT("'Yr1'!"&amp;ADDRESS(ROW(G108),COLUMN(G108))),INDIRECT("'Yr2'!"&amp;ADDRESS(ROW(G108),COLUMN(G108))),INDIRECT("'Yr3'!"&amp;ADDRESS(ROW(G108),COLUMN(G108)))),
IF($C$4=G$7,G128*G96,0))</f>
        <v>296667.97404075484</v>
      </c>
      <c r="H108" s="64">
        <f ca="1">IF($C$4=Lookups!$D$40,SUM(INDIRECT("'Yr1'!"&amp;ADDRESS(ROW(H108),COLUMN(H108))),INDIRECT("'Yr2'!"&amp;ADDRESS(ROW(H108),COLUMN(H108))),INDIRECT("'Yr3'!"&amp;ADDRESS(ROW(H108),COLUMN(H108)))),
IF($C$4=H$7,H128*H96,0))</f>
        <v>305513.13244021678</v>
      </c>
      <c r="I108" s="64">
        <f ca="1">IF($C$4=Lookups!$D$40,SUM(INDIRECT("'Yr1'!"&amp;ADDRESS(ROW(I108),COLUMN(I108))),INDIRECT("'Yr2'!"&amp;ADDRESS(ROW(I108),COLUMN(I108))),INDIRECT("'Yr3'!"&amp;ADDRESS(ROW(I108),COLUMN(I108)))),
IF($C$4=I$7,I128*I96,0))</f>
        <v>315042.90314635326</v>
      </c>
      <c r="J108" s="64">
        <f ca="1">IF($C$4=Lookups!$D$40,SUM(INDIRECT("'Yr1'!"&amp;ADDRESS(ROW(J108),COLUMN(J108))),INDIRECT("'Yr2'!"&amp;ADDRESS(ROW(J108),COLUMN(J108))),INDIRECT("'Yr3'!"&amp;ADDRESS(ROW(J108),COLUMN(J108)))),
IF($C$4=J$7,J128*J96,0))</f>
        <v>0</v>
      </c>
      <c r="K108" s="64">
        <f ca="1">IF($C$4=Lookups!$D$40,SUM(INDIRECT("'Yr1'!"&amp;ADDRESS(ROW(K108),COLUMN(K108))),INDIRECT("'Yr2'!"&amp;ADDRESS(ROW(K108),COLUMN(K108))),INDIRECT("'Yr3'!"&amp;ADDRESS(ROW(K108),COLUMN(K108)))),
IF($C$4=K$7,K128*K96,0))</f>
        <v>0</v>
      </c>
      <c r="L108" s="64">
        <f ca="1">IF($C$4=Lookups!$D$40,SUM(INDIRECT("'Yr1'!"&amp;ADDRESS(ROW(L108),COLUMN(L108))),INDIRECT("'Yr2'!"&amp;ADDRESS(ROW(L108),COLUMN(L108))),INDIRECT("'Yr3'!"&amp;ADDRESS(ROW(L108),COLUMN(L108)))),
IF($C$4=L$7,L128*L96,0))</f>
        <v>0</v>
      </c>
      <c r="M108" s="64">
        <f ca="1">IF($C$4=Lookups!$D$40,SUM(INDIRECT("'Yr1'!"&amp;ADDRESS(ROW(M108),COLUMN(M108))),INDIRECT("'Yr2'!"&amp;ADDRESS(ROW(M108),COLUMN(M108))),INDIRECT("'Yr3'!"&amp;ADDRESS(ROW(M108),COLUMN(M108)))),
IF($C$4=M$7,M128*M96,0))</f>
        <v>0</v>
      </c>
      <c r="N108" s="64">
        <f ca="1">IF($C$4=Lookups!$D$40,SUM(INDIRECT("'Yr1'!"&amp;ADDRESS(ROW(N108),COLUMN(N108))),INDIRECT("'Yr2'!"&amp;ADDRESS(ROW(N108),COLUMN(N108))),INDIRECT("'Yr3'!"&amp;ADDRESS(ROW(N108),COLUMN(N108)))),
IF($C$4=N$7,N128*N96,0))</f>
        <v>0</v>
      </c>
      <c r="O108" s="64">
        <f ca="1">IF($C$4=Lookups!$D$40,SUM(INDIRECT("'Yr1'!"&amp;ADDRESS(ROW(O108),COLUMN(O108))),INDIRECT("'Yr2'!"&amp;ADDRESS(ROW(O108),COLUMN(O108))),INDIRECT("'Yr3'!"&amp;ADDRESS(ROW(O108),COLUMN(O108)))),
IF($C$4=O$7,O128*O96,0))</f>
        <v>0</v>
      </c>
      <c r="P108" s="64">
        <f ca="1">IF($C$4=Lookups!$D$40,SUM(INDIRECT("'Yr1'!"&amp;ADDRESS(ROW(P108),COLUMN(P108))),INDIRECT("'Yr2'!"&amp;ADDRESS(ROW(P108),COLUMN(P108))),INDIRECT("'Yr3'!"&amp;ADDRESS(ROW(P108),COLUMN(P108)))),
IF($C$4=P$7,P128*P96,0))</f>
        <v>0</v>
      </c>
      <c r="Q108" s="64">
        <f ca="1">IF($C$4=Lookups!$D$40,SUM(INDIRECT("'Yr1'!"&amp;ADDRESS(ROW(Q108),COLUMN(Q108))),INDIRECT("'Yr2'!"&amp;ADDRESS(ROW(Q108),COLUMN(Q108))),INDIRECT("'Yr3'!"&amp;ADDRESS(ROW(Q108),COLUMN(Q108)))),
IF($C$4=Q$7,Q128*Q96,0))</f>
        <v>0</v>
      </c>
      <c r="R108" s="64">
        <f ca="1">IF($C$4=Lookups!$D$40,SUM(INDIRECT("'Yr1'!"&amp;ADDRESS(ROW(R108),COLUMN(R108))),INDIRECT("'Yr2'!"&amp;ADDRESS(ROW(R108),COLUMN(R108))),INDIRECT("'Yr3'!"&amp;ADDRESS(ROW(R108),COLUMN(R108)))),
IF($C$4=R$7,R128*R96,0))</f>
        <v>0</v>
      </c>
      <c r="S108" s="64">
        <f ca="1">IF($C$4=Lookups!$D$40,SUM(INDIRECT("'Yr1'!"&amp;ADDRESS(ROW(S108),COLUMN(S108))),INDIRECT("'Yr2'!"&amp;ADDRESS(ROW(S108),COLUMN(S108))),INDIRECT("'Yr3'!"&amp;ADDRESS(ROW(S108),COLUMN(S108)))),
IF($C$4=S$7,S128*S96,0))</f>
        <v>0</v>
      </c>
      <c r="T108" s="64">
        <f ca="1">IF($C$4=Lookups!$D$40,SUM(INDIRECT("'Yr1'!"&amp;ADDRESS(ROW(T108),COLUMN(T108))),INDIRECT("'Yr2'!"&amp;ADDRESS(ROW(T108),COLUMN(T108))),INDIRECT("'Yr3'!"&amp;ADDRESS(ROW(T108),COLUMN(T108)))),
IF($C$4=T$7,T128*T96,0))</f>
        <v>0</v>
      </c>
      <c r="U108" s="64">
        <f ca="1">IF($C$4=Lookups!$D$40,SUM(INDIRECT("'Yr1'!"&amp;ADDRESS(ROW(U108),COLUMN(U108))),INDIRECT("'Yr2'!"&amp;ADDRESS(ROW(U108),COLUMN(U108))),INDIRECT("'Yr3'!"&amp;ADDRESS(ROW(U108),COLUMN(U108)))),
IF($C$4=U$7,U128*U96,0))</f>
        <v>0</v>
      </c>
      <c r="V108" s="64">
        <f ca="1">IF($C$4=Lookups!$D$40,SUM(INDIRECT("'Yr1'!"&amp;ADDRESS(ROW(V108),COLUMN(V108))),INDIRECT("'Yr2'!"&amp;ADDRESS(ROW(V108),COLUMN(V108))),INDIRECT("'Yr3'!"&amp;ADDRESS(ROW(V108),COLUMN(V108)))),
IF($C$4=V$7,V128*V96,0))</f>
        <v>0</v>
      </c>
      <c r="W108" s="64">
        <f ca="1">IF($C$4=Lookups!$D$40,SUM(INDIRECT("'Yr1'!"&amp;ADDRESS(ROW(W108),COLUMN(W108))),INDIRECT("'Yr2'!"&amp;ADDRESS(ROW(W108),COLUMN(W108))),INDIRECT("'Yr3'!"&amp;ADDRESS(ROW(W108),COLUMN(W108)))),
IF($C$4=W$7,W128*W96,0))</f>
        <v>0</v>
      </c>
      <c r="X108" s="64">
        <f ca="1">IF($C$4=Lookups!$D$40,SUM(INDIRECT("'Yr1'!"&amp;ADDRESS(ROW(X108),COLUMN(X108))),INDIRECT("'Yr2'!"&amp;ADDRESS(ROW(X108),COLUMN(X108))),INDIRECT("'Yr3'!"&amp;ADDRESS(ROW(X108),COLUMN(X108)))),
IF($C$4=X$7,X128*X96,0))</f>
        <v>0</v>
      </c>
      <c r="Y108" s="64">
        <f ca="1">IF($C$4=Lookups!$D$40,SUM(INDIRECT("'Yr1'!"&amp;ADDRESS(ROW(Y108),COLUMN(Y108))),INDIRECT("'Yr2'!"&amp;ADDRESS(ROW(Y108),COLUMN(Y108))),INDIRECT("'Yr3'!"&amp;ADDRESS(ROW(Y108),COLUMN(Y108)))),
IF($C$4=Y$7,Y128*Y96,0))</f>
        <v>0</v>
      </c>
      <c r="Z108" s="64">
        <f ca="1">IF($C$4=Lookups!$D$40,SUM(INDIRECT("'Yr1'!"&amp;ADDRESS(ROW(Z108),COLUMN(Z108))),INDIRECT("'Yr2'!"&amp;ADDRESS(ROW(Z108),COLUMN(Z108))),INDIRECT("'Yr3'!"&amp;ADDRESS(ROW(Z108),COLUMN(Z108)))),
IF($C$4=Z$7,Z128*Z96,0))</f>
        <v>0</v>
      </c>
      <c r="AA108" s="64">
        <f ca="1">IF($C$4=Lookups!$D$40,SUM(INDIRECT("'Yr1'!"&amp;ADDRESS(ROW(AA108),COLUMN(AA108))),INDIRECT("'Yr2'!"&amp;ADDRESS(ROW(AA108),COLUMN(AA108))),INDIRECT("'Yr3'!"&amp;ADDRESS(ROW(AA108),COLUMN(AA108)))),
IF($C$4=AA$7,AA128*AA96,0))</f>
        <v>0</v>
      </c>
      <c r="AB108" s="64">
        <f ca="1">IF($C$4=Lookups!$D$40,SUM(INDIRECT("'Yr1'!"&amp;ADDRESS(ROW(AB108),COLUMN(AB108))),INDIRECT("'Yr2'!"&amp;ADDRESS(ROW(AB108),COLUMN(AB108))),INDIRECT("'Yr3'!"&amp;ADDRESS(ROW(AB108),COLUMN(AB108)))),
IF($C$4=AB$7,AB128*AB96,0))</f>
        <v>0</v>
      </c>
      <c r="AC108" s="64">
        <f ca="1">IF($C$4=Lookups!$D$40,SUM(INDIRECT("'Yr1'!"&amp;ADDRESS(ROW(AC108),COLUMN(AC108))),INDIRECT("'Yr2'!"&amp;ADDRESS(ROW(AC108),COLUMN(AC108))),INDIRECT("'Yr3'!"&amp;ADDRESS(ROW(AC108),COLUMN(AC108)))),
IF($C$4=AC$7,AC128*AC96,0))</f>
        <v>0</v>
      </c>
      <c r="AD108" s="64">
        <f ca="1">IF($C$4=Lookups!$D$40,SUM(INDIRECT("'Yr1'!"&amp;ADDRESS(ROW(AD108),COLUMN(AD108))),INDIRECT("'Yr2'!"&amp;ADDRESS(ROW(AD108),COLUMN(AD108))),INDIRECT("'Yr3'!"&amp;ADDRESS(ROW(AD108),COLUMN(AD108)))),
IF($C$4=AD$7,AD128*AD96,0))</f>
        <v>0</v>
      </c>
      <c r="AE108" s="64">
        <f ca="1">IF($C$4=Lookups!$D$40,SUM(INDIRECT("'Yr1'!"&amp;ADDRESS(ROW(AE108),COLUMN(AE108))),INDIRECT("'Yr2'!"&amp;ADDRESS(ROW(AE108),COLUMN(AE108))),INDIRECT("'Yr3'!"&amp;ADDRESS(ROW(AE108),COLUMN(AE108)))),
IF($C$4=AE$7,AE128*AE96,0))</f>
        <v>0</v>
      </c>
      <c r="AF108" s="64">
        <f ca="1">IF($C$4=Lookups!$D$40,SUM(INDIRECT("'Yr1'!"&amp;ADDRESS(ROW(AF108),COLUMN(AF108))),INDIRECT("'Yr2'!"&amp;ADDRESS(ROW(AF108),COLUMN(AF108))),INDIRECT("'Yr3'!"&amp;ADDRESS(ROW(AF108),COLUMN(AF108)))),
IF($C$4=AF$7,AF128*AF96,0))</f>
        <v>0</v>
      </c>
      <c r="AG108" s="64">
        <f ca="1">IF($C$4=Lookups!$D$40,SUM(INDIRECT("'Yr1'!"&amp;ADDRESS(ROW(AG108),COLUMN(AG108))),INDIRECT("'Yr2'!"&amp;ADDRESS(ROW(AG108),COLUMN(AG108))),INDIRECT("'Yr3'!"&amp;ADDRESS(ROW(AG108),COLUMN(AG108)))),
IF($C$4=AG$7,AG128*AG96,0))</f>
        <v>0</v>
      </c>
      <c r="AH108" s="49"/>
      <c r="AI108" s="64">
        <f ca="1">NPV(Lookups!$E$17,G108:AG108)</f>
        <v>891625.59527898871</v>
      </c>
      <c r="AJ108" s="65"/>
      <c r="AM108" s="71">
        <f ca="1">IF($C$4=Lookups!$D$40,SUM(INDIRECT("'Yr1'!"&amp;ADDRESS(ROW(AM108),COLUMN(AM108))),INDIRECT("'Yr2'!"&amp;ADDRESS(ROW(AM108),COLUMN(AM108))),INDIRECT("'Yr3'!"&amp;ADDRESS(ROW(AM108),COLUMN(AM108)))),
IF($C$4=AM$7,AM128*AM96,0))</f>
        <v>355032.73988454207</v>
      </c>
      <c r="AN108" s="71">
        <f ca="1">IF($C$4=Lookups!$D$40,SUM(INDIRECT("'Yr1'!"&amp;ADDRESS(ROW(AN108),COLUMN(AN108))),INDIRECT("'Yr2'!"&amp;ADDRESS(ROW(AN108),COLUMN(AN108))),INDIRECT("'Yr3'!"&amp;ADDRESS(ROW(AN108),COLUMN(AN108)))),
IF($C$4=AN$7,AN128*AN96,0))</f>
        <v>365586.7050882543</v>
      </c>
      <c r="AO108" s="71">
        <f ca="1">IF($C$4=Lookups!$D$40,SUM(INDIRECT("'Yr1'!"&amp;ADDRESS(ROW(AO108),COLUMN(AO108))),INDIRECT("'Yr2'!"&amp;ADDRESS(ROW(AO108),COLUMN(AO108))),INDIRECT("'Yr3'!"&amp;ADDRESS(ROW(AO108),COLUMN(AO108)))),
IF($C$4=AO$7,AO128*AO96,0))</f>
        <v>376948.22626494308</v>
      </c>
      <c r="AP108" s="71">
        <f ca="1">IF($C$4=Lookups!$D$40,SUM(INDIRECT("'Yr1'!"&amp;ADDRESS(ROW(AP108),COLUMN(AP108))),INDIRECT("'Yr2'!"&amp;ADDRESS(ROW(AP108),COLUMN(AP108))),INDIRECT("'Yr3'!"&amp;ADDRESS(ROW(AP108),COLUMN(AP108)))),
IF($C$4=AP$7,AP128*AP96,0))</f>
        <v>0</v>
      </c>
      <c r="AQ108" s="71">
        <f ca="1">IF($C$4=Lookups!$D$40,SUM(INDIRECT("'Yr1'!"&amp;ADDRESS(ROW(AQ108),COLUMN(AQ108))),INDIRECT("'Yr2'!"&amp;ADDRESS(ROW(AQ108),COLUMN(AQ108))),INDIRECT("'Yr3'!"&amp;ADDRESS(ROW(AQ108),COLUMN(AQ108)))),
IF($C$4=AQ$7,AQ128*AQ96,0))</f>
        <v>0</v>
      </c>
      <c r="AR108" s="71">
        <f ca="1">IF($C$4=Lookups!$D$40,SUM(INDIRECT("'Yr1'!"&amp;ADDRESS(ROW(AR108),COLUMN(AR108))),INDIRECT("'Yr2'!"&amp;ADDRESS(ROW(AR108),COLUMN(AR108))),INDIRECT("'Yr3'!"&amp;ADDRESS(ROW(AR108),COLUMN(AR108)))),
IF($C$4=AR$7,AR128*AR96,0))</f>
        <v>0</v>
      </c>
      <c r="AS108" s="71">
        <f ca="1">IF($C$4=Lookups!$D$40,SUM(INDIRECT("'Yr1'!"&amp;ADDRESS(ROW(AS108),COLUMN(AS108))),INDIRECT("'Yr2'!"&amp;ADDRESS(ROW(AS108),COLUMN(AS108))),INDIRECT("'Yr3'!"&amp;ADDRESS(ROW(AS108),COLUMN(AS108)))),
IF($C$4=AS$7,AS128*AS96,0))</f>
        <v>0</v>
      </c>
      <c r="AT108" s="71">
        <f ca="1">IF($C$4=Lookups!$D$40,SUM(INDIRECT("'Yr1'!"&amp;ADDRESS(ROW(AT108),COLUMN(AT108))),INDIRECT("'Yr2'!"&amp;ADDRESS(ROW(AT108),COLUMN(AT108))),INDIRECT("'Yr3'!"&amp;ADDRESS(ROW(AT108),COLUMN(AT108)))),
IF($C$4=AT$7,AT128*AT96,0))</f>
        <v>0</v>
      </c>
      <c r="AU108" s="71">
        <f ca="1">IF($C$4=Lookups!$D$40,SUM(INDIRECT("'Yr1'!"&amp;ADDRESS(ROW(AU108),COLUMN(AU108))),INDIRECT("'Yr2'!"&amp;ADDRESS(ROW(AU108),COLUMN(AU108))),INDIRECT("'Yr3'!"&amp;ADDRESS(ROW(AU108),COLUMN(AU108)))),
IF($C$4=AU$7,AU128*AU96,0))</f>
        <v>0</v>
      </c>
      <c r="AV108" s="71">
        <f ca="1">IF($C$4=Lookups!$D$40,SUM(INDIRECT("'Yr1'!"&amp;ADDRESS(ROW(AV108),COLUMN(AV108))),INDIRECT("'Yr2'!"&amp;ADDRESS(ROW(AV108),COLUMN(AV108))),INDIRECT("'Yr3'!"&amp;ADDRESS(ROW(AV108),COLUMN(AV108)))),
IF($C$4=AV$7,AV128*AV96,0))</f>
        <v>0</v>
      </c>
      <c r="AW108" s="71">
        <f ca="1">IF($C$4=Lookups!$D$40,SUM(INDIRECT("'Yr1'!"&amp;ADDRESS(ROW(AW108),COLUMN(AW108))),INDIRECT("'Yr2'!"&amp;ADDRESS(ROW(AW108),COLUMN(AW108))),INDIRECT("'Yr3'!"&amp;ADDRESS(ROW(AW108),COLUMN(AW108)))),
IF($C$4=AW$7,AW128*AW96,0))</f>
        <v>0</v>
      </c>
      <c r="AX108" s="71">
        <f ca="1">IF($C$4=Lookups!$D$40,SUM(INDIRECT("'Yr1'!"&amp;ADDRESS(ROW(AX108),COLUMN(AX108))),INDIRECT("'Yr2'!"&amp;ADDRESS(ROW(AX108),COLUMN(AX108))),INDIRECT("'Yr3'!"&amp;ADDRESS(ROW(AX108),COLUMN(AX108)))),
IF($C$4=AX$7,AX128*AX96,0))</f>
        <v>0</v>
      </c>
      <c r="AY108" s="71">
        <f ca="1">IF($C$4=Lookups!$D$40,SUM(INDIRECT("'Yr1'!"&amp;ADDRESS(ROW(AY108),COLUMN(AY108))),INDIRECT("'Yr2'!"&amp;ADDRESS(ROW(AY108),COLUMN(AY108))),INDIRECT("'Yr3'!"&amp;ADDRESS(ROW(AY108),COLUMN(AY108)))),
IF($C$4=AY$7,AY128*AY96,0))</f>
        <v>0</v>
      </c>
      <c r="AZ108" s="71">
        <f ca="1">IF($C$4=Lookups!$D$40,SUM(INDIRECT("'Yr1'!"&amp;ADDRESS(ROW(AZ108),COLUMN(AZ108))),INDIRECT("'Yr2'!"&amp;ADDRESS(ROW(AZ108),COLUMN(AZ108))),INDIRECT("'Yr3'!"&amp;ADDRESS(ROW(AZ108),COLUMN(AZ108)))),
IF($C$4=AZ$7,AZ128*AZ96,0))</f>
        <v>0</v>
      </c>
      <c r="BA108" s="71">
        <f ca="1">IF($C$4=Lookups!$D$40,SUM(INDIRECT("'Yr1'!"&amp;ADDRESS(ROW(BA108),COLUMN(BA108))),INDIRECT("'Yr2'!"&amp;ADDRESS(ROW(BA108),COLUMN(BA108))),INDIRECT("'Yr3'!"&amp;ADDRESS(ROW(BA108),COLUMN(BA108)))),
IF($C$4=BA$7,BA128*BA96,0))</f>
        <v>0</v>
      </c>
      <c r="BB108" s="71">
        <f ca="1">IF($C$4=Lookups!$D$40,SUM(INDIRECT("'Yr1'!"&amp;ADDRESS(ROW(BB108),COLUMN(BB108))),INDIRECT("'Yr2'!"&amp;ADDRESS(ROW(BB108),COLUMN(BB108))),INDIRECT("'Yr3'!"&amp;ADDRESS(ROW(BB108),COLUMN(BB108)))),
IF($C$4=BB$7,BB128*BB96,0))</f>
        <v>0</v>
      </c>
      <c r="BC108" s="71">
        <f ca="1">IF($C$4=Lookups!$D$40,SUM(INDIRECT("'Yr1'!"&amp;ADDRESS(ROW(BC108),COLUMN(BC108))),INDIRECT("'Yr2'!"&amp;ADDRESS(ROW(BC108),COLUMN(BC108))),INDIRECT("'Yr3'!"&amp;ADDRESS(ROW(BC108),COLUMN(BC108)))),
IF($C$4=BC$7,BC128*BC96,0))</f>
        <v>0</v>
      </c>
      <c r="BD108" s="71">
        <f ca="1">IF($C$4=Lookups!$D$40,SUM(INDIRECT("'Yr1'!"&amp;ADDRESS(ROW(BD108),COLUMN(BD108))),INDIRECT("'Yr2'!"&amp;ADDRESS(ROW(BD108),COLUMN(BD108))),INDIRECT("'Yr3'!"&amp;ADDRESS(ROW(BD108),COLUMN(BD108)))),
IF($C$4=BD$7,BD128*BD96,0))</f>
        <v>0</v>
      </c>
      <c r="BE108" s="71">
        <f ca="1">IF($C$4=Lookups!$D$40,SUM(INDIRECT("'Yr1'!"&amp;ADDRESS(ROW(BE108),COLUMN(BE108))),INDIRECT("'Yr2'!"&amp;ADDRESS(ROW(BE108),COLUMN(BE108))),INDIRECT("'Yr3'!"&amp;ADDRESS(ROW(BE108),COLUMN(BE108)))),
IF($C$4=BE$7,BE128*BE96,0))</f>
        <v>0</v>
      </c>
      <c r="BF108" s="71">
        <f ca="1">IF($C$4=Lookups!$D$40,SUM(INDIRECT("'Yr1'!"&amp;ADDRESS(ROW(BF108),COLUMN(BF108))),INDIRECT("'Yr2'!"&amp;ADDRESS(ROW(BF108),COLUMN(BF108))),INDIRECT("'Yr3'!"&amp;ADDRESS(ROW(BF108),COLUMN(BF108)))),
IF($C$4=BF$7,BF128*BF96,0))</f>
        <v>0</v>
      </c>
      <c r="BG108" s="71">
        <f ca="1">IF($C$4=Lookups!$D$40,SUM(INDIRECT("'Yr1'!"&amp;ADDRESS(ROW(BG108),COLUMN(BG108))),INDIRECT("'Yr2'!"&amp;ADDRESS(ROW(BG108),COLUMN(BG108))),INDIRECT("'Yr3'!"&amp;ADDRESS(ROW(BG108),COLUMN(BG108)))),
IF($C$4=BG$7,BG128*BG96,0))</f>
        <v>0</v>
      </c>
      <c r="BH108" s="71">
        <f ca="1">IF($C$4=Lookups!$D$40,SUM(INDIRECT("'Yr1'!"&amp;ADDRESS(ROW(BH108),COLUMN(BH108))),INDIRECT("'Yr2'!"&amp;ADDRESS(ROW(BH108),COLUMN(BH108))),INDIRECT("'Yr3'!"&amp;ADDRESS(ROW(BH108),COLUMN(BH108)))),
IF($C$4=BH$7,BH128*BH96,0))</f>
        <v>0</v>
      </c>
      <c r="BI108" s="71">
        <f ca="1">IF($C$4=Lookups!$D$40,SUM(INDIRECT("'Yr1'!"&amp;ADDRESS(ROW(BI108),COLUMN(BI108))),INDIRECT("'Yr2'!"&amp;ADDRESS(ROW(BI108),COLUMN(BI108))),INDIRECT("'Yr3'!"&amp;ADDRESS(ROW(BI108),COLUMN(BI108)))),
IF($C$4=BI$7,BI128*BI96,0))</f>
        <v>0</v>
      </c>
      <c r="BJ108" s="71">
        <f ca="1">IF($C$4=Lookups!$D$40,SUM(INDIRECT("'Yr1'!"&amp;ADDRESS(ROW(BJ108),COLUMN(BJ108))),INDIRECT("'Yr2'!"&amp;ADDRESS(ROW(BJ108),COLUMN(BJ108))),INDIRECT("'Yr3'!"&amp;ADDRESS(ROW(BJ108),COLUMN(BJ108)))),
IF($C$4=BJ$7,BJ128*BJ96,0))</f>
        <v>0</v>
      </c>
      <c r="BK108" s="71">
        <f ca="1">IF($C$4=Lookups!$D$40,SUM(INDIRECT("'Yr1'!"&amp;ADDRESS(ROW(BK108),COLUMN(BK108))),INDIRECT("'Yr2'!"&amp;ADDRESS(ROW(BK108),COLUMN(BK108))),INDIRECT("'Yr3'!"&amp;ADDRESS(ROW(BK108),COLUMN(BK108)))),
IF($C$4=BK$7,BK128*BK96,0))</f>
        <v>0</v>
      </c>
      <c r="BL108" s="71">
        <f ca="1">IF($C$4=Lookups!$D$40,SUM(INDIRECT("'Yr1'!"&amp;ADDRESS(ROW(BL108),COLUMN(BL108))),INDIRECT("'Yr2'!"&amp;ADDRESS(ROW(BL108),COLUMN(BL108))),INDIRECT("'Yr3'!"&amp;ADDRESS(ROW(BL108),COLUMN(BL108)))),
IF($C$4=BL$7,BL128*BL96,0))</f>
        <v>0</v>
      </c>
      <c r="BM108" s="71">
        <f ca="1">IF($C$4=Lookups!$D$40,SUM(INDIRECT("'Yr1'!"&amp;ADDRESS(ROW(BM108),COLUMN(BM108))),INDIRECT("'Yr2'!"&amp;ADDRESS(ROW(BM108),COLUMN(BM108))),INDIRECT("'Yr3'!"&amp;ADDRESS(ROW(BM108),COLUMN(BM108)))),
IF($C$4=BM$7,BM128*BM96,0))</f>
        <v>0</v>
      </c>
      <c r="BN108" s="71"/>
      <c r="BO108" s="71">
        <f ca="1">NPV(Lookups!$E$17,AM108:BM108)</f>
        <v>1066937.1094416361</v>
      </c>
      <c r="BP108" s="72"/>
      <c r="BS108" s="84" t="str">
        <f>E108&amp;" rate multiplied by After DSM sales."</f>
        <v>LDAC, EE Only rate multiplied by After DSM sales.</v>
      </c>
      <c r="BT108" s="51" t="s">
        <v>17</v>
      </c>
    </row>
    <row r="109" spans="1:72" x14ac:dyDescent="0.25">
      <c r="A109" s="476"/>
      <c r="B109" s="243" t="str">
        <f t="shared" si="98"/>
        <v>Low-Income</v>
      </c>
      <c r="C109" s="243" t="str">
        <f t="shared" si="98"/>
        <v>Revenue Requirements</v>
      </c>
      <c r="D109" s="244" t="str">
        <f>D108</f>
        <v>Increased Costs and Cost Shifting</v>
      </c>
      <c r="E109" s="86" t="s">
        <v>198</v>
      </c>
      <c r="F109" s="84" t="s">
        <v>32</v>
      </c>
      <c r="G109" s="64">
        <f ca="1">IF($C$4=Lookups!$D$40,SUM(INDIRECT("'Yr1'!"&amp;ADDRESS(ROW(G109),COLUMN(G109))),INDIRECT("'Yr2'!"&amp;ADDRESS(ROW(G109),COLUMN(G109))),INDIRECT("'Yr3'!"&amp;ADDRESS(ROW(G109),COLUMN(G109)))),
G129*G96)</f>
        <v>19388.098455483138</v>
      </c>
      <c r="H109" s="64">
        <f ca="1">IF($C$4=Lookups!$D$40,SUM(INDIRECT("'Yr1'!"&amp;ADDRESS(ROW(H109),COLUMN(H109))),INDIRECT("'Yr2'!"&amp;ADDRESS(ROW(H109),COLUMN(H109))),INDIRECT("'Yr3'!"&amp;ADDRESS(ROW(H109),COLUMN(H109)))),
H129*H96)</f>
        <v>39371.009057888368</v>
      </c>
      <c r="I109" s="64">
        <f ca="1">IF($C$4=Lookups!$D$40,SUM(INDIRECT("'Yr1'!"&amp;ADDRESS(ROW(I109),COLUMN(I109))),INDIRECT("'Yr2'!"&amp;ADDRESS(ROW(I109),COLUMN(I109))),INDIRECT("'Yr3'!"&amp;ADDRESS(ROW(I109),COLUMN(I109)))),
I129*I96)</f>
        <v>60127.660729969793</v>
      </c>
      <c r="J109" s="64">
        <f ca="1">IF($C$4=Lookups!$D$40,SUM(INDIRECT("'Yr1'!"&amp;ADDRESS(ROW(J109),COLUMN(J109))),INDIRECT("'Yr2'!"&amp;ADDRESS(ROW(J109),COLUMN(J109))),INDIRECT("'Yr3'!"&amp;ADDRESS(ROW(J109),COLUMN(J109)))),
J129*J96)</f>
        <v>60127.660729969793</v>
      </c>
      <c r="K109" s="64">
        <f ca="1">IF($C$4=Lookups!$D$40,SUM(INDIRECT("'Yr1'!"&amp;ADDRESS(ROW(K109),COLUMN(K109))),INDIRECT("'Yr2'!"&amp;ADDRESS(ROW(K109),COLUMN(K109))),INDIRECT("'Yr3'!"&amp;ADDRESS(ROW(K109),COLUMN(K109)))),
K129*K96)</f>
        <v>60127.660729969793</v>
      </c>
      <c r="L109" s="64">
        <f ca="1">IF($C$4=Lookups!$D$40,SUM(INDIRECT("'Yr1'!"&amp;ADDRESS(ROW(L109),COLUMN(L109))),INDIRECT("'Yr2'!"&amp;ADDRESS(ROW(L109),COLUMN(L109))),INDIRECT("'Yr3'!"&amp;ADDRESS(ROW(L109),COLUMN(L109)))),
L129*L96)</f>
        <v>60127.660729969793</v>
      </c>
      <c r="M109" s="64">
        <f ca="1">IF($C$4=Lookups!$D$40,SUM(INDIRECT("'Yr1'!"&amp;ADDRESS(ROW(M109),COLUMN(M109))),INDIRECT("'Yr2'!"&amp;ADDRESS(ROW(M109),COLUMN(M109))),INDIRECT("'Yr3'!"&amp;ADDRESS(ROW(M109),COLUMN(M109)))),
M129*M96)</f>
        <v>60127.660729969793</v>
      </c>
      <c r="N109" s="64">
        <f ca="1">IF($C$4=Lookups!$D$40,SUM(INDIRECT("'Yr1'!"&amp;ADDRESS(ROW(N109),COLUMN(N109))),INDIRECT("'Yr2'!"&amp;ADDRESS(ROW(N109),COLUMN(N109))),INDIRECT("'Yr3'!"&amp;ADDRESS(ROW(N109),COLUMN(N109)))),
N129*N96)</f>
        <v>60127.660729969793</v>
      </c>
      <c r="O109" s="64">
        <f ca="1">IF($C$4=Lookups!$D$40,SUM(INDIRECT("'Yr1'!"&amp;ADDRESS(ROW(O109),COLUMN(O109))),INDIRECT("'Yr2'!"&amp;ADDRESS(ROW(O109),COLUMN(O109))),INDIRECT("'Yr3'!"&amp;ADDRESS(ROW(O109),COLUMN(O109)))),
O129*O96)</f>
        <v>60127.660729969793</v>
      </c>
      <c r="P109" s="64">
        <f ca="1">IF($C$4=Lookups!$D$40,SUM(INDIRECT("'Yr1'!"&amp;ADDRESS(ROW(P109),COLUMN(P109))),INDIRECT("'Yr2'!"&amp;ADDRESS(ROW(P109),COLUMN(P109))),INDIRECT("'Yr3'!"&amp;ADDRESS(ROW(P109),COLUMN(P109)))),
P129*P96)</f>
        <v>60127.660729969793</v>
      </c>
      <c r="Q109" s="64">
        <f ca="1">IF($C$4=Lookups!$D$40,SUM(INDIRECT("'Yr1'!"&amp;ADDRESS(ROW(Q109),COLUMN(Q109))),INDIRECT("'Yr2'!"&amp;ADDRESS(ROW(Q109),COLUMN(Q109))),INDIRECT("'Yr3'!"&amp;ADDRESS(ROW(Q109),COLUMN(Q109)))),
Q129*Q96)</f>
        <v>60127.660729969793</v>
      </c>
      <c r="R109" s="64">
        <f ca="1">IF($C$4=Lookups!$D$40,SUM(INDIRECT("'Yr1'!"&amp;ADDRESS(ROW(R109),COLUMN(R109))),INDIRECT("'Yr2'!"&amp;ADDRESS(ROW(R109),COLUMN(R109))),INDIRECT("'Yr3'!"&amp;ADDRESS(ROW(R109),COLUMN(R109)))),
R129*R96)</f>
        <v>60127.660729969793</v>
      </c>
      <c r="S109" s="64">
        <f ca="1">IF($C$4=Lookups!$D$40,SUM(INDIRECT("'Yr1'!"&amp;ADDRESS(ROW(S109),COLUMN(S109))),INDIRECT("'Yr2'!"&amp;ADDRESS(ROW(S109),COLUMN(S109))),INDIRECT("'Yr3'!"&amp;ADDRESS(ROW(S109),COLUMN(S109)))),
S129*S96)</f>
        <v>60127.660729969793</v>
      </c>
      <c r="T109" s="64">
        <f ca="1">IF($C$4=Lookups!$D$40,SUM(INDIRECT("'Yr1'!"&amp;ADDRESS(ROW(T109),COLUMN(T109))),INDIRECT("'Yr2'!"&amp;ADDRESS(ROW(T109),COLUMN(T109))),INDIRECT("'Yr3'!"&amp;ADDRESS(ROW(T109),COLUMN(T109)))),
T129*T96)</f>
        <v>60127.660729969793</v>
      </c>
      <c r="U109" s="64">
        <f ca="1">IF($C$4=Lookups!$D$40,SUM(INDIRECT("'Yr1'!"&amp;ADDRESS(ROW(U109),COLUMN(U109))),INDIRECT("'Yr2'!"&amp;ADDRESS(ROW(U109),COLUMN(U109))),INDIRECT("'Yr3'!"&amp;ADDRESS(ROW(U109),COLUMN(U109)))),
U129*U96)</f>
        <v>60127.660729969793</v>
      </c>
      <c r="V109" s="64">
        <f ca="1">IF($C$4=Lookups!$D$40,SUM(INDIRECT("'Yr1'!"&amp;ADDRESS(ROW(V109),COLUMN(V109))),INDIRECT("'Yr2'!"&amp;ADDRESS(ROW(V109),COLUMN(V109))),INDIRECT("'Yr3'!"&amp;ADDRESS(ROW(V109),COLUMN(V109)))),
V129*V96)</f>
        <v>60127.660729969793</v>
      </c>
      <c r="W109" s="64">
        <f ca="1">IF($C$4=Lookups!$D$40,SUM(INDIRECT("'Yr1'!"&amp;ADDRESS(ROW(W109),COLUMN(W109))),INDIRECT("'Yr2'!"&amp;ADDRESS(ROW(W109),COLUMN(W109))),INDIRECT("'Yr3'!"&amp;ADDRESS(ROW(W109),COLUMN(W109)))),
W129*W96)</f>
        <v>60127.660729969793</v>
      </c>
      <c r="X109" s="64">
        <f ca="1">IF($C$4=Lookups!$D$40,SUM(INDIRECT("'Yr1'!"&amp;ADDRESS(ROW(X109),COLUMN(X109))),INDIRECT("'Yr2'!"&amp;ADDRESS(ROW(X109),COLUMN(X109))),INDIRECT("'Yr3'!"&amp;ADDRESS(ROW(X109),COLUMN(X109)))),
X129*X96)</f>
        <v>60127.660729969793</v>
      </c>
      <c r="Y109" s="64">
        <f ca="1">IF($C$4=Lookups!$D$40,SUM(INDIRECT("'Yr1'!"&amp;ADDRESS(ROW(Y109),COLUMN(Y109))),INDIRECT("'Yr2'!"&amp;ADDRESS(ROW(Y109),COLUMN(Y109))),INDIRECT("'Yr3'!"&amp;ADDRESS(ROW(Y109),COLUMN(Y109)))),
Y129*Y96)</f>
        <v>60127.660729969793</v>
      </c>
      <c r="Z109" s="64">
        <f ca="1">IF($C$4=Lookups!$D$40,SUM(INDIRECT("'Yr1'!"&amp;ADDRESS(ROW(Z109),COLUMN(Z109))),INDIRECT("'Yr2'!"&amp;ADDRESS(ROW(Z109),COLUMN(Z109))),INDIRECT("'Yr3'!"&amp;ADDRESS(ROW(Z109),COLUMN(Z109)))),
Z129*Z96)</f>
        <v>60127.660729969793</v>
      </c>
      <c r="AA109" s="64">
        <f ca="1">IF($C$4=Lookups!$D$40,SUM(INDIRECT("'Yr1'!"&amp;ADDRESS(ROW(AA109),COLUMN(AA109))),INDIRECT("'Yr2'!"&amp;ADDRESS(ROW(AA109),COLUMN(AA109))),INDIRECT("'Yr3'!"&amp;ADDRESS(ROW(AA109),COLUMN(AA109)))),
AA129*AA96)</f>
        <v>40739.562274486656</v>
      </c>
      <c r="AB109" s="64">
        <f ca="1">IF($C$4=Lookups!$D$40,SUM(INDIRECT("'Yr1'!"&amp;ADDRESS(ROW(AB109),COLUMN(AB109))),INDIRECT("'Yr2'!"&amp;ADDRESS(ROW(AB109),COLUMN(AB109))),INDIRECT("'Yr3'!"&amp;ADDRESS(ROW(AB109),COLUMN(AB109)))),
AB129*AB96)</f>
        <v>20756.651672081429</v>
      </c>
      <c r="AC109" s="64">
        <f ca="1">IF($C$4=Lookups!$D$40,SUM(INDIRECT("'Yr1'!"&amp;ADDRESS(ROW(AC109),COLUMN(AC109))),INDIRECT("'Yr2'!"&amp;ADDRESS(ROW(AC109),COLUMN(AC109))),INDIRECT("'Yr3'!"&amp;ADDRESS(ROW(AC109),COLUMN(AC109)))),
AC129*AC96)</f>
        <v>0</v>
      </c>
      <c r="AD109" s="64">
        <f ca="1">IF($C$4=Lookups!$D$40,SUM(INDIRECT("'Yr1'!"&amp;ADDRESS(ROW(AD109),COLUMN(AD109))),INDIRECT("'Yr2'!"&amp;ADDRESS(ROW(AD109),COLUMN(AD109))),INDIRECT("'Yr3'!"&amp;ADDRESS(ROW(AD109),COLUMN(AD109)))),
AD129*AD96)</f>
        <v>0</v>
      </c>
      <c r="AE109" s="64">
        <f ca="1">IF($C$4=Lookups!$D$40,SUM(INDIRECT("'Yr1'!"&amp;ADDRESS(ROW(AE109),COLUMN(AE109))),INDIRECT("'Yr2'!"&amp;ADDRESS(ROW(AE109),COLUMN(AE109))),INDIRECT("'Yr3'!"&amp;ADDRESS(ROW(AE109),COLUMN(AE109)))),
AE129*AE96)</f>
        <v>0</v>
      </c>
      <c r="AF109" s="64">
        <f ca="1">IF($C$4=Lookups!$D$40,SUM(INDIRECT("'Yr1'!"&amp;ADDRESS(ROW(AF109),COLUMN(AF109))),INDIRECT("'Yr2'!"&amp;ADDRESS(ROW(AF109),COLUMN(AF109))),INDIRECT("'Yr3'!"&amp;ADDRESS(ROW(AF109),COLUMN(AF109)))),
AF129*AF96)</f>
        <v>0</v>
      </c>
      <c r="AG109" s="64">
        <f ca="1">IF($C$4=Lookups!$D$40,SUM(INDIRECT("'Yr1'!"&amp;ADDRESS(ROW(AG109),COLUMN(AG109))),INDIRECT("'Yr2'!"&amp;ADDRESS(ROW(AG109),COLUMN(AG109))),INDIRECT("'Yr3'!"&amp;ADDRESS(ROW(AG109),COLUMN(AG109)))),
AG129*AG96)</f>
        <v>0</v>
      </c>
      <c r="AH109" s="49"/>
      <c r="AI109" s="64">
        <f ca="1">NPV(Lookups!$E$17,G109:AG109)</f>
        <v>1026293.767637674</v>
      </c>
      <c r="AJ109" s="65"/>
      <c r="AM109" s="71">
        <f ca="1">IF($C$4=Lookups!$D$40,SUM(INDIRECT("'Yr1'!"&amp;ADDRESS(ROW(AM109),COLUMN(AM109))),INDIRECT("'Yr2'!"&amp;ADDRESS(ROW(AM109),COLUMN(AM109))),INDIRECT("'Yr3'!"&amp;ADDRESS(ROW(AM109),COLUMN(AM109)))),
AM129*AM96)</f>
        <v>22145.185654786797</v>
      </c>
      <c r="AN109" s="71">
        <f ca="1">IF($C$4=Lookups!$D$40,SUM(INDIRECT("'Yr1'!"&amp;ADDRESS(ROW(AN109),COLUMN(AN109))),INDIRECT("'Yr2'!"&amp;ADDRESS(ROW(AN109),COLUMN(AN109))),INDIRECT("'Yr3'!"&amp;ADDRESS(ROW(AN109),COLUMN(AN109)))),
AN129*AN96)</f>
        <v>44969.366789315092</v>
      </c>
      <c r="AO109" s="71">
        <f ca="1">IF($C$4=Lookups!$D$40,SUM(INDIRECT("'Yr1'!"&amp;ADDRESS(ROW(AO109),COLUMN(AO109))),INDIRECT("'Yr2'!"&amp;ADDRESS(ROW(AO109),COLUMN(AO109))),INDIRECT("'Yr3'!"&amp;ADDRESS(ROW(AO109),COLUMN(AO109)))),
AO129*AO96)</f>
        <v>68676.766659719477</v>
      </c>
      <c r="AP109" s="71">
        <f ca="1">IF($C$4=Lookups!$D$40,SUM(INDIRECT("'Yr1'!"&amp;ADDRESS(ROW(AP109),COLUMN(AP109))),INDIRECT("'Yr2'!"&amp;ADDRESS(ROW(AP109),COLUMN(AP109))),INDIRECT("'Yr3'!"&amp;ADDRESS(ROW(AP109),COLUMN(AP109)))),
AP129*AP96)</f>
        <v>68676.766659719477</v>
      </c>
      <c r="AQ109" s="71">
        <f ca="1">IF($C$4=Lookups!$D$40,SUM(INDIRECT("'Yr1'!"&amp;ADDRESS(ROW(AQ109),COLUMN(AQ109))),INDIRECT("'Yr2'!"&amp;ADDRESS(ROW(AQ109),COLUMN(AQ109))),INDIRECT("'Yr3'!"&amp;ADDRESS(ROW(AQ109),COLUMN(AQ109)))),
AQ129*AQ96)</f>
        <v>68676.766659719477</v>
      </c>
      <c r="AR109" s="71">
        <f ca="1">IF($C$4=Lookups!$D$40,SUM(INDIRECT("'Yr1'!"&amp;ADDRESS(ROW(AR109),COLUMN(AR109))),INDIRECT("'Yr2'!"&amp;ADDRESS(ROW(AR109),COLUMN(AR109))),INDIRECT("'Yr3'!"&amp;ADDRESS(ROW(AR109),COLUMN(AR109)))),
AR129*AR96)</f>
        <v>68676.766659719477</v>
      </c>
      <c r="AS109" s="71">
        <f ca="1">IF($C$4=Lookups!$D$40,SUM(INDIRECT("'Yr1'!"&amp;ADDRESS(ROW(AS109),COLUMN(AS109))),INDIRECT("'Yr2'!"&amp;ADDRESS(ROW(AS109),COLUMN(AS109))),INDIRECT("'Yr3'!"&amp;ADDRESS(ROW(AS109),COLUMN(AS109)))),
AS129*AS96)</f>
        <v>68676.766659719477</v>
      </c>
      <c r="AT109" s="71">
        <f ca="1">IF($C$4=Lookups!$D$40,SUM(INDIRECT("'Yr1'!"&amp;ADDRESS(ROW(AT109),COLUMN(AT109))),INDIRECT("'Yr2'!"&amp;ADDRESS(ROW(AT109),COLUMN(AT109))),INDIRECT("'Yr3'!"&amp;ADDRESS(ROW(AT109),COLUMN(AT109)))),
AT129*AT96)</f>
        <v>68676.766659719477</v>
      </c>
      <c r="AU109" s="71">
        <f ca="1">IF($C$4=Lookups!$D$40,SUM(INDIRECT("'Yr1'!"&amp;ADDRESS(ROW(AU109),COLUMN(AU109))),INDIRECT("'Yr2'!"&amp;ADDRESS(ROW(AU109),COLUMN(AU109))),INDIRECT("'Yr3'!"&amp;ADDRESS(ROW(AU109),COLUMN(AU109)))),
AU129*AU96)</f>
        <v>68676.766659719477</v>
      </c>
      <c r="AV109" s="71">
        <f ca="1">IF($C$4=Lookups!$D$40,SUM(INDIRECT("'Yr1'!"&amp;ADDRESS(ROW(AV109),COLUMN(AV109))),INDIRECT("'Yr2'!"&amp;ADDRESS(ROW(AV109),COLUMN(AV109))),INDIRECT("'Yr3'!"&amp;ADDRESS(ROW(AV109),COLUMN(AV109)))),
AV129*AV96)</f>
        <v>68676.766659719477</v>
      </c>
      <c r="AW109" s="71">
        <f ca="1">IF($C$4=Lookups!$D$40,SUM(INDIRECT("'Yr1'!"&amp;ADDRESS(ROW(AW109),COLUMN(AW109))),INDIRECT("'Yr2'!"&amp;ADDRESS(ROW(AW109),COLUMN(AW109))),INDIRECT("'Yr3'!"&amp;ADDRESS(ROW(AW109),COLUMN(AW109)))),
AW129*AW96)</f>
        <v>68676.766659719477</v>
      </c>
      <c r="AX109" s="71">
        <f ca="1">IF($C$4=Lookups!$D$40,SUM(INDIRECT("'Yr1'!"&amp;ADDRESS(ROW(AX109),COLUMN(AX109))),INDIRECT("'Yr2'!"&amp;ADDRESS(ROW(AX109),COLUMN(AX109))),INDIRECT("'Yr3'!"&amp;ADDRESS(ROW(AX109),COLUMN(AX109)))),
AX129*AX96)</f>
        <v>68676.766659719477</v>
      </c>
      <c r="AY109" s="71">
        <f ca="1">IF($C$4=Lookups!$D$40,SUM(INDIRECT("'Yr1'!"&amp;ADDRESS(ROW(AY109),COLUMN(AY109))),INDIRECT("'Yr2'!"&amp;ADDRESS(ROW(AY109),COLUMN(AY109))),INDIRECT("'Yr3'!"&amp;ADDRESS(ROW(AY109),COLUMN(AY109)))),
AY129*AY96)</f>
        <v>68676.766659719477</v>
      </c>
      <c r="AZ109" s="71">
        <f ca="1">IF($C$4=Lookups!$D$40,SUM(INDIRECT("'Yr1'!"&amp;ADDRESS(ROW(AZ109),COLUMN(AZ109))),INDIRECT("'Yr2'!"&amp;ADDRESS(ROW(AZ109),COLUMN(AZ109))),INDIRECT("'Yr3'!"&amp;ADDRESS(ROW(AZ109),COLUMN(AZ109)))),
AZ129*AZ96)</f>
        <v>68676.766659719477</v>
      </c>
      <c r="BA109" s="71">
        <f ca="1">IF($C$4=Lookups!$D$40,SUM(INDIRECT("'Yr1'!"&amp;ADDRESS(ROW(BA109),COLUMN(BA109))),INDIRECT("'Yr2'!"&amp;ADDRESS(ROW(BA109),COLUMN(BA109))),INDIRECT("'Yr3'!"&amp;ADDRESS(ROW(BA109),COLUMN(BA109)))),
BA129*BA96)</f>
        <v>68676.766659719477</v>
      </c>
      <c r="BB109" s="71">
        <f ca="1">IF($C$4=Lookups!$D$40,SUM(INDIRECT("'Yr1'!"&amp;ADDRESS(ROW(BB109),COLUMN(BB109))),INDIRECT("'Yr2'!"&amp;ADDRESS(ROW(BB109),COLUMN(BB109))),INDIRECT("'Yr3'!"&amp;ADDRESS(ROW(BB109),COLUMN(BB109)))),
BB129*BB96)</f>
        <v>68676.766659719477</v>
      </c>
      <c r="BC109" s="71">
        <f ca="1">IF($C$4=Lookups!$D$40,SUM(INDIRECT("'Yr1'!"&amp;ADDRESS(ROW(BC109),COLUMN(BC109))),INDIRECT("'Yr2'!"&amp;ADDRESS(ROW(BC109),COLUMN(BC109))),INDIRECT("'Yr3'!"&amp;ADDRESS(ROW(BC109),COLUMN(BC109)))),
BC129*BC96)</f>
        <v>68676.766659719477</v>
      </c>
      <c r="BD109" s="71">
        <f ca="1">IF($C$4=Lookups!$D$40,SUM(INDIRECT("'Yr1'!"&amp;ADDRESS(ROW(BD109),COLUMN(BD109))),INDIRECT("'Yr2'!"&amp;ADDRESS(ROW(BD109),COLUMN(BD109))),INDIRECT("'Yr3'!"&amp;ADDRESS(ROW(BD109),COLUMN(BD109)))),
BD129*BD96)</f>
        <v>68676.766659719477</v>
      </c>
      <c r="BE109" s="71">
        <f ca="1">IF($C$4=Lookups!$D$40,SUM(INDIRECT("'Yr1'!"&amp;ADDRESS(ROW(BE109),COLUMN(BE109))),INDIRECT("'Yr2'!"&amp;ADDRESS(ROW(BE109),COLUMN(BE109))),INDIRECT("'Yr3'!"&amp;ADDRESS(ROW(BE109),COLUMN(BE109)))),
BE129*BE96)</f>
        <v>68676.766659719477</v>
      </c>
      <c r="BF109" s="71">
        <f ca="1">IF($C$4=Lookups!$D$40,SUM(INDIRECT("'Yr1'!"&amp;ADDRESS(ROW(BF109),COLUMN(BF109))),INDIRECT("'Yr2'!"&amp;ADDRESS(ROW(BF109),COLUMN(BF109))),INDIRECT("'Yr3'!"&amp;ADDRESS(ROW(BF109),COLUMN(BF109)))),
BF129*BF96)</f>
        <v>68676.766659719477</v>
      </c>
      <c r="BG109" s="71">
        <f ca="1">IF($C$4=Lookups!$D$40,SUM(INDIRECT("'Yr1'!"&amp;ADDRESS(ROW(BG109),COLUMN(BG109))),INDIRECT("'Yr2'!"&amp;ADDRESS(ROW(BG109),COLUMN(BG109))),INDIRECT("'Yr3'!"&amp;ADDRESS(ROW(BG109),COLUMN(BG109)))),
BG129*BG96)</f>
        <v>46531.581004932683</v>
      </c>
      <c r="BH109" s="71">
        <f ca="1">IF($C$4=Lookups!$D$40,SUM(INDIRECT("'Yr1'!"&amp;ADDRESS(ROW(BH109),COLUMN(BH109))),INDIRECT("'Yr2'!"&amp;ADDRESS(ROW(BH109),COLUMN(BH109))),INDIRECT("'Yr3'!"&amp;ADDRESS(ROW(BH109),COLUMN(BH109)))),
BH129*BH96)</f>
        <v>23707.399870404388</v>
      </c>
      <c r="BI109" s="71">
        <f ca="1">IF($C$4=Lookups!$D$40,SUM(INDIRECT("'Yr1'!"&amp;ADDRESS(ROW(BI109),COLUMN(BI109))),INDIRECT("'Yr2'!"&amp;ADDRESS(ROW(BI109),COLUMN(BI109))),INDIRECT("'Yr3'!"&amp;ADDRESS(ROW(BI109),COLUMN(BI109)))),
BI129*BI96)</f>
        <v>0</v>
      </c>
      <c r="BJ109" s="71">
        <f ca="1">IF($C$4=Lookups!$D$40,SUM(INDIRECT("'Yr1'!"&amp;ADDRESS(ROW(BJ109),COLUMN(BJ109))),INDIRECT("'Yr2'!"&amp;ADDRESS(ROW(BJ109),COLUMN(BJ109))),INDIRECT("'Yr3'!"&amp;ADDRESS(ROW(BJ109),COLUMN(BJ109)))),
BJ129*BJ96)</f>
        <v>0</v>
      </c>
      <c r="BK109" s="71">
        <f ca="1">IF($C$4=Lookups!$D$40,SUM(INDIRECT("'Yr1'!"&amp;ADDRESS(ROW(BK109),COLUMN(BK109))),INDIRECT("'Yr2'!"&amp;ADDRESS(ROW(BK109),COLUMN(BK109))),INDIRECT("'Yr3'!"&amp;ADDRESS(ROW(BK109),COLUMN(BK109)))),
BK129*BK96)</f>
        <v>0</v>
      </c>
      <c r="BL109" s="71">
        <f ca="1">IF($C$4=Lookups!$D$40,SUM(INDIRECT("'Yr1'!"&amp;ADDRESS(ROW(BL109),COLUMN(BL109))),INDIRECT("'Yr2'!"&amp;ADDRESS(ROW(BL109),COLUMN(BL109))),INDIRECT("'Yr3'!"&amp;ADDRESS(ROW(BL109),COLUMN(BL109)))),
BL129*BL96)</f>
        <v>0</v>
      </c>
      <c r="BM109" s="71">
        <f ca="1">IF($C$4=Lookups!$D$40,SUM(INDIRECT("'Yr1'!"&amp;ADDRESS(ROW(BM109),COLUMN(BM109))),INDIRECT("'Yr2'!"&amp;ADDRESS(ROW(BM109),COLUMN(BM109))),INDIRECT("'Yr3'!"&amp;ADDRESS(ROW(BM109),COLUMN(BM109)))),
BM129*BM96)</f>
        <v>0</v>
      </c>
      <c r="BN109" s="71"/>
      <c r="BO109" s="71">
        <f ca="1">NPV(Lookups!$E$17,AM109:BM109)</f>
        <v>1172215.0846723309</v>
      </c>
      <c r="BP109" s="72"/>
      <c r="BS109" s="84" t="str">
        <f>E109&amp;" rate multiplied by After DSM sales."</f>
        <v>Distribution Lost Revenue rate multiplied by After DSM sales.</v>
      </c>
      <c r="BT109" s="51" t="s">
        <v>17</v>
      </c>
    </row>
    <row r="110" spans="1:72" x14ac:dyDescent="0.25">
      <c r="B110" s="243" t="str">
        <f>B108</f>
        <v>Low-Income</v>
      </c>
      <c r="C110" s="243" t="str">
        <f>C108</f>
        <v>Revenue Requirements</v>
      </c>
      <c r="D110" s="114" t="s">
        <v>125</v>
      </c>
      <c r="E110" s="84"/>
      <c r="F110" s="84"/>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S110" s="84"/>
      <c r="BT110" s="51" t="s">
        <v>17</v>
      </c>
    </row>
    <row r="111" spans="1:72" x14ac:dyDescent="0.25">
      <c r="A111" s="1"/>
      <c r="B111" s="243" t="str">
        <f t="shared" ref="B111:C112" si="99">B110</f>
        <v>Low-Income</v>
      </c>
      <c r="C111" s="243" t="str">
        <f t="shared" si="99"/>
        <v>Revenue Requirements</v>
      </c>
      <c r="D111" s="244" t="str">
        <f>D110</f>
        <v>Revenue Requirement after DSM Scenario</v>
      </c>
      <c r="E111" s="84" t="s">
        <v>26</v>
      </c>
      <c r="F111" s="84" t="s">
        <v>32</v>
      </c>
      <c r="G111" s="64">
        <f ca="1">G100-G105</f>
        <v>1037140.1211891696</v>
      </c>
      <c r="H111" s="64">
        <f t="shared" ref="H111:AG111" ca="1" si="100">H100-H105</f>
        <v>1032870.9922878733</v>
      </c>
      <c r="I111" s="64">
        <f t="shared" ca="1" si="100"/>
        <v>1028438.3210180297</v>
      </c>
      <c r="J111" s="64">
        <f t="shared" ca="1" si="100"/>
        <v>1028438.3210180297</v>
      </c>
      <c r="K111" s="64">
        <f t="shared" ca="1" si="100"/>
        <v>1028438.3210180297</v>
      </c>
      <c r="L111" s="64">
        <f t="shared" ca="1" si="100"/>
        <v>1028438.3210180297</v>
      </c>
      <c r="M111" s="64">
        <f t="shared" ca="1" si="100"/>
        <v>1028438.3210180297</v>
      </c>
      <c r="N111" s="64">
        <f t="shared" ca="1" si="100"/>
        <v>1028438.3210180297</v>
      </c>
      <c r="O111" s="64">
        <f t="shared" ca="1" si="100"/>
        <v>1028438.3210180297</v>
      </c>
      <c r="P111" s="64">
        <f t="shared" ca="1" si="100"/>
        <v>1028438.3210180297</v>
      </c>
      <c r="Q111" s="64">
        <f t="shared" ca="1" si="100"/>
        <v>1028438.3210180297</v>
      </c>
      <c r="R111" s="64">
        <f t="shared" ca="1" si="100"/>
        <v>1028438.3210180297</v>
      </c>
      <c r="S111" s="64">
        <f t="shared" ca="1" si="100"/>
        <v>1028438.3210180297</v>
      </c>
      <c r="T111" s="64">
        <f t="shared" ca="1" si="100"/>
        <v>1028438.3210180297</v>
      </c>
      <c r="U111" s="64">
        <f t="shared" ca="1" si="100"/>
        <v>1028438.3210180297</v>
      </c>
      <c r="V111" s="64">
        <f t="shared" ca="1" si="100"/>
        <v>1028438.3210180297</v>
      </c>
      <c r="W111" s="64">
        <f t="shared" ca="1" si="100"/>
        <v>1028438.3210180297</v>
      </c>
      <c r="X111" s="64">
        <f t="shared" ca="1" si="100"/>
        <v>1028438.3210180297</v>
      </c>
      <c r="Y111" s="64">
        <f t="shared" ca="1" si="100"/>
        <v>1028438.3210180297</v>
      </c>
      <c r="Z111" s="64">
        <f t="shared" ca="1" si="100"/>
        <v>1028438.3210180297</v>
      </c>
      <c r="AA111" s="64">
        <f t="shared" ca="1" si="100"/>
        <v>1032580.1765548575</v>
      </c>
      <c r="AB111" s="64">
        <f t="shared" ca="1" si="100"/>
        <v>1036849.3054561538</v>
      </c>
      <c r="AC111" s="64">
        <f t="shared" ca="1" si="100"/>
        <v>1041281.9767259974</v>
      </c>
      <c r="AD111" s="64">
        <f t="shared" ca="1" si="100"/>
        <v>1041281.9767259974</v>
      </c>
      <c r="AE111" s="64">
        <f t="shared" ca="1" si="100"/>
        <v>1041281.9767259974</v>
      </c>
      <c r="AF111" s="64">
        <f t="shared" ca="1" si="100"/>
        <v>1041281.9767259974</v>
      </c>
      <c r="AG111" s="64">
        <f t="shared" ca="1" si="100"/>
        <v>1041281.9767259974</v>
      </c>
      <c r="AH111" s="64"/>
      <c r="AI111" s="64">
        <f ca="1">NPV(Lookups!$E$17,G111:AG111)</f>
        <v>23015253.515128218</v>
      </c>
      <c r="AJ111" s="64"/>
      <c r="AM111" s="71">
        <f ca="1">AM100-AM105</f>
        <v>1036548.4275410514</v>
      </c>
      <c r="AN111" s="71">
        <f t="shared" ref="AN111:BM111" ca="1" si="101">AN100-AN105</f>
        <v>1031669.423082427</v>
      </c>
      <c r="AO111" s="71">
        <f t="shared" ca="1" si="101"/>
        <v>1026603.5130597486</v>
      </c>
      <c r="AP111" s="71">
        <f t="shared" ca="1" si="101"/>
        <v>1026603.5130597486</v>
      </c>
      <c r="AQ111" s="71">
        <f t="shared" ca="1" si="101"/>
        <v>1026603.5130597486</v>
      </c>
      <c r="AR111" s="71">
        <f t="shared" ca="1" si="101"/>
        <v>1026603.5130597486</v>
      </c>
      <c r="AS111" s="71">
        <f t="shared" ca="1" si="101"/>
        <v>1026603.5130597486</v>
      </c>
      <c r="AT111" s="71">
        <f t="shared" ca="1" si="101"/>
        <v>1026603.5130597486</v>
      </c>
      <c r="AU111" s="71">
        <f t="shared" ca="1" si="101"/>
        <v>1026603.5130597486</v>
      </c>
      <c r="AV111" s="71">
        <f t="shared" ca="1" si="101"/>
        <v>1026603.5130597486</v>
      </c>
      <c r="AW111" s="71">
        <f t="shared" ca="1" si="101"/>
        <v>1026603.5130597486</v>
      </c>
      <c r="AX111" s="71">
        <f t="shared" ca="1" si="101"/>
        <v>1026603.5130597486</v>
      </c>
      <c r="AY111" s="71">
        <f t="shared" ca="1" si="101"/>
        <v>1026603.5130597486</v>
      </c>
      <c r="AZ111" s="71">
        <f t="shared" ca="1" si="101"/>
        <v>1026603.5130597486</v>
      </c>
      <c r="BA111" s="71">
        <f t="shared" ca="1" si="101"/>
        <v>1026603.5130597486</v>
      </c>
      <c r="BB111" s="71">
        <f t="shared" ca="1" si="101"/>
        <v>1026603.5130597486</v>
      </c>
      <c r="BC111" s="71">
        <f t="shared" ca="1" si="101"/>
        <v>1026603.5130597486</v>
      </c>
      <c r="BD111" s="71">
        <f t="shared" ca="1" si="101"/>
        <v>1026603.5130597486</v>
      </c>
      <c r="BE111" s="71">
        <f t="shared" ca="1" si="101"/>
        <v>1026603.5130597486</v>
      </c>
      <c r="BF111" s="71">
        <f t="shared" ca="1" si="101"/>
        <v>1026603.5130597486</v>
      </c>
      <c r="BG111" s="71">
        <f t="shared" ca="1" si="101"/>
        <v>1031337.0622446947</v>
      </c>
      <c r="BH111" s="71">
        <f t="shared" ca="1" si="101"/>
        <v>1036216.066703319</v>
      </c>
      <c r="BI111" s="71">
        <f t="shared" ca="1" si="101"/>
        <v>1041281.9767259974</v>
      </c>
      <c r="BJ111" s="71">
        <f t="shared" ca="1" si="101"/>
        <v>1041281.9767259974</v>
      </c>
      <c r="BK111" s="71">
        <f t="shared" ca="1" si="101"/>
        <v>1041281.9767259974</v>
      </c>
      <c r="BL111" s="71">
        <f t="shared" ca="1" si="101"/>
        <v>1041281.9767259974</v>
      </c>
      <c r="BM111" s="71">
        <f t="shared" ca="1" si="101"/>
        <v>1041281.9767259974</v>
      </c>
      <c r="BN111" s="71"/>
      <c r="BO111" s="71">
        <f ca="1">NPV(Lookups!$E$17,AM111:BM111)</f>
        <v>22983935.897532091</v>
      </c>
      <c r="BP111" s="71"/>
      <c r="BS111" s="84" t="s">
        <v>229</v>
      </c>
      <c r="BT111" s="51" t="s">
        <v>17</v>
      </c>
    </row>
    <row r="112" spans="1:72" x14ac:dyDescent="0.25">
      <c r="A112" s="1"/>
      <c r="B112" s="243" t="str">
        <f t="shared" si="99"/>
        <v>Low-Income</v>
      </c>
      <c r="C112" s="243" t="str">
        <f t="shared" si="99"/>
        <v>Revenue Requirements</v>
      </c>
      <c r="D112" s="244" t="str">
        <f>D111</f>
        <v>Revenue Requirement after DSM Scenario</v>
      </c>
      <c r="E112" s="84" t="s">
        <v>407</v>
      </c>
      <c r="F112" s="84" t="s">
        <v>32</v>
      </c>
      <c r="G112" s="64">
        <f>G101</f>
        <v>-154229.37716318635</v>
      </c>
      <c r="H112" s="64">
        <f t="shared" ref="H112:AG112" si="102">H101</f>
        <v>-154229.37716318635</v>
      </c>
      <c r="I112" s="64">
        <f t="shared" si="102"/>
        <v>-154229.37716318635</v>
      </c>
      <c r="J112" s="64">
        <f t="shared" si="102"/>
        <v>-154229.37716318635</v>
      </c>
      <c r="K112" s="64">
        <f t="shared" si="102"/>
        <v>-154229.37716318635</v>
      </c>
      <c r="L112" s="64">
        <f t="shared" si="102"/>
        <v>-154229.37716318635</v>
      </c>
      <c r="M112" s="64">
        <f t="shared" si="102"/>
        <v>-154229.37716318635</v>
      </c>
      <c r="N112" s="64">
        <f t="shared" si="102"/>
        <v>-154229.37716318635</v>
      </c>
      <c r="O112" s="64">
        <f t="shared" si="102"/>
        <v>-154229.37716318635</v>
      </c>
      <c r="P112" s="64">
        <f t="shared" si="102"/>
        <v>-154229.37716318635</v>
      </c>
      <c r="Q112" s="64">
        <f t="shared" si="102"/>
        <v>-154229.37716318635</v>
      </c>
      <c r="R112" s="64">
        <f t="shared" si="102"/>
        <v>-154229.37716318635</v>
      </c>
      <c r="S112" s="64">
        <f t="shared" si="102"/>
        <v>-154229.37716318635</v>
      </c>
      <c r="T112" s="64">
        <f t="shared" si="102"/>
        <v>-154229.37716318635</v>
      </c>
      <c r="U112" s="64">
        <f t="shared" si="102"/>
        <v>-154229.37716318635</v>
      </c>
      <c r="V112" s="64">
        <f t="shared" si="102"/>
        <v>-154229.37716318635</v>
      </c>
      <c r="W112" s="64">
        <f t="shared" si="102"/>
        <v>-154229.37716318635</v>
      </c>
      <c r="X112" s="64">
        <f t="shared" si="102"/>
        <v>-154229.37716318635</v>
      </c>
      <c r="Y112" s="64">
        <f t="shared" si="102"/>
        <v>-154229.37716318635</v>
      </c>
      <c r="Z112" s="64">
        <f t="shared" si="102"/>
        <v>-154229.37716318635</v>
      </c>
      <c r="AA112" s="64">
        <f t="shared" si="102"/>
        <v>-154229.37716318635</v>
      </c>
      <c r="AB112" s="64">
        <f t="shared" si="102"/>
        <v>-154229.37716318635</v>
      </c>
      <c r="AC112" s="64">
        <f t="shared" si="102"/>
        <v>-154229.37716318635</v>
      </c>
      <c r="AD112" s="64">
        <f t="shared" si="102"/>
        <v>-154229.37716318635</v>
      </c>
      <c r="AE112" s="64">
        <f t="shared" si="102"/>
        <v>-154229.37716318635</v>
      </c>
      <c r="AF112" s="64">
        <f t="shared" si="102"/>
        <v>-154229.37716318635</v>
      </c>
      <c r="AG112" s="64">
        <f t="shared" si="102"/>
        <v>-154229.37716318635</v>
      </c>
      <c r="AH112" s="64"/>
      <c r="AI112" s="64">
        <f>NPV(Lookups!$E$17,G112:AG112)</f>
        <v>-3441372.2426568004</v>
      </c>
      <c r="AJ112" s="64"/>
      <c r="AM112" s="71">
        <f>AM101</f>
        <v>-154229.37716318635</v>
      </c>
      <c r="AN112" s="71">
        <f t="shared" ref="AN112:BM112" si="103">AN101</f>
        <v>-154229.37716318635</v>
      </c>
      <c r="AO112" s="71">
        <f t="shared" si="103"/>
        <v>-154229.37716318635</v>
      </c>
      <c r="AP112" s="71">
        <f t="shared" si="103"/>
        <v>-154229.37716318635</v>
      </c>
      <c r="AQ112" s="71">
        <f t="shared" si="103"/>
        <v>-154229.37716318635</v>
      </c>
      <c r="AR112" s="71">
        <f t="shared" si="103"/>
        <v>-154229.37716318635</v>
      </c>
      <c r="AS112" s="71">
        <f t="shared" si="103"/>
        <v>-154229.37716318635</v>
      </c>
      <c r="AT112" s="71">
        <f t="shared" si="103"/>
        <v>-154229.37716318635</v>
      </c>
      <c r="AU112" s="71">
        <f t="shared" si="103"/>
        <v>-154229.37716318635</v>
      </c>
      <c r="AV112" s="71">
        <f t="shared" si="103"/>
        <v>-154229.37716318635</v>
      </c>
      <c r="AW112" s="71">
        <f t="shared" si="103"/>
        <v>-154229.37716318635</v>
      </c>
      <c r="AX112" s="71">
        <f t="shared" si="103"/>
        <v>-154229.37716318635</v>
      </c>
      <c r="AY112" s="71">
        <f t="shared" si="103"/>
        <v>-154229.37716318635</v>
      </c>
      <c r="AZ112" s="71">
        <f t="shared" si="103"/>
        <v>-154229.37716318635</v>
      </c>
      <c r="BA112" s="71">
        <f t="shared" si="103"/>
        <v>-154229.37716318635</v>
      </c>
      <c r="BB112" s="71">
        <f t="shared" si="103"/>
        <v>-154229.37716318635</v>
      </c>
      <c r="BC112" s="71">
        <f t="shared" si="103"/>
        <v>-154229.37716318635</v>
      </c>
      <c r="BD112" s="71">
        <f t="shared" si="103"/>
        <v>-154229.37716318635</v>
      </c>
      <c r="BE112" s="71">
        <f t="shared" si="103"/>
        <v>-154229.37716318635</v>
      </c>
      <c r="BF112" s="71">
        <f t="shared" si="103"/>
        <v>-154229.37716318635</v>
      </c>
      <c r="BG112" s="71">
        <f t="shared" si="103"/>
        <v>-154229.37716318635</v>
      </c>
      <c r="BH112" s="71">
        <f t="shared" si="103"/>
        <v>-154229.37716318635</v>
      </c>
      <c r="BI112" s="71">
        <f t="shared" si="103"/>
        <v>-154229.37716318635</v>
      </c>
      <c r="BJ112" s="71">
        <f t="shared" si="103"/>
        <v>-154229.37716318635</v>
      </c>
      <c r="BK112" s="71">
        <f t="shared" si="103"/>
        <v>-154229.37716318635</v>
      </c>
      <c r="BL112" s="71">
        <f t="shared" si="103"/>
        <v>-154229.37716318635</v>
      </c>
      <c r="BM112" s="71">
        <f t="shared" si="103"/>
        <v>-154229.37716318635</v>
      </c>
      <c r="BN112" s="71"/>
      <c r="BO112" s="71">
        <f>NPV(Lookups!$E$17,AM112:BM112)</f>
        <v>-3441372.2426568004</v>
      </c>
      <c r="BP112" s="71"/>
      <c r="BS112" s="84" t="s">
        <v>230</v>
      </c>
      <c r="BT112" s="51" t="s">
        <v>17</v>
      </c>
    </row>
    <row r="113" spans="1:72" x14ac:dyDescent="0.25">
      <c r="A113" s="1"/>
      <c r="B113" s="243" t="str">
        <f>B111</f>
        <v>Low-Income</v>
      </c>
      <c r="C113" s="243" t="str">
        <f>C111</f>
        <v>Revenue Requirements</v>
      </c>
      <c r="D113" s="244" t="str">
        <f>D111</f>
        <v>Revenue Requirement after DSM Scenario</v>
      </c>
      <c r="E113" s="84" t="s">
        <v>197</v>
      </c>
      <c r="F113" s="84" t="s">
        <v>32</v>
      </c>
      <c r="G113" s="64">
        <f ca="1">G102-G104-G106</f>
        <v>2836080.5588269867</v>
      </c>
      <c r="H113" s="64">
        <f t="shared" ref="H113:AG113" ca="1" si="104">H102-H104-H106</f>
        <v>2771182.4769323557</v>
      </c>
      <c r="I113" s="64">
        <f t="shared" ca="1" si="104"/>
        <v>2703802.865272501</v>
      </c>
      <c r="J113" s="64">
        <f t="shared" ca="1" si="104"/>
        <v>2703802.865272501</v>
      </c>
      <c r="K113" s="64">
        <f t="shared" ca="1" si="104"/>
        <v>2703802.865272501</v>
      </c>
      <c r="L113" s="64">
        <f t="shared" ca="1" si="104"/>
        <v>2703802.865272501</v>
      </c>
      <c r="M113" s="64">
        <f t="shared" ca="1" si="104"/>
        <v>2703802.865272501</v>
      </c>
      <c r="N113" s="64">
        <f t="shared" ca="1" si="104"/>
        <v>2703802.865272501</v>
      </c>
      <c r="O113" s="64">
        <f t="shared" ca="1" si="104"/>
        <v>2703802.865272501</v>
      </c>
      <c r="P113" s="64">
        <f t="shared" ca="1" si="104"/>
        <v>2703802.865272501</v>
      </c>
      <c r="Q113" s="64">
        <f t="shared" ca="1" si="104"/>
        <v>2703802.865272501</v>
      </c>
      <c r="R113" s="64">
        <f t="shared" ca="1" si="104"/>
        <v>2703802.865272501</v>
      </c>
      <c r="S113" s="64">
        <f t="shared" ca="1" si="104"/>
        <v>2703802.865272501</v>
      </c>
      <c r="T113" s="64">
        <f t="shared" ca="1" si="104"/>
        <v>2703802.865272501</v>
      </c>
      <c r="U113" s="64">
        <f t="shared" ca="1" si="104"/>
        <v>2703802.865272501</v>
      </c>
      <c r="V113" s="64">
        <f t="shared" ca="1" si="104"/>
        <v>2703802.865272501</v>
      </c>
      <c r="W113" s="64">
        <f t="shared" ca="1" si="104"/>
        <v>2703802.865272501</v>
      </c>
      <c r="X113" s="64">
        <f t="shared" ca="1" si="104"/>
        <v>2703802.865272501</v>
      </c>
      <c r="Y113" s="64">
        <f t="shared" ca="1" si="104"/>
        <v>2703802.865272501</v>
      </c>
      <c r="Z113" s="64">
        <f t="shared" ca="1" si="104"/>
        <v>2703802.865272501</v>
      </c>
      <c r="AA113" s="64">
        <f t="shared" ca="1" si="104"/>
        <v>2766767.2353644376</v>
      </c>
      <c r="AB113" s="64">
        <f t="shared" ca="1" si="104"/>
        <v>2831665.3172590686</v>
      </c>
      <c r="AC113" s="64">
        <f t="shared" ca="1" si="104"/>
        <v>2899044.9289189233</v>
      </c>
      <c r="AD113" s="64">
        <f t="shared" ca="1" si="104"/>
        <v>2899044.9289189233</v>
      </c>
      <c r="AE113" s="64">
        <f t="shared" ca="1" si="104"/>
        <v>2899044.9289189233</v>
      </c>
      <c r="AF113" s="64">
        <f t="shared" ca="1" si="104"/>
        <v>2899044.9289189233</v>
      </c>
      <c r="AG113" s="64">
        <f t="shared" ca="1" si="104"/>
        <v>2899044.9289189233</v>
      </c>
      <c r="AH113" s="64"/>
      <c r="AI113" s="64">
        <f ca="1">NPV(Lookups!$E$17,G113:AG113)</f>
        <v>61354858.19768732</v>
      </c>
      <c r="AJ113" s="64"/>
      <c r="AM113" s="71">
        <f ca="1">AM102-AM104-AM106</f>
        <v>2827085.648813853</v>
      </c>
      <c r="AN113" s="71">
        <f t="shared" ref="AN113:BM113" ca="1" si="105">AN102-AN104-AN106</f>
        <v>2752916.4123628461</v>
      </c>
      <c r="AO113" s="71">
        <f t="shared" ca="1" si="105"/>
        <v>2675911.1418944402</v>
      </c>
      <c r="AP113" s="71">
        <f t="shared" ca="1" si="105"/>
        <v>2675911.1418944402</v>
      </c>
      <c r="AQ113" s="71">
        <f t="shared" ca="1" si="105"/>
        <v>2675911.1418944402</v>
      </c>
      <c r="AR113" s="71">
        <f t="shared" ca="1" si="105"/>
        <v>2675911.1418944402</v>
      </c>
      <c r="AS113" s="71">
        <f t="shared" ca="1" si="105"/>
        <v>2675911.1418944402</v>
      </c>
      <c r="AT113" s="71">
        <f t="shared" ca="1" si="105"/>
        <v>2675911.1418944402</v>
      </c>
      <c r="AU113" s="71">
        <f t="shared" ca="1" si="105"/>
        <v>2675911.1418944402</v>
      </c>
      <c r="AV113" s="71">
        <f t="shared" ca="1" si="105"/>
        <v>2675911.1418944402</v>
      </c>
      <c r="AW113" s="71">
        <f t="shared" ca="1" si="105"/>
        <v>2675911.1418944402</v>
      </c>
      <c r="AX113" s="71">
        <f t="shared" ca="1" si="105"/>
        <v>2675911.1418944402</v>
      </c>
      <c r="AY113" s="71">
        <f t="shared" ca="1" si="105"/>
        <v>2675911.1418944402</v>
      </c>
      <c r="AZ113" s="71">
        <f t="shared" ca="1" si="105"/>
        <v>2675911.1418944402</v>
      </c>
      <c r="BA113" s="71">
        <f t="shared" ca="1" si="105"/>
        <v>2675911.1418944402</v>
      </c>
      <c r="BB113" s="71">
        <f t="shared" ca="1" si="105"/>
        <v>2675911.1418944402</v>
      </c>
      <c r="BC113" s="71">
        <f t="shared" ca="1" si="105"/>
        <v>2675911.1418944402</v>
      </c>
      <c r="BD113" s="71">
        <f t="shared" ca="1" si="105"/>
        <v>2675911.1418944402</v>
      </c>
      <c r="BE113" s="71">
        <f t="shared" ca="1" si="105"/>
        <v>2675911.1418944402</v>
      </c>
      <c r="BF113" s="71">
        <f t="shared" ca="1" si="105"/>
        <v>2675911.1418944402</v>
      </c>
      <c r="BG113" s="71">
        <f t="shared" ca="1" si="105"/>
        <v>2747870.4219995104</v>
      </c>
      <c r="BH113" s="71">
        <f t="shared" ca="1" si="105"/>
        <v>2822039.6584505173</v>
      </c>
      <c r="BI113" s="71">
        <f t="shared" ca="1" si="105"/>
        <v>2899044.9289189233</v>
      </c>
      <c r="BJ113" s="71">
        <f t="shared" ca="1" si="105"/>
        <v>2899044.9289189233</v>
      </c>
      <c r="BK113" s="71">
        <f t="shared" ca="1" si="105"/>
        <v>2899044.9289189233</v>
      </c>
      <c r="BL113" s="71">
        <f t="shared" ca="1" si="105"/>
        <v>2899044.9289189233</v>
      </c>
      <c r="BM113" s="71">
        <f t="shared" ca="1" si="105"/>
        <v>2899044.9289189233</v>
      </c>
      <c r="BN113" s="71"/>
      <c r="BO113" s="71">
        <f ca="1">NPV(Lookups!$E$17,AM113:BM113)</f>
        <v>60878785.117183715</v>
      </c>
      <c r="BP113" s="71"/>
      <c r="BS113" s="84" t="s">
        <v>231</v>
      </c>
      <c r="BT113" s="51" t="s">
        <v>17</v>
      </c>
    </row>
    <row r="114" spans="1:72" x14ac:dyDescent="0.25">
      <c r="B114" s="243" t="str">
        <f t="shared" ref="B114:C118" si="106">B113</f>
        <v>Low-Income</v>
      </c>
      <c r="C114" s="243" t="str">
        <f t="shared" si="106"/>
        <v>Revenue Requirements</v>
      </c>
      <c r="D114" s="244"/>
      <c r="E114" s="84" t="s">
        <v>17</v>
      </c>
      <c r="F114" s="84"/>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S114" s="84"/>
      <c r="BT114" s="51" t="s">
        <v>17</v>
      </c>
    </row>
    <row r="115" spans="1:72" s="5" customFormat="1" ht="15.75" x14ac:dyDescent="0.25">
      <c r="A115" s="52"/>
      <c r="B115" s="241" t="str">
        <f t="shared" si="106"/>
        <v>Low-Income</v>
      </c>
      <c r="C115" s="63" t="s">
        <v>30</v>
      </c>
      <c r="D115" s="61"/>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2"/>
      <c r="BO115" s="62"/>
      <c r="BP115" s="62"/>
      <c r="BS115" s="62"/>
      <c r="BT115" s="51" t="s">
        <v>17</v>
      </c>
    </row>
    <row r="116" spans="1:72" x14ac:dyDescent="0.25">
      <c r="B116" s="243" t="str">
        <f t="shared" si="106"/>
        <v>Low-Income</v>
      </c>
      <c r="C116" s="243" t="str">
        <f t="shared" si="106"/>
        <v>Rates</v>
      </c>
      <c r="D116" s="114" t="str">
        <f>"Rates before DSM ("&amp;Lookups!$D$22&amp;" Scenario)"</f>
        <v>Rates before DSM (No EE Scenario)</v>
      </c>
      <c r="E116" s="84"/>
      <c r="F116" s="84"/>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S116" s="84"/>
      <c r="BT116" s="51" t="s">
        <v>17</v>
      </c>
    </row>
    <row r="117" spans="1:72" x14ac:dyDescent="0.25">
      <c r="B117" s="243" t="str">
        <f t="shared" si="106"/>
        <v>Low-Income</v>
      </c>
      <c r="C117" s="243" t="str">
        <f t="shared" si="106"/>
        <v>Rates</v>
      </c>
      <c r="D117" s="244" t="str">
        <f>D116</f>
        <v>Rates before DSM (No EE Scenario)</v>
      </c>
      <c r="E117" s="84" t="s">
        <v>26</v>
      </c>
      <c r="F117" s="84" t="s">
        <v>182</v>
      </c>
      <c r="G117" s="506">
        <f>IF(G$8=0,0,INDEX('R&amp;B Inputs'!$I$78:$V$78,MATCH($B117,'R&amp;B Inputs'!$I$4:$V$4,0))*(1+INDEX('R&amp;B Inputs'!$I$48:$V$48,MATCH($B117,'R&amp;B Inputs'!$I$4:$V$4,0)))^(G$7-Year1))</f>
        <v>0.2228</v>
      </c>
      <c r="H117" s="506">
        <f>IF(H$8=0,0,INDEX('R&amp;B Inputs'!$I$78:$V$78,MATCH($B117,'R&amp;B Inputs'!$I$4:$V$4,0))*(1+INDEX('R&amp;B Inputs'!$I$48:$V$48,MATCH($B117,'R&amp;B Inputs'!$I$4:$V$4,0)))^(H$7-Year1))</f>
        <v>0.2228</v>
      </c>
      <c r="I117" s="506">
        <f>IF(I$8=0,0,INDEX('R&amp;B Inputs'!$I$78:$V$78,MATCH($B117,'R&amp;B Inputs'!$I$4:$V$4,0))*(1+INDEX('R&amp;B Inputs'!$I$48:$V$48,MATCH($B117,'R&amp;B Inputs'!$I$4:$V$4,0)))^(I$7-Year1))</f>
        <v>0.2228</v>
      </c>
      <c r="J117" s="506">
        <f>IF(J$8=0,0,INDEX('R&amp;B Inputs'!$I$78:$V$78,MATCH($B117,'R&amp;B Inputs'!$I$4:$V$4,0))*(1+INDEX('R&amp;B Inputs'!$I$48:$V$48,MATCH($B117,'R&amp;B Inputs'!$I$4:$V$4,0)))^(J$7-Year1))</f>
        <v>0.2228</v>
      </c>
      <c r="K117" s="506">
        <f>IF(K$8=0,0,INDEX('R&amp;B Inputs'!$I$78:$V$78,MATCH($B117,'R&amp;B Inputs'!$I$4:$V$4,0))*(1+INDEX('R&amp;B Inputs'!$I$48:$V$48,MATCH($B117,'R&amp;B Inputs'!$I$4:$V$4,0)))^(K$7-Year1))</f>
        <v>0.2228</v>
      </c>
      <c r="L117" s="506">
        <f>IF(L$8=0,0,INDEX('R&amp;B Inputs'!$I$78:$V$78,MATCH($B117,'R&amp;B Inputs'!$I$4:$V$4,0))*(1+INDEX('R&amp;B Inputs'!$I$48:$V$48,MATCH($B117,'R&amp;B Inputs'!$I$4:$V$4,0)))^(L$7-Year1))</f>
        <v>0.2228</v>
      </c>
      <c r="M117" s="506">
        <f>IF(M$8=0,0,INDEX('R&amp;B Inputs'!$I$78:$V$78,MATCH($B117,'R&amp;B Inputs'!$I$4:$V$4,0))*(1+INDEX('R&amp;B Inputs'!$I$48:$V$48,MATCH($B117,'R&amp;B Inputs'!$I$4:$V$4,0)))^(M$7-Year1))</f>
        <v>0.2228</v>
      </c>
      <c r="N117" s="506">
        <f>IF(N$8=0,0,INDEX('R&amp;B Inputs'!$I$78:$V$78,MATCH($B117,'R&amp;B Inputs'!$I$4:$V$4,0))*(1+INDEX('R&amp;B Inputs'!$I$48:$V$48,MATCH($B117,'R&amp;B Inputs'!$I$4:$V$4,0)))^(N$7-Year1))</f>
        <v>0.2228</v>
      </c>
      <c r="O117" s="506">
        <f>IF(O$8=0,0,INDEX('R&amp;B Inputs'!$I$78:$V$78,MATCH($B117,'R&amp;B Inputs'!$I$4:$V$4,0))*(1+INDEX('R&amp;B Inputs'!$I$48:$V$48,MATCH($B117,'R&amp;B Inputs'!$I$4:$V$4,0)))^(O$7-Year1))</f>
        <v>0.2228</v>
      </c>
      <c r="P117" s="506">
        <f>IF(P$8=0,0,INDEX('R&amp;B Inputs'!$I$78:$V$78,MATCH($B117,'R&amp;B Inputs'!$I$4:$V$4,0))*(1+INDEX('R&amp;B Inputs'!$I$48:$V$48,MATCH($B117,'R&amp;B Inputs'!$I$4:$V$4,0)))^(P$7-Year1))</f>
        <v>0.2228</v>
      </c>
      <c r="Q117" s="506">
        <f>IF(Q$8=0,0,INDEX('R&amp;B Inputs'!$I$78:$V$78,MATCH($B117,'R&amp;B Inputs'!$I$4:$V$4,0))*(1+INDEX('R&amp;B Inputs'!$I$48:$V$48,MATCH($B117,'R&amp;B Inputs'!$I$4:$V$4,0)))^(Q$7-Year1))</f>
        <v>0.2228</v>
      </c>
      <c r="R117" s="506">
        <f>IF(R$8=0,0,INDEX('R&amp;B Inputs'!$I$78:$V$78,MATCH($B117,'R&amp;B Inputs'!$I$4:$V$4,0))*(1+INDEX('R&amp;B Inputs'!$I$48:$V$48,MATCH($B117,'R&amp;B Inputs'!$I$4:$V$4,0)))^(R$7-Year1))</f>
        <v>0.2228</v>
      </c>
      <c r="S117" s="506">
        <f>IF(S$8=0,0,INDEX('R&amp;B Inputs'!$I$78:$V$78,MATCH($B117,'R&amp;B Inputs'!$I$4:$V$4,0))*(1+INDEX('R&amp;B Inputs'!$I$48:$V$48,MATCH($B117,'R&amp;B Inputs'!$I$4:$V$4,0)))^(S$7-Year1))</f>
        <v>0.2228</v>
      </c>
      <c r="T117" s="506">
        <f>IF(T$8=0,0,INDEX('R&amp;B Inputs'!$I$78:$V$78,MATCH($B117,'R&amp;B Inputs'!$I$4:$V$4,0))*(1+INDEX('R&amp;B Inputs'!$I$48:$V$48,MATCH($B117,'R&amp;B Inputs'!$I$4:$V$4,0)))^(T$7-Year1))</f>
        <v>0.2228</v>
      </c>
      <c r="U117" s="506">
        <f>IF(U$8=0,0,INDEX('R&amp;B Inputs'!$I$78:$V$78,MATCH($B117,'R&amp;B Inputs'!$I$4:$V$4,0))*(1+INDEX('R&amp;B Inputs'!$I$48:$V$48,MATCH($B117,'R&amp;B Inputs'!$I$4:$V$4,0)))^(U$7-Year1))</f>
        <v>0.2228</v>
      </c>
      <c r="V117" s="506">
        <f>IF(V$8=0,0,INDEX('R&amp;B Inputs'!$I$78:$V$78,MATCH($B117,'R&amp;B Inputs'!$I$4:$V$4,0))*(1+INDEX('R&amp;B Inputs'!$I$48:$V$48,MATCH($B117,'R&amp;B Inputs'!$I$4:$V$4,0)))^(V$7-Year1))</f>
        <v>0.2228</v>
      </c>
      <c r="W117" s="506">
        <f>IF(W$8=0,0,INDEX('R&amp;B Inputs'!$I$78:$V$78,MATCH($B117,'R&amp;B Inputs'!$I$4:$V$4,0))*(1+INDEX('R&amp;B Inputs'!$I$48:$V$48,MATCH($B117,'R&amp;B Inputs'!$I$4:$V$4,0)))^(W$7-Year1))</f>
        <v>0.2228</v>
      </c>
      <c r="X117" s="506">
        <f>IF(X$8=0,0,INDEX('R&amp;B Inputs'!$I$78:$V$78,MATCH($B117,'R&amp;B Inputs'!$I$4:$V$4,0))*(1+INDEX('R&amp;B Inputs'!$I$48:$V$48,MATCH($B117,'R&amp;B Inputs'!$I$4:$V$4,0)))^(X$7-Year1))</f>
        <v>0.2228</v>
      </c>
      <c r="Y117" s="506">
        <f>IF(Y$8=0,0,INDEX('R&amp;B Inputs'!$I$78:$V$78,MATCH($B117,'R&amp;B Inputs'!$I$4:$V$4,0))*(1+INDEX('R&amp;B Inputs'!$I$48:$V$48,MATCH($B117,'R&amp;B Inputs'!$I$4:$V$4,0)))^(Y$7-Year1))</f>
        <v>0.2228</v>
      </c>
      <c r="Z117" s="506">
        <f>IF(Z$8=0,0,INDEX('R&amp;B Inputs'!$I$78:$V$78,MATCH($B117,'R&amp;B Inputs'!$I$4:$V$4,0))*(1+INDEX('R&amp;B Inputs'!$I$48:$V$48,MATCH($B117,'R&amp;B Inputs'!$I$4:$V$4,0)))^(Z$7-Year1))</f>
        <v>0.2228</v>
      </c>
      <c r="AA117" s="506">
        <f>IF(AA$8=0,0,INDEX('R&amp;B Inputs'!$I$78:$V$78,MATCH($B117,'R&amp;B Inputs'!$I$4:$V$4,0))*(1+INDEX('R&amp;B Inputs'!$I$48:$V$48,MATCH($B117,'R&amp;B Inputs'!$I$4:$V$4,0)))^(AA$7-Year1))</f>
        <v>0.2228</v>
      </c>
      <c r="AB117" s="506">
        <f>IF(AB$8=0,0,INDEX('R&amp;B Inputs'!$I$78:$V$78,MATCH($B117,'R&amp;B Inputs'!$I$4:$V$4,0))*(1+INDEX('R&amp;B Inputs'!$I$48:$V$48,MATCH($B117,'R&amp;B Inputs'!$I$4:$V$4,0)))^(AB$7-Year1))</f>
        <v>0.2228</v>
      </c>
      <c r="AC117" s="506">
        <f>IF(AC$8=0,0,INDEX('R&amp;B Inputs'!$I$78:$V$78,MATCH($B117,'R&amp;B Inputs'!$I$4:$V$4,0))*(1+INDEX('R&amp;B Inputs'!$I$48:$V$48,MATCH($B117,'R&amp;B Inputs'!$I$4:$V$4,0)))^(AC$7-Year1))</f>
        <v>0.2228</v>
      </c>
      <c r="AD117" s="506">
        <f>IF(AD$8=0,0,INDEX('R&amp;B Inputs'!$I$78:$V$78,MATCH($B117,'R&amp;B Inputs'!$I$4:$V$4,0))*(1+INDEX('R&amp;B Inputs'!$I$48:$V$48,MATCH($B117,'R&amp;B Inputs'!$I$4:$V$4,0)))^(AD$7-Year1))</f>
        <v>0.2228</v>
      </c>
      <c r="AE117" s="506">
        <f>IF(AE$8=0,0,INDEX('R&amp;B Inputs'!$I$78:$V$78,MATCH($B117,'R&amp;B Inputs'!$I$4:$V$4,0))*(1+INDEX('R&amp;B Inputs'!$I$48:$V$48,MATCH($B117,'R&amp;B Inputs'!$I$4:$V$4,0)))^(AE$7-Year1))</f>
        <v>0.2228</v>
      </c>
      <c r="AF117" s="506">
        <f>IF(AF$8=0,0,INDEX('R&amp;B Inputs'!$I$78:$V$78,MATCH($B117,'R&amp;B Inputs'!$I$4:$V$4,0))*(1+INDEX('R&amp;B Inputs'!$I$48:$V$48,MATCH($B117,'R&amp;B Inputs'!$I$4:$V$4,0)))^(AF$7-Year1))</f>
        <v>0.2228</v>
      </c>
      <c r="AG117" s="506">
        <f>IF(AG$8=0,0,INDEX('R&amp;B Inputs'!$I$78:$V$78,MATCH($B117,'R&amp;B Inputs'!$I$4:$V$4,0))*(1+INDEX('R&amp;B Inputs'!$I$48:$V$48,MATCH($B117,'R&amp;B Inputs'!$I$4:$V$4,0)))^(AG$7-Year1))</f>
        <v>0.2228</v>
      </c>
      <c r="AH117" s="506"/>
      <c r="AI117" s="506"/>
      <c r="AJ117" s="506">
        <f>IF($C$4=Year1,-PMT(Lookups!$E$17,25,NPV(Lookups!$E$17,G117:AE117),0,1),IF($C$4=Year2,-PMT(Lookups!$F$17,25,NPV(Lookups!$F$17,H117:AF117),0,1),IF($C$4=Year3,-PMT(Lookups!$G$17,25,NPV(Lookups!$G$17,I117:AG117),0,1),-PMT(Lookups!$G$17,27,NPV(Lookups!$G$17,G117:AG117),0,1))))</f>
        <v>0.21969266828087164</v>
      </c>
      <c r="AK117" s="507"/>
      <c r="AL117" s="507"/>
      <c r="AM117" s="508">
        <f>IF(AM$8=0,0,INDEX('R&amp;B Inputs'!$I$78:$V$78,MATCH($B117,'R&amp;B Inputs'!$I$4:$V$4,0))*(1+INDEX('R&amp;B Inputs'!$I$48:$V$48,MATCH($B117,'R&amp;B Inputs'!$I$4:$V$4,0)))^(AM$7-Year1))</f>
        <v>0.2228</v>
      </c>
      <c r="AN117" s="508">
        <f>IF(AN$8=0,0,INDEX('R&amp;B Inputs'!$I$78:$V$78,MATCH($B117,'R&amp;B Inputs'!$I$4:$V$4,0))*(1+INDEX('R&amp;B Inputs'!$I$48:$V$48,MATCH($B117,'R&amp;B Inputs'!$I$4:$V$4,0)))^(AN$7-Year1))</f>
        <v>0.2228</v>
      </c>
      <c r="AO117" s="508">
        <f>IF(AO$8=0,0,INDEX('R&amp;B Inputs'!$I$78:$V$78,MATCH($B117,'R&amp;B Inputs'!$I$4:$V$4,0))*(1+INDEX('R&amp;B Inputs'!$I$48:$V$48,MATCH($B117,'R&amp;B Inputs'!$I$4:$V$4,0)))^(AO$7-Year1))</f>
        <v>0.2228</v>
      </c>
      <c r="AP117" s="508">
        <f>IF(AP$8=0,0,INDEX('R&amp;B Inputs'!$I$78:$V$78,MATCH($B117,'R&amp;B Inputs'!$I$4:$V$4,0))*(1+INDEX('R&amp;B Inputs'!$I$48:$V$48,MATCH($B117,'R&amp;B Inputs'!$I$4:$V$4,0)))^(AP$7-Year1))</f>
        <v>0.2228</v>
      </c>
      <c r="AQ117" s="508">
        <f>IF(AQ$8=0,0,INDEX('R&amp;B Inputs'!$I$78:$V$78,MATCH($B117,'R&amp;B Inputs'!$I$4:$V$4,0))*(1+INDEX('R&amp;B Inputs'!$I$48:$V$48,MATCH($B117,'R&amp;B Inputs'!$I$4:$V$4,0)))^(AQ$7-Year1))</f>
        <v>0.2228</v>
      </c>
      <c r="AR117" s="508">
        <f>IF(AR$8=0,0,INDEX('R&amp;B Inputs'!$I$78:$V$78,MATCH($B117,'R&amp;B Inputs'!$I$4:$V$4,0))*(1+INDEX('R&amp;B Inputs'!$I$48:$V$48,MATCH($B117,'R&amp;B Inputs'!$I$4:$V$4,0)))^(AR$7-Year1))</f>
        <v>0.2228</v>
      </c>
      <c r="AS117" s="508">
        <f>IF(AS$8=0,0,INDEX('R&amp;B Inputs'!$I$78:$V$78,MATCH($B117,'R&amp;B Inputs'!$I$4:$V$4,0))*(1+INDEX('R&amp;B Inputs'!$I$48:$V$48,MATCH($B117,'R&amp;B Inputs'!$I$4:$V$4,0)))^(AS$7-Year1))</f>
        <v>0.2228</v>
      </c>
      <c r="AT117" s="508">
        <f>IF(AT$8=0,0,INDEX('R&amp;B Inputs'!$I$78:$V$78,MATCH($B117,'R&amp;B Inputs'!$I$4:$V$4,0))*(1+INDEX('R&amp;B Inputs'!$I$48:$V$48,MATCH($B117,'R&amp;B Inputs'!$I$4:$V$4,0)))^(AT$7-Year1))</f>
        <v>0.2228</v>
      </c>
      <c r="AU117" s="508">
        <f>IF(AU$8=0,0,INDEX('R&amp;B Inputs'!$I$78:$V$78,MATCH($B117,'R&amp;B Inputs'!$I$4:$V$4,0))*(1+INDEX('R&amp;B Inputs'!$I$48:$V$48,MATCH($B117,'R&amp;B Inputs'!$I$4:$V$4,0)))^(AU$7-Year1))</f>
        <v>0.2228</v>
      </c>
      <c r="AV117" s="508">
        <f>IF(AV$8=0,0,INDEX('R&amp;B Inputs'!$I$78:$V$78,MATCH($B117,'R&amp;B Inputs'!$I$4:$V$4,0))*(1+INDEX('R&amp;B Inputs'!$I$48:$V$48,MATCH($B117,'R&amp;B Inputs'!$I$4:$V$4,0)))^(AV$7-Year1))</f>
        <v>0.2228</v>
      </c>
      <c r="AW117" s="508">
        <f>IF(AW$8=0,0,INDEX('R&amp;B Inputs'!$I$78:$V$78,MATCH($B117,'R&amp;B Inputs'!$I$4:$V$4,0))*(1+INDEX('R&amp;B Inputs'!$I$48:$V$48,MATCH($B117,'R&amp;B Inputs'!$I$4:$V$4,0)))^(AW$7-Year1))</f>
        <v>0.2228</v>
      </c>
      <c r="AX117" s="508">
        <f>IF(AX$8=0,0,INDEX('R&amp;B Inputs'!$I$78:$V$78,MATCH($B117,'R&amp;B Inputs'!$I$4:$V$4,0))*(1+INDEX('R&amp;B Inputs'!$I$48:$V$48,MATCH($B117,'R&amp;B Inputs'!$I$4:$V$4,0)))^(AX$7-Year1))</f>
        <v>0.2228</v>
      </c>
      <c r="AY117" s="508">
        <f>IF(AY$8=0,0,INDEX('R&amp;B Inputs'!$I$78:$V$78,MATCH($B117,'R&amp;B Inputs'!$I$4:$V$4,0))*(1+INDEX('R&amp;B Inputs'!$I$48:$V$48,MATCH($B117,'R&amp;B Inputs'!$I$4:$V$4,0)))^(AY$7-Year1))</f>
        <v>0.2228</v>
      </c>
      <c r="AZ117" s="508">
        <f>IF(AZ$8=0,0,INDEX('R&amp;B Inputs'!$I$78:$V$78,MATCH($B117,'R&amp;B Inputs'!$I$4:$V$4,0))*(1+INDEX('R&amp;B Inputs'!$I$48:$V$48,MATCH($B117,'R&amp;B Inputs'!$I$4:$V$4,0)))^(AZ$7-Year1))</f>
        <v>0.2228</v>
      </c>
      <c r="BA117" s="508">
        <f>IF(BA$8=0,0,INDEX('R&amp;B Inputs'!$I$78:$V$78,MATCH($B117,'R&amp;B Inputs'!$I$4:$V$4,0))*(1+INDEX('R&amp;B Inputs'!$I$48:$V$48,MATCH($B117,'R&amp;B Inputs'!$I$4:$V$4,0)))^(BA$7-Year1))</f>
        <v>0.2228</v>
      </c>
      <c r="BB117" s="508">
        <f>IF(BB$8=0,0,INDEX('R&amp;B Inputs'!$I$78:$V$78,MATCH($B117,'R&amp;B Inputs'!$I$4:$V$4,0))*(1+INDEX('R&amp;B Inputs'!$I$48:$V$48,MATCH($B117,'R&amp;B Inputs'!$I$4:$V$4,0)))^(BB$7-Year1))</f>
        <v>0.2228</v>
      </c>
      <c r="BC117" s="508">
        <f>IF(BC$8=0,0,INDEX('R&amp;B Inputs'!$I$78:$V$78,MATCH($B117,'R&amp;B Inputs'!$I$4:$V$4,0))*(1+INDEX('R&amp;B Inputs'!$I$48:$V$48,MATCH($B117,'R&amp;B Inputs'!$I$4:$V$4,0)))^(BC$7-Year1))</f>
        <v>0.2228</v>
      </c>
      <c r="BD117" s="508">
        <f>IF(BD$8=0,0,INDEX('R&amp;B Inputs'!$I$78:$V$78,MATCH($B117,'R&amp;B Inputs'!$I$4:$V$4,0))*(1+INDEX('R&amp;B Inputs'!$I$48:$V$48,MATCH($B117,'R&amp;B Inputs'!$I$4:$V$4,0)))^(BD$7-Year1))</f>
        <v>0.2228</v>
      </c>
      <c r="BE117" s="508">
        <f>IF(BE$8=0,0,INDEX('R&amp;B Inputs'!$I$78:$V$78,MATCH($B117,'R&amp;B Inputs'!$I$4:$V$4,0))*(1+INDEX('R&amp;B Inputs'!$I$48:$V$48,MATCH($B117,'R&amp;B Inputs'!$I$4:$V$4,0)))^(BE$7-Year1))</f>
        <v>0.2228</v>
      </c>
      <c r="BF117" s="508">
        <f>IF(BF$8=0,0,INDEX('R&amp;B Inputs'!$I$78:$V$78,MATCH($B117,'R&amp;B Inputs'!$I$4:$V$4,0))*(1+INDEX('R&amp;B Inputs'!$I$48:$V$48,MATCH($B117,'R&amp;B Inputs'!$I$4:$V$4,0)))^(BF$7-Year1))</f>
        <v>0.2228</v>
      </c>
      <c r="BG117" s="508">
        <f>IF(BG$8=0,0,INDEX('R&amp;B Inputs'!$I$78:$V$78,MATCH($B117,'R&amp;B Inputs'!$I$4:$V$4,0))*(1+INDEX('R&amp;B Inputs'!$I$48:$V$48,MATCH($B117,'R&amp;B Inputs'!$I$4:$V$4,0)))^(BG$7-Year1))</f>
        <v>0.2228</v>
      </c>
      <c r="BH117" s="508">
        <f>IF(BH$8=0,0,INDEX('R&amp;B Inputs'!$I$78:$V$78,MATCH($B117,'R&amp;B Inputs'!$I$4:$V$4,0))*(1+INDEX('R&amp;B Inputs'!$I$48:$V$48,MATCH($B117,'R&amp;B Inputs'!$I$4:$V$4,0)))^(BH$7-Year1))</f>
        <v>0.2228</v>
      </c>
      <c r="BI117" s="508">
        <f>IF(BI$8=0,0,INDEX('R&amp;B Inputs'!$I$78:$V$78,MATCH($B117,'R&amp;B Inputs'!$I$4:$V$4,0))*(1+INDEX('R&amp;B Inputs'!$I$48:$V$48,MATCH($B117,'R&amp;B Inputs'!$I$4:$V$4,0)))^(BI$7-Year1))</f>
        <v>0.2228</v>
      </c>
      <c r="BJ117" s="508">
        <f>IF(BJ$8=0,0,INDEX('R&amp;B Inputs'!$I$78:$V$78,MATCH($B117,'R&amp;B Inputs'!$I$4:$V$4,0))*(1+INDEX('R&amp;B Inputs'!$I$48:$V$48,MATCH($B117,'R&amp;B Inputs'!$I$4:$V$4,0)))^(BJ$7-Year1))</f>
        <v>0.2228</v>
      </c>
      <c r="BK117" s="508">
        <f>IF(BK$8=0,0,INDEX('R&amp;B Inputs'!$I$78:$V$78,MATCH($B117,'R&amp;B Inputs'!$I$4:$V$4,0))*(1+INDEX('R&amp;B Inputs'!$I$48:$V$48,MATCH($B117,'R&amp;B Inputs'!$I$4:$V$4,0)))^(BK$7-Year1))</f>
        <v>0.2228</v>
      </c>
      <c r="BL117" s="508">
        <f>IF(BL$8=0,0,INDEX('R&amp;B Inputs'!$I$78:$V$78,MATCH($B117,'R&amp;B Inputs'!$I$4:$V$4,0))*(1+INDEX('R&amp;B Inputs'!$I$48:$V$48,MATCH($B117,'R&amp;B Inputs'!$I$4:$V$4,0)))^(BL$7-Year1))</f>
        <v>0.2228</v>
      </c>
      <c r="BM117" s="508">
        <f>IF(BM$8=0,0,INDEX('R&amp;B Inputs'!$I$78:$V$78,MATCH($B117,'R&amp;B Inputs'!$I$4:$V$4,0))*(1+INDEX('R&amp;B Inputs'!$I$48:$V$48,MATCH($B117,'R&amp;B Inputs'!$I$4:$V$4,0)))^(BM$7-Year1))</f>
        <v>0.2228</v>
      </c>
      <c r="BN117" s="508"/>
      <c r="BO117" s="508"/>
      <c r="BP117" s="508">
        <f>IF($C$4=Year1,-PMT(Lookups!$E$17,25,NPV(Lookups!$E$17,AM117:BK117),0,1),IF($C$4=Year2,-PMT(Lookups!$F$17,25,NPV(Lookups!$F$17,AN117:BL117),0,1),IF($C$4=Year3,-PMT(Lookups!$G$17,25,NPV(Lookups!$G$17,AO117:BM117),0,1),-PMT(Lookups!$G$17,27,NPV(Lookups!$G$17,AM117:BM117),0,1))))</f>
        <v>0.21969266828087164</v>
      </c>
      <c r="BS117" s="76" t="str">
        <f t="shared" ref="BS117:BS119" si="107">E117&amp;" charge from the R&amp;B Inputs tab, escalated annually by the growth rate included on the R&amp;B Inputs tab."</f>
        <v>Distribution charge from the R&amp;B Inputs tab, escalated annually by the growth rate included on the R&amp;B Inputs tab.</v>
      </c>
      <c r="BT117" s="51" t="s">
        <v>17</v>
      </c>
    </row>
    <row r="118" spans="1:72" x14ac:dyDescent="0.25">
      <c r="B118" s="243" t="str">
        <f t="shared" si="106"/>
        <v>Low-Income</v>
      </c>
      <c r="C118" s="243" t="str">
        <f t="shared" si="106"/>
        <v>Rates</v>
      </c>
      <c r="D118" s="244" t="str">
        <f>D117</f>
        <v>Rates before DSM (No EE Scenario)</v>
      </c>
      <c r="E118" s="84" t="s">
        <v>407</v>
      </c>
      <c r="F118" s="84" t="s">
        <v>182</v>
      </c>
      <c r="G118" s="506">
        <f>IF(G$8=0,0,INDEX('R&amp;B Inputs'!$I$82:$V$82,MATCH($B118,'R&amp;B Inputs'!$I$4:$V$4,0))*(1+INDEX('R&amp;B Inputs'!$I$62:$V$62,MATCH($B118,'R&amp;B Inputs'!$I$4:$V$4,0)))^(G$7-Year1))</f>
        <v>-3.3000000000000002E-2</v>
      </c>
      <c r="H118" s="506">
        <f>IF(H$8=0,0,INDEX('R&amp;B Inputs'!$I$82:$V$82,MATCH($B118,'R&amp;B Inputs'!$I$4:$V$4,0))*(1+INDEX('R&amp;B Inputs'!$I$62:$V$62,MATCH($B118,'R&amp;B Inputs'!$I$4:$V$4,0)))^(H$7-Year1))</f>
        <v>-3.3000000000000002E-2</v>
      </c>
      <c r="I118" s="506">
        <f>IF(I$8=0,0,INDEX('R&amp;B Inputs'!$I$82:$V$82,MATCH($B118,'R&amp;B Inputs'!$I$4:$V$4,0))*(1+INDEX('R&amp;B Inputs'!$I$62:$V$62,MATCH($B118,'R&amp;B Inputs'!$I$4:$V$4,0)))^(I$7-Year1))</f>
        <v>-3.3000000000000002E-2</v>
      </c>
      <c r="J118" s="506">
        <f>IF(J$8=0,0,INDEX('R&amp;B Inputs'!$I$82:$V$82,MATCH($B118,'R&amp;B Inputs'!$I$4:$V$4,0))*(1+INDEX('R&amp;B Inputs'!$I$62:$V$62,MATCH($B118,'R&amp;B Inputs'!$I$4:$V$4,0)))^(J$7-Year1))</f>
        <v>-3.3000000000000002E-2</v>
      </c>
      <c r="K118" s="506">
        <f>IF(K$8=0,0,INDEX('R&amp;B Inputs'!$I$82:$V$82,MATCH($B118,'R&amp;B Inputs'!$I$4:$V$4,0))*(1+INDEX('R&amp;B Inputs'!$I$62:$V$62,MATCH($B118,'R&amp;B Inputs'!$I$4:$V$4,0)))^(K$7-Year1))</f>
        <v>-3.3000000000000002E-2</v>
      </c>
      <c r="L118" s="506">
        <f>IF(L$8=0,0,INDEX('R&amp;B Inputs'!$I$82:$V$82,MATCH($B118,'R&amp;B Inputs'!$I$4:$V$4,0))*(1+INDEX('R&amp;B Inputs'!$I$62:$V$62,MATCH($B118,'R&amp;B Inputs'!$I$4:$V$4,0)))^(L$7-Year1))</f>
        <v>-3.3000000000000002E-2</v>
      </c>
      <c r="M118" s="506">
        <f>IF(M$8=0,0,INDEX('R&amp;B Inputs'!$I$82:$V$82,MATCH($B118,'R&amp;B Inputs'!$I$4:$V$4,0))*(1+INDEX('R&amp;B Inputs'!$I$62:$V$62,MATCH($B118,'R&amp;B Inputs'!$I$4:$V$4,0)))^(M$7-Year1))</f>
        <v>-3.3000000000000002E-2</v>
      </c>
      <c r="N118" s="506">
        <f>IF(N$8=0,0,INDEX('R&amp;B Inputs'!$I$82:$V$82,MATCH($B118,'R&amp;B Inputs'!$I$4:$V$4,0))*(1+INDEX('R&amp;B Inputs'!$I$62:$V$62,MATCH($B118,'R&amp;B Inputs'!$I$4:$V$4,0)))^(N$7-Year1))</f>
        <v>-3.3000000000000002E-2</v>
      </c>
      <c r="O118" s="506">
        <f>IF(O$8=0,0,INDEX('R&amp;B Inputs'!$I$82:$V$82,MATCH($B118,'R&amp;B Inputs'!$I$4:$V$4,0))*(1+INDEX('R&amp;B Inputs'!$I$62:$V$62,MATCH($B118,'R&amp;B Inputs'!$I$4:$V$4,0)))^(O$7-Year1))</f>
        <v>-3.3000000000000002E-2</v>
      </c>
      <c r="P118" s="506">
        <f>IF(P$8=0,0,INDEX('R&amp;B Inputs'!$I$82:$V$82,MATCH($B118,'R&amp;B Inputs'!$I$4:$V$4,0))*(1+INDEX('R&amp;B Inputs'!$I$62:$V$62,MATCH($B118,'R&amp;B Inputs'!$I$4:$V$4,0)))^(P$7-Year1))</f>
        <v>-3.3000000000000002E-2</v>
      </c>
      <c r="Q118" s="506">
        <f>IF(Q$8=0,0,INDEX('R&amp;B Inputs'!$I$82:$V$82,MATCH($B118,'R&amp;B Inputs'!$I$4:$V$4,0))*(1+INDEX('R&amp;B Inputs'!$I$62:$V$62,MATCH($B118,'R&amp;B Inputs'!$I$4:$V$4,0)))^(Q$7-Year1))</f>
        <v>-3.3000000000000002E-2</v>
      </c>
      <c r="R118" s="506">
        <f>IF(R$8=0,0,INDEX('R&amp;B Inputs'!$I$82:$V$82,MATCH($B118,'R&amp;B Inputs'!$I$4:$V$4,0))*(1+INDEX('R&amp;B Inputs'!$I$62:$V$62,MATCH($B118,'R&amp;B Inputs'!$I$4:$V$4,0)))^(R$7-Year1))</f>
        <v>-3.3000000000000002E-2</v>
      </c>
      <c r="S118" s="506">
        <f>IF(S$8=0,0,INDEX('R&amp;B Inputs'!$I$82:$V$82,MATCH($B118,'R&amp;B Inputs'!$I$4:$V$4,0))*(1+INDEX('R&amp;B Inputs'!$I$62:$V$62,MATCH($B118,'R&amp;B Inputs'!$I$4:$V$4,0)))^(S$7-Year1))</f>
        <v>-3.3000000000000002E-2</v>
      </c>
      <c r="T118" s="506">
        <f>IF(T$8=0,0,INDEX('R&amp;B Inputs'!$I$82:$V$82,MATCH($B118,'R&amp;B Inputs'!$I$4:$V$4,0))*(1+INDEX('R&amp;B Inputs'!$I$62:$V$62,MATCH($B118,'R&amp;B Inputs'!$I$4:$V$4,0)))^(T$7-Year1))</f>
        <v>-3.3000000000000002E-2</v>
      </c>
      <c r="U118" s="506">
        <f>IF(U$8=0,0,INDEX('R&amp;B Inputs'!$I$82:$V$82,MATCH($B118,'R&amp;B Inputs'!$I$4:$V$4,0))*(1+INDEX('R&amp;B Inputs'!$I$62:$V$62,MATCH($B118,'R&amp;B Inputs'!$I$4:$V$4,0)))^(U$7-Year1))</f>
        <v>-3.3000000000000002E-2</v>
      </c>
      <c r="V118" s="506">
        <f>IF(V$8=0,0,INDEX('R&amp;B Inputs'!$I$82:$V$82,MATCH($B118,'R&amp;B Inputs'!$I$4:$V$4,0))*(1+INDEX('R&amp;B Inputs'!$I$62:$V$62,MATCH($B118,'R&amp;B Inputs'!$I$4:$V$4,0)))^(V$7-Year1))</f>
        <v>-3.3000000000000002E-2</v>
      </c>
      <c r="W118" s="506">
        <f>IF(W$8=0,0,INDEX('R&amp;B Inputs'!$I$82:$V$82,MATCH($B118,'R&amp;B Inputs'!$I$4:$V$4,0))*(1+INDEX('R&amp;B Inputs'!$I$62:$V$62,MATCH($B118,'R&amp;B Inputs'!$I$4:$V$4,0)))^(W$7-Year1))</f>
        <v>-3.3000000000000002E-2</v>
      </c>
      <c r="X118" s="506">
        <f>IF(X$8=0,0,INDEX('R&amp;B Inputs'!$I$82:$V$82,MATCH($B118,'R&amp;B Inputs'!$I$4:$V$4,0))*(1+INDEX('R&amp;B Inputs'!$I$62:$V$62,MATCH($B118,'R&amp;B Inputs'!$I$4:$V$4,0)))^(X$7-Year1))</f>
        <v>-3.3000000000000002E-2</v>
      </c>
      <c r="Y118" s="506">
        <f>IF(Y$8=0,0,INDEX('R&amp;B Inputs'!$I$82:$V$82,MATCH($B118,'R&amp;B Inputs'!$I$4:$V$4,0))*(1+INDEX('R&amp;B Inputs'!$I$62:$V$62,MATCH($B118,'R&amp;B Inputs'!$I$4:$V$4,0)))^(Y$7-Year1))</f>
        <v>-3.3000000000000002E-2</v>
      </c>
      <c r="Z118" s="506">
        <f>IF(Z$8=0,0,INDEX('R&amp;B Inputs'!$I$82:$V$82,MATCH($B118,'R&amp;B Inputs'!$I$4:$V$4,0))*(1+INDEX('R&amp;B Inputs'!$I$62:$V$62,MATCH($B118,'R&amp;B Inputs'!$I$4:$V$4,0)))^(Z$7-Year1))</f>
        <v>-3.3000000000000002E-2</v>
      </c>
      <c r="AA118" s="506">
        <f>IF(AA$8=0,0,INDEX('R&amp;B Inputs'!$I$82:$V$82,MATCH($B118,'R&amp;B Inputs'!$I$4:$V$4,0))*(1+INDEX('R&amp;B Inputs'!$I$62:$V$62,MATCH($B118,'R&amp;B Inputs'!$I$4:$V$4,0)))^(AA$7-Year1))</f>
        <v>-3.3000000000000002E-2</v>
      </c>
      <c r="AB118" s="506">
        <f>IF(AB$8=0,0,INDEX('R&amp;B Inputs'!$I$82:$V$82,MATCH($B118,'R&amp;B Inputs'!$I$4:$V$4,0))*(1+INDEX('R&amp;B Inputs'!$I$62:$V$62,MATCH($B118,'R&amp;B Inputs'!$I$4:$V$4,0)))^(AB$7-Year1))</f>
        <v>-3.3000000000000002E-2</v>
      </c>
      <c r="AC118" s="506">
        <f>IF(AC$8=0,0,INDEX('R&amp;B Inputs'!$I$82:$V$82,MATCH($B118,'R&amp;B Inputs'!$I$4:$V$4,0))*(1+INDEX('R&amp;B Inputs'!$I$62:$V$62,MATCH($B118,'R&amp;B Inputs'!$I$4:$V$4,0)))^(AC$7-Year1))</f>
        <v>-3.3000000000000002E-2</v>
      </c>
      <c r="AD118" s="506">
        <f>IF(AD$8=0,0,INDEX('R&amp;B Inputs'!$I$82:$V$82,MATCH($B118,'R&amp;B Inputs'!$I$4:$V$4,0))*(1+INDEX('R&amp;B Inputs'!$I$62:$V$62,MATCH($B118,'R&amp;B Inputs'!$I$4:$V$4,0)))^(AD$7-Year1))</f>
        <v>-3.3000000000000002E-2</v>
      </c>
      <c r="AE118" s="506">
        <f>IF(AE$8=0,0,INDEX('R&amp;B Inputs'!$I$82:$V$82,MATCH($B118,'R&amp;B Inputs'!$I$4:$V$4,0))*(1+INDEX('R&amp;B Inputs'!$I$62:$V$62,MATCH($B118,'R&amp;B Inputs'!$I$4:$V$4,0)))^(AE$7-Year1))</f>
        <v>-3.3000000000000002E-2</v>
      </c>
      <c r="AF118" s="506">
        <f>IF(AF$8=0,0,INDEX('R&amp;B Inputs'!$I$82:$V$82,MATCH($B118,'R&amp;B Inputs'!$I$4:$V$4,0))*(1+INDEX('R&amp;B Inputs'!$I$62:$V$62,MATCH($B118,'R&amp;B Inputs'!$I$4:$V$4,0)))^(AF$7-Year1))</f>
        <v>-3.3000000000000002E-2</v>
      </c>
      <c r="AG118" s="506">
        <f>IF(AG$8=0,0,INDEX('R&amp;B Inputs'!$I$82:$V$82,MATCH($B118,'R&amp;B Inputs'!$I$4:$V$4,0))*(1+INDEX('R&amp;B Inputs'!$I$62:$V$62,MATCH($B118,'R&amp;B Inputs'!$I$4:$V$4,0)))^(AG$7-Year1))</f>
        <v>-3.3000000000000002E-2</v>
      </c>
      <c r="AH118" s="506"/>
      <c r="AI118" s="506"/>
      <c r="AJ118" s="506">
        <f>IF($C$4=Year1,-PMT(Lookups!$E$17,25,NPV(Lookups!$E$17,G118:AE118),0,1),IF($C$4=Year2,-PMT(Lookups!$F$17,25,NPV(Lookups!$F$17,H118:AF118),0,1),IF($C$4=Year3,-PMT(Lookups!$G$17,25,NPV(Lookups!$G$17,I118:AG118),0,1),-PMT(Lookups!$G$17,27,NPV(Lookups!$G$17,G118:AG118),0,1))))</f>
        <v>-3.2539757869249397E-2</v>
      </c>
      <c r="AK118" s="507"/>
      <c r="AL118" s="507"/>
      <c r="AM118" s="508">
        <f>IF(AM$8=0,0,INDEX('R&amp;B Inputs'!$I$82:$V$82,MATCH($B118,'R&amp;B Inputs'!$I$4:$V$4,0))*(1+INDEX('R&amp;B Inputs'!$I$62:$V$62,MATCH($B118,'R&amp;B Inputs'!$I$4:$V$4,0)))^(AM$7-Year1))</f>
        <v>-3.3000000000000002E-2</v>
      </c>
      <c r="AN118" s="508">
        <f>IF(AN$8=0,0,INDEX('R&amp;B Inputs'!$I$82:$V$82,MATCH($B118,'R&amp;B Inputs'!$I$4:$V$4,0))*(1+INDEX('R&amp;B Inputs'!$I$62:$V$62,MATCH($B118,'R&amp;B Inputs'!$I$4:$V$4,0)))^(AN$7-Year1))</f>
        <v>-3.3000000000000002E-2</v>
      </c>
      <c r="AO118" s="508">
        <f>IF(AO$8=0,0,INDEX('R&amp;B Inputs'!$I$82:$V$82,MATCH($B118,'R&amp;B Inputs'!$I$4:$V$4,0))*(1+INDEX('R&amp;B Inputs'!$I$62:$V$62,MATCH($B118,'R&amp;B Inputs'!$I$4:$V$4,0)))^(AO$7-Year1))</f>
        <v>-3.3000000000000002E-2</v>
      </c>
      <c r="AP118" s="508">
        <f>IF(AP$8=0,0,INDEX('R&amp;B Inputs'!$I$82:$V$82,MATCH($B118,'R&amp;B Inputs'!$I$4:$V$4,0))*(1+INDEX('R&amp;B Inputs'!$I$62:$V$62,MATCH($B118,'R&amp;B Inputs'!$I$4:$V$4,0)))^(AP$7-Year1))</f>
        <v>-3.3000000000000002E-2</v>
      </c>
      <c r="AQ118" s="508">
        <f>IF(AQ$8=0,0,INDEX('R&amp;B Inputs'!$I$82:$V$82,MATCH($B118,'R&amp;B Inputs'!$I$4:$V$4,0))*(1+INDEX('R&amp;B Inputs'!$I$62:$V$62,MATCH($B118,'R&amp;B Inputs'!$I$4:$V$4,0)))^(AQ$7-Year1))</f>
        <v>-3.3000000000000002E-2</v>
      </c>
      <c r="AR118" s="508">
        <f>IF(AR$8=0,0,INDEX('R&amp;B Inputs'!$I$82:$V$82,MATCH($B118,'R&amp;B Inputs'!$I$4:$V$4,0))*(1+INDEX('R&amp;B Inputs'!$I$62:$V$62,MATCH($B118,'R&amp;B Inputs'!$I$4:$V$4,0)))^(AR$7-Year1))</f>
        <v>-3.3000000000000002E-2</v>
      </c>
      <c r="AS118" s="508">
        <f>IF(AS$8=0,0,INDEX('R&amp;B Inputs'!$I$82:$V$82,MATCH($B118,'R&amp;B Inputs'!$I$4:$V$4,0))*(1+INDEX('R&amp;B Inputs'!$I$62:$V$62,MATCH($B118,'R&amp;B Inputs'!$I$4:$V$4,0)))^(AS$7-Year1))</f>
        <v>-3.3000000000000002E-2</v>
      </c>
      <c r="AT118" s="508">
        <f>IF(AT$8=0,0,INDEX('R&amp;B Inputs'!$I$82:$V$82,MATCH($B118,'R&amp;B Inputs'!$I$4:$V$4,0))*(1+INDEX('R&amp;B Inputs'!$I$62:$V$62,MATCH($B118,'R&amp;B Inputs'!$I$4:$V$4,0)))^(AT$7-Year1))</f>
        <v>-3.3000000000000002E-2</v>
      </c>
      <c r="AU118" s="508">
        <f>IF(AU$8=0,0,INDEX('R&amp;B Inputs'!$I$82:$V$82,MATCH($B118,'R&amp;B Inputs'!$I$4:$V$4,0))*(1+INDEX('R&amp;B Inputs'!$I$62:$V$62,MATCH($B118,'R&amp;B Inputs'!$I$4:$V$4,0)))^(AU$7-Year1))</f>
        <v>-3.3000000000000002E-2</v>
      </c>
      <c r="AV118" s="508">
        <f>IF(AV$8=0,0,INDEX('R&amp;B Inputs'!$I$82:$V$82,MATCH($B118,'R&amp;B Inputs'!$I$4:$V$4,0))*(1+INDEX('R&amp;B Inputs'!$I$62:$V$62,MATCH($B118,'R&amp;B Inputs'!$I$4:$V$4,0)))^(AV$7-Year1))</f>
        <v>-3.3000000000000002E-2</v>
      </c>
      <c r="AW118" s="508">
        <f>IF(AW$8=0,0,INDEX('R&amp;B Inputs'!$I$82:$V$82,MATCH($B118,'R&amp;B Inputs'!$I$4:$V$4,0))*(1+INDEX('R&amp;B Inputs'!$I$62:$V$62,MATCH($B118,'R&amp;B Inputs'!$I$4:$V$4,0)))^(AW$7-Year1))</f>
        <v>-3.3000000000000002E-2</v>
      </c>
      <c r="AX118" s="508">
        <f>IF(AX$8=0,0,INDEX('R&amp;B Inputs'!$I$82:$V$82,MATCH($B118,'R&amp;B Inputs'!$I$4:$V$4,0))*(1+INDEX('R&amp;B Inputs'!$I$62:$V$62,MATCH($B118,'R&amp;B Inputs'!$I$4:$V$4,0)))^(AX$7-Year1))</f>
        <v>-3.3000000000000002E-2</v>
      </c>
      <c r="AY118" s="508">
        <f>IF(AY$8=0,0,INDEX('R&amp;B Inputs'!$I$82:$V$82,MATCH($B118,'R&amp;B Inputs'!$I$4:$V$4,0))*(1+INDEX('R&amp;B Inputs'!$I$62:$V$62,MATCH($B118,'R&amp;B Inputs'!$I$4:$V$4,0)))^(AY$7-Year1))</f>
        <v>-3.3000000000000002E-2</v>
      </c>
      <c r="AZ118" s="508">
        <f>IF(AZ$8=0,0,INDEX('R&amp;B Inputs'!$I$82:$V$82,MATCH($B118,'R&amp;B Inputs'!$I$4:$V$4,0))*(1+INDEX('R&amp;B Inputs'!$I$62:$V$62,MATCH($B118,'R&amp;B Inputs'!$I$4:$V$4,0)))^(AZ$7-Year1))</f>
        <v>-3.3000000000000002E-2</v>
      </c>
      <c r="BA118" s="508">
        <f>IF(BA$8=0,0,INDEX('R&amp;B Inputs'!$I$82:$V$82,MATCH($B118,'R&amp;B Inputs'!$I$4:$V$4,0))*(1+INDEX('R&amp;B Inputs'!$I$62:$V$62,MATCH($B118,'R&amp;B Inputs'!$I$4:$V$4,0)))^(BA$7-Year1))</f>
        <v>-3.3000000000000002E-2</v>
      </c>
      <c r="BB118" s="508">
        <f>IF(BB$8=0,0,INDEX('R&amp;B Inputs'!$I$82:$V$82,MATCH($B118,'R&amp;B Inputs'!$I$4:$V$4,0))*(1+INDEX('R&amp;B Inputs'!$I$62:$V$62,MATCH($B118,'R&amp;B Inputs'!$I$4:$V$4,0)))^(BB$7-Year1))</f>
        <v>-3.3000000000000002E-2</v>
      </c>
      <c r="BC118" s="508">
        <f>IF(BC$8=0,0,INDEX('R&amp;B Inputs'!$I$82:$V$82,MATCH($B118,'R&amp;B Inputs'!$I$4:$V$4,0))*(1+INDEX('R&amp;B Inputs'!$I$62:$V$62,MATCH($B118,'R&amp;B Inputs'!$I$4:$V$4,0)))^(BC$7-Year1))</f>
        <v>-3.3000000000000002E-2</v>
      </c>
      <c r="BD118" s="508">
        <f>IF(BD$8=0,0,INDEX('R&amp;B Inputs'!$I$82:$V$82,MATCH($B118,'R&amp;B Inputs'!$I$4:$V$4,0))*(1+INDEX('R&amp;B Inputs'!$I$62:$V$62,MATCH($B118,'R&amp;B Inputs'!$I$4:$V$4,0)))^(BD$7-Year1))</f>
        <v>-3.3000000000000002E-2</v>
      </c>
      <c r="BE118" s="508">
        <f>IF(BE$8=0,0,INDEX('R&amp;B Inputs'!$I$82:$V$82,MATCH($B118,'R&amp;B Inputs'!$I$4:$V$4,0))*(1+INDEX('R&amp;B Inputs'!$I$62:$V$62,MATCH($B118,'R&amp;B Inputs'!$I$4:$V$4,0)))^(BE$7-Year1))</f>
        <v>-3.3000000000000002E-2</v>
      </c>
      <c r="BF118" s="508">
        <f>IF(BF$8=0,0,INDEX('R&amp;B Inputs'!$I$82:$V$82,MATCH($B118,'R&amp;B Inputs'!$I$4:$V$4,0))*(1+INDEX('R&amp;B Inputs'!$I$62:$V$62,MATCH($B118,'R&amp;B Inputs'!$I$4:$V$4,0)))^(BF$7-Year1))</f>
        <v>-3.3000000000000002E-2</v>
      </c>
      <c r="BG118" s="508">
        <f>IF(BG$8=0,0,INDEX('R&amp;B Inputs'!$I$82:$V$82,MATCH($B118,'R&amp;B Inputs'!$I$4:$V$4,0))*(1+INDEX('R&amp;B Inputs'!$I$62:$V$62,MATCH($B118,'R&amp;B Inputs'!$I$4:$V$4,0)))^(BG$7-Year1))</f>
        <v>-3.3000000000000002E-2</v>
      </c>
      <c r="BH118" s="508">
        <f>IF(BH$8=0,0,INDEX('R&amp;B Inputs'!$I$82:$V$82,MATCH($B118,'R&amp;B Inputs'!$I$4:$V$4,0))*(1+INDEX('R&amp;B Inputs'!$I$62:$V$62,MATCH($B118,'R&amp;B Inputs'!$I$4:$V$4,0)))^(BH$7-Year1))</f>
        <v>-3.3000000000000002E-2</v>
      </c>
      <c r="BI118" s="508">
        <f>IF(BI$8=0,0,INDEX('R&amp;B Inputs'!$I$82:$V$82,MATCH($B118,'R&amp;B Inputs'!$I$4:$V$4,0))*(1+INDEX('R&amp;B Inputs'!$I$62:$V$62,MATCH($B118,'R&amp;B Inputs'!$I$4:$V$4,0)))^(BI$7-Year1))</f>
        <v>-3.3000000000000002E-2</v>
      </c>
      <c r="BJ118" s="508">
        <f>IF(BJ$8=0,0,INDEX('R&amp;B Inputs'!$I$82:$V$82,MATCH($B118,'R&amp;B Inputs'!$I$4:$V$4,0))*(1+INDEX('R&amp;B Inputs'!$I$62:$V$62,MATCH($B118,'R&amp;B Inputs'!$I$4:$V$4,0)))^(BJ$7-Year1))</f>
        <v>-3.3000000000000002E-2</v>
      </c>
      <c r="BK118" s="508">
        <f>IF(BK$8=0,0,INDEX('R&amp;B Inputs'!$I$82:$V$82,MATCH($B118,'R&amp;B Inputs'!$I$4:$V$4,0))*(1+INDEX('R&amp;B Inputs'!$I$62:$V$62,MATCH($B118,'R&amp;B Inputs'!$I$4:$V$4,0)))^(BK$7-Year1))</f>
        <v>-3.3000000000000002E-2</v>
      </c>
      <c r="BL118" s="508">
        <f>IF(BL$8=0,0,INDEX('R&amp;B Inputs'!$I$82:$V$82,MATCH($B118,'R&amp;B Inputs'!$I$4:$V$4,0))*(1+INDEX('R&amp;B Inputs'!$I$62:$V$62,MATCH($B118,'R&amp;B Inputs'!$I$4:$V$4,0)))^(BL$7-Year1))</f>
        <v>-3.3000000000000002E-2</v>
      </c>
      <c r="BM118" s="508">
        <f>IF(BM$8=0,0,INDEX('R&amp;B Inputs'!$I$82:$V$82,MATCH($B118,'R&amp;B Inputs'!$I$4:$V$4,0))*(1+INDEX('R&amp;B Inputs'!$I$62:$V$62,MATCH($B118,'R&amp;B Inputs'!$I$4:$V$4,0)))^(BM$7-Year1))</f>
        <v>-3.3000000000000002E-2</v>
      </c>
      <c r="BN118" s="508"/>
      <c r="BO118" s="508"/>
      <c r="BP118" s="508">
        <f>IF($C$4=Year1,-PMT(Lookups!$E$17,25,NPV(Lookups!$E$17,AM118:BK118),0,1),IF($C$4=Year2,-PMT(Lookups!$F$17,25,NPV(Lookups!$F$17,AN118:BL118),0,1),IF($C$4=Year3,-PMT(Lookups!$G$17,25,NPV(Lookups!$G$17,AO118:BM118),0,1),-PMT(Lookups!$G$17,27,NPV(Lookups!$G$17,AM118:BM118),0,1))))</f>
        <v>-3.2539757869249397E-2</v>
      </c>
      <c r="BS118" s="76" t="str">
        <f t="shared" si="107"/>
        <v>LDAC, Non-EE charge from the R&amp;B Inputs tab, escalated annually by the growth rate included on the R&amp;B Inputs tab.</v>
      </c>
      <c r="BT118" s="51" t="s">
        <v>17</v>
      </c>
    </row>
    <row r="119" spans="1:72" x14ac:dyDescent="0.25">
      <c r="B119" s="243" t="str">
        <f>B117</f>
        <v>Low-Income</v>
      </c>
      <c r="C119" s="243" t="str">
        <f>C117</f>
        <v>Rates</v>
      </c>
      <c r="D119" s="244" t="str">
        <f>D117</f>
        <v>Rates before DSM (No EE Scenario)</v>
      </c>
      <c r="E119" s="84" t="s">
        <v>197</v>
      </c>
      <c r="F119" s="84" t="s">
        <v>182</v>
      </c>
      <c r="G119" s="506">
        <f>IF(G$8=0,0,INDEX('R&amp;B Inputs'!$I$86:$V$86,MATCH($B119,'R&amp;B Inputs'!$I$4:$V$4,0))*(1+INDEX('R&amp;B Inputs'!$I$66:$V$66,MATCH($B119,'R&amp;B Inputs'!$I$4:$V$4,0)))^(G$7-Year1))</f>
        <v>0.62029999999999996</v>
      </c>
      <c r="H119" s="506">
        <f>IF(H$8=0,0,INDEX('R&amp;B Inputs'!$I$86:$V$86,MATCH($B119,'R&amp;B Inputs'!$I$4:$V$4,0))*(1+INDEX('R&amp;B Inputs'!$I$66:$V$66,MATCH($B119,'R&amp;B Inputs'!$I$4:$V$4,0)))^(H$7-Year1))</f>
        <v>0.62029999999999996</v>
      </c>
      <c r="I119" s="506">
        <f>IF(I$8=0,0,INDEX('R&amp;B Inputs'!$I$86:$V$86,MATCH($B119,'R&amp;B Inputs'!$I$4:$V$4,0))*(1+INDEX('R&amp;B Inputs'!$I$66:$V$66,MATCH($B119,'R&amp;B Inputs'!$I$4:$V$4,0)))^(I$7-Year1))</f>
        <v>0.62029999999999996</v>
      </c>
      <c r="J119" s="506">
        <f>IF(J$8=0,0,INDEX('R&amp;B Inputs'!$I$86:$V$86,MATCH($B119,'R&amp;B Inputs'!$I$4:$V$4,0))*(1+INDEX('R&amp;B Inputs'!$I$66:$V$66,MATCH($B119,'R&amp;B Inputs'!$I$4:$V$4,0)))^(J$7-Year1))</f>
        <v>0.62029999999999996</v>
      </c>
      <c r="K119" s="506">
        <f>IF(K$8=0,0,INDEX('R&amp;B Inputs'!$I$86:$V$86,MATCH($B119,'R&amp;B Inputs'!$I$4:$V$4,0))*(1+INDEX('R&amp;B Inputs'!$I$66:$V$66,MATCH($B119,'R&amp;B Inputs'!$I$4:$V$4,0)))^(K$7-Year1))</f>
        <v>0.62029999999999996</v>
      </c>
      <c r="L119" s="506">
        <f>IF(L$8=0,0,INDEX('R&amp;B Inputs'!$I$86:$V$86,MATCH($B119,'R&amp;B Inputs'!$I$4:$V$4,0))*(1+INDEX('R&amp;B Inputs'!$I$66:$V$66,MATCH($B119,'R&amp;B Inputs'!$I$4:$V$4,0)))^(L$7-Year1))</f>
        <v>0.62029999999999996</v>
      </c>
      <c r="M119" s="506">
        <f>IF(M$8=0,0,INDEX('R&amp;B Inputs'!$I$86:$V$86,MATCH($B119,'R&amp;B Inputs'!$I$4:$V$4,0))*(1+INDEX('R&amp;B Inputs'!$I$66:$V$66,MATCH($B119,'R&amp;B Inputs'!$I$4:$V$4,0)))^(M$7-Year1))</f>
        <v>0.62029999999999996</v>
      </c>
      <c r="N119" s="506">
        <f>IF(N$8=0,0,INDEX('R&amp;B Inputs'!$I$86:$V$86,MATCH($B119,'R&amp;B Inputs'!$I$4:$V$4,0))*(1+INDEX('R&amp;B Inputs'!$I$66:$V$66,MATCH($B119,'R&amp;B Inputs'!$I$4:$V$4,0)))^(N$7-Year1))</f>
        <v>0.62029999999999996</v>
      </c>
      <c r="O119" s="506">
        <f>IF(O$8=0,0,INDEX('R&amp;B Inputs'!$I$86:$V$86,MATCH($B119,'R&amp;B Inputs'!$I$4:$V$4,0))*(1+INDEX('R&amp;B Inputs'!$I$66:$V$66,MATCH($B119,'R&amp;B Inputs'!$I$4:$V$4,0)))^(O$7-Year1))</f>
        <v>0.62029999999999996</v>
      </c>
      <c r="P119" s="506">
        <f>IF(P$8=0,0,INDEX('R&amp;B Inputs'!$I$86:$V$86,MATCH($B119,'R&amp;B Inputs'!$I$4:$V$4,0))*(1+INDEX('R&amp;B Inputs'!$I$66:$V$66,MATCH($B119,'R&amp;B Inputs'!$I$4:$V$4,0)))^(P$7-Year1))</f>
        <v>0.62029999999999996</v>
      </c>
      <c r="Q119" s="506">
        <f>IF(Q$8=0,0,INDEX('R&amp;B Inputs'!$I$86:$V$86,MATCH($B119,'R&amp;B Inputs'!$I$4:$V$4,0))*(1+INDEX('R&amp;B Inputs'!$I$66:$V$66,MATCH($B119,'R&amp;B Inputs'!$I$4:$V$4,0)))^(Q$7-Year1))</f>
        <v>0.62029999999999996</v>
      </c>
      <c r="R119" s="506">
        <f>IF(R$8=0,0,INDEX('R&amp;B Inputs'!$I$86:$V$86,MATCH($B119,'R&amp;B Inputs'!$I$4:$V$4,0))*(1+INDEX('R&amp;B Inputs'!$I$66:$V$66,MATCH($B119,'R&amp;B Inputs'!$I$4:$V$4,0)))^(R$7-Year1))</f>
        <v>0.62029999999999996</v>
      </c>
      <c r="S119" s="506">
        <f>IF(S$8=0,0,INDEX('R&amp;B Inputs'!$I$86:$V$86,MATCH($B119,'R&amp;B Inputs'!$I$4:$V$4,0))*(1+INDEX('R&amp;B Inputs'!$I$66:$V$66,MATCH($B119,'R&amp;B Inputs'!$I$4:$V$4,0)))^(S$7-Year1))</f>
        <v>0.62029999999999996</v>
      </c>
      <c r="T119" s="506">
        <f>IF(T$8=0,0,INDEX('R&amp;B Inputs'!$I$86:$V$86,MATCH($B119,'R&amp;B Inputs'!$I$4:$V$4,0))*(1+INDEX('R&amp;B Inputs'!$I$66:$V$66,MATCH($B119,'R&amp;B Inputs'!$I$4:$V$4,0)))^(T$7-Year1))</f>
        <v>0.62029999999999996</v>
      </c>
      <c r="U119" s="506">
        <f>IF(U$8=0,0,INDEX('R&amp;B Inputs'!$I$86:$V$86,MATCH($B119,'R&amp;B Inputs'!$I$4:$V$4,0))*(1+INDEX('R&amp;B Inputs'!$I$66:$V$66,MATCH($B119,'R&amp;B Inputs'!$I$4:$V$4,0)))^(U$7-Year1))</f>
        <v>0.62029999999999996</v>
      </c>
      <c r="V119" s="506">
        <f>IF(V$8=0,0,INDEX('R&amp;B Inputs'!$I$86:$V$86,MATCH($B119,'R&amp;B Inputs'!$I$4:$V$4,0))*(1+INDEX('R&amp;B Inputs'!$I$66:$V$66,MATCH($B119,'R&amp;B Inputs'!$I$4:$V$4,0)))^(V$7-Year1))</f>
        <v>0.62029999999999996</v>
      </c>
      <c r="W119" s="506">
        <f>IF(W$8=0,0,INDEX('R&amp;B Inputs'!$I$86:$V$86,MATCH($B119,'R&amp;B Inputs'!$I$4:$V$4,0))*(1+INDEX('R&amp;B Inputs'!$I$66:$V$66,MATCH($B119,'R&amp;B Inputs'!$I$4:$V$4,0)))^(W$7-Year1))</f>
        <v>0.62029999999999996</v>
      </c>
      <c r="X119" s="506">
        <f>IF(X$8=0,0,INDEX('R&amp;B Inputs'!$I$86:$V$86,MATCH($B119,'R&amp;B Inputs'!$I$4:$V$4,0))*(1+INDEX('R&amp;B Inputs'!$I$66:$V$66,MATCH($B119,'R&amp;B Inputs'!$I$4:$V$4,0)))^(X$7-Year1))</f>
        <v>0.62029999999999996</v>
      </c>
      <c r="Y119" s="506">
        <f>IF(Y$8=0,0,INDEX('R&amp;B Inputs'!$I$86:$V$86,MATCH($B119,'R&amp;B Inputs'!$I$4:$V$4,0))*(1+INDEX('R&amp;B Inputs'!$I$66:$V$66,MATCH($B119,'R&amp;B Inputs'!$I$4:$V$4,0)))^(Y$7-Year1))</f>
        <v>0.62029999999999996</v>
      </c>
      <c r="Z119" s="506">
        <f>IF(Z$8=0,0,INDEX('R&amp;B Inputs'!$I$86:$V$86,MATCH($B119,'R&amp;B Inputs'!$I$4:$V$4,0))*(1+INDEX('R&amp;B Inputs'!$I$66:$V$66,MATCH($B119,'R&amp;B Inputs'!$I$4:$V$4,0)))^(Z$7-Year1))</f>
        <v>0.62029999999999996</v>
      </c>
      <c r="AA119" s="506">
        <f>IF(AA$8=0,0,INDEX('R&amp;B Inputs'!$I$86:$V$86,MATCH($B119,'R&amp;B Inputs'!$I$4:$V$4,0))*(1+INDEX('R&amp;B Inputs'!$I$66:$V$66,MATCH($B119,'R&amp;B Inputs'!$I$4:$V$4,0)))^(AA$7-Year1))</f>
        <v>0.62029999999999996</v>
      </c>
      <c r="AB119" s="506">
        <f>IF(AB$8=0,0,INDEX('R&amp;B Inputs'!$I$86:$V$86,MATCH($B119,'R&amp;B Inputs'!$I$4:$V$4,0))*(1+INDEX('R&amp;B Inputs'!$I$66:$V$66,MATCH($B119,'R&amp;B Inputs'!$I$4:$V$4,0)))^(AB$7-Year1))</f>
        <v>0.62029999999999996</v>
      </c>
      <c r="AC119" s="506">
        <f>IF(AC$8=0,0,INDEX('R&amp;B Inputs'!$I$86:$V$86,MATCH($B119,'R&amp;B Inputs'!$I$4:$V$4,0))*(1+INDEX('R&amp;B Inputs'!$I$66:$V$66,MATCH($B119,'R&amp;B Inputs'!$I$4:$V$4,0)))^(AC$7-Year1))</f>
        <v>0.62029999999999996</v>
      </c>
      <c r="AD119" s="506">
        <f>IF(AD$8=0,0,INDEX('R&amp;B Inputs'!$I$86:$V$86,MATCH($B119,'R&amp;B Inputs'!$I$4:$V$4,0))*(1+INDEX('R&amp;B Inputs'!$I$66:$V$66,MATCH($B119,'R&amp;B Inputs'!$I$4:$V$4,0)))^(AD$7-Year1))</f>
        <v>0.62029999999999996</v>
      </c>
      <c r="AE119" s="506">
        <f>IF(AE$8=0,0,INDEX('R&amp;B Inputs'!$I$86:$V$86,MATCH($B119,'R&amp;B Inputs'!$I$4:$V$4,0))*(1+INDEX('R&amp;B Inputs'!$I$66:$V$66,MATCH($B119,'R&amp;B Inputs'!$I$4:$V$4,0)))^(AE$7-Year1))</f>
        <v>0.62029999999999996</v>
      </c>
      <c r="AF119" s="506">
        <f>IF(AF$8=0,0,INDEX('R&amp;B Inputs'!$I$86:$V$86,MATCH($B119,'R&amp;B Inputs'!$I$4:$V$4,0))*(1+INDEX('R&amp;B Inputs'!$I$66:$V$66,MATCH($B119,'R&amp;B Inputs'!$I$4:$V$4,0)))^(AF$7-Year1))</f>
        <v>0.62029999999999996</v>
      </c>
      <c r="AG119" s="506">
        <f>IF(AG$8=0,0,INDEX('R&amp;B Inputs'!$I$86:$V$86,MATCH($B119,'R&amp;B Inputs'!$I$4:$V$4,0))*(1+INDEX('R&amp;B Inputs'!$I$66:$V$66,MATCH($B119,'R&amp;B Inputs'!$I$4:$V$4,0)))^(AG$7-Year1))</f>
        <v>0.62029999999999996</v>
      </c>
      <c r="AH119" s="506"/>
      <c r="AI119" s="506"/>
      <c r="AJ119" s="506">
        <f>IF($C$4=Year1,-PMT(Lookups!$E$17,25,NPV(Lookups!$E$17,G119:AE119),0,1),IF($C$4=Year2,-PMT(Lookups!$F$17,25,NPV(Lookups!$F$17,H119:AF119),0,1),IF($C$4=Year3,-PMT(Lookups!$G$17,25,NPV(Lookups!$G$17,I119:AG119),0,1),-PMT(Lookups!$G$17,27,NPV(Lookups!$G$17,G119:AG119),0,1))))</f>
        <v>0.61164884261501196</v>
      </c>
      <c r="AK119" s="507"/>
      <c r="AL119" s="507"/>
      <c r="AM119" s="508">
        <f>IF(AM$8=0,0,INDEX('R&amp;B Inputs'!$I$86:$V$86,MATCH($B119,'R&amp;B Inputs'!$I$4:$V$4,0))*(1+INDEX('R&amp;B Inputs'!$I$66:$V$66,MATCH($B119,'R&amp;B Inputs'!$I$4:$V$4,0)))^(AM$7-Year1))</f>
        <v>0.62029999999999996</v>
      </c>
      <c r="AN119" s="508">
        <f>IF(AN$8=0,0,INDEX('R&amp;B Inputs'!$I$86:$V$86,MATCH($B119,'R&amp;B Inputs'!$I$4:$V$4,0))*(1+INDEX('R&amp;B Inputs'!$I$66:$V$66,MATCH($B119,'R&amp;B Inputs'!$I$4:$V$4,0)))^(AN$7-Year1))</f>
        <v>0.62029999999999996</v>
      </c>
      <c r="AO119" s="508">
        <f>IF(AO$8=0,0,INDEX('R&amp;B Inputs'!$I$86:$V$86,MATCH($B119,'R&amp;B Inputs'!$I$4:$V$4,0))*(1+INDEX('R&amp;B Inputs'!$I$66:$V$66,MATCH($B119,'R&amp;B Inputs'!$I$4:$V$4,0)))^(AO$7-Year1))</f>
        <v>0.62029999999999996</v>
      </c>
      <c r="AP119" s="508">
        <f>IF(AP$8=0,0,INDEX('R&amp;B Inputs'!$I$86:$V$86,MATCH($B119,'R&amp;B Inputs'!$I$4:$V$4,0))*(1+INDEX('R&amp;B Inputs'!$I$66:$V$66,MATCH($B119,'R&amp;B Inputs'!$I$4:$V$4,0)))^(AP$7-Year1))</f>
        <v>0.62029999999999996</v>
      </c>
      <c r="AQ119" s="508">
        <f>IF(AQ$8=0,0,INDEX('R&amp;B Inputs'!$I$86:$V$86,MATCH($B119,'R&amp;B Inputs'!$I$4:$V$4,0))*(1+INDEX('R&amp;B Inputs'!$I$66:$V$66,MATCH($B119,'R&amp;B Inputs'!$I$4:$V$4,0)))^(AQ$7-Year1))</f>
        <v>0.62029999999999996</v>
      </c>
      <c r="AR119" s="508">
        <f>IF(AR$8=0,0,INDEX('R&amp;B Inputs'!$I$86:$V$86,MATCH($B119,'R&amp;B Inputs'!$I$4:$V$4,0))*(1+INDEX('R&amp;B Inputs'!$I$66:$V$66,MATCH($B119,'R&amp;B Inputs'!$I$4:$V$4,0)))^(AR$7-Year1))</f>
        <v>0.62029999999999996</v>
      </c>
      <c r="AS119" s="508">
        <f>IF(AS$8=0,0,INDEX('R&amp;B Inputs'!$I$86:$V$86,MATCH($B119,'R&amp;B Inputs'!$I$4:$V$4,0))*(1+INDEX('R&amp;B Inputs'!$I$66:$V$66,MATCH($B119,'R&amp;B Inputs'!$I$4:$V$4,0)))^(AS$7-Year1))</f>
        <v>0.62029999999999996</v>
      </c>
      <c r="AT119" s="508">
        <f>IF(AT$8=0,0,INDEX('R&amp;B Inputs'!$I$86:$V$86,MATCH($B119,'R&amp;B Inputs'!$I$4:$V$4,0))*(1+INDEX('R&amp;B Inputs'!$I$66:$V$66,MATCH($B119,'R&amp;B Inputs'!$I$4:$V$4,0)))^(AT$7-Year1))</f>
        <v>0.62029999999999996</v>
      </c>
      <c r="AU119" s="508">
        <f>IF(AU$8=0,0,INDEX('R&amp;B Inputs'!$I$86:$V$86,MATCH($B119,'R&amp;B Inputs'!$I$4:$V$4,0))*(1+INDEX('R&amp;B Inputs'!$I$66:$V$66,MATCH($B119,'R&amp;B Inputs'!$I$4:$V$4,0)))^(AU$7-Year1))</f>
        <v>0.62029999999999996</v>
      </c>
      <c r="AV119" s="508">
        <f>IF(AV$8=0,0,INDEX('R&amp;B Inputs'!$I$86:$V$86,MATCH($B119,'R&amp;B Inputs'!$I$4:$V$4,0))*(1+INDEX('R&amp;B Inputs'!$I$66:$V$66,MATCH($B119,'R&amp;B Inputs'!$I$4:$V$4,0)))^(AV$7-Year1))</f>
        <v>0.62029999999999996</v>
      </c>
      <c r="AW119" s="508">
        <f>IF(AW$8=0,0,INDEX('R&amp;B Inputs'!$I$86:$V$86,MATCH($B119,'R&amp;B Inputs'!$I$4:$V$4,0))*(1+INDEX('R&amp;B Inputs'!$I$66:$V$66,MATCH($B119,'R&amp;B Inputs'!$I$4:$V$4,0)))^(AW$7-Year1))</f>
        <v>0.62029999999999996</v>
      </c>
      <c r="AX119" s="508">
        <f>IF(AX$8=0,0,INDEX('R&amp;B Inputs'!$I$86:$V$86,MATCH($B119,'R&amp;B Inputs'!$I$4:$V$4,0))*(1+INDEX('R&amp;B Inputs'!$I$66:$V$66,MATCH($B119,'R&amp;B Inputs'!$I$4:$V$4,0)))^(AX$7-Year1))</f>
        <v>0.62029999999999996</v>
      </c>
      <c r="AY119" s="508">
        <f>IF(AY$8=0,0,INDEX('R&amp;B Inputs'!$I$86:$V$86,MATCH($B119,'R&amp;B Inputs'!$I$4:$V$4,0))*(1+INDEX('R&amp;B Inputs'!$I$66:$V$66,MATCH($B119,'R&amp;B Inputs'!$I$4:$V$4,0)))^(AY$7-Year1))</f>
        <v>0.62029999999999996</v>
      </c>
      <c r="AZ119" s="508">
        <f>IF(AZ$8=0,0,INDEX('R&amp;B Inputs'!$I$86:$V$86,MATCH($B119,'R&amp;B Inputs'!$I$4:$V$4,0))*(1+INDEX('R&amp;B Inputs'!$I$66:$V$66,MATCH($B119,'R&amp;B Inputs'!$I$4:$V$4,0)))^(AZ$7-Year1))</f>
        <v>0.62029999999999996</v>
      </c>
      <c r="BA119" s="508">
        <f>IF(BA$8=0,0,INDEX('R&amp;B Inputs'!$I$86:$V$86,MATCH($B119,'R&amp;B Inputs'!$I$4:$V$4,0))*(1+INDEX('R&amp;B Inputs'!$I$66:$V$66,MATCH($B119,'R&amp;B Inputs'!$I$4:$V$4,0)))^(BA$7-Year1))</f>
        <v>0.62029999999999996</v>
      </c>
      <c r="BB119" s="508">
        <f>IF(BB$8=0,0,INDEX('R&amp;B Inputs'!$I$86:$V$86,MATCH($B119,'R&amp;B Inputs'!$I$4:$V$4,0))*(1+INDEX('R&amp;B Inputs'!$I$66:$V$66,MATCH($B119,'R&amp;B Inputs'!$I$4:$V$4,0)))^(BB$7-Year1))</f>
        <v>0.62029999999999996</v>
      </c>
      <c r="BC119" s="508">
        <f>IF(BC$8=0,0,INDEX('R&amp;B Inputs'!$I$86:$V$86,MATCH($B119,'R&amp;B Inputs'!$I$4:$V$4,0))*(1+INDEX('R&amp;B Inputs'!$I$66:$V$66,MATCH($B119,'R&amp;B Inputs'!$I$4:$V$4,0)))^(BC$7-Year1))</f>
        <v>0.62029999999999996</v>
      </c>
      <c r="BD119" s="508">
        <f>IF(BD$8=0,0,INDEX('R&amp;B Inputs'!$I$86:$V$86,MATCH($B119,'R&amp;B Inputs'!$I$4:$V$4,0))*(1+INDEX('R&amp;B Inputs'!$I$66:$V$66,MATCH($B119,'R&amp;B Inputs'!$I$4:$V$4,0)))^(BD$7-Year1))</f>
        <v>0.62029999999999996</v>
      </c>
      <c r="BE119" s="508">
        <f>IF(BE$8=0,0,INDEX('R&amp;B Inputs'!$I$86:$V$86,MATCH($B119,'R&amp;B Inputs'!$I$4:$V$4,0))*(1+INDEX('R&amp;B Inputs'!$I$66:$V$66,MATCH($B119,'R&amp;B Inputs'!$I$4:$V$4,0)))^(BE$7-Year1))</f>
        <v>0.62029999999999996</v>
      </c>
      <c r="BF119" s="508">
        <f>IF(BF$8=0,0,INDEX('R&amp;B Inputs'!$I$86:$V$86,MATCH($B119,'R&amp;B Inputs'!$I$4:$V$4,0))*(1+INDEX('R&amp;B Inputs'!$I$66:$V$66,MATCH($B119,'R&amp;B Inputs'!$I$4:$V$4,0)))^(BF$7-Year1))</f>
        <v>0.62029999999999996</v>
      </c>
      <c r="BG119" s="508">
        <f>IF(BG$8=0,0,INDEX('R&amp;B Inputs'!$I$86:$V$86,MATCH($B119,'R&amp;B Inputs'!$I$4:$V$4,0))*(1+INDEX('R&amp;B Inputs'!$I$66:$V$66,MATCH($B119,'R&amp;B Inputs'!$I$4:$V$4,0)))^(BG$7-Year1))</f>
        <v>0.62029999999999996</v>
      </c>
      <c r="BH119" s="508">
        <f>IF(BH$8=0,0,INDEX('R&amp;B Inputs'!$I$86:$V$86,MATCH($B119,'R&amp;B Inputs'!$I$4:$V$4,0))*(1+INDEX('R&amp;B Inputs'!$I$66:$V$66,MATCH($B119,'R&amp;B Inputs'!$I$4:$V$4,0)))^(BH$7-Year1))</f>
        <v>0.62029999999999996</v>
      </c>
      <c r="BI119" s="508">
        <f>IF(BI$8=0,0,INDEX('R&amp;B Inputs'!$I$86:$V$86,MATCH($B119,'R&amp;B Inputs'!$I$4:$V$4,0))*(1+INDEX('R&amp;B Inputs'!$I$66:$V$66,MATCH($B119,'R&amp;B Inputs'!$I$4:$V$4,0)))^(BI$7-Year1))</f>
        <v>0.62029999999999996</v>
      </c>
      <c r="BJ119" s="508">
        <f>IF(BJ$8=0,0,INDEX('R&amp;B Inputs'!$I$86:$V$86,MATCH($B119,'R&amp;B Inputs'!$I$4:$V$4,0))*(1+INDEX('R&amp;B Inputs'!$I$66:$V$66,MATCH($B119,'R&amp;B Inputs'!$I$4:$V$4,0)))^(BJ$7-Year1))</f>
        <v>0.62029999999999996</v>
      </c>
      <c r="BK119" s="508">
        <f>IF(BK$8=0,0,INDEX('R&amp;B Inputs'!$I$86:$V$86,MATCH($B119,'R&amp;B Inputs'!$I$4:$V$4,0))*(1+INDEX('R&amp;B Inputs'!$I$66:$V$66,MATCH($B119,'R&amp;B Inputs'!$I$4:$V$4,0)))^(BK$7-Year1))</f>
        <v>0.62029999999999996</v>
      </c>
      <c r="BL119" s="508">
        <f>IF(BL$8=0,0,INDEX('R&amp;B Inputs'!$I$86:$V$86,MATCH($B119,'R&amp;B Inputs'!$I$4:$V$4,0))*(1+INDEX('R&amp;B Inputs'!$I$66:$V$66,MATCH($B119,'R&amp;B Inputs'!$I$4:$V$4,0)))^(BL$7-Year1))</f>
        <v>0.62029999999999996</v>
      </c>
      <c r="BM119" s="508">
        <f>IF(BM$8=0,0,INDEX('R&amp;B Inputs'!$I$86:$V$86,MATCH($B119,'R&amp;B Inputs'!$I$4:$V$4,0))*(1+INDEX('R&amp;B Inputs'!$I$66:$V$66,MATCH($B119,'R&amp;B Inputs'!$I$4:$V$4,0)))^(BM$7-Year1))</f>
        <v>0.62029999999999996</v>
      </c>
      <c r="BN119" s="508"/>
      <c r="BO119" s="508"/>
      <c r="BP119" s="508">
        <f>IF($C$4=Year1,-PMT(Lookups!$E$17,25,NPV(Lookups!$E$17,AM119:BK119),0,1),IF($C$4=Year2,-PMT(Lookups!$F$17,25,NPV(Lookups!$F$17,AN119:BL119),0,1),IF($C$4=Year3,-PMT(Lookups!$G$17,25,NPV(Lookups!$G$17,AO119:BM119),0,1),-PMT(Lookups!$G$17,27,NPV(Lookups!$G$17,AM119:BM119),0,1))))</f>
        <v>0.61164884261501196</v>
      </c>
      <c r="BS119" s="76" t="str">
        <f t="shared" si="107"/>
        <v>Cost of Gas charge from the R&amp;B Inputs tab, escalated annually by the growth rate included on the R&amp;B Inputs tab.</v>
      </c>
      <c r="BT119" s="51" t="s">
        <v>17</v>
      </c>
    </row>
    <row r="120" spans="1:72" x14ac:dyDescent="0.25">
      <c r="B120" s="243" t="str">
        <f>B121</f>
        <v>Low-Income</v>
      </c>
      <c r="C120" s="243" t="str">
        <f>C121</f>
        <v>Rates</v>
      </c>
      <c r="D120" s="244" t="str">
        <f>D121</f>
        <v>Rates before DSM (No EE Scenario)</v>
      </c>
      <c r="E120" s="86" t="s">
        <v>75</v>
      </c>
      <c r="F120" s="84" t="s">
        <v>182</v>
      </c>
      <c r="G120" s="506">
        <f>IF(G$8=0,0,INDEX('R&amp;B Inputs'!$H$73:$U$73,MATCH($B119,'R&amp;B Inputs'!$H$4:$U$4,0))*(1+INDEX('R&amp;B Inputs'!$H$46:$U$46,MATCH($B119,'R&amp;B Inputs'!$H$4:$U$4,0)))^(G$7-Year1))</f>
        <v>9.0952917202036049E-2</v>
      </c>
      <c r="H120" s="506">
        <f>IF(H$8=0,0,INDEX('R&amp;B Inputs'!$H$73:$U$73,MATCH($B119,'R&amp;B Inputs'!$H$4:$U$4,0))*(1+INDEX('R&amp;B Inputs'!$H$46:$U$46,MATCH($B119,'R&amp;B Inputs'!$H$4:$U$4,0)))^(H$7-Year1))</f>
        <v>9.0952917202036049E-2</v>
      </c>
      <c r="I120" s="506">
        <f>IF(I$8=0,0,INDEX('R&amp;B Inputs'!$H$73:$U$73,MATCH($B119,'R&amp;B Inputs'!$H$4:$U$4,0))*(1+INDEX('R&amp;B Inputs'!$H$46:$U$46,MATCH($B119,'R&amp;B Inputs'!$H$4:$U$4,0)))^(I$7-Year1))</f>
        <v>9.0952917202036049E-2</v>
      </c>
      <c r="J120" s="506">
        <f>IF(J$8=0,0,INDEX('R&amp;B Inputs'!$H$73:$U$73,MATCH($B119,'R&amp;B Inputs'!$H$4:$U$4,0))*(1+INDEX('R&amp;B Inputs'!$H$46:$U$46,MATCH($B119,'R&amp;B Inputs'!$H$4:$U$4,0)))^(J$7-Year1))</f>
        <v>9.0952917202036049E-2</v>
      </c>
      <c r="K120" s="506">
        <f>IF(K$8=0,0,INDEX('R&amp;B Inputs'!$H$73:$U$73,MATCH($B119,'R&amp;B Inputs'!$H$4:$U$4,0))*(1+INDEX('R&amp;B Inputs'!$H$46:$U$46,MATCH($B119,'R&amp;B Inputs'!$H$4:$U$4,0)))^(K$7-Year1))</f>
        <v>9.0952917202036049E-2</v>
      </c>
      <c r="L120" s="506">
        <f>IF(L$8=0,0,INDEX('R&amp;B Inputs'!$H$73:$U$73,MATCH($B119,'R&amp;B Inputs'!$H$4:$U$4,0))*(1+INDEX('R&amp;B Inputs'!$H$46:$U$46,MATCH($B119,'R&amp;B Inputs'!$H$4:$U$4,0)))^(L$7-Year1))</f>
        <v>9.0952917202036049E-2</v>
      </c>
      <c r="M120" s="506">
        <f>IF(M$8=0,0,INDEX('R&amp;B Inputs'!$H$73:$U$73,MATCH($B119,'R&amp;B Inputs'!$H$4:$U$4,0))*(1+INDEX('R&amp;B Inputs'!$H$46:$U$46,MATCH($B119,'R&amp;B Inputs'!$H$4:$U$4,0)))^(M$7-Year1))</f>
        <v>9.0952917202036049E-2</v>
      </c>
      <c r="N120" s="506">
        <f>IF(N$8=0,0,INDEX('R&amp;B Inputs'!$H$73:$U$73,MATCH($B119,'R&amp;B Inputs'!$H$4:$U$4,0))*(1+INDEX('R&amp;B Inputs'!$H$46:$U$46,MATCH($B119,'R&amp;B Inputs'!$H$4:$U$4,0)))^(N$7-Year1))</f>
        <v>9.0952917202036049E-2</v>
      </c>
      <c r="O120" s="506">
        <f>IF(O$8=0,0,INDEX('R&amp;B Inputs'!$H$73:$U$73,MATCH($B119,'R&amp;B Inputs'!$H$4:$U$4,0))*(1+INDEX('R&amp;B Inputs'!$H$46:$U$46,MATCH($B119,'R&amp;B Inputs'!$H$4:$U$4,0)))^(O$7-Year1))</f>
        <v>9.0952917202036049E-2</v>
      </c>
      <c r="P120" s="506">
        <f>IF(P$8=0,0,INDEX('R&amp;B Inputs'!$H$73:$U$73,MATCH($B119,'R&amp;B Inputs'!$H$4:$U$4,0))*(1+INDEX('R&amp;B Inputs'!$H$46:$U$46,MATCH($B119,'R&amp;B Inputs'!$H$4:$U$4,0)))^(P$7-Year1))</f>
        <v>9.0952917202036049E-2</v>
      </c>
      <c r="Q120" s="506">
        <f>IF(Q$8=0,0,INDEX('R&amp;B Inputs'!$H$73:$U$73,MATCH($B119,'R&amp;B Inputs'!$H$4:$U$4,0))*(1+INDEX('R&amp;B Inputs'!$H$46:$U$46,MATCH($B119,'R&amp;B Inputs'!$H$4:$U$4,0)))^(Q$7-Year1))</f>
        <v>9.0952917202036049E-2</v>
      </c>
      <c r="R120" s="506">
        <f>IF(R$8=0,0,INDEX('R&amp;B Inputs'!$H$73:$U$73,MATCH($B119,'R&amp;B Inputs'!$H$4:$U$4,0))*(1+INDEX('R&amp;B Inputs'!$H$46:$U$46,MATCH($B119,'R&amp;B Inputs'!$H$4:$U$4,0)))^(R$7-Year1))</f>
        <v>9.0952917202036049E-2</v>
      </c>
      <c r="S120" s="506">
        <f>IF(S$8=0,0,INDEX('R&amp;B Inputs'!$H$73:$U$73,MATCH($B119,'R&amp;B Inputs'!$H$4:$U$4,0))*(1+INDEX('R&amp;B Inputs'!$H$46:$U$46,MATCH($B119,'R&amp;B Inputs'!$H$4:$U$4,0)))^(S$7-Year1))</f>
        <v>9.0952917202036049E-2</v>
      </c>
      <c r="T120" s="506">
        <f>IF(T$8=0,0,INDEX('R&amp;B Inputs'!$H$73:$U$73,MATCH($B119,'R&amp;B Inputs'!$H$4:$U$4,0))*(1+INDEX('R&amp;B Inputs'!$H$46:$U$46,MATCH($B119,'R&amp;B Inputs'!$H$4:$U$4,0)))^(T$7-Year1))</f>
        <v>9.0952917202036049E-2</v>
      </c>
      <c r="U120" s="506">
        <f>IF(U$8=0,0,INDEX('R&amp;B Inputs'!$H$73:$U$73,MATCH($B119,'R&amp;B Inputs'!$H$4:$U$4,0))*(1+INDEX('R&amp;B Inputs'!$H$46:$U$46,MATCH($B119,'R&amp;B Inputs'!$H$4:$U$4,0)))^(U$7-Year1))</f>
        <v>9.0952917202036049E-2</v>
      </c>
      <c r="V120" s="506">
        <f>IF(V$8=0,0,INDEX('R&amp;B Inputs'!$H$73:$U$73,MATCH($B119,'R&amp;B Inputs'!$H$4:$U$4,0))*(1+INDEX('R&amp;B Inputs'!$H$46:$U$46,MATCH($B119,'R&amp;B Inputs'!$H$4:$U$4,0)))^(V$7-Year1))</f>
        <v>9.0952917202036049E-2</v>
      </c>
      <c r="W120" s="506">
        <f>IF(W$8=0,0,INDEX('R&amp;B Inputs'!$H$73:$U$73,MATCH($B119,'R&amp;B Inputs'!$H$4:$U$4,0))*(1+INDEX('R&amp;B Inputs'!$H$46:$U$46,MATCH($B119,'R&amp;B Inputs'!$H$4:$U$4,0)))^(W$7-Year1))</f>
        <v>9.0952917202036049E-2</v>
      </c>
      <c r="X120" s="506">
        <f>IF(X$8=0,0,INDEX('R&amp;B Inputs'!$H$73:$U$73,MATCH($B119,'R&amp;B Inputs'!$H$4:$U$4,0))*(1+INDEX('R&amp;B Inputs'!$H$46:$U$46,MATCH($B119,'R&amp;B Inputs'!$H$4:$U$4,0)))^(X$7-Year1))</f>
        <v>9.0952917202036049E-2</v>
      </c>
      <c r="Y120" s="506">
        <f>IF(Y$8=0,0,INDEX('R&amp;B Inputs'!$H$73:$U$73,MATCH($B119,'R&amp;B Inputs'!$H$4:$U$4,0))*(1+INDEX('R&amp;B Inputs'!$H$46:$U$46,MATCH($B119,'R&amp;B Inputs'!$H$4:$U$4,0)))^(Y$7-Year1))</f>
        <v>9.0952917202036049E-2</v>
      </c>
      <c r="Z120" s="506">
        <f>IF(Z$8=0,0,INDEX('R&amp;B Inputs'!$H$73:$U$73,MATCH($B119,'R&amp;B Inputs'!$H$4:$U$4,0))*(1+INDEX('R&amp;B Inputs'!$H$46:$U$46,MATCH($B119,'R&amp;B Inputs'!$H$4:$U$4,0)))^(Z$7-Year1))</f>
        <v>9.0952917202036049E-2</v>
      </c>
      <c r="AA120" s="506">
        <f>IF(AA$8=0,0,INDEX('R&amp;B Inputs'!$H$73:$U$73,MATCH($B119,'R&amp;B Inputs'!$H$4:$U$4,0))*(1+INDEX('R&amp;B Inputs'!$H$46:$U$46,MATCH($B119,'R&amp;B Inputs'!$H$4:$U$4,0)))^(AA$7-Year1))</f>
        <v>9.0952917202036049E-2</v>
      </c>
      <c r="AB120" s="506">
        <f>IF(AB$8=0,0,INDEX('R&amp;B Inputs'!$H$73:$U$73,MATCH($B119,'R&amp;B Inputs'!$H$4:$U$4,0))*(1+INDEX('R&amp;B Inputs'!$H$46:$U$46,MATCH($B119,'R&amp;B Inputs'!$H$4:$U$4,0)))^(AB$7-Year1))</f>
        <v>9.0952917202036049E-2</v>
      </c>
      <c r="AC120" s="506">
        <f>IF(AC$8=0,0,INDEX('R&amp;B Inputs'!$H$73:$U$73,MATCH($B119,'R&amp;B Inputs'!$H$4:$U$4,0))*(1+INDEX('R&amp;B Inputs'!$H$46:$U$46,MATCH($B119,'R&amp;B Inputs'!$H$4:$U$4,0)))^(AC$7-Year1))</f>
        <v>9.0952917202036049E-2</v>
      </c>
      <c r="AD120" s="506">
        <f>IF(AD$8=0,0,INDEX('R&amp;B Inputs'!$H$73:$U$73,MATCH($B119,'R&amp;B Inputs'!$H$4:$U$4,0))*(1+INDEX('R&amp;B Inputs'!$H$46:$U$46,MATCH($B119,'R&amp;B Inputs'!$H$4:$U$4,0)))^(AD$7-Year1))</f>
        <v>9.0952917202036049E-2</v>
      </c>
      <c r="AE120" s="506">
        <f>IF(AE$8=0,0,INDEX('R&amp;B Inputs'!$H$73:$U$73,MATCH($B119,'R&amp;B Inputs'!$H$4:$U$4,0))*(1+INDEX('R&amp;B Inputs'!$H$46:$U$46,MATCH($B119,'R&amp;B Inputs'!$H$4:$U$4,0)))^(AE$7-Year1))</f>
        <v>9.0952917202036049E-2</v>
      </c>
      <c r="AF120" s="506">
        <f>IF(AF$8=0,0,INDEX('R&amp;B Inputs'!$H$73:$U$73,MATCH($B119,'R&amp;B Inputs'!$H$4:$U$4,0))*(1+INDEX('R&amp;B Inputs'!$H$46:$U$46,MATCH($B119,'R&amp;B Inputs'!$H$4:$U$4,0)))^(AF$7-Year1))</f>
        <v>9.0952917202036049E-2</v>
      </c>
      <c r="AG120" s="506">
        <f>IF(AG$8=0,0,INDEX('R&amp;B Inputs'!$H$73:$U$73,MATCH($B119,'R&amp;B Inputs'!$H$4:$U$4,0))*(1+INDEX('R&amp;B Inputs'!$H$46:$U$46,MATCH($B119,'R&amp;B Inputs'!$H$4:$U$4,0)))^(AG$7-Year1))</f>
        <v>9.0952917202036049E-2</v>
      </c>
      <c r="AH120" s="506"/>
      <c r="AI120" s="506"/>
      <c r="AJ120" s="506">
        <f>IF($C$4=Year1,-PMT(Lookups!$E$17,25,NPV(Lookups!$E$17,G120:AE120),0,1),IF($C$4=Year2,-PMT(Lookups!$F$17,25,NPV(Lookups!$F$17,H120:AF120),0,1),IF($C$4=Year3,-PMT(Lookups!$G$17,25,NPV(Lookups!$G$17,I120:AG120),0,1),-PMT(Lookups!$G$17,27,NPV(Lookups!$G$17,G120:AG120),0,1))))</f>
        <v>8.9684421310792128E-2</v>
      </c>
      <c r="AK120" s="507"/>
      <c r="AL120" s="507"/>
      <c r="AM120" s="508">
        <f>IF(AM$8=0,0,INDEX('R&amp;B Inputs'!$H$73:$U$73,MATCH($B119,'R&amp;B Inputs'!$H$4:$U$4,0))*(1+INDEX('R&amp;B Inputs'!$H$46:$U$46,MATCH($B119,'R&amp;B Inputs'!$H$4:$U$4,0)))^(AM$7-Year1))</f>
        <v>9.0952917202036049E-2</v>
      </c>
      <c r="AN120" s="508">
        <f>IF(AN$8=0,0,INDEX('R&amp;B Inputs'!$H$73:$U$73,MATCH($B119,'R&amp;B Inputs'!$H$4:$U$4,0))*(1+INDEX('R&amp;B Inputs'!$H$46:$U$46,MATCH($B119,'R&amp;B Inputs'!$H$4:$U$4,0)))^(AN$7-Year1))</f>
        <v>9.0952917202036049E-2</v>
      </c>
      <c r="AO120" s="508">
        <f>IF(AO$8=0,0,INDEX('R&amp;B Inputs'!$H$73:$U$73,MATCH($B119,'R&amp;B Inputs'!$H$4:$U$4,0))*(1+INDEX('R&amp;B Inputs'!$H$46:$U$46,MATCH($B119,'R&amp;B Inputs'!$H$4:$U$4,0)))^(AO$7-Year1))</f>
        <v>9.0952917202036049E-2</v>
      </c>
      <c r="AP120" s="508">
        <f>IF(AP$8=0,0,INDEX('R&amp;B Inputs'!$H$73:$U$73,MATCH($B119,'R&amp;B Inputs'!$H$4:$U$4,0))*(1+INDEX('R&amp;B Inputs'!$H$46:$U$46,MATCH($B119,'R&amp;B Inputs'!$H$4:$U$4,0)))^(AP$7-Year1))</f>
        <v>9.0952917202036049E-2</v>
      </c>
      <c r="AQ120" s="508">
        <f>IF(AQ$8=0,0,INDEX('R&amp;B Inputs'!$H$73:$U$73,MATCH($B119,'R&amp;B Inputs'!$H$4:$U$4,0))*(1+INDEX('R&amp;B Inputs'!$H$46:$U$46,MATCH($B119,'R&amp;B Inputs'!$H$4:$U$4,0)))^(AQ$7-Year1))</f>
        <v>9.0952917202036049E-2</v>
      </c>
      <c r="AR120" s="508">
        <f>IF(AR$8=0,0,INDEX('R&amp;B Inputs'!$H$73:$U$73,MATCH($B119,'R&amp;B Inputs'!$H$4:$U$4,0))*(1+INDEX('R&amp;B Inputs'!$H$46:$U$46,MATCH($B119,'R&amp;B Inputs'!$H$4:$U$4,0)))^(AR$7-Year1))</f>
        <v>9.0952917202036049E-2</v>
      </c>
      <c r="AS120" s="508">
        <f>IF(AS$8=0,0,INDEX('R&amp;B Inputs'!$H$73:$U$73,MATCH($B119,'R&amp;B Inputs'!$H$4:$U$4,0))*(1+INDEX('R&amp;B Inputs'!$H$46:$U$46,MATCH($B119,'R&amp;B Inputs'!$H$4:$U$4,0)))^(AS$7-Year1))</f>
        <v>9.0952917202036049E-2</v>
      </c>
      <c r="AT120" s="508">
        <f>IF(AT$8=0,0,INDEX('R&amp;B Inputs'!$H$73:$U$73,MATCH($B119,'R&amp;B Inputs'!$H$4:$U$4,0))*(1+INDEX('R&amp;B Inputs'!$H$46:$U$46,MATCH($B119,'R&amp;B Inputs'!$H$4:$U$4,0)))^(AT$7-Year1))</f>
        <v>9.0952917202036049E-2</v>
      </c>
      <c r="AU120" s="508">
        <f>IF(AU$8=0,0,INDEX('R&amp;B Inputs'!$H$73:$U$73,MATCH($B119,'R&amp;B Inputs'!$H$4:$U$4,0))*(1+INDEX('R&amp;B Inputs'!$H$46:$U$46,MATCH($B119,'R&amp;B Inputs'!$H$4:$U$4,0)))^(AU$7-Year1))</f>
        <v>9.0952917202036049E-2</v>
      </c>
      <c r="AV120" s="508">
        <f>IF(AV$8=0,0,INDEX('R&amp;B Inputs'!$H$73:$U$73,MATCH($B119,'R&amp;B Inputs'!$H$4:$U$4,0))*(1+INDEX('R&amp;B Inputs'!$H$46:$U$46,MATCH($B119,'R&amp;B Inputs'!$H$4:$U$4,0)))^(AV$7-Year1))</f>
        <v>9.0952917202036049E-2</v>
      </c>
      <c r="AW120" s="508">
        <f>IF(AW$8=0,0,INDEX('R&amp;B Inputs'!$H$73:$U$73,MATCH($B119,'R&amp;B Inputs'!$H$4:$U$4,0))*(1+INDEX('R&amp;B Inputs'!$H$46:$U$46,MATCH($B119,'R&amp;B Inputs'!$H$4:$U$4,0)))^(AW$7-Year1))</f>
        <v>9.0952917202036049E-2</v>
      </c>
      <c r="AX120" s="508">
        <f>IF(AX$8=0,0,INDEX('R&amp;B Inputs'!$H$73:$U$73,MATCH($B119,'R&amp;B Inputs'!$H$4:$U$4,0))*(1+INDEX('R&amp;B Inputs'!$H$46:$U$46,MATCH($B119,'R&amp;B Inputs'!$H$4:$U$4,0)))^(AX$7-Year1))</f>
        <v>9.0952917202036049E-2</v>
      </c>
      <c r="AY120" s="508">
        <f>IF(AY$8=0,0,INDEX('R&amp;B Inputs'!$H$73:$U$73,MATCH($B119,'R&amp;B Inputs'!$H$4:$U$4,0))*(1+INDEX('R&amp;B Inputs'!$H$46:$U$46,MATCH($B119,'R&amp;B Inputs'!$H$4:$U$4,0)))^(AY$7-Year1))</f>
        <v>9.0952917202036049E-2</v>
      </c>
      <c r="AZ120" s="508">
        <f>IF(AZ$8=0,0,INDEX('R&amp;B Inputs'!$H$73:$U$73,MATCH($B119,'R&amp;B Inputs'!$H$4:$U$4,0))*(1+INDEX('R&amp;B Inputs'!$H$46:$U$46,MATCH($B119,'R&amp;B Inputs'!$H$4:$U$4,0)))^(AZ$7-Year1))</f>
        <v>9.0952917202036049E-2</v>
      </c>
      <c r="BA120" s="508">
        <f>IF(BA$8=0,0,INDEX('R&amp;B Inputs'!$H$73:$U$73,MATCH($B119,'R&amp;B Inputs'!$H$4:$U$4,0))*(1+INDEX('R&amp;B Inputs'!$H$46:$U$46,MATCH($B119,'R&amp;B Inputs'!$H$4:$U$4,0)))^(BA$7-Year1))</f>
        <v>9.0952917202036049E-2</v>
      </c>
      <c r="BB120" s="508">
        <f>IF(BB$8=0,0,INDEX('R&amp;B Inputs'!$H$73:$U$73,MATCH($B119,'R&amp;B Inputs'!$H$4:$U$4,0))*(1+INDEX('R&amp;B Inputs'!$H$46:$U$46,MATCH($B119,'R&amp;B Inputs'!$H$4:$U$4,0)))^(BB$7-Year1))</f>
        <v>9.0952917202036049E-2</v>
      </c>
      <c r="BC120" s="508">
        <f>IF(BC$8=0,0,INDEX('R&amp;B Inputs'!$H$73:$U$73,MATCH($B119,'R&amp;B Inputs'!$H$4:$U$4,0))*(1+INDEX('R&amp;B Inputs'!$H$46:$U$46,MATCH($B119,'R&amp;B Inputs'!$H$4:$U$4,0)))^(BC$7-Year1))</f>
        <v>9.0952917202036049E-2</v>
      </c>
      <c r="BD120" s="508">
        <f>IF(BD$8=0,0,INDEX('R&amp;B Inputs'!$H$73:$U$73,MATCH($B119,'R&amp;B Inputs'!$H$4:$U$4,0))*(1+INDEX('R&amp;B Inputs'!$H$46:$U$46,MATCH($B119,'R&amp;B Inputs'!$H$4:$U$4,0)))^(BD$7-Year1))</f>
        <v>9.0952917202036049E-2</v>
      </c>
      <c r="BE120" s="508">
        <f>IF(BE$8=0,0,INDEX('R&amp;B Inputs'!$H$73:$U$73,MATCH($B119,'R&amp;B Inputs'!$H$4:$U$4,0))*(1+INDEX('R&amp;B Inputs'!$H$46:$U$46,MATCH($B119,'R&amp;B Inputs'!$H$4:$U$4,0)))^(BE$7-Year1))</f>
        <v>9.0952917202036049E-2</v>
      </c>
      <c r="BF120" s="508">
        <f>IF(BF$8=0,0,INDEX('R&amp;B Inputs'!$H$73:$U$73,MATCH($B119,'R&amp;B Inputs'!$H$4:$U$4,0))*(1+INDEX('R&amp;B Inputs'!$H$46:$U$46,MATCH($B119,'R&amp;B Inputs'!$H$4:$U$4,0)))^(BF$7-Year1))</f>
        <v>9.0952917202036049E-2</v>
      </c>
      <c r="BG120" s="508">
        <f>IF(BG$8=0,0,INDEX('R&amp;B Inputs'!$H$73:$U$73,MATCH($B119,'R&amp;B Inputs'!$H$4:$U$4,0))*(1+INDEX('R&amp;B Inputs'!$H$46:$U$46,MATCH($B119,'R&amp;B Inputs'!$H$4:$U$4,0)))^(BG$7-Year1))</f>
        <v>9.0952917202036049E-2</v>
      </c>
      <c r="BH120" s="508">
        <f>IF(BH$8=0,0,INDEX('R&amp;B Inputs'!$H$73:$U$73,MATCH($B119,'R&amp;B Inputs'!$H$4:$U$4,0))*(1+INDEX('R&amp;B Inputs'!$H$46:$U$46,MATCH($B119,'R&amp;B Inputs'!$H$4:$U$4,0)))^(BH$7-Year1))</f>
        <v>9.0952917202036049E-2</v>
      </c>
      <c r="BI120" s="508">
        <f>IF(BI$8=0,0,INDEX('R&amp;B Inputs'!$H$73:$U$73,MATCH($B119,'R&amp;B Inputs'!$H$4:$U$4,0))*(1+INDEX('R&amp;B Inputs'!$H$46:$U$46,MATCH($B119,'R&amp;B Inputs'!$H$4:$U$4,0)))^(BI$7-Year1))</f>
        <v>9.0952917202036049E-2</v>
      </c>
      <c r="BJ120" s="508">
        <f>IF(BJ$8=0,0,INDEX('R&amp;B Inputs'!$H$73:$U$73,MATCH($B119,'R&amp;B Inputs'!$H$4:$U$4,0))*(1+INDEX('R&amp;B Inputs'!$H$46:$U$46,MATCH($B119,'R&amp;B Inputs'!$H$4:$U$4,0)))^(BJ$7-Year1))</f>
        <v>9.0952917202036049E-2</v>
      </c>
      <c r="BK120" s="508">
        <f>IF(BK$8=0,0,INDEX('R&amp;B Inputs'!$H$73:$U$73,MATCH($B119,'R&amp;B Inputs'!$H$4:$U$4,0))*(1+INDEX('R&amp;B Inputs'!$H$46:$U$46,MATCH($B119,'R&amp;B Inputs'!$H$4:$U$4,0)))^(BK$7-Year1))</f>
        <v>9.0952917202036049E-2</v>
      </c>
      <c r="BL120" s="508">
        <f>IF(BL$8=0,0,INDEX('R&amp;B Inputs'!$H$73:$U$73,MATCH($B119,'R&amp;B Inputs'!$H$4:$U$4,0))*(1+INDEX('R&amp;B Inputs'!$H$46:$U$46,MATCH($B119,'R&amp;B Inputs'!$H$4:$U$4,0)))^(BL$7-Year1))</f>
        <v>9.0952917202036049E-2</v>
      </c>
      <c r="BM120" s="508">
        <f>IF(BM$8=0,0,INDEX('R&amp;B Inputs'!$H$73:$U$73,MATCH($B119,'R&amp;B Inputs'!$H$4:$U$4,0))*(1+INDEX('R&amp;B Inputs'!$H$46:$U$46,MATCH($B119,'R&amp;B Inputs'!$H$4:$U$4,0)))^(BM$7-Year1))</f>
        <v>9.0952917202036049E-2</v>
      </c>
      <c r="BN120" s="508"/>
      <c r="BO120" s="508"/>
      <c r="BP120" s="508">
        <f>IF($C$4=Year1,-PMT(Lookups!$E$17,25,NPV(Lookups!$E$17,AM120:BK120),0,1),IF($C$4=Year2,-PMT(Lookups!$F$17,25,NPV(Lookups!$F$17,AN120:BL120),0,1),IF($C$4=Year3,-PMT(Lookups!$G$17,25,NPV(Lookups!$G$17,AO120:BM120),0,1),-PMT(Lookups!$G$17,27,NPV(Lookups!$G$17,AM120:BM120),0,1))))</f>
        <v>8.9684421310792128E-2</v>
      </c>
      <c r="BS120" s="84" t="str">
        <f>E120&amp;" charge from the R&amp;B Inputs tab, escalated annually by the growth rate included on the R&amp;B Inputs tab."</f>
        <v>Customer Charge charge from the R&amp;B Inputs tab, escalated annually by the growth rate included on the R&amp;B Inputs tab.</v>
      </c>
      <c r="BT120" s="51" t="s">
        <v>17</v>
      </c>
    </row>
    <row r="121" spans="1:72" x14ac:dyDescent="0.25">
      <c r="B121" s="243" t="str">
        <f>B119</f>
        <v>Low-Income</v>
      </c>
      <c r="C121" s="243" t="str">
        <f>C119</f>
        <v>Rates</v>
      </c>
      <c r="D121" s="244" t="str">
        <f>D119</f>
        <v>Rates before DSM (No EE Scenario)</v>
      </c>
      <c r="E121" s="84" t="s">
        <v>76</v>
      </c>
      <c r="F121" s="84" t="s">
        <v>182</v>
      </c>
      <c r="G121" s="506">
        <f>SUM(G117:G120)</f>
        <v>0.90105291720203595</v>
      </c>
      <c r="H121" s="506">
        <f>SUM(H117:H120)</f>
        <v>0.90105291720203595</v>
      </c>
      <c r="I121" s="506">
        <f t="shared" ref="I121:AG121" si="108">SUM(I117:I120)</f>
        <v>0.90105291720203595</v>
      </c>
      <c r="J121" s="506">
        <f t="shared" si="108"/>
        <v>0.90105291720203595</v>
      </c>
      <c r="K121" s="506">
        <f t="shared" si="108"/>
        <v>0.90105291720203595</v>
      </c>
      <c r="L121" s="506">
        <f t="shared" si="108"/>
        <v>0.90105291720203595</v>
      </c>
      <c r="M121" s="506">
        <f t="shared" si="108"/>
        <v>0.90105291720203595</v>
      </c>
      <c r="N121" s="506">
        <f t="shared" si="108"/>
        <v>0.90105291720203595</v>
      </c>
      <c r="O121" s="506">
        <f t="shared" si="108"/>
        <v>0.90105291720203595</v>
      </c>
      <c r="P121" s="506">
        <f t="shared" si="108"/>
        <v>0.90105291720203595</v>
      </c>
      <c r="Q121" s="506">
        <f t="shared" si="108"/>
        <v>0.90105291720203595</v>
      </c>
      <c r="R121" s="506">
        <f t="shared" si="108"/>
        <v>0.90105291720203595</v>
      </c>
      <c r="S121" s="506">
        <f t="shared" si="108"/>
        <v>0.90105291720203595</v>
      </c>
      <c r="T121" s="506">
        <f t="shared" si="108"/>
        <v>0.90105291720203595</v>
      </c>
      <c r="U121" s="506">
        <f t="shared" si="108"/>
        <v>0.90105291720203595</v>
      </c>
      <c r="V121" s="506">
        <f t="shared" si="108"/>
        <v>0.90105291720203595</v>
      </c>
      <c r="W121" s="506">
        <f t="shared" si="108"/>
        <v>0.90105291720203595</v>
      </c>
      <c r="X121" s="506">
        <f t="shared" si="108"/>
        <v>0.90105291720203595</v>
      </c>
      <c r="Y121" s="506">
        <f t="shared" si="108"/>
        <v>0.90105291720203595</v>
      </c>
      <c r="Z121" s="506">
        <f t="shared" si="108"/>
        <v>0.90105291720203595</v>
      </c>
      <c r="AA121" s="506">
        <f t="shared" si="108"/>
        <v>0.90105291720203595</v>
      </c>
      <c r="AB121" s="506">
        <f t="shared" si="108"/>
        <v>0.90105291720203595</v>
      </c>
      <c r="AC121" s="506">
        <f t="shared" si="108"/>
        <v>0.90105291720203595</v>
      </c>
      <c r="AD121" s="506">
        <f t="shared" si="108"/>
        <v>0.90105291720203595</v>
      </c>
      <c r="AE121" s="506">
        <f t="shared" si="108"/>
        <v>0.90105291720203595</v>
      </c>
      <c r="AF121" s="506">
        <f t="shared" si="108"/>
        <v>0.90105291720203595</v>
      </c>
      <c r="AG121" s="506">
        <f t="shared" si="108"/>
        <v>0.90105291720203595</v>
      </c>
      <c r="AH121" s="506"/>
      <c r="AI121" s="506"/>
      <c r="AJ121" s="506">
        <f>IF($C$4=Year1,-PMT(Lookups!$E$17,25,NPV(Lookups!$E$17,G121:AE121),0,1),IF($C$4=Year2,-PMT(Lookups!$F$17,25,NPV(Lookups!$F$17,H121:AF121),0,1),IF($C$4=Year3,-PMT(Lookups!$G$17,25,NPV(Lookups!$G$17,I121:AG121),0,1),-PMT(Lookups!$G$17,27,NPV(Lookups!$G$17,G121:AG121),0,1))))</f>
        <v>0.88848617433742605</v>
      </c>
      <c r="AK121" s="507"/>
      <c r="AL121" s="507"/>
      <c r="AM121" s="508">
        <f>SUM(AM117:AM120)</f>
        <v>0.90105291720203595</v>
      </c>
      <c r="AN121" s="508">
        <f t="shared" ref="AN121:BM121" si="109">SUM(AN117:AN120)</f>
        <v>0.90105291720203595</v>
      </c>
      <c r="AO121" s="508">
        <f t="shared" si="109"/>
        <v>0.90105291720203595</v>
      </c>
      <c r="AP121" s="508">
        <f t="shared" si="109"/>
        <v>0.90105291720203595</v>
      </c>
      <c r="AQ121" s="508">
        <f t="shared" si="109"/>
        <v>0.90105291720203595</v>
      </c>
      <c r="AR121" s="508">
        <f t="shared" si="109"/>
        <v>0.90105291720203595</v>
      </c>
      <c r="AS121" s="508">
        <f t="shared" si="109"/>
        <v>0.90105291720203595</v>
      </c>
      <c r="AT121" s="508">
        <f t="shared" si="109"/>
        <v>0.90105291720203595</v>
      </c>
      <c r="AU121" s="508">
        <f t="shared" si="109"/>
        <v>0.90105291720203595</v>
      </c>
      <c r="AV121" s="508">
        <f t="shared" si="109"/>
        <v>0.90105291720203595</v>
      </c>
      <c r="AW121" s="508">
        <f t="shared" si="109"/>
        <v>0.90105291720203595</v>
      </c>
      <c r="AX121" s="508">
        <f t="shared" si="109"/>
        <v>0.90105291720203595</v>
      </c>
      <c r="AY121" s="508">
        <f t="shared" si="109"/>
        <v>0.90105291720203595</v>
      </c>
      <c r="AZ121" s="508">
        <f t="shared" si="109"/>
        <v>0.90105291720203595</v>
      </c>
      <c r="BA121" s="508">
        <f t="shared" si="109"/>
        <v>0.90105291720203595</v>
      </c>
      <c r="BB121" s="508">
        <f t="shared" si="109"/>
        <v>0.90105291720203595</v>
      </c>
      <c r="BC121" s="508">
        <f t="shared" si="109"/>
        <v>0.90105291720203595</v>
      </c>
      <c r="BD121" s="508">
        <f t="shared" si="109"/>
        <v>0.90105291720203595</v>
      </c>
      <c r="BE121" s="508">
        <f t="shared" si="109"/>
        <v>0.90105291720203595</v>
      </c>
      <c r="BF121" s="508">
        <f t="shared" si="109"/>
        <v>0.90105291720203595</v>
      </c>
      <c r="BG121" s="508">
        <f t="shared" si="109"/>
        <v>0.90105291720203595</v>
      </c>
      <c r="BH121" s="508">
        <f t="shared" si="109"/>
        <v>0.90105291720203595</v>
      </c>
      <c r="BI121" s="508">
        <f t="shared" si="109"/>
        <v>0.90105291720203595</v>
      </c>
      <c r="BJ121" s="508">
        <f t="shared" si="109"/>
        <v>0.90105291720203595</v>
      </c>
      <c r="BK121" s="508">
        <f t="shared" si="109"/>
        <v>0.90105291720203595</v>
      </c>
      <c r="BL121" s="508">
        <f t="shared" si="109"/>
        <v>0.90105291720203595</v>
      </c>
      <c r="BM121" s="508">
        <f t="shared" si="109"/>
        <v>0.90105291720203595</v>
      </c>
      <c r="BN121" s="508"/>
      <c r="BO121" s="508"/>
      <c r="BP121" s="508">
        <f>IF($C$4=Year1,-PMT(Lookups!$E$17,25,NPV(Lookups!$E$17,AM121:BK121),0,1),IF($C$4=Year2,-PMT(Lookups!$F$17,25,NPV(Lookups!$F$17,AN121:BL121),0,1),IF($C$4=Year3,-PMT(Lookups!$G$17,25,NPV(Lookups!$G$17,AO121:BM121),0,1),-PMT(Lookups!$G$17,27,NPV(Lookups!$G$17,AM121:BM121),0,1))))</f>
        <v>0.88848617433742605</v>
      </c>
      <c r="BS121" s="84" t="s">
        <v>94</v>
      </c>
      <c r="BT121" s="51" t="s">
        <v>17</v>
      </c>
    </row>
    <row r="122" spans="1:72" x14ac:dyDescent="0.25">
      <c r="B122" s="243" t="str">
        <f>B120</f>
        <v>Low-Income</v>
      </c>
      <c r="C122" s="243" t="str">
        <f>C120</f>
        <v>Rates</v>
      </c>
      <c r="D122" s="114" t="s">
        <v>24</v>
      </c>
      <c r="E122" s="86"/>
      <c r="F122" s="8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89"/>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S122" s="84"/>
      <c r="BT122" s="51" t="s">
        <v>17</v>
      </c>
    </row>
    <row r="123" spans="1:72" x14ac:dyDescent="0.25">
      <c r="B123" s="243" t="str">
        <f t="shared" ref="B123:D124" si="110">B122</f>
        <v>Low-Income</v>
      </c>
      <c r="C123" s="243" t="str">
        <f t="shared" si="110"/>
        <v>Rates</v>
      </c>
      <c r="D123" s="244" t="str">
        <f t="shared" si="110"/>
        <v>Avoided Costs</v>
      </c>
      <c r="E123" s="84" t="s">
        <v>45</v>
      </c>
      <c r="F123" s="84" t="s">
        <v>182</v>
      </c>
      <c r="G123" s="506">
        <f ca="1">IFERROR(-G104/G96,0)</f>
        <v>-1.3245509390080975E-2</v>
      </c>
      <c r="H123" s="506">
        <f t="shared" ref="H123:AG123" ca="1" si="111">IFERROR(-H104/H96,0)</f>
        <v>-2.7436804801026803E-2</v>
      </c>
      <c r="I123" s="506">
        <f t="shared" ca="1" si="111"/>
        <v>-4.2786614341730513E-2</v>
      </c>
      <c r="J123" s="506">
        <f t="shared" ca="1" si="111"/>
        <v>-4.2786614341730513E-2</v>
      </c>
      <c r="K123" s="506">
        <f t="shared" ca="1" si="111"/>
        <v>-4.2786614341730513E-2</v>
      </c>
      <c r="L123" s="506">
        <f t="shared" ca="1" si="111"/>
        <v>-4.2786614341730513E-2</v>
      </c>
      <c r="M123" s="506">
        <f t="shared" ca="1" si="111"/>
        <v>-4.2786614341730513E-2</v>
      </c>
      <c r="N123" s="506">
        <f t="shared" ca="1" si="111"/>
        <v>-4.2786614341730513E-2</v>
      </c>
      <c r="O123" s="506">
        <f t="shared" ca="1" si="111"/>
        <v>-4.2786614341730513E-2</v>
      </c>
      <c r="P123" s="506">
        <f t="shared" ca="1" si="111"/>
        <v>-4.2786614341730513E-2</v>
      </c>
      <c r="Q123" s="506">
        <f t="shared" ca="1" si="111"/>
        <v>-4.2786614341730513E-2</v>
      </c>
      <c r="R123" s="506">
        <f t="shared" ca="1" si="111"/>
        <v>-4.2786614341730513E-2</v>
      </c>
      <c r="S123" s="506">
        <f t="shared" ca="1" si="111"/>
        <v>-4.2786614341730513E-2</v>
      </c>
      <c r="T123" s="506">
        <f t="shared" ca="1" si="111"/>
        <v>-4.2786614341730513E-2</v>
      </c>
      <c r="U123" s="506">
        <f t="shared" ca="1" si="111"/>
        <v>-4.2786614341730513E-2</v>
      </c>
      <c r="V123" s="506">
        <f t="shared" ca="1" si="111"/>
        <v>-4.2786614341730513E-2</v>
      </c>
      <c r="W123" s="506">
        <f t="shared" ca="1" si="111"/>
        <v>-4.2786614341730513E-2</v>
      </c>
      <c r="X123" s="506">
        <f t="shared" ca="1" si="111"/>
        <v>-4.2786614341730513E-2</v>
      </c>
      <c r="Y123" s="506">
        <f t="shared" ca="1" si="111"/>
        <v>-4.2786614341730513E-2</v>
      </c>
      <c r="Z123" s="506">
        <f t="shared" ca="1" si="111"/>
        <v>-4.2786614341730513E-2</v>
      </c>
      <c r="AA123" s="506">
        <f t="shared" ca="1" si="111"/>
        <v>-2.8424605234492743E-2</v>
      </c>
      <c r="AB123" s="506">
        <f t="shared" ca="1" si="111"/>
        <v>-1.4194696506203202E-2</v>
      </c>
      <c r="AC123" s="506">
        <f t="shared" ca="1" si="111"/>
        <v>0</v>
      </c>
      <c r="AD123" s="506">
        <f t="shared" ca="1" si="111"/>
        <v>0</v>
      </c>
      <c r="AE123" s="506">
        <f t="shared" ca="1" si="111"/>
        <v>0</v>
      </c>
      <c r="AF123" s="506">
        <f t="shared" ca="1" si="111"/>
        <v>0</v>
      </c>
      <c r="AG123" s="506">
        <f t="shared" ca="1" si="111"/>
        <v>0</v>
      </c>
      <c r="AH123" s="506"/>
      <c r="AI123" s="506"/>
      <c r="AJ123" s="506">
        <f ca="1">IF($C$4=Year1,-PMT(Lookups!$E$17,25,NPV(Lookups!$E$17,G123:AE123),0,1),IF($C$4=Year2,-PMT(Lookups!$F$17,25,NPV(Lookups!$F$17,H123:AF123),0,1),IF($C$4=Year3,-PMT(Lookups!$G$17,25,NPV(Lookups!$G$17,I123:AG123),0,1),-PMT(Lookups!$G$17,27,NPV(Lookups!$G$17,G123:AG123),0,1))))</f>
        <v>-3.2186942441344922E-2</v>
      </c>
      <c r="AK123" s="507"/>
      <c r="AL123" s="507"/>
      <c r="AM123" s="508">
        <f ca="1">IFERROR(-AM104/AM96,0)</f>
        <v>-1.5179033507421523E-2</v>
      </c>
      <c r="AN123" s="508">
        <f t="shared" ref="AN123:BM123" ca="1" si="112">IFERROR(-AN104/AN96,0)</f>
        <v>-3.1534117846316545E-2</v>
      </c>
      <c r="AO123" s="508">
        <f t="shared" ca="1" si="112"/>
        <v>-4.9332773423550309E-2</v>
      </c>
      <c r="AP123" s="508">
        <f t="shared" ca="1" si="112"/>
        <v>-4.9332773423550309E-2</v>
      </c>
      <c r="AQ123" s="508">
        <f t="shared" ca="1" si="112"/>
        <v>-4.9332773423550309E-2</v>
      </c>
      <c r="AR123" s="508">
        <f t="shared" ca="1" si="112"/>
        <v>-4.9332773423550309E-2</v>
      </c>
      <c r="AS123" s="508">
        <f t="shared" ca="1" si="112"/>
        <v>-4.9332773423550309E-2</v>
      </c>
      <c r="AT123" s="508">
        <f t="shared" ca="1" si="112"/>
        <v>-4.9332773423550309E-2</v>
      </c>
      <c r="AU123" s="508">
        <f t="shared" ca="1" si="112"/>
        <v>-4.9332773423550309E-2</v>
      </c>
      <c r="AV123" s="508">
        <f t="shared" ca="1" si="112"/>
        <v>-4.9332773423550309E-2</v>
      </c>
      <c r="AW123" s="508">
        <f t="shared" ca="1" si="112"/>
        <v>-4.9332773423550309E-2</v>
      </c>
      <c r="AX123" s="508">
        <f t="shared" ca="1" si="112"/>
        <v>-4.9332773423550309E-2</v>
      </c>
      <c r="AY123" s="508">
        <f t="shared" ca="1" si="112"/>
        <v>-4.9332773423550309E-2</v>
      </c>
      <c r="AZ123" s="508">
        <f t="shared" ca="1" si="112"/>
        <v>-4.9332773423550309E-2</v>
      </c>
      <c r="BA123" s="508">
        <f t="shared" ca="1" si="112"/>
        <v>-4.9332773423550309E-2</v>
      </c>
      <c r="BB123" s="508">
        <f t="shared" ca="1" si="112"/>
        <v>-4.9332773423550309E-2</v>
      </c>
      <c r="BC123" s="508">
        <f t="shared" ca="1" si="112"/>
        <v>-4.9332773423550309E-2</v>
      </c>
      <c r="BD123" s="508">
        <f t="shared" ca="1" si="112"/>
        <v>-4.9332773423550309E-2</v>
      </c>
      <c r="BE123" s="508">
        <f t="shared" ca="1" si="112"/>
        <v>-4.9332773423550309E-2</v>
      </c>
      <c r="BF123" s="508">
        <f t="shared" ca="1" si="112"/>
        <v>-4.9332773423550309E-2</v>
      </c>
      <c r="BG123" s="508">
        <f t="shared" ca="1" si="112"/>
        <v>-3.2676163694302367E-2</v>
      </c>
      <c r="BH123" s="508">
        <f t="shared" ca="1" si="112"/>
        <v>-1.6269990570135041E-2</v>
      </c>
      <c r="BI123" s="508">
        <f t="shared" ca="1" si="112"/>
        <v>0</v>
      </c>
      <c r="BJ123" s="508">
        <f t="shared" ca="1" si="112"/>
        <v>0</v>
      </c>
      <c r="BK123" s="508">
        <f t="shared" ca="1" si="112"/>
        <v>0</v>
      </c>
      <c r="BL123" s="508">
        <f t="shared" ca="1" si="112"/>
        <v>0</v>
      </c>
      <c r="BM123" s="508">
        <f t="shared" ca="1" si="112"/>
        <v>0</v>
      </c>
      <c r="BN123" s="508"/>
      <c r="BO123" s="508"/>
      <c r="BP123" s="508">
        <f ca="1">IF($C$4=Year1,-PMT(Lookups!$E$17,25,NPV(Lookups!$E$17,AM123:BK123),0,1),IF($C$4=Year2,-PMT(Lookups!$F$17,25,NPV(Lookups!$F$17,AN123:BL123),0,1),IF($C$4=Year3,-PMT(Lookups!$G$17,25,NPV(Lookups!$G$17,AO123:BM123),0,1),-PMT(Lookups!$G$17,27,NPV(Lookups!$G$17,AM123:BM123),0,1))))</f>
        <v>-3.7096704839539987E-2</v>
      </c>
      <c r="BS123" s="84" t="str">
        <f t="shared" ref="BS123:BS125" si="113">"Avoided "&amp;E123&amp;" avoided costs divided by After Scenario sales."</f>
        <v>Avoided Gas avoided costs divided by After Scenario sales.</v>
      </c>
      <c r="BT123" s="51" t="s">
        <v>17</v>
      </c>
    </row>
    <row r="124" spans="1:72" x14ac:dyDescent="0.25">
      <c r="B124" s="243" t="str">
        <f t="shared" si="110"/>
        <v>Low-Income</v>
      </c>
      <c r="C124" s="243" t="str">
        <f t="shared" si="110"/>
        <v>Rates</v>
      </c>
      <c r="D124" s="244" t="str">
        <f t="shared" si="110"/>
        <v>Avoided Costs</v>
      </c>
      <c r="E124" s="86" t="s">
        <v>412</v>
      </c>
      <c r="F124" s="84" t="s">
        <v>182</v>
      </c>
      <c r="G124" s="506">
        <f ca="1">IFERROR(-G105/G96,0)</f>
        <v>-9.0310291296006651E-4</v>
      </c>
      <c r="H124" s="506">
        <f t="shared" ref="H124:AG124" ca="1" si="114">IFERROR(-H105/H96,0)</f>
        <v>-1.8706912364336455E-3</v>
      </c>
      <c r="I124" s="506">
        <f t="shared" ca="1" si="114"/>
        <v>-2.9172691596634445E-3</v>
      </c>
      <c r="J124" s="506">
        <f t="shared" ca="1" si="114"/>
        <v>-2.9172691596634445E-3</v>
      </c>
      <c r="K124" s="506">
        <f t="shared" ca="1" si="114"/>
        <v>-2.9172691596634445E-3</v>
      </c>
      <c r="L124" s="506">
        <f t="shared" ca="1" si="114"/>
        <v>-2.9172691596634445E-3</v>
      </c>
      <c r="M124" s="506">
        <f t="shared" ca="1" si="114"/>
        <v>-2.9172691596634445E-3</v>
      </c>
      <c r="N124" s="506">
        <f t="shared" ca="1" si="114"/>
        <v>-2.9172691596634445E-3</v>
      </c>
      <c r="O124" s="506">
        <f t="shared" ca="1" si="114"/>
        <v>-2.9172691596634445E-3</v>
      </c>
      <c r="P124" s="506">
        <f t="shared" ca="1" si="114"/>
        <v>-2.9172691596634445E-3</v>
      </c>
      <c r="Q124" s="506">
        <f t="shared" ca="1" si="114"/>
        <v>-2.9172691596634445E-3</v>
      </c>
      <c r="R124" s="506">
        <f t="shared" ca="1" si="114"/>
        <v>-2.9172691596634445E-3</v>
      </c>
      <c r="S124" s="506">
        <f t="shared" ca="1" si="114"/>
        <v>-2.9172691596634445E-3</v>
      </c>
      <c r="T124" s="506">
        <f t="shared" ca="1" si="114"/>
        <v>-2.9172691596634445E-3</v>
      </c>
      <c r="U124" s="506">
        <f t="shared" ca="1" si="114"/>
        <v>-2.9172691596634445E-3</v>
      </c>
      <c r="V124" s="506">
        <f t="shared" ca="1" si="114"/>
        <v>-2.9172691596634445E-3</v>
      </c>
      <c r="W124" s="506">
        <f t="shared" ca="1" si="114"/>
        <v>-2.9172691596634445E-3</v>
      </c>
      <c r="X124" s="506">
        <f t="shared" ca="1" si="114"/>
        <v>-2.9172691596634445E-3</v>
      </c>
      <c r="Y124" s="506">
        <f t="shared" ca="1" si="114"/>
        <v>-2.9172691596634445E-3</v>
      </c>
      <c r="Z124" s="506">
        <f t="shared" ca="1" si="114"/>
        <v>-2.9172691596634445E-3</v>
      </c>
      <c r="AA124" s="506">
        <f t="shared" ca="1" si="114"/>
        <v>-1.9380412659881423E-3</v>
      </c>
      <c r="AB124" s="506">
        <f t="shared" ca="1" si="114"/>
        <v>-9.6782021633203669E-4</v>
      </c>
      <c r="AC124" s="506">
        <f t="shared" ca="1" si="114"/>
        <v>0</v>
      </c>
      <c r="AD124" s="506">
        <f t="shared" ca="1" si="114"/>
        <v>0</v>
      </c>
      <c r="AE124" s="506">
        <f t="shared" ca="1" si="114"/>
        <v>0</v>
      </c>
      <c r="AF124" s="506">
        <f t="shared" ca="1" si="114"/>
        <v>0</v>
      </c>
      <c r="AG124" s="506">
        <f t="shared" ca="1" si="114"/>
        <v>0</v>
      </c>
      <c r="AH124" s="506"/>
      <c r="AI124" s="506"/>
      <c r="AJ124" s="506">
        <f ca="1">IF($C$4=Year1,-PMT(Lookups!$E$17,25,NPV(Lookups!$E$17,G124:AE124),0,1),IF($C$4=Year2,-PMT(Lookups!$F$17,25,NPV(Lookups!$F$17,H124:AF124),0,1),IF($C$4=Year3,-PMT(Lookups!$G$17,25,NPV(Lookups!$G$17,I124:AG124),0,1),-PMT(Lookups!$G$17,27,NPV(Lookups!$G$17,G124:AG124),0,1))))</f>
        <v>-2.1945642573644271E-3</v>
      </c>
      <c r="AK124" s="507"/>
      <c r="AL124" s="507"/>
      <c r="AM124" s="508">
        <f ca="1">IFERROR(-AM105/AM96,0)</f>
        <v>-1.0349341027787399E-3</v>
      </c>
      <c r="AN124" s="508">
        <f t="shared" ref="AN124:BM124" ca="1" si="115">IFERROR(-AN105/AN96,0)</f>
        <v>-2.150053489521582E-3</v>
      </c>
      <c r="AO124" s="508">
        <f t="shared" ca="1" si="115"/>
        <v>-3.3635981879693382E-3</v>
      </c>
      <c r="AP124" s="508">
        <f t="shared" ca="1" si="115"/>
        <v>-3.3635981879693382E-3</v>
      </c>
      <c r="AQ124" s="508">
        <f t="shared" ca="1" si="115"/>
        <v>-3.3635981879693382E-3</v>
      </c>
      <c r="AR124" s="508">
        <f t="shared" ca="1" si="115"/>
        <v>-3.3635981879693382E-3</v>
      </c>
      <c r="AS124" s="508">
        <f t="shared" ca="1" si="115"/>
        <v>-3.3635981879693382E-3</v>
      </c>
      <c r="AT124" s="508">
        <f t="shared" ca="1" si="115"/>
        <v>-3.3635981879693382E-3</v>
      </c>
      <c r="AU124" s="508">
        <f t="shared" ca="1" si="115"/>
        <v>-3.3635981879693382E-3</v>
      </c>
      <c r="AV124" s="508">
        <f t="shared" ca="1" si="115"/>
        <v>-3.3635981879693382E-3</v>
      </c>
      <c r="AW124" s="508">
        <f t="shared" ca="1" si="115"/>
        <v>-3.3635981879693382E-3</v>
      </c>
      <c r="AX124" s="508">
        <f t="shared" ca="1" si="115"/>
        <v>-3.3635981879693382E-3</v>
      </c>
      <c r="AY124" s="508">
        <f t="shared" ca="1" si="115"/>
        <v>-3.3635981879693382E-3</v>
      </c>
      <c r="AZ124" s="508">
        <f t="shared" ca="1" si="115"/>
        <v>-3.3635981879693382E-3</v>
      </c>
      <c r="BA124" s="508">
        <f t="shared" ca="1" si="115"/>
        <v>-3.3635981879693382E-3</v>
      </c>
      <c r="BB124" s="508">
        <f t="shared" ca="1" si="115"/>
        <v>-3.3635981879693382E-3</v>
      </c>
      <c r="BC124" s="508">
        <f t="shared" ca="1" si="115"/>
        <v>-3.3635981879693382E-3</v>
      </c>
      <c r="BD124" s="508">
        <f t="shared" ca="1" si="115"/>
        <v>-3.3635981879693382E-3</v>
      </c>
      <c r="BE124" s="508">
        <f t="shared" ca="1" si="115"/>
        <v>-3.3635981879693382E-3</v>
      </c>
      <c r="BF124" s="508">
        <f t="shared" ca="1" si="115"/>
        <v>-3.3635981879693382E-3</v>
      </c>
      <c r="BG124" s="508">
        <f t="shared" ca="1" si="115"/>
        <v>-2.2279202518842522E-3</v>
      </c>
      <c r="BH124" s="508">
        <f t="shared" ca="1" si="115"/>
        <v>-1.109317538872844E-3</v>
      </c>
      <c r="BI124" s="508">
        <f t="shared" ca="1" si="115"/>
        <v>0</v>
      </c>
      <c r="BJ124" s="508">
        <f t="shared" ca="1" si="115"/>
        <v>0</v>
      </c>
      <c r="BK124" s="508">
        <f t="shared" ca="1" si="115"/>
        <v>0</v>
      </c>
      <c r="BL124" s="508">
        <f t="shared" ca="1" si="115"/>
        <v>0</v>
      </c>
      <c r="BM124" s="508">
        <f t="shared" ca="1" si="115"/>
        <v>0</v>
      </c>
      <c r="BN124" s="508"/>
      <c r="BO124" s="508"/>
      <c r="BP124" s="508">
        <f ca="1">IF($C$4=Year1,-PMT(Lookups!$E$17,25,NPV(Lookups!$E$17,AM124:BK124),0,1),IF($C$4=Year2,-PMT(Lookups!$F$17,25,NPV(Lookups!$F$17,AN124:BL124),0,1),IF($C$4=Year3,-PMT(Lookups!$G$17,25,NPV(Lookups!$G$17,AO124:BM124),0,1),-PMT(Lookups!$G$17,27,NPV(Lookups!$G$17,AM124:BM124),0,1))))</f>
        <v>-2.5293207845140894E-3</v>
      </c>
      <c r="BS124" s="84" t="str">
        <f t="shared" si="113"/>
        <v>Avoided Gas, Retail Margin avoided costs divided by After Scenario sales.</v>
      </c>
      <c r="BT124" s="51"/>
    </row>
    <row r="125" spans="1:72" x14ac:dyDescent="0.25">
      <c r="B125" s="243" t="str">
        <f t="shared" ref="B125:D125" si="116">B123</f>
        <v>Low-Income</v>
      </c>
      <c r="C125" s="243" t="str">
        <f t="shared" si="116"/>
        <v>Rates</v>
      </c>
      <c r="D125" s="244" t="str">
        <f t="shared" si="116"/>
        <v>Avoided Costs</v>
      </c>
      <c r="E125" s="86" t="s">
        <v>175</v>
      </c>
      <c r="F125" s="84" t="s">
        <v>182</v>
      </c>
      <c r="G125" s="506">
        <f ca="1">IFERROR(-G106/G96,0)</f>
        <v>-4.8343541186033424E-4</v>
      </c>
      <c r="H125" s="506">
        <f t="shared" ref="H125:AG125" ca="1" si="117">IFERROR(-H106/H96,0)</f>
        <v>-1.0011468037840682E-3</v>
      </c>
      <c r="I125" s="506">
        <f t="shared" ca="1" si="117"/>
        <v>-1.5600782118089362E-3</v>
      </c>
      <c r="J125" s="506">
        <f t="shared" ca="1" si="117"/>
        <v>-1.5600782118089362E-3</v>
      </c>
      <c r="K125" s="506">
        <f t="shared" ca="1" si="117"/>
        <v>-1.5600782118089362E-3</v>
      </c>
      <c r="L125" s="506">
        <f t="shared" ca="1" si="117"/>
        <v>-1.5600782118089362E-3</v>
      </c>
      <c r="M125" s="506">
        <f t="shared" ca="1" si="117"/>
        <v>-1.5600782118089362E-3</v>
      </c>
      <c r="N125" s="506">
        <f t="shared" ca="1" si="117"/>
        <v>-1.5600782118089362E-3</v>
      </c>
      <c r="O125" s="506">
        <f t="shared" ca="1" si="117"/>
        <v>-1.5600782118089362E-3</v>
      </c>
      <c r="P125" s="506">
        <f t="shared" ca="1" si="117"/>
        <v>-1.5600782118089362E-3</v>
      </c>
      <c r="Q125" s="506">
        <f t="shared" ca="1" si="117"/>
        <v>-1.5600782118089362E-3</v>
      </c>
      <c r="R125" s="506">
        <f t="shared" ca="1" si="117"/>
        <v>-1.5600782118089362E-3</v>
      </c>
      <c r="S125" s="506">
        <f t="shared" ca="1" si="117"/>
        <v>-1.5600782118089362E-3</v>
      </c>
      <c r="T125" s="506">
        <f t="shared" ca="1" si="117"/>
        <v>-1.5600782118089362E-3</v>
      </c>
      <c r="U125" s="506">
        <f t="shared" ca="1" si="117"/>
        <v>-1.5600782118089362E-3</v>
      </c>
      <c r="V125" s="506">
        <f t="shared" ca="1" si="117"/>
        <v>-1.5600782118089362E-3</v>
      </c>
      <c r="W125" s="506">
        <f t="shared" ca="1" si="117"/>
        <v>-1.5600782118089362E-3</v>
      </c>
      <c r="X125" s="506">
        <f t="shared" ca="1" si="117"/>
        <v>-1.5600782118089362E-3</v>
      </c>
      <c r="Y125" s="506">
        <f t="shared" ca="1" si="117"/>
        <v>-1.5600782118089362E-3</v>
      </c>
      <c r="Z125" s="506">
        <f t="shared" ca="1" si="117"/>
        <v>-1.5600782118089362E-3</v>
      </c>
      <c r="AA125" s="506">
        <f t="shared" ca="1" si="117"/>
        <v>-1.0359228903153407E-3</v>
      </c>
      <c r="AB125" s="506">
        <f t="shared" ca="1" si="117"/>
        <v>-5.1682762071674762E-4</v>
      </c>
      <c r="AC125" s="506">
        <f t="shared" ca="1" si="117"/>
        <v>0</v>
      </c>
      <c r="AD125" s="506">
        <f t="shared" ca="1" si="117"/>
        <v>0</v>
      </c>
      <c r="AE125" s="506">
        <f t="shared" ca="1" si="117"/>
        <v>0</v>
      </c>
      <c r="AF125" s="506">
        <f t="shared" ca="1" si="117"/>
        <v>0</v>
      </c>
      <c r="AG125" s="506">
        <f t="shared" ca="1" si="117"/>
        <v>0</v>
      </c>
      <c r="AH125" s="506"/>
      <c r="AI125" s="506"/>
      <c r="AJ125" s="506">
        <f ca="1">IF($C$4=Year1,-PMT(Lookups!$E$17,25,NPV(Lookups!$E$17,G125:AE125),0,1),IF($C$4=Year2,-PMT(Lookups!$F$17,25,NPV(Lookups!$F$17,H125:AF125),0,1),IF($C$4=Year3,-PMT(Lookups!$G$17,25,NPV(Lookups!$G$17,I125:AG125),0,1),-PMT(Lookups!$G$17,27,NPV(Lookups!$G$17,G125:AG125),0,1))))</f>
        <v>-1.1736079166563831E-3</v>
      </c>
      <c r="AK125" s="507"/>
      <c r="AL125" s="507"/>
      <c r="AM125" s="508">
        <f ca="1">IFERROR(-AM106/AM96,0)</f>
        <v>-5.5400529335605071E-4</v>
      </c>
      <c r="AN125" s="508">
        <f t="shared" ref="AN125:BM125" ca="1" si="118">IFERROR(-AN106/AN96,0)</f>
        <v>-1.1506544410305553E-3</v>
      </c>
      <c r="AO125" s="508">
        <f t="shared" ca="1" si="118"/>
        <v>-1.7987631442744102E-3</v>
      </c>
      <c r="AP125" s="508">
        <f t="shared" ca="1" si="118"/>
        <v>-1.7987631442744102E-3</v>
      </c>
      <c r="AQ125" s="508">
        <f t="shared" ca="1" si="118"/>
        <v>-1.7987631442744102E-3</v>
      </c>
      <c r="AR125" s="508">
        <f t="shared" ca="1" si="118"/>
        <v>-1.7987631442744102E-3</v>
      </c>
      <c r="AS125" s="508">
        <f t="shared" ca="1" si="118"/>
        <v>-1.7987631442744102E-3</v>
      </c>
      <c r="AT125" s="508">
        <f t="shared" ca="1" si="118"/>
        <v>-1.7987631442744102E-3</v>
      </c>
      <c r="AU125" s="508">
        <f t="shared" ca="1" si="118"/>
        <v>-1.7987631442744102E-3</v>
      </c>
      <c r="AV125" s="508">
        <f t="shared" ca="1" si="118"/>
        <v>-1.7987631442744102E-3</v>
      </c>
      <c r="AW125" s="508">
        <f t="shared" ca="1" si="118"/>
        <v>-1.7987631442744102E-3</v>
      </c>
      <c r="AX125" s="508">
        <f t="shared" ca="1" si="118"/>
        <v>-1.7987631442744102E-3</v>
      </c>
      <c r="AY125" s="508">
        <f t="shared" ca="1" si="118"/>
        <v>-1.7987631442744102E-3</v>
      </c>
      <c r="AZ125" s="508">
        <f t="shared" ca="1" si="118"/>
        <v>-1.7987631442744102E-3</v>
      </c>
      <c r="BA125" s="508">
        <f t="shared" ca="1" si="118"/>
        <v>-1.7987631442744102E-3</v>
      </c>
      <c r="BB125" s="508">
        <f t="shared" ca="1" si="118"/>
        <v>-1.7987631442744102E-3</v>
      </c>
      <c r="BC125" s="508">
        <f t="shared" ca="1" si="118"/>
        <v>-1.7987631442744102E-3</v>
      </c>
      <c r="BD125" s="508">
        <f t="shared" ca="1" si="118"/>
        <v>-1.7987631442744102E-3</v>
      </c>
      <c r="BE125" s="508">
        <f t="shared" ca="1" si="118"/>
        <v>-1.7987631442744102E-3</v>
      </c>
      <c r="BF125" s="508">
        <f t="shared" ca="1" si="118"/>
        <v>-1.7987631442744102E-3</v>
      </c>
      <c r="BG125" s="508">
        <f t="shared" ca="1" si="118"/>
        <v>-1.1908691663215273E-3</v>
      </c>
      <c r="BH125" s="508">
        <f t="shared" ca="1" si="118"/>
        <v>-5.9238889058121848E-4</v>
      </c>
      <c r="BI125" s="508">
        <f t="shared" ca="1" si="118"/>
        <v>0</v>
      </c>
      <c r="BJ125" s="508">
        <f t="shared" ca="1" si="118"/>
        <v>0</v>
      </c>
      <c r="BK125" s="508">
        <f t="shared" ca="1" si="118"/>
        <v>0</v>
      </c>
      <c r="BL125" s="508">
        <f t="shared" ca="1" si="118"/>
        <v>0</v>
      </c>
      <c r="BM125" s="508">
        <f t="shared" ca="1" si="118"/>
        <v>0</v>
      </c>
      <c r="BN125" s="508"/>
      <c r="BO125" s="508"/>
      <c r="BP125" s="508">
        <f ca="1">IF($C$4=Year1,-PMT(Lookups!$E$17,25,NPV(Lookups!$E$17,AM125:BK125),0,1),IF($C$4=Year2,-PMT(Lookups!$F$17,25,NPV(Lookups!$F$17,AN125:BL125),0,1),IF($C$4=Year3,-PMT(Lookups!$G$17,25,NPV(Lookups!$G$17,AO125:BM125),0,1),-PMT(Lookups!$G$17,27,NPV(Lookups!$G$17,AM125:BM125),0,1))))</f>
        <v>-1.352628794577711E-3</v>
      </c>
      <c r="BS125" s="84" t="str">
        <f t="shared" si="113"/>
        <v>Avoided Gas DRIPE avoided costs divided by After Scenario sales.</v>
      </c>
      <c r="BT125" s="51" t="s">
        <v>17</v>
      </c>
    </row>
    <row r="126" spans="1:72" x14ac:dyDescent="0.25">
      <c r="B126" s="243" t="str">
        <f t="shared" ref="B126:D134" si="119">B125</f>
        <v>Low-Income</v>
      </c>
      <c r="C126" s="243" t="str">
        <f t="shared" si="119"/>
        <v>Rates</v>
      </c>
      <c r="D126" s="244" t="str">
        <f t="shared" si="119"/>
        <v>Avoided Costs</v>
      </c>
      <c r="E126" s="86" t="s">
        <v>76</v>
      </c>
      <c r="F126" s="84" t="s">
        <v>182</v>
      </c>
      <c r="G126" s="506">
        <f ca="1">SUM(G123:G125)</f>
        <v>-1.4632047714901376E-2</v>
      </c>
      <c r="H126" s="506">
        <f ca="1">SUM(H123:H125)</f>
        <v>-3.0308642841244515E-2</v>
      </c>
      <c r="I126" s="506">
        <f t="shared" ref="I126:AG126" ca="1" si="120">SUM(I123:I125)</f>
        <v>-4.7263961713202893E-2</v>
      </c>
      <c r="J126" s="506">
        <f t="shared" ca="1" si="120"/>
        <v>-4.7263961713202893E-2</v>
      </c>
      <c r="K126" s="506">
        <f t="shared" ca="1" si="120"/>
        <v>-4.7263961713202893E-2</v>
      </c>
      <c r="L126" s="506">
        <f t="shared" ca="1" si="120"/>
        <v>-4.7263961713202893E-2</v>
      </c>
      <c r="M126" s="506">
        <f t="shared" ca="1" si="120"/>
        <v>-4.7263961713202893E-2</v>
      </c>
      <c r="N126" s="506">
        <f t="shared" ca="1" si="120"/>
        <v>-4.7263961713202893E-2</v>
      </c>
      <c r="O126" s="506">
        <f t="shared" ca="1" si="120"/>
        <v>-4.7263961713202893E-2</v>
      </c>
      <c r="P126" s="506">
        <f t="shared" ca="1" si="120"/>
        <v>-4.7263961713202893E-2</v>
      </c>
      <c r="Q126" s="506">
        <f t="shared" ca="1" si="120"/>
        <v>-4.7263961713202893E-2</v>
      </c>
      <c r="R126" s="506">
        <f t="shared" ca="1" si="120"/>
        <v>-4.7263961713202893E-2</v>
      </c>
      <c r="S126" s="506">
        <f t="shared" ca="1" si="120"/>
        <v>-4.7263961713202893E-2</v>
      </c>
      <c r="T126" s="506">
        <f t="shared" ca="1" si="120"/>
        <v>-4.7263961713202893E-2</v>
      </c>
      <c r="U126" s="506">
        <f t="shared" ca="1" si="120"/>
        <v>-4.7263961713202893E-2</v>
      </c>
      <c r="V126" s="506">
        <f t="shared" ca="1" si="120"/>
        <v>-4.7263961713202893E-2</v>
      </c>
      <c r="W126" s="506">
        <f t="shared" ca="1" si="120"/>
        <v>-4.7263961713202893E-2</v>
      </c>
      <c r="X126" s="506">
        <f t="shared" ca="1" si="120"/>
        <v>-4.7263961713202893E-2</v>
      </c>
      <c r="Y126" s="506">
        <f t="shared" ca="1" si="120"/>
        <v>-4.7263961713202893E-2</v>
      </c>
      <c r="Z126" s="506">
        <f t="shared" ca="1" si="120"/>
        <v>-4.7263961713202893E-2</v>
      </c>
      <c r="AA126" s="506">
        <f t="shared" ca="1" si="120"/>
        <v>-3.139856939079623E-2</v>
      </c>
      <c r="AB126" s="506">
        <f t="shared" ca="1" si="120"/>
        <v>-1.5679344343251987E-2</v>
      </c>
      <c r="AC126" s="506">
        <f t="shared" ca="1" si="120"/>
        <v>0</v>
      </c>
      <c r="AD126" s="506">
        <f t="shared" ca="1" si="120"/>
        <v>0</v>
      </c>
      <c r="AE126" s="506">
        <f t="shared" ca="1" si="120"/>
        <v>0</v>
      </c>
      <c r="AF126" s="506">
        <f t="shared" ca="1" si="120"/>
        <v>0</v>
      </c>
      <c r="AG126" s="506">
        <f t="shared" ca="1" si="120"/>
        <v>0</v>
      </c>
      <c r="AH126" s="506"/>
      <c r="AI126" s="506"/>
      <c r="AJ126" s="506">
        <f ca="1">IF($C$4=Year1,-PMT(Lookups!$E$17,25,NPV(Lookups!$E$17,G126:AE126),0,1),IF($C$4=Year2,-PMT(Lookups!$F$17,25,NPV(Lookups!$F$17,H126:AF126),0,1),IF($C$4=Year3,-PMT(Lookups!$G$17,25,NPV(Lookups!$G$17,I126:AG126),0,1),-PMT(Lookups!$G$17,27,NPV(Lookups!$G$17,G126:AG126),0,1))))</f>
        <v>-3.5555114615365729E-2</v>
      </c>
      <c r="AK126" s="507"/>
      <c r="AL126" s="507"/>
      <c r="AM126" s="508">
        <f ca="1">SUM(AM123:AM125)</f>
        <v>-1.6767972903556312E-2</v>
      </c>
      <c r="AN126" s="508">
        <f t="shared" ref="AN126:BM126" ca="1" si="121">SUM(AN123:AN125)</f>
        <v>-3.483482577686868E-2</v>
      </c>
      <c r="AO126" s="508">
        <f t="shared" ca="1" si="121"/>
        <v>-5.4495134755794053E-2</v>
      </c>
      <c r="AP126" s="508">
        <f t="shared" ca="1" si="121"/>
        <v>-5.4495134755794053E-2</v>
      </c>
      <c r="AQ126" s="508">
        <f t="shared" ca="1" si="121"/>
        <v>-5.4495134755794053E-2</v>
      </c>
      <c r="AR126" s="508">
        <f t="shared" ca="1" si="121"/>
        <v>-5.4495134755794053E-2</v>
      </c>
      <c r="AS126" s="508">
        <f t="shared" ca="1" si="121"/>
        <v>-5.4495134755794053E-2</v>
      </c>
      <c r="AT126" s="508">
        <f t="shared" ca="1" si="121"/>
        <v>-5.4495134755794053E-2</v>
      </c>
      <c r="AU126" s="508">
        <f t="shared" ca="1" si="121"/>
        <v>-5.4495134755794053E-2</v>
      </c>
      <c r="AV126" s="508">
        <f t="shared" ca="1" si="121"/>
        <v>-5.4495134755794053E-2</v>
      </c>
      <c r="AW126" s="508">
        <f t="shared" ca="1" si="121"/>
        <v>-5.4495134755794053E-2</v>
      </c>
      <c r="AX126" s="508">
        <f t="shared" ca="1" si="121"/>
        <v>-5.4495134755794053E-2</v>
      </c>
      <c r="AY126" s="508">
        <f t="shared" ca="1" si="121"/>
        <v>-5.4495134755794053E-2</v>
      </c>
      <c r="AZ126" s="508">
        <f t="shared" ca="1" si="121"/>
        <v>-5.4495134755794053E-2</v>
      </c>
      <c r="BA126" s="508">
        <f t="shared" ca="1" si="121"/>
        <v>-5.4495134755794053E-2</v>
      </c>
      <c r="BB126" s="508">
        <f t="shared" ca="1" si="121"/>
        <v>-5.4495134755794053E-2</v>
      </c>
      <c r="BC126" s="508">
        <f t="shared" ca="1" si="121"/>
        <v>-5.4495134755794053E-2</v>
      </c>
      <c r="BD126" s="508">
        <f t="shared" ca="1" si="121"/>
        <v>-5.4495134755794053E-2</v>
      </c>
      <c r="BE126" s="508">
        <f t="shared" ca="1" si="121"/>
        <v>-5.4495134755794053E-2</v>
      </c>
      <c r="BF126" s="508">
        <f t="shared" ca="1" si="121"/>
        <v>-5.4495134755794053E-2</v>
      </c>
      <c r="BG126" s="508">
        <f t="shared" ca="1" si="121"/>
        <v>-3.6094953112508148E-2</v>
      </c>
      <c r="BH126" s="508">
        <f t="shared" ca="1" si="121"/>
        <v>-1.7971696999589105E-2</v>
      </c>
      <c r="BI126" s="508">
        <f t="shared" ca="1" si="121"/>
        <v>0</v>
      </c>
      <c r="BJ126" s="508">
        <f t="shared" ca="1" si="121"/>
        <v>0</v>
      </c>
      <c r="BK126" s="508">
        <f t="shared" ca="1" si="121"/>
        <v>0</v>
      </c>
      <c r="BL126" s="508">
        <f t="shared" ca="1" si="121"/>
        <v>0</v>
      </c>
      <c r="BM126" s="508">
        <f t="shared" ca="1" si="121"/>
        <v>0</v>
      </c>
      <c r="BN126" s="508"/>
      <c r="BO126" s="508"/>
      <c r="BP126" s="508">
        <f ca="1">IF($C$4=Year1,-PMT(Lookups!$E$17,25,NPV(Lookups!$E$17,AM126:BK126),0,1),IF($C$4=Year2,-PMT(Lookups!$F$17,25,NPV(Lookups!$F$17,AN126:BL126),0,1),IF($C$4=Year3,-PMT(Lookups!$G$17,25,NPV(Lookups!$G$17,AO126:BM126),0,1),-PMT(Lookups!$G$17,27,NPV(Lookups!$G$17,AM126:BM126),0,1))))</f>
        <v>-4.0978654418631792E-2</v>
      </c>
      <c r="BS126" s="84" t="s">
        <v>232</v>
      </c>
      <c r="BT126" s="51" t="s">
        <v>17</v>
      </c>
    </row>
    <row r="127" spans="1:72" x14ac:dyDescent="0.25">
      <c r="B127" s="243" t="str">
        <f t="shared" si="119"/>
        <v>Low-Income</v>
      </c>
      <c r="C127" s="243" t="str">
        <f t="shared" si="119"/>
        <v>Rates</v>
      </c>
      <c r="D127" s="114" t="s">
        <v>165</v>
      </c>
      <c r="E127" s="86"/>
      <c r="F127" s="86"/>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S127" s="84"/>
      <c r="BT127" s="51" t="s">
        <v>17</v>
      </c>
    </row>
    <row r="128" spans="1:72" x14ac:dyDescent="0.25">
      <c r="A128" s="246"/>
      <c r="B128" s="243" t="str">
        <f t="shared" si="119"/>
        <v>Low-Income</v>
      </c>
      <c r="C128" s="243" t="str">
        <f t="shared" si="119"/>
        <v>Rates</v>
      </c>
      <c r="D128" s="244" t="str">
        <f t="shared" si="119"/>
        <v>Increased Costs and Cost Shifting</v>
      </c>
      <c r="E128" s="84" t="s">
        <v>406</v>
      </c>
      <c r="F128" s="84" t="s">
        <v>182</v>
      </c>
      <c r="G128" s="509">
        <f ca="1">IF($C$4=Lookups!$D$40,SUM(INDIRECT("'Yr1'!"&amp;ADDRESS(ROW(G128),COLUMN(G128))),INDIRECT("'Yr2'!"&amp;ADDRESS(ROW(G128),COLUMN(G128))),INDIRECT("'Yr3'!"&amp;ADDRESS(ROW(G128),COLUMN(G128)))),
IF($C$4=G$7,SUMIFS('EE Inputs'!$L$9:$L$32,'EE Inputs'!$C$9:$C$32,$G$6,'EE Inputs'!$D$9:$D$32,$C$4,'EE Inputs'!$E$9:$E$32,$B128),0))</f>
        <v>6.4686396991858353E-2</v>
      </c>
      <c r="H128" s="509">
        <f ca="1">IF($C$4=Lookups!$D$40,SUM(INDIRECT("'Yr1'!"&amp;ADDRESS(ROW(H128),COLUMN(H128))),INDIRECT("'Yr2'!"&amp;ADDRESS(ROW(H128),COLUMN(H128))),INDIRECT("'Yr3'!"&amp;ADDRESS(ROW(H128),COLUMN(H128)))),
IF($C$4=H$7,SUMIFS('EE Inputs'!$L$9:$L$32,'EE Inputs'!$C$9:$C$32,$G$6,'EE Inputs'!$D$9:$D$32,$C$4,'EE Inputs'!$E$9:$E$32,$B128),0))</f>
        <v>6.6654138295917709E-2</v>
      </c>
      <c r="I128" s="509">
        <f ca="1">IF($C$4=Lookups!$D$40,SUM(INDIRECT("'Yr1'!"&amp;ADDRESS(ROW(I128),COLUMN(I128))),INDIRECT("'Yr2'!"&amp;ADDRESS(ROW(I128),COLUMN(I128))),INDIRECT("'Yr3'!"&amp;ADDRESS(ROW(I128),COLUMN(I128)))),
IF($C$4=I$7,SUMIFS('EE Inputs'!$L$9:$L$32,'EE Inputs'!$C$9:$C$32,$G$6,'EE Inputs'!$D$9:$D$32,$C$4,'EE Inputs'!$E$9:$E$32,$B128),0))</f>
        <v>6.8785811560470811E-2</v>
      </c>
      <c r="J128" s="509">
        <f ca="1">IF($C$4=Lookups!$D$40,SUM(INDIRECT("'Yr1'!"&amp;ADDRESS(ROW(J128),COLUMN(J128))),INDIRECT("'Yr2'!"&amp;ADDRESS(ROW(J128),COLUMN(J128))),INDIRECT("'Yr3'!"&amp;ADDRESS(ROW(J128),COLUMN(J128)))),
IF($C$4=J$7,SUMIFS('EE Inputs'!$L$9:$L$32,'EE Inputs'!$C$9:$C$32,$G$6,'EE Inputs'!$D$9:$D$32,$C$4,'EE Inputs'!$E$9:$E$32,$B128),0))</f>
        <v>0</v>
      </c>
      <c r="K128" s="509">
        <f ca="1">IF($C$4=Lookups!$D$40,SUM(INDIRECT("'Yr1'!"&amp;ADDRESS(ROW(K128),COLUMN(K128))),INDIRECT("'Yr2'!"&amp;ADDRESS(ROW(K128),COLUMN(K128))),INDIRECT("'Yr3'!"&amp;ADDRESS(ROW(K128),COLUMN(K128)))),
IF($C$4=K$7,SUMIFS('EE Inputs'!$L$9:$L$32,'EE Inputs'!$C$9:$C$32,$G$6,'EE Inputs'!$D$9:$D$32,$C$4,'EE Inputs'!$E$9:$E$32,$B128),0))</f>
        <v>0</v>
      </c>
      <c r="L128" s="509">
        <f ca="1">IF($C$4=Lookups!$D$40,SUM(INDIRECT("'Yr1'!"&amp;ADDRESS(ROW(L128),COLUMN(L128))),INDIRECT("'Yr2'!"&amp;ADDRESS(ROW(L128),COLUMN(L128))),INDIRECT("'Yr3'!"&amp;ADDRESS(ROW(L128),COLUMN(L128)))),
IF($C$4=L$7,SUMIFS('EE Inputs'!$L$9:$L$32,'EE Inputs'!$C$9:$C$32,$G$6,'EE Inputs'!$D$9:$D$32,$C$4,'EE Inputs'!$E$9:$E$32,$B128),0))</f>
        <v>0</v>
      </c>
      <c r="M128" s="509">
        <f ca="1">IF($C$4=Lookups!$D$40,SUM(INDIRECT("'Yr1'!"&amp;ADDRESS(ROW(M128),COLUMN(M128))),INDIRECT("'Yr2'!"&amp;ADDRESS(ROW(M128),COLUMN(M128))),INDIRECT("'Yr3'!"&amp;ADDRESS(ROW(M128),COLUMN(M128)))),
IF($C$4=M$7,SUMIFS('EE Inputs'!$L$9:$L$32,'EE Inputs'!$C$9:$C$32,$G$6,'EE Inputs'!$D$9:$D$32,$C$4,'EE Inputs'!$E$9:$E$32,$B128),0))</f>
        <v>0</v>
      </c>
      <c r="N128" s="509">
        <f ca="1">IF($C$4=Lookups!$D$40,SUM(INDIRECT("'Yr1'!"&amp;ADDRESS(ROW(N128),COLUMN(N128))),INDIRECT("'Yr2'!"&amp;ADDRESS(ROW(N128),COLUMN(N128))),INDIRECT("'Yr3'!"&amp;ADDRESS(ROW(N128),COLUMN(N128)))),
IF($C$4=N$7,SUMIFS('EE Inputs'!$L$9:$L$32,'EE Inputs'!$C$9:$C$32,$G$6,'EE Inputs'!$D$9:$D$32,$C$4,'EE Inputs'!$E$9:$E$32,$B128),0))</f>
        <v>0</v>
      </c>
      <c r="O128" s="509">
        <f ca="1">IF($C$4=Lookups!$D$40,SUM(INDIRECT("'Yr1'!"&amp;ADDRESS(ROW(O128),COLUMN(O128))),INDIRECT("'Yr2'!"&amp;ADDRESS(ROW(O128),COLUMN(O128))),INDIRECT("'Yr3'!"&amp;ADDRESS(ROW(O128),COLUMN(O128)))),
IF($C$4=O$7,SUMIFS('EE Inputs'!$L$9:$L$32,'EE Inputs'!$C$9:$C$32,$G$6,'EE Inputs'!$D$9:$D$32,$C$4,'EE Inputs'!$E$9:$E$32,$B128),0))</f>
        <v>0</v>
      </c>
      <c r="P128" s="509">
        <f ca="1">IF($C$4=Lookups!$D$40,SUM(INDIRECT("'Yr1'!"&amp;ADDRESS(ROW(P128),COLUMN(P128))),INDIRECT("'Yr2'!"&amp;ADDRESS(ROW(P128),COLUMN(P128))),INDIRECT("'Yr3'!"&amp;ADDRESS(ROW(P128),COLUMN(P128)))),
IF($C$4=P$7,SUMIFS('EE Inputs'!$L$9:$L$32,'EE Inputs'!$C$9:$C$32,$G$6,'EE Inputs'!$D$9:$D$32,$C$4,'EE Inputs'!$E$9:$E$32,$B128),0))</f>
        <v>0</v>
      </c>
      <c r="Q128" s="509">
        <f ca="1">IF($C$4=Lookups!$D$40,SUM(INDIRECT("'Yr1'!"&amp;ADDRESS(ROW(Q128),COLUMN(Q128))),INDIRECT("'Yr2'!"&amp;ADDRESS(ROW(Q128),COLUMN(Q128))),INDIRECT("'Yr3'!"&amp;ADDRESS(ROW(Q128),COLUMN(Q128)))),
IF($C$4=Q$7,SUMIFS('EE Inputs'!$L$9:$L$32,'EE Inputs'!$C$9:$C$32,$G$6,'EE Inputs'!$D$9:$D$32,$C$4,'EE Inputs'!$E$9:$E$32,$B128),0))</f>
        <v>0</v>
      </c>
      <c r="R128" s="509">
        <f ca="1">IF($C$4=Lookups!$D$40,SUM(INDIRECT("'Yr1'!"&amp;ADDRESS(ROW(R128),COLUMN(R128))),INDIRECT("'Yr2'!"&amp;ADDRESS(ROW(R128),COLUMN(R128))),INDIRECT("'Yr3'!"&amp;ADDRESS(ROW(R128),COLUMN(R128)))),
IF($C$4=R$7,SUMIFS('EE Inputs'!$L$9:$L$32,'EE Inputs'!$C$9:$C$32,$G$6,'EE Inputs'!$D$9:$D$32,$C$4,'EE Inputs'!$E$9:$E$32,$B128),0))</f>
        <v>0</v>
      </c>
      <c r="S128" s="509">
        <f ca="1">IF($C$4=Lookups!$D$40,SUM(INDIRECT("'Yr1'!"&amp;ADDRESS(ROW(S128),COLUMN(S128))),INDIRECT("'Yr2'!"&amp;ADDRESS(ROW(S128),COLUMN(S128))),INDIRECT("'Yr3'!"&amp;ADDRESS(ROW(S128),COLUMN(S128)))),
IF($C$4=S$7,SUMIFS('EE Inputs'!$L$9:$L$32,'EE Inputs'!$C$9:$C$32,$G$6,'EE Inputs'!$D$9:$D$32,$C$4,'EE Inputs'!$E$9:$E$32,$B128),0))</f>
        <v>0</v>
      </c>
      <c r="T128" s="509">
        <f ca="1">IF($C$4=Lookups!$D$40,SUM(INDIRECT("'Yr1'!"&amp;ADDRESS(ROW(T128),COLUMN(T128))),INDIRECT("'Yr2'!"&amp;ADDRESS(ROW(T128),COLUMN(T128))),INDIRECT("'Yr3'!"&amp;ADDRESS(ROW(T128),COLUMN(T128)))),
IF($C$4=T$7,SUMIFS('EE Inputs'!$L$9:$L$32,'EE Inputs'!$C$9:$C$32,$G$6,'EE Inputs'!$D$9:$D$32,$C$4,'EE Inputs'!$E$9:$E$32,$B128),0))</f>
        <v>0</v>
      </c>
      <c r="U128" s="509">
        <f ca="1">IF($C$4=Lookups!$D$40,SUM(INDIRECT("'Yr1'!"&amp;ADDRESS(ROW(U128),COLUMN(U128))),INDIRECT("'Yr2'!"&amp;ADDRESS(ROW(U128),COLUMN(U128))),INDIRECT("'Yr3'!"&amp;ADDRESS(ROW(U128),COLUMN(U128)))),
IF($C$4=U$7,SUMIFS('EE Inputs'!$L$9:$L$32,'EE Inputs'!$C$9:$C$32,$G$6,'EE Inputs'!$D$9:$D$32,$C$4,'EE Inputs'!$E$9:$E$32,$B128),0))</f>
        <v>0</v>
      </c>
      <c r="V128" s="509">
        <f ca="1">IF($C$4=Lookups!$D$40,SUM(INDIRECT("'Yr1'!"&amp;ADDRESS(ROW(V128),COLUMN(V128))),INDIRECT("'Yr2'!"&amp;ADDRESS(ROW(V128),COLUMN(V128))),INDIRECT("'Yr3'!"&amp;ADDRESS(ROW(V128),COLUMN(V128)))),
IF($C$4=V$7,SUMIFS('EE Inputs'!$L$9:$L$32,'EE Inputs'!$C$9:$C$32,$G$6,'EE Inputs'!$D$9:$D$32,$C$4,'EE Inputs'!$E$9:$E$32,$B128),0))</f>
        <v>0</v>
      </c>
      <c r="W128" s="509">
        <f ca="1">IF($C$4=Lookups!$D$40,SUM(INDIRECT("'Yr1'!"&amp;ADDRESS(ROW(W128),COLUMN(W128))),INDIRECT("'Yr2'!"&amp;ADDRESS(ROW(W128),COLUMN(W128))),INDIRECT("'Yr3'!"&amp;ADDRESS(ROW(W128),COLUMN(W128)))),
IF($C$4=W$7,SUMIFS('EE Inputs'!$L$9:$L$32,'EE Inputs'!$C$9:$C$32,$G$6,'EE Inputs'!$D$9:$D$32,$C$4,'EE Inputs'!$E$9:$E$32,$B128),0))</f>
        <v>0</v>
      </c>
      <c r="X128" s="509">
        <f ca="1">IF($C$4=Lookups!$D$40,SUM(INDIRECT("'Yr1'!"&amp;ADDRESS(ROW(X128),COLUMN(X128))),INDIRECT("'Yr2'!"&amp;ADDRESS(ROW(X128),COLUMN(X128))),INDIRECT("'Yr3'!"&amp;ADDRESS(ROW(X128),COLUMN(X128)))),
IF($C$4=X$7,SUMIFS('EE Inputs'!$L$9:$L$32,'EE Inputs'!$C$9:$C$32,$G$6,'EE Inputs'!$D$9:$D$32,$C$4,'EE Inputs'!$E$9:$E$32,$B128),0))</f>
        <v>0</v>
      </c>
      <c r="Y128" s="509">
        <f ca="1">IF($C$4=Lookups!$D$40,SUM(INDIRECT("'Yr1'!"&amp;ADDRESS(ROW(Y128),COLUMN(Y128))),INDIRECT("'Yr2'!"&amp;ADDRESS(ROW(Y128),COLUMN(Y128))),INDIRECT("'Yr3'!"&amp;ADDRESS(ROW(Y128),COLUMN(Y128)))),
IF($C$4=Y$7,SUMIFS('EE Inputs'!$L$9:$L$32,'EE Inputs'!$C$9:$C$32,$G$6,'EE Inputs'!$D$9:$D$32,$C$4,'EE Inputs'!$E$9:$E$32,$B128),0))</f>
        <v>0</v>
      </c>
      <c r="Z128" s="509">
        <f ca="1">IF($C$4=Lookups!$D$40,SUM(INDIRECT("'Yr1'!"&amp;ADDRESS(ROW(Z128),COLUMN(Z128))),INDIRECT("'Yr2'!"&amp;ADDRESS(ROW(Z128),COLUMN(Z128))),INDIRECT("'Yr3'!"&amp;ADDRESS(ROW(Z128),COLUMN(Z128)))),
IF($C$4=Z$7,SUMIFS('EE Inputs'!$L$9:$L$32,'EE Inputs'!$C$9:$C$32,$G$6,'EE Inputs'!$D$9:$D$32,$C$4,'EE Inputs'!$E$9:$E$32,$B128),0))</f>
        <v>0</v>
      </c>
      <c r="AA128" s="509">
        <f ca="1">IF($C$4=Lookups!$D$40,SUM(INDIRECT("'Yr1'!"&amp;ADDRESS(ROW(AA128),COLUMN(AA128))),INDIRECT("'Yr2'!"&amp;ADDRESS(ROW(AA128),COLUMN(AA128))),INDIRECT("'Yr3'!"&amp;ADDRESS(ROW(AA128),COLUMN(AA128)))),
IF($C$4=AA$7,SUMIFS('EE Inputs'!$L$9:$L$32,'EE Inputs'!$C$9:$C$32,$G$6,'EE Inputs'!$D$9:$D$32,$C$4,'EE Inputs'!$E$9:$E$32,$B128),0))</f>
        <v>0</v>
      </c>
      <c r="AB128" s="509">
        <f ca="1">IF($C$4=Lookups!$D$40,SUM(INDIRECT("'Yr1'!"&amp;ADDRESS(ROW(AB128),COLUMN(AB128))),INDIRECT("'Yr2'!"&amp;ADDRESS(ROW(AB128),COLUMN(AB128))),INDIRECT("'Yr3'!"&amp;ADDRESS(ROW(AB128),COLUMN(AB128)))),
IF($C$4=AB$7,SUMIFS('EE Inputs'!$L$9:$L$32,'EE Inputs'!$C$9:$C$32,$G$6,'EE Inputs'!$D$9:$D$32,$C$4,'EE Inputs'!$E$9:$E$32,$B128),0))</f>
        <v>0</v>
      </c>
      <c r="AC128" s="509">
        <f ca="1">IF($C$4=Lookups!$D$40,SUM(INDIRECT("'Yr1'!"&amp;ADDRESS(ROW(AC128),COLUMN(AC128))),INDIRECT("'Yr2'!"&amp;ADDRESS(ROW(AC128),COLUMN(AC128))),INDIRECT("'Yr3'!"&amp;ADDRESS(ROW(AC128),COLUMN(AC128)))),
IF($C$4=AC$7,SUMIFS('EE Inputs'!$L$9:$L$32,'EE Inputs'!$C$9:$C$32,$G$6,'EE Inputs'!$D$9:$D$32,$C$4,'EE Inputs'!$E$9:$E$32,$B128),0))</f>
        <v>0</v>
      </c>
      <c r="AD128" s="509">
        <f ca="1">IF($C$4=Lookups!$D$40,SUM(INDIRECT("'Yr1'!"&amp;ADDRESS(ROW(AD128),COLUMN(AD128))),INDIRECT("'Yr2'!"&amp;ADDRESS(ROW(AD128),COLUMN(AD128))),INDIRECT("'Yr3'!"&amp;ADDRESS(ROW(AD128),COLUMN(AD128)))),
IF($C$4=AD$7,SUMIFS('EE Inputs'!$L$9:$L$32,'EE Inputs'!$C$9:$C$32,$G$6,'EE Inputs'!$D$9:$D$32,$C$4,'EE Inputs'!$E$9:$E$32,$B128),0))</f>
        <v>0</v>
      </c>
      <c r="AE128" s="509">
        <f ca="1">IF($C$4=Lookups!$D$40,SUM(INDIRECT("'Yr1'!"&amp;ADDRESS(ROW(AE128),COLUMN(AE128))),INDIRECT("'Yr2'!"&amp;ADDRESS(ROW(AE128),COLUMN(AE128))),INDIRECT("'Yr3'!"&amp;ADDRESS(ROW(AE128),COLUMN(AE128)))),
IF($C$4=AE$7,SUMIFS('EE Inputs'!$L$9:$L$32,'EE Inputs'!$C$9:$C$32,$G$6,'EE Inputs'!$D$9:$D$32,$C$4,'EE Inputs'!$E$9:$E$32,$B128),0))</f>
        <v>0</v>
      </c>
      <c r="AF128" s="509">
        <f ca="1">IF($C$4=Lookups!$D$40,SUM(INDIRECT("'Yr1'!"&amp;ADDRESS(ROW(AF128),COLUMN(AF128))),INDIRECT("'Yr2'!"&amp;ADDRESS(ROW(AF128),COLUMN(AF128))),INDIRECT("'Yr3'!"&amp;ADDRESS(ROW(AF128),COLUMN(AF128)))),
IF($C$4=AF$7,SUMIFS('EE Inputs'!$L$9:$L$32,'EE Inputs'!$C$9:$C$32,$G$6,'EE Inputs'!$D$9:$D$32,$C$4,'EE Inputs'!$E$9:$E$32,$B128),0))</f>
        <v>0</v>
      </c>
      <c r="AG128" s="509">
        <f ca="1">IF($C$4=Lookups!$D$40,SUM(INDIRECT("'Yr1'!"&amp;ADDRESS(ROW(AG128),COLUMN(AG128))),INDIRECT("'Yr2'!"&amp;ADDRESS(ROW(AG128),COLUMN(AG128))),INDIRECT("'Yr3'!"&amp;ADDRESS(ROW(AG128),COLUMN(AG128)))),
IF($C$4=AG$7,SUMIFS('EE Inputs'!$L$9:$L$32,'EE Inputs'!$C$9:$C$32,$G$6,'EE Inputs'!$D$9:$D$32,$C$4,'EE Inputs'!$E$9:$E$32,$B128),0))</f>
        <v>0</v>
      </c>
      <c r="AH128" s="509"/>
      <c r="AI128" s="509"/>
      <c r="AJ128" s="509">
        <f ca="1">IF($C$4=Year1,-PMT(Lookups!$E$17,25,NPV(Lookups!$E$17,G128:AE128),0,1),IF($C$4=Year2,-PMT(Lookups!$F$17,25,NPV(Lookups!$F$17,H128:AF128),0,1),IF($C$4=Year3,-PMT(Lookups!$G$17,25,NPV(Lookups!$G$17,I128:AG128),0,1),-PMT(Lookups!$G$17,27,NPV(Lookups!$G$17,G128:AG128),0,1))))</f>
        <v>8.5969511791399115E-3</v>
      </c>
      <c r="AK128" s="507"/>
      <c r="AL128" s="507"/>
      <c r="AM128" s="508">
        <f ca="1">IF($C$4=Lookups!$D$40,SUM(INDIRECT("'Yr1'!"&amp;ADDRESS(ROW(AM128),COLUMN(AM128))),INDIRECT("'Yr2'!"&amp;ADDRESS(ROW(AM128),COLUMN(AM128))),INDIRECT("'Yr3'!"&amp;ADDRESS(ROW(AM128),COLUMN(AM128)))),
IF($C$4=AM$7,SUMIFS('EE Inputs'!$L$9:$L$32,'EE Inputs'!$C$9:$C$32,$AM$6,'EE Inputs'!$D$9:$D$32,$C$4,'EE Inputs'!$E$9:$E$32,$B128),0))</f>
        <v>7.7623676390230018E-2</v>
      </c>
      <c r="AN128" s="508">
        <f ca="1">IF($C$4=Lookups!$D$40,SUM(INDIRECT("'Yr1'!"&amp;ADDRESS(ROW(AN128),COLUMN(AN128))),INDIRECT("'Yr2'!"&amp;ADDRESS(ROW(AN128),COLUMN(AN128))),INDIRECT("'Yr3'!"&amp;ADDRESS(ROW(AN128),COLUMN(AN128)))),
IF($C$4=AN$7,SUMIFS('EE Inputs'!$L$9:$L$32,'EE Inputs'!$C$9:$C$32,$AM$6,'EE Inputs'!$D$9:$D$32,$C$4,'EE Inputs'!$E$9:$E$32,$B128),0))</f>
        <v>7.9984965955101253E-2</v>
      </c>
      <c r="AO128" s="508">
        <f ca="1">IF($C$4=Lookups!$D$40,SUM(INDIRECT("'Yr1'!"&amp;ADDRESS(ROW(AO128),COLUMN(AO128))),INDIRECT("'Yr2'!"&amp;ADDRESS(ROW(AO128),COLUMN(AO128))),INDIRECT("'Yr3'!"&amp;ADDRESS(ROW(AO128),COLUMN(AO128)))),
IF($C$4=AO$7,SUMIFS('EE Inputs'!$L$9:$L$32,'EE Inputs'!$C$9:$C$32,$AM$6,'EE Inputs'!$D$9:$D$32,$C$4,'EE Inputs'!$E$9:$E$32,$B128),0))</f>
        <v>8.254297387256497E-2</v>
      </c>
      <c r="AP128" s="508">
        <f ca="1">IF($C$4=Lookups!$D$40,SUM(INDIRECT("'Yr1'!"&amp;ADDRESS(ROW(AP128),COLUMN(AP128))),INDIRECT("'Yr2'!"&amp;ADDRESS(ROW(AP128),COLUMN(AP128))),INDIRECT("'Yr3'!"&amp;ADDRESS(ROW(AP128),COLUMN(AP128)))),
IF($C$4=AP$7,SUMIFS('EE Inputs'!$L$9:$L$32,'EE Inputs'!$C$9:$C$32,$AM$6,'EE Inputs'!$D$9:$D$32,$C$4,'EE Inputs'!$E$9:$E$32,$B128),0))</f>
        <v>0</v>
      </c>
      <c r="AQ128" s="508">
        <f ca="1">IF($C$4=Lookups!$D$40,SUM(INDIRECT("'Yr1'!"&amp;ADDRESS(ROW(AQ128),COLUMN(AQ128))),INDIRECT("'Yr2'!"&amp;ADDRESS(ROW(AQ128),COLUMN(AQ128))),INDIRECT("'Yr3'!"&amp;ADDRESS(ROW(AQ128),COLUMN(AQ128)))),
IF($C$4=AQ$7,SUMIFS('EE Inputs'!$L$9:$L$32,'EE Inputs'!$C$9:$C$32,$AM$6,'EE Inputs'!$D$9:$D$32,$C$4,'EE Inputs'!$E$9:$E$32,$B128),0))</f>
        <v>0</v>
      </c>
      <c r="AR128" s="508">
        <f ca="1">IF($C$4=Lookups!$D$40,SUM(INDIRECT("'Yr1'!"&amp;ADDRESS(ROW(AR128),COLUMN(AR128))),INDIRECT("'Yr2'!"&amp;ADDRESS(ROW(AR128),COLUMN(AR128))),INDIRECT("'Yr3'!"&amp;ADDRESS(ROW(AR128),COLUMN(AR128)))),
IF($C$4=AR$7,SUMIFS('EE Inputs'!$L$9:$L$32,'EE Inputs'!$C$9:$C$32,$AM$6,'EE Inputs'!$D$9:$D$32,$C$4,'EE Inputs'!$E$9:$E$32,$B128),0))</f>
        <v>0</v>
      </c>
      <c r="AS128" s="508">
        <f ca="1">IF($C$4=Lookups!$D$40,SUM(INDIRECT("'Yr1'!"&amp;ADDRESS(ROW(AS128),COLUMN(AS128))),INDIRECT("'Yr2'!"&amp;ADDRESS(ROW(AS128),COLUMN(AS128))),INDIRECT("'Yr3'!"&amp;ADDRESS(ROW(AS128),COLUMN(AS128)))),
IF($C$4=AS$7,SUMIFS('EE Inputs'!$L$9:$L$32,'EE Inputs'!$C$9:$C$32,$AM$6,'EE Inputs'!$D$9:$D$32,$C$4,'EE Inputs'!$E$9:$E$32,$B128),0))</f>
        <v>0</v>
      </c>
      <c r="AT128" s="508">
        <f ca="1">IF($C$4=Lookups!$D$40,SUM(INDIRECT("'Yr1'!"&amp;ADDRESS(ROW(AT128),COLUMN(AT128))),INDIRECT("'Yr2'!"&amp;ADDRESS(ROW(AT128),COLUMN(AT128))),INDIRECT("'Yr3'!"&amp;ADDRESS(ROW(AT128),COLUMN(AT128)))),
IF($C$4=AT$7,SUMIFS('EE Inputs'!$L$9:$L$32,'EE Inputs'!$C$9:$C$32,$AM$6,'EE Inputs'!$D$9:$D$32,$C$4,'EE Inputs'!$E$9:$E$32,$B128),0))</f>
        <v>0</v>
      </c>
      <c r="AU128" s="508">
        <f ca="1">IF($C$4=Lookups!$D$40,SUM(INDIRECT("'Yr1'!"&amp;ADDRESS(ROW(AU128),COLUMN(AU128))),INDIRECT("'Yr2'!"&amp;ADDRESS(ROW(AU128),COLUMN(AU128))),INDIRECT("'Yr3'!"&amp;ADDRESS(ROW(AU128),COLUMN(AU128)))),
IF($C$4=AU$7,SUMIFS('EE Inputs'!$L$9:$L$32,'EE Inputs'!$C$9:$C$32,$AM$6,'EE Inputs'!$D$9:$D$32,$C$4,'EE Inputs'!$E$9:$E$32,$B128),0))</f>
        <v>0</v>
      </c>
      <c r="AV128" s="508">
        <f ca="1">IF($C$4=Lookups!$D$40,SUM(INDIRECT("'Yr1'!"&amp;ADDRESS(ROW(AV128),COLUMN(AV128))),INDIRECT("'Yr2'!"&amp;ADDRESS(ROW(AV128),COLUMN(AV128))),INDIRECT("'Yr3'!"&amp;ADDRESS(ROW(AV128),COLUMN(AV128)))),
IF($C$4=AV$7,SUMIFS('EE Inputs'!$L$9:$L$32,'EE Inputs'!$C$9:$C$32,$AM$6,'EE Inputs'!$D$9:$D$32,$C$4,'EE Inputs'!$E$9:$E$32,$B128),0))</f>
        <v>0</v>
      </c>
      <c r="AW128" s="508">
        <f ca="1">IF($C$4=Lookups!$D$40,SUM(INDIRECT("'Yr1'!"&amp;ADDRESS(ROW(AW128),COLUMN(AW128))),INDIRECT("'Yr2'!"&amp;ADDRESS(ROW(AW128),COLUMN(AW128))),INDIRECT("'Yr3'!"&amp;ADDRESS(ROW(AW128),COLUMN(AW128)))),
IF($C$4=AW$7,SUMIFS('EE Inputs'!$L$9:$L$32,'EE Inputs'!$C$9:$C$32,$AM$6,'EE Inputs'!$D$9:$D$32,$C$4,'EE Inputs'!$E$9:$E$32,$B128),0))</f>
        <v>0</v>
      </c>
      <c r="AX128" s="508">
        <f ca="1">IF($C$4=Lookups!$D$40,SUM(INDIRECT("'Yr1'!"&amp;ADDRESS(ROW(AX128),COLUMN(AX128))),INDIRECT("'Yr2'!"&amp;ADDRESS(ROW(AX128),COLUMN(AX128))),INDIRECT("'Yr3'!"&amp;ADDRESS(ROW(AX128),COLUMN(AX128)))),
IF($C$4=AX$7,SUMIFS('EE Inputs'!$L$9:$L$32,'EE Inputs'!$C$9:$C$32,$AM$6,'EE Inputs'!$D$9:$D$32,$C$4,'EE Inputs'!$E$9:$E$32,$B128),0))</f>
        <v>0</v>
      </c>
      <c r="AY128" s="508">
        <f ca="1">IF($C$4=Lookups!$D$40,SUM(INDIRECT("'Yr1'!"&amp;ADDRESS(ROW(AY128),COLUMN(AY128))),INDIRECT("'Yr2'!"&amp;ADDRESS(ROW(AY128),COLUMN(AY128))),INDIRECT("'Yr3'!"&amp;ADDRESS(ROW(AY128),COLUMN(AY128)))),
IF($C$4=AY$7,SUMIFS('EE Inputs'!$L$9:$L$32,'EE Inputs'!$C$9:$C$32,$AM$6,'EE Inputs'!$D$9:$D$32,$C$4,'EE Inputs'!$E$9:$E$32,$B128),0))</f>
        <v>0</v>
      </c>
      <c r="AZ128" s="508">
        <f ca="1">IF($C$4=Lookups!$D$40,SUM(INDIRECT("'Yr1'!"&amp;ADDRESS(ROW(AZ128),COLUMN(AZ128))),INDIRECT("'Yr2'!"&amp;ADDRESS(ROW(AZ128),COLUMN(AZ128))),INDIRECT("'Yr3'!"&amp;ADDRESS(ROW(AZ128),COLUMN(AZ128)))),
IF($C$4=AZ$7,SUMIFS('EE Inputs'!$L$9:$L$32,'EE Inputs'!$C$9:$C$32,$AM$6,'EE Inputs'!$D$9:$D$32,$C$4,'EE Inputs'!$E$9:$E$32,$B128),0))</f>
        <v>0</v>
      </c>
      <c r="BA128" s="508">
        <f ca="1">IF($C$4=Lookups!$D$40,SUM(INDIRECT("'Yr1'!"&amp;ADDRESS(ROW(BA128),COLUMN(BA128))),INDIRECT("'Yr2'!"&amp;ADDRESS(ROW(BA128),COLUMN(BA128))),INDIRECT("'Yr3'!"&amp;ADDRESS(ROW(BA128),COLUMN(BA128)))),
IF($C$4=BA$7,SUMIFS('EE Inputs'!$L$9:$L$32,'EE Inputs'!$C$9:$C$32,$AM$6,'EE Inputs'!$D$9:$D$32,$C$4,'EE Inputs'!$E$9:$E$32,$B128),0))</f>
        <v>0</v>
      </c>
      <c r="BB128" s="508">
        <f ca="1">IF($C$4=Lookups!$D$40,SUM(INDIRECT("'Yr1'!"&amp;ADDRESS(ROW(BB128),COLUMN(BB128))),INDIRECT("'Yr2'!"&amp;ADDRESS(ROW(BB128),COLUMN(BB128))),INDIRECT("'Yr3'!"&amp;ADDRESS(ROW(BB128),COLUMN(BB128)))),
IF($C$4=BB$7,SUMIFS('EE Inputs'!$L$9:$L$32,'EE Inputs'!$C$9:$C$32,$AM$6,'EE Inputs'!$D$9:$D$32,$C$4,'EE Inputs'!$E$9:$E$32,$B128),0))</f>
        <v>0</v>
      </c>
      <c r="BC128" s="508">
        <f ca="1">IF($C$4=Lookups!$D$40,SUM(INDIRECT("'Yr1'!"&amp;ADDRESS(ROW(BC128),COLUMN(BC128))),INDIRECT("'Yr2'!"&amp;ADDRESS(ROW(BC128),COLUMN(BC128))),INDIRECT("'Yr3'!"&amp;ADDRESS(ROW(BC128),COLUMN(BC128)))),
IF($C$4=BC$7,SUMIFS('EE Inputs'!$L$9:$L$32,'EE Inputs'!$C$9:$C$32,$AM$6,'EE Inputs'!$D$9:$D$32,$C$4,'EE Inputs'!$E$9:$E$32,$B128),0))</f>
        <v>0</v>
      </c>
      <c r="BD128" s="508">
        <f ca="1">IF($C$4=Lookups!$D$40,SUM(INDIRECT("'Yr1'!"&amp;ADDRESS(ROW(BD128),COLUMN(BD128))),INDIRECT("'Yr2'!"&amp;ADDRESS(ROW(BD128),COLUMN(BD128))),INDIRECT("'Yr3'!"&amp;ADDRESS(ROW(BD128),COLUMN(BD128)))),
IF($C$4=BD$7,SUMIFS('EE Inputs'!$L$9:$L$32,'EE Inputs'!$C$9:$C$32,$AM$6,'EE Inputs'!$D$9:$D$32,$C$4,'EE Inputs'!$E$9:$E$32,$B128),0))</f>
        <v>0</v>
      </c>
      <c r="BE128" s="508">
        <f ca="1">IF($C$4=Lookups!$D$40,SUM(INDIRECT("'Yr1'!"&amp;ADDRESS(ROW(BE128),COLUMN(BE128))),INDIRECT("'Yr2'!"&amp;ADDRESS(ROW(BE128),COLUMN(BE128))),INDIRECT("'Yr3'!"&amp;ADDRESS(ROW(BE128),COLUMN(BE128)))),
IF($C$4=BE$7,SUMIFS('EE Inputs'!$L$9:$L$32,'EE Inputs'!$C$9:$C$32,$AM$6,'EE Inputs'!$D$9:$D$32,$C$4,'EE Inputs'!$E$9:$E$32,$B128),0))</f>
        <v>0</v>
      </c>
      <c r="BF128" s="508">
        <f ca="1">IF($C$4=Lookups!$D$40,SUM(INDIRECT("'Yr1'!"&amp;ADDRESS(ROW(BF128),COLUMN(BF128))),INDIRECT("'Yr2'!"&amp;ADDRESS(ROW(BF128),COLUMN(BF128))),INDIRECT("'Yr3'!"&amp;ADDRESS(ROW(BF128),COLUMN(BF128)))),
IF($C$4=BF$7,SUMIFS('EE Inputs'!$L$9:$L$32,'EE Inputs'!$C$9:$C$32,$AM$6,'EE Inputs'!$D$9:$D$32,$C$4,'EE Inputs'!$E$9:$E$32,$B128),0))</f>
        <v>0</v>
      </c>
      <c r="BG128" s="508">
        <f ca="1">IF($C$4=Lookups!$D$40,SUM(INDIRECT("'Yr1'!"&amp;ADDRESS(ROW(BG128),COLUMN(BG128))),INDIRECT("'Yr2'!"&amp;ADDRESS(ROW(BG128),COLUMN(BG128))),INDIRECT("'Yr3'!"&amp;ADDRESS(ROW(BG128),COLUMN(BG128)))),
IF($C$4=BG$7,SUMIFS('EE Inputs'!$L$9:$L$32,'EE Inputs'!$C$9:$C$32,$AM$6,'EE Inputs'!$D$9:$D$32,$C$4,'EE Inputs'!$E$9:$E$32,$B128),0))</f>
        <v>0</v>
      </c>
      <c r="BH128" s="508">
        <f ca="1">IF($C$4=Lookups!$D$40,SUM(INDIRECT("'Yr1'!"&amp;ADDRESS(ROW(BH128),COLUMN(BH128))),INDIRECT("'Yr2'!"&amp;ADDRESS(ROW(BH128),COLUMN(BH128))),INDIRECT("'Yr3'!"&amp;ADDRESS(ROW(BH128),COLUMN(BH128)))),
IF($C$4=BH$7,SUMIFS('EE Inputs'!$L$9:$L$32,'EE Inputs'!$C$9:$C$32,$AM$6,'EE Inputs'!$D$9:$D$32,$C$4,'EE Inputs'!$E$9:$E$32,$B128),0))</f>
        <v>0</v>
      </c>
      <c r="BI128" s="508">
        <f ca="1">IF($C$4=Lookups!$D$40,SUM(INDIRECT("'Yr1'!"&amp;ADDRESS(ROW(BI128),COLUMN(BI128))),INDIRECT("'Yr2'!"&amp;ADDRESS(ROW(BI128),COLUMN(BI128))),INDIRECT("'Yr3'!"&amp;ADDRESS(ROW(BI128),COLUMN(BI128)))),
IF($C$4=BI$7,SUMIFS('EE Inputs'!$L$9:$L$32,'EE Inputs'!$C$9:$C$32,$AM$6,'EE Inputs'!$D$9:$D$32,$C$4,'EE Inputs'!$E$9:$E$32,$B128),0))</f>
        <v>0</v>
      </c>
      <c r="BJ128" s="508">
        <f ca="1">IF($C$4=Lookups!$D$40,SUM(INDIRECT("'Yr1'!"&amp;ADDRESS(ROW(BJ128),COLUMN(BJ128))),INDIRECT("'Yr2'!"&amp;ADDRESS(ROW(BJ128),COLUMN(BJ128))),INDIRECT("'Yr3'!"&amp;ADDRESS(ROW(BJ128),COLUMN(BJ128)))),
IF($C$4=BJ$7,SUMIFS('EE Inputs'!$L$9:$L$32,'EE Inputs'!$C$9:$C$32,$AM$6,'EE Inputs'!$D$9:$D$32,$C$4,'EE Inputs'!$E$9:$E$32,$B128),0))</f>
        <v>0</v>
      </c>
      <c r="BK128" s="508">
        <f ca="1">IF($C$4=Lookups!$D$40,SUM(INDIRECT("'Yr1'!"&amp;ADDRESS(ROW(BK128),COLUMN(BK128))),INDIRECT("'Yr2'!"&amp;ADDRESS(ROW(BK128),COLUMN(BK128))),INDIRECT("'Yr3'!"&amp;ADDRESS(ROW(BK128),COLUMN(BK128)))),
IF($C$4=BK$7,SUMIFS('EE Inputs'!$L$9:$L$32,'EE Inputs'!$C$9:$C$32,$AM$6,'EE Inputs'!$D$9:$D$32,$C$4,'EE Inputs'!$E$9:$E$32,$B128),0))</f>
        <v>0</v>
      </c>
      <c r="BL128" s="508">
        <f ca="1">IF($C$4=Lookups!$D$40,SUM(INDIRECT("'Yr1'!"&amp;ADDRESS(ROW(BL128),COLUMN(BL128))),INDIRECT("'Yr2'!"&amp;ADDRESS(ROW(BL128),COLUMN(BL128))),INDIRECT("'Yr3'!"&amp;ADDRESS(ROW(BL128),COLUMN(BL128)))),
IF($C$4=BL$7,SUMIFS('EE Inputs'!$L$9:$L$32,'EE Inputs'!$C$9:$C$32,$AM$6,'EE Inputs'!$D$9:$D$32,$C$4,'EE Inputs'!$E$9:$E$32,$B128),0))</f>
        <v>0</v>
      </c>
      <c r="BM128" s="508">
        <f ca="1">IF($C$4=Lookups!$D$40,SUM(INDIRECT("'Yr1'!"&amp;ADDRESS(ROW(BM128),COLUMN(BM128))),INDIRECT("'Yr2'!"&amp;ADDRESS(ROW(BM128),COLUMN(BM128))),INDIRECT("'Yr3'!"&amp;ADDRESS(ROW(BM128),COLUMN(BM128)))),
IF($C$4=BM$7,SUMIFS('EE Inputs'!$L$9:$L$32,'EE Inputs'!$C$9:$C$32,$AM$6,'EE Inputs'!$D$9:$D$32,$C$4,'EE Inputs'!$E$9:$E$32,$B128),0))</f>
        <v>0</v>
      </c>
      <c r="BN128" s="508"/>
      <c r="BO128" s="508"/>
      <c r="BP128" s="508">
        <f ca="1">IF($C$4=Year1,-PMT(Lookups!$E$17,25,NPV(Lookups!$E$17,AM128:BK128),0,1),IF($C$4=Year2,-PMT(Lookups!$F$17,25,NPV(Lookups!$F$17,AN128:BL128),0,1),IF($C$4=Year3,-PMT(Lookups!$G$17,25,NPV(Lookups!$G$17,AO128:BM128),0,1),-PMT(Lookups!$G$17,27,NPV(Lookups!$G$17,AM128:BM128),0,1))))</f>
        <v>1.0316341414967891E-2</v>
      </c>
      <c r="BS128" s="86" t="s">
        <v>402</v>
      </c>
      <c r="BT128" s="51" t="s">
        <v>17</v>
      </c>
    </row>
    <row r="129" spans="1:72" x14ac:dyDescent="0.25">
      <c r="A129" s="246"/>
      <c r="B129" s="243" t="str">
        <f t="shared" si="119"/>
        <v>Low-Income</v>
      </c>
      <c r="C129" s="243" t="str">
        <f t="shared" si="119"/>
        <v>Rates</v>
      </c>
      <c r="D129" s="244" t="str">
        <f t="shared" si="119"/>
        <v>Increased Costs and Cost Shifting</v>
      </c>
      <c r="E129" s="86" t="s">
        <v>198</v>
      </c>
      <c r="F129" s="84" t="s">
        <v>182</v>
      </c>
      <c r="G129" s="506">
        <f ca="1">IFERROR((G111/G96)-(G111/G94),0)</f>
        <v>4.2274405845921514E-3</v>
      </c>
      <c r="H129" s="506">
        <f t="shared" ref="H129:AG129" ca="1" si="122">IFERROR((H111/H96)-(H111/H94),0)</f>
        <v>8.7210248900453369E-3</v>
      </c>
      <c r="I129" s="506">
        <f t="shared" ca="1" si="122"/>
        <v>1.3544492269988745E-2</v>
      </c>
      <c r="J129" s="506">
        <f t="shared" ca="1" si="122"/>
        <v>1.3544492269988745E-2</v>
      </c>
      <c r="K129" s="506">
        <f t="shared" ca="1" si="122"/>
        <v>1.3544492269988745E-2</v>
      </c>
      <c r="L129" s="506">
        <f t="shared" ca="1" si="122"/>
        <v>1.3544492269988745E-2</v>
      </c>
      <c r="M129" s="506">
        <f t="shared" ca="1" si="122"/>
        <v>1.3544492269988745E-2</v>
      </c>
      <c r="N129" s="506">
        <f t="shared" ca="1" si="122"/>
        <v>1.3544492269988745E-2</v>
      </c>
      <c r="O129" s="506">
        <f t="shared" ca="1" si="122"/>
        <v>1.3544492269988745E-2</v>
      </c>
      <c r="P129" s="506">
        <f t="shared" ca="1" si="122"/>
        <v>1.3544492269988745E-2</v>
      </c>
      <c r="Q129" s="506">
        <f t="shared" ca="1" si="122"/>
        <v>1.3544492269988745E-2</v>
      </c>
      <c r="R129" s="506">
        <f t="shared" ca="1" si="122"/>
        <v>1.3544492269988745E-2</v>
      </c>
      <c r="S129" s="506">
        <f t="shared" ca="1" si="122"/>
        <v>1.3544492269988745E-2</v>
      </c>
      <c r="T129" s="506">
        <f t="shared" ca="1" si="122"/>
        <v>1.3544492269988745E-2</v>
      </c>
      <c r="U129" s="506">
        <f t="shared" ca="1" si="122"/>
        <v>1.3544492269988745E-2</v>
      </c>
      <c r="V129" s="506">
        <f t="shared" ca="1" si="122"/>
        <v>1.3544492269988745E-2</v>
      </c>
      <c r="W129" s="506">
        <f t="shared" ca="1" si="122"/>
        <v>1.3544492269988745E-2</v>
      </c>
      <c r="X129" s="506">
        <f t="shared" ca="1" si="122"/>
        <v>1.3544492269988745E-2</v>
      </c>
      <c r="Y129" s="506">
        <f t="shared" ca="1" si="122"/>
        <v>1.3544492269988745E-2</v>
      </c>
      <c r="Z129" s="506">
        <f t="shared" ca="1" si="122"/>
        <v>1.3544492269988745E-2</v>
      </c>
      <c r="AA129" s="506">
        <f t="shared" ca="1" si="122"/>
        <v>9.0353466337756705E-3</v>
      </c>
      <c r="AB129" s="506">
        <f t="shared" ca="1" si="122"/>
        <v>4.5319641111828401E-3</v>
      </c>
      <c r="AC129" s="506">
        <f t="shared" ca="1" si="122"/>
        <v>0</v>
      </c>
      <c r="AD129" s="506">
        <f t="shared" ca="1" si="122"/>
        <v>0</v>
      </c>
      <c r="AE129" s="506">
        <f t="shared" ca="1" si="122"/>
        <v>0</v>
      </c>
      <c r="AF129" s="506">
        <f t="shared" ca="1" si="122"/>
        <v>0</v>
      </c>
      <c r="AG129" s="506">
        <f t="shared" ca="1" si="122"/>
        <v>0</v>
      </c>
      <c r="AH129" s="506"/>
      <c r="AI129" s="506"/>
      <c r="AJ129" s="506">
        <f ca="1">IF($C$4=Year1,-PMT(Lookups!$E$17,25,NPV(Lookups!$E$17,G129:AE129),0,1),IF($C$4=Year2,-PMT(Lookups!$F$17,25,NPV(Lookups!$F$17,H129:AF129),0,1),IF($C$4=Year3,-PMT(Lookups!$G$17,25,NPV(Lookups!$G$17,I129:AG129),0,1),-PMT(Lookups!$G$17,27,NPV(Lookups!$G$17,G129:AG129),0,1))))</f>
        <v>1.0194578801865726E-2</v>
      </c>
      <c r="AK129" s="507"/>
      <c r="AL129" s="507"/>
      <c r="AM129" s="508">
        <f ca="1">IFERROR((AM111/AM96)-(AM111/AM94),0)</f>
        <v>4.8417808606264212E-3</v>
      </c>
      <c r="AN129" s="508">
        <f t="shared" ref="AN129:BM129" ca="1" si="123">IFERROR((AN111/AN96)-(AN111/AN94),0)</f>
        <v>1.0011730651406564E-2</v>
      </c>
      <c r="AO129" s="508">
        <f t="shared" ca="1" si="123"/>
        <v>1.5588877133996426E-2</v>
      </c>
      <c r="AP129" s="508">
        <f t="shared" ca="1" si="123"/>
        <v>1.5588877133996426E-2</v>
      </c>
      <c r="AQ129" s="508">
        <f t="shared" ca="1" si="123"/>
        <v>1.5588877133996426E-2</v>
      </c>
      <c r="AR129" s="508">
        <f t="shared" ca="1" si="123"/>
        <v>1.5588877133996426E-2</v>
      </c>
      <c r="AS129" s="508">
        <f t="shared" ca="1" si="123"/>
        <v>1.5588877133996426E-2</v>
      </c>
      <c r="AT129" s="508">
        <f t="shared" ca="1" si="123"/>
        <v>1.5588877133996426E-2</v>
      </c>
      <c r="AU129" s="508">
        <f t="shared" ca="1" si="123"/>
        <v>1.5588877133996426E-2</v>
      </c>
      <c r="AV129" s="508">
        <f t="shared" ca="1" si="123"/>
        <v>1.5588877133996426E-2</v>
      </c>
      <c r="AW129" s="508">
        <f t="shared" ca="1" si="123"/>
        <v>1.5588877133996426E-2</v>
      </c>
      <c r="AX129" s="508">
        <f t="shared" ca="1" si="123"/>
        <v>1.5588877133996426E-2</v>
      </c>
      <c r="AY129" s="508">
        <f t="shared" ca="1" si="123"/>
        <v>1.5588877133996426E-2</v>
      </c>
      <c r="AZ129" s="508">
        <f t="shared" ca="1" si="123"/>
        <v>1.5588877133996426E-2</v>
      </c>
      <c r="BA129" s="508">
        <f t="shared" ca="1" si="123"/>
        <v>1.5588877133996426E-2</v>
      </c>
      <c r="BB129" s="508">
        <f t="shared" ca="1" si="123"/>
        <v>1.5588877133996426E-2</v>
      </c>
      <c r="BC129" s="508">
        <f t="shared" ca="1" si="123"/>
        <v>1.5588877133996426E-2</v>
      </c>
      <c r="BD129" s="508">
        <f t="shared" ca="1" si="123"/>
        <v>1.5588877133996426E-2</v>
      </c>
      <c r="BE129" s="508">
        <f t="shared" ca="1" si="123"/>
        <v>1.5588877133996426E-2</v>
      </c>
      <c r="BF129" s="508">
        <f t="shared" ca="1" si="123"/>
        <v>1.5588877133996426E-2</v>
      </c>
      <c r="BG129" s="508">
        <f t="shared" ca="1" si="123"/>
        <v>1.037428755030656E-2</v>
      </c>
      <c r="BH129" s="508">
        <f t="shared" ca="1" si="123"/>
        <v>5.1913741775079236E-3</v>
      </c>
      <c r="BI129" s="508">
        <f t="shared" ca="1" si="123"/>
        <v>0</v>
      </c>
      <c r="BJ129" s="508">
        <f t="shared" ca="1" si="123"/>
        <v>0</v>
      </c>
      <c r="BK129" s="508">
        <f t="shared" ca="1" si="123"/>
        <v>0</v>
      </c>
      <c r="BL129" s="508">
        <f t="shared" ca="1" si="123"/>
        <v>0</v>
      </c>
      <c r="BM129" s="508">
        <f t="shared" ca="1" si="123"/>
        <v>0</v>
      </c>
      <c r="BN129" s="508"/>
      <c r="BO129" s="508"/>
      <c r="BP129" s="508">
        <f ca="1">IF($C$4=Year1,-PMT(Lookups!$E$17,25,NPV(Lookups!$E$17,AM129:BK129),0,1),IF($C$4=Year2,-PMT(Lookups!$F$17,25,NPV(Lookups!$F$17,AN129:BL129),0,1),IF($C$4=Year3,-PMT(Lookups!$G$17,25,NPV(Lookups!$G$17,AO129:BM129),0,1),-PMT(Lookups!$G$17,27,NPV(Lookups!$G$17,AM129:BM129),0,1))))</f>
        <v>1.1729580217397171E-2</v>
      </c>
      <c r="BS129" s="84" t="s">
        <v>103</v>
      </c>
      <c r="BT129" s="51" t="s">
        <v>17</v>
      </c>
    </row>
    <row r="130" spans="1:72" x14ac:dyDescent="0.25">
      <c r="B130" s="243" t="str">
        <f t="shared" si="119"/>
        <v>Low-Income</v>
      </c>
      <c r="C130" s="243" t="str">
        <f t="shared" si="119"/>
        <v>Rates</v>
      </c>
      <c r="D130" s="114" t="s">
        <v>110</v>
      </c>
      <c r="E130" s="86"/>
      <c r="F130" s="86"/>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49"/>
      <c r="AI130" s="238"/>
      <c r="AJ130" s="49"/>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S130" s="84"/>
      <c r="BT130" s="51" t="s">
        <v>17</v>
      </c>
    </row>
    <row r="131" spans="1:72" x14ac:dyDescent="0.25">
      <c r="B131" s="243" t="str">
        <f t="shared" si="119"/>
        <v>Low-Income</v>
      </c>
      <c r="C131" s="243" t="str">
        <f t="shared" si="119"/>
        <v>Rates</v>
      </c>
      <c r="D131" s="244" t="str">
        <f>D130</f>
        <v>Rates after DSM Scenario</v>
      </c>
      <c r="E131" s="86" t="s">
        <v>26</v>
      </c>
      <c r="F131" s="84" t="s">
        <v>182</v>
      </c>
      <c r="G131" s="506">
        <f ca="1">IFERROR(G111/G96,0)</f>
        <v>0.22614122010423127</v>
      </c>
      <c r="H131" s="506">
        <f t="shared" ref="H131:AG131" ca="1" si="124">IFERROR(H111/H96,0)</f>
        <v>0.22972135162699109</v>
      </c>
      <c r="I131" s="506">
        <f t="shared" ca="1" si="124"/>
        <v>0.23359637355124116</v>
      </c>
      <c r="J131" s="506">
        <f t="shared" ca="1" si="124"/>
        <v>0.23359637355124116</v>
      </c>
      <c r="K131" s="506">
        <f t="shared" ca="1" si="124"/>
        <v>0.23359637355124116</v>
      </c>
      <c r="L131" s="506">
        <f t="shared" ca="1" si="124"/>
        <v>0.23359637355124116</v>
      </c>
      <c r="M131" s="506">
        <f t="shared" ca="1" si="124"/>
        <v>0.23359637355124116</v>
      </c>
      <c r="N131" s="506">
        <f t="shared" ca="1" si="124"/>
        <v>0.23359637355124116</v>
      </c>
      <c r="O131" s="506">
        <f t="shared" ca="1" si="124"/>
        <v>0.23359637355124116</v>
      </c>
      <c r="P131" s="506">
        <f t="shared" ca="1" si="124"/>
        <v>0.23359637355124116</v>
      </c>
      <c r="Q131" s="506">
        <f t="shared" ca="1" si="124"/>
        <v>0.23359637355124116</v>
      </c>
      <c r="R131" s="506">
        <f t="shared" ca="1" si="124"/>
        <v>0.23359637355124116</v>
      </c>
      <c r="S131" s="506">
        <f t="shared" ca="1" si="124"/>
        <v>0.23359637355124116</v>
      </c>
      <c r="T131" s="506">
        <f t="shared" ca="1" si="124"/>
        <v>0.23359637355124116</v>
      </c>
      <c r="U131" s="506">
        <f t="shared" ca="1" si="124"/>
        <v>0.23359637355124116</v>
      </c>
      <c r="V131" s="506">
        <f t="shared" ca="1" si="124"/>
        <v>0.23359637355124116</v>
      </c>
      <c r="W131" s="506">
        <f t="shared" ca="1" si="124"/>
        <v>0.23359637355124116</v>
      </c>
      <c r="X131" s="506">
        <f t="shared" ca="1" si="124"/>
        <v>0.23359637355124116</v>
      </c>
      <c r="Y131" s="506">
        <f t="shared" ca="1" si="124"/>
        <v>0.23359637355124116</v>
      </c>
      <c r="Z131" s="506">
        <f t="shared" ca="1" si="124"/>
        <v>0.23359637355124116</v>
      </c>
      <c r="AA131" s="506">
        <f t="shared" ca="1" si="124"/>
        <v>0.22997344839538897</v>
      </c>
      <c r="AB131" s="506">
        <f t="shared" ca="1" si="124"/>
        <v>0.2263835186554895</v>
      </c>
      <c r="AC131" s="506">
        <f t="shared" ca="1" si="124"/>
        <v>0.2228</v>
      </c>
      <c r="AD131" s="506">
        <f t="shared" ca="1" si="124"/>
        <v>0.2228</v>
      </c>
      <c r="AE131" s="506">
        <f t="shared" ca="1" si="124"/>
        <v>0.2228</v>
      </c>
      <c r="AF131" s="506">
        <f t="shared" ca="1" si="124"/>
        <v>0.2228</v>
      </c>
      <c r="AG131" s="506">
        <f t="shared" ca="1" si="124"/>
        <v>0.2228</v>
      </c>
      <c r="AH131" s="509"/>
      <c r="AI131" s="506"/>
      <c r="AJ131" s="509">
        <f ca="1">IF($C$4=Year1,-PMT(Lookups!$E$17,25,NPV(Lookups!$E$17,G131:AE131),0,1),IF($C$4=Year2,-PMT(Lookups!$F$17,25,NPV(Lookups!$F$17,H131:AF131),0,1),IF($C$4=Year3,-PMT(Lookups!$G$17,25,NPV(Lookups!$G$17,I131:AG131),0,1),-PMT(Lookups!$G$17,27,NPV(Lookups!$G$17,G131:AG131),0,1))))</f>
        <v>0.22781438970133727</v>
      </c>
      <c r="AK131" s="507"/>
      <c r="AL131" s="507"/>
      <c r="AM131" s="508">
        <f ca="1">IFERROR(AM111/AM96,0)</f>
        <v>0.22662895745449974</v>
      </c>
      <c r="AN131" s="508">
        <f t="shared" ref="AN131:BM131" ca="1" si="125">IFERROR(AN111/AN96,0)</f>
        <v>0.230754961207916</v>
      </c>
      <c r="AO131" s="508">
        <f t="shared" ca="1" si="125"/>
        <v>0.23524817002685633</v>
      </c>
      <c r="AP131" s="508">
        <f t="shared" ca="1" si="125"/>
        <v>0.23524817002685633</v>
      </c>
      <c r="AQ131" s="508">
        <f t="shared" ca="1" si="125"/>
        <v>0.23524817002685633</v>
      </c>
      <c r="AR131" s="508">
        <f t="shared" ca="1" si="125"/>
        <v>0.23524817002685633</v>
      </c>
      <c r="AS131" s="508">
        <f t="shared" ca="1" si="125"/>
        <v>0.23524817002685633</v>
      </c>
      <c r="AT131" s="508">
        <f t="shared" ca="1" si="125"/>
        <v>0.23524817002685633</v>
      </c>
      <c r="AU131" s="508">
        <f t="shared" ca="1" si="125"/>
        <v>0.23524817002685633</v>
      </c>
      <c r="AV131" s="508">
        <f t="shared" ca="1" si="125"/>
        <v>0.23524817002685633</v>
      </c>
      <c r="AW131" s="508">
        <f t="shared" ca="1" si="125"/>
        <v>0.23524817002685633</v>
      </c>
      <c r="AX131" s="508">
        <f t="shared" ca="1" si="125"/>
        <v>0.23524817002685633</v>
      </c>
      <c r="AY131" s="508">
        <f t="shared" ca="1" si="125"/>
        <v>0.23524817002685633</v>
      </c>
      <c r="AZ131" s="508">
        <f t="shared" ca="1" si="125"/>
        <v>0.23524817002685633</v>
      </c>
      <c r="BA131" s="508">
        <f t="shared" ca="1" si="125"/>
        <v>0.23524817002685633</v>
      </c>
      <c r="BB131" s="508">
        <f t="shared" ca="1" si="125"/>
        <v>0.23524817002685633</v>
      </c>
      <c r="BC131" s="508">
        <f t="shared" ca="1" si="125"/>
        <v>0.23524817002685633</v>
      </c>
      <c r="BD131" s="508">
        <f t="shared" ca="1" si="125"/>
        <v>0.23524817002685633</v>
      </c>
      <c r="BE131" s="508">
        <f t="shared" ca="1" si="125"/>
        <v>0.23524817002685633</v>
      </c>
      <c r="BF131" s="508">
        <f t="shared" ca="1" si="125"/>
        <v>0.23524817002685633</v>
      </c>
      <c r="BG131" s="508">
        <f t="shared" ca="1" si="125"/>
        <v>0.23104640384929317</v>
      </c>
      <c r="BH131" s="508">
        <f t="shared" ca="1" si="125"/>
        <v>0.22690743651385839</v>
      </c>
      <c r="BI131" s="508">
        <f t="shared" ca="1" si="125"/>
        <v>0.2228</v>
      </c>
      <c r="BJ131" s="508">
        <f t="shared" ca="1" si="125"/>
        <v>0.2228</v>
      </c>
      <c r="BK131" s="508">
        <f t="shared" ca="1" si="125"/>
        <v>0.2228</v>
      </c>
      <c r="BL131" s="508">
        <f t="shared" ca="1" si="125"/>
        <v>0.2228</v>
      </c>
      <c r="BM131" s="508">
        <f t="shared" ca="1" si="125"/>
        <v>0.2228</v>
      </c>
      <c r="BN131" s="508"/>
      <c r="BO131" s="508"/>
      <c r="BP131" s="508">
        <f ca="1">IF($C$4=Year1,-PMT(Lookups!$E$17,25,NPV(Lookups!$E$17,AM131:BK131),0,1),IF($C$4=Year2,-PMT(Lookups!$F$17,25,NPV(Lookups!$F$17,AN131:BL131),0,1),IF($C$4=Year3,-PMT(Lookups!$G$17,25,NPV(Lookups!$G$17,AO131:BM131),0,1),-PMT(Lookups!$G$17,27,NPV(Lookups!$G$17,AM131:BM131),0,1))))</f>
        <v>0.22905326863381159</v>
      </c>
      <c r="BS131" s="84" t="s">
        <v>238</v>
      </c>
      <c r="BT131" s="51" t="s">
        <v>17</v>
      </c>
    </row>
    <row r="132" spans="1:72" x14ac:dyDescent="0.25">
      <c r="B132" s="243" t="str">
        <f t="shared" si="119"/>
        <v>Low-Income</v>
      </c>
      <c r="C132" s="243" t="str">
        <f t="shared" si="119"/>
        <v>Rates</v>
      </c>
      <c r="D132" s="244" t="str">
        <f>D131</f>
        <v>Rates after DSM Scenario</v>
      </c>
      <c r="E132" s="84" t="s">
        <v>407</v>
      </c>
      <c r="F132" s="84" t="s">
        <v>182</v>
      </c>
      <c r="G132" s="506">
        <f ca="1">IFERROR(G112/G96,0)</f>
        <v>-3.3628647484592974E-2</v>
      </c>
      <c r="H132" s="506">
        <f t="shared" ref="H132:AG132" ca="1" si="126">IFERROR(H112/H96,0)</f>
        <v>-3.430223256056112E-2</v>
      </c>
      <c r="I132" s="506">
        <f t="shared" ca="1" si="126"/>
        <v>-3.5031194835995753E-2</v>
      </c>
      <c r="J132" s="506">
        <f t="shared" ca="1" si="126"/>
        <v>-3.5031194835995753E-2</v>
      </c>
      <c r="K132" s="506">
        <f t="shared" ca="1" si="126"/>
        <v>-3.5031194835995753E-2</v>
      </c>
      <c r="L132" s="506">
        <f t="shared" ca="1" si="126"/>
        <v>-3.5031194835995753E-2</v>
      </c>
      <c r="M132" s="506">
        <f t="shared" ca="1" si="126"/>
        <v>-3.5031194835995753E-2</v>
      </c>
      <c r="N132" s="506">
        <f t="shared" ca="1" si="126"/>
        <v>-3.5031194835995753E-2</v>
      </c>
      <c r="O132" s="506">
        <f t="shared" ca="1" si="126"/>
        <v>-3.5031194835995753E-2</v>
      </c>
      <c r="P132" s="506">
        <f t="shared" ca="1" si="126"/>
        <v>-3.5031194835995753E-2</v>
      </c>
      <c r="Q132" s="506">
        <f t="shared" ca="1" si="126"/>
        <v>-3.5031194835995753E-2</v>
      </c>
      <c r="R132" s="506">
        <f t="shared" ca="1" si="126"/>
        <v>-3.5031194835995753E-2</v>
      </c>
      <c r="S132" s="506">
        <f t="shared" ca="1" si="126"/>
        <v>-3.5031194835995753E-2</v>
      </c>
      <c r="T132" s="506">
        <f t="shared" ca="1" si="126"/>
        <v>-3.5031194835995753E-2</v>
      </c>
      <c r="U132" s="506">
        <f t="shared" ca="1" si="126"/>
        <v>-3.5031194835995753E-2</v>
      </c>
      <c r="V132" s="506">
        <f t="shared" ca="1" si="126"/>
        <v>-3.5031194835995753E-2</v>
      </c>
      <c r="W132" s="506">
        <f t="shared" ca="1" si="126"/>
        <v>-3.5031194835995753E-2</v>
      </c>
      <c r="X132" s="506">
        <f t="shared" ca="1" si="126"/>
        <v>-3.5031194835995753E-2</v>
      </c>
      <c r="Y132" s="506">
        <f t="shared" ca="1" si="126"/>
        <v>-3.5031194835995753E-2</v>
      </c>
      <c r="Z132" s="506">
        <f t="shared" ca="1" si="126"/>
        <v>-3.5031194835995753E-2</v>
      </c>
      <c r="AA132" s="506">
        <f t="shared" ca="1" si="126"/>
        <v>-3.4349547391496614E-2</v>
      </c>
      <c r="AB132" s="506">
        <f t="shared" ca="1" si="126"/>
        <v>-3.3674121107585782E-2</v>
      </c>
      <c r="AC132" s="506">
        <f t="shared" ca="1" si="126"/>
        <v>-3.3000000000000002E-2</v>
      </c>
      <c r="AD132" s="506">
        <f t="shared" ca="1" si="126"/>
        <v>-3.3000000000000002E-2</v>
      </c>
      <c r="AE132" s="506">
        <f t="shared" ca="1" si="126"/>
        <v>-3.3000000000000002E-2</v>
      </c>
      <c r="AF132" s="506">
        <f t="shared" ca="1" si="126"/>
        <v>-3.3000000000000002E-2</v>
      </c>
      <c r="AG132" s="506">
        <f t="shared" ca="1" si="126"/>
        <v>-3.3000000000000002E-2</v>
      </c>
      <c r="AH132" s="509"/>
      <c r="AI132" s="506"/>
      <c r="AJ132" s="509">
        <f ca="1">IF($C$4=Year1,-PMT(Lookups!$E$17,25,NPV(Lookups!$E$17,G132:AE132),0,1),IF($C$4=Year2,-PMT(Lookups!$F$17,25,NPV(Lookups!$F$17,H132:AF132),0,1),IF($C$4=Year3,-PMT(Lookups!$G$17,25,NPV(Lookups!$G$17,I132:AG132),0,1),-PMT(Lookups!$G$17,27,NPV(Lookups!$G$17,G132:AG132),0,1))))</f>
        <v>-3.4067753503757438E-2</v>
      </c>
      <c r="AK132" s="507"/>
      <c r="AL132" s="507"/>
      <c r="AM132" s="508">
        <f ca="1">IFERROR(AM112/AM96,0)</f>
        <v>-3.3720414817729763E-2</v>
      </c>
      <c r="AN132" s="508">
        <f t="shared" ref="AN132:BM132" ca="1" si="127">IFERROR(AN112/AN96,0)</f>
        <v>-3.44967032541088E-2</v>
      </c>
      <c r="AO132" s="508">
        <f t="shared" ca="1" si="127"/>
        <v>-3.5341958487833253E-2</v>
      </c>
      <c r="AP132" s="508">
        <f t="shared" ca="1" si="127"/>
        <v>-3.5341958487833253E-2</v>
      </c>
      <c r="AQ132" s="508">
        <f t="shared" ca="1" si="127"/>
        <v>-3.5341958487833253E-2</v>
      </c>
      <c r="AR132" s="508">
        <f t="shared" ca="1" si="127"/>
        <v>-3.5341958487833253E-2</v>
      </c>
      <c r="AS132" s="508">
        <f t="shared" ca="1" si="127"/>
        <v>-3.5341958487833253E-2</v>
      </c>
      <c r="AT132" s="508">
        <f t="shared" ca="1" si="127"/>
        <v>-3.5341958487833253E-2</v>
      </c>
      <c r="AU132" s="508">
        <f t="shared" ca="1" si="127"/>
        <v>-3.5341958487833253E-2</v>
      </c>
      <c r="AV132" s="508">
        <f t="shared" ca="1" si="127"/>
        <v>-3.5341958487833253E-2</v>
      </c>
      <c r="AW132" s="508">
        <f t="shared" ca="1" si="127"/>
        <v>-3.5341958487833253E-2</v>
      </c>
      <c r="AX132" s="508">
        <f t="shared" ca="1" si="127"/>
        <v>-3.5341958487833253E-2</v>
      </c>
      <c r="AY132" s="508">
        <f t="shared" ca="1" si="127"/>
        <v>-3.5341958487833253E-2</v>
      </c>
      <c r="AZ132" s="508">
        <f t="shared" ca="1" si="127"/>
        <v>-3.5341958487833253E-2</v>
      </c>
      <c r="BA132" s="508">
        <f t="shared" ca="1" si="127"/>
        <v>-3.5341958487833253E-2</v>
      </c>
      <c r="BB132" s="508">
        <f t="shared" ca="1" si="127"/>
        <v>-3.5341958487833253E-2</v>
      </c>
      <c r="BC132" s="508">
        <f t="shared" ca="1" si="127"/>
        <v>-3.5341958487833253E-2</v>
      </c>
      <c r="BD132" s="508">
        <f t="shared" ca="1" si="127"/>
        <v>-3.5341958487833253E-2</v>
      </c>
      <c r="BE132" s="508">
        <f t="shared" ca="1" si="127"/>
        <v>-3.5341958487833253E-2</v>
      </c>
      <c r="BF132" s="508">
        <f t="shared" ca="1" si="127"/>
        <v>-3.5341958487833253E-2</v>
      </c>
      <c r="BG132" s="508">
        <f t="shared" ca="1" si="127"/>
        <v>-3.4551403479976907E-2</v>
      </c>
      <c r="BH132" s="508">
        <f t="shared" ca="1" si="127"/>
        <v>-3.377267901140095E-2</v>
      </c>
      <c r="BI132" s="508">
        <f t="shared" ca="1" si="127"/>
        <v>-3.3000000000000002E-2</v>
      </c>
      <c r="BJ132" s="508">
        <f t="shared" ca="1" si="127"/>
        <v>-3.3000000000000002E-2</v>
      </c>
      <c r="BK132" s="508">
        <f t="shared" ca="1" si="127"/>
        <v>-3.3000000000000002E-2</v>
      </c>
      <c r="BL132" s="508">
        <f t="shared" ca="1" si="127"/>
        <v>-3.3000000000000002E-2</v>
      </c>
      <c r="BM132" s="508">
        <f t="shared" ca="1" si="127"/>
        <v>-3.3000000000000002E-2</v>
      </c>
      <c r="BN132" s="508"/>
      <c r="BO132" s="508"/>
      <c r="BP132" s="508">
        <f ca="1">IF($C$4=Year1,-PMT(Lookups!$E$17,25,NPV(Lookups!$E$17,AM132:BK132),0,1),IF($C$4=Year2,-PMT(Lookups!$F$17,25,NPV(Lookups!$F$17,AN132:BL132),0,1),IF($C$4=Year3,-PMT(Lookups!$G$17,25,NPV(Lookups!$G$17,AO132:BM132),0,1),-PMT(Lookups!$G$17,27,NPV(Lookups!$G$17,AM132:BM132),0,1))))</f>
        <v>-3.4300832364473732E-2</v>
      </c>
      <c r="BS132" s="84" t="s">
        <v>237</v>
      </c>
      <c r="BT132" s="51" t="s">
        <v>17</v>
      </c>
    </row>
    <row r="133" spans="1:72" x14ac:dyDescent="0.25">
      <c r="B133" s="243" t="str">
        <f t="shared" si="119"/>
        <v>Low-Income</v>
      </c>
      <c r="C133" s="243" t="str">
        <f t="shared" si="119"/>
        <v>Rates</v>
      </c>
      <c r="D133" s="244" t="str">
        <f t="shared" si="119"/>
        <v>Rates after DSM Scenario</v>
      </c>
      <c r="E133" s="84" t="s">
        <v>197</v>
      </c>
      <c r="F133" s="84" t="s">
        <v>182</v>
      </c>
      <c r="G133" s="506">
        <f ca="1">IFERROR(G119+G125,0)</f>
        <v>0.61981656458813961</v>
      </c>
      <c r="H133" s="506">
        <f t="shared" ref="H133:AG133" ca="1" si="128">IFERROR(H119+H125,0)</f>
        <v>0.61929885319621591</v>
      </c>
      <c r="I133" s="506">
        <f t="shared" ca="1" si="128"/>
        <v>0.61873992178819104</v>
      </c>
      <c r="J133" s="506">
        <f t="shared" ca="1" si="128"/>
        <v>0.61873992178819104</v>
      </c>
      <c r="K133" s="506">
        <f t="shared" ca="1" si="128"/>
        <v>0.61873992178819104</v>
      </c>
      <c r="L133" s="506">
        <f t="shared" ca="1" si="128"/>
        <v>0.61873992178819104</v>
      </c>
      <c r="M133" s="506">
        <f t="shared" ca="1" si="128"/>
        <v>0.61873992178819104</v>
      </c>
      <c r="N133" s="506">
        <f t="shared" ca="1" si="128"/>
        <v>0.61873992178819104</v>
      </c>
      <c r="O133" s="506">
        <f t="shared" ca="1" si="128"/>
        <v>0.61873992178819104</v>
      </c>
      <c r="P133" s="506">
        <f t="shared" ca="1" si="128"/>
        <v>0.61873992178819104</v>
      </c>
      <c r="Q133" s="506">
        <f t="shared" ca="1" si="128"/>
        <v>0.61873992178819104</v>
      </c>
      <c r="R133" s="506">
        <f t="shared" ca="1" si="128"/>
        <v>0.61873992178819104</v>
      </c>
      <c r="S133" s="506">
        <f t="shared" ca="1" si="128"/>
        <v>0.61873992178819104</v>
      </c>
      <c r="T133" s="506">
        <f t="shared" ca="1" si="128"/>
        <v>0.61873992178819104</v>
      </c>
      <c r="U133" s="506">
        <f t="shared" ca="1" si="128"/>
        <v>0.61873992178819104</v>
      </c>
      <c r="V133" s="506">
        <f t="shared" ca="1" si="128"/>
        <v>0.61873992178819104</v>
      </c>
      <c r="W133" s="506">
        <f t="shared" ca="1" si="128"/>
        <v>0.61873992178819104</v>
      </c>
      <c r="X133" s="506">
        <f t="shared" ca="1" si="128"/>
        <v>0.61873992178819104</v>
      </c>
      <c r="Y133" s="506">
        <f t="shared" ca="1" si="128"/>
        <v>0.61873992178819104</v>
      </c>
      <c r="Z133" s="506">
        <f t="shared" ca="1" si="128"/>
        <v>0.61873992178819104</v>
      </c>
      <c r="AA133" s="506">
        <f t="shared" ca="1" si="128"/>
        <v>0.61926407710968467</v>
      </c>
      <c r="AB133" s="506">
        <f t="shared" ca="1" si="128"/>
        <v>0.61978317237928326</v>
      </c>
      <c r="AC133" s="506">
        <f t="shared" ca="1" si="128"/>
        <v>0.62029999999999996</v>
      </c>
      <c r="AD133" s="506">
        <f t="shared" ca="1" si="128"/>
        <v>0.62029999999999996</v>
      </c>
      <c r="AE133" s="506">
        <f t="shared" ca="1" si="128"/>
        <v>0.62029999999999996</v>
      </c>
      <c r="AF133" s="506">
        <f t="shared" ca="1" si="128"/>
        <v>0.62029999999999996</v>
      </c>
      <c r="AG133" s="506">
        <f t="shared" ca="1" si="128"/>
        <v>0.62029999999999996</v>
      </c>
      <c r="AH133" s="509"/>
      <c r="AI133" s="506"/>
      <c r="AJ133" s="509">
        <f ca="1">IF($C$4=Year1,-PMT(Lookups!$E$17,25,NPV(Lookups!$E$17,G133:AE133),0,1),IF($C$4=Year2,-PMT(Lookups!$F$17,25,NPV(Lookups!$F$17,H133:AF133),0,1),IF($C$4=Year3,-PMT(Lookups!$G$17,25,NPV(Lookups!$G$17,I133:AG133),0,1),-PMT(Lookups!$G$17,27,NPV(Lookups!$G$17,G133:AG133),0,1))))</f>
        <v>0.61047523469835563</v>
      </c>
      <c r="AK133" s="507"/>
      <c r="AL133" s="507"/>
      <c r="AM133" s="508">
        <f ca="1">IFERROR(AM119+AM125,0)</f>
        <v>0.61974599470664393</v>
      </c>
      <c r="AN133" s="508">
        <f t="shared" ref="AN133:BM133" ca="1" si="129">IFERROR(AN119+AN125,0)</f>
        <v>0.61914934555896939</v>
      </c>
      <c r="AO133" s="508">
        <f t="shared" ca="1" si="129"/>
        <v>0.61850123685572556</v>
      </c>
      <c r="AP133" s="508">
        <f t="shared" ca="1" si="129"/>
        <v>0.61850123685572556</v>
      </c>
      <c r="AQ133" s="508">
        <f t="shared" ca="1" si="129"/>
        <v>0.61850123685572556</v>
      </c>
      <c r="AR133" s="508">
        <f t="shared" ca="1" si="129"/>
        <v>0.61850123685572556</v>
      </c>
      <c r="AS133" s="508">
        <f t="shared" ca="1" si="129"/>
        <v>0.61850123685572556</v>
      </c>
      <c r="AT133" s="508">
        <f t="shared" ca="1" si="129"/>
        <v>0.61850123685572556</v>
      </c>
      <c r="AU133" s="508">
        <f t="shared" ca="1" si="129"/>
        <v>0.61850123685572556</v>
      </c>
      <c r="AV133" s="508">
        <f t="shared" ca="1" si="129"/>
        <v>0.61850123685572556</v>
      </c>
      <c r="AW133" s="508">
        <f t="shared" ca="1" si="129"/>
        <v>0.61850123685572556</v>
      </c>
      <c r="AX133" s="508">
        <f t="shared" ca="1" si="129"/>
        <v>0.61850123685572556</v>
      </c>
      <c r="AY133" s="508">
        <f t="shared" ca="1" si="129"/>
        <v>0.61850123685572556</v>
      </c>
      <c r="AZ133" s="508">
        <f t="shared" ca="1" si="129"/>
        <v>0.61850123685572556</v>
      </c>
      <c r="BA133" s="508">
        <f t="shared" ca="1" si="129"/>
        <v>0.61850123685572556</v>
      </c>
      <c r="BB133" s="508">
        <f t="shared" ca="1" si="129"/>
        <v>0.61850123685572556</v>
      </c>
      <c r="BC133" s="508">
        <f t="shared" ca="1" si="129"/>
        <v>0.61850123685572556</v>
      </c>
      <c r="BD133" s="508">
        <f t="shared" ca="1" si="129"/>
        <v>0.61850123685572556</v>
      </c>
      <c r="BE133" s="508">
        <f t="shared" ca="1" si="129"/>
        <v>0.61850123685572556</v>
      </c>
      <c r="BF133" s="508">
        <f t="shared" ca="1" si="129"/>
        <v>0.61850123685572556</v>
      </c>
      <c r="BG133" s="508">
        <f t="shared" ca="1" si="129"/>
        <v>0.61910913083367847</v>
      </c>
      <c r="BH133" s="508">
        <f t="shared" ca="1" si="129"/>
        <v>0.61970761110941874</v>
      </c>
      <c r="BI133" s="508">
        <f t="shared" ca="1" si="129"/>
        <v>0.62029999999999996</v>
      </c>
      <c r="BJ133" s="508">
        <f t="shared" ca="1" si="129"/>
        <v>0.62029999999999996</v>
      </c>
      <c r="BK133" s="508">
        <f t="shared" ca="1" si="129"/>
        <v>0.62029999999999996</v>
      </c>
      <c r="BL133" s="508">
        <f t="shared" ca="1" si="129"/>
        <v>0.62029999999999996</v>
      </c>
      <c r="BM133" s="508">
        <f t="shared" ca="1" si="129"/>
        <v>0.62029999999999996</v>
      </c>
      <c r="BN133" s="508"/>
      <c r="BO133" s="508"/>
      <c r="BP133" s="508">
        <f ca="1">IF($C$4=Year1,-PMT(Lookups!$E$17,25,NPV(Lookups!$E$17,AM133:BK133),0,1),IF($C$4=Year2,-PMT(Lookups!$F$17,25,NPV(Lookups!$F$17,AN133:BL133),0,1),IF($C$4=Year3,-PMT(Lookups!$G$17,25,NPV(Lookups!$G$17,AO133:BM133),0,1),-PMT(Lookups!$G$17,27,NPV(Lookups!$G$17,AM133:BM133),0,1))))</f>
        <v>0.61029621382043453</v>
      </c>
      <c r="BS133" s="86" t="s">
        <v>236</v>
      </c>
      <c r="BT133" s="51" t="s">
        <v>17</v>
      </c>
    </row>
    <row r="134" spans="1:72" x14ac:dyDescent="0.25">
      <c r="B134" s="243" t="str">
        <f t="shared" si="119"/>
        <v>Low-Income</v>
      </c>
      <c r="C134" s="243" t="str">
        <f t="shared" si="119"/>
        <v>Rates</v>
      </c>
      <c r="D134" s="244" t="str">
        <f t="shared" si="119"/>
        <v>Rates after DSM Scenario</v>
      </c>
      <c r="E134" s="84" t="s">
        <v>406</v>
      </c>
      <c r="F134" s="84" t="s">
        <v>182</v>
      </c>
      <c r="G134" s="509">
        <f ca="1">G128</f>
        <v>6.4686396991858353E-2</v>
      </c>
      <c r="H134" s="509">
        <f t="shared" ref="H134:AG134" ca="1" si="130">H128</f>
        <v>6.6654138295917709E-2</v>
      </c>
      <c r="I134" s="509">
        <f t="shared" ca="1" si="130"/>
        <v>6.8785811560470811E-2</v>
      </c>
      <c r="J134" s="509">
        <f t="shared" ca="1" si="130"/>
        <v>0</v>
      </c>
      <c r="K134" s="509">
        <f t="shared" ca="1" si="130"/>
        <v>0</v>
      </c>
      <c r="L134" s="509">
        <f t="shared" ca="1" si="130"/>
        <v>0</v>
      </c>
      <c r="M134" s="509">
        <f t="shared" ca="1" si="130"/>
        <v>0</v>
      </c>
      <c r="N134" s="509">
        <f t="shared" ca="1" si="130"/>
        <v>0</v>
      </c>
      <c r="O134" s="509">
        <f t="shared" ca="1" si="130"/>
        <v>0</v>
      </c>
      <c r="P134" s="509">
        <f t="shared" ca="1" si="130"/>
        <v>0</v>
      </c>
      <c r="Q134" s="509">
        <f t="shared" ca="1" si="130"/>
        <v>0</v>
      </c>
      <c r="R134" s="509">
        <f t="shared" ca="1" si="130"/>
        <v>0</v>
      </c>
      <c r="S134" s="509">
        <f t="shared" ca="1" si="130"/>
        <v>0</v>
      </c>
      <c r="T134" s="509">
        <f t="shared" ca="1" si="130"/>
        <v>0</v>
      </c>
      <c r="U134" s="509">
        <f t="shared" ca="1" si="130"/>
        <v>0</v>
      </c>
      <c r="V134" s="509">
        <f t="shared" ca="1" si="130"/>
        <v>0</v>
      </c>
      <c r="W134" s="509">
        <f t="shared" ca="1" si="130"/>
        <v>0</v>
      </c>
      <c r="X134" s="509">
        <f t="shared" ca="1" si="130"/>
        <v>0</v>
      </c>
      <c r="Y134" s="509">
        <f t="shared" ca="1" si="130"/>
        <v>0</v>
      </c>
      <c r="Z134" s="509">
        <f t="shared" ca="1" si="130"/>
        <v>0</v>
      </c>
      <c r="AA134" s="509">
        <f t="shared" ca="1" si="130"/>
        <v>0</v>
      </c>
      <c r="AB134" s="509">
        <f t="shared" ca="1" si="130"/>
        <v>0</v>
      </c>
      <c r="AC134" s="509">
        <f t="shared" ca="1" si="130"/>
        <v>0</v>
      </c>
      <c r="AD134" s="509">
        <f t="shared" ca="1" si="130"/>
        <v>0</v>
      </c>
      <c r="AE134" s="509">
        <f t="shared" ca="1" si="130"/>
        <v>0</v>
      </c>
      <c r="AF134" s="509">
        <f t="shared" ca="1" si="130"/>
        <v>0</v>
      </c>
      <c r="AG134" s="509">
        <f t="shared" ca="1" si="130"/>
        <v>0</v>
      </c>
      <c r="AH134" s="509"/>
      <c r="AI134" s="509"/>
      <c r="AJ134" s="509">
        <f ca="1">IF($C$4=Year1,-PMT(Lookups!$E$17,25,NPV(Lookups!$E$17,G134:AE134),0,1),IF($C$4=Year2,-PMT(Lookups!$F$17,25,NPV(Lookups!$F$17,H134:AF134),0,1),IF($C$4=Year3,-PMT(Lookups!$G$17,25,NPV(Lookups!$G$17,I134:AG134),0,1),-PMT(Lookups!$G$17,27,NPV(Lookups!$G$17,G134:AG134),0,1))))</f>
        <v>8.5969511791399115E-3</v>
      </c>
      <c r="AK134" s="507"/>
      <c r="AL134" s="507"/>
      <c r="AM134" s="508">
        <f ca="1">AM128</f>
        <v>7.7623676390230018E-2</v>
      </c>
      <c r="AN134" s="508">
        <f t="shared" ref="AN134:BM134" ca="1" si="131">AN128</f>
        <v>7.9984965955101253E-2</v>
      </c>
      <c r="AO134" s="508">
        <f t="shared" ca="1" si="131"/>
        <v>8.254297387256497E-2</v>
      </c>
      <c r="AP134" s="508">
        <f t="shared" ca="1" si="131"/>
        <v>0</v>
      </c>
      <c r="AQ134" s="508">
        <f t="shared" ca="1" si="131"/>
        <v>0</v>
      </c>
      <c r="AR134" s="508">
        <f t="shared" ca="1" si="131"/>
        <v>0</v>
      </c>
      <c r="AS134" s="508">
        <f t="shared" ca="1" si="131"/>
        <v>0</v>
      </c>
      <c r="AT134" s="508">
        <f t="shared" ca="1" si="131"/>
        <v>0</v>
      </c>
      <c r="AU134" s="508">
        <f t="shared" ca="1" si="131"/>
        <v>0</v>
      </c>
      <c r="AV134" s="508">
        <f t="shared" ca="1" si="131"/>
        <v>0</v>
      </c>
      <c r="AW134" s="508">
        <f t="shared" ca="1" si="131"/>
        <v>0</v>
      </c>
      <c r="AX134" s="508">
        <f t="shared" ca="1" si="131"/>
        <v>0</v>
      </c>
      <c r="AY134" s="508">
        <f t="shared" ca="1" si="131"/>
        <v>0</v>
      </c>
      <c r="AZ134" s="508">
        <f t="shared" ca="1" si="131"/>
        <v>0</v>
      </c>
      <c r="BA134" s="508">
        <f t="shared" ca="1" si="131"/>
        <v>0</v>
      </c>
      <c r="BB134" s="508">
        <f t="shared" ca="1" si="131"/>
        <v>0</v>
      </c>
      <c r="BC134" s="508">
        <f t="shared" ca="1" si="131"/>
        <v>0</v>
      </c>
      <c r="BD134" s="508">
        <f t="shared" ca="1" si="131"/>
        <v>0</v>
      </c>
      <c r="BE134" s="508">
        <f t="shared" ca="1" si="131"/>
        <v>0</v>
      </c>
      <c r="BF134" s="508">
        <f t="shared" ca="1" si="131"/>
        <v>0</v>
      </c>
      <c r="BG134" s="508">
        <f t="shared" ca="1" si="131"/>
        <v>0</v>
      </c>
      <c r="BH134" s="508">
        <f t="shared" ca="1" si="131"/>
        <v>0</v>
      </c>
      <c r="BI134" s="508">
        <f t="shared" ca="1" si="131"/>
        <v>0</v>
      </c>
      <c r="BJ134" s="508">
        <f t="shared" ca="1" si="131"/>
        <v>0</v>
      </c>
      <c r="BK134" s="508">
        <f t="shared" ca="1" si="131"/>
        <v>0</v>
      </c>
      <c r="BL134" s="508">
        <f t="shared" ca="1" si="131"/>
        <v>0</v>
      </c>
      <c r="BM134" s="508">
        <f t="shared" ca="1" si="131"/>
        <v>0</v>
      </c>
      <c r="BN134" s="508"/>
      <c r="BO134" s="508"/>
      <c r="BP134" s="508">
        <f ca="1">IF($C$4=Year1,-PMT(Lookups!$E$17,25,NPV(Lookups!$E$17,AM134:BK134),0,1),IF($C$4=Year2,-PMT(Lookups!$F$17,25,NPV(Lookups!$F$17,AN134:BL134),0,1),IF($C$4=Year3,-PMT(Lookups!$G$17,25,NPV(Lookups!$G$17,AO134:BM134),0,1),-PMT(Lookups!$G$17,27,NPV(Lookups!$G$17,AM134:BM134),0,1))))</f>
        <v>1.0316341414967891E-2</v>
      </c>
      <c r="BS134" s="84" t="s">
        <v>403</v>
      </c>
      <c r="BT134" s="51" t="s">
        <v>17</v>
      </c>
    </row>
    <row r="135" spans="1:72" x14ac:dyDescent="0.25">
      <c r="B135" s="243" t="str">
        <f>B136</f>
        <v>Low-Income</v>
      </c>
      <c r="C135" s="243" t="str">
        <f>C136</f>
        <v>Rates</v>
      </c>
      <c r="D135" s="244" t="str">
        <f>D136</f>
        <v>Rates after DSM Scenario</v>
      </c>
      <c r="E135" s="86" t="s">
        <v>75</v>
      </c>
      <c r="F135" s="84" t="s">
        <v>182</v>
      </c>
      <c r="G135" s="506">
        <f>G120</f>
        <v>9.0952917202036049E-2</v>
      </c>
      <c r="H135" s="506">
        <f t="shared" ref="H135:AG135" si="132">H120</f>
        <v>9.0952917202036049E-2</v>
      </c>
      <c r="I135" s="506">
        <f t="shared" si="132"/>
        <v>9.0952917202036049E-2</v>
      </c>
      <c r="J135" s="506">
        <f t="shared" si="132"/>
        <v>9.0952917202036049E-2</v>
      </c>
      <c r="K135" s="506">
        <f t="shared" si="132"/>
        <v>9.0952917202036049E-2</v>
      </c>
      <c r="L135" s="506">
        <f t="shared" si="132"/>
        <v>9.0952917202036049E-2</v>
      </c>
      <c r="M135" s="506">
        <f t="shared" si="132"/>
        <v>9.0952917202036049E-2</v>
      </c>
      <c r="N135" s="506">
        <f t="shared" si="132"/>
        <v>9.0952917202036049E-2</v>
      </c>
      <c r="O135" s="506">
        <f t="shared" si="132"/>
        <v>9.0952917202036049E-2</v>
      </c>
      <c r="P135" s="506">
        <f t="shared" si="132"/>
        <v>9.0952917202036049E-2</v>
      </c>
      <c r="Q135" s="506">
        <f t="shared" si="132"/>
        <v>9.0952917202036049E-2</v>
      </c>
      <c r="R135" s="506">
        <f t="shared" si="132"/>
        <v>9.0952917202036049E-2</v>
      </c>
      <c r="S135" s="506">
        <f t="shared" si="132"/>
        <v>9.0952917202036049E-2</v>
      </c>
      <c r="T135" s="506">
        <f t="shared" si="132"/>
        <v>9.0952917202036049E-2</v>
      </c>
      <c r="U135" s="506">
        <f t="shared" si="132"/>
        <v>9.0952917202036049E-2</v>
      </c>
      <c r="V135" s="506">
        <f t="shared" si="132"/>
        <v>9.0952917202036049E-2</v>
      </c>
      <c r="W135" s="506">
        <f t="shared" si="132"/>
        <v>9.0952917202036049E-2</v>
      </c>
      <c r="X135" s="506">
        <f t="shared" si="132"/>
        <v>9.0952917202036049E-2</v>
      </c>
      <c r="Y135" s="506">
        <f t="shared" si="132"/>
        <v>9.0952917202036049E-2</v>
      </c>
      <c r="Z135" s="506">
        <f t="shared" si="132"/>
        <v>9.0952917202036049E-2</v>
      </c>
      <c r="AA135" s="506">
        <f t="shared" si="132"/>
        <v>9.0952917202036049E-2</v>
      </c>
      <c r="AB135" s="506">
        <f t="shared" si="132"/>
        <v>9.0952917202036049E-2</v>
      </c>
      <c r="AC135" s="506">
        <f t="shared" si="132"/>
        <v>9.0952917202036049E-2</v>
      </c>
      <c r="AD135" s="506">
        <f t="shared" si="132"/>
        <v>9.0952917202036049E-2</v>
      </c>
      <c r="AE135" s="506">
        <f t="shared" si="132"/>
        <v>9.0952917202036049E-2</v>
      </c>
      <c r="AF135" s="506">
        <f t="shared" si="132"/>
        <v>9.0952917202036049E-2</v>
      </c>
      <c r="AG135" s="506">
        <f t="shared" si="132"/>
        <v>9.0952917202036049E-2</v>
      </c>
      <c r="AH135" s="506"/>
      <c r="AI135" s="506"/>
      <c r="AJ135" s="506">
        <f>IF($C$4=Year1,-PMT(Lookups!$E$17,25,NPV(Lookups!$E$17,G135:AE135),0,1),IF($C$4=Year2,-PMT(Lookups!$F$17,25,NPV(Lookups!$F$17,H135:AF135),0,1),IF($C$4=Year3,-PMT(Lookups!$G$17,25,NPV(Lookups!$G$17,I135:AG135),0,1),-PMT(Lookups!$G$17,27,NPV(Lookups!$G$17,G135:AG135),0,1))))</f>
        <v>8.9684421310792128E-2</v>
      </c>
      <c r="AK135" s="507"/>
      <c r="AL135" s="507"/>
      <c r="AM135" s="508">
        <f>AM120</f>
        <v>9.0952917202036049E-2</v>
      </c>
      <c r="AN135" s="508">
        <f t="shared" ref="AN135:BM135" si="133">AN120</f>
        <v>9.0952917202036049E-2</v>
      </c>
      <c r="AO135" s="508">
        <f t="shared" si="133"/>
        <v>9.0952917202036049E-2</v>
      </c>
      <c r="AP135" s="508">
        <f t="shared" si="133"/>
        <v>9.0952917202036049E-2</v>
      </c>
      <c r="AQ135" s="508">
        <f t="shared" si="133"/>
        <v>9.0952917202036049E-2</v>
      </c>
      <c r="AR135" s="508">
        <f t="shared" si="133"/>
        <v>9.0952917202036049E-2</v>
      </c>
      <c r="AS135" s="508">
        <f t="shared" si="133"/>
        <v>9.0952917202036049E-2</v>
      </c>
      <c r="AT135" s="508">
        <f t="shared" si="133"/>
        <v>9.0952917202036049E-2</v>
      </c>
      <c r="AU135" s="508">
        <f t="shared" si="133"/>
        <v>9.0952917202036049E-2</v>
      </c>
      <c r="AV135" s="508">
        <f t="shared" si="133"/>
        <v>9.0952917202036049E-2</v>
      </c>
      <c r="AW135" s="508">
        <f t="shared" si="133"/>
        <v>9.0952917202036049E-2</v>
      </c>
      <c r="AX135" s="508">
        <f t="shared" si="133"/>
        <v>9.0952917202036049E-2</v>
      </c>
      <c r="AY135" s="508">
        <f t="shared" si="133"/>
        <v>9.0952917202036049E-2</v>
      </c>
      <c r="AZ135" s="508">
        <f t="shared" si="133"/>
        <v>9.0952917202036049E-2</v>
      </c>
      <c r="BA135" s="508">
        <f t="shared" si="133"/>
        <v>9.0952917202036049E-2</v>
      </c>
      <c r="BB135" s="508">
        <f t="shared" si="133"/>
        <v>9.0952917202036049E-2</v>
      </c>
      <c r="BC135" s="508">
        <f t="shared" si="133"/>
        <v>9.0952917202036049E-2</v>
      </c>
      <c r="BD135" s="508">
        <f t="shared" si="133"/>
        <v>9.0952917202036049E-2</v>
      </c>
      <c r="BE135" s="508">
        <f t="shared" si="133"/>
        <v>9.0952917202036049E-2</v>
      </c>
      <c r="BF135" s="508">
        <f t="shared" si="133"/>
        <v>9.0952917202036049E-2</v>
      </c>
      <c r="BG135" s="508">
        <f t="shared" si="133"/>
        <v>9.0952917202036049E-2</v>
      </c>
      <c r="BH135" s="508">
        <f t="shared" si="133"/>
        <v>9.0952917202036049E-2</v>
      </c>
      <c r="BI135" s="508">
        <f t="shared" si="133"/>
        <v>9.0952917202036049E-2</v>
      </c>
      <c r="BJ135" s="508">
        <f t="shared" si="133"/>
        <v>9.0952917202036049E-2</v>
      </c>
      <c r="BK135" s="508">
        <f t="shared" si="133"/>
        <v>9.0952917202036049E-2</v>
      </c>
      <c r="BL135" s="508">
        <f t="shared" si="133"/>
        <v>9.0952917202036049E-2</v>
      </c>
      <c r="BM135" s="508">
        <f t="shared" si="133"/>
        <v>9.0952917202036049E-2</v>
      </c>
      <c r="BN135" s="508"/>
      <c r="BO135" s="508"/>
      <c r="BP135" s="508">
        <f>IF($C$4=Year1,-PMT(Lookups!$E$17,25,NPV(Lookups!$E$17,AM135:BK135),0,1),IF($C$4=Year2,-PMT(Lookups!$F$17,25,NPV(Lookups!$F$17,AN135:BL135),0,1),IF($C$4=Year3,-PMT(Lookups!$G$17,25,NPV(Lookups!$G$17,AO135:BM135),0,1),-PMT(Lookups!$G$17,27,NPV(Lookups!$G$17,AM135:BM135),0,1))))</f>
        <v>8.9684421310792128E-2</v>
      </c>
      <c r="BS135" s="84" t="s">
        <v>171</v>
      </c>
      <c r="BT135" s="51" t="s">
        <v>17</v>
      </c>
    </row>
    <row r="136" spans="1:72" x14ac:dyDescent="0.25">
      <c r="B136" s="243" t="str">
        <f>B134</f>
        <v>Low-Income</v>
      </c>
      <c r="C136" s="243" t="str">
        <f>C134</f>
        <v>Rates</v>
      </c>
      <c r="D136" s="244" t="str">
        <f>D134</f>
        <v>Rates after DSM Scenario</v>
      </c>
      <c r="E136" s="84" t="s">
        <v>76</v>
      </c>
      <c r="F136" s="84" t="s">
        <v>182</v>
      </c>
      <c r="G136" s="506">
        <f ca="1">SUM(G131:G135)</f>
        <v>0.9679684514016722</v>
      </c>
      <c r="H136" s="506">
        <f ca="1">SUM(H131:H135)</f>
        <v>0.97232502776059959</v>
      </c>
      <c r="I136" s="506">
        <f t="shared" ref="I136:AG136" ca="1" si="134">SUM(I131:I135)</f>
        <v>0.97704382926594324</v>
      </c>
      <c r="J136" s="506">
        <f t="shared" ca="1" si="134"/>
        <v>0.90825801770547243</v>
      </c>
      <c r="K136" s="506">
        <f t="shared" ca="1" si="134"/>
        <v>0.90825801770547243</v>
      </c>
      <c r="L136" s="506">
        <f t="shared" ca="1" si="134"/>
        <v>0.90825801770547243</v>
      </c>
      <c r="M136" s="506">
        <f t="shared" ca="1" si="134"/>
        <v>0.90825801770547243</v>
      </c>
      <c r="N136" s="506">
        <f t="shared" ca="1" si="134"/>
        <v>0.90825801770547243</v>
      </c>
      <c r="O136" s="506">
        <f t="shared" ca="1" si="134"/>
        <v>0.90825801770547243</v>
      </c>
      <c r="P136" s="506">
        <f t="shared" ca="1" si="134"/>
        <v>0.90825801770547243</v>
      </c>
      <c r="Q136" s="506">
        <f t="shared" ca="1" si="134"/>
        <v>0.90825801770547243</v>
      </c>
      <c r="R136" s="506">
        <f t="shared" ca="1" si="134"/>
        <v>0.90825801770547243</v>
      </c>
      <c r="S136" s="506">
        <f t="shared" ca="1" si="134"/>
        <v>0.90825801770547243</v>
      </c>
      <c r="T136" s="506">
        <f t="shared" ca="1" si="134"/>
        <v>0.90825801770547243</v>
      </c>
      <c r="U136" s="506">
        <f t="shared" ca="1" si="134"/>
        <v>0.90825801770547243</v>
      </c>
      <c r="V136" s="506">
        <f t="shared" ca="1" si="134"/>
        <v>0.90825801770547243</v>
      </c>
      <c r="W136" s="506">
        <f t="shared" ca="1" si="134"/>
        <v>0.90825801770547243</v>
      </c>
      <c r="X136" s="506">
        <f t="shared" ca="1" si="134"/>
        <v>0.90825801770547243</v>
      </c>
      <c r="Y136" s="506">
        <f t="shared" ca="1" si="134"/>
        <v>0.90825801770547243</v>
      </c>
      <c r="Z136" s="506">
        <f t="shared" ca="1" si="134"/>
        <v>0.90825801770547243</v>
      </c>
      <c r="AA136" s="506">
        <f t="shared" ca="1" si="134"/>
        <v>0.90584089531561307</v>
      </c>
      <c r="AB136" s="506">
        <f t="shared" ca="1" si="134"/>
        <v>0.90344548712922301</v>
      </c>
      <c r="AC136" s="506">
        <f t="shared" ca="1" si="134"/>
        <v>0.90105291720203595</v>
      </c>
      <c r="AD136" s="506">
        <f t="shared" ca="1" si="134"/>
        <v>0.90105291720203595</v>
      </c>
      <c r="AE136" s="506">
        <f t="shared" ca="1" si="134"/>
        <v>0.90105291720203595</v>
      </c>
      <c r="AF136" s="506">
        <f t="shared" ca="1" si="134"/>
        <v>0.90105291720203595</v>
      </c>
      <c r="AG136" s="506">
        <f t="shared" ca="1" si="134"/>
        <v>0.90105291720203595</v>
      </c>
      <c r="AH136" s="506"/>
      <c r="AI136" s="506"/>
      <c r="AJ136" s="506">
        <f ca="1">IF($C$4=Year1,-PMT(Lookups!$E$17,25,NPV(Lookups!$E$17,G136:AE136),0,1),IF($C$4=Year2,-PMT(Lookups!$F$17,25,NPV(Lookups!$F$17,H136:AF136),0,1),IF($C$4=Year3,-PMT(Lookups!$G$17,25,NPV(Lookups!$G$17,I136:AG136),0,1),-PMT(Lookups!$G$17,27,NPV(Lookups!$G$17,G136:AG136),0,1))))</f>
        <v>0.90250324338586729</v>
      </c>
      <c r="AK136" s="507"/>
      <c r="AL136" s="507"/>
      <c r="AM136" s="508">
        <f ca="1">SUM(AM131:AM135)</f>
        <v>0.98123113093568004</v>
      </c>
      <c r="AN136" s="508">
        <f t="shared" ref="AN136:BM136" ca="1" si="135">SUM(AN131:AN135)</f>
        <v>0.98634548666991395</v>
      </c>
      <c r="AO136" s="508">
        <f t="shared" ca="1" si="135"/>
        <v>0.99190333946934961</v>
      </c>
      <c r="AP136" s="508">
        <f t="shared" ca="1" si="135"/>
        <v>0.90936036559678468</v>
      </c>
      <c r="AQ136" s="508">
        <f t="shared" ca="1" si="135"/>
        <v>0.90936036559678468</v>
      </c>
      <c r="AR136" s="508">
        <f t="shared" ca="1" si="135"/>
        <v>0.90936036559678468</v>
      </c>
      <c r="AS136" s="508">
        <f t="shared" ca="1" si="135"/>
        <v>0.90936036559678468</v>
      </c>
      <c r="AT136" s="508">
        <f t="shared" ca="1" si="135"/>
        <v>0.90936036559678468</v>
      </c>
      <c r="AU136" s="508">
        <f t="shared" ca="1" si="135"/>
        <v>0.90936036559678468</v>
      </c>
      <c r="AV136" s="508">
        <f t="shared" ca="1" si="135"/>
        <v>0.90936036559678468</v>
      </c>
      <c r="AW136" s="508">
        <f t="shared" ca="1" si="135"/>
        <v>0.90936036559678468</v>
      </c>
      <c r="AX136" s="508">
        <f t="shared" ca="1" si="135"/>
        <v>0.90936036559678468</v>
      </c>
      <c r="AY136" s="508">
        <f t="shared" ca="1" si="135"/>
        <v>0.90936036559678468</v>
      </c>
      <c r="AZ136" s="508">
        <f t="shared" ca="1" si="135"/>
        <v>0.90936036559678468</v>
      </c>
      <c r="BA136" s="508">
        <f t="shared" ca="1" si="135"/>
        <v>0.90936036559678468</v>
      </c>
      <c r="BB136" s="508">
        <f t="shared" ca="1" si="135"/>
        <v>0.90936036559678468</v>
      </c>
      <c r="BC136" s="508">
        <f t="shared" ca="1" si="135"/>
        <v>0.90936036559678468</v>
      </c>
      <c r="BD136" s="508">
        <f t="shared" ca="1" si="135"/>
        <v>0.90936036559678468</v>
      </c>
      <c r="BE136" s="508">
        <f t="shared" ca="1" si="135"/>
        <v>0.90936036559678468</v>
      </c>
      <c r="BF136" s="508">
        <f t="shared" ca="1" si="135"/>
        <v>0.90936036559678468</v>
      </c>
      <c r="BG136" s="508">
        <f t="shared" ca="1" si="135"/>
        <v>0.90655704840503071</v>
      </c>
      <c r="BH136" s="508">
        <f t="shared" ca="1" si="135"/>
        <v>0.90379528581391222</v>
      </c>
      <c r="BI136" s="508">
        <f t="shared" ca="1" si="135"/>
        <v>0.90105291720203595</v>
      </c>
      <c r="BJ136" s="508">
        <f t="shared" ca="1" si="135"/>
        <v>0.90105291720203595</v>
      </c>
      <c r="BK136" s="508">
        <f t="shared" ca="1" si="135"/>
        <v>0.90105291720203595</v>
      </c>
      <c r="BL136" s="508">
        <f t="shared" ca="1" si="135"/>
        <v>0.90105291720203595</v>
      </c>
      <c r="BM136" s="508">
        <f t="shared" ca="1" si="135"/>
        <v>0.90105291720203595</v>
      </c>
      <c r="BN136" s="508"/>
      <c r="BO136" s="508"/>
      <c r="BP136" s="508">
        <f ca="1">IF($C$4=Year1,-PMT(Lookups!$E$17,25,NPV(Lookups!$E$17,AM136:BK136),0,1),IF($C$4=Year2,-PMT(Lookups!$F$17,25,NPV(Lookups!$F$17,AN136:BL136),0,1),IF($C$4=Year3,-PMT(Lookups!$G$17,25,NPV(Lookups!$G$17,AO136:BM136),0,1),-PMT(Lookups!$G$17,27,NPV(Lookups!$G$17,AM136:BM136),0,1))))</f>
        <v>0.90504941281553197</v>
      </c>
      <c r="BS136" s="84" t="s">
        <v>235</v>
      </c>
      <c r="BT136" s="51" t="s">
        <v>17</v>
      </c>
    </row>
    <row r="137" spans="1:72" x14ac:dyDescent="0.25">
      <c r="B137" s="243" t="str">
        <f>B135</f>
        <v>Low-Income</v>
      </c>
      <c r="C137" s="243" t="str">
        <f>C135</f>
        <v>Rates</v>
      </c>
      <c r="D137" s="114" t="s">
        <v>114</v>
      </c>
      <c r="E137" s="84"/>
      <c r="F137" s="84"/>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49"/>
      <c r="AI137" s="109"/>
      <c r="AJ137" s="49"/>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S137" s="84"/>
      <c r="BT137" s="51" t="s">
        <v>17</v>
      </c>
    </row>
    <row r="138" spans="1:72" x14ac:dyDescent="0.25">
      <c r="B138" s="243" t="str">
        <f t="shared" ref="B138:D153" si="136">B137</f>
        <v>Low-Income</v>
      </c>
      <c r="C138" s="243" t="str">
        <f t="shared" si="136"/>
        <v>Rates</v>
      </c>
      <c r="D138" s="244" t="str">
        <f t="shared" si="136"/>
        <v>Change in Rates after DSM Scenario</v>
      </c>
      <c r="E138" s="84" t="s">
        <v>76</v>
      </c>
      <c r="F138" s="84" t="s">
        <v>182</v>
      </c>
      <c r="G138" s="510">
        <f ca="1">G136-G121</f>
        <v>6.6915534199636251E-2</v>
      </c>
      <c r="H138" s="510">
        <f t="shared" ref="H138:AG138" ca="1" si="137">H136-H121</f>
        <v>7.1272110558563639E-2</v>
      </c>
      <c r="I138" s="510">
        <f t="shared" ca="1" si="137"/>
        <v>7.599091206390729E-2</v>
      </c>
      <c r="J138" s="510">
        <f t="shared" ca="1" si="137"/>
        <v>7.205100503436479E-3</v>
      </c>
      <c r="K138" s="510">
        <f t="shared" ca="1" si="137"/>
        <v>7.205100503436479E-3</v>
      </c>
      <c r="L138" s="510">
        <f t="shared" ca="1" si="137"/>
        <v>7.205100503436479E-3</v>
      </c>
      <c r="M138" s="510">
        <f t="shared" ca="1" si="137"/>
        <v>7.205100503436479E-3</v>
      </c>
      <c r="N138" s="510">
        <f t="shared" ca="1" si="137"/>
        <v>7.205100503436479E-3</v>
      </c>
      <c r="O138" s="510">
        <f t="shared" ca="1" si="137"/>
        <v>7.205100503436479E-3</v>
      </c>
      <c r="P138" s="510">
        <f t="shared" ca="1" si="137"/>
        <v>7.205100503436479E-3</v>
      </c>
      <c r="Q138" s="510">
        <f t="shared" ca="1" si="137"/>
        <v>7.205100503436479E-3</v>
      </c>
      <c r="R138" s="510">
        <f t="shared" ca="1" si="137"/>
        <v>7.205100503436479E-3</v>
      </c>
      <c r="S138" s="510">
        <f t="shared" ca="1" si="137"/>
        <v>7.205100503436479E-3</v>
      </c>
      <c r="T138" s="510">
        <f t="shared" ca="1" si="137"/>
        <v>7.205100503436479E-3</v>
      </c>
      <c r="U138" s="510">
        <f t="shared" ca="1" si="137"/>
        <v>7.205100503436479E-3</v>
      </c>
      <c r="V138" s="510">
        <f t="shared" ca="1" si="137"/>
        <v>7.205100503436479E-3</v>
      </c>
      <c r="W138" s="510">
        <f t="shared" ca="1" si="137"/>
        <v>7.205100503436479E-3</v>
      </c>
      <c r="X138" s="510">
        <f t="shared" ca="1" si="137"/>
        <v>7.205100503436479E-3</v>
      </c>
      <c r="Y138" s="510">
        <f t="shared" ca="1" si="137"/>
        <v>7.205100503436479E-3</v>
      </c>
      <c r="Z138" s="510">
        <f t="shared" ca="1" si="137"/>
        <v>7.205100503436479E-3</v>
      </c>
      <c r="AA138" s="510">
        <f t="shared" ca="1" si="137"/>
        <v>4.7879781135771182E-3</v>
      </c>
      <c r="AB138" s="510">
        <f t="shared" ca="1" si="137"/>
        <v>2.3925699271870604E-3</v>
      </c>
      <c r="AC138" s="510">
        <f t="shared" ca="1" si="137"/>
        <v>0</v>
      </c>
      <c r="AD138" s="510">
        <f t="shared" ca="1" si="137"/>
        <v>0</v>
      </c>
      <c r="AE138" s="510">
        <f t="shared" ca="1" si="137"/>
        <v>0</v>
      </c>
      <c r="AF138" s="510">
        <f t="shared" ca="1" si="137"/>
        <v>0</v>
      </c>
      <c r="AG138" s="510">
        <f t="shared" ca="1" si="137"/>
        <v>0</v>
      </c>
      <c r="AH138" s="510"/>
      <c r="AI138" s="510"/>
      <c r="AJ138" s="510">
        <f ca="1">IF($C$4=Year1,-PMT(Lookups!$E$17,25,NPV(Lookups!$E$17,G138:AE138),0,1),IF($C$4=Year2,-PMT(Lookups!$F$17,25,NPV(Lookups!$F$17,H138:AF138),0,1),IF($C$4=Year3,-PMT(Lookups!$G$17,25,NPV(Lookups!$G$17,I138:AG138),0,1),-PMT(Lookups!$G$17,27,NPV(Lookups!$G$17,G138:AG138),0,1))))</f>
        <v>1.401706904844113E-2</v>
      </c>
      <c r="AK138" s="507"/>
      <c r="AL138" s="507"/>
      <c r="AM138" s="508">
        <f ca="1">AM136-AM121</f>
        <v>8.0178213733644088E-2</v>
      </c>
      <c r="AN138" s="508">
        <f t="shared" ref="AN138:BM138" ca="1" si="138">AN136-AN121</f>
        <v>8.5292569467877999E-2</v>
      </c>
      <c r="AO138" s="508">
        <f t="shared" ca="1" si="138"/>
        <v>9.0850422267313657E-2</v>
      </c>
      <c r="AP138" s="508">
        <f t="shared" ca="1" si="138"/>
        <v>8.3074483947487288E-3</v>
      </c>
      <c r="AQ138" s="508">
        <f t="shared" ca="1" si="138"/>
        <v>8.3074483947487288E-3</v>
      </c>
      <c r="AR138" s="508">
        <f t="shared" ca="1" si="138"/>
        <v>8.3074483947487288E-3</v>
      </c>
      <c r="AS138" s="508">
        <f t="shared" ca="1" si="138"/>
        <v>8.3074483947487288E-3</v>
      </c>
      <c r="AT138" s="508">
        <f t="shared" ca="1" si="138"/>
        <v>8.3074483947487288E-3</v>
      </c>
      <c r="AU138" s="508">
        <f t="shared" ca="1" si="138"/>
        <v>8.3074483947487288E-3</v>
      </c>
      <c r="AV138" s="508">
        <f t="shared" ca="1" si="138"/>
        <v>8.3074483947487288E-3</v>
      </c>
      <c r="AW138" s="508">
        <f t="shared" ca="1" si="138"/>
        <v>8.3074483947487288E-3</v>
      </c>
      <c r="AX138" s="508">
        <f t="shared" ca="1" si="138"/>
        <v>8.3074483947487288E-3</v>
      </c>
      <c r="AY138" s="508">
        <f t="shared" ca="1" si="138"/>
        <v>8.3074483947487288E-3</v>
      </c>
      <c r="AZ138" s="508">
        <f t="shared" ca="1" si="138"/>
        <v>8.3074483947487288E-3</v>
      </c>
      <c r="BA138" s="508">
        <f t="shared" ca="1" si="138"/>
        <v>8.3074483947487288E-3</v>
      </c>
      <c r="BB138" s="508">
        <f t="shared" ca="1" si="138"/>
        <v>8.3074483947487288E-3</v>
      </c>
      <c r="BC138" s="508">
        <f t="shared" ca="1" si="138"/>
        <v>8.3074483947487288E-3</v>
      </c>
      <c r="BD138" s="508">
        <f t="shared" ca="1" si="138"/>
        <v>8.3074483947487288E-3</v>
      </c>
      <c r="BE138" s="508">
        <f t="shared" ca="1" si="138"/>
        <v>8.3074483947487288E-3</v>
      </c>
      <c r="BF138" s="508">
        <f t="shared" ca="1" si="138"/>
        <v>8.3074483947487288E-3</v>
      </c>
      <c r="BG138" s="508">
        <f t="shared" ca="1" si="138"/>
        <v>5.5041312029947553E-3</v>
      </c>
      <c r="BH138" s="508">
        <f t="shared" ca="1" si="138"/>
        <v>2.7423686118762669E-3</v>
      </c>
      <c r="BI138" s="508">
        <f t="shared" ca="1" si="138"/>
        <v>0</v>
      </c>
      <c r="BJ138" s="508">
        <f t="shared" ca="1" si="138"/>
        <v>0</v>
      </c>
      <c r="BK138" s="508">
        <f t="shared" ca="1" si="138"/>
        <v>0</v>
      </c>
      <c r="BL138" s="508">
        <f t="shared" ca="1" si="138"/>
        <v>0</v>
      </c>
      <c r="BM138" s="508">
        <f t="shared" ca="1" si="138"/>
        <v>0</v>
      </c>
      <c r="BN138" s="508"/>
      <c r="BO138" s="508"/>
      <c r="BP138" s="508">
        <f ca="1">IF($C$4=Year1,-PMT(Lookups!$E$17,25,NPV(Lookups!$E$17,AM138:BK138),0,1),IF($C$4=Year2,-PMT(Lookups!$F$17,25,NPV(Lookups!$F$17,AN138:BL138),0,1),IF($C$4=Year3,-PMT(Lookups!$G$17,25,NPV(Lookups!$G$17,AO138:BM138),0,1),-PMT(Lookups!$G$17,27,NPV(Lookups!$G$17,AM138:BM138),0,1))))</f>
        <v>1.6563238478105816E-2</v>
      </c>
      <c r="BS138" s="84" t="s">
        <v>233</v>
      </c>
      <c r="BT138" s="51" t="s">
        <v>17</v>
      </c>
    </row>
    <row r="139" spans="1:72" x14ac:dyDescent="0.25">
      <c r="B139" s="243" t="str">
        <f t="shared" si="136"/>
        <v>Low-Income</v>
      </c>
      <c r="C139" s="243" t="str">
        <f t="shared" si="136"/>
        <v>Rates</v>
      </c>
      <c r="D139" s="244" t="str">
        <f t="shared" si="136"/>
        <v>Change in Rates after DSM Scenario</v>
      </c>
      <c r="E139" s="84" t="s">
        <v>76</v>
      </c>
      <c r="F139" s="84" t="s">
        <v>16</v>
      </c>
      <c r="G139" s="224">
        <f ca="1">IFERROR(G136/G121-1,0)</f>
        <v>7.4263711844386959E-2</v>
      </c>
      <c r="H139" s="224">
        <f t="shared" ref="H139:AG139" ca="1" si="139">IFERROR(H136/H121-1,0)</f>
        <v>7.9098695756825155E-2</v>
      </c>
      <c r="I139" s="224">
        <f t="shared" ca="1" si="139"/>
        <v>8.4335681748720637E-2</v>
      </c>
      <c r="J139" s="224">
        <f t="shared" ca="1" si="139"/>
        <v>7.9963122763198058E-3</v>
      </c>
      <c r="K139" s="224">
        <f t="shared" ca="1" si="139"/>
        <v>7.9963122763198058E-3</v>
      </c>
      <c r="L139" s="224">
        <f t="shared" ca="1" si="139"/>
        <v>7.9963122763198058E-3</v>
      </c>
      <c r="M139" s="224">
        <f t="shared" ca="1" si="139"/>
        <v>7.9963122763198058E-3</v>
      </c>
      <c r="N139" s="224">
        <f t="shared" ca="1" si="139"/>
        <v>7.9963122763198058E-3</v>
      </c>
      <c r="O139" s="224">
        <f t="shared" ca="1" si="139"/>
        <v>7.9963122763198058E-3</v>
      </c>
      <c r="P139" s="224">
        <f t="shared" ca="1" si="139"/>
        <v>7.9963122763198058E-3</v>
      </c>
      <c r="Q139" s="224">
        <f t="shared" ca="1" si="139"/>
        <v>7.9963122763198058E-3</v>
      </c>
      <c r="R139" s="224">
        <f t="shared" ca="1" si="139"/>
        <v>7.9963122763198058E-3</v>
      </c>
      <c r="S139" s="224">
        <f t="shared" ca="1" si="139"/>
        <v>7.9963122763198058E-3</v>
      </c>
      <c r="T139" s="224">
        <f t="shared" ca="1" si="139"/>
        <v>7.9963122763198058E-3</v>
      </c>
      <c r="U139" s="224">
        <f t="shared" ca="1" si="139"/>
        <v>7.9963122763198058E-3</v>
      </c>
      <c r="V139" s="224">
        <f t="shared" ca="1" si="139"/>
        <v>7.9963122763198058E-3</v>
      </c>
      <c r="W139" s="224">
        <f t="shared" ca="1" si="139"/>
        <v>7.9963122763198058E-3</v>
      </c>
      <c r="X139" s="224">
        <f t="shared" ca="1" si="139"/>
        <v>7.9963122763198058E-3</v>
      </c>
      <c r="Y139" s="224">
        <f t="shared" ca="1" si="139"/>
        <v>7.9963122763198058E-3</v>
      </c>
      <c r="Z139" s="224">
        <f t="shared" ca="1" si="139"/>
        <v>7.9963122763198058E-3</v>
      </c>
      <c r="AA139" s="224">
        <f t="shared" ca="1" si="139"/>
        <v>5.3137590724914308E-3</v>
      </c>
      <c r="AB139" s="224">
        <f t="shared" ca="1" si="139"/>
        <v>2.6553045681452225E-3</v>
      </c>
      <c r="AC139" s="224">
        <f t="shared" ca="1" si="139"/>
        <v>0</v>
      </c>
      <c r="AD139" s="224">
        <f t="shared" ca="1" si="139"/>
        <v>0</v>
      </c>
      <c r="AE139" s="224">
        <f t="shared" ca="1" si="139"/>
        <v>0</v>
      </c>
      <c r="AF139" s="224">
        <f t="shared" ca="1" si="139"/>
        <v>0</v>
      </c>
      <c r="AG139" s="224">
        <f t="shared" ca="1" si="139"/>
        <v>0</v>
      </c>
      <c r="AH139" s="224"/>
      <c r="AI139" s="224"/>
      <c r="AJ139" s="224">
        <f ca="1">IFERROR(AJ136/AJ121-1,0)</f>
        <v>1.5776350216022417E-2</v>
      </c>
      <c r="AK139" s="212"/>
      <c r="AL139" s="212"/>
      <c r="AM139" s="504">
        <f ca="1">IFERROR(AM136/AM121-1,0)</f>
        <v>8.8982802455836563E-2</v>
      </c>
      <c r="AN139" s="504">
        <f t="shared" ref="AN139:BM139" ca="1" si="140">IFERROR(AN136/AN121-1,0)</f>
        <v>9.4658779567275531E-2</v>
      </c>
      <c r="AO139" s="504">
        <f t="shared" ca="1" si="140"/>
        <v>0.10082695536841935</v>
      </c>
      <c r="AP139" s="504">
        <f t="shared" ca="1" si="140"/>
        <v>9.2197120015382605E-3</v>
      </c>
      <c r="AQ139" s="504">
        <f t="shared" ca="1" si="140"/>
        <v>9.2197120015382605E-3</v>
      </c>
      <c r="AR139" s="504">
        <f t="shared" ca="1" si="140"/>
        <v>9.2197120015382605E-3</v>
      </c>
      <c r="AS139" s="504">
        <f t="shared" ca="1" si="140"/>
        <v>9.2197120015382605E-3</v>
      </c>
      <c r="AT139" s="504">
        <f t="shared" ca="1" si="140"/>
        <v>9.2197120015382605E-3</v>
      </c>
      <c r="AU139" s="504">
        <f t="shared" ca="1" si="140"/>
        <v>9.2197120015382605E-3</v>
      </c>
      <c r="AV139" s="504">
        <f t="shared" ca="1" si="140"/>
        <v>9.2197120015382605E-3</v>
      </c>
      <c r="AW139" s="504">
        <f t="shared" ca="1" si="140"/>
        <v>9.2197120015382605E-3</v>
      </c>
      <c r="AX139" s="504">
        <f t="shared" ca="1" si="140"/>
        <v>9.2197120015382605E-3</v>
      </c>
      <c r="AY139" s="504">
        <f t="shared" ca="1" si="140"/>
        <v>9.2197120015382605E-3</v>
      </c>
      <c r="AZ139" s="504">
        <f t="shared" ca="1" si="140"/>
        <v>9.2197120015382605E-3</v>
      </c>
      <c r="BA139" s="504">
        <f t="shared" ca="1" si="140"/>
        <v>9.2197120015382605E-3</v>
      </c>
      <c r="BB139" s="504">
        <f t="shared" ca="1" si="140"/>
        <v>9.2197120015382605E-3</v>
      </c>
      <c r="BC139" s="504">
        <f t="shared" ca="1" si="140"/>
        <v>9.2197120015382605E-3</v>
      </c>
      <c r="BD139" s="504">
        <f t="shared" ca="1" si="140"/>
        <v>9.2197120015382605E-3</v>
      </c>
      <c r="BE139" s="504">
        <f t="shared" ca="1" si="140"/>
        <v>9.2197120015382605E-3</v>
      </c>
      <c r="BF139" s="504">
        <f t="shared" ca="1" si="140"/>
        <v>9.2197120015382605E-3</v>
      </c>
      <c r="BG139" s="504">
        <f t="shared" ca="1" si="140"/>
        <v>6.1085548894135311E-3</v>
      </c>
      <c r="BH139" s="504">
        <f t="shared" ca="1" si="140"/>
        <v>3.0435156021602072E-3</v>
      </c>
      <c r="BI139" s="504">
        <f t="shared" ca="1" si="140"/>
        <v>0</v>
      </c>
      <c r="BJ139" s="504">
        <f t="shared" ca="1" si="140"/>
        <v>0</v>
      </c>
      <c r="BK139" s="504">
        <f t="shared" ca="1" si="140"/>
        <v>0</v>
      </c>
      <c r="BL139" s="504">
        <f t="shared" ca="1" si="140"/>
        <v>0</v>
      </c>
      <c r="BM139" s="504">
        <f t="shared" ca="1" si="140"/>
        <v>0</v>
      </c>
      <c r="BN139" s="504"/>
      <c r="BO139" s="504"/>
      <c r="BP139" s="504">
        <f ca="1">IFERROR(BP136/BP121-1,0)</f>
        <v>1.8642089158514619E-2</v>
      </c>
      <c r="BS139" s="84" t="s">
        <v>234</v>
      </c>
      <c r="BT139" s="51" t="s">
        <v>17</v>
      </c>
    </row>
    <row r="140" spans="1:72" x14ac:dyDescent="0.25">
      <c r="B140" s="243" t="str">
        <f t="shared" si="136"/>
        <v>Low-Income</v>
      </c>
      <c r="C140" s="243" t="str">
        <f t="shared" si="136"/>
        <v>Rates</v>
      </c>
      <c r="D140" s="85"/>
      <c r="E140" s="84" t="s">
        <v>17</v>
      </c>
      <c r="F140" s="84"/>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S140" s="84"/>
      <c r="BT140" s="51" t="s">
        <v>17</v>
      </c>
    </row>
    <row r="141" spans="1:72" s="5" customFormat="1" ht="15.75" x14ac:dyDescent="0.25">
      <c r="A141" s="52"/>
      <c r="B141" s="241" t="str">
        <f t="shared" si="136"/>
        <v>Low-Income</v>
      </c>
      <c r="C141" s="63" t="s">
        <v>51</v>
      </c>
      <c r="D141" s="61"/>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2"/>
      <c r="BO141" s="62"/>
      <c r="BP141" s="62"/>
      <c r="BS141" s="62"/>
      <c r="BT141" s="51" t="s">
        <v>17</v>
      </c>
    </row>
    <row r="142" spans="1:72" x14ac:dyDescent="0.25">
      <c r="B142" s="243" t="str">
        <f t="shared" si="136"/>
        <v>Low-Income</v>
      </c>
      <c r="C142" s="243" t="str">
        <f>C141</f>
        <v>Bills</v>
      </c>
      <c r="D142" s="114" t="str">
        <f>"Bills before DSM ("&amp;Lookups!$D$22&amp;" Scenario, Non-Participant)"</f>
        <v>Bills before DSM (No EE Scenario, Non-Participant)</v>
      </c>
      <c r="E142" s="86"/>
      <c r="F142" s="84"/>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149"/>
      <c r="BS142" s="84"/>
      <c r="BT142" s="51" t="s">
        <v>17</v>
      </c>
    </row>
    <row r="143" spans="1:72" x14ac:dyDescent="0.25">
      <c r="B143" s="243" t="str">
        <f t="shared" si="136"/>
        <v>Low-Income</v>
      </c>
      <c r="C143" s="243" t="str">
        <f t="shared" si="136"/>
        <v>Bills</v>
      </c>
      <c r="D143" s="244" t="str">
        <f>D142</f>
        <v>Bills before DSM (No EE Scenario, Non-Participant)</v>
      </c>
      <c r="E143" s="86" t="s">
        <v>75</v>
      </c>
      <c r="F143" s="84" t="s">
        <v>31</v>
      </c>
      <c r="G143" s="659">
        <f>IF(G$8=0,0,INDEX('R&amp;B Inputs'!$H$45:$U$45,MATCH($B143,'R&amp;B Inputs'!$H$4:$U$4,0))*(1+INDEX('R&amp;B Inputs'!$H$46:$U$46,MATCH($B143,'R&amp;B Inputs'!$H$4:$U$4,0)))^(G$7-Year1)*12)</f>
        <v>72.960000000000008</v>
      </c>
      <c r="H143" s="659">
        <f>IF(H$8=0,0,INDEX('R&amp;B Inputs'!$H$45:$U$45,MATCH($B143,'R&amp;B Inputs'!$H$4:$U$4,0))*(1+INDEX('R&amp;B Inputs'!$H$46:$U$46,MATCH($B143,'R&amp;B Inputs'!$H$4:$U$4,0)))^(H$7-Year1)*12)</f>
        <v>72.960000000000008</v>
      </c>
      <c r="I143" s="659">
        <f>IF(I$8=0,0,INDEX('R&amp;B Inputs'!$H$45:$U$45,MATCH($B143,'R&amp;B Inputs'!$H$4:$U$4,0))*(1+INDEX('R&amp;B Inputs'!$H$46:$U$46,MATCH($B143,'R&amp;B Inputs'!$H$4:$U$4,0)))^(I$7-Year1)*12)</f>
        <v>72.960000000000008</v>
      </c>
      <c r="J143" s="659">
        <f>IF(J$8=0,0,INDEX('R&amp;B Inputs'!$H$45:$U$45,MATCH($B143,'R&amp;B Inputs'!$H$4:$U$4,0))*(1+INDEX('R&amp;B Inputs'!$H$46:$U$46,MATCH($B143,'R&amp;B Inputs'!$H$4:$U$4,0)))^(J$7-Year1)*12)</f>
        <v>72.960000000000008</v>
      </c>
      <c r="K143" s="659">
        <f>IF(K$8=0,0,INDEX('R&amp;B Inputs'!$H$45:$U$45,MATCH($B143,'R&amp;B Inputs'!$H$4:$U$4,0))*(1+INDEX('R&amp;B Inputs'!$H$46:$U$46,MATCH($B143,'R&amp;B Inputs'!$H$4:$U$4,0)))^(K$7-Year1)*12)</f>
        <v>72.960000000000008</v>
      </c>
      <c r="L143" s="659">
        <f>IF(L$8=0,0,INDEX('R&amp;B Inputs'!$H$45:$U$45,MATCH($B143,'R&amp;B Inputs'!$H$4:$U$4,0))*(1+INDEX('R&amp;B Inputs'!$H$46:$U$46,MATCH($B143,'R&amp;B Inputs'!$H$4:$U$4,0)))^(L$7-Year1)*12)</f>
        <v>72.960000000000008</v>
      </c>
      <c r="M143" s="659">
        <f>IF(M$8=0,0,INDEX('R&amp;B Inputs'!$H$45:$U$45,MATCH($B143,'R&amp;B Inputs'!$H$4:$U$4,0))*(1+INDEX('R&amp;B Inputs'!$H$46:$U$46,MATCH($B143,'R&amp;B Inputs'!$H$4:$U$4,0)))^(M$7-Year1)*12)</f>
        <v>72.960000000000008</v>
      </c>
      <c r="N143" s="659">
        <f>IF(N$8=0,0,INDEX('R&amp;B Inputs'!$H$45:$U$45,MATCH($B143,'R&amp;B Inputs'!$H$4:$U$4,0))*(1+INDEX('R&amp;B Inputs'!$H$46:$U$46,MATCH($B143,'R&amp;B Inputs'!$H$4:$U$4,0)))^(N$7-Year1)*12)</f>
        <v>72.960000000000008</v>
      </c>
      <c r="O143" s="659">
        <f>IF(O$8=0,0,INDEX('R&amp;B Inputs'!$H$45:$U$45,MATCH($B143,'R&amp;B Inputs'!$H$4:$U$4,0))*(1+INDEX('R&amp;B Inputs'!$H$46:$U$46,MATCH($B143,'R&amp;B Inputs'!$H$4:$U$4,0)))^(O$7-Year1)*12)</f>
        <v>72.960000000000008</v>
      </c>
      <c r="P143" s="659">
        <f>IF(P$8=0,0,INDEX('R&amp;B Inputs'!$H$45:$U$45,MATCH($B143,'R&amp;B Inputs'!$H$4:$U$4,0))*(1+INDEX('R&amp;B Inputs'!$H$46:$U$46,MATCH($B143,'R&amp;B Inputs'!$H$4:$U$4,0)))^(P$7-Year1)*12)</f>
        <v>72.960000000000008</v>
      </c>
      <c r="Q143" s="659">
        <f>IF(Q$8=0,0,INDEX('R&amp;B Inputs'!$H$45:$U$45,MATCH($B143,'R&amp;B Inputs'!$H$4:$U$4,0))*(1+INDEX('R&amp;B Inputs'!$H$46:$U$46,MATCH($B143,'R&amp;B Inputs'!$H$4:$U$4,0)))^(Q$7-Year1)*12)</f>
        <v>72.960000000000008</v>
      </c>
      <c r="R143" s="659">
        <f>IF(R$8=0,0,INDEX('R&amp;B Inputs'!$H$45:$U$45,MATCH($B143,'R&amp;B Inputs'!$H$4:$U$4,0))*(1+INDEX('R&amp;B Inputs'!$H$46:$U$46,MATCH($B143,'R&amp;B Inputs'!$H$4:$U$4,0)))^(R$7-Year1)*12)</f>
        <v>72.960000000000008</v>
      </c>
      <c r="S143" s="659">
        <f>IF(S$8=0,0,INDEX('R&amp;B Inputs'!$H$45:$U$45,MATCH($B143,'R&amp;B Inputs'!$H$4:$U$4,0))*(1+INDEX('R&amp;B Inputs'!$H$46:$U$46,MATCH($B143,'R&amp;B Inputs'!$H$4:$U$4,0)))^(S$7-Year1)*12)</f>
        <v>72.960000000000008</v>
      </c>
      <c r="T143" s="659">
        <f>IF(T$8=0,0,INDEX('R&amp;B Inputs'!$H$45:$U$45,MATCH($B143,'R&amp;B Inputs'!$H$4:$U$4,0))*(1+INDEX('R&amp;B Inputs'!$H$46:$U$46,MATCH($B143,'R&amp;B Inputs'!$H$4:$U$4,0)))^(T$7-Year1)*12)</f>
        <v>72.960000000000008</v>
      </c>
      <c r="U143" s="659">
        <f>IF(U$8=0,0,INDEX('R&amp;B Inputs'!$H$45:$U$45,MATCH($B143,'R&amp;B Inputs'!$H$4:$U$4,0))*(1+INDEX('R&amp;B Inputs'!$H$46:$U$46,MATCH($B143,'R&amp;B Inputs'!$H$4:$U$4,0)))^(U$7-Year1)*12)</f>
        <v>72.960000000000008</v>
      </c>
      <c r="V143" s="659">
        <f>IF(V$8=0,0,INDEX('R&amp;B Inputs'!$H$45:$U$45,MATCH($B143,'R&amp;B Inputs'!$H$4:$U$4,0))*(1+INDEX('R&amp;B Inputs'!$H$46:$U$46,MATCH($B143,'R&amp;B Inputs'!$H$4:$U$4,0)))^(V$7-Year1)*12)</f>
        <v>72.960000000000008</v>
      </c>
      <c r="W143" s="659">
        <f>IF(W$8=0,0,INDEX('R&amp;B Inputs'!$H$45:$U$45,MATCH($B143,'R&amp;B Inputs'!$H$4:$U$4,0))*(1+INDEX('R&amp;B Inputs'!$H$46:$U$46,MATCH($B143,'R&amp;B Inputs'!$H$4:$U$4,0)))^(W$7-Year1)*12)</f>
        <v>72.960000000000008</v>
      </c>
      <c r="X143" s="659">
        <f>IF(X$8=0,0,INDEX('R&amp;B Inputs'!$H$45:$U$45,MATCH($B143,'R&amp;B Inputs'!$H$4:$U$4,0))*(1+INDEX('R&amp;B Inputs'!$H$46:$U$46,MATCH($B143,'R&amp;B Inputs'!$H$4:$U$4,0)))^(X$7-Year1)*12)</f>
        <v>72.960000000000008</v>
      </c>
      <c r="Y143" s="659">
        <f>IF(Y$8=0,0,INDEX('R&amp;B Inputs'!$H$45:$U$45,MATCH($B143,'R&amp;B Inputs'!$H$4:$U$4,0))*(1+INDEX('R&amp;B Inputs'!$H$46:$U$46,MATCH($B143,'R&amp;B Inputs'!$H$4:$U$4,0)))^(Y$7-Year1)*12)</f>
        <v>72.960000000000008</v>
      </c>
      <c r="Z143" s="659">
        <f>IF(Z$8=0,0,INDEX('R&amp;B Inputs'!$H$45:$U$45,MATCH($B143,'R&amp;B Inputs'!$H$4:$U$4,0))*(1+INDEX('R&amp;B Inputs'!$H$46:$U$46,MATCH($B143,'R&amp;B Inputs'!$H$4:$U$4,0)))^(Z$7-Year1)*12)</f>
        <v>72.960000000000008</v>
      </c>
      <c r="AA143" s="659">
        <f>IF(AA$8=0,0,INDEX('R&amp;B Inputs'!$H$45:$U$45,MATCH($B143,'R&amp;B Inputs'!$H$4:$U$4,0))*(1+INDEX('R&amp;B Inputs'!$H$46:$U$46,MATCH($B143,'R&amp;B Inputs'!$H$4:$U$4,0)))^(AA$7-Year1)*12)</f>
        <v>72.960000000000008</v>
      </c>
      <c r="AB143" s="659">
        <f>IF(AB$8=0,0,INDEX('R&amp;B Inputs'!$H$45:$U$45,MATCH($B143,'R&amp;B Inputs'!$H$4:$U$4,0))*(1+INDEX('R&amp;B Inputs'!$H$46:$U$46,MATCH($B143,'R&amp;B Inputs'!$H$4:$U$4,0)))^(AB$7-Year1)*12)</f>
        <v>72.960000000000008</v>
      </c>
      <c r="AC143" s="659">
        <f>IF(AC$8=0,0,INDEX('R&amp;B Inputs'!$H$45:$U$45,MATCH($B143,'R&amp;B Inputs'!$H$4:$U$4,0))*(1+INDEX('R&amp;B Inputs'!$H$46:$U$46,MATCH($B143,'R&amp;B Inputs'!$H$4:$U$4,0)))^(AC$7-Year1)*12)</f>
        <v>72.960000000000008</v>
      </c>
      <c r="AD143" s="659">
        <f>IF(AD$8=0,0,INDEX('R&amp;B Inputs'!$H$45:$U$45,MATCH($B143,'R&amp;B Inputs'!$H$4:$U$4,0))*(1+INDEX('R&amp;B Inputs'!$H$46:$U$46,MATCH($B143,'R&amp;B Inputs'!$H$4:$U$4,0)))^(AD$7-Year1)*12)</f>
        <v>72.960000000000008</v>
      </c>
      <c r="AE143" s="659">
        <f>IF(AE$8=0,0,INDEX('R&amp;B Inputs'!$H$45:$U$45,MATCH($B143,'R&amp;B Inputs'!$H$4:$U$4,0))*(1+INDEX('R&amp;B Inputs'!$H$46:$U$46,MATCH($B143,'R&amp;B Inputs'!$H$4:$U$4,0)))^(AE$7-Year1)*12)</f>
        <v>72.960000000000008</v>
      </c>
      <c r="AF143" s="659">
        <f>IF(AF$8=0,0,INDEX('R&amp;B Inputs'!$H$45:$U$45,MATCH($B143,'R&amp;B Inputs'!$H$4:$U$4,0))*(1+INDEX('R&amp;B Inputs'!$H$46:$U$46,MATCH($B143,'R&amp;B Inputs'!$H$4:$U$4,0)))^(AF$7-Year1)*12)</f>
        <v>72.960000000000008</v>
      </c>
      <c r="AG143" s="659">
        <f>IF(AG$8=0,0,INDEX('R&amp;B Inputs'!$H$45:$U$45,MATCH($B143,'R&amp;B Inputs'!$H$4:$U$4,0))*(1+INDEX('R&amp;B Inputs'!$H$46:$U$46,MATCH($B143,'R&amp;B Inputs'!$H$4:$U$4,0)))^(AG$7-Year1)*12)</f>
        <v>72.960000000000008</v>
      </c>
      <c r="AH143" s="49"/>
      <c r="AI143" s="49"/>
      <c r="AJ143" s="103">
        <f>IF($C$4=Year1,-PMT(Lookups!$E$17,25,NPV(Lookups!$E$17,G143:AE143),0,1),IF($C$4=Year2,-PMT(Lookups!$F$17,25,NPV(Lookups!$F$17,H143:AF143),0,1),IF($C$4=Year3,-PMT(Lookups!$G$17,25,NPV(Lookups!$G$17,I143:AG143),0,1),-PMT(Lookups!$G$17,27,NPV(Lookups!$G$17,G143:AG143),0,1))))</f>
        <v>71.942446489104128</v>
      </c>
      <c r="AM143" s="705">
        <f>IF(AM$8=0,0,INDEX('R&amp;B Inputs'!$H$45:$U$45,MATCH($B143,'R&amp;B Inputs'!$H$4:$U$4,0))*(1+INDEX('R&amp;B Inputs'!$H$46:$U$46,MATCH($B143,'R&amp;B Inputs'!$H$4:$U$4,0)))^(AM$7-Year1)*12)</f>
        <v>72.960000000000008</v>
      </c>
      <c r="AN143" s="705">
        <f>IF(AN$8=0,0,INDEX('R&amp;B Inputs'!$H$45:$U$45,MATCH($B143,'R&amp;B Inputs'!$H$4:$U$4,0))*(1+INDEX('R&amp;B Inputs'!$H$46:$U$46,MATCH($B143,'R&amp;B Inputs'!$H$4:$U$4,0)))^(AN$7-Year1)*12)</f>
        <v>72.960000000000008</v>
      </c>
      <c r="AO143" s="705">
        <f>IF(AO$8=0,0,INDEX('R&amp;B Inputs'!$H$45:$U$45,MATCH($B143,'R&amp;B Inputs'!$H$4:$U$4,0))*(1+INDEX('R&amp;B Inputs'!$H$46:$U$46,MATCH($B143,'R&amp;B Inputs'!$H$4:$U$4,0)))^(AO$7-Year1)*12)</f>
        <v>72.960000000000008</v>
      </c>
      <c r="AP143" s="705">
        <f>IF(AP$8=0,0,INDEX('R&amp;B Inputs'!$H$45:$U$45,MATCH($B143,'R&amp;B Inputs'!$H$4:$U$4,0))*(1+INDEX('R&amp;B Inputs'!$H$46:$U$46,MATCH($B143,'R&amp;B Inputs'!$H$4:$U$4,0)))^(AP$7-Year1)*12)</f>
        <v>72.960000000000008</v>
      </c>
      <c r="AQ143" s="705">
        <f>IF(AQ$8=0,0,INDEX('R&amp;B Inputs'!$H$45:$U$45,MATCH($B143,'R&amp;B Inputs'!$H$4:$U$4,0))*(1+INDEX('R&amp;B Inputs'!$H$46:$U$46,MATCH($B143,'R&amp;B Inputs'!$H$4:$U$4,0)))^(AQ$7-Year1)*12)</f>
        <v>72.960000000000008</v>
      </c>
      <c r="AR143" s="705">
        <f>IF(AR$8=0,0,INDEX('R&amp;B Inputs'!$H$45:$U$45,MATCH($B143,'R&amp;B Inputs'!$H$4:$U$4,0))*(1+INDEX('R&amp;B Inputs'!$H$46:$U$46,MATCH($B143,'R&amp;B Inputs'!$H$4:$U$4,0)))^(AR$7-Year1)*12)</f>
        <v>72.960000000000008</v>
      </c>
      <c r="AS143" s="705">
        <f>IF(AS$8=0,0,INDEX('R&amp;B Inputs'!$H$45:$U$45,MATCH($B143,'R&amp;B Inputs'!$H$4:$U$4,0))*(1+INDEX('R&amp;B Inputs'!$H$46:$U$46,MATCH($B143,'R&amp;B Inputs'!$H$4:$U$4,0)))^(AS$7-Year1)*12)</f>
        <v>72.960000000000008</v>
      </c>
      <c r="AT143" s="705">
        <f>IF(AT$8=0,0,INDEX('R&amp;B Inputs'!$H$45:$U$45,MATCH($B143,'R&amp;B Inputs'!$H$4:$U$4,0))*(1+INDEX('R&amp;B Inputs'!$H$46:$U$46,MATCH($B143,'R&amp;B Inputs'!$H$4:$U$4,0)))^(AT$7-Year1)*12)</f>
        <v>72.960000000000008</v>
      </c>
      <c r="AU143" s="705">
        <f>IF(AU$8=0,0,INDEX('R&amp;B Inputs'!$H$45:$U$45,MATCH($B143,'R&amp;B Inputs'!$H$4:$U$4,0))*(1+INDEX('R&amp;B Inputs'!$H$46:$U$46,MATCH($B143,'R&amp;B Inputs'!$H$4:$U$4,0)))^(AU$7-Year1)*12)</f>
        <v>72.960000000000008</v>
      </c>
      <c r="AV143" s="705">
        <f>IF(AV$8=0,0,INDEX('R&amp;B Inputs'!$H$45:$U$45,MATCH($B143,'R&amp;B Inputs'!$H$4:$U$4,0))*(1+INDEX('R&amp;B Inputs'!$H$46:$U$46,MATCH($B143,'R&amp;B Inputs'!$H$4:$U$4,0)))^(AV$7-Year1)*12)</f>
        <v>72.960000000000008</v>
      </c>
      <c r="AW143" s="705">
        <f>IF(AW$8=0,0,INDEX('R&amp;B Inputs'!$H$45:$U$45,MATCH($B143,'R&amp;B Inputs'!$H$4:$U$4,0))*(1+INDEX('R&amp;B Inputs'!$H$46:$U$46,MATCH($B143,'R&amp;B Inputs'!$H$4:$U$4,0)))^(AW$7-Year1)*12)</f>
        <v>72.960000000000008</v>
      </c>
      <c r="AX143" s="705">
        <f>IF(AX$8=0,0,INDEX('R&amp;B Inputs'!$H$45:$U$45,MATCH($B143,'R&amp;B Inputs'!$H$4:$U$4,0))*(1+INDEX('R&amp;B Inputs'!$H$46:$U$46,MATCH($B143,'R&amp;B Inputs'!$H$4:$U$4,0)))^(AX$7-Year1)*12)</f>
        <v>72.960000000000008</v>
      </c>
      <c r="AY143" s="705">
        <f>IF(AY$8=0,0,INDEX('R&amp;B Inputs'!$H$45:$U$45,MATCH($B143,'R&amp;B Inputs'!$H$4:$U$4,0))*(1+INDEX('R&amp;B Inputs'!$H$46:$U$46,MATCH($B143,'R&amp;B Inputs'!$H$4:$U$4,0)))^(AY$7-Year1)*12)</f>
        <v>72.960000000000008</v>
      </c>
      <c r="AZ143" s="705">
        <f>IF(AZ$8=0,0,INDEX('R&amp;B Inputs'!$H$45:$U$45,MATCH($B143,'R&amp;B Inputs'!$H$4:$U$4,0))*(1+INDEX('R&amp;B Inputs'!$H$46:$U$46,MATCH($B143,'R&amp;B Inputs'!$H$4:$U$4,0)))^(AZ$7-Year1)*12)</f>
        <v>72.960000000000008</v>
      </c>
      <c r="BA143" s="705">
        <f>IF(BA$8=0,0,INDEX('R&amp;B Inputs'!$H$45:$U$45,MATCH($B143,'R&amp;B Inputs'!$H$4:$U$4,0))*(1+INDEX('R&amp;B Inputs'!$H$46:$U$46,MATCH($B143,'R&amp;B Inputs'!$H$4:$U$4,0)))^(BA$7-Year1)*12)</f>
        <v>72.960000000000008</v>
      </c>
      <c r="BB143" s="705">
        <f>IF(BB$8=0,0,INDEX('R&amp;B Inputs'!$H$45:$U$45,MATCH($B143,'R&amp;B Inputs'!$H$4:$U$4,0))*(1+INDEX('R&amp;B Inputs'!$H$46:$U$46,MATCH($B143,'R&amp;B Inputs'!$H$4:$U$4,0)))^(BB$7-Year1)*12)</f>
        <v>72.960000000000008</v>
      </c>
      <c r="BC143" s="705">
        <f>IF(BC$8=0,0,INDEX('R&amp;B Inputs'!$H$45:$U$45,MATCH($B143,'R&amp;B Inputs'!$H$4:$U$4,0))*(1+INDEX('R&amp;B Inputs'!$H$46:$U$46,MATCH($B143,'R&amp;B Inputs'!$H$4:$U$4,0)))^(BC$7-Year1)*12)</f>
        <v>72.960000000000008</v>
      </c>
      <c r="BD143" s="705">
        <f>IF(BD$8=0,0,INDEX('R&amp;B Inputs'!$H$45:$U$45,MATCH($B143,'R&amp;B Inputs'!$H$4:$U$4,0))*(1+INDEX('R&amp;B Inputs'!$H$46:$U$46,MATCH($B143,'R&amp;B Inputs'!$H$4:$U$4,0)))^(BD$7-Year1)*12)</f>
        <v>72.960000000000008</v>
      </c>
      <c r="BE143" s="705">
        <f>IF(BE$8=0,0,INDEX('R&amp;B Inputs'!$H$45:$U$45,MATCH($B143,'R&amp;B Inputs'!$H$4:$U$4,0))*(1+INDEX('R&amp;B Inputs'!$H$46:$U$46,MATCH($B143,'R&amp;B Inputs'!$H$4:$U$4,0)))^(BE$7-Year1)*12)</f>
        <v>72.960000000000008</v>
      </c>
      <c r="BF143" s="705">
        <f>IF(BF$8=0,0,INDEX('R&amp;B Inputs'!$H$45:$U$45,MATCH($B143,'R&amp;B Inputs'!$H$4:$U$4,0))*(1+INDEX('R&amp;B Inputs'!$H$46:$U$46,MATCH($B143,'R&amp;B Inputs'!$H$4:$U$4,0)))^(BF$7-Year1)*12)</f>
        <v>72.960000000000008</v>
      </c>
      <c r="BG143" s="705">
        <f>IF(BG$8=0,0,INDEX('R&amp;B Inputs'!$H$45:$U$45,MATCH($B143,'R&amp;B Inputs'!$H$4:$U$4,0))*(1+INDEX('R&amp;B Inputs'!$H$46:$U$46,MATCH($B143,'R&amp;B Inputs'!$H$4:$U$4,0)))^(BG$7-Year1)*12)</f>
        <v>72.960000000000008</v>
      </c>
      <c r="BH143" s="705">
        <f>IF(BH$8=0,0,INDEX('R&amp;B Inputs'!$H$45:$U$45,MATCH($B143,'R&amp;B Inputs'!$H$4:$U$4,0))*(1+INDEX('R&amp;B Inputs'!$H$46:$U$46,MATCH($B143,'R&amp;B Inputs'!$H$4:$U$4,0)))^(BH$7-Year1)*12)</f>
        <v>72.960000000000008</v>
      </c>
      <c r="BI143" s="705">
        <f>IF(BI$8=0,0,INDEX('R&amp;B Inputs'!$H$45:$U$45,MATCH($B143,'R&amp;B Inputs'!$H$4:$U$4,0))*(1+INDEX('R&amp;B Inputs'!$H$46:$U$46,MATCH($B143,'R&amp;B Inputs'!$H$4:$U$4,0)))^(BI$7-Year1)*12)</f>
        <v>72.960000000000008</v>
      </c>
      <c r="BJ143" s="705">
        <f>IF(BJ$8=0,0,INDEX('R&amp;B Inputs'!$H$45:$U$45,MATCH($B143,'R&amp;B Inputs'!$H$4:$U$4,0))*(1+INDEX('R&amp;B Inputs'!$H$46:$U$46,MATCH($B143,'R&amp;B Inputs'!$H$4:$U$4,0)))^(BJ$7-Year1)*12)</f>
        <v>72.960000000000008</v>
      </c>
      <c r="BK143" s="705">
        <f>IF(BK$8=0,0,INDEX('R&amp;B Inputs'!$H$45:$U$45,MATCH($B143,'R&amp;B Inputs'!$H$4:$U$4,0))*(1+INDEX('R&amp;B Inputs'!$H$46:$U$46,MATCH($B143,'R&amp;B Inputs'!$H$4:$U$4,0)))^(BK$7-Year1)*12)</f>
        <v>72.960000000000008</v>
      </c>
      <c r="BL143" s="705">
        <f>IF(BL$8=0,0,INDEX('R&amp;B Inputs'!$H$45:$U$45,MATCH($B143,'R&amp;B Inputs'!$H$4:$U$4,0))*(1+INDEX('R&amp;B Inputs'!$H$46:$U$46,MATCH($B143,'R&amp;B Inputs'!$H$4:$U$4,0)))^(BL$7-Year1)*12)</f>
        <v>72.960000000000008</v>
      </c>
      <c r="BM143" s="705">
        <f>IF(BM$8=0,0,INDEX('R&amp;B Inputs'!$H$45:$U$45,MATCH($B143,'R&amp;B Inputs'!$H$4:$U$4,0))*(1+INDEX('R&amp;B Inputs'!$H$46:$U$46,MATCH($B143,'R&amp;B Inputs'!$H$4:$U$4,0)))^(BM$7-Year1)*12)</f>
        <v>72.960000000000008</v>
      </c>
      <c r="BN143" s="74"/>
      <c r="BO143" s="74"/>
      <c r="BP143" s="149">
        <f>IF($C$4=Year1,-PMT(Lookups!$E$17,25,NPV(Lookups!$E$17,AM143:BK143),0,1),IF($C$4=Year2,-PMT(Lookups!$F$17,25,NPV(Lookups!$F$17,AN143:BL143),0,1),IF($C$4=Year3,-PMT(Lookups!$G$17,25,NPV(Lookups!$G$17,AO143:BM143),0,1),-PMT(Lookups!$G$17,27,NPV(Lookups!$G$17,AM143:BM143),0,1))))</f>
        <v>71.942446489104128</v>
      </c>
      <c r="BS143" s="84" t="str">
        <f t="shared" ref="BS143" si="141">E143&amp;" charge from the R&amp;B Inputs tab, escalated annually by the growth rate included on the R&amp;B Inputs tab."</f>
        <v>Customer Charge charge from the R&amp;B Inputs tab, escalated annually by the growth rate included on the R&amp;B Inputs tab.</v>
      </c>
      <c r="BT143" s="51" t="s">
        <v>17</v>
      </c>
    </row>
    <row r="144" spans="1:72" x14ac:dyDescent="0.25">
      <c r="B144" s="243" t="str">
        <f t="shared" si="136"/>
        <v>Low-Income</v>
      </c>
      <c r="C144" s="243" t="str">
        <f t="shared" si="136"/>
        <v>Bills</v>
      </c>
      <c r="D144" s="244" t="str">
        <f>D143</f>
        <v>Bills before DSM (No EE Scenario, Non-Participant)</v>
      </c>
      <c r="E144" s="84" t="s">
        <v>309</v>
      </c>
      <c r="F144" s="84" t="s">
        <v>195</v>
      </c>
      <c r="G144" s="64">
        <f>IF(G$8=0,0,INDEX('R&amp;B Inputs'!$I$27:$V$27,MATCH($B144,'R&amp;B Inputs'!$I$4:$V$4,0))+INDEX('R&amp;B Inputs'!$I$28:$V$28,MATCH($B144,'R&amp;B Inputs'!$I$4:$V$4,0)))</f>
        <v>666</v>
      </c>
      <c r="H144" s="64">
        <f>IF(H$8=0,0,INDEX('R&amp;B Inputs'!$I$27:$V$27,MATCH($B144,'R&amp;B Inputs'!$I$4:$V$4,0))+INDEX('R&amp;B Inputs'!$I$28:$V$28,MATCH($B144,'R&amp;B Inputs'!$I$4:$V$4,0)))</f>
        <v>666</v>
      </c>
      <c r="I144" s="64">
        <f>IF(I$8=0,0,INDEX('R&amp;B Inputs'!$I$27:$V$27,MATCH($B144,'R&amp;B Inputs'!$I$4:$V$4,0))+INDEX('R&amp;B Inputs'!$I$28:$V$28,MATCH($B144,'R&amp;B Inputs'!$I$4:$V$4,0)))</f>
        <v>666</v>
      </c>
      <c r="J144" s="64">
        <f>IF(J$8=0,0,INDEX('R&amp;B Inputs'!$I$27:$V$27,MATCH($B144,'R&amp;B Inputs'!$I$4:$V$4,0))+INDEX('R&amp;B Inputs'!$I$28:$V$28,MATCH($B144,'R&amp;B Inputs'!$I$4:$V$4,0)))</f>
        <v>666</v>
      </c>
      <c r="K144" s="64">
        <f>IF(K$8=0,0,INDEX('R&amp;B Inputs'!$I$27:$V$27,MATCH($B144,'R&amp;B Inputs'!$I$4:$V$4,0))+INDEX('R&amp;B Inputs'!$I$28:$V$28,MATCH($B144,'R&amp;B Inputs'!$I$4:$V$4,0)))</f>
        <v>666</v>
      </c>
      <c r="L144" s="64">
        <f>IF(L$8=0,0,INDEX('R&amp;B Inputs'!$I$27:$V$27,MATCH($B144,'R&amp;B Inputs'!$I$4:$V$4,0))+INDEX('R&amp;B Inputs'!$I$28:$V$28,MATCH($B144,'R&amp;B Inputs'!$I$4:$V$4,0)))</f>
        <v>666</v>
      </c>
      <c r="M144" s="64">
        <f>IF(M$8=0,0,INDEX('R&amp;B Inputs'!$I$27:$V$27,MATCH($B144,'R&amp;B Inputs'!$I$4:$V$4,0))+INDEX('R&amp;B Inputs'!$I$28:$V$28,MATCH($B144,'R&amp;B Inputs'!$I$4:$V$4,0)))</f>
        <v>666</v>
      </c>
      <c r="N144" s="64">
        <f>IF(N$8=0,0,INDEX('R&amp;B Inputs'!$I$27:$V$27,MATCH($B144,'R&amp;B Inputs'!$I$4:$V$4,0))+INDEX('R&amp;B Inputs'!$I$28:$V$28,MATCH($B144,'R&amp;B Inputs'!$I$4:$V$4,0)))</f>
        <v>666</v>
      </c>
      <c r="O144" s="64">
        <f>IF(O$8=0,0,INDEX('R&amp;B Inputs'!$I$27:$V$27,MATCH($B144,'R&amp;B Inputs'!$I$4:$V$4,0))+INDEX('R&amp;B Inputs'!$I$28:$V$28,MATCH($B144,'R&amp;B Inputs'!$I$4:$V$4,0)))</f>
        <v>666</v>
      </c>
      <c r="P144" s="64">
        <f>IF(P$8=0,0,INDEX('R&amp;B Inputs'!$I$27:$V$27,MATCH($B144,'R&amp;B Inputs'!$I$4:$V$4,0))+INDEX('R&amp;B Inputs'!$I$28:$V$28,MATCH($B144,'R&amp;B Inputs'!$I$4:$V$4,0)))</f>
        <v>666</v>
      </c>
      <c r="Q144" s="64">
        <f>IF(Q$8=0,0,INDEX('R&amp;B Inputs'!$I$27:$V$27,MATCH($B144,'R&amp;B Inputs'!$I$4:$V$4,0))+INDEX('R&amp;B Inputs'!$I$28:$V$28,MATCH($B144,'R&amp;B Inputs'!$I$4:$V$4,0)))</f>
        <v>666</v>
      </c>
      <c r="R144" s="64">
        <f>IF(R$8=0,0,INDEX('R&amp;B Inputs'!$I$27:$V$27,MATCH($B144,'R&amp;B Inputs'!$I$4:$V$4,0))+INDEX('R&amp;B Inputs'!$I$28:$V$28,MATCH($B144,'R&amp;B Inputs'!$I$4:$V$4,0)))</f>
        <v>666</v>
      </c>
      <c r="S144" s="64">
        <f>IF(S$8=0,0,INDEX('R&amp;B Inputs'!$I$27:$V$27,MATCH($B144,'R&amp;B Inputs'!$I$4:$V$4,0))+INDEX('R&amp;B Inputs'!$I$28:$V$28,MATCH($B144,'R&amp;B Inputs'!$I$4:$V$4,0)))</f>
        <v>666</v>
      </c>
      <c r="T144" s="64">
        <f>IF(T$8=0,0,INDEX('R&amp;B Inputs'!$I$27:$V$27,MATCH($B144,'R&amp;B Inputs'!$I$4:$V$4,0))+INDEX('R&amp;B Inputs'!$I$28:$V$28,MATCH($B144,'R&amp;B Inputs'!$I$4:$V$4,0)))</f>
        <v>666</v>
      </c>
      <c r="U144" s="64">
        <f>IF(U$8=0,0,INDEX('R&amp;B Inputs'!$I$27:$V$27,MATCH($B144,'R&amp;B Inputs'!$I$4:$V$4,0))+INDEX('R&amp;B Inputs'!$I$28:$V$28,MATCH($B144,'R&amp;B Inputs'!$I$4:$V$4,0)))</f>
        <v>666</v>
      </c>
      <c r="V144" s="64">
        <f>IF(V$8=0,0,INDEX('R&amp;B Inputs'!$I$27:$V$27,MATCH($B144,'R&amp;B Inputs'!$I$4:$V$4,0))+INDEX('R&amp;B Inputs'!$I$28:$V$28,MATCH($B144,'R&amp;B Inputs'!$I$4:$V$4,0)))</f>
        <v>666</v>
      </c>
      <c r="W144" s="64">
        <f>IF(W$8=0,0,INDEX('R&amp;B Inputs'!$I$27:$V$27,MATCH($B144,'R&amp;B Inputs'!$I$4:$V$4,0))+INDEX('R&amp;B Inputs'!$I$28:$V$28,MATCH($B144,'R&amp;B Inputs'!$I$4:$V$4,0)))</f>
        <v>666</v>
      </c>
      <c r="X144" s="64">
        <f>IF(X$8=0,0,INDEX('R&amp;B Inputs'!$I$27:$V$27,MATCH($B144,'R&amp;B Inputs'!$I$4:$V$4,0))+INDEX('R&amp;B Inputs'!$I$28:$V$28,MATCH($B144,'R&amp;B Inputs'!$I$4:$V$4,0)))</f>
        <v>666</v>
      </c>
      <c r="Y144" s="64">
        <f>IF(Y$8=0,0,INDEX('R&amp;B Inputs'!$I$27:$V$27,MATCH($B144,'R&amp;B Inputs'!$I$4:$V$4,0))+INDEX('R&amp;B Inputs'!$I$28:$V$28,MATCH($B144,'R&amp;B Inputs'!$I$4:$V$4,0)))</f>
        <v>666</v>
      </c>
      <c r="Z144" s="64">
        <f>IF(Z$8=0,0,INDEX('R&amp;B Inputs'!$I$27:$V$27,MATCH($B144,'R&amp;B Inputs'!$I$4:$V$4,0))+INDEX('R&amp;B Inputs'!$I$28:$V$28,MATCH($B144,'R&amp;B Inputs'!$I$4:$V$4,0)))</f>
        <v>666</v>
      </c>
      <c r="AA144" s="64">
        <f>IF(AA$8=0,0,INDEX('R&amp;B Inputs'!$I$27:$V$27,MATCH($B144,'R&amp;B Inputs'!$I$4:$V$4,0))+INDEX('R&amp;B Inputs'!$I$28:$V$28,MATCH($B144,'R&amp;B Inputs'!$I$4:$V$4,0)))</f>
        <v>666</v>
      </c>
      <c r="AB144" s="64">
        <f>IF(AB$8=0,0,INDEX('R&amp;B Inputs'!$I$27:$V$27,MATCH($B144,'R&amp;B Inputs'!$I$4:$V$4,0))+INDEX('R&amp;B Inputs'!$I$28:$V$28,MATCH($B144,'R&amp;B Inputs'!$I$4:$V$4,0)))</f>
        <v>666</v>
      </c>
      <c r="AC144" s="64">
        <f>IF(AC$8=0,0,INDEX('R&amp;B Inputs'!$I$27:$V$27,MATCH($B144,'R&amp;B Inputs'!$I$4:$V$4,0))+INDEX('R&amp;B Inputs'!$I$28:$V$28,MATCH($B144,'R&amp;B Inputs'!$I$4:$V$4,0)))</f>
        <v>666</v>
      </c>
      <c r="AD144" s="64">
        <f>IF(AD$8=0,0,INDEX('R&amp;B Inputs'!$I$27:$V$27,MATCH($B144,'R&amp;B Inputs'!$I$4:$V$4,0))+INDEX('R&amp;B Inputs'!$I$28:$V$28,MATCH($B144,'R&amp;B Inputs'!$I$4:$V$4,0)))</f>
        <v>666</v>
      </c>
      <c r="AE144" s="64">
        <f>IF(AE$8=0,0,INDEX('R&amp;B Inputs'!$I$27:$V$27,MATCH($B144,'R&amp;B Inputs'!$I$4:$V$4,0))+INDEX('R&amp;B Inputs'!$I$28:$V$28,MATCH($B144,'R&amp;B Inputs'!$I$4:$V$4,0)))</f>
        <v>666</v>
      </c>
      <c r="AF144" s="64">
        <f>IF(AF$8=0,0,INDEX('R&amp;B Inputs'!$I$27:$V$27,MATCH($B144,'R&amp;B Inputs'!$I$4:$V$4,0))+INDEX('R&amp;B Inputs'!$I$28:$V$28,MATCH($B144,'R&amp;B Inputs'!$I$4:$V$4,0)))</f>
        <v>666</v>
      </c>
      <c r="AG144" s="64">
        <f>IF(AG$8=0,0,INDEX('R&amp;B Inputs'!$I$27:$V$27,MATCH($B144,'R&amp;B Inputs'!$I$4:$V$4,0))+INDEX('R&amp;B Inputs'!$I$28:$V$28,MATCH($B144,'R&amp;B Inputs'!$I$4:$V$4,0)))</f>
        <v>666</v>
      </c>
      <c r="AH144" s="64"/>
      <c r="AI144" s="64"/>
      <c r="AJ144" s="103"/>
      <c r="AM144" s="71">
        <f>IF(AM$8=0,0,INDEX('R&amp;B Inputs'!$I$27:$V$27,MATCH($B144,'R&amp;B Inputs'!$I$4:$V$4,0))+INDEX('R&amp;B Inputs'!$I$28:$V$28,MATCH($B144,'R&amp;B Inputs'!$I$4:$V$4,0)))</f>
        <v>666</v>
      </c>
      <c r="AN144" s="71">
        <f>IF(AN$8=0,0,INDEX('R&amp;B Inputs'!$I$27:$V$27,MATCH($B144,'R&amp;B Inputs'!$I$4:$V$4,0))+INDEX('R&amp;B Inputs'!$I$28:$V$28,MATCH($B144,'R&amp;B Inputs'!$I$4:$V$4,0)))</f>
        <v>666</v>
      </c>
      <c r="AO144" s="71">
        <f>IF(AO$8=0,0,INDEX('R&amp;B Inputs'!$I$27:$V$27,MATCH($B144,'R&amp;B Inputs'!$I$4:$V$4,0))+INDEX('R&amp;B Inputs'!$I$28:$V$28,MATCH($B144,'R&amp;B Inputs'!$I$4:$V$4,0)))</f>
        <v>666</v>
      </c>
      <c r="AP144" s="71">
        <f>IF(AP$8=0,0,INDEX('R&amp;B Inputs'!$I$27:$V$27,MATCH($B144,'R&amp;B Inputs'!$I$4:$V$4,0))+INDEX('R&amp;B Inputs'!$I$28:$V$28,MATCH($B144,'R&amp;B Inputs'!$I$4:$V$4,0)))</f>
        <v>666</v>
      </c>
      <c r="AQ144" s="71">
        <f>IF(AQ$8=0,0,INDEX('R&amp;B Inputs'!$I$27:$V$27,MATCH($B144,'R&amp;B Inputs'!$I$4:$V$4,0))+INDEX('R&amp;B Inputs'!$I$28:$V$28,MATCH($B144,'R&amp;B Inputs'!$I$4:$V$4,0)))</f>
        <v>666</v>
      </c>
      <c r="AR144" s="71">
        <f>IF(AR$8=0,0,INDEX('R&amp;B Inputs'!$I$27:$V$27,MATCH($B144,'R&amp;B Inputs'!$I$4:$V$4,0))+INDEX('R&amp;B Inputs'!$I$28:$V$28,MATCH($B144,'R&amp;B Inputs'!$I$4:$V$4,0)))</f>
        <v>666</v>
      </c>
      <c r="AS144" s="71">
        <f>IF(AS$8=0,0,INDEX('R&amp;B Inputs'!$I$27:$V$27,MATCH($B144,'R&amp;B Inputs'!$I$4:$V$4,0))+INDEX('R&amp;B Inputs'!$I$28:$V$28,MATCH($B144,'R&amp;B Inputs'!$I$4:$V$4,0)))</f>
        <v>666</v>
      </c>
      <c r="AT144" s="71">
        <f>IF(AT$8=0,0,INDEX('R&amp;B Inputs'!$I$27:$V$27,MATCH($B144,'R&amp;B Inputs'!$I$4:$V$4,0))+INDEX('R&amp;B Inputs'!$I$28:$V$28,MATCH($B144,'R&amp;B Inputs'!$I$4:$V$4,0)))</f>
        <v>666</v>
      </c>
      <c r="AU144" s="71">
        <f>IF(AU$8=0,0,INDEX('R&amp;B Inputs'!$I$27:$V$27,MATCH($B144,'R&amp;B Inputs'!$I$4:$V$4,0))+INDEX('R&amp;B Inputs'!$I$28:$V$28,MATCH($B144,'R&amp;B Inputs'!$I$4:$V$4,0)))</f>
        <v>666</v>
      </c>
      <c r="AV144" s="71">
        <f>IF(AV$8=0,0,INDEX('R&amp;B Inputs'!$I$27:$V$27,MATCH($B144,'R&amp;B Inputs'!$I$4:$V$4,0))+INDEX('R&amp;B Inputs'!$I$28:$V$28,MATCH($B144,'R&amp;B Inputs'!$I$4:$V$4,0)))</f>
        <v>666</v>
      </c>
      <c r="AW144" s="71">
        <f>IF(AW$8=0,0,INDEX('R&amp;B Inputs'!$I$27:$V$27,MATCH($B144,'R&amp;B Inputs'!$I$4:$V$4,0))+INDEX('R&amp;B Inputs'!$I$28:$V$28,MATCH($B144,'R&amp;B Inputs'!$I$4:$V$4,0)))</f>
        <v>666</v>
      </c>
      <c r="AX144" s="71">
        <f>IF(AX$8=0,0,INDEX('R&amp;B Inputs'!$I$27:$V$27,MATCH($B144,'R&amp;B Inputs'!$I$4:$V$4,0))+INDEX('R&amp;B Inputs'!$I$28:$V$28,MATCH($B144,'R&amp;B Inputs'!$I$4:$V$4,0)))</f>
        <v>666</v>
      </c>
      <c r="AY144" s="71">
        <f>IF(AY$8=0,0,INDEX('R&amp;B Inputs'!$I$27:$V$27,MATCH($B144,'R&amp;B Inputs'!$I$4:$V$4,0))+INDEX('R&amp;B Inputs'!$I$28:$V$28,MATCH($B144,'R&amp;B Inputs'!$I$4:$V$4,0)))</f>
        <v>666</v>
      </c>
      <c r="AZ144" s="71">
        <f>IF(AZ$8=0,0,INDEX('R&amp;B Inputs'!$I$27:$V$27,MATCH($B144,'R&amp;B Inputs'!$I$4:$V$4,0))+INDEX('R&amp;B Inputs'!$I$28:$V$28,MATCH($B144,'R&amp;B Inputs'!$I$4:$V$4,0)))</f>
        <v>666</v>
      </c>
      <c r="BA144" s="71">
        <f>IF(BA$8=0,0,INDEX('R&amp;B Inputs'!$I$27:$V$27,MATCH($B144,'R&amp;B Inputs'!$I$4:$V$4,0))+INDEX('R&amp;B Inputs'!$I$28:$V$28,MATCH($B144,'R&amp;B Inputs'!$I$4:$V$4,0)))</f>
        <v>666</v>
      </c>
      <c r="BB144" s="71">
        <f>IF(BB$8=0,0,INDEX('R&amp;B Inputs'!$I$27:$V$27,MATCH($B144,'R&amp;B Inputs'!$I$4:$V$4,0))+INDEX('R&amp;B Inputs'!$I$28:$V$28,MATCH($B144,'R&amp;B Inputs'!$I$4:$V$4,0)))</f>
        <v>666</v>
      </c>
      <c r="BC144" s="71">
        <f>IF(BC$8=0,0,INDEX('R&amp;B Inputs'!$I$27:$V$27,MATCH($B144,'R&amp;B Inputs'!$I$4:$V$4,0))+INDEX('R&amp;B Inputs'!$I$28:$V$28,MATCH($B144,'R&amp;B Inputs'!$I$4:$V$4,0)))</f>
        <v>666</v>
      </c>
      <c r="BD144" s="71">
        <f>IF(BD$8=0,0,INDEX('R&amp;B Inputs'!$I$27:$V$27,MATCH($B144,'R&amp;B Inputs'!$I$4:$V$4,0))+INDEX('R&amp;B Inputs'!$I$28:$V$28,MATCH($B144,'R&amp;B Inputs'!$I$4:$V$4,0)))</f>
        <v>666</v>
      </c>
      <c r="BE144" s="71">
        <f>IF(BE$8=0,0,INDEX('R&amp;B Inputs'!$I$27:$V$27,MATCH($B144,'R&amp;B Inputs'!$I$4:$V$4,0))+INDEX('R&amp;B Inputs'!$I$28:$V$28,MATCH($B144,'R&amp;B Inputs'!$I$4:$V$4,0)))</f>
        <v>666</v>
      </c>
      <c r="BF144" s="71">
        <f>IF(BF$8=0,0,INDEX('R&amp;B Inputs'!$I$27:$V$27,MATCH($B144,'R&amp;B Inputs'!$I$4:$V$4,0))+INDEX('R&amp;B Inputs'!$I$28:$V$28,MATCH($B144,'R&amp;B Inputs'!$I$4:$V$4,0)))</f>
        <v>666</v>
      </c>
      <c r="BG144" s="71">
        <f>IF(BG$8=0,0,INDEX('R&amp;B Inputs'!$I$27:$V$27,MATCH($B144,'R&amp;B Inputs'!$I$4:$V$4,0))+INDEX('R&amp;B Inputs'!$I$28:$V$28,MATCH($B144,'R&amp;B Inputs'!$I$4:$V$4,0)))</f>
        <v>666</v>
      </c>
      <c r="BH144" s="71">
        <f>IF(BH$8=0,0,INDEX('R&amp;B Inputs'!$I$27:$V$27,MATCH($B144,'R&amp;B Inputs'!$I$4:$V$4,0))+INDEX('R&amp;B Inputs'!$I$28:$V$28,MATCH($B144,'R&amp;B Inputs'!$I$4:$V$4,0)))</f>
        <v>666</v>
      </c>
      <c r="BI144" s="71">
        <f>IF(BI$8=0,0,INDEX('R&amp;B Inputs'!$I$27:$V$27,MATCH($B144,'R&amp;B Inputs'!$I$4:$V$4,0))+INDEX('R&amp;B Inputs'!$I$28:$V$28,MATCH($B144,'R&amp;B Inputs'!$I$4:$V$4,0)))</f>
        <v>666</v>
      </c>
      <c r="BJ144" s="71">
        <f>IF(BJ$8=0,0,INDEX('R&amp;B Inputs'!$I$27:$V$27,MATCH($B144,'R&amp;B Inputs'!$I$4:$V$4,0))+INDEX('R&amp;B Inputs'!$I$28:$V$28,MATCH($B144,'R&amp;B Inputs'!$I$4:$V$4,0)))</f>
        <v>666</v>
      </c>
      <c r="BK144" s="71">
        <f>IF(BK$8=0,0,INDEX('R&amp;B Inputs'!$I$27:$V$27,MATCH($B144,'R&amp;B Inputs'!$I$4:$V$4,0))+INDEX('R&amp;B Inputs'!$I$28:$V$28,MATCH($B144,'R&amp;B Inputs'!$I$4:$V$4,0)))</f>
        <v>666</v>
      </c>
      <c r="BL144" s="71">
        <f>IF(BL$8=0,0,INDEX('R&amp;B Inputs'!$I$27:$V$27,MATCH($B144,'R&amp;B Inputs'!$I$4:$V$4,0))+INDEX('R&amp;B Inputs'!$I$28:$V$28,MATCH($B144,'R&amp;B Inputs'!$I$4:$V$4,0)))</f>
        <v>666</v>
      </c>
      <c r="BM144" s="71">
        <f>IF(BM$8=0,0,INDEX('R&amp;B Inputs'!$I$27:$V$27,MATCH($B144,'R&amp;B Inputs'!$I$4:$V$4,0))+INDEX('R&amp;B Inputs'!$I$28:$V$28,MATCH($B144,'R&amp;B Inputs'!$I$4:$V$4,0)))</f>
        <v>666</v>
      </c>
      <c r="BN144" s="71"/>
      <c r="BO144" s="71"/>
      <c r="BP144" s="149"/>
      <c r="BS144" s="76" t="s">
        <v>96</v>
      </c>
      <c r="BT144" s="51" t="s">
        <v>17</v>
      </c>
    </row>
    <row r="145" spans="1:72" x14ac:dyDescent="0.25">
      <c r="B145" s="243" t="str">
        <f t="shared" si="136"/>
        <v>Low-Income</v>
      </c>
      <c r="C145" s="243" t="str">
        <f t="shared" si="136"/>
        <v>Bills</v>
      </c>
      <c r="D145" s="244" t="str">
        <f>D144</f>
        <v>Bills before DSM (No EE Scenario, Non-Participant)</v>
      </c>
      <c r="E145" s="84" t="s">
        <v>77</v>
      </c>
      <c r="F145" s="84" t="s">
        <v>32</v>
      </c>
      <c r="G145" s="103">
        <f>G143+G144*(G121-G120)</f>
        <v>612.48659999999995</v>
      </c>
      <c r="H145" s="103">
        <f>H143+H144*(H121-H120)</f>
        <v>612.48659999999995</v>
      </c>
      <c r="I145" s="103">
        <f t="shared" ref="I145:AG145" si="142">I143+I144*(I121-I120)</f>
        <v>612.48659999999995</v>
      </c>
      <c r="J145" s="103">
        <f t="shared" si="142"/>
        <v>612.48659999999995</v>
      </c>
      <c r="K145" s="103">
        <f t="shared" si="142"/>
        <v>612.48659999999995</v>
      </c>
      <c r="L145" s="103">
        <f t="shared" si="142"/>
        <v>612.48659999999995</v>
      </c>
      <c r="M145" s="103">
        <f t="shared" si="142"/>
        <v>612.48659999999995</v>
      </c>
      <c r="N145" s="103">
        <f t="shared" si="142"/>
        <v>612.48659999999995</v>
      </c>
      <c r="O145" s="103">
        <f t="shared" si="142"/>
        <v>612.48659999999995</v>
      </c>
      <c r="P145" s="103">
        <f t="shared" si="142"/>
        <v>612.48659999999995</v>
      </c>
      <c r="Q145" s="103">
        <f t="shared" si="142"/>
        <v>612.48659999999995</v>
      </c>
      <c r="R145" s="103">
        <f t="shared" si="142"/>
        <v>612.48659999999995</v>
      </c>
      <c r="S145" s="103">
        <f t="shared" si="142"/>
        <v>612.48659999999995</v>
      </c>
      <c r="T145" s="103">
        <f t="shared" si="142"/>
        <v>612.48659999999995</v>
      </c>
      <c r="U145" s="103">
        <f t="shared" si="142"/>
        <v>612.48659999999995</v>
      </c>
      <c r="V145" s="103">
        <f t="shared" si="142"/>
        <v>612.48659999999995</v>
      </c>
      <c r="W145" s="103">
        <f t="shared" si="142"/>
        <v>612.48659999999995</v>
      </c>
      <c r="X145" s="103">
        <f t="shared" si="142"/>
        <v>612.48659999999995</v>
      </c>
      <c r="Y145" s="103">
        <f t="shared" si="142"/>
        <v>612.48659999999995</v>
      </c>
      <c r="Z145" s="103">
        <f t="shared" si="142"/>
        <v>612.48659999999995</v>
      </c>
      <c r="AA145" s="103">
        <f t="shared" si="142"/>
        <v>612.48659999999995</v>
      </c>
      <c r="AB145" s="103">
        <f t="shared" si="142"/>
        <v>612.48659999999995</v>
      </c>
      <c r="AC145" s="103">
        <f t="shared" si="142"/>
        <v>612.48659999999995</v>
      </c>
      <c r="AD145" s="103">
        <f t="shared" si="142"/>
        <v>612.48659999999995</v>
      </c>
      <c r="AE145" s="103">
        <f t="shared" si="142"/>
        <v>612.48659999999995</v>
      </c>
      <c r="AF145" s="103">
        <f t="shared" si="142"/>
        <v>612.48659999999995</v>
      </c>
      <c r="AG145" s="103">
        <f t="shared" si="142"/>
        <v>612.48659999999995</v>
      </c>
      <c r="AH145" s="103"/>
      <c r="AI145" s="103"/>
      <c r="AJ145" s="103">
        <f>IF($C$4=Year1,-PMT(Lookups!$E$17,25,NPV(Lookups!$E$17,G145:AE145),0,1),IF($C$4=Year2,-PMT(Lookups!$F$17,25,NPV(Lookups!$F$17,H145:AF145),0,1),IF($C$4=Year3,-PMT(Lookups!$G$17,25,NPV(Lookups!$G$17,I145:AG145),0,1),-PMT(Lookups!$G$17,27,NPV(Lookups!$G$17,G145:AG145),0,1))))</f>
        <v>603.94441400484243</v>
      </c>
      <c r="AM145" s="149">
        <f>AM143+AM144*(AM121-AM120)</f>
        <v>612.48659999999995</v>
      </c>
      <c r="AN145" s="149">
        <f t="shared" ref="AN145:BM145" si="143">AN143+AN144*(AN121-AN120)</f>
        <v>612.48659999999995</v>
      </c>
      <c r="AO145" s="149">
        <f t="shared" si="143"/>
        <v>612.48659999999995</v>
      </c>
      <c r="AP145" s="149">
        <f t="shared" si="143"/>
        <v>612.48659999999995</v>
      </c>
      <c r="AQ145" s="149">
        <f t="shared" si="143"/>
        <v>612.48659999999995</v>
      </c>
      <c r="AR145" s="149">
        <f t="shared" si="143"/>
        <v>612.48659999999995</v>
      </c>
      <c r="AS145" s="149">
        <f t="shared" si="143"/>
        <v>612.48659999999995</v>
      </c>
      <c r="AT145" s="149">
        <f t="shared" si="143"/>
        <v>612.48659999999995</v>
      </c>
      <c r="AU145" s="149">
        <f t="shared" si="143"/>
        <v>612.48659999999995</v>
      </c>
      <c r="AV145" s="149">
        <f t="shared" si="143"/>
        <v>612.48659999999995</v>
      </c>
      <c r="AW145" s="149">
        <f t="shared" si="143"/>
        <v>612.48659999999995</v>
      </c>
      <c r="AX145" s="149">
        <f t="shared" si="143"/>
        <v>612.48659999999995</v>
      </c>
      <c r="AY145" s="149">
        <f t="shared" si="143"/>
        <v>612.48659999999995</v>
      </c>
      <c r="AZ145" s="149">
        <f t="shared" si="143"/>
        <v>612.48659999999995</v>
      </c>
      <c r="BA145" s="149">
        <f t="shared" si="143"/>
        <v>612.48659999999995</v>
      </c>
      <c r="BB145" s="149">
        <f t="shared" si="143"/>
        <v>612.48659999999995</v>
      </c>
      <c r="BC145" s="149">
        <f t="shared" si="143"/>
        <v>612.48659999999995</v>
      </c>
      <c r="BD145" s="149">
        <f t="shared" si="143"/>
        <v>612.48659999999995</v>
      </c>
      <c r="BE145" s="149">
        <f t="shared" si="143"/>
        <v>612.48659999999995</v>
      </c>
      <c r="BF145" s="149">
        <f t="shared" si="143"/>
        <v>612.48659999999995</v>
      </c>
      <c r="BG145" s="149">
        <f t="shared" si="143"/>
        <v>612.48659999999995</v>
      </c>
      <c r="BH145" s="149">
        <f t="shared" si="143"/>
        <v>612.48659999999995</v>
      </c>
      <c r="BI145" s="149">
        <f t="shared" si="143"/>
        <v>612.48659999999995</v>
      </c>
      <c r="BJ145" s="149">
        <f t="shared" si="143"/>
        <v>612.48659999999995</v>
      </c>
      <c r="BK145" s="149">
        <f t="shared" si="143"/>
        <v>612.48659999999995</v>
      </c>
      <c r="BL145" s="149">
        <f t="shared" si="143"/>
        <v>612.48659999999995</v>
      </c>
      <c r="BM145" s="149">
        <f t="shared" si="143"/>
        <v>612.48659999999995</v>
      </c>
      <c r="BN145" s="149"/>
      <c r="BO145" s="149"/>
      <c r="BP145" s="149">
        <f>IF($C$4=Year1,-PMT(Lookups!$E$17,25,NPV(Lookups!$E$17,AM145:BK145),0,1),IF($C$4=Year2,-PMT(Lookups!$F$17,25,NPV(Lookups!$F$17,AN145:BL145),0,1),IF($C$4=Year3,-PMT(Lookups!$G$17,25,NPV(Lookups!$G$17,AO145:BM145),0,1),-PMT(Lookups!$G$17,27,NPV(Lookups!$G$17,AM145:BM145),0,1))))</f>
        <v>603.94441400484243</v>
      </c>
      <c r="BS145" s="84" t="s">
        <v>97</v>
      </c>
      <c r="BT145" s="51" t="s">
        <v>17</v>
      </c>
    </row>
    <row r="146" spans="1:72" x14ac:dyDescent="0.25">
      <c r="B146" s="243" t="str">
        <f t="shared" si="136"/>
        <v>Low-Income</v>
      </c>
      <c r="C146" s="243" t="str">
        <f t="shared" si="136"/>
        <v>Bills</v>
      </c>
      <c r="D146" s="114" t="s">
        <v>347</v>
      </c>
      <c r="E146" s="84"/>
      <c r="F146" s="84"/>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S146" s="84"/>
      <c r="BT146" s="51" t="s">
        <v>17</v>
      </c>
    </row>
    <row r="147" spans="1:72" x14ac:dyDescent="0.25">
      <c r="B147" s="243" t="str">
        <f t="shared" si="136"/>
        <v>Low-Income</v>
      </c>
      <c r="C147" s="243" t="str">
        <f t="shared" si="136"/>
        <v>Bills</v>
      </c>
      <c r="D147" s="244" t="str">
        <f>D146</f>
        <v>Annual Savings from DSM Scenario</v>
      </c>
      <c r="E147" s="84" t="s">
        <v>78</v>
      </c>
      <c r="F147" s="84" t="s">
        <v>195</v>
      </c>
      <c r="G147" s="65">
        <f t="shared" ref="G147:AG147" ca="1" si="144">IFERROR(G95/G90,0)</f>
        <v>14.995673420430562</v>
      </c>
      <c r="H147" s="65">
        <f t="shared" ca="1" si="144"/>
        <v>30.453299614381084</v>
      </c>
      <c r="I147" s="65">
        <f t="shared" ca="1" si="144"/>
        <v>46.511979776304514</v>
      </c>
      <c r="J147" s="65">
        <f t="shared" ca="1" si="144"/>
        <v>46.511979776304514</v>
      </c>
      <c r="K147" s="65">
        <f t="shared" ca="1" si="144"/>
        <v>46.511979776304514</v>
      </c>
      <c r="L147" s="65">
        <f t="shared" ca="1" si="144"/>
        <v>46.511979776304514</v>
      </c>
      <c r="M147" s="65">
        <f t="shared" ca="1" si="144"/>
        <v>46.511979776304514</v>
      </c>
      <c r="N147" s="65">
        <f t="shared" ca="1" si="144"/>
        <v>46.511979776304514</v>
      </c>
      <c r="O147" s="65">
        <f t="shared" ca="1" si="144"/>
        <v>46.511979776304514</v>
      </c>
      <c r="P147" s="65">
        <f t="shared" ca="1" si="144"/>
        <v>46.511979776304514</v>
      </c>
      <c r="Q147" s="65">
        <f t="shared" ca="1" si="144"/>
        <v>46.511979776304514</v>
      </c>
      <c r="R147" s="65">
        <f t="shared" ca="1" si="144"/>
        <v>46.511979776304514</v>
      </c>
      <c r="S147" s="65">
        <f t="shared" ca="1" si="144"/>
        <v>46.511979776304514</v>
      </c>
      <c r="T147" s="65">
        <f t="shared" ca="1" si="144"/>
        <v>46.511979776304514</v>
      </c>
      <c r="U147" s="65">
        <f t="shared" ca="1" si="144"/>
        <v>46.511979776304514</v>
      </c>
      <c r="V147" s="65">
        <f t="shared" ca="1" si="144"/>
        <v>46.511979776304514</v>
      </c>
      <c r="W147" s="65">
        <f t="shared" ca="1" si="144"/>
        <v>46.511979776304514</v>
      </c>
      <c r="X147" s="65">
        <f t="shared" ca="1" si="144"/>
        <v>46.511979776304514</v>
      </c>
      <c r="Y147" s="65">
        <f t="shared" ca="1" si="144"/>
        <v>46.511979776304514</v>
      </c>
      <c r="Z147" s="65">
        <f t="shared" ca="1" si="144"/>
        <v>46.511979776304514</v>
      </c>
      <c r="AA147" s="65">
        <f t="shared" ca="1" si="144"/>
        <v>31.516306355873951</v>
      </c>
      <c r="AB147" s="65">
        <f t="shared" ca="1" si="144"/>
        <v>16.058680161923427</v>
      </c>
      <c r="AC147" s="65">
        <f t="shared" ca="1" si="144"/>
        <v>0</v>
      </c>
      <c r="AD147" s="65">
        <f t="shared" ca="1" si="144"/>
        <v>0</v>
      </c>
      <c r="AE147" s="65">
        <f t="shared" ca="1" si="144"/>
        <v>0</v>
      </c>
      <c r="AF147" s="65">
        <f t="shared" ca="1" si="144"/>
        <v>0</v>
      </c>
      <c r="AG147" s="65">
        <f t="shared" ca="1" si="144"/>
        <v>0</v>
      </c>
      <c r="AH147" s="65"/>
      <c r="AI147" s="65"/>
      <c r="AJ147" s="65"/>
      <c r="AM147" s="645">
        <f ca="1">IFERROR(AM95/AM90,0)</f>
        <v>17.137912480492073</v>
      </c>
      <c r="AN147" s="645">
        <f t="shared" ref="AN147:BM147" ca="1" si="145">IFERROR(AN95/AN90,0)</f>
        <v>34.803770987864098</v>
      </c>
      <c r="AO147" s="645">
        <f t="shared" ca="1" si="145"/>
        <v>53.15654831577659</v>
      </c>
      <c r="AP147" s="645">
        <f t="shared" ca="1" si="145"/>
        <v>53.15654831577659</v>
      </c>
      <c r="AQ147" s="645">
        <f t="shared" ca="1" si="145"/>
        <v>53.15654831577659</v>
      </c>
      <c r="AR147" s="645">
        <f t="shared" ca="1" si="145"/>
        <v>53.15654831577659</v>
      </c>
      <c r="AS147" s="645">
        <f t="shared" ca="1" si="145"/>
        <v>53.15654831577659</v>
      </c>
      <c r="AT147" s="645">
        <f t="shared" ca="1" si="145"/>
        <v>53.15654831577659</v>
      </c>
      <c r="AU147" s="645">
        <f t="shared" ca="1" si="145"/>
        <v>53.15654831577659</v>
      </c>
      <c r="AV147" s="645">
        <f t="shared" ca="1" si="145"/>
        <v>53.15654831577659</v>
      </c>
      <c r="AW147" s="645">
        <f t="shared" ca="1" si="145"/>
        <v>53.15654831577659</v>
      </c>
      <c r="AX147" s="645">
        <f t="shared" ca="1" si="145"/>
        <v>53.15654831577659</v>
      </c>
      <c r="AY147" s="645">
        <f t="shared" ca="1" si="145"/>
        <v>53.15654831577659</v>
      </c>
      <c r="AZ147" s="645">
        <f t="shared" ca="1" si="145"/>
        <v>53.15654831577659</v>
      </c>
      <c r="BA147" s="645">
        <f t="shared" ca="1" si="145"/>
        <v>53.15654831577659</v>
      </c>
      <c r="BB147" s="645">
        <f t="shared" ca="1" si="145"/>
        <v>53.15654831577659</v>
      </c>
      <c r="BC147" s="645">
        <f t="shared" ca="1" si="145"/>
        <v>53.15654831577659</v>
      </c>
      <c r="BD147" s="645">
        <f t="shared" ca="1" si="145"/>
        <v>53.15654831577659</v>
      </c>
      <c r="BE147" s="645">
        <f t="shared" ca="1" si="145"/>
        <v>53.15654831577659</v>
      </c>
      <c r="BF147" s="645">
        <f t="shared" ca="1" si="145"/>
        <v>53.15654831577659</v>
      </c>
      <c r="BG147" s="645">
        <f t="shared" ca="1" si="145"/>
        <v>36.01863583528452</v>
      </c>
      <c r="BH147" s="645">
        <f t="shared" ca="1" si="145"/>
        <v>18.352777327912488</v>
      </c>
      <c r="BI147" s="645">
        <f t="shared" ca="1" si="145"/>
        <v>0</v>
      </c>
      <c r="BJ147" s="645">
        <f t="shared" ca="1" si="145"/>
        <v>0</v>
      </c>
      <c r="BK147" s="645">
        <f t="shared" ca="1" si="145"/>
        <v>0</v>
      </c>
      <c r="BL147" s="645">
        <f t="shared" ca="1" si="145"/>
        <v>0</v>
      </c>
      <c r="BM147" s="645">
        <f t="shared" ca="1" si="145"/>
        <v>0</v>
      </c>
      <c r="BN147" s="71"/>
      <c r="BO147" s="71"/>
      <c r="BP147" s="71"/>
      <c r="BS147" s="84" t="s">
        <v>104</v>
      </c>
      <c r="BT147" s="51" t="s">
        <v>17</v>
      </c>
    </row>
    <row r="148" spans="1:72" x14ac:dyDescent="0.25">
      <c r="A148" s="246"/>
      <c r="B148" s="243" t="str">
        <f t="shared" si="136"/>
        <v>Low-Income</v>
      </c>
      <c r="C148" s="243" t="str">
        <f t="shared" si="136"/>
        <v>Bills</v>
      </c>
      <c r="D148" s="244" t="str">
        <f>D147</f>
        <v>Annual Savings from DSM Scenario</v>
      </c>
      <c r="E148" s="84" t="str">
        <f>'EE Inputs'!$N$15&amp;" Participant"</f>
        <v>Low Savings Participant</v>
      </c>
      <c r="F148" s="84" t="s">
        <v>195</v>
      </c>
      <c r="G148" s="64" cm="1">
        <f t="array" aca="1" ref="G148" ca="1">IF($C$4=Lookups!$D$40,INDIRECT("'Yr1'!"&amp;ADDRESS(ROW(G148),COLUMN(G148))),
IF(G91=0,0,SUMIFS('EE Inputs'!$S$9:$S$32,'EE Inputs'!$C$9:$C$32,$G$6,'EE Inputs'!$D$9:$D$32,$C$4,'EE Inputs'!$E$9:$E$32,$B148)))</f>
        <v>6.66</v>
      </c>
      <c r="H148" s="64" cm="1">
        <f t="array" aca="1" ref="H148" ca="1">IF($C$4=Lookups!$D$40,INDIRECT("'Yr1'!"&amp;ADDRESS(ROW(H148),COLUMN(H148))),
IF(H91=0,0,SUMIFS('EE Inputs'!$S$9:$S$32,'EE Inputs'!$C$9:$C$32,$G$6,'EE Inputs'!$D$9:$D$32,$C$4,'EE Inputs'!$E$9:$E$32,$B148)))</f>
        <v>6.66</v>
      </c>
      <c r="I148" s="64" cm="1">
        <f t="array" aca="1" ref="I148" ca="1">IF($C$4=Lookups!$D$40,INDIRECT("'Yr1'!"&amp;ADDRESS(ROW(I148),COLUMN(I148))),
IF(I91=0,0,SUMIFS('EE Inputs'!$S$9:$S$32,'EE Inputs'!$C$9:$C$32,$G$6,'EE Inputs'!$D$9:$D$32,$C$4,'EE Inputs'!$E$9:$E$32,$B148)))</f>
        <v>6.66</v>
      </c>
      <c r="J148" s="64" cm="1">
        <f t="array" aca="1" ref="J148" ca="1">IF($C$4=Lookups!$D$40,INDIRECT("'Yr1'!"&amp;ADDRESS(ROW(J148),COLUMN(J148))),
IF(J91=0,0,SUMIFS('EE Inputs'!$S$9:$S$32,'EE Inputs'!$C$9:$C$32,$G$6,'EE Inputs'!$D$9:$D$32,$C$4,'EE Inputs'!$E$9:$E$32,$B148)))</f>
        <v>6.66</v>
      </c>
      <c r="K148" s="64" cm="1">
        <f t="array" aca="1" ref="K148" ca="1">IF($C$4=Lookups!$D$40,INDIRECT("'Yr1'!"&amp;ADDRESS(ROW(K148),COLUMN(K148))),
IF(K91=0,0,SUMIFS('EE Inputs'!$S$9:$S$32,'EE Inputs'!$C$9:$C$32,$G$6,'EE Inputs'!$D$9:$D$32,$C$4,'EE Inputs'!$E$9:$E$32,$B148)))</f>
        <v>6.66</v>
      </c>
      <c r="L148" s="64" cm="1">
        <f t="array" aca="1" ref="L148" ca="1">IF($C$4=Lookups!$D$40,INDIRECT("'Yr1'!"&amp;ADDRESS(ROW(L148),COLUMN(L148))),
IF(L91=0,0,SUMIFS('EE Inputs'!$S$9:$S$32,'EE Inputs'!$C$9:$C$32,$G$6,'EE Inputs'!$D$9:$D$32,$C$4,'EE Inputs'!$E$9:$E$32,$B148)))</f>
        <v>6.66</v>
      </c>
      <c r="M148" s="64" cm="1">
        <f t="array" aca="1" ref="M148" ca="1">IF($C$4=Lookups!$D$40,INDIRECT("'Yr1'!"&amp;ADDRESS(ROW(M148),COLUMN(M148))),
IF(M91=0,0,SUMIFS('EE Inputs'!$S$9:$S$32,'EE Inputs'!$C$9:$C$32,$G$6,'EE Inputs'!$D$9:$D$32,$C$4,'EE Inputs'!$E$9:$E$32,$B148)))</f>
        <v>6.66</v>
      </c>
      <c r="N148" s="64" cm="1">
        <f t="array" aca="1" ref="N148" ca="1">IF($C$4=Lookups!$D$40,INDIRECT("'Yr1'!"&amp;ADDRESS(ROW(N148),COLUMN(N148))),
IF(N91=0,0,SUMIFS('EE Inputs'!$S$9:$S$32,'EE Inputs'!$C$9:$C$32,$G$6,'EE Inputs'!$D$9:$D$32,$C$4,'EE Inputs'!$E$9:$E$32,$B148)))</f>
        <v>6.66</v>
      </c>
      <c r="O148" s="64" cm="1">
        <f t="array" aca="1" ref="O148" ca="1">IF($C$4=Lookups!$D$40,INDIRECT("'Yr1'!"&amp;ADDRESS(ROW(O148),COLUMN(O148))),
IF(O91=0,0,SUMIFS('EE Inputs'!$S$9:$S$32,'EE Inputs'!$C$9:$C$32,$G$6,'EE Inputs'!$D$9:$D$32,$C$4,'EE Inputs'!$E$9:$E$32,$B148)))</f>
        <v>6.66</v>
      </c>
      <c r="P148" s="64" cm="1">
        <f t="array" aca="1" ref="P148" ca="1">IF($C$4=Lookups!$D$40,INDIRECT("'Yr1'!"&amp;ADDRESS(ROW(P148),COLUMN(P148))),
IF(P91=0,0,SUMIFS('EE Inputs'!$S$9:$S$32,'EE Inputs'!$C$9:$C$32,$G$6,'EE Inputs'!$D$9:$D$32,$C$4,'EE Inputs'!$E$9:$E$32,$B148)))</f>
        <v>6.66</v>
      </c>
      <c r="Q148" s="64" cm="1">
        <f t="array" aca="1" ref="Q148" ca="1">IF($C$4=Lookups!$D$40,INDIRECT("'Yr1'!"&amp;ADDRESS(ROW(Q148),COLUMN(Q148))),
IF(Q91=0,0,SUMIFS('EE Inputs'!$S$9:$S$32,'EE Inputs'!$C$9:$C$32,$G$6,'EE Inputs'!$D$9:$D$32,$C$4,'EE Inputs'!$E$9:$E$32,$B148)))</f>
        <v>6.66</v>
      </c>
      <c r="R148" s="64" cm="1">
        <f t="array" aca="1" ref="R148" ca="1">IF($C$4=Lookups!$D$40,INDIRECT("'Yr1'!"&amp;ADDRESS(ROW(R148),COLUMN(R148))),
IF(R91=0,0,SUMIFS('EE Inputs'!$S$9:$S$32,'EE Inputs'!$C$9:$C$32,$G$6,'EE Inputs'!$D$9:$D$32,$C$4,'EE Inputs'!$E$9:$E$32,$B148)))</f>
        <v>6.66</v>
      </c>
      <c r="S148" s="64" cm="1">
        <f t="array" aca="1" ref="S148" ca="1">IF($C$4=Lookups!$D$40,INDIRECT("'Yr1'!"&amp;ADDRESS(ROW(S148),COLUMN(S148))),
IF(S91=0,0,SUMIFS('EE Inputs'!$S$9:$S$32,'EE Inputs'!$C$9:$C$32,$G$6,'EE Inputs'!$D$9:$D$32,$C$4,'EE Inputs'!$E$9:$E$32,$B148)))</f>
        <v>6.66</v>
      </c>
      <c r="T148" s="64" cm="1">
        <f t="array" aca="1" ref="T148" ca="1">IF($C$4=Lookups!$D$40,INDIRECT("'Yr1'!"&amp;ADDRESS(ROW(T148),COLUMN(T148))),
IF(T91=0,0,SUMIFS('EE Inputs'!$S$9:$S$32,'EE Inputs'!$C$9:$C$32,$G$6,'EE Inputs'!$D$9:$D$32,$C$4,'EE Inputs'!$E$9:$E$32,$B148)))</f>
        <v>6.66</v>
      </c>
      <c r="U148" s="64" cm="1">
        <f t="array" aca="1" ref="U148" ca="1">IF($C$4=Lookups!$D$40,INDIRECT("'Yr1'!"&amp;ADDRESS(ROW(U148),COLUMN(U148))),
IF(U91=0,0,SUMIFS('EE Inputs'!$S$9:$S$32,'EE Inputs'!$C$9:$C$32,$G$6,'EE Inputs'!$D$9:$D$32,$C$4,'EE Inputs'!$E$9:$E$32,$B148)))</f>
        <v>6.66</v>
      </c>
      <c r="V148" s="64" cm="1">
        <f t="array" aca="1" ref="V148" ca="1">IF($C$4=Lookups!$D$40,INDIRECT("'Yr1'!"&amp;ADDRESS(ROW(V148),COLUMN(V148))),
IF(V91=0,0,SUMIFS('EE Inputs'!$S$9:$S$32,'EE Inputs'!$C$9:$C$32,$G$6,'EE Inputs'!$D$9:$D$32,$C$4,'EE Inputs'!$E$9:$E$32,$B148)))</f>
        <v>6.66</v>
      </c>
      <c r="W148" s="64" cm="1">
        <f t="array" aca="1" ref="W148" ca="1">IF($C$4=Lookups!$D$40,INDIRECT("'Yr1'!"&amp;ADDRESS(ROW(W148),COLUMN(W148))),
IF(W91=0,0,SUMIFS('EE Inputs'!$S$9:$S$32,'EE Inputs'!$C$9:$C$32,$G$6,'EE Inputs'!$D$9:$D$32,$C$4,'EE Inputs'!$E$9:$E$32,$B148)))</f>
        <v>6.66</v>
      </c>
      <c r="X148" s="64" cm="1">
        <f t="array" aca="1" ref="X148" ca="1">IF($C$4=Lookups!$D$40,INDIRECT("'Yr1'!"&amp;ADDRESS(ROW(X148),COLUMN(X148))),
IF(X91=0,0,SUMIFS('EE Inputs'!$S$9:$S$32,'EE Inputs'!$C$9:$C$32,$G$6,'EE Inputs'!$D$9:$D$32,$C$4,'EE Inputs'!$E$9:$E$32,$B148)))</f>
        <v>6.66</v>
      </c>
      <c r="Y148" s="64" cm="1">
        <f t="array" aca="1" ref="Y148" ca="1">IF($C$4=Lookups!$D$40,INDIRECT("'Yr1'!"&amp;ADDRESS(ROW(Y148),COLUMN(Y148))),
IF(Y91=0,0,SUMIFS('EE Inputs'!$S$9:$S$32,'EE Inputs'!$C$9:$C$32,$G$6,'EE Inputs'!$D$9:$D$32,$C$4,'EE Inputs'!$E$9:$E$32,$B148)))</f>
        <v>6.66</v>
      </c>
      <c r="Z148" s="64" cm="1">
        <f t="array" aca="1" ref="Z148" ca="1">IF($C$4=Lookups!$D$40,INDIRECT("'Yr1'!"&amp;ADDRESS(ROW(Z148),COLUMN(Z148))),
IF(Z91=0,0,SUMIFS('EE Inputs'!$S$9:$S$32,'EE Inputs'!$C$9:$C$32,$G$6,'EE Inputs'!$D$9:$D$32,$C$4,'EE Inputs'!$E$9:$E$32,$B148)))</f>
        <v>6.66</v>
      </c>
      <c r="AA148" s="64" cm="1">
        <f t="array" aca="1" ref="AA148" ca="1">IF($C$4=Lookups!$D$40,INDIRECT("'Yr1'!"&amp;ADDRESS(ROW(AA148),COLUMN(AA148))),
IF(AA91=0,0,SUMIFS('EE Inputs'!$S$9:$S$32,'EE Inputs'!$C$9:$C$32,$G$6,'EE Inputs'!$D$9:$D$32,$C$4,'EE Inputs'!$E$9:$E$32,$B148)))</f>
        <v>0</v>
      </c>
      <c r="AB148" s="64" cm="1">
        <f t="array" aca="1" ref="AB148" ca="1">IF($C$4=Lookups!$D$40,INDIRECT("'Yr1'!"&amp;ADDRESS(ROW(AB148),COLUMN(AB148))),
IF(AB91=0,0,SUMIFS('EE Inputs'!$S$9:$S$32,'EE Inputs'!$C$9:$C$32,$G$6,'EE Inputs'!$D$9:$D$32,$C$4,'EE Inputs'!$E$9:$E$32,$B148)))</f>
        <v>0</v>
      </c>
      <c r="AC148" s="64" cm="1">
        <f t="array" aca="1" ref="AC148" ca="1">IF($C$4=Lookups!$D$40,INDIRECT("'Yr1'!"&amp;ADDRESS(ROW(AC148),COLUMN(AC148))),
IF(AC91=0,0,SUMIFS('EE Inputs'!$S$9:$S$32,'EE Inputs'!$C$9:$C$32,$G$6,'EE Inputs'!$D$9:$D$32,$C$4,'EE Inputs'!$E$9:$E$32,$B148)))</f>
        <v>0</v>
      </c>
      <c r="AD148" s="64" cm="1">
        <f t="array" aca="1" ref="AD148" ca="1">IF($C$4=Lookups!$D$40,INDIRECT("'Yr1'!"&amp;ADDRESS(ROW(AD148),COLUMN(AD148))),
IF(AD91=0,0,SUMIFS('EE Inputs'!$S$9:$S$32,'EE Inputs'!$C$9:$C$32,$G$6,'EE Inputs'!$D$9:$D$32,$C$4,'EE Inputs'!$E$9:$E$32,$B148)))</f>
        <v>0</v>
      </c>
      <c r="AE148" s="64" cm="1">
        <f t="array" aca="1" ref="AE148" ca="1">IF($C$4=Lookups!$D$40,INDIRECT("'Yr1'!"&amp;ADDRESS(ROW(AE148),COLUMN(AE148))),
IF(AE91=0,0,SUMIFS('EE Inputs'!$S$9:$S$32,'EE Inputs'!$C$9:$C$32,$G$6,'EE Inputs'!$D$9:$D$32,$C$4,'EE Inputs'!$E$9:$E$32,$B148)))</f>
        <v>0</v>
      </c>
      <c r="AF148" s="64" cm="1">
        <f t="array" aca="1" ref="AF148" ca="1">IF($C$4=Lookups!$D$40,INDIRECT("'Yr1'!"&amp;ADDRESS(ROW(AF148),COLUMN(AF148))),
IF(AF91=0,0,SUMIFS('EE Inputs'!$S$9:$S$32,'EE Inputs'!$C$9:$C$32,$G$6,'EE Inputs'!$D$9:$D$32,$C$4,'EE Inputs'!$E$9:$E$32,$B148)))</f>
        <v>0</v>
      </c>
      <c r="AG148" s="64" cm="1">
        <f t="array" aca="1" ref="AG148" ca="1">IF($C$4=Lookups!$D$40,INDIRECT("'Yr1'!"&amp;ADDRESS(ROW(AG148),COLUMN(AG148))),
IF(AG91=0,0,SUMIFS('EE Inputs'!$S$9:$S$32,'EE Inputs'!$C$9:$C$32,$G$6,'EE Inputs'!$D$9:$D$32,$C$4,'EE Inputs'!$E$9:$E$32,$B148)))</f>
        <v>0</v>
      </c>
      <c r="AH148" s="64"/>
      <c r="AI148" s="64"/>
      <c r="AJ148" s="64"/>
      <c r="AM148" s="645" cm="1">
        <f t="array" aca="1" ref="AM148" ca="1">IF($C$4=Lookups!$D$40,INDIRECT("'Yr1'!"&amp;ADDRESS(ROW(AM148),COLUMN(AM148))),
IF(AM91=0,0,SUMIFS('EE Inputs'!$S$9:$S$32,'EE Inputs'!$C$9:$C$32,$AM$6,'EE Inputs'!$D$9:$D$32,$C$4,'EE Inputs'!$E$9:$E$32,$B148)))</f>
        <v>7.992</v>
      </c>
      <c r="AN148" s="645" cm="1">
        <f t="array" aca="1" ref="AN148" ca="1">IF($C$4=Lookups!$D$40,INDIRECT("'Yr1'!"&amp;ADDRESS(ROW(AN148),COLUMN(AN148))),
IF(AN91=0,0,SUMIFS('EE Inputs'!$S$9:$S$32,'EE Inputs'!$C$9:$C$32,$AM$6,'EE Inputs'!$D$9:$D$32,$C$4,'EE Inputs'!$E$9:$E$32,$B148)))</f>
        <v>7.992</v>
      </c>
      <c r="AO148" s="645" cm="1">
        <f t="array" aca="1" ref="AO148" ca="1">IF($C$4=Lookups!$D$40,INDIRECT("'Yr1'!"&amp;ADDRESS(ROW(AO148),COLUMN(AO148))),
IF(AO91=0,0,SUMIFS('EE Inputs'!$S$9:$S$32,'EE Inputs'!$C$9:$C$32,$AM$6,'EE Inputs'!$D$9:$D$32,$C$4,'EE Inputs'!$E$9:$E$32,$B148)))</f>
        <v>7.992</v>
      </c>
      <c r="AP148" s="645" cm="1">
        <f t="array" aca="1" ref="AP148" ca="1">IF($C$4=Lookups!$D$40,INDIRECT("'Yr1'!"&amp;ADDRESS(ROW(AP148),COLUMN(AP148))),
IF(AP91=0,0,SUMIFS('EE Inputs'!$S$9:$S$32,'EE Inputs'!$C$9:$C$32,$AM$6,'EE Inputs'!$D$9:$D$32,$C$4,'EE Inputs'!$E$9:$E$32,$B148)))</f>
        <v>7.992</v>
      </c>
      <c r="AQ148" s="645" cm="1">
        <f t="array" aca="1" ref="AQ148" ca="1">IF($C$4=Lookups!$D$40,INDIRECT("'Yr1'!"&amp;ADDRESS(ROW(AQ148),COLUMN(AQ148))),
IF(AQ91=0,0,SUMIFS('EE Inputs'!$S$9:$S$32,'EE Inputs'!$C$9:$C$32,$AM$6,'EE Inputs'!$D$9:$D$32,$C$4,'EE Inputs'!$E$9:$E$32,$B148)))</f>
        <v>7.992</v>
      </c>
      <c r="AR148" s="645" cm="1">
        <f t="array" aca="1" ref="AR148" ca="1">IF($C$4=Lookups!$D$40,INDIRECT("'Yr1'!"&amp;ADDRESS(ROW(AR148),COLUMN(AR148))),
IF(AR91=0,0,SUMIFS('EE Inputs'!$S$9:$S$32,'EE Inputs'!$C$9:$C$32,$AM$6,'EE Inputs'!$D$9:$D$32,$C$4,'EE Inputs'!$E$9:$E$32,$B148)))</f>
        <v>7.992</v>
      </c>
      <c r="AS148" s="645" cm="1">
        <f t="array" aca="1" ref="AS148" ca="1">IF($C$4=Lookups!$D$40,INDIRECT("'Yr1'!"&amp;ADDRESS(ROW(AS148),COLUMN(AS148))),
IF(AS91=0,0,SUMIFS('EE Inputs'!$S$9:$S$32,'EE Inputs'!$C$9:$C$32,$AM$6,'EE Inputs'!$D$9:$D$32,$C$4,'EE Inputs'!$E$9:$E$32,$B148)))</f>
        <v>7.992</v>
      </c>
      <c r="AT148" s="645" cm="1">
        <f t="array" aca="1" ref="AT148" ca="1">IF($C$4=Lookups!$D$40,INDIRECT("'Yr1'!"&amp;ADDRESS(ROW(AT148),COLUMN(AT148))),
IF(AT91=0,0,SUMIFS('EE Inputs'!$S$9:$S$32,'EE Inputs'!$C$9:$C$32,$AM$6,'EE Inputs'!$D$9:$D$32,$C$4,'EE Inputs'!$E$9:$E$32,$B148)))</f>
        <v>7.992</v>
      </c>
      <c r="AU148" s="645" cm="1">
        <f t="array" aca="1" ref="AU148" ca="1">IF($C$4=Lookups!$D$40,INDIRECT("'Yr1'!"&amp;ADDRESS(ROW(AU148),COLUMN(AU148))),
IF(AU91=0,0,SUMIFS('EE Inputs'!$S$9:$S$32,'EE Inputs'!$C$9:$C$32,$AM$6,'EE Inputs'!$D$9:$D$32,$C$4,'EE Inputs'!$E$9:$E$32,$B148)))</f>
        <v>7.992</v>
      </c>
      <c r="AV148" s="645" cm="1">
        <f t="array" aca="1" ref="AV148" ca="1">IF($C$4=Lookups!$D$40,INDIRECT("'Yr1'!"&amp;ADDRESS(ROW(AV148),COLUMN(AV148))),
IF(AV91=0,0,SUMIFS('EE Inputs'!$S$9:$S$32,'EE Inputs'!$C$9:$C$32,$AM$6,'EE Inputs'!$D$9:$D$32,$C$4,'EE Inputs'!$E$9:$E$32,$B148)))</f>
        <v>7.992</v>
      </c>
      <c r="AW148" s="645" cm="1">
        <f t="array" aca="1" ref="AW148" ca="1">IF($C$4=Lookups!$D$40,INDIRECT("'Yr1'!"&amp;ADDRESS(ROW(AW148),COLUMN(AW148))),
IF(AW91=0,0,SUMIFS('EE Inputs'!$S$9:$S$32,'EE Inputs'!$C$9:$C$32,$AM$6,'EE Inputs'!$D$9:$D$32,$C$4,'EE Inputs'!$E$9:$E$32,$B148)))</f>
        <v>7.992</v>
      </c>
      <c r="AX148" s="645" cm="1">
        <f t="array" aca="1" ref="AX148" ca="1">IF($C$4=Lookups!$D$40,INDIRECT("'Yr1'!"&amp;ADDRESS(ROW(AX148),COLUMN(AX148))),
IF(AX91=0,0,SUMIFS('EE Inputs'!$S$9:$S$32,'EE Inputs'!$C$9:$C$32,$AM$6,'EE Inputs'!$D$9:$D$32,$C$4,'EE Inputs'!$E$9:$E$32,$B148)))</f>
        <v>7.992</v>
      </c>
      <c r="AY148" s="645" cm="1">
        <f t="array" aca="1" ref="AY148" ca="1">IF($C$4=Lookups!$D$40,INDIRECT("'Yr1'!"&amp;ADDRESS(ROW(AY148),COLUMN(AY148))),
IF(AY91=0,0,SUMIFS('EE Inputs'!$S$9:$S$32,'EE Inputs'!$C$9:$C$32,$AM$6,'EE Inputs'!$D$9:$D$32,$C$4,'EE Inputs'!$E$9:$E$32,$B148)))</f>
        <v>7.992</v>
      </c>
      <c r="AZ148" s="645" cm="1">
        <f t="array" aca="1" ref="AZ148" ca="1">IF($C$4=Lookups!$D$40,INDIRECT("'Yr1'!"&amp;ADDRESS(ROW(AZ148),COLUMN(AZ148))),
IF(AZ91=0,0,SUMIFS('EE Inputs'!$S$9:$S$32,'EE Inputs'!$C$9:$C$32,$AM$6,'EE Inputs'!$D$9:$D$32,$C$4,'EE Inputs'!$E$9:$E$32,$B148)))</f>
        <v>7.992</v>
      </c>
      <c r="BA148" s="645" cm="1">
        <f t="array" aca="1" ref="BA148" ca="1">IF($C$4=Lookups!$D$40,INDIRECT("'Yr1'!"&amp;ADDRESS(ROW(BA148),COLUMN(BA148))),
IF(BA91=0,0,SUMIFS('EE Inputs'!$S$9:$S$32,'EE Inputs'!$C$9:$C$32,$AM$6,'EE Inputs'!$D$9:$D$32,$C$4,'EE Inputs'!$E$9:$E$32,$B148)))</f>
        <v>7.992</v>
      </c>
      <c r="BB148" s="645" cm="1">
        <f t="array" aca="1" ref="BB148" ca="1">IF($C$4=Lookups!$D$40,INDIRECT("'Yr1'!"&amp;ADDRESS(ROW(BB148),COLUMN(BB148))),
IF(BB91=0,0,SUMIFS('EE Inputs'!$S$9:$S$32,'EE Inputs'!$C$9:$C$32,$AM$6,'EE Inputs'!$D$9:$D$32,$C$4,'EE Inputs'!$E$9:$E$32,$B148)))</f>
        <v>7.992</v>
      </c>
      <c r="BC148" s="645" cm="1">
        <f t="array" aca="1" ref="BC148" ca="1">IF($C$4=Lookups!$D$40,INDIRECT("'Yr1'!"&amp;ADDRESS(ROW(BC148),COLUMN(BC148))),
IF(BC91=0,0,SUMIFS('EE Inputs'!$S$9:$S$32,'EE Inputs'!$C$9:$C$32,$AM$6,'EE Inputs'!$D$9:$D$32,$C$4,'EE Inputs'!$E$9:$E$32,$B148)))</f>
        <v>7.992</v>
      </c>
      <c r="BD148" s="645" cm="1">
        <f t="array" aca="1" ref="BD148" ca="1">IF($C$4=Lookups!$D$40,INDIRECT("'Yr1'!"&amp;ADDRESS(ROW(BD148),COLUMN(BD148))),
IF(BD91=0,0,SUMIFS('EE Inputs'!$S$9:$S$32,'EE Inputs'!$C$9:$C$32,$AM$6,'EE Inputs'!$D$9:$D$32,$C$4,'EE Inputs'!$E$9:$E$32,$B148)))</f>
        <v>7.992</v>
      </c>
      <c r="BE148" s="645" cm="1">
        <f t="array" aca="1" ref="BE148" ca="1">IF($C$4=Lookups!$D$40,INDIRECT("'Yr1'!"&amp;ADDRESS(ROW(BE148),COLUMN(BE148))),
IF(BE91=0,0,SUMIFS('EE Inputs'!$S$9:$S$32,'EE Inputs'!$C$9:$C$32,$AM$6,'EE Inputs'!$D$9:$D$32,$C$4,'EE Inputs'!$E$9:$E$32,$B148)))</f>
        <v>7.992</v>
      </c>
      <c r="BF148" s="645" cm="1">
        <f t="array" aca="1" ref="BF148" ca="1">IF($C$4=Lookups!$D$40,INDIRECT("'Yr1'!"&amp;ADDRESS(ROW(BF148),COLUMN(BF148))),
IF(BF91=0,0,SUMIFS('EE Inputs'!$S$9:$S$32,'EE Inputs'!$C$9:$C$32,$AM$6,'EE Inputs'!$D$9:$D$32,$C$4,'EE Inputs'!$E$9:$E$32,$B148)))</f>
        <v>7.992</v>
      </c>
      <c r="BG148" s="645" cm="1">
        <f t="array" aca="1" ref="BG148" ca="1">IF($C$4=Lookups!$D$40,INDIRECT("'Yr1'!"&amp;ADDRESS(ROW(BG148),COLUMN(BG148))),
IF(BG91=0,0,SUMIFS('EE Inputs'!$S$9:$S$32,'EE Inputs'!$C$9:$C$32,$AM$6,'EE Inputs'!$D$9:$D$32,$C$4,'EE Inputs'!$E$9:$E$32,$B148)))</f>
        <v>0</v>
      </c>
      <c r="BH148" s="645" cm="1">
        <f t="array" aca="1" ref="BH148" ca="1">IF($C$4=Lookups!$D$40,INDIRECT("'Yr1'!"&amp;ADDRESS(ROW(BH148),COLUMN(BH148))),
IF(BH91=0,0,SUMIFS('EE Inputs'!$S$9:$S$32,'EE Inputs'!$C$9:$C$32,$AM$6,'EE Inputs'!$D$9:$D$32,$C$4,'EE Inputs'!$E$9:$E$32,$B148)))</f>
        <v>0</v>
      </c>
      <c r="BI148" s="645" cm="1">
        <f t="array" aca="1" ref="BI148" ca="1">IF($C$4=Lookups!$D$40,INDIRECT("'Yr1'!"&amp;ADDRESS(ROW(BI148),COLUMN(BI148))),
IF(BI91=0,0,SUMIFS('EE Inputs'!$S$9:$S$32,'EE Inputs'!$C$9:$C$32,$AM$6,'EE Inputs'!$D$9:$D$32,$C$4,'EE Inputs'!$E$9:$E$32,$B148)))</f>
        <v>0</v>
      </c>
      <c r="BJ148" s="645" cm="1">
        <f t="array" aca="1" ref="BJ148" ca="1">IF($C$4=Lookups!$D$40,INDIRECT("'Yr1'!"&amp;ADDRESS(ROW(BJ148),COLUMN(BJ148))),
IF(BJ91=0,0,SUMIFS('EE Inputs'!$S$9:$S$32,'EE Inputs'!$C$9:$C$32,$AM$6,'EE Inputs'!$D$9:$D$32,$C$4,'EE Inputs'!$E$9:$E$32,$B148)))</f>
        <v>0</v>
      </c>
      <c r="BK148" s="645" cm="1">
        <f t="array" aca="1" ref="BK148" ca="1">IF($C$4=Lookups!$D$40,INDIRECT("'Yr1'!"&amp;ADDRESS(ROW(BK148),COLUMN(BK148))),
IF(BK91=0,0,SUMIFS('EE Inputs'!$S$9:$S$32,'EE Inputs'!$C$9:$C$32,$AM$6,'EE Inputs'!$D$9:$D$32,$C$4,'EE Inputs'!$E$9:$E$32,$B148)))</f>
        <v>0</v>
      </c>
      <c r="BL148" s="645" cm="1">
        <f t="array" aca="1" ref="BL148" ca="1">IF($C$4=Lookups!$D$40,INDIRECT("'Yr1'!"&amp;ADDRESS(ROW(BL148),COLUMN(BL148))),
IF(BL91=0,0,SUMIFS('EE Inputs'!$S$9:$S$32,'EE Inputs'!$C$9:$C$32,$AM$6,'EE Inputs'!$D$9:$D$32,$C$4,'EE Inputs'!$E$9:$E$32,$B148)))</f>
        <v>0</v>
      </c>
      <c r="BM148" s="645" cm="1">
        <f t="array" aca="1" ref="BM148" ca="1">IF($C$4=Lookups!$D$40,INDIRECT("'Yr1'!"&amp;ADDRESS(ROW(BM148),COLUMN(BM148))),
IF(BM91=0,0,SUMIFS('EE Inputs'!$S$9:$S$32,'EE Inputs'!$C$9:$C$32,$AM$6,'EE Inputs'!$D$9:$D$32,$C$4,'EE Inputs'!$E$9:$E$32,$B148)))</f>
        <v>0</v>
      </c>
      <c r="BN148" s="71"/>
      <c r="BO148" s="71"/>
      <c r="BP148" s="71"/>
      <c r="BS148" s="76" t="s">
        <v>96</v>
      </c>
      <c r="BT148" s="51" t="s">
        <v>17</v>
      </c>
    </row>
    <row r="149" spans="1:72" x14ac:dyDescent="0.25">
      <c r="A149" s="246"/>
      <c r="B149" s="243" t="str">
        <f t="shared" si="136"/>
        <v>Low-Income</v>
      </c>
      <c r="C149" s="243" t="str">
        <f t="shared" si="136"/>
        <v>Bills</v>
      </c>
      <c r="D149" s="244" t="str">
        <f t="shared" si="136"/>
        <v>Annual Savings from DSM Scenario</v>
      </c>
      <c r="E149" s="84" t="str">
        <f>'EE Inputs'!$N$16&amp;" Participant"</f>
        <v>High Savings Participant</v>
      </c>
      <c r="F149" s="84" t="s">
        <v>195</v>
      </c>
      <c r="G149" s="704" cm="1">
        <f t="array" aca="1" ref="G149" ca="1">IF($C$4=Lookups!$D$40,INDIRECT("'Yr1'!"&amp;ADDRESS(ROW(G149),COLUMN(G149))),
IF(G91=0,0,SUMIFS('EE Inputs'!$T$9:$T$32,'EE Inputs'!$C$9:$C$32,$G$6,'EE Inputs'!$D$9:$D$32,$C$4,'EE Inputs'!$E$9:$E$32,$B149)))</f>
        <v>46.620000000000005</v>
      </c>
      <c r="H149" s="704" cm="1">
        <f t="array" aca="1" ref="H149" ca="1">IF($C$4=Lookups!$D$40,INDIRECT("'Yr1'!"&amp;ADDRESS(ROW(H149),COLUMN(H149))),
IF(H91=0,0,SUMIFS('EE Inputs'!$T$9:$T$32,'EE Inputs'!$C$9:$C$32,$G$6,'EE Inputs'!$D$9:$D$32,$C$4,'EE Inputs'!$E$9:$E$32,$B149)))</f>
        <v>46.620000000000005</v>
      </c>
      <c r="I149" s="704" cm="1">
        <f t="array" aca="1" ref="I149" ca="1">IF($C$4=Lookups!$D$40,INDIRECT("'Yr1'!"&amp;ADDRESS(ROW(I149),COLUMN(I149))),
IF(I91=0,0,SUMIFS('EE Inputs'!$T$9:$T$32,'EE Inputs'!$C$9:$C$32,$G$6,'EE Inputs'!$D$9:$D$32,$C$4,'EE Inputs'!$E$9:$E$32,$B149)))</f>
        <v>46.620000000000005</v>
      </c>
      <c r="J149" s="704" cm="1">
        <f t="array" aca="1" ref="J149" ca="1">IF($C$4=Lookups!$D$40,INDIRECT("'Yr1'!"&amp;ADDRESS(ROW(J149),COLUMN(J149))),
IF(J91=0,0,SUMIFS('EE Inputs'!$T$9:$T$32,'EE Inputs'!$C$9:$C$32,$G$6,'EE Inputs'!$D$9:$D$32,$C$4,'EE Inputs'!$E$9:$E$32,$B149)))</f>
        <v>46.620000000000005</v>
      </c>
      <c r="K149" s="704" cm="1">
        <f t="array" aca="1" ref="K149" ca="1">IF($C$4=Lookups!$D$40,INDIRECT("'Yr1'!"&amp;ADDRESS(ROW(K149),COLUMN(K149))),
IF(K91=0,0,SUMIFS('EE Inputs'!$T$9:$T$32,'EE Inputs'!$C$9:$C$32,$G$6,'EE Inputs'!$D$9:$D$32,$C$4,'EE Inputs'!$E$9:$E$32,$B149)))</f>
        <v>46.620000000000005</v>
      </c>
      <c r="L149" s="704" cm="1">
        <f t="array" aca="1" ref="L149" ca="1">IF($C$4=Lookups!$D$40,INDIRECT("'Yr1'!"&amp;ADDRESS(ROW(L149),COLUMN(L149))),
IF(L91=0,0,SUMIFS('EE Inputs'!$T$9:$T$32,'EE Inputs'!$C$9:$C$32,$G$6,'EE Inputs'!$D$9:$D$32,$C$4,'EE Inputs'!$E$9:$E$32,$B149)))</f>
        <v>46.620000000000005</v>
      </c>
      <c r="M149" s="704" cm="1">
        <f t="array" aca="1" ref="M149" ca="1">IF($C$4=Lookups!$D$40,INDIRECT("'Yr1'!"&amp;ADDRESS(ROW(M149),COLUMN(M149))),
IF(M91=0,0,SUMIFS('EE Inputs'!$T$9:$T$32,'EE Inputs'!$C$9:$C$32,$G$6,'EE Inputs'!$D$9:$D$32,$C$4,'EE Inputs'!$E$9:$E$32,$B149)))</f>
        <v>46.620000000000005</v>
      </c>
      <c r="N149" s="704" cm="1">
        <f t="array" aca="1" ref="N149" ca="1">IF($C$4=Lookups!$D$40,INDIRECT("'Yr1'!"&amp;ADDRESS(ROW(N149),COLUMN(N149))),
IF(N91=0,0,SUMIFS('EE Inputs'!$T$9:$T$32,'EE Inputs'!$C$9:$C$32,$G$6,'EE Inputs'!$D$9:$D$32,$C$4,'EE Inputs'!$E$9:$E$32,$B149)))</f>
        <v>46.620000000000005</v>
      </c>
      <c r="O149" s="704" cm="1">
        <f t="array" aca="1" ref="O149" ca="1">IF($C$4=Lookups!$D$40,INDIRECT("'Yr1'!"&amp;ADDRESS(ROW(O149),COLUMN(O149))),
IF(O91=0,0,SUMIFS('EE Inputs'!$T$9:$T$32,'EE Inputs'!$C$9:$C$32,$G$6,'EE Inputs'!$D$9:$D$32,$C$4,'EE Inputs'!$E$9:$E$32,$B149)))</f>
        <v>46.620000000000005</v>
      </c>
      <c r="P149" s="704" cm="1">
        <f t="array" aca="1" ref="P149" ca="1">IF($C$4=Lookups!$D$40,INDIRECT("'Yr1'!"&amp;ADDRESS(ROW(P149),COLUMN(P149))),
IF(P91=0,0,SUMIFS('EE Inputs'!$T$9:$T$32,'EE Inputs'!$C$9:$C$32,$G$6,'EE Inputs'!$D$9:$D$32,$C$4,'EE Inputs'!$E$9:$E$32,$B149)))</f>
        <v>46.620000000000005</v>
      </c>
      <c r="Q149" s="704" cm="1">
        <f t="array" aca="1" ref="Q149" ca="1">IF($C$4=Lookups!$D$40,INDIRECT("'Yr1'!"&amp;ADDRESS(ROW(Q149),COLUMN(Q149))),
IF(Q91=0,0,SUMIFS('EE Inputs'!$T$9:$T$32,'EE Inputs'!$C$9:$C$32,$G$6,'EE Inputs'!$D$9:$D$32,$C$4,'EE Inputs'!$E$9:$E$32,$B149)))</f>
        <v>46.620000000000005</v>
      </c>
      <c r="R149" s="704" cm="1">
        <f t="array" aca="1" ref="R149" ca="1">IF($C$4=Lookups!$D$40,INDIRECT("'Yr1'!"&amp;ADDRESS(ROW(R149),COLUMN(R149))),
IF(R91=0,0,SUMIFS('EE Inputs'!$T$9:$T$32,'EE Inputs'!$C$9:$C$32,$G$6,'EE Inputs'!$D$9:$D$32,$C$4,'EE Inputs'!$E$9:$E$32,$B149)))</f>
        <v>46.620000000000005</v>
      </c>
      <c r="S149" s="704" cm="1">
        <f t="array" aca="1" ref="S149" ca="1">IF($C$4=Lookups!$D$40,INDIRECT("'Yr1'!"&amp;ADDRESS(ROW(S149),COLUMN(S149))),
IF(S91=0,0,SUMIFS('EE Inputs'!$T$9:$T$32,'EE Inputs'!$C$9:$C$32,$G$6,'EE Inputs'!$D$9:$D$32,$C$4,'EE Inputs'!$E$9:$E$32,$B149)))</f>
        <v>46.620000000000005</v>
      </c>
      <c r="T149" s="704" cm="1">
        <f t="array" aca="1" ref="T149" ca="1">IF($C$4=Lookups!$D$40,INDIRECT("'Yr1'!"&amp;ADDRESS(ROW(T149),COLUMN(T149))),
IF(T91=0,0,SUMIFS('EE Inputs'!$T$9:$T$32,'EE Inputs'!$C$9:$C$32,$G$6,'EE Inputs'!$D$9:$D$32,$C$4,'EE Inputs'!$E$9:$E$32,$B149)))</f>
        <v>46.620000000000005</v>
      </c>
      <c r="U149" s="704" cm="1">
        <f t="array" aca="1" ref="U149" ca="1">IF($C$4=Lookups!$D$40,INDIRECT("'Yr1'!"&amp;ADDRESS(ROW(U149),COLUMN(U149))),
IF(U91=0,0,SUMIFS('EE Inputs'!$T$9:$T$32,'EE Inputs'!$C$9:$C$32,$G$6,'EE Inputs'!$D$9:$D$32,$C$4,'EE Inputs'!$E$9:$E$32,$B149)))</f>
        <v>46.620000000000005</v>
      </c>
      <c r="V149" s="704" cm="1">
        <f t="array" aca="1" ref="V149" ca="1">IF($C$4=Lookups!$D$40,INDIRECT("'Yr1'!"&amp;ADDRESS(ROW(V149),COLUMN(V149))),
IF(V91=0,0,SUMIFS('EE Inputs'!$T$9:$T$32,'EE Inputs'!$C$9:$C$32,$G$6,'EE Inputs'!$D$9:$D$32,$C$4,'EE Inputs'!$E$9:$E$32,$B149)))</f>
        <v>46.620000000000005</v>
      </c>
      <c r="W149" s="704" cm="1">
        <f t="array" aca="1" ref="W149" ca="1">IF($C$4=Lookups!$D$40,INDIRECT("'Yr1'!"&amp;ADDRESS(ROW(W149),COLUMN(W149))),
IF(W91=0,0,SUMIFS('EE Inputs'!$T$9:$T$32,'EE Inputs'!$C$9:$C$32,$G$6,'EE Inputs'!$D$9:$D$32,$C$4,'EE Inputs'!$E$9:$E$32,$B149)))</f>
        <v>46.620000000000005</v>
      </c>
      <c r="X149" s="704" cm="1">
        <f t="array" aca="1" ref="X149" ca="1">IF($C$4=Lookups!$D$40,INDIRECT("'Yr1'!"&amp;ADDRESS(ROW(X149),COLUMN(X149))),
IF(X91=0,0,SUMIFS('EE Inputs'!$T$9:$T$32,'EE Inputs'!$C$9:$C$32,$G$6,'EE Inputs'!$D$9:$D$32,$C$4,'EE Inputs'!$E$9:$E$32,$B149)))</f>
        <v>46.620000000000005</v>
      </c>
      <c r="Y149" s="704" cm="1">
        <f t="array" aca="1" ref="Y149" ca="1">IF($C$4=Lookups!$D$40,INDIRECT("'Yr1'!"&amp;ADDRESS(ROW(Y149),COLUMN(Y149))),
IF(Y91=0,0,SUMIFS('EE Inputs'!$T$9:$T$32,'EE Inputs'!$C$9:$C$32,$G$6,'EE Inputs'!$D$9:$D$32,$C$4,'EE Inputs'!$E$9:$E$32,$B149)))</f>
        <v>46.620000000000005</v>
      </c>
      <c r="Z149" s="704" cm="1">
        <f t="array" aca="1" ref="Z149" ca="1">IF($C$4=Lookups!$D$40,INDIRECT("'Yr1'!"&amp;ADDRESS(ROW(Z149),COLUMN(Z149))),
IF(Z91=0,0,SUMIFS('EE Inputs'!$T$9:$T$32,'EE Inputs'!$C$9:$C$32,$G$6,'EE Inputs'!$D$9:$D$32,$C$4,'EE Inputs'!$E$9:$E$32,$B149)))</f>
        <v>46.620000000000005</v>
      </c>
      <c r="AA149" s="704" cm="1">
        <f t="array" aca="1" ref="AA149" ca="1">IF($C$4=Lookups!$D$40,INDIRECT("'Yr1'!"&amp;ADDRESS(ROW(AA149),COLUMN(AA149))),
IF(AA91=0,0,SUMIFS('EE Inputs'!$T$9:$T$32,'EE Inputs'!$C$9:$C$32,$G$6,'EE Inputs'!$D$9:$D$32,$C$4,'EE Inputs'!$E$9:$E$32,$B149)))</f>
        <v>0</v>
      </c>
      <c r="AB149" s="704" cm="1">
        <f t="array" aca="1" ref="AB149" ca="1">IF($C$4=Lookups!$D$40,INDIRECT("'Yr1'!"&amp;ADDRESS(ROW(AB149),COLUMN(AB149))),
IF(AB91=0,0,SUMIFS('EE Inputs'!$T$9:$T$32,'EE Inputs'!$C$9:$C$32,$G$6,'EE Inputs'!$D$9:$D$32,$C$4,'EE Inputs'!$E$9:$E$32,$B149)))</f>
        <v>0</v>
      </c>
      <c r="AC149" s="704" cm="1">
        <f t="array" aca="1" ref="AC149" ca="1">IF($C$4=Lookups!$D$40,INDIRECT("'Yr1'!"&amp;ADDRESS(ROW(AC149),COLUMN(AC149))),
IF(AC91=0,0,SUMIFS('EE Inputs'!$T$9:$T$32,'EE Inputs'!$C$9:$C$32,$G$6,'EE Inputs'!$D$9:$D$32,$C$4,'EE Inputs'!$E$9:$E$32,$B149)))</f>
        <v>0</v>
      </c>
      <c r="AD149" s="704" cm="1">
        <f t="array" aca="1" ref="AD149" ca="1">IF($C$4=Lookups!$D$40,INDIRECT("'Yr1'!"&amp;ADDRESS(ROW(AD149),COLUMN(AD149))),
IF(AD91=0,0,SUMIFS('EE Inputs'!$T$9:$T$32,'EE Inputs'!$C$9:$C$32,$G$6,'EE Inputs'!$D$9:$D$32,$C$4,'EE Inputs'!$E$9:$E$32,$B149)))</f>
        <v>0</v>
      </c>
      <c r="AE149" s="704" cm="1">
        <f t="array" aca="1" ref="AE149" ca="1">IF($C$4=Lookups!$D$40,INDIRECT("'Yr1'!"&amp;ADDRESS(ROW(AE149),COLUMN(AE149))),
IF(AE91=0,0,SUMIFS('EE Inputs'!$T$9:$T$32,'EE Inputs'!$C$9:$C$32,$G$6,'EE Inputs'!$D$9:$D$32,$C$4,'EE Inputs'!$E$9:$E$32,$B149)))</f>
        <v>0</v>
      </c>
      <c r="AF149" s="704" cm="1">
        <f t="array" aca="1" ref="AF149" ca="1">IF($C$4=Lookups!$D$40,INDIRECT("'Yr1'!"&amp;ADDRESS(ROW(AF149),COLUMN(AF149))),
IF(AF91=0,0,SUMIFS('EE Inputs'!$T$9:$T$32,'EE Inputs'!$C$9:$C$32,$G$6,'EE Inputs'!$D$9:$D$32,$C$4,'EE Inputs'!$E$9:$E$32,$B149)))</f>
        <v>0</v>
      </c>
      <c r="AG149" s="704" cm="1">
        <f t="array" aca="1" ref="AG149" ca="1">IF($C$4=Lookups!$D$40,INDIRECT("'Yr1'!"&amp;ADDRESS(ROW(AG149),COLUMN(AG149))),
IF(AG91=0,0,SUMIFS('EE Inputs'!$T$9:$T$32,'EE Inputs'!$C$9:$C$32,$G$6,'EE Inputs'!$D$9:$D$32,$C$4,'EE Inputs'!$E$9:$E$32,$B149)))</f>
        <v>0</v>
      </c>
      <c r="AH149" s="64"/>
      <c r="AI149" s="64"/>
      <c r="AJ149" s="64"/>
      <c r="AM149" s="645" cm="1">
        <f t="array" aca="1" ref="AM149" ca="1">IF($C$4=Lookups!$D$40,INDIRECT("'Yr1'!"&amp;ADDRESS(ROW(AM149),COLUMN(AM149))),
IF(AM91=0,0,SUMIFS('EE Inputs'!$T$9:$T$32,'EE Inputs'!$C$9:$C$32,$AM$6,'EE Inputs'!$D$9:$D$32,$C$4,'EE Inputs'!$E$9:$E$32,$B149)))</f>
        <v>55.944000000000003</v>
      </c>
      <c r="AN149" s="645" cm="1">
        <f t="array" aca="1" ref="AN149" ca="1">IF($C$4=Lookups!$D$40,INDIRECT("'Yr1'!"&amp;ADDRESS(ROW(AN149),COLUMN(AN149))),
IF(AN91=0,0,SUMIFS('EE Inputs'!$T$9:$T$32,'EE Inputs'!$C$9:$C$32,$AM$6,'EE Inputs'!$D$9:$D$32,$C$4,'EE Inputs'!$E$9:$E$32,$B149)))</f>
        <v>55.944000000000003</v>
      </c>
      <c r="AO149" s="645" cm="1">
        <f t="array" aca="1" ref="AO149" ca="1">IF($C$4=Lookups!$D$40,INDIRECT("'Yr1'!"&amp;ADDRESS(ROW(AO149),COLUMN(AO149))),
IF(AO91=0,0,SUMIFS('EE Inputs'!$T$9:$T$32,'EE Inputs'!$C$9:$C$32,$AM$6,'EE Inputs'!$D$9:$D$32,$C$4,'EE Inputs'!$E$9:$E$32,$B149)))</f>
        <v>55.944000000000003</v>
      </c>
      <c r="AP149" s="645" cm="1">
        <f t="array" aca="1" ref="AP149" ca="1">IF($C$4=Lookups!$D$40,INDIRECT("'Yr1'!"&amp;ADDRESS(ROW(AP149),COLUMN(AP149))),
IF(AP91=0,0,SUMIFS('EE Inputs'!$T$9:$T$32,'EE Inputs'!$C$9:$C$32,$AM$6,'EE Inputs'!$D$9:$D$32,$C$4,'EE Inputs'!$E$9:$E$32,$B149)))</f>
        <v>55.944000000000003</v>
      </c>
      <c r="AQ149" s="645" cm="1">
        <f t="array" aca="1" ref="AQ149" ca="1">IF($C$4=Lookups!$D$40,INDIRECT("'Yr1'!"&amp;ADDRESS(ROW(AQ149),COLUMN(AQ149))),
IF(AQ91=0,0,SUMIFS('EE Inputs'!$T$9:$T$32,'EE Inputs'!$C$9:$C$32,$AM$6,'EE Inputs'!$D$9:$D$32,$C$4,'EE Inputs'!$E$9:$E$32,$B149)))</f>
        <v>55.944000000000003</v>
      </c>
      <c r="AR149" s="645" cm="1">
        <f t="array" aca="1" ref="AR149" ca="1">IF($C$4=Lookups!$D$40,INDIRECT("'Yr1'!"&amp;ADDRESS(ROW(AR149),COLUMN(AR149))),
IF(AR91=0,0,SUMIFS('EE Inputs'!$T$9:$T$32,'EE Inputs'!$C$9:$C$32,$AM$6,'EE Inputs'!$D$9:$D$32,$C$4,'EE Inputs'!$E$9:$E$32,$B149)))</f>
        <v>55.944000000000003</v>
      </c>
      <c r="AS149" s="645" cm="1">
        <f t="array" aca="1" ref="AS149" ca="1">IF($C$4=Lookups!$D$40,INDIRECT("'Yr1'!"&amp;ADDRESS(ROW(AS149),COLUMN(AS149))),
IF(AS91=0,0,SUMIFS('EE Inputs'!$T$9:$T$32,'EE Inputs'!$C$9:$C$32,$AM$6,'EE Inputs'!$D$9:$D$32,$C$4,'EE Inputs'!$E$9:$E$32,$B149)))</f>
        <v>55.944000000000003</v>
      </c>
      <c r="AT149" s="645" cm="1">
        <f t="array" aca="1" ref="AT149" ca="1">IF($C$4=Lookups!$D$40,INDIRECT("'Yr1'!"&amp;ADDRESS(ROW(AT149),COLUMN(AT149))),
IF(AT91=0,0,SUMIFS('EE Inputs'!$T$9:$T$32,'EE Inputs'!$C$9:$C$32,$AM$6,'EE Inputs'!$D$9:$D$32,$C$4,'EE Inputs'!$E$9:$E$32,$B149)))</f>
        <v>55.944000000000003</v>
      </c>
      <c r="AU149" s="645" cm="1">
        <f t="array" aca="1" ref="AU149" ca="1">IF($C$4=Lookups!$D$40,INDIRECT("'Yr1'!"&amp;ADDRESS(ROW(AU149),COLUMN(AU149))),
IF(AU91=0,0,SUMIFS('EE Inputs'!$T$9:$T$32,'EE Inputs'!$C$9:$C$32,$AM$6,'EE Inputs'!$D$9:$D$32,$C$4,'EE Inputs'!$E$9:$E$32,$B149)))</f>
        <v>55.944000000000003</v>
      </c>
      <c r="AV149" s="645" cm="1">
        <f t="array" aca="1" ref="AV149" ca="1">IF($C$4=Lookups!$D$40,INDIRECT("'Yr1'!"&amp;ADDRESS(ROW(AV149),COLUMN(AV149))),
IF(AV91=0,0,SUMIFS('EE Inputs'!$T$9:$T$32,'EE Inputs'!$C$9:$C$32,$AM$6,'EE Inputs'!$D$9:$D$32,$C$4,'EE Inputs'!$E$9:$E$32,$B149)))</f>
        <v>55.944000000000003</v>
      </c>
      <c r="AW149" s="645" cm="1">
        <f t="array" aca="1" ref="AW149" ca="1">IF($C$4=Lookups!$D$40,INDIRECT("'Yr1'!"&amp;ADDRESS(ROW(AW149),COLUMN(AW149))),
IF(AW91=0,0,SUMIFS('EE Inputs'!$T$9:$T$32,'EE Inputs'!$C$9:$C$32,$AM$6,'EE Inputs'!$D$9:$D$32,$C$4,'EE Inputs'!$E$9:$E$32,$B149)))</f>
        <v>55.944000000000003</v>
      </c>
      <c r="AX149" s="645" cm="1">
        <f t="array" aca="1" ref="AX149" ca="1">IF($C$4=Lookups!$D$40,INDIRECT("'Yr1'!"&amp;ADDRESS(ROW(AX149),COLUMN(AX149))),
IF(AX91=0,0,SUMIFS('EE Inputs'!$T$9:$T$32,'EE Inputs'!$C$9:$C$32,$AM$6,'EE Inputs'!$D$9:$D$32,$C$4,'EE Inputs'!$E$9:$E$32,$B149)))</f>
        <v>55.944000000000003</v>
      </c>
      <c r="AY149" s="645" cm="1">
        <f t="array" aca="1" ref="AY149" ca="1">IF($C$4=Lookups!$D$40,INDIRECT("'Yr1'!"&amp;ADDRESS(ROW(AY149),COLUMN(AY149))),
IF(AY91=0,0,SUMIFS('EE Inputs'!$T$9:$T$32,'EE Inputs'!$C$9:$C$32,$AM$6,'EE Inputs'!$D$9:$D$32,$C$4,'EE Inputs'!$E$9:$E$32,$B149)))</f>
        <v>55.944000000000003</v>
      </c>
      <c r="AZ149" s="645" cm="1">
        <f t="array" aca="1" ref="AZ149" ca="1">IF($C$4=Lookups!$D$40,INDIRECT("'Yr1'!"&amp;ADDRESS(ROW(AZ149),COLUMN(AZ149))),
IF(AZ91=0,0,SUMIFS('EE Inputs'!$T$9:$T$32,'EE Inputs'!$C$9:$C$32,$AM$6,'EE Inputs'!$D$9:$D$32,$C$4,'EE Inputs'!$E$9:$E$32,$B149)))</f>
        <v>55.944000000000003</v>
      </c>
      <c r="BA149" s="645" cm="1">
        <f t="array" aca="1" ref="BA149" ca="1">IF($C$4=Lookups!$D$40,INDIRECT("'Yr1'!"&amp;ADDRESS(ROW(BA149),COLUMN(BA149))),
IF(BA91=0,0,SUMIFS('EE Inputs'!$T$9:$T$32,'EE Inputs'!$C$9:$C$32,$AM$6,'EE Inputs'!$D$9:$D$32,$C$4,'EE Inputs'!$E$9:$E$32,$B149)))</f>
        <v>55.944000000000003</v>
      </c>
      <c r="BB149" s="645" cm="1">
        <f t="array" aca="1" ref="BB149" ca="1">IF($C$4=Lookups!$D$40,INDIRECT("'Yr1'!"&amp;ADDRESS(ROW(BB149),COLUMN(BB149))),
IF(BB91=0,0,SUMIFS('EE Inputs'!$T$9:$T$32,'EE Inputs'!$C$9:$C$32,$AM$6,'EE Inputs'!$D$9:$D$32,$C$4,'EE Inputs'!$E$9:$E$32,$B149)))</f>
        <v>55.944000000000003</v>
      </c>
      <c r="BC149" s="645" cm="1">
        <f t="array" aca="1" ref="BC149" ca="1">IF($C$4=Lookups!$D$40,INDIRECT("'Yr1'!"&amp;ADDRESS(ROW(BC149),COLUMN(BC149))),
IF(BC91=0,0,SUMIFS('EE Inputs'!$T$9:$T$32,'EE Inputs'!$C$9:$C$32,$AM$6,'EE Inputs'!$D$9:$D$32,$C$4,'EE Inputs'!$E$9:$E$32,$B149)))</f>
        <v>55.944000000000003</v>
      </c>
      <c r="BD149" s="645" cm="1">
        <f t="array" aca="1" ref="BD149" ca="1">IF($C$4=Lookups!$D$40,INDIRECT("'Yr1'!"&amp;ADDRESS(ROW(BD149),COLUMN(BD149))),
IF(BD91=0,0,SUMIFS('EE Inputs'!$T$9:$T$32,'EE Inputs'!$C$9:$C$32,$AM$6,'EE Inputs'!$D$9:$D$32,$C$4,'EE Inputs'!$E$9:$E$32,$B149)))</f>
        <v>55.944000000000003</v>
      </c>
      <c r="BE149" s="645" cm="1">
        <f t="array" aca="1" ref="BE149" ca="1">IF($C$4=Lookups!$D$40,INDIRECT("'Yr1'!"&amp;ADDRESS(ROW(BE149),COLUMN(BE149))),
IF(BE91=0,0,SUMIFS('EE Inputs'!$T$9:$T$32,'EE Inputs'!$C$9:$C$32,$AM$6,'EE Inputs'!$D$9:$D$32,$C$4,'EE Inputs'!$E$9:$E$32,$B149)))</f>
        <v>55.944000000000003</v>
      </c>
      <c r="BF149" s="645" cm="1">
        <f t="array" aca="1" ref="BF149" ca="1">IF($C$4=Lookups!$D$40,INDIRECT("'Yr1'!"&amp;ADDRESS(ROW(BF149),COLUMN(BF149))),
IF(BF91=0,0,SUMIFS('EE Inputs'!$T$9:$T$32,'EE Inputs'!$C$9:$C$32,$AM$6,'EE Inputs'!$D$9:$D$32,$C$4,'EE Inputs'!$E$9:$E$32,$B149)))</f>
        <v>55.944000000000003</v>
      </c>
      <c r="BG149" s="645" cm="1">
        <f t="array" aca="1" ref="BG149" ca="1">IF($C$4=Lookups!$D$40,INDIRECT("'Yr1'!"&amp;ADDRESS(ROW(BG149),COLUMN(BG149))),
IF(BG91=0,0,SUMIFS('EE Inputs'!$T$9:$T$32,'EE Inputs'!$C$9:$C$32,$AM$6,'EE Inputs'!$D$9:$D$32,$C$4,'EE Inputs'!$E$9:$E$32,$B149)))</f>
        <v>0</v>
      </c>
      <c r="BH149" s="645" cm="1">
        <f t="array" aca="1" ref="BH149" ca="1">IF($C$4=Lookups!$D$40,INDIRECT("'Yr1'!"&amp;ADDRESS(ROW(BH149),COLUMN(BH149))),
IF(BH91=0,0,SUMIFS('EE Inputs'!$T$9:$T$32,'EE Inputs'!$C$9:$C$32,$AM$6,'EE Inputs'!$D$9:$D$32,$C$4,'EE Inputs'!$E$9:$E$32,$B149)))</f>
        <v>0</v>
      </c>
      <c r="BI149" s="645" cm="1">
        <f t="array" aca="1" ref="BI149" ca="1">IF($C$4=Lookups!$D$40,INDIRECT("'Yr1'!"&amp;ADDRESS(ROW(BI149),COLUMN(BI149))),
IF(BI91=0,0,SUMIFS('EE Inputs'!$T$9:$T$32,'EE Inputs'!$C$9:$C$32,$AM$6,'EE Inputs'!$D$9:$D$32,$C$4,'EE Inputs'!$E$9:$E$32,$B149)))</f>
        <v>0</v>
      </c>
      <c r="BJ149" s="645" cm="1">
        <f t="array" aca="1" ref="BJ149" ca="1">IF($C$4=Lookups!$D$40,INDIRECT("'Yr1'!"&amp;ADDRESS(ROW(BJ149),COLUMN(BJ149))),
IF(BJ91=0,0,SUMIFS('EE Inputs'!$T$9:$T$32,'EE Inputs'!$C$9:$C$32,$AM$6,'EE Inputs'!$D$9:$D$32,$C$4,'EE Inputs'!$E$9:$E$32,$B149)))</f>
        <v>0</v>
      </c>
      <c r="BK149" s="645" cm="1">
        <f t="array" aca="1" ref="BK149" ca="1">IF($C$4=Lookups!$D$40,INDIRECT("'Yr1'!"&amp;ADDRESS(ROW(BK149),COLUMN(BK149))),
IF(BK91=0,0,SUMIFS('EE Inputs'!$T$9:$T$32,'EE Inputs'!$C$9:$C$32,$AM$6,'EE Inputs'!$D$9:$D$32,$C$4,'EE Inputs'!$E$9:$E$32,$B149)))</f>
        <v>0</v>
      </c>
      <c r="BL149" s="645" cm="1">
        <f t="array" aca="1" ref="BL149" ca="1">IF($C$4=Lookups!$D$40,INDIRECT("'Yr1'!"&amp;ADDRESS(ROW(BL149),COLUMN(BL149))),
IF(BL91=0,0,SUMIFS('EE Inputs'!$T$9:$T$32,'EE Inputs'!$C$9:$C$32,$AM$6,'EE Inputs'!$D$9:$D$32,$C$4,'EE Inputs'!$E$9:$E$32,$B149)))</f>
        <v>0</v>
      </c>
      <c r="BM149" s="645" cm="1">
        <f t="array" aca="1" ref="BM149" ca="1">IF($C$4=Lookups!$D$40,INDIRECT("'Yr1'!"&amp;ADDRESS(ROW(BM149),COLUMN(BM149))),
IF(BM91=0,0,SUMIFS('EE Inputs'!$T$9:$T$32,'EE Inputs'!$C$9:$C$32,$AM$6,'EE Inputs'!$D$9:$D$32,$C$4,'EE Inputs'!$E$9:$E$32,$B149)))</f>
        <v>0</v>
      </c>
      <c r="BN149" s="71"/>
      <c r="BO149" s="71"/>
      <c r="BP149" s="71"/>
      <c r="BS149" s="76" t="s">
        <v>96</v>
      </c>
      <c r="BT149" s="51" t="s">
        <v>17</v>
      </c>
    </row>
    <row r="150" spans="1:72" x14ac:dyDescent="0.25">
      <c r="B150" s="243" t="str">
        <f t="shared" si="136"/>
        <v>Low-Income</v>
      </c>
      <c r="C150" s="243" t="str">
        <f t="shared" si="136"/>
        <v>Bills</v>
      </c>
      <c r="D150" s="114" t="s">
        <v>111</v>
      </c>
      <c r="E150" s="84"/>
      <c r="F150" s="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49"/>
      <c r="AI150" s="184"/>
      <c r="AJ150" s="49"/>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S150" s="84"/>
      <c r="BT150" s="51" t="s">
        <v>17</v>
      </c>
    </row>
    <row r="151" spans="1:72" x14ac:dyDescent="0.25">
      <c r="B151" s="243" t="str">
        <f t="shared" si="136"/>
        <v>Low-Income</v>
      </c>
      <c r="C151" s="243" t="str">
        <f t="shared" si="136"/>
        <v>Bills</v>
      </c>
      <c r="D151" s="244" t="str">
        <f t="shared" si="136"/>
        <v>Bills after DSM Scenario</v>
      </c>
      <c r="E151" s="84" t="s">
        <v>348</v>
      </c>
      <c r="F151" s="84" t="s">
        <v>32</v>
      </c>
      <c r="G151" s="103">
        <f ca="1">G143+G144*(G136-G135)</f>
        <v>657.05234577695774</v>
      </c>
      <c r="H151" s="103">
        <f ca="1">H143+H144*(H136-H135)</f>
        <v>659.95382563200337</v>
      </c>
      <c r="I151" s="103">
        <f t="shared" ref="I151:AG151" ca="1" si="146">I143+I144*(I136-I135)</f>
        <v>663.09654743456224</v>
      </c>
      <c r="J151" s="103">
        <f t="shared" ca="1" si="146"/>
        <v>617.2851969352887</v>
      </c>
      <c r="K151" s="103">
        <f t="shared" ca="1" si="146"/>
        <v>617.2851969352887</v>
      </c>
      <c r="L151" s="103">
        <f t="shared" ca="1" si="146"/>
        <v>617.2851969352887</v>
      </c>
      <c r="M151" s="103">
        <f t="shared" ca="1" si="146"/>
        <v>617.2851969352887</v>
      </c>
      <c r="N151" s="103">
        <f t="shared" ca="1" si="146"/>
        <v>617.2851969352887</v>
      </c>
      <c r="O151" s="103">
        <f t="shared" ca="1" si="146"/>
        <v>617.2851969352887</v>
      </c>
      <c r="P151" s="103">
        <f t="shared" ca="1" si="146"/>
        <v>617.2851969352887</v>
      </c>
      <c r="Q151" s="103">
        <f t="shared" ca="1" si="146"/>
        <v>617.2851969352887</v>
      </c>
      <c r="R151" s="103">
        <f t="shared" ca="1" si="146"/>
        <v>617.2851969352887</v>
      </c>
      <c r="S151" s="103">
        <f t="shared" ca="1" si="146"/>
        <v>617.2851969352887</v>
      </c>
      <c r="T151" s="103">
        <f t="shared" ca="1" si="146"/>
        <v>617.2851969352887</v>
      </c>
      <c r="U151" s="103">
        <f t="shared" ca="1" si="146"/>
        <v>617.2851969352887</v>
      </c>
      <c r="V151" s="103">
        <f t="shared" ca="1" si="146"/>
        <v>617.2851969352887</v>
      </c>
      <c r="W151" s="103">
        <f t="shared" ca="1" si="146"/>
        <v>617.2851969352887</v>
      </c>
      <c r="X151" s="103">
        <f t="shared" ca="1" si="146"/>
        <v>617.2851969352887</v>
      </c>
      <c r="Y151" s="103">
        <f t="shared" ca="1" si="146"/>
        <v>617.2851969352887</v>
      </c>
      <c r="Z151" s="103">
        <f t="shared" ca="1" si="146"/>
        <v>617.2851969352887</v>
      </c>
      <c r="AA151" s="103">
        <f t="shared" ca="1" si="146"/>
        <v>615.67539342364239</v>
      </c>
      <c r="AB151" s="103">
        <f t="shared" ca="1" si="146"/>
        <v>614.0800515715066</v>
      </c>
      <c r="AC151" s="103">
        <f t="shared" ca="1" si="146"/>
        <v>612.48659999999995</v>
      </c>
      <c r="AD151" s="103">
        <f t="shared" ca="1" si="146"/>
        <v>612.48659999999995</v>
      </c>
      <c r="AE151" s="103">
        <f t="shared" ca="1" si="146"/>
        <v>612.48659999999995</v>
      </c>
      <c r="AF151" s="103">
        <f t="shared" ca="1" si="146"/>
        <v>612.48659999999995</v>
      </c>
      <c r="AG151" s="103">
        <f t="shared" ca="1" si="146"/>
        <v>612.48659999999995</v>
      </c>
      <c r="AH151" s="103"/>
      <c r="AI151" s="103"/>
      <c r="AJ151" s="103">
        <f ca="1">IF($C$4=Year1,-PMT(Lookups!$E$17,25,NPV(Lookups!$E$17,G151:AE151),0,1),IF($C$4=Year2,-PMT(Lookups!$F$17,25,NPV(Lookups!$F$17,H151:AF151),0,1),IF($C$4=Year3,-PMT(Lookups!$G$17,25,NPV(Lookups!$G$17,I151:AG151),0,1),-PMT(Lookups!$G$17,27,NPV(Lookups!$G$17,G151:AG151),0,1))))</f>
        <v>613.27978199110441</v>
      </c>
      <c r="AM151" s="149">
        <f ca="1">AM143+AM144*(AM136-AM135)</f>
        <v>665.88529034660701</v>
      </c>
      <c r="AN151" s="149">
        <f t="shared" ref="AN151:BM151" ca="1" si="147">AN143+AN144*(AN136-AN135)</f>
        <v>669.29145126560672</v>
      </c>
      <c r="AO151" s="149">
        <f t="shared" ca="1" si="147"/>
        <v>672.99298123003086</v>
      </c>
      <c r="AP151" s="149">
        <f t="shared" ca="1" si="147"/>
        <v>618.01936063090261</v>
      </c>
      <c r="AQ151" s="149">
        <f t="shared" ca="1" si="147"/>
        <v>618.01936063090261</v>
      </c>
      <c r="AR151" s="149">
        <f t="shared" ca="1" si="147"/>
        <v>618.01936063090261</v>
      </c>
      <c r="AS151" s="149">
        <f t="shared" ca="1" si="147"/>
        <v>618.01936063090261</v>
      </c>
      <c r="AT151" s="149">
        <f t="shared" ca="1" si="147"/>
        <v>618.01936063090261</v>
      </c>
      <c r="AU151" s="149">
        <f t="shared" ca="1" si="147"/>
        <v>618.01936063090261</v>
      </c>
      <c r="AV151" s="149">
        <f t="shared" ca="1" si="147"/>
        <v>618.01936063090261</v>
      </c>
      <c r="AW151" s="149">
        <f t="shared" ca="1" si="147"/>
        <v>618.01936063090261</v>
      </c>
      <c r="AX151" s="149">
        <f t="shared" ca="1" si="147"/>
        <v>618.01936063090261</v>
      </c>
      <c r="AY151" s="149">
        <f t="shared" ca="1" si="147"/>
        <v>618.01936063090261</v>
      </c>
      <c r="AZ151" s="149">
        <f t="shared" ca="1" si="147"/>
        <v>618.01936063090261</v>
      </c>
      <c r="BA151" s="149">
        <f t="shared" ca="1" si="147"/>
        <v>618.01936063090261</v>
      </c>
      <c r="BB151" s="149">
        <f t="shared" ca="1" si="147"/>
        <v>618.01936063090261</v>
      </c>
      <c r="BC151" s="149">
        <f t="shared" ca="1" si="147"/>
        <v>618.01936063090261</v>
      </c>
      <c r="BD151" s="149">
        <f t="shared" ca="1" si="147"/>
        <v>618.01936063090261</v>
      </c>
      <c r="BE151" s="149">
        <f t="shared" ca="1" si="147"/>
        <v>618.01936063090261</v>
      </c>
      <c r="BF151" s="149">
        <f t="shared" ca="1" si="147"/>
        <v>618.01936063090261</v>
      </c>
      <c r="BG151" s="149">
        <f t="shared" ca="1" si="147"/>
        <v>616.15235138119453</v>
      </c>
      <c r="BH151" s="149">
        <f t="shared" ca="1" si="147"/>
        <v>614.3130174955096</v>
      </c>
      <c r="BI151" s="149">
        <f t="shared" ca="1" si="147"/>
        <v>612.48659999999995</v>
      </c>
      <c r="BJ151" s="149">
        <f t="shared" ca="1" si="147"/>
        <v>612.48659999999995</v>
      </c>
      <c r="BK151" s="149">
        <f t="shared" ca="1" si="147"/>
        <v>612.48659999999995</v>
      </c>
      <c r="BL151" s="149">
        <f t="shared" ca="1" si="147"/>
        <v>612.48659999999995</v>
      </c>
      <c r="BM151" s="149">
        <f t="shared" ca="1" si="147"/>
        <v>612.48659999999995</v>
      </c>
      <c r="BN151" s="149"/>
      <c r="BO151" s="149"/>
      <c r="BP151" s="149">
        <f ca="1">IF($C$4=Year1,-PMT(Lookups!$E$17,25,NPV(Lookups!$E$17,AM151:BK151),0,1),IF($C$4=Year2,-PMT(Lookups!$F$17,25,NPV(Lookups!$F$17,AN151:BL151),0,1),IF($C$4=Year3,-PMT(Lookups!$G$17,25,NPV(Lookups!$G$17,AO151:BM151),0,1),-PMT(Lookups!$G$17,27,NPV(Lookups!$G$17,AM151:BM151),0,1))))</f>
        <v>614.97553083126093</v>
      </c>
      <c r="BS151" s="84" t="s">
        <v>239</v>
      </c>
      <c r="BT151" s="51" t="s">
        <v>17</v>
      </c>
    </row>
    <row r="152" spans="1:72" x14ac:dyDescent="0.25">
      <c r="B152" s="243" t="str">
        <f t="shared" si="136"/>
        <v>Low-Income</v>
      </c>
      <c r="C152" s="243" t="str">
        <f t="shared" si="136"/>
        <v>Bills</v>
      </c>
      <c r="D152" s="244" t="str">
        <f t="shared" si="136"/>
        <v>Bills after DSM Scenario</v>
      </c>
      <c r="E152" s="84" t="s">
        <v>349</v>
      </c>
      <c r="F152" s="84" t="s">
        <v>32</v>
      </c>
      <c r="G152" s="103">
        <f ca="1">G143+(G144-G147)*(G136-G135)</f>
        <v>643.90090724145557</v>
      </c>
      <c r="H152" s="103">
        <f ca="1">H143+(H144-H147)*(H136-H135)</f>
        <v>633.11313667740399</v>
      </c>
      <c r="I152" s="103">
        <f t="shared" ref="I152:AG152" ca="1" si="148">I143+(I144-I147)*(I136-I135)</f>
        <v>621.88270485267856</v>
      </c>
      <c r="J152" s="103">
        <f t="shared" ca="1" si="148"/>
        <v>579.27071862960224</v>
      </c>
      <c r="K152" s="103">
        <f t="shared" ca="1" si="148"/>
        <v>579.27071862960224</v>
      </c>
      <c r="L152" s="103">
        <f t="shared" ca="1" si="148"/>
        <v>579.27071862960224</v>
      </c>
      <c r="M152" s="103">
        <f t="shared" ca="1" si="148"/>
        <v>579.27071862960224</v>
      </c>
      <c r="N152" s="103">
        <f t="shared" ca="1" si="148"/>
        <v>579.27071862960224</v>
      </c>
      <c r="O152" s="103">
        <f t="shared" ca="1" si="148"/>
        <v>579.27071862960224</v>
      </c>
      <c r="P152" s="103">
        <f t="shared" ca="1" si="148"/>
        <v>579.27071862960224</v>
      </c>
      <c r="Q152" s="103">
        <f t="shared" ca="1" si="148"/>
        <v>579.27071862960224</v>
      </c>
      <c r="R152" s="103">
        <f t="shared" ca="1" si="148"/>
        <v>579.27071862960224</v>
      </c>
      <c r="S152" s="103">
        <f t="shared" ca="1" si="148"/>
        <v>579.27071862960224</v>
      </c>
      <c r="T152" s="103">
        <f t="shared" ca="1" si="148"/>
        <v>579.27071862960224</v>
      </c>
      <c r="U152" s="103">
        <f t="shared" ca="1" si="148"/>
        <v>579.27071862960224</v>
      </c>
      <c r="V152" s="103">
        <f t="shared" ca="1" si="148"/>
        <v>579.27071862960224</v>
      </c>
      <c r="W152" s="103">
        <f t="shared" ca="1" si="148"/>
        <v>579.27071862960224</v>
      </c>
      <c r="X152" s="103">
        <f t="shared" ca="1" si="148"/>
        <v>579.27071862960224</v>
      </c>
      <c r="Y152" s="103">
        <f t="shared" ca="1" si="148"/>
        <v>579.27071862960224</v>
      </c>
      <c r="Z152" s="103">
        <f t="shared" ca="1" si="148"/>
        <v>579.27071862960224</v>
      </c>
      <c r="AA152" s="103">
        <f t="shared" ca="1" si="148"/>
        <v>589.99313425969615</v>
      </c>
      <c r="AB152" s="103">
        <f t="shared" ca="1" si="148"/>
        <v>601.03249325710669</v>
      </c>
      <c r="AC152" s="103">
        <f t="shared" ca="1" si="148"/>
        <v>612.48659999999995</v>
      </c>
      <c r="AD152" s="103">
        <f t="shared" ca="1" si="148"/>
        <v>612.48659999999995</v>
      </c>
      <c r="AE152" s="103">
        <f t="shared" ca="1" si="148"/>
        <v>612.48659999999995</v>
      </c>
      <c r="AF152" s="103">
        <f t="shared" ca="1" si="148"/>
        <v>612.48659999999995</v>
      </c>
      <c r="AG152" s="103">
        <f t="shared" ca="1" si="148"/>
        <v>612.48659999999995</v>
      </c>
      <c r="AH152" s="103"/>
      <c r="AI152" s="103"/>
      <c r="AJ152" s="103">
        <f ca="1">IF($C$4=Year1,-PMT(Lookups!$E$17,25,NPV(Lookups!$E$17,G152:AE152),0,1),IF($C$4=Year2,-PMT(Lookups!$F$17,25,NPV(Lookups!$F$17,H152:AF152),0,1),IF($C$4=Year3,-PMT(Lookups!$G$17,25,NPV(Lookups!$G$17,I152:AG152),0,1),-PMT(Lookups!$G$17,27,NPV(Lookups!$G$17,G152:AG152),0,1))))</f>
        <v>584.35283358796789</v>
      </c>
      <c r="AM152" s="149">
        <f ca="1">AM143+(AM144-AM147)*(AM136-AM135)</f>
        <v>650.62778023635087</v>
      </c>
      <c r="AN152" s="149">
        <f t="shared" ref="AN152:BM152" ca="1" si="149">AN143+(AN144-AN147)*(AN136-AN135)</f>
        <v>638.12841333361143</v>
      </c>
      <c r="AO152" s="149">
        <f t="shared" ca="1" si="149"/>
        <v>625.10156657865912</v>
      </c>
      <c r="AP152" s="149">
        <f t="shared" ca="1" si="149"/>
        <v>574.51564555831567</v>
      </c>
      <c r="AQ152" s="149">
        <f t="shared" ca="1" si="149"/>
        <v>574.51564555831567</v>
      </c>
      <c r="AR152" s="149">
        <f t="shared" ca="1" si="149"/>
        <v>574.51564555831567</v>
      </c>
      <c r="AS152" s="149">
        <f t="shared" ca="1" si="149"/>
        <v>574.51564555831567</v>
      </c>
      <c r="AT152" s="149">
        <f t="shared" ca="1" si="149"/>
        <v>574.51564555831567</v>
      </c>
      <c r="AU152" s="149">
        <f t="shared" ca="1" si="149"/>
        <v>574.51564555831567</v>
      </c>
      <c r="AV152" s="149">
        <f t="shared" ca="1" si="149"/>
        <v>574.51564555831567</v>
      </c>
      <c r="AW152" s="149">
        <f t="shared" ca="1" si="149"/>
        <v>574.51564555831567</v>
      </c>
      <c r="AX152" s="149">
        <f t="shared" ca="1" si="149"/>
        <v>574.51564555831567</v>
      </c>
      <c r="AY152" s="149">
        <f t="shared" ca="1" si="149"/>
        <v>574.51564555831567</v>
      </c>
      <c r="AZ152" s="149">
        <f t="shared" ca="1" si="149"/>
        <v>574.51564555831567</v>
      </c>
      <c r="BA152" s="149">
        <f t="shared" ca="1" si="149"/>
        <v>574.51564555831567</v>
      </c>
      <c r="BB152" s="149">
        <f t="shared" ca="1" si="149"/>
        <v>574.51564555831567</v>
      </c>
      <c r="BC152" s="149">
        <f t="shared" ca="1" si="149"/>
        <v>574.51564555831567</v>
      </c>
      <c r="BD152" s="149">
        <f t="shared" ca="1" si="149"/>
        <v>574.51564555831567</v>
      </c>
      <c r="BE152" s="149">
        <f t="shared" ca="1" si="149"/>
        <v>574.51564555831567</v>
      </c>
      <c r="BF152" s="149">
        <f t="shared" ca="1" si="149"/>
        <v>574.51564555831567</v>
      </c>
      <c r="BG152" s="149">
        <f t="shared" ca="1" si="149"/>
        <v>586.77540319364027</v>
      </c>
      <c r="BH152" s="149">
        <f t="shared" ca="1" si="149"/>
        <v>599.39510250168291</v>
      </c>
      <c r="BI152" s="149">
        <f t="shared" ca="1" si="149"/>
        <v>612.48659999999995</v>
      </c>
      <c r="BJ152" s="149">
        <f t="shared" ca="1" si="149"/>
        <v>612.48659999999995</v>
      </c>
      <c r="BK152" s="149">
        <f t="shared" ca="1" si="149"/>
        <v>612.48659999999995</v>
      </c>
      <c r="BL152" s="149">
        <f t="shared" ca="1" si="149"/>
        <v>612.48659999999995</v>
      </c>
      <c r="BM152" s="149">
        <f t="shared" ca="1" si="149"/>
        <v>612.48659999999995</v>
      </c>
      <c r="BN152" s="149"/>
      <c r="BO152" s="149"/>
      <c r="BP152" s="149">
        <f ca="1">IF($C$4=Year1,-PMT(Lookups!$E$17,25,NPV(Lookups!$E$17,AM152:BK152),0,1),IF($C$4=Year2,-PMT(Lookups!$F$17,25,NPV(Lookups!$F$17,AN152:BL152),0,1),IF($C$4=Year3,-PMT(Lookups!$G$17,25,NPV(Lookups!$G$17,AO152:BM152),0,1),-PMT(Lookups!$G$17,27,NPV(Lookups!$G$17,AM152:BM152),0,1))))</f>
        <v>581.81348642410524</v>
      </c>
      <c r="BS152" s="84" t="s">
        <v>240</v>
      </c>
      <c r="BT152" s="51" t="s">
        <v>17</v>
      </c>
    </row>
    <row r="153" spans="1:72" x14ac:dyDescent="0.25">
      <c r="B153" s="243" t="str">
        <f t="shared" si="136"/>
        <v>Low-Income</v>
      </c>
      <c r="C153" s="243" t="str">
        <f t="shared" si="136"/>
        <v>Bills</v>
      </c>
      <c r="D153" s="244" t="str">
        <f t="shared" si="136"/>
        <v>Bills after DSM Scenario</v>
      </c>
      <c r="E153" s="84" t="str">
        <f>'EE Inputs'!$N$15&amp;" Participant Annual Bill"</f>
        <v>Low Savings Participant Annual Bill</v>
      </c>
      <c r="F153" s="84" t="s">
        <v>32</v>
      </c>
      <c r="G153" s="103">
        <f ca="1">G143+(G144-G148)*(G136-G135)</f>
        <v>651.21142231918816</v>
      </c>
      <c r="H153" s="103">
        <f ca="1">H143+(H144-H148)*(H136-H135)</f>
        <v>654.08388737568339</v>
      </c>
      <c r="I153" s="103">
        <f t="shared" ref="I153:AG153" ca="1" si="150">I143+(I144-I148)*(I136-I135)</f>
        <v>657.1951819602167</v>
      </c>
      <c r="J153" s="103">
        <f t="shared" ca="1" si="150"/>
        <v>611.8419449659358</v>
      </c>
      <c r="K153" s="103">
        <f t="shared" ca="1" si="150"/>
        <v>611.8419449659358</v>
      </c>
      <c r="L153" s="103">
        <f t="shared" ca="1" si="150"/>
        <v>611.8419449659358</v>
      </c>
      <c r="M153" s="103">
        <f t="shared" ca="1" si="150"/>
        <v>611.8419449659358</v>
      </c>
      <c r="N153" s="103">
        <f t="shared" ca="1" si="150"/>
        <v>611.8419449659358</v>
      </c>
      <c r="O153" s="103">
        <f t="shared" ca="1" si="150"/>
        <v>611.8419449659358</v>
      </c>
      <c r="P153" s="103">
        <f t="shared" ca="1" si="150"/>
        <v>611.8419449659358</v>
      </c>
      <c r="Q153" s="103">
        <f t="shared" ca="1" si="150"/>
        <v>611.8419449659358</v>
      </c>
      <c r="R153" s="103">
        <f t="shared" ca="1" si="150"/>
        <v>611.8419449659358</v>
      </c>
      <c r="S153" s="103">
        <f t="shared" ca="1" si="150"/>
        <v>611.8419449659358</v>
      </c>
      <c r="T153" s="103">
        <f t="shared" ca="1" si="150"/>
        <v>611.8419449659358</v>
      </c>
      <c r="U153" s="103">
        <f t="shared" ca="1" si="150"/>
        <v>611.8419449659358</v>
      </c>
      <c r="V153" s="103">
        <f t="shared" ca="1" si="150"/>
        <v>611.8419449659358</v>
      </c>
      <c r="W153" s="103">
        <f t="shared" ca="1" si="150"/>
        <v>611.8419449659358</v>
      </c>
      <c r="X153" s="103">
        <f t="shared" ca="1" si="150"/>
        <v>611.8419449659358</v>
      </c>
      <c r="Y153" s="103">
        <f t="shared" ca="1" si="150"/>
        <v>611.8419449659358</v>
      </c>
      <c r="Z153" s="103">
        <f t="shared" ca="1" si="150"/>
        <v>611.8419449659358</v>
      </c>
      <c r="AA153" s="103">
        <f t="shared" ca="1" si="150"/>
        <v>615.67539342364239</v>
      </c>
      <c r="AB153" s="103">
        <f t="shared" ca="1" si="150"/>
        <v>614.0800515715066</v>
      </c>
      <c r="AC153" s="103">
        <f t="shared" ca="1" si="150"/>
        <v>612.48659999999995</v>
      </c>
      <c r="AD153" s="103">
        <f t="shared" ca="1" si="150"/>
        <v>612.48659999999995</v>
      </c>
      <c r="AE153" s="103">
        <f t="shared" ca="1" si="150"/>
        <v>612.48659999999995</v>
      </c>
      <c r="AF153" s="103">
        <f t="shared" ca="1" si="150"/>
        <v>612.48659999999995</v>
      </c>
      <c r="AG153" s="103">
        <f t="shared" ca="1" si="150"/>
        <v>612.48659999999995</v>
      </c>
      <c r="AH153" s="103"/>
      <c r="AI153" s="103"/>
      <c r="AJ153" s="103">
        <f ca="1">IF($C$4=Year1,-PMT(Lookups!$E$17,25,NPV(Lookups!$E$17,G153:AE153),0,1),IF($C$4=Year2,-PMT(Lookups!$F$17,25,NPV(Lookups!$F$17,H153:AF153),0,1),IF($C$4=Year3,-PMT(Lookups!$G$17,25,NPV(Lookups!$G$17,I153:AG153),0,1),-PMT(Lookups!$G$17,27,NPV(Lookups!$G$17,G153:AG153),0,1))))</f>
        <v>609.05983996307248</v>
      </c>
      <c r="AM153" s="149">
        <f ca="1">AM143+(AM144-AM148)*(AM136-AM135)</f>
        <v>658.77018686244776</v>
      </c>
      <c r="AN153" s="149">
        <f t="shared" ref="AN153:BM153" ca="1" si="151">AN143+(AN144-AN148)*(AN136-AN135)</f>
        <v>662.13547385041954</v>
      </c>
      <c r="AO153" s="149">
        <f t="shared" ca="1" si="151"/>
        <v>665.79258545527057</v>
      </c>
      <c r="AP153" s="149">
        <f t="shared" ca="1" si="151"/>
        <v>611.47864830333185</v>
      </c>
      <c r="AQ153" s="149">
        <f t="shared" ca="1" si="151"/>
        <v>611.47864830333185</v>
      </c>
      <c r="AR153" s="149">
        <f t="shared" ca="1" si="151"/>
        <v>611.47864830333185</v>
      </c>
      <c r="AS153" s="149">
        <f t="shared" ca="1" si="151"/>
        <v>611.47864830333185</v>
      </c>
      <c r="AT153" s="149">
        <f t="shared" ca="1" si="151"/>
        <v>611.47864830333185</v>
      </c>
      <c r="AU153" s="149">
        <f t="shared" ca="1" si="151"/>
        <v>611.47864830333185</v>
      </c>
      <c r="AV153" s="149">
        <f t="shared" ca="1" si="151"/>
        <v>611.47864830333185</v>
      </c>
      <c r="AW153" s="149">
        <f t="shared" ca="1" si="151"/>
        <v>611.47864830333185</v>
      </c>
      <c r="AX153" s="149">
        <f t="shared" ca="1" si="151"/>
        <v>611.47864830333185</v>
      </c>
      <c r="AY153" s="149">
        <f t="shared" ca="1" si="151"/>
        <v>611.47864830333185</v>
      </c>
      <c r="AZ153" s="149">
        <f t="shared" ca="1" si="151"/>
        <v>611.47864830333185</v>
      </c>
      <c r="BA153" s="149">
        <f t="shared" ca="1" si="151"/>
        <v>611.47864830333185</v>
      </c>
      <c r="BB153" s="149">
        <f t="shared" ca="1" si="151"/>
        <v>611.47864830333185</v>
      </c>
      <c r="BC153" s="149">
        <f t="shared" ca="1" si="151"/>
        <v>611.47864830333185</v>
      </c>
      <c r="BD153" s="149">
        <f t="shared" ca="1" si="151"/>
        <v>611.47864830333185</v>
      </c>
      <c r="BE153" s="149">
        <f t="shared" ca="1" si="151"/>
        <v>611.47864830333185</v>
      </c>
      <c r="BF153" s="149">
        <f t="shared" ca="1" si="151"/>
        <v>611.47864830333185</v>
      </c>
      <c r="BG153" s="149">
        <f t="shared" ca="1" si="151"/>
        <v>616.15235138119453</v>
      </c>
      <c r="BH153" s="149">
        <f t="shared" ca="1" si="151"/>
        <v>614.3130174955096</v>
      </c>
      <c r="BI153" s="149">
        <f t="shared" ca="1" si="151"/>
        <v>612.48659999999995</v>
      </c>
      <c r="BJ153" s="149">
        <f t="shared" ca="1" si="151"/>
        <v>612.48659999999995</v>
      </c>
      <c r="BK153" s="149">
        <f t="shared" ca="1" si="151"/>
        <v>612.48659999999995</v>
      </c>
      <c r="BL153" s="149">
        <f t="shared" ca="1" si="151"/>
        <v>612.48659999999995</v>
      </c>
      <c r="BM153" s="149">
        <f t="shared" ca="1" si="151"/>
        <v>612.48659999999995</v>
      </c>
      <c r="BN153" s="149"/>
      <c r="BO153" s="149"/>
      <c r="BP153" s="149">
        <f ca="1">IF($C$4=Year1,-PMT(Lookups!$E$17,25,NPV(Lookups!$E$17,AM153:BK153),0,1),IF($C$4=Year2,-PMT(Lookups!$F$17,25,NPV(Lookups!$F$17,AN153:BL153),0,1),IF($C$4=Year3,-PMT(Lookups!$G$17,25,NPV(Lookups!$G$17,AO153:BM153),0,1),-PMT(Lookups!$G$17,27,NPV(Lookups!$G$17,AM153:BM153),0,1))))</f>
        <v>609.89153043748172</v>
      </c>
      <c r="BS153" s="84" t="s">
        <v>240</v>
      </c>
      <c r="BT153" s="51" t="s">
        <v>17</v>
      </c>
    </row>
    <row r="154" spans="1:72" x14ac:dyDescent="0.25">
      <c r="B154" s="243" t="str">
        <f t="shared" ref="B154:D164" si="152">B153</f>
        <v>Low-Income</v>
      </c>
      <c r="C154" s="243" t="str">
        <f t="shared" si="152"/>
        <v>Bills</v>
      </c>
      <c r="D154" s="244" t="str">
        <f t="shared" si="152"/>
        <v>Bills after DSM Scenario</v>
      </c>
      <c r="E154" s="84" t="str">
        <f>'EE Inputs'!$N$16&amp;" Participant Annual Bill"</f>
        <v>High Savings Participant Annual Bill</v>
      </c>
      <c r="F154" s="84" t="s">
        <v>32</v>
      </c>
      <c r="G154" s="103">
        <f ca="1">G143+(G144-G149)*(G136-G135)</f>
        <v>616.1658815725707</v>
      </c>
      <c r="H154" s="103">
        <f ca="1">H143+(H144-H149)*(H136-H135)</f>
        <v>618.86425783776315</v>
      </c>
      <c r="I154" s="103">
        <f t="shared" ref="I154:AG154" ca="1" si="153">I143+(I144-I149)*(I136-I135)</f>
        <v>621.7869891141429</v>
      </c>
      <c r="J154" s="103">
        <f t="shared" ca="1" si="153"/>
        <v>579.18243314981839</v>
      </c>
      <c r="K154" s="103">
        <f t="shared" ca="1" si="153"/>
        <v>579.18243314981839</v>
      </c>
      <c r="L154" s="103">
        <f t="shared" ca="1" si="153"/>
        <v>579.18243314981839</v>
      </c>
      <c r="M154" s="103">
        <f t="shared" ca="1" si="153"/>
        <v>579.18243314981839</v>
      </c>
      <c r="N154" s="103">
        <f t="shared" ca="1" si="153"/>
        <v>579.18243314981839</v>
      </c>
      <c r="O154" s="103">
        <f t="shared" ca="1" si="153"/>
        <v>579.18243314981839</v>
      </c>
      <c r="P154" s="103">
        <f t="shared" ca="1" si="153"/>
        <v>579.18243314981839</v>
      </c>
      <c r="Q154" s="103">
        <f t="shared" ca="1" si="153"/>
        <v>579.18243314981839</v>
      </c>
      <c r="R154" s="103">
        <f t="shared" ca="1" si="153"/>
        <v>579.18243314981839</v>
      </c>
      <c r="S154" s="103">
        <f t="shared" ca="1" si="153"/>
        <v>579.18243314981839</v>
      </c>
      <c r="T154" s="103">
        <f t="shared" ca="1" si="153"/>
        <v>579.18243314981839</v>
      </c>
      <c r="U154" s="103">
        <f t="shared" ca="1" si="153"/>
        <v>579.18243314981839</v>
      </c>
      <c r="V154" s="103">
        <f t="shared" ca="1" si="153"/>
        <v>579.18243314981839</v>
      </c>
      <c r="W154" s="103">
        <f t="shared" ca="1" si="153"/>
        <v>579.18243314981839</v>
      </c>
      <c r="X154" s="103">
        <f t="shared" ca="1" si="153"/>
        <v>579.18243314981839</v>
      </c>
      <c r="Y154" s="103">
        <f t="shared" ca="1" si="153"/>
        <v>579.18243314981839</v>
      </c>
      <c r="Z154" s="103">
        <f t="shared" ca="1" si="153"/>
        <v>579.18243314981839</v>
      </c>
      <c r="AA154" s="103">
        <f t="shared" ca="1" si="153"/>
        <v>615.67539342364239</v>
      </c>
      <c r="AB154" s="103">
        <f t="shared" ca="1" si="153"/>
        <v>614.0800515715066</v>
      </c>
      <c r="AC154" s="103">
        <f t="shared" ca="1" si="153"/>
        <v>612.48659999999995</v>
      </c>
      <c r="AD154" s="103">
        <f t="shared" ca="1" si="153"/>
        <v>612.48659999999995</v>
      </c>
      <c r="AE154" s="103">
        <f t="shared" ca="1" si="153"/>
        <v>612.48659999999995</v>
      </c>
      <c r="AF154" s="103">
        <f t="shared" ca="1" si="153"/>
        <v>612.48659999999995</v>
      </c>
      <c r="AG154" s="103">
        <f t="shared" ca="1" si="153"/>
        <v>612.48659999999995</v>
      </c>
      <c r="AH154" s="103"/>
      <c r="AI154" s="103"/>
      <c r="AJ154" s="103">
        <f ca="1">IF($C$4=Year1,-PMT(Lookups!$E$17,25,NPV(Lookups!$E$17,G154:AE154),0,1),IF($C$4=Year2,-PMT(Lookups!$F$17,25,NPV(Lookups!$F$17,H154:AF154),0,1),IF($C$4=Year3,-PMT(Lookups!$G$17,25,NPV(Lookups!$G$17,I154:AG154),0,1),-PMT(Lookups!$G$17,27,NPV(Lookups!$G$17,G154:AG154),0,1))))</f>
        <v>583.74018779488119</v>
      </c>
      <c r="AM154" s="149">
        <f ca="1">AM143+(AM144-AM149)*(AM136-AM135)</f>
        <v>616.07956595749204</v>
      </c>
      <c r="AN154" s="149">
        <f t="shared" ref="AN154:BM154" ca="1" si="154">AN143+(AN144-AN149)*(AN136-AN135)</f>
        <v>619.19960935929578</v>
      </c>
      <c r="AO154" s="149">
        <f t="shared" ca="1" si="154"/>
        <v>622.59021080670834</v>
      </c>
      <c r="AP154" s="149">
        <f t="shared" ca="1" si="154"/>
        <v>572.23437433790684</v>
      </c>
      <c r="AQ154" s="149">
        <f t="shared" ca="1" si="154"/>
        <v>572.23437433790684</v>
      </c>
      <c r="AR154" s="149">
        <f t="shared" ca="1" si="154"/>
        <v>572.23437433790684</v>
      </c>
      <c r="AS154" s="149">
        <f t="shared" ca="1" si="154"/>
        <v>572.23437433790684</v>
      </c>
      <c r="AT154" s="149">
        <f t="shared" ca="1" si="154"/>
        <v>572.23437433790684</v>
      </c>
      <c r="AU154" s="149">
        <f t="shared" ca="1" si="154"/>
        <v>572.23437433790684</v>
      </c>
      <c r="AV154" s="149">
        <f t="shared" ca="1" si="154"/>
        <v>572.23437433790684</v>
      </c>
      <c r="AW154" s="149">
        <f t="shared" ca="1" si="154"/>
        <v>572.23437433790684</v>
      </c>
      <c r="AX154" s="149">
        <f t="shared" ca="1" si="154"/>
        <v>572.23437433790684</v>
      </c>
      <c r="AY154" s="149">
        <f t="shared" ca="1" si="154"/>
        <v>572.23437433790684</v>
      </c>
      <c r="AZ154" s="149">
        <f t="shared" ca="1" si="154"/>
        <v>572.23437433790684</v>
      </c>
      <c r="BA154" s="149">
        <f t="shared" ca="1" si="154"/>
        <v>572.23437433790684</v>
      </c>
      <c r="BB154" s="149">
        <f t="shared" ca="1" si="154"/>
        <v>572.23437433790684</v>
      </c>
      <c r="BC154" s="149">
        <f t="shared" ca="1" si="154"/>
        <v>572.23437433790684</v>
      </c>
      <c r="BD154" s="149">
        <f t="shared" ca="1" si="154"/>
        <v>572.23437433790684</v>
      </c>
      <c r="BE154" s="149">
        <f t="shared" ca="1" si="154"/>
        <v>572.23437433790684</v>
      </c>
      <c r="BF154" s="149">
        <f t="shared" ca="1" si="154"/>
        <v>572.23437433790684</v>
      </c>
      <c r="BG154" s="149">
        <f t="shared" ca="1" si="154"/>
        <v>616.15235138119453</v>
      </c>
      <c r="BH154" s="149">
        <f t="shared" ca="1" si="154"/>
        <v>614.3130174955096</v>
      </c>
      <c r="BI154" s="149">
        <f t="shared" ca="1" si="154"/>
        <v>612.48659999999995</v>
      </c>
      <c r="BJ154" s="149">
        <f t="shared" ca="1" si="154"/>
        <v>612.48659999999995</v>
      </c>
      <c r="BK154" s="149">
        <f t="shared" ca="1" si="154"/>
        <v>612.48659999999995</v>
      </c>
      <c r="BL154" s="149">
        <f t="shared" ca="1" si="154"/>
        <v>612.48659999999995</v>
      </c>
      <c r="BM154" s="149">
        <f t="shared" ca="1" si="154"/>
        <v>612.48659999999995</v>
      </c>
      <c r="BN154" s="149"/>
      <c r="BO154" s="149"/>
      <c r="BP154" s="149">
        <f ca="1">IF($C$4=Year1,-PMT(Lookups!$E$17,25,NPV(Lookups!$E$17,AM154:BK154),0,1),IF($C$4=Year2,-PMT(Lookups!$F$17,25,NPV(Lookups!$F$17,AN154:BL154),0,1),IF($C$4=Year3,-PMT(Lookups!$G$17,25,NPV(Lookups!$G$17,AO154:BM154),0,1),-PMT(Lookups!$G$17,27,NPV(Lookups!$G$17,AM154:BM154),0,1))))</f>
        <v>579.38752807480591</v>
      </c>
      <c r="BS154" s="84" t="s">
        <v>240</v>
      </c>
      <c r="BT154" s="51" t="s">
        <v>17</v>
      </c>
    </row>
    <row r="155" spans="1:72" x14ac:dyDescent="0.25">
      <c r="B155" s="243" t="str">
        <f t="shared" si="152"/>
        <v>Low-Income</v>
      </c>
      <c r="C155" s="243" t="str">
        <f t="shared" si="152"/>
        <v>Bills</v>
      </c>
      <c r="D155" s="114" t="s">
        <v>115</v>
      </c>
      <c r="E155" s="84"/>
      <c r="F155" s="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49"/>
      <c r="AI155" s="184"/>
      <c r="AJ155" s="49"/>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S155" s="84"/>
      <c r="BT155" s="51" t="s">
        <v>17</v>
      </c>
    </row>
    <row r="156" spans="1:72" x14ac:dyDescent="0.25">
      <c r="B156" s="243" t="str">
        <f t="shared" si="152"/>
        <v>Low-Income</v>
      </c>
      <c r="C156" s="243" t="str">
        <f t="shared" si="152"/>
        <v>Bills</v>
      </c>
      <c r="D156" s="244" t="str">
        <f t="shared" si="152"/>
        <v>Change in Bills</v>
      </c>
      <c r="E156" s="84" t="s">
        <v>348</v>
      </c>
      <c r="F156" s="84" t="s">
        <v>32</v>
      </c>
      <c r="G156" s="103">
        <f ca="1">G151-G145</f>
        <v>44.565745776957783</v>
      </c>
      <c r="H156" s="103">
        <f t="shared" ref="H156:AG156" ca="1" si="155">H151-H145</f>
        <v>47.467225632003419</v>
      </c>
      <c r="I156" s="103">
        <f t="shared" ca="1" si="155"/>
        <v>50.609947434562287</v>
      </c>
      <c r="J156" s="103">
        <f t="shared" ca="1" si="155"/>
        <v>4.7985969352887423</v>
      </c>
      <c r="K156" s="103">
        <f t="shared" ca="1" si="155"/>
        <v>4.7985969352887423</v>
      </c>
      <c r="L156" s="103">
        <f t="shared" ca="1" si="155"/>
        <v>4.7985969352887423</v>
      </c>
      <c r="M156" s="103">
        <f t="shared" ca="1" si="155"/>
        <v>4.7985969352887423</v>
      </c>
      <c r="N156" s="103">
        <f t="shared" ca="1" si="155"/>
        <v>4.7985969352887423</v>
      </c>
      <c r="O156" s="103">
        <f t="shared" ca="1" si="155"/>
        <v>4.7985969352887423</v>
      </c>
      <c r="P156" s="103">
        <f t="shared" ca="1" si="155"/>
        <v>4.7985969352887423</v>
      </c>
      <c r="Q156" s="103">
        <f t="shared" ca="1" si="155"/>
        <v>4.7985969352887423</v>
      </c>
      <c r="R156" s="103">
        <f t="shared" ca="1" si="155"/>
        <v>4.7985969352887423</v>
      </c>
      <c r="S156" s="103">
        <f t="shared" ca="1" si="155"/>
        <v>4.7985969352887423</v>
      </c>
      <c r="T156" s="103">
        <f t="shared" ca="1" si="155"/>
        <v>4.7985969352887423</v>
      </c>
      <c r="U156" s="103">
        <f t="shared" ca="1" si="155"/>
        <v>4.7985969352887423</v>
      </c>
      <c r="V156" s="103">
        <f t="shared" ca="1" si="155"/>
        <v>4.7985969352887423</v>
      </c>
      <c r="W156" s="103">
        <f t="shared" ca="1" si="155"/>
        <v>4.7985969352887423</v>
      </c>
      <c r="X156" s="103">
        <f t="shared" ca="1" si="155"/>
        <v>4.7985969352887423</v>
      </c>
      <c r="Y156" s="103">
        <f t="shared" ca="1" si="155"/>
        <v>4.7985969352887423</v>
      </c>
      <c r="Z156" s="103">
        <f t="shared" ca="1" si="155"/>
        <v>4.7985969352887423</v>
      </c>
      <c r="AA156" s="103">
        <f t="shared" ca="1" si="155"/>
        <v>3.1887934236424371</v>
      </c>
      <c r="AB156" s="103">
        <f t="shared" ca="1" si="155"/>
        <v>1.5934515715066482</v>
      </c>
      <c r="AC156" s="103">
        <f t="shared" ca="1" si="155"/>
        <v>0</v>
      </c>
      <c r="AD156" s="103">
        <f t="shared" ca="1" si="155"/>
        <v>0</v>
      </c>
      <c r="AE156" s="103">
        <f t="shared" ca="1" si="155"/>
        <v>0</v>
      </c>
      <c r="AF156" s="103">
        <f t="shared" ca="1" si="155"/>
        <v>0</v>
      </c>
      <c r="AG156" s="103">
        <f t="shared" ca="1" si="155"/>
        <v>0</v>
      </c>
      <c r="AH156" s="103"/>
      <c r="AI156" s="103">
        <f ca="1">NPV(Lookups!$E$17,G156:AG156)</f>
        <v>211.24946194098834</v>
      </c>
      <c r="AJ156" s="103">
        <f ca="1">IF($C$4=Year1,-PMT(Lookups!$E$17,25,NPV(Lookups!$E$17,G156:AE156),0,1),IF($C$4=Year2,-PMT(Lookups!$F$17,25,NPV(Lookups!$F$17,H156:AF156),0,1),IF($C$4=Year3,-PMT(Lookups!$G$17,25,NPV(Lookups!$G$17,I156:AG156),0,1),-PMT(Lookups!$G$17,27,NPV(Lookups!$G$17,G156:AG156),0,1))))</f>
        <v>9.3353679862618293</v>
      </c>
      <c r="AM156" s="149">
        <f ca="1">AM151-AM145</f>
        <v>53.398690346607054</v>
      </c>
      <c r="AN156" s="149">
        <f t="shared" ref="AN156:BM156" ca="1" si="156">AN151-AN145</f>
        <v>56.804851265606771</v>
      </c>
      <c r="AO156" s="149">
        <f t="shared" ca="1" si="156"/>
        <v>60.506381230030911</v>
      </c>
      <c r="AP156" s="149">
        <f t="shared" ca="1" si="156"/>
        <v>5.5327606309026578</v>
      </c>
      <c r="AQ156" s="149">
        <f t="shared" ca="1" si="156"/>
        <v>5.5327606309026578</v>
      </c>
      <c r="AR156" s="149">
        <f t="shared" ca="1" si="156"/>
        <v>5.5327606309026578</v>
      </c>
      <c r="AS156" s="149">
        <f t="shared" ca="1" si="156"/>
        <v>5.5327606309026578</v>
      </c>
      <c r="AT156" s="149">
        <f t="shared" ca="1" si="156"/>
        <v>5.5327606309026578</v>
      </c>
      <c r="AU156" s="149">
        <f t="shared" ca="1" si="156"/>
        <v>5.5327606309026578</v>
      </c>
      <c r="AV156" s="149">
        <f t="shared" ca="1" si="156"/>
        <v>5.5327606309026578</v>
      </c>
      <c r="AW156" s="149">
        <f t="shared" ca="1" si="156"/>
        <v>5.5327606309026578</v>
      </c>
      <c r="AX156" s="149">
        <f t="shared" ca="1" si="156"/>
        <v>5.5327606309026578</v>
      </c>
      <c r="AY156" s="149">
        <f t="shared" ca="1" si="156"/>
        <v>5.5327606309026578</v>
      </c>
      <c r="AZ156" s="149">
        <f t="shared" ca="1" si="156"/>
        <v>5.5327606309026578</v>
      </c>
      <c r="BA156" s="149">
        <f t="shared" ca="1" si="156"/>
        <v>5.5327606309026578</v>
      </c>
      <c r="BB156" s="149">
        <f t="shared" ca="1" si="156"/>
        <v>5.5327606309026578</v>
      </c>
      <c r="BC156" s="149">
        <f t="shared" ca="1" si="156"/>
        <v>5.5327606309026578</v>
      </c>
      <c r="BD156" s="149">
        <f t="shared" ca="1" si="156"/>
        <v>5.5327606309026578</v>
      </c>
      <c r="BE156" s="149">
        <f t="shared" ca="1" si="156"/>
        <v>5.5327606309026578</v>
      </c>
      <c r="BF156" s="149">
        <f t="shared" ca="1" si="156"/>
        <v>5.5327606309026578</v>
      </c>
      <c r="BG156" s="149">
        <f t="shared" ca="1" si="156"/>
        <v>3.6657513811945819</v>
      </c>
      <c r="BH156" s="149">
        <f t="shared" ca="1" si="156"/>
        <v>1.8264174955096451</v>
      </c>
      <c r="BI156" s="149">
        <f t="shared" ca="1" si="156"/>
        <v>0</v>
      </c>
      <c r="BJ156" s="149">
        <f t="shared" ca="1" si="156"/>
        <v>0</v>
      </c>
      <c r="BK156" s="149">
        <f t="shared" ca="1" si="156"/>
        <v>0</v>
      </c>
      <c r="BL156" s="149">
        <f t="shared" ca="1" si="156"/>
        <v>0</v>
      </c>
      <c r="BM156" s="149">
        <f t="shared" ca="1" si="156"/>
        <v>0</v>
      </c>
      <c r="BN156" s="149"/>
      <c r="BO156" s="149">
        <f ca="1">NPV(Lookups!$E$17,AM156:BM156)</f>
        <v>249.62245704919661</v>
      </c>
      <c r="BP156" s="149">
        <f ca="1">IF($C$4=Year1,-PMT(Lookups!$E$17,25,NPV(Lookups!$E$17,AM156:BK156),0,1),IF($C$4=Year2,-PMT(Lookups!$F$17,25,NPV(Lookups!$F$17,AN156:BL156),0,1),IF($C$4=Year3,-PMT(Lookups!$G$17,25,NPV(Lookups!$G$17,AO156:BM156),0,1),-PMT(Lookups!$G$17,27,NPV(Lookups!$G$17,AM156:BM156),0,1))))</f>
        <v>11.031116826418488</v>
      </c>
      <c r="BS156" s="84" t="s">
        <v>241</v>
      </c>
      <c r="BT156" s="51" t="s">
        <v>17</v>
      </c>
    </row>
    <row r="157" spans="1:72" x14ac:dyDescent="0.25">
      <c r="B157" s="243" t="str">
        <f t="shared" si="152"/>
        <v>Low-Income</v>
      </c>
      <c r="C157" s="243" t="str">
        <f t="shared" si="152"/>
        <v>Bills</v>
      </c>
      <c r="D157" s="244" t="str">
        <f t="shared" si="152"/>
        <v>Change in Bills</v>
      </c>
      <c r="E157" s="84" t="s">
        <v>348</v>
      </c>
      <c r="F157" s="84" t="s">
        <v>16</v>
      </c>
      <c r="G157" s="223">
        <f ca="1">IFERROR(G151/G145-1,0)</f>
        <v>7.2761993122719471E-2</v>
      </c>
      <c r="H157" s="223">
        <f t="shared" ref="H157:AG157" ca="1" si="157">IFERROR(H151/H145-1,0)</f>
        <v>7.7499206728773196E-2</v>
      </c>
      <c r="I157" s="223">
        <f t="shared" ca="1" si="157"/>
        <v>8.2630293355907325E-2</v>
      </c>
      <c r="J157" s="223">
        <f t="shared" ca="1" si="157"/>
        <v>7.8346153781791994E-3</v>
      </c>
      <c r="K157" s="223">
        <f t="shared" ca="1" si="157"/>
        <v>7.8346153781791994E-3</v>
      </c>
      <c r="L157" s="223">
        <f t="shared" ca="1" si="157"/>
        <v>7.8346153781791994E-3</v>
      </c>
      <c r="M157" s="223">
        <f t="shared" ca="1" si="157"/>
        <v>7.8346153781791994E-3</v>
      </c>
      <c r="N157" s="223">
        <f t="shared" ca="1" si="157"/>
        <v>7.8346153781791994E-3</v>
      </c>
      <c r="O157" s="223">
        <f t="shared" ca="1" si="157"/>
        <v>7.8346153781791994E-3</v>
      </c>
      <c r="P157" s="223">
        <f t="shared" ca="1" si="157"/>
        <v>7.8346153781791994E-3</v>
      </c>
      <c r="Q157" s="223">
        <f t="shared" ca="1" si="157"/>
        <v>7.8346153781791994E-3</v>
      </c>
      <c r="R157" s="223">
        <f t="shared" ca="1" si="157"/>
        <v>7.8346153781791994E-3</v>
      </c>
      <c r="S157" s="224">
        <f t="shared" ca="1" si="157"/>
        <v>7.8346153781791994E-3</v>
      </c>
      <c r="T157" s="224">
        <f t="shared" ca="1" si="157"/>
        <v>7.8346153781791994E-3</v>
      </c>
      <c r="U157" s="224">
        <f t="shared" ca="1" si="157"/>
        <v>7.8346153781791994E-3</v>
      </c>
      <c r="V157" s="224">
        <f t="shared" ca="1" si="157"/>
        <v>7.8346153781791994E-3</v>
      </c>
      <c r="W157" s="224">
        <f t="shared" ca="1" si="157"/>
        <v>7.8346153781791994E-3</v>
      </c>
      <c r="X157" s="224">
        <f t="shared" ca="1" si="157"/>
        <v>7.8346153781791994E-3</v>
      </c>
      <c r="Y157" s="224">
        <f t="shared" ca="1" si="157"/>
        <v>7.8346153781791994E-3</v>
      </c>
      <c r="Z157" s="224">
        <f t="shared" ca="1" si="157"/>
        <v>7.8346153781791994E-3</v>
      </c>
      <c r="AA157" s="224">
        <f t="shared" ca="1" si="157"/>
        <v>5.2063072459747062E-3</v>
      </c>
      <c r="AB157" s="224">
        <f t="shared" ca="1" si="157"/>
        <v>2.6016105029997849E-3</v>
      </c>
      <c r="AC157" s="224">
        <f t="shared" ca="1" si="157"/>
        <v>0</v>
      </c>
      <c r="AD157" s="224">
        <f t="shared" ca="1" si="157"/>
        <v>0</v>
      </c>
      <c r="AE157" s="224">
        <f t="shared" ca="1" si="157"/>
        <v>0</v>
      </c>
      <c r="AF157" s="224">
        <f t="shared" ca="1" si="157"/>
        <v>0</v>
      </c>
      <c r="AG157" s="224">
        <f t="shared" ca="1" si="157"/>
        <v>0</v>
      </c>
      <c r="AH157" s="224"/>
      <c r="AI157" s="224"/>
      <c r="AJ157" s="224">
        <f t="shared" ref="AJ157" ca="1" si="158">IFERROR(AJ151/AJ145-1,0)</f>
        <v>1.5457329796889407E-2</v>
      </c>
      <c r="AK157" s="212"/>
      <c r="AL157" s="212"/>
      <c r="AM157" s="504">
        <f ca="1">IFERROR(AM151/AM145-1,0)</f>
        <v>8.7183442619980678E-2</v>
      </c>
      <c r="AN157" s="504">
        <f t="shared" ref="AN157:BM157" ca="1" si="159">IFERROR(AN151/AN145-1,0)</f>
        <v>9.2744643336861277E-2</v>
      </c>
      <c r="AO157" s="504">
        <f t="shared" ca="1" si="159"/>
        <v>9.8788089780300403E-2</v>
      </c>
      <c r="AP157" s="504">
        <f t="shared" ca="1" si="159"/>
        <v>9.0332762070266526E-3</v>
      </c>
      <c r="AQ157" s="504">
        <f t="shared" ca="1" si="159"/>
        <v>9.0332762070266526E-3</v>
      </c>
      <c r="AR157" s="504">
        <f t="shared" ca="1" si="159"/>
        <v>9.0332762070266526E-3</v>
      </c>
      <c r="AS157" s="504">
        <f t="shared" ca="1" si="159"/>
        <v>9.0332762070266526E-3</v>
      </c>
      <c r="AT157" s="504">
        <f t="shared" ca="1" si="159"/>
        <v>9.0332762070266526E-3</v>
      </c>
      <c r="AU157" s="504">
        <f t="shared" ca="1" si="159"/>
        <v>9.0332762070266526E-3</v>
      </c>
      <c r="AV157" s="504">
        <f t="shared" ca="1" si="159"/>
        <v>9.0332762070266526E-3</v>
      </c>
      <c r="AW157" s="504">
        <f t="shared" ca="1" si="159"/>
        <v>9.0332762070266526E-3</v>
      </c>
      <c r="AX157" s="504">
        <f t="shared" ca="1" si="159"/>
        <v>9.0332762070266526E-3</v>
      </c>
      <c r="AY157" s="504">
        <f t="shared" ca="1" si="159"/>
        <v>9.0332762070266526E-3</v>
      </c>
      <c r="AZ157" s="504">
        <f t="shared" ca="1" si="159"/>
        <v>9.0332762070266526E-3</v>
      </c>
      <c r="BA157" s="504">
        <f t="shared" ca="1" si="159"/>
        <v>9.0332762070266526E-3</v>
      </c>
      <c r="BB157" s="504">
        <f t="shared" ca="1" si="159"/>
        <v>9.0332762070266526E-3</v>
      </c>
      <c r="BC157" s="504">
        <f t="shared" ca="1" si="159"/>
        <v>9.0332762070266526E-3</v>
      </c>
      <c r="BD157" s="504">
        <f t="shared" ca="1" si="159"/>
        <v>9.0332762070266526E-3</v>
      </c>
      <c r="BE157" s="504">
        <f t="shared" ca="1" si="159"/>
        <v>9.0332762070266526E-3</v>
      </c>
      <c r="BF157" s="504">
        <f t="shared" ca="1" si="159"/>
        <v>9.0332762070266526E-3</v>
      </c>
      <c r="BG157" s="504">
        <f t="shared" ca="1" si="159"/>
        <v>5.9850311520195376E-3</v>
      </c>
      <c r="BH157" s="504">
        <f t="shared" ca="1" si="159"/>
        <v>2.9819713533483228E-3</v>
      </c>
      <c r="BI157" s="504">
        <f t="shared" ca="1" si="159"/>
        <v>0</v>
      </c>
      <c r="BJ157" s="504">
        <f t="shared" ca="1" si="159"/>
        <v>0</v>
      </c>
      <c r="BK157" s="504">
        <f t="shared" ca="1" si="159"/>
        <v>0</v>
      </c>
      <c r="BL157" s="504">
        <f t="shared" ca="1" si="159"/>
        <v>0</v>
      </c>
      <c r="BM157" s="504">
        <f t="shared" ca="1" si="159"/>
        <v>0</v>
      </c>
      <c r="BN157" s="504"/>
      <c r="BO157" s="504"/>
      <c r="BP157" s="504">
        <f t="shared" ref="BP157" ca="1" si="160">IFERROR(BP151/BP145-1,0)</f>
        <v>1.8265119389497375E-2</v>
      </c>
      <c r="BS157" s="84" t="s">
        <v>242</v>
      </c>
      <c r="BT157" s="51" t="s">
        <v>17</v>
      </c>
    </row>
    <row r="158" spans="1:72" x14ac:dyDescent="0.25">
      <c r="B158" s="243" t="str">
        <f t="shared" si="152"/>
        <v>Low-Income</v>
      </c>
      <c r="C158" s="243" t="str">
        <f t="shared" si="152"/>
        <v>Bills</v>
      </c>
      <c r="D158" s="244" t="str">
        <f t="shared" si="152"/>
        <v>Change in Bills</v>
      </c>
      <c r="E158" s="84" t="s">
        <v>349</v>
      </c>
      <c r="F158" s="84" t="s">
        <v>32</v>
      </c>
      <c r="G158" s="103">
        <f ca="1">G152-G145</f>
        <v>31.414307241455617</v>
      </c>
      <c r="H158" s="103">
        <f t="shared" ref="H158:AG158" ca="1" si="161">H152-H145</f>
        <v>20.626536677404033</v>
      </c>
      <c r="I158" s="103">
        <f t="shared" ca="1" si="161"/>
        <v>9.3961048526786044</v>
      </c>
      <c r="J158" s="103">
        <f t="shared" ca="1" si="161"/>
        <v>-33.21588137039771</v>
      </c>
      <c r="K158" s="103">
        <f t="shared" ca="1" si="161"/>
        <v>-33.21588137039771</v>
      </c>
      <c r="L158" s="103">
        <f t="shared" ca="1" si="161"/>
        <v>-33.21588137039771</v>
      </c>
      <c r="M158" s="103">
        <f t="shared" ca="1" si="161"/>
        <v>-33.21588137039771</v>
      </c>
      <c r="N158" s="103">
        <f t="shared" ca="1" si="161"/>
        <v>-33.21588137039771</v>
      </c>
      <c r="O158" s="103">
        <f t="shared" ca="1" si="161"/>
        <v>-33.21588137039771</v>
      </c>
      <c r="P158" s="103">
        <f t="shared" ca="1" si="161"/>
        <v>-33.21588137039771</v>
      </c>
      <c r="Q158" s="103">
        <f t="shared" ca="1" si="161"/>
        <v>-33.21588137039771</v>
      </c>
      <c r="R158" s="103">
        <f t="shared" ca="1" si="161"/>
        <v>-33.21588137039771</v>
      </c>
      <c r="S158" s="103">
        <f t="shared" ca="1" si="161"/>
        <v>-33.21588137039771</v>
      </c>
      <c r="T158" s="103">
        <f t="shared" ca="1" si="161"/>
        <v>-33.21588137039771</v>
      </c>
      <c r="U158" s="103">
        <f t="shared" ca="1" si="161"/>
        <v>-33.21588137039771</v>
      </c>
      <c r="V158" s="103">
        <f t="shared" ca="1" si="161"/>
        <v>-33.21588137039771</v>
      </c>
      <c r="W158" s="103">
        <f t="shared" ca="1" si="161"/>
        <v>-33.21588137039771</v>
      </c>
      <c r="X158" s="103">
        <f t="shared" ca="1" si="161"/>
        <v>-33.21588137039771</v>
      </c>
      <c r="Y158" s="103">
        <f t="shared" ca="1" si="161"/>
        <v>-33.21588137039771</v>
      </c>
      <c r="Z158" s="103">
        <f t="shared" ca="1" si="161"/>
        <v>-33.21588137039771</v>
      </c>
      <c r="AA158" s="103">
        <f t="shared" ca="1" si="161"/>
        <v>-22.493465740303805</v>
      </c>
      <c r="AB158" s="103">
        <f t="shared" ca="1" si="161"/>
        <v>-11.454106742893259</v>
      </c>
      <c r="AC158" s="103">
        <f t="shared" ca="1" si="161"/>
        <v>0</v>
      </c>
      <c r="AD158" s="103">
        <f t="shared" ca="1" si="161"/>
        <v>0</v>
      </c>
      <c r="AE158" s="103">
        <f t="shared" ca="1" si="161"/>
        <v>0</v>
      </c>
      <c r="AF158" s="103">
        <f t="shared" ca="1" si="161"/>
        <v>0</v>
      </c>
      <c r="AG158" s="103">
        <f t="shared" ca="1" si="161"/>
        <v>0</v>
      </c>
      <c r="AH158" s="103"/>
      <c r="AI158" s="103">
        <f ca="1">NPV(Lookups!$E$17,G158:AG158)</f>
        <v>-443.33665558004645</v>
      </c>
      <c r="AJ158" s="103">
        <f ca="1">IF($C$4=Year1,-PMT(Lookups!$E$17,25,NPV(Lookups!$E$17,G158:AE158),0,1),IF($C$4=Year2,-PMT(Lookups!$F$17,25,NPV(Lookups!$F$17,H158:AF158),0,1),IF($C$4=Year3,-PMT(Lookups!$G$17,25,NPV(Lookups!$G$17,I158:AG158),0,1),-PMT(Lookups!$G$17,27,NPV(Lookups!$G$17,G158:AG158),0,1))))</f>
        <v>-19.59158041687455</v>
      </c>
      <c r="AM158" s="149">
        <f ca="1">AM152-AM145</f>
        <v>38.14118023635092</v>
      </c>
      <c r="AN158" s="149">
        <f t="shared" ref="AN158:BM158" ca="1" si="162">AN152-AN145</f>
        <v>25.641813333611481</v>
      </c>
      <c r="AO158" s="149">
        <f t="shared" ca="1" si="162"/>
        <v>12.614966578659164</v>
      </c>
      <c r="AP158" s="149">
        <f t="shared" ca="1" si="162"/>
        <v>-37.970954441684285</v>
      </c>
      <c r="AQ158" s="149">
        <f t="shared" ca="1" si="162"/>
        <v>-37.970954441684285</v>
      </c>
      <c r="AR158" s="149">
        <f t="shared" ca="1" si="162"/>
        <v>-37.970954441684285</v>
      </c>
      <c r="AS158" s="149">
        <f t="shared" ca="1" si="162"/>
        <v>-37.970954441684285</v>
      </c>
      <c r="AT158" s="149">
        <f t="shared" ca="1" si="162"/>
        <v>-37.970954441684285</v>
      </c>
      <c r="AU158" s="149">
        <f t="shared" ca="1" si="162"/>
        <v>-37.970954441684285</v>
      </c>
      <c r="AV158" s="149">
        <f t="shared" ca="1" si="162"/>
        <v>-37.970954441684285</v>
      </c>
      <c r="AW158" s="149">
        <f t="shared" ca="1" si="162"/>
        <v>-37.970954441684285</v>
      </c>
      <c r="AX158" s="149">
        <f t="shared" ca="1" si="162"/>
        <v>-37.970954441684285</v>
      </c>
      <c r="AY158" s="149">
        <f t="shared" ca="1" si="162"/>
        <v>-37.970954441684285</v>
      </c>
      <c r="AZ158" s="149">
        <f t="shared" ca="1" si="162"/>
        <v>-37.970954441684285</v>
      </c>
      <c r="BA158" s="149">
        <f t="shared" ca="1" si="162"/>
        <v>-37.970954441684285</v>
      </c>
      <c r="BB158" s="149">
        <f t="shared" ca="1" si="162"/>
        <v>-37.970954441684285</v>
      </c>
      <c r="BC158" s="149">
        <f t="shared" ca="1" si="162"/>
        <v>-37.970954441684285</v>
      </c>
      <c r="BD158" s="149">
        <f t="shared" ca="1" si="162"/>
        <v>-37.970954441684285</v>
      </c>
      <c r="BE158" s="149">
        <f t="shared" ca="1" si="162"/>
        <v>-37.970954441684285</v>
      </c>
      <c r="BF158" s="149">
        <f t="shared" ca="1" si="162"/>
        <v>-37.970954441684285</v>
      </c>
      <c r="BG158" s="149">
        <f t="shared" ca="1" si="162"/>
        <v>-25.711196806359681</v>
      </c>
      <c r="BH158" s="149">
        <f t="shared" ca="1" si="162"/>
        <v>-13.09149749831704</v>
      </c>
      <c r="BI158" s="149">
        <f t="shared" ca="1" si="162"/>
        <v>0</v>
      </c>
      <c r="BJ158" s="149">
        <f t="shared" ca="1" si="162"/>
        <v>0</v>
      </c>
      <c r="BK158" s="149">
        <f t="shared" ca="1" si="162"/>
        <v>0</v>
      </c>
      <c r="BL158" s="149">
        <f t="shared" ca="1" si="162"/>
        <v>0</v>
      </c>
      <c r="BM158" s="149">
        <f t="shared" ca="1" si="162"/>
        <v>0</v>
      </c>
      <c r="BN158" s="149"/>
      <c r="BO158" s="149">
        <f ca="1">NPV(Lookups!$E$17,AM158:BM158)</f>
        <v>-500.79938472332321</v>
      </c>
      <c r="BP158" s="149">
        <f ca="1">IF($C$4=Year1,-PMT(Lookups!$E$17,25,NPV(Lookups!$E$17,AM158:BK158),0,1),IF($C$4=Year2,-PMT(Lookups!$F$17,25,NPV(Lookups!$F$17,AN158:BL158),0,1),IF($C$4=Year3,-PMT(Lookups!$G$17,25,NPV(Lookups!$G$17,AO158:BM158),0,1),-PMT(Lookups!$G$17,27,NPV(Lookups!$G$17,AM158:BM158),0,1))))</f>
        <v>-22.1309275807373</v>
      </c>
      <c r="BS158" s="84" t="s">
        <v>241</v>
      </c>
      <c r="BT158" s="51" t="s">
        <v>17</v>
      </c>
    </row>
    <row r="159" spans="1:72" x14ac:dyDescent="0.25">
      <c r="B159" s="243" t="str">
        <f t="shared" si="152"/>
        <v>Low-Income</v>
      </c>
      <c r="C159" s="243" t="str">
        <f t="shared" si="152"/>
        <v>Bills</v>
      </c>
      <c r="D159" s="244" t="str">
        <f t="shared" si="152"/>
        <v>Change in Bills</v>
      </c>
      <c r="E159" s="84" t="s">
        <v>349</v>
      </c>
      <c r="F159" s="84" t="s">
        <v>16</v>
      </c>
      <c r="G159" s="223">
        <f ca="1">IFERROR(G152/G145-1,0)</f>
        <v>5.1289786978940599E-2</v>
      </c>
      <c r="H159" s="223">
        <f t="shared" ref="H159:AG159" ca="1" si="163">IFERROR(H152/H145-1,0)</f>
        <v>3.3676715012873837E-2</v>
      </c>
      <c r="I159" s="223">
        <f t="shared" ca="1" si="163"/>
        <v>1.5340914972961972E-2</v>
      </c>
      <c r="J159" s="223">
        <f t="shared" ca="1" si="163"/>
        <v>-5.4231196846425189E-2</v>
      </c>
      <c r="K159" s="223">
        <f t="shared" ca="1" si="163"/>
        <v>-5.4231196846425189E-2</v>
      </c>
      <c r="L159" s="223">
        <f t="shared" ca="1" si="163"/>
        <v>-5.4231196846425189E-2</v>
      </c>
      <c r="M159" s="223">
        <f t="shared" ca="1" si="163"/>
        <v>-5.4231196846425189E-2</v>
      </c>
      <c r="N159" s="223">
        <f t="shared" ca="1" si="163"/>
        <v>-5.4231196846425189E-2</v>
      </c>
      <c r="O159" s="223">
        <f t="shared" ca="1" si="163"/>
        <v>-5.4231196846425189E-2</v>
      </c>
      <c r="P159" s="223">
        <f t="shared" ca="1" si="163"/>
        <v>-5.4231196846425189E-2</v>
      </c>
      <c r="Q159" s="223">
        <f t="shared" ca="1" si="163"/>
        <v>-5.4231196846425189E-2</v>
      </c>
      <c r="R159" s="223">
        <f t="shared" ca="1" si="163"/>
        <v>-5.4231196846425189E-2</v>
      </c>
      <c r="S159" s="224">
        <f t="shared" ca="1" si="163"/>
        <v>-5.4231196846425189E-2</v>
      </c>
      <c r="T159" s="224">
        <f t="shared" ca="1" si="163"/>
        <v>-5.4231196846425189E-2</v>
      </c>
      <c r="U159" s="224">
        <f t="shared" ca="1" si="163"/>
        <v>-5.4231196846425189E-2</v>
      </c>
      <c r="V159" s="224">
        <f t="shared" ca="1" si="163"/>
        <v>-5.4231196846425189E-2</v>
      </c>
      <c r="W159" s="224">
        <f t="shared" ca="1" si="163"/>
        <v>-5.4231196846425189E-2</v>
      </c>
      <c r="X159" s="224">
        <f t="shared" ca="1" si="163"/>
        <v>-5.4231196846425189E-2</v>
      </c>
      <c r="Y159" s="224">
        <f t="shared" ca="1" si="163"/>
        <v>-5.4231196846425189E-2</v>
      </c>
      <c r="Z159" s="224">
        <f t="shared" ca="1" si="163"/>
        <v>-5.4231196846425189E-2</v>
      </c>
      <c r="AA159" s="224">
        <f t="shared" ca="1" si="163"/>
        <v>-3.6724829147778637E-2</v>
      </c>
      <c r="AB159" s="224">
        <f t="shared" ca="1" si="163"/>
        <v>-1.8700991569273961E-2</v>
      </c>
      <c r="AC159" s="224">
        <f t="shared" ca="1" si="163"/>
        <v>0</v>
      </c>
      <c r="AD159" s="224">
        <f t="shared" ca="1" si="163"/>
        <v>0</v>
      </c>
      <c r="AE159" s="224">
        <f t="shared" ca="1" si="163"/>
        <v>0</v>
      </c>
      <c r="AF159" s="224">
        <f t="shared" ca="1" si="163"/>
        <v>0</v>
      </c>
      <c r="AG159" s="224">
        <f t="shared" ca="1" si="163"/>
        <v>0</v>
      </c>
      <c r="AH159" s="224"/>
      <c r="AI159" s="224"/>
      <c r="AJ159" s="224">
        <f t="shared" ref="AJ159" ca="1" si="164">IFERROR(AJ152/AJ145-1,0)</f>
        <v>-3.2439376807809062E-2</v>
      </c>
      <c r="AK159" s="212"/>
      <c r="AL159" s="212"/>
      <c r="AM159" s="504">
        <f ca="1">IFERROR(AM152/AM145-1,0)</f>
        <v>6.2272677045262625E-2</v>
      </c>
      <c r="AN159" s="504">
        <f t="shared" ref="AN159:BM159" ca="1" si="165">IFERROR(AN152/AN145-1,0)</f>
        <v>4.1865100940349453E-2</v>
      </c>
      <c r="AO159" s="504">
        <f t="shared" ca="1" si="165"/>
        <v>2.059631439881171E-2</v>
      </c>
      <c r="AP159" s="504">
        <f t="shared" ca="1" si="165"/>
        <v>-6.1994751300166073E-2</v>
      </c>
      <c r="AQ159" s="504">
        <f t="shared" ca="1" si="165"/>
        <v>-6.1994751300166073E-2</v>
      </c>
      <c r="AR159" s="504">
        <f t="shared" ca="1" si="165"/>
        <v>-6.1994751300166073E-2</v>
      </c>
      <c r="AS159" s="504">
        <f t="shared" ca="1" si="165"/>
        <v>-6.1994751300166073E-2</v>
      </c>
      <c r="AT159" s="504">
        <f t="shared" ca="1" si="165"/>
        <v>-6.1994751300166073E-2</v>
      </c>
      <c r="AU159" s="504">
        <f t="shared" ca="1" si="165"/>
        <v>-6.1994751300166073E-2</v>
      </c>
      <c r="AV159" s="504">
        <f t="shared" ca="1" si="165"/>
        <v>-6.1994751300166073E-2</v>
      </c>
      <c r="AW159" s="504">
        <f t="shared" ca="1" si="165"/>
        <v>-6.1994751300166073E-2</v>
      </c>
      <c r="AX159" s="504">
        <f t="shared" ca="1" si="165"/>
        <v>-6.1994751300166073E-2</v>
      </c>
      <c r="AY159" s="504">
        <f t="shared" ca="1" si="165"/>
        <v>-6.1994751300166073E-2</v>
      </c>
      <c r="AZ159" s="504">
        <f t="shared" ca="1" si="165"/>
        <v>-6.1994751300166073E-2</v>
      </c>
      <c r="BA159" s="504">
        <f t="shared" ca="1" si="165"/>
        <v>-6.1994751300166073E-2</v>
      </c>
      <c r="BB159" s="504">
        <f t="shared" ca="1" si="165"/>
        <v>-6.1994751300166073E-2</v>
      </c>
      <c r="BC159" s="504">
        <f t="shared" ca="1" si="165"/>
        <v>-6.1994751300166073E-2</v>
      </c>
      <c r="BD159" s="504">
        <f t="shared" ca="1" si="165"/>
        <v>-6.1994751300166073E-2</v>
      </c>
      <c r="BE159" s="504">
        <f t="shared" ca="1" si="165"/>
        <v>-6.1994751300166073E-2</v>
      </c>
      <c r="BF159" s="504">
        <f t="shared" ca="1" si="165"/>
        <v>-6.1994751300166073E-2</v>
      </c>
      <c r="BG159" s="504">
        <f t="shared" ca="1" si="165"/>
        <v>-4.1978382557854577E-2</v>
      </c>
      <c r="BH159" s="504">
        <f t="shared" ca="1" si="165"/>
        <v>-2.1374341084877679E-2</v>
      </c>
      <c r="BI159" s="504">
        <f t="shared" ca="1" si="165"/>
        <v>0</v>
      </c>
      <c r="BJ159" s="504">
        <f t="shared" ca="1" si="165"/>
        <v>0</v>
      </c>
      <c r="BK159" s="504">
        <f t="shared" ca="1" si="165"/>
        <v>0</v>
      </c>
      <c r="BL159" s="504">
        <f t="shared" ca="1" si="165"/>
        <v>0</v>
      </c>
      <c r="BM159" s="504">
        <f t="shared" ca="1" si="165"/>
        <v>0</v>
      </c>
      <c r="BN159" s="504"/>
      <c r="BO159" s="504"/>
      <c r="BP159" s="504">
        <f t="shared" ref="BP159" ca="1" si="166">IFERROR(BP152/BP145-1,0)</f>
        <v>-3.6643980915369023E-2</v>
      </c>
      <c r="BS159" s="84" t="s">
        <v>242</v>
      </c>
      <c r="BT159" s="51" t="s">
        <v>17</v>
      </c>
    </row>
    <row r="160" spans="1:72" x14ac:dyDescent="0.25">
      <c r="B160" s="243" t="str">
        <f t="shared" si="152"/>
        <v>Low-Income</v>
      </c>
      <c r="C160" s="243" t="str">
        <f t="shared" si="152"/>
        <v>Bills</v>
      </c>
      <c r="D160" s="244" t="str">
        <f t="shared" si="152"/>
        <v>Change in Bills</v>
      </c>
      <c r="E160" s="84" t="str">
        <f>'EE Inputs'!$N$15&amp;" Participant Annual Bill"</f>
        <v>Low Savings Participant Annual Bill</v>
      </c>
      <c r="F160" s="84" t="s">
        <v>32</v>
      </c>
      <c r="G160" s="103">
        <f ca="1">G153-G145</f>
        <v>38.724822319188206</v>
      </c>
      <c r="H160" s="103">
        <f t="shared" ref="H160:AG160" ca="1" si="167">H153-H145</f>
        <v>41.597287375683436</v>
      </c>
      <c r="I160" s="103">
        <f t="shared" ca="1" si="167"/>
        <v>44.708581960216748</v>
      </c>
      <c r="J160" s="103">
        <f t="shared" ca="1" si="167"/>
        <v>-0.64465503406415792</v>
      </c>
      <c r="K160" s="103">
        <f t="shared" ca="1" si="167"/>
        <v>-0.64465503406415792</v>
      </c>
      <c r="L160" s="103">
        <f t="shared" ca="1" si="167"/>
        <v>-0.64465503406415792</v>
      </c>
      <c r="M160" s="103">
        <f t="shared" ca="1" si="167"/>
        <v>-0.64465503406415792</v>
      </c>
      <c r="N160" s="103">
        <f t="shared" ca="1" si="167"/>
        <v>-0.64465503406415792</v>
      </c>
      <c r="O160" s="103">
        <f t="shared" ca="1" si="167"/>
        <v>-0.64465503406415792</v>
      </c>
      <c r="P160" s="103">
        <f t="shared" ca="1" si="167"/>
        <v>-0.64465503406415792</v>
      </c>
      <c r="Q160" s="103">
        <f t="shared" ca="1" si="167"/>
        <v>-0.64465503406415792</v>
      </c>
      <c r="R160" s="103">
        <f t="shared" ca="1" si="167"/>
        <v>-0.64465503406415792</v>
      </c>
      <c r="S160" s="103">
        <f t="shared" ca="1" si="167"/>
        <v>-0.64465503406415792</v>
      </c>
      <c r="T160" s="103">
        <f t="shared" ca="1" si="167"/>
        <v>-0.64465503406415792</v>
      </c>
      <c r="U160" s="103">
        <f t="shared" ca="1" si="167"/>
        <v>-0.64465503406415792</v>
      </c>
      <c r="V160" s="103">
        <f t="shared" ca="1" si="167"/>
        <v>-0.64465503406415792</v>
      </c>
      <c r="W160" s="103">
        <f t="shared" ca="1" si="167"/>
        <v>-0.64465503406415792</v>
      </c>
      <c r="X160" s="103">
        <f t="shared" ca="1" si="167"/>
        <v>-0.64465503406415792</v>
      </c>
      <c r="Y160" s="103">
        <f t="shared" ca="1" si="167"/>
        <v>-0.64465503406415792</v>
      </c>
      <c r="Z160" s="103">
        <f t="shared" ca="1" si="167"/>
        <v>-0.64465503406415792</v>
      </c>
      <c r="AA160" s="103">
        <f t="shared" ca="1" si="167"/>
        <v>3.1887934236424371</v>
      </c>
      <c r="AB160" s="103">
        <f t="shared" ca="1" si="167"/>
        <v>1.5934515715066482</v>
      </c>
      <c r="AC160" s="103">
        <f t="shared" ca="1" si="167"/>
        <v>0</v>
      </c>
      <c r="AD160" s="103">
        <f t="shared" ca="1" si="167"/>
        <v>0</v>
      </c>
      <c r="AE160" s="103">
        <f t="shared" ca="1" si="167"/>
        <v>0</v>
      </c>
      <c r="AF160" s="103">
        <f t="shared" ca="1" si="167"/>
        <v>0</v>
      </c>
      <c r="AG160" s="103">
        <f t="shared" ca="1" si="167"/>
        <v>0</v>
      </c>
      <c r="AH160" s="103"/>
      <c r="AI160" s="103">
        <f ca="1">NPV(Lookups!$E$17,G160:AG160)</f>
        <v>115.75665607026187</v>
      </c>
      <c r="AJ160" s="103">
        <f ca="1">IF($C$4=Year1,-PMT(Lookups!$E$17,25,NPV(Lookups!$E$17,G160:AE160),0,1),IF($C$4=Year2,-PMT(Lookups!$F$17,25,NPV(Lookups!$F$17,H160:AF160),0,1),IF($C$4=Year3,-PMT(Lookups!$G$17,25,NPV(Lookups!$G$17,I160:AG160),0,1),-PMT(Lookups!$G$17,27,NPV(Lookups!$G$17,G160:AG160),0,1))))</f>
        <v>5.1154259582299604</v>
      </c>
      <c r="AM160" s="149">
        <f ca="1">AM153-AM145</f>
        <v>46.283586862447805</v>
      </c>
      <c r="AN160" s="149">
        <f t="shared" ref="AN160:BM160" ca="1" si="168">AN153-AN145</f>
        <v>49.648873850419591</v>
      </c>
      <c r="AO160" s="149">
        <f t="shared" ca="1" si="168"/>
        <v>53.305985455270616</v>
      </c>
      <c r="AP160" s="149">
        <f t="shared" ca="1" si="168"/>
        <v>-1.0079516966681012</v>
      </c>
      <c r="AQ160" s="149">
        <f t="shared" ca="1" si="168"/>
        <v>-1.0079516966681012</v>
      </c>
      <c r="AR160" s="149">
        <f t="shared" ca="1" si="168"/>
        <v>-1.0079516966681012</v>
      </c>
      <c r="AS160" s="149">
        <f t="shared" ca="1" si="168"/>
        <v>-1.0079516966681012</v>
      </c>
      <c r="AT160" s="149">
        <f t="shared" ca="1" si="168"/>
        <v>-1.0079516966681012</v>
      </c>
      <c r="AU160" s="149">
        <f t="shared" ca="1" si="168"/>
        <v>-1.0079516966681012</v>
      </c>
      <c r="AV160" s="149">
        <f t="shared" ca="1" si="168"/>
        <v>-1.0079516966681012</v>
      </c>
      <c r="AW160" s="149">
        <f t="shared" ca="1" si="168"/>
        <v>-1.0079516966681012</v>
      </c>
      <c r="AX160" s="149">
        <f t="shared" ca="1" si="168"/>
        <v>-1.0079516966681012</v>
      </c>
      <c r="AY160" s="149">
        <f t="shared" ca="1" si="168"/>
        <v>-1.0079516966681012</v>
      </c>
      <c r="AZ160" s="149">
        <f t="shared" ca="1" si="168"/>
        <v>-1.0079516966681012</v>
      </c>
      <c r="BA160" s="149">
        <f t="shared" ca="1" si="168"/>
        <v>-1.0079516966681012</v>
      </c>
      <c r="BB160" s="149">
        <f t="shared" ca="1" si="168"/>
        <v>-1.0079516966681012</v>
      </c>
      <c r="BC160" s="149">
        <f t="shared" ca="1" si="168"/>
        <v>-1.0079516966681012</v>
      </c>
      <c r="BD160" s="149">
        <f t="shared" ca="1" si="168"/>
        <v>-1.0079516966681012</v>
      </c>
      <c r="BE160" s="149">
        <f t="shared" ca="1" si="168"/>
        <v>-1.0079516966681012</v>
      </c>
      <c r="BF160" s="149">
        <f t="shared" ca="1" si="168"/>
        <v>-1.0079516966681012</v>
      </c>
      <c r="BG160" s="149">
        <f t="shared" ca="1" si="168"/>
        <v>3.6657513811945819</v>
      </c>
      <c r="BH160" s="149">
        <f t="shared" ca="1" si="168"/>
        <v>1.8264174955096451</v>
      </c>
      <c r="BI160" s="149">
        <f t="shared" ca="1" si="168"/>
        <v>0</v>
      </c>
      <c r="BJ160" s="149">
        <f t="shared" ca="1" si="168"/>
        <v>0</v>
      </c>
      <c r="BK160" s="149">
        <f t="shared" ca="1" si="168"/>
        <v>0</v>
      </c>
      <c r="BL160" s="149">
        <f t="shared" ca="1" si="168"/>
        <v>0</v>
      </c>
      <c r="BM160" s="149">
        <f t="shared" ca="1" si="168"/>
        <v>0</v>
      </c>
      <c r="BN160" s="149"/>
      <c r="BO160" s="149">
        <f ca="1">NPV(Lookups!$E$17,AM160:BM160)</f>
        <v>134.57692812370047</v>
      </c>
      <c r="BP160" s="149">
        <f ca="1">IF($C$4=Year1,-PMT(Lookups!$E$17,25,NPV(Lookups!$E$17,AM160:BK160),0,1),IF($C$4=Year2,-PMT(Lookups!$F$17,25,NPV(Lookups!$F$17,AN160:BL160),0,1),IF($C$4=Year3,-PMT(Lookups!$G$17,25,NPV(Lookups!$G$17,AO160:BM160),0,1),-PMT(Lookups!$G$17,27,NPV(Lookups!$G$17,AM160:BM160),0,1))))</f>
        <v>5.9471164326392545</v>
      </c>
      <c r="BS160" s="84" t="s">
        <v>241</v>
      </c>
      <c r="BT160" s="51" t="s">
        <v>17</v>
      </c>
    </row>
    <row r="161" spans="1:72" x14ac:dyDescent="0.25">
      <c r="B161" s="243" t="str">
        <f t="shared" si="152"/>
        <v>Low-Income</v>
      </c>
      <c r="C161" s="243" t="str">
        <f t="shared" si="152"/>
        <v>Bills</v>
      </c>
      <c r="D161" s="244" t="str">
        <f t="shared" si="152"/>
        <v>Change in Bills</v>
      </c>
      <c r="E161" s="84" t="str">
        <f>'EE Inputs'!$N$15&amp;" Participant Annual Bill"</f>
        <v>Low Savings Participant Annual Bill</v>
      </c>
      <c r="F161" s="84" t="s">
        <v>16</v>
      </c>
      <c r="G161" s="223">
        <f ca="1">IFERROR(G153/G145-1,0)</f>
        <v>6.3225582925713342E-2</v>
      </c>
      <c r="H161" s="223">
        <f t="shared" ref="H161:AG161" ca="1" si="169">IFERROR(H153/H145-1,0)</f>
        <v>6.7915424395706747E-2</v>
      </c>
      <c r="I161" s="223">
        <f t="shared" ca="1" si="169"/>
        <v>7.2995200156569462E-2</v>
      </c>
      <c r="J161" s="223">
        <f t="shared" ca="1" si="169"/>
        <v>-1.0525210413814268E-3</v>
      </c>
      <c r="K161" s="223">
        <f t="shared" ca="1" si="169"/>
        <v>-1.0525210413814268E-3</v>
      </c>
      <c r="L161" s="223">
        <f t="shared" ca="1" si="169"/>
        <v>-1.0525210413814268E-3</v>
      </c>
      <c r="M161" s="223">
        <f t="shared" ca="1" si="169"/>
        <v>-1.0525210413814268E-3</v>
      </c>
      <c r="N161" s="223">
        <f t="shared" ca="1" si="169"/>
        <v>-1.0525210413814268E-3</v>
      </c>
      <c r="O161" s="223">
        <f t="shared" ca="1" si="169"/>
        <v>-1.0525210413814268E-3</v>
      </c>
      <c r="P161" s="223">
        <f t="shared" ca="1" si="169"/>
        <v>-1.0525210413814268E-3</v>
      </c>
      <c r="Q161" s="223">
        <f t="shared" ca="1" si="169"/>
        <v>-1.0525210413814268E-3</v>
      </c>
      <c r="R161" s="223">
        <f t="shared" ca="1" si="169"/>
        <v>-1.0525210413814268E-3</v>
      </c>
      <c r="S161" s="224">
        <f t="shared" ca="1" si="169"/>
        <v>-1.0525210413814268E-3</v>
      </c>
      <c r="T161" s="224">
        <f t="shared" ca="1" si="169"/>
        <v>-1.0525210413814268E-3</v>
      </c>
      <c r="U161" s="224">
        <f t="shared" ca="1" si="169"/>
        <v>-1.0525210413814268E-3</v>
      </c>
      <c r="V161" s="224">
        <f t="shared" ca="1" si="169"/>
        <v>-1.0525210413814268E-3</v>
      </c>
      <c r="W161" s="224">
        <f t="shared" ca="1" si="169"/>
        <v>-1.0525210413814268E-3</v>
      </c>
      <c r="X161" s="224">
        <f t="shared" ca="1" si="169"/>
        <v>-1.0525210413814268E-3</v>
      </c>
      <c r="Y161" s="224">
        <f t="shared" ca="1" si="169"/>
        <v>-1.0525210413814268E-3</v>
      </c>
      <c r="Z161" s="224">
        <f t="shared" ca="1" si="169"/>
        <v>-1.0525210413814268E-3</v>
      </c>
      <c r="AA161" s="224">
        <f t="shared" ca="1" si="169"/>
        <v>5.2063072459747062E-3</v>
      </c>
      <c r="AB161" s="224">
        <f t="shared" ca="1" si="169"/>
        <v>2.6016105029997849E-3</v>
      </c>
      <c r="AC161" s="224">
        <f t="shared" ca="1" si="169"/>
        <v>0</v>
      </c>
      <c r="AD161" s="224">
        <f t="shared" ca="1" si="169"/>
        <v>0</v>
      </c>
      <c r="AE161" s="224">
        <f t="shared" ca="1" si="169"/>
        <v>0</v>
      </c>
      <c r="AF161" s="224">
        <f t="shared" ca="1" si="169"/>
        <v>0</v>
      </c>
      <c r="AG161" s="224">
        <f t="shared" ca="1" si="169"/>
        <v>0</v>
      </c>
      <c r="AH161" s="224"/>
      <c r="AI161" s="224"/>
      <c r="AJ161" s="224">
        <f t="shared" ref="AJ161" ca="1" si="170">IFERROR(AJ153/AJ145-1,0)</f>
        <v>8.470027770120403E-3</v>
      </c>
      <c r="AK161" s="212"/>
      <c r="AL161" s="212"/>
      <c r="AM161" s="504">
        <f ca="1">IFERROR(AM153/AM145-1,0)</f>
        <v>7.5566692989606388E-2</v>
      </c>
      <c r="AN161" s="504">
        <f t="shared" ref="AN161:BM161" ca="1" si="171">IFERROR(AN153/AN145-1,0)</f>
        <v>8.1061159297884489E-2</v>
      </c>
      <c r="AO161" s="504">
        <f t="shared" ca="1" si="171"/>
        <v>8.7032084384002228E-2</v>
      </c>
      <c r="AP161" s="504">
        <f t="shared" ca="1" si="171"/>
        <v>-1.645671426392159E-3</v>
      </c>
      <c r="AQ161" s="504">
        <f t="shared" ca="1" si="171"/>
        <v>-1.645671426392159E-3</v>
      </c>
      <c r="AR161" s="504">
        <f t="shared" ca="1" si="171"/>
        <v>-1.645671426392159E-3</v>
      </c>
      <c r="AS161" s="504">
        <f t="shared" ca="1" si="171"/>
        <v>-1.645671426392159E-3</v>
      </c>
      <c r="AT161" s="504">
        <f t="shared" ca="1" si="171"/>
        <v>-1.645671426392159E-3</v>
      </c>
      <c r="AU161" s="504">
        <f t="shared" ca="1" si="171"/>
        <v>-1.645671426392159E-3</v>
      </c>
      <c r="AV161" s="504">
        <f t="shared" ca="1" si="171"/>
        <v>-1.645671426392159E-3</v>
      </c>
      <c r="AW161" s="504">
        <f t="shared" ca="1" si="171"/>
        <v>-1.645671426392159E-3</v>
      </c>
      <c r="AX161" s="504">
        <f t="shared" ca="1" si="171"/>
        <v>-1.645671426392159E-3</v>
      </c>
      <c r="AY161" s="504">
        <f t="shared" ca="1" si="171"/>
        <v>-1.645671426392159E-3</v>
      </c>
      <c r="AZ161" s="504">
        <f t="shared" ca="1" si="171"/>
        <v>-1.645671426392159E-3</v>
      </c>
      <c r="BA161" s="504">
        <f t="shared" ca="1" si="171"/>
        <v>-1.645671426392159E-3</v>
      </c>
      <c r="BB161" s="504">
        <f t="shared" ca="1" si="171"/>
        <v>-1.645671426392159E-3</v>
      </c>
      <c r="BC161" s="504">
        <f t="shared" ca="1" si="171"/>
        <v>-1.645671426392159E-3</v>
      </c>
      <c r="BD161" s="504">
        <f t="shared" ca="1" si="171"/>
        <v>-1.645671426392159E-3</v>
      </c>
      <c r="BE161" s="504">
        <f t="shared" ca="1" si="171"/>
        <v>-1.645671426392159E-3</v>
      </c>
      <c r="BF161" s="504">
        <f t="shared" ca="1" si="171"/>
        <v>-1.645671426392159E-3</v>
      </c>
      <c r="BG161" s="504">
        <f t="shared" ca="1" si="171"/>
        <v>5.9850311520195376E-3</v>
      </c>
      <c r="BH161" s="504">
        <f t="shared" ca="1" si="171"/>
        <v>2.9819713533483228E-3</v>
      </c>
      <c r="BI161" s="504">
        <f t="shared" ca="1" si="171"/>
        <v>0</v>
      </c>
      <c r="BJ161" s="504">
        <f t="shared" ca="1" si="171"/>
        <v>0</v>
      </c>
      <c r="BK161" s="504">
        <f t="shared" ca="1" si="171"/>
        <v>0</v>
      </c>
      <c r="BL161" s="504">
        <f t="shared" ca="1" si="171"/>
        <v>0</v>
      </c>
      <c r="BM161" s="504">
        <f t="shared" ca="1" si="171"/>
        <v>0</v>
      </c>
      <c r="BN161" s="504"/>
      <c r="BO161" s="504"/>
      <c r="BP161" s="504">
        <f t="shared" ref="BP161" ca="1" si="172">IFERROR(BP153/BP145-1,0)</f>
        <v>9.8471254882599446E-3</v>
      </c>
      <c r="BS161" s="84" t="s">
        <v>242</v>
      </c>
      <c r="BT161" s="51" t="s">
        <v>17</v>
      </c>
    </row>
    <row r="162" spans="1:72" x14ac:dyDescent="0.25">
      <c r="B162" s="243" t="str">
        <f t="shared" si="152"/>
        <v>Low-Income</v>
      </c>
      <c r="C162" s="243" t="str">
        <f t="shared" si="152"/>
        <v>Bills</v>
      </c>
      <c r="D162" s="244" t="str">
        <f t="shared" si="152"/>
        <v>Change in Bills</v>
      </c>
      <c r="E162" s="84" t="str">
        <f>'EE Inputs'!$N$16&amp;" Participant Annual Bill"</f>
        <v>High Savings Participant Annual Bill</v>
      </c>
      <c r="F162" s="84" t="s">
        <v>32</v>
      </c>
      <c r="G162" s="103">
        <f ca="1">G154-G145</f>
        <v>3.6792815725707442</v>
      </c>
      <c r="H162" s="103">
        <f t="shared" ref="H162:AG162" ca="1" si="173">H154-H145</f>
        <v>6.3776578377631949</v>
      </c>
      <c r="I162" s="103">
        <f t="shared" ca="1" si="173"/>
        <v>9.3003891141429449</v>
      </c>
      <c r="J162" s="103">
        <f t="shared" ca="1" si="173"/>
        <v>-33.304166850181559</v>
      </c>
      <c r="K162" s="103">
        <f t="shared" ca="1" si="173"/>
        <v>-33.304166850181559</v>
      </c>
      <c r="L162" s="103">
        <f t="shared" ca="1" si="173"/>
        <v>-33.304166850181559</v>
      </c>
      <c r="M162" s="103">
        <f t="shared" ca="1" si="173"/>
        <v>-33.304166850181559</v>
      </c>
      <c r="N162" s="103">
        <f t="shared" ca="1" si="173"/>
        <v>-33.304166850181559</v>
      </c>
      <c r="O162" s="103">
        <f t="shared" ca="1" si="173"/>
        <v>-33.304166850181559</v>
      </c>
      <c r="P162" s="103">
        <f t="shared" ca="1" si="173"/>
        <v>-33.304166850181559</v>
      </c>
      <c r="Q162" s="103">
        <f t="shared" ca="1" si="173"/>
        <v>-33.304166850181559</v>
      </c>
      <c r="R162" s="103">
        <f t="shared" ca="1" si="173"/>
        <v>-33.304166850181559</v>
      </c>
      <c r="S162" s="103">
        <f t="shared" ca="1" si="173"/>
        <v>-33.304166850181559</v>
      </c>
      <c r="T162" s="103">
        <f t="shared" ca="1" si="173"/>
        <v>-33.304166850181559</v>
      </c>
      <c r="U162" s="103">
        <f t="shared" ca="1" si="173"/>
        <v>-33.304166850181559</v>
      </c>
      <c r="V162" s="103">
        <f t="shared" ca="1" si="173"/>
        <v>-33.304166850181559</v>
      </c>
      <c r="W162" s="103">
        <f t="shared" ca="1" si="173"/>
        <v>-33.304166850181559</v>
      </c>
      <c r="X162" s="103">
        <f t="shared" ca="1" si="173"/>
        <v>-33.304166850181559</v>
      </c>
      <c r="Y162" s="103">
        <f t="shared" ca="1" si="173"/>
        <v>-33.304166850181559</v>
      </c>
      <c r="Z162" s="103">
        <f t="shared" ca="1" si="173"/>
        <v>-33.304166850181559</v>
      </c>
      <c r="AA162" s="103">
        <f t="shared" ca="1" si="173"/>
        <v>3.1887934236424371</v>
      </c>
      <c r="AB162" s="103">
        <f t="shared" ca="1" si="173"/>
        <v>1.5934515715066482</v>
      </c>
      <c r="AC162" s="103">
        <f t="shared" ca="1" si="173"/>
        <v>0</v>
      </c>
      <c r="AD162" s="103">
        <f t="shared" ca="1" si="173"/>
        <v>0</v>
      </c>
      <c r="AE162" s="103">
        <f t="shared" ca="1" si="173"/>
        <v>0</v>
      </c>
      <c r="AF162" s="103">
        <f t="shared" ca="1" si="173"/>
        <v>0</v>
      </c>
      <c r="AG162" s="103">
        <f t="shared" ca="1" si="173"/>
        <v>0</v>
      </c>
      <c r="AH162" s="103"/>
      <c r="AI162" s="103">
        <f ca="1">NPV(Lookups!$E$17,G162:AG162)</f>
        <v>-457.20017915409767</v>
      </c>
      <c r="AJ162" s="103">
        <f ca="1">IF($C$4=Year1,-PMT(Lookups!$E$17,25,NPV(Lookups!$E$17,G162:AE162),0,1),IF($C$4=Year2,-PMT(Lookups!$F$17,25,NPV(Lookups!$F$17,H162:AF162),0,1),IF($C$4=Year3,-PMT(Lookups!$G$17,25,NPV(Lookups!$G$17,I162:AG162),0,1),-PMT(Lookups!$G$17,27,NPV(Lookups!$G$17,G162:AG162),0,1))))</f>
        <v>-20.204226209961291</v>
      </c>
      <c r="AM162" s="149">
        <f ca="1">AM154-AM145</f>
        <v>3.5929659574920834</v>
      </c>
      <c r="AN162" s="149">
        <f t="shared" ref="AN162:BM162" ca="1" si="174">AN154-AN145</f>
        <v>6.7130093592958247</v>
      </c>
      <c r="AO162" s="149">
        <f t="shared" ca="1" si="174"/>
        <v>10.103610806708389</v>
      </c>
      <c r="AP162" s="149">
        <f t="shared" ca="1" si="174"/>
        <v>-40.25222566209311</v>
      </c>
      <c r="AQ162" s="149">
        <f t="shared" ca="1" si="174"/>
        <v>-40.25222566209311</v>
      </c>
      <c r="AR162" s="149">
        <f t="shared" ca="1" si="174"/>
        <v>-40.25222566209311</v>
      </c>
      <c r="AS162" s="149">
        <f t="shared" ca="1" si="174"/>
        <v>-40.25222566209311</v>
      </c>
      <c r="AT162" s="149">
        <f t="shared" ca="1" si="174"/>
        <v>-40.25222566209311</v>
      </c>
      <c r="AU162" s="149">
        <f t="shared" ca="1" si="174"/>
        <v>-40.25222566209311</v>
      </c>
      <c r="AV162" s="149">
        <f t="shared" ca="1" si="174"/>
        <v>-40.25222566209311</v>
      </c>
      <c r="AW162" s="149">
        <f t="shared" ca="1" si="174"/>
        <v>-40.25222566209311</v>
      </c>
      <c r="AX162" s="149">
        <f t="shared" ca="1" si="174"/>
        <v>-40.25222566209311</v>
      </c>
      <c r="AY162" s="149">
        <f t="shared" ca="1" si="174"/>
        <v>-40.25222566209311</v>
      </c>
      <c r="AZ162" s="149">
        <f t="shared" ca="1" si="174"/>
        <v>-40.25222566209311</v>
      </c>
      <c r="BA162" s="149">
        <f t="shared" ca="1" si="174"/>
        <v>-40.25222566209311</v>
      </c>
      <c r="BB162" s="149">
        <f t="shared" ca="1" si="174"/>
        <v>-40.25222566209311</v>
      </c>
      <c r="BC162" s="149">
        <f t="shared" ca="1" si="174"/>
        <v>-40.25222566209311</v>
      </c>
      <c r="BD162" s="149">
        <f t="shared" ca="1" si="174"/>
        <v>-40.25222566209311</v>
      </c>
      <c r="BE162" s="149">
        <f t="shared" ca="1" si="174"/>
        <v>-40.25222566209311</v>
      </c>
      <c r="BF162" s="149">
        <f t="shared" ca="1" si="174"/>
        <v>-40.25222566209311</v>
      </c>
      <c r="BG162" s="149">
        <f t="shared" ca="1" si="174"/>
        <v>3.6657513811945819</v>
      </c>
      <c r="BH162" s="149">
        <f t="shared" ca="1" si="174"/>
        <v>1.8264174955096451</v>
      </c>
      <c r="BI162" s="149">
        <f t="shared" ca="1" si="174"/>
        <v>0</v>
      </c>
      <c r="BJ162" s="149">
        <f t="shared" ca="1" si="174"/>
        <v>0</v>
      </c>
      <c r="BK162" s="149">
        <f t="shared" ca="1" si="174"/>
        <v>0</v>
      </c>
      <c r="BL162" s="149">
        <f t="shared" ca="1" si="174"/>
        <v>0</v>
      </c>
      <c r="BM162" s="149">
        <f t="shared" ca="1" si="174"/>
        <v>0</v>
      </c>
      <c r="BN162" s="149"/>
      <c r="BO162" s="149">
        <f ca="1">NPV(Lookups!$E$17,AM162:BM162)</f>
        <v>-555.69624542928443</v>
      </c>
      <c r="BP162" s="149">
        <f ca="1">IF($C$4=Year1,-PMT(Lookups!$E$17,25,NPV(Lookups!$E$17,AM162:BK162),0,1),IF($C$4=Year2,-PMT(Lookups!$F$17,25,NPV(Lookups!$F$17,AN162:BL162),0,1),IF($C$4=Year3,-PMT(Lookups!$G$17,25,NPV(Lookups!$G$17,AO162:BM162),0,1),-PMT(Lookups!$G$17,27,NPV(Lookups!$G$17,AM162:BM162),0,1))))</f>
        <v>-24.556885930036508</v>
      </c>
      <c r="BS162" s="84" t="s">
        <v>241</v>
      </c>
      <c r="BT162" s="51" t="s">
        <v>17</v>
      </c>
    </row>
    <row r="163" spans="1:72" x14ac:dyDescent="0.25">
      <c r="B163" s="243" t="str">
        <f t="shared" si="152"/>
        <v>Low-Income</v>
      </c>
      <c r="C163" s="243" t="str">
        <f t="shared" si="152"/>
        <v>Bills</v>
      </c>
      <c r="D163" s="244" t="str">
        <f t="shared" si="152"/>
        <v>Change in Bills</v>
      </c>
      <c r="E163" s="84" t="str">
        <f>'EE Inputs'!$N$16&amp;" Participant Annual Bill"</f>
        <v>High Savings Participant Annual Bill</v>
      </c>
      <c r="F163" s="84" t="s">
        <v>16</v>
      </c>
      <c r="G163" s="223">
        <f ca="1">IFERROR(G154/G145-1,0)</f>
        <v>6.007121743677013E-3</v>
      </c>
      <c r="H163" s="223">
        <f t="shared" ref="H163:AG163" ca="1" si="175">IFERROR(H154/H145-1,0)</f>
        <v>1.0412730397306946E-2</v>
      </c>
      <c r="I163" s="223">
        <f t="shared" ca="1" si="175"/>
        <v>1.518464096054184E-2</v>
      </c>
      <c r="J163" s="223">
        <f t="shared" ca="1" si="175"/>
        <v>-5.4375339558745517E-2</v>
      </c>
      <c r="K163" s="223">
        <f t="shared" ca="1" si="175"/>
        <v>-5.4375339558745517E-2</v>
      </c>
      <c r="L163" s="223">
        <f t="shared" ca="1" si="175"/>
        <v>-5.4375339558745517E-2</v>
      </c>
      <c r="M163" s="223">
        <f t="shared" ca="1" si="175"/>
        <v>-5.4375339558745517E-2</v>
      </c>
      <c r="N163" s="223">
        <f t="shared" ca="1" si="175"/>
        <v>-5.4375339558745517E-2</v>
      </c>
      <c r="O163" s="223">
        <f t="shared" ca="1" si="175"/>
        <v>-5.4375339558745517E-2</v>
      </c>
      <c r="P163" s="223">
        <f t="shared" ca="1" si="175"/>
        <v>-5.4375339558745517E-2</v>
      </c>
      <c r="Q163" s="223">
        <f t="shared" ca="1" si="175"/>
        <v>-5.4375339558745517E-2</v>
      </c>
      <c r="R163" s="223">
        <f t="shared" ca="1" si="175"/>
        <v>-5.4375339558745517E-2</v>
      </c>
      <c r="S163" s="224">
        <f t="shared" ca="1" si="175"/>
        <v>-5.4375339558745517E-2</v>
      </c>
      <c r="T163" s="224">
        <f t="shared" ca="1" si="175"/>
        <v>-5.4375339558745517E-2</v>
      </c>
      <c r="U163" s="224">
        <f t="shared" ca="1" si="175"/>
        <v>-5.4375339558745517E-2</v>
      </c>
      <c r="V163" s="224">
        <f t="shared" ca="1" si="175"/>
        <v>-5.4375339558745517E-2</v>
      </c>
      <c r="W163" s="224">
        <f t="shared" ca="1" si="175"/>
        <v>-5.4375339558745517E-2</v>
      </c>
      <c r="X163" s="224">
        <f t="shared" ca="1" si="175"/>
        <v>-5.4375339558745517E-2</v>
      </c>
      <c r="Y163" s="224">
        <f t="shared" ca="1" si="175"/>
        <v>-5.4375339558745517E-2</v>
      </c>
      <c r="Z163" s="224">
        <f t="shared" ca="1" si="175"/>
        <v>-5.4375339558745517E-2</v>
      </c>
      <c r="AA163" s="224">
        <f t="shared" ca="1" si="175"/>
        <v>5.2063072459747062E-3</v>
      </c>
      <c r="AB163" s="224">
        <f t="shared" ca="1" si="175"/>
        <v>2.6016105029997849E-3</v>
      </c>
      <c r="AC163" s="224">
        <f t="shared" ca="1" si="175"/>
        <v>0</v>
      </c>
      <c r="AD163" s="224">
        <f t="shared" ca="1" si="175"/>
        <v>0</v>
      </c>
      <c r="AE163" s="224">
        <f t="shared" ca="1" si="175"/>
        <v>0</v>
      </c>
      <c r="AF163" s="224">
        <f t="shared" ca="1" si="175"/>
        <v>0</v>
      </c>
      <c r="AG163" s="224">
        <f t="shared" ca="1" si="175"/>
        <v>0</v>
      </c>
      <c r="AH163" s="224"/>
      <c r="AI163" s="224"/>
      <c r="AJ163" s="224">
        <f t="shared" ref="AJ163" ca="1" si="176">IFERROR(AJ154/AJ145-1,0)</f>
        <v>-3.3453784390493957E-2</v>
      </c>
      <c r="AK163" s="212"/>
      <c r="AL163" s="212"/>
      <c r="AM163" s="504">
        <f ca="1">IFERROR(AM154/AM145-1,0)</f>
        <v>5.866195207359759E-3</v>
      </c>
      <c r="AN163" s="504">
        <f t="shared" ref="AN163:BM163" ca="1" si="177">IFERROR(AN154/AN145-1,0)</f>
        <v>1.0960255064022428E-2</v>
      </c>
      <c r="AO163" s="504">
        <f t="shared" ca="1" si="177"/>
        <v>1.6496052006212736E-2</v>
      </c>
      <c r="AP163" s="504">
        <f t="shared" ca="1" si="177"/>
        <v>-6.5719357226906028E-2</v>
      </c>
      <c r="AQ163" s="504">
        <f t="shared" ca="1" si="177"/>
        <v>-6.5719357226906028E-2</v>
      </c>
      <c r="AR163" s="504">
        <f t="shared" ca="1" si="177"/>
        <v>-6.5719357226906028E-2</v>
      </c>
      <c r="AS163" s="504">
        <f t="shared" ca="1" si="177"/>
        <v>-6.5719357226906028E-2</v>
      </c>
      <c r="AT163" s="504">
        <f t="shared" ca="1" si="177"/>
        <v>-6.5719357226906028E-2</v>
      </c>
      <c r="AU163" s="504">
        <f t="shared" ca="1" si="177"/>
        <v>-6.5719357226906028E-2</v>
      </c>
      <c r="AV163" s="504">
        <f t="shared" ca="1" si="177"/>
        <v>-6.5719357226906028E-2</v>
      </c>
      <c r="AW163" s="504">
        <f t="shared" ca="1" si="177"/>
        <v>-6.5719357226906028E-2</v>
      </c>
      <c r="AX163" s="504">
        <f t="shared" ca="1" si="177"/>
        <v>-6.5719357226906028E-2</v>
      </c>
      <c r="AY163" s="504">
        <f t="shared" ca="1" si="177"/>
        <v>-6.5719357226906028E-2</v>
      </c>
      <c r="AZ163" s="504">
        <f t="shared" ca="1" si="177"/>
        <v>-6.5719357226906028E-2</v>
      </c>
      <c r="BA163" s="504">
        <f t="shared" ca="1" si="177"/>
        <v>-6.5719357226906028E-2</v>
      </c>
      <c r="BB163" s="504">
        <f t="shared" ca="1" si="177"/>
        <v>-6.5719357226906028E-2</v>
      </c>
      <c r="BC163" s="504">
        <f t="shared" ca="1" si="177"/>
        <v>-6.5719357226906028E-2</v>
      </c>
      <c r="BD163" s="504">
        <f t="shared" ca="1" si="177"/>
        <v>-6.5719357226906028E-2</v>
      </c>
      <c r="BE163" s="504">
        <f t="shared" ca="1" si="177"/>
        <v>-6.5719357226906028E-2</v>
      </c>
      <c r="BF163" s="504">
        <f t="shared" ca="1" si="177"/>
        <v>-6.5719357226906028E-2</v>
      </c>
      <c r="BG163" s="504">
        <f t="shared" ca="1" si="177"/>
        <v>5.9850311520195376E-3</v>
      </c>
      <c r="BH163" s="504">
        <f t="shared" ca="1" si="177"/>
        <v>2.9819713533483228E-3</v>
      </c>
      <c r="BI163" s="504">
        <f t="shared" ca="1" si="177"/>
        <v>0</v>
      </c>
      <c r="BJ163" s="504">
        <f t="shared" ca="1" si="177"/>
        <v>0</v>
      </c>
      <c r="BK163" s="504">
        <f t="shared" ca="1" si="177"/>
        <v>0</v>
      </c>
      <c r="BL163" s="504">
        <f t="shared" ca="1" si="177"/>
        <v>0</v>
      </c>
      <c r="BM163" s="504">
        <f t="shared" ca="1" si="177"/>
        <v>0</v>
      </c>
      <c r="BN163" s="504"/>
      <c r="BO163" s="504"/>
      <c r="BP163" s="504">
        <f t="shared" ref="BP163" ca="1" si="178">IFERROR(BP154/BP145-1,0)</f>
        <v>-4.066083791916586E-2</v>
      </c>
      <c r="BS163" s="84" t="s">
        <v>242</v>
      </c>
      <c r="BT163" s="51" t="s">
        <v>17</v>
      </c>
    </row>
    <row r="164" spans="1:72" x14ac:dyDescent="0.25">
      <c r="B164" s="243" t="str">
        <f t="shared" si="152"/>
        <v>Low-Income</v>
      </c>
      <c r="C164" s="243" t="str">
        <f t="shared" si="152"/>
        <v>Bills</v>
      </c>
      <c r="D164" s="244" t="str">
        <f t="shared" si="152"/>
        <v>Change in Bills</v>
      </c>
      <c r="E164" s="84" t="s">
        <v>17</v>
      </c>
      <c r="F164" s="84"/>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S164" s="84"/>
      <c r="BT164" s="51" t="s">
        <v>17</v>
      </c>
    </row>
    <row r="165" spans="1:72" x14ac:dyDescent="0.25">
      <c r="B165" t="s">
        <v>17</v>
      </c>
      <c r="AM165" s="725"/>
      <c r="AN165" s="725"/>
      <c r="BT165" s="51" t="s">
        <v>17</v>
      </c>
    </row>
    <row r="166" spans="1:72" x14ac:dyDescent="0.25">
      <c r="B166" t="s">
        <v>17</v>
      </c>
      <c r="AM166" s="725"/>
      <c r="AN166" s="725"/>
      <c r="BT166" s="51" t="s">
        <v>17</v>
      </c>
    </row>
    <row r="167" spans="1:72" s="51" customFormat="1" ht="23.25" x14ac:dyDescent="0.25">
      <c r="A167" s="52"/>
      <c r="B167" s="195" t="str">
        <f>Lookups!$D$28</f>
        <v>Small C&amp;I</v>
      </c>
      <c r="C167" s="196"/>
      <c r="D167" s="196"/>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51" t="s">
        <v>17</v>
      </c>
    </row>
    <row r="168" spans="1:72" s="5" customFormat="1" ht="15.75" x14ac:dyDescent="0.25">
      <c r="A168" s="52"/>
      <c r="B168" s="241" t="str">
        <f>B167</f>
        <v>Small C&amp;I</v>
      </c>
      <c r="C168" s="63" t="s">
        <v>3</v>
      </c>
      <c r="D168" s="61"/>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M168" s="63"/>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S168" s="62"/>
      <c r="BT168" s="51" t="s">
        <v>17</v>
      </c>
    </row>
    <row r="169" spans="1:72" s="5" customFormat="1" x14ac:dyDescent="0.25">
      <c r="A169" s="52"/>
      <c r="B169" s="242" t="str">
        <f t="shared" ref="B169:C180" si="179">B168</f>
        <v>Small C&amp;I</v>
      </c>
      <c r="C169" s="242" t="str">
        <f>C168</f>
        <v>Customers</v>
      </c>
      <c r="D169" s="244" t="s">
        <v>3</v>
      </c>
      <c r="E169" s="77" t="s">
        <v>3</v>
      </c>
      <c r="F169" s="76" t="s">
        <v>48</v>
      </c>
      <c r="G169" s="64">
        <f>IF(G$8=0,0,INDEX('Multi-Year Inputs'!$E$12:$AE$15,MATCH($B169,'Multi-Year Inputs'!$D$12:$D$15,0),MATCH(G$7,'Multi-Year Inputs'!$E$4:$AE$4,0)))</f>
        <v>8983.683460097729</v>
      </c>
      <c r="H169" s="64">
        <f>IF(H$8=0,0,INDEX('Multi-Year Inputs'!$E$12:$AE$15,MATCH($B169,'Multi-Year Inputs'!$D$12:$D$15,0),MATCH(H$7,'Multi-Year Inputs'!$E$4:$AE$4,0)))</f>
        <v>8983.683460097729</v>
      </c>
      <c r="I169" s="64">
        <f>IF(I$8=0,0,INDEX('Multi-Year Inputs'!$E$12:$AE$15,MATCH($B169,'Multi-Year Inputs'!$D$12:$D$15,0),MATCH(I$7,'Multi-Year Inputs'!$E$4:$AE$4,0)))</f>
        <v>8983.683460097729</v>
      </c>
      <c r="J169" s="64">
        <f>IF(J$8=0,0,INDEX('Multi-Year Inputs'!$E$12:$AE$15,MATCH($B169,'Multi-Year Inputs'!$D$12:$D$15,0),MATCH(J$7,'Multi-Year Inputs'!$E$4:$AE$4,0)))</f>
        <v>8983.683460097729</v>
      </c>
      <c r="K169" s="64">
        <f>IF(K$8=0,0,INDEX('Multi-Year Inputs'!$E$12:$AE$15,MATCH($B169,'Multi-Year Inputs'!$D$12:$D$15,0),MATCH(K$7,'Multi-Year Inputs'!$E$4:$AE$4,0)))</f>
        <v>8983.683460097729</v>
      </c>
      <c r="L169" s="64">
        <f>IF(L$8=0,0,INDEX('Multi-Year Inputs'!$E$12:$AE$15,MATCH($B169,'Multi-Year Inputs'!$D$12:$D$15,0),MATCH(L$7,'Multi-Year Inputs'!$E$4:$AE$4,0)))</f>
        <v>8983.683460097729</v>
      </c>
      <c r="M169" s="64">
        <f>IF(M$8=0,0,INDEX('Multi-Year Inputs'!$E$12:$AE$15,MATCH($B169,'Multi-Year Inputs'!$D$12:$D$15,0),MATCH(M$7,'Multi-Year Inputs'!$E$4:$AE$4,0)))</f>
        <v>8983.683460097729</v>
      </c>
      <c r="N169" s="64">
        <f>IF(N$8=0,0,INDEX('Multi-Year Inputs'!$E$12:$AE$15,MATCH($B169,'Multi-Year Inputs'!$D$12:$D$15,0),MATCH(N$7,'Multi-Year Inputs'!$E$4:$AE$4,0)))</f>
        <v>8983.683460097729</v>
      </c>
      <c r="O169" s="64">
        <f>IF(O$8=0,0,INDEX('Multi-Year Inputs'!$E$12:$AE$15,MATCH($B169,'Multi-Year Inputs'!$D$12:$D$15,0),MATCH(O$7,'Multi-Year Inputs'!$E$4:$AE$4,0)))</f>
        <v>8983.683460097729</v>
      </c>
      <c r="P169" s="64">
        <f>IF(P$8=0,0,INDEX('Multi-Year Inputs'!$E$12:$AE$15,MATCH($B169,'Multi-Year Inputs'!$D$12:$D$15,0),MATCH(P$7,'Multi-Year Inputs'!$E$4:$AE$4,0)))</f>
        <v>8983.683460097729</v>
      </c>
      <c r="Q169" s="64">
        <f>IF(Q$8=0,0,INDEX('Multi-Year Inputs'!$E$12:$AE$15,MATCH($B169,'Multi-Year Inputs'!$D$12:$D$15,0),MATCH(Q$7,'Multi-Year Inputs'!$E$4:$AE$4,0)))</f>
        <v>8983.683460097729</v>
      </c>
      <c r="R169" s="64">
        <f>IF(R$8=0,0,INDEX('Multi-Year Inputs'!$E$12:$AE$15,MATCH($B169,'Multi-Year Inputs'!$D$12:$D$15,0),MATCH(R$7,'Multi-Year Inputs'!$E$4:$AE$4,0)))</f>
        <v>8983.683460097729</v>
      </c>
      <c r="S169" s="64">
        <f>IF(S$8=0,0,INDEX('Multi-Year Inputs'!$E$12:$AE$15,MATCH($B169,'Multi-Year Inputs'!$D$12:$D$15,0),MATCH(S$7,'Multi-Year Inputs'!$E$4:$AE$4,0)))</f>
        <v>8983.683460097729</v>
      </c>
      <c r="T169" s="64">
        <f>IF(T$8=0,0,INDEX('Multi-Year Inputs'!$E$12:$AE$15,MATCH($B169,'Multi-Year Inputs'!$D$12:$D$15,0),MATCH(T$7,'Multi-Year Inputs'!$E$4:$AE$4,0)))</f>
        <v>8983.683460097729</v>
      </c>
      <c r="U169" s="64">
        <f>IF(U$8=0,0,INDEX('Multi-Year Inputs'!$E$12:$AE$15,MATCH($B169,'Multi-Year Inputs'!$D$12:$D$15,0),MATCH(U$7,'Multi-Year Inputs'!$E$4:$AE$4,0)))</f>
        <v>8983.683460097729</v>
      </c>
      <c r="V169" s="64">
        <f>IF(V$8=0,0,INDEX('Multi-Year Inputs'!$E$12:$AE$15,MATCH($B169,'Multi-Year Inputs'!$D$12:$D$15,0),MATCH(V$7,'Multi-Year Inputs'!$E$4:$AE$4,0)))</f>
        <v>8983.683460097729</v>
      </c>
      <c r="W169" s="64">
        <f>IF(W$8=0,0,INDEX('Multi-Year Inputs'!$E$12:$AE$15,MATCH($B169,'Multi-Year Inputs'!$D$12:$D$15,0),MATCH(W$7,'Multi-Year Inputs'!$E$4:$AE$4,0)))</f>
        <v>8983.683460097729</v>
      </c>
      <c r="X169" s="64">
        <f>IF(X$8=0,0,INDEX('Multi-Year Inputs'!$E$12:$AE$15,MATCH($B169,'Multi-Year Inputs'!$D$12:$D$15,0),MATCH(X$7,'Multi-Year Inputs'!$E$4:$AE$4,0)))</f>
        <v>8983.683460097729</v>
      </c>
      <c r="Y169" s="64">
        <f>IF(Y$8=0,0,INDEX('Multi-Year Inputs'!$E$12:$AE$15,MATCH($B169,'Multi-Year Inputs'!$D$12:$D$15,0),MATCH(Y$7,'Multi-Year Inputs'!$E$4:$AE$4,0)))</f>
        <v>8983.683460097729</v>
      </c>
      <c r="Z169" s="64">
        <f>IF(Z$8=0,0,INDEX('Multi-Year Inputs'!$E$12:$AE$15,MATCH($B169,'Multi-Year Inputs'!$D$12:$D$15,0),MATCH(Z$7,'Multi-Year Inputs'!$E$4:$AE$4,0)))</f>
        <v>8983.683460097729</v>
      </c>
      <c r="AA169" s="64">
        <f>IF(AA$8=0,0,INDEX('Multi-Year Inputs'!$E$12:$AE$15,MATCH($B169,'Multi-Year Inputs'!$D$12:$D$15,0),MATCH(AA$7,'Multi-Year Inputs'!$E$4:$AE$4,0)))</f>
        <v>8983.683460097729</v>
      </c>
      <c r="AB169" s="64">
        <f>IF(AB$8=0,0,INDEX('Multi-Year Inputs'!$E$12:$AE$15,MATCH($B169,'Multi-Year Inputs'!$D$12:$D$15,0),MATCH(AB$7,'Multi-Year Inputs'!$E$4:$AE$4,0)))</f>
        <v>8983.683460097729</v>
      </c>
      <c r="AC169" s="64">
        <f>IF(AC$8=0,0,INDEX('Multi-Year Inputs'!$E$12:$AE$15,MATCH($B169,'Multi-Year Inputs'!$D$12:$D$15,0),MATCH(AC$7,'Multi-Year Inputs'!$E$4:$AE$4,0)))</f>
        <v>8983.683460097729</v>
      </c>
      <c r="AD169" s="64">
        <f>IF(AD$8=0,0,INDEX('Multi-Year Inputs'!$E$12:$AE$15,MATCH($B169,'Multi-Year Inputs'!$D$12:$D$15,0),MATCH(AD$7,'Multi-Year Inputs'!$E$4:$AE$4,0)))</f>
        <v>8983.683460097729</v>
      </c>
      <c r="AE169" s="64">
        <f>IF(AE$8=0,0,INDEX('Multi-Year Inputs'!$E$12:$AE$15,MATCH($B169,'Multi-Year Inputs'!$D$12:$D$15,0),MATCH(AE$7,'Multi-Year Inputs'!$E$4:$AE$4,0)))</f>
        <v>8983.683460097729</v>
      </c>
      <c r="AF169" s="64">
        <f>IF(AF$8=0,0,INDEX('Multi-Year Inputs'!$E$12:$AE$15,MATCH($B169,'Multi-Year Inputs'!$D$12:$D$15,0),MATCH(AF$7,'Multi-Year Inputs'!$E$4:$AE$4,0)))</f>
        <v>8983.683460097729</v>
      </c>
      <c r="AG169" s="64">
        <f>IF(AG$8=0,0,INDEX('Multi-Year Inputs'!$E$12:$AE$15,MATCH($B169,'Multi-Year Inputs'!$D$12:$D$15,0),MATCH(AG$7,'Multi-Year Inputs'!$E$4:$AE$4,0)))</f>
        <v>8983.683460097729</v>
      </c>
      <c r="AH169" s="64"/>
      <c r="AI169" s="64"/>
      <c r="AJ169" s="64"/>
      <c r="AM169" s="71">
        <f>IF(AM$8=0,0,INDEX('Multi-Year Inputs'!$E$12:$AE$15,MATCH($B169,'Multi-Year Inputs'!$D$12:$D$15,0),MATCH(AM$7,'Multi-Year Inputs'!$E$4:$AE$4,0)))</f>
        <v>8983.683460097729</v>
      </c>
      <c r="AN169" s="71">
        <f>IF(AN$8=0,0,INDEX('Multi-Year Inputs'!$E$12:$AE$15,MATCH($B169,'Multi-Year Inputs'!$D$12:$D$15,0),MATCH(AN$7,'Multi-Year Inputs'!$E$4:$AE$4,0)))</f>
        <v>8983.683460097729</v>
      </c>
      <c r="AO169" s="71">
        <f>IF(AO$8=0,0,INDEX('Multi-Year Inputs'!$E$12:$AE$15,MATCH($B169,'Multi-Year Inputs'!$D$12:$D$15,0),MATCH(AO$7,'Multi-Year Inputs'!$E$4:$AE$4,0)))</f>
        <v>8983.683460097729</v>
      </c>
      <c r="AP169" s="71">
        <f>IF(AP$8=0,0,INDEX('Multi-Year Inputs'!$E$12:$AE$15,MATCH($B169,'Multi-Year Inputs'!$D$12:$D$15,0),MATCH(AP$7,'Multi-Year Inputs'!$E$4:$AE$4,0)))</f>
        <v>8983.683460097729</v>
      </c>
      <c r="AQ169" s="71">
        <f>IF(AQ$8=0,0,INDEX('Multi-Year Inputs'!$E$12:$AE$15,MATCH($B169,'Multi-Year Inputs'!$D$12:$D$15,0),MATCH(AQ$7,'Multi-Year Inputs'!$E$4:$AE$4,0)))</f>
        <v>8983.683460097729</v>
      </c>
      <c r="AR169" s="71">
        <f>IF(AR$8=0,0,INDEX('Multi-Year Inputs'!$E$12:$AE$15,MATCH($B169,'Multi-Year Inputs'!$D$12:$D$15,0),MATCH(AR$7,'Multi-Year Inputs'!$E$4:$AE$4,0)))</f>
        <v>8983.683460097729</v>
      </c>
      <c r="AS169" s="71">
        <f>IF(AS$8=0,0,INDEX('Multi-Year Inputs'!$E$12:$AE$15,MATCH($B169,'Multi-Year Inputs'!$D$12:$D$15,0),MATCH(AS$7,'Multi-Year Inputs'!$E$4:$AE$4,0)))</f>
        <v>8983.683460097729</v>
      </c>
      <c r="AT169" s="71">
        <f>IF(AT$8=0,0,INDEX('Multi-Year Inputs'!$E$12:$AE$15,MATCH($B169,'Multi-Year Inputs'!$D$12:$D$15,0),MATCH(AT$7,'Multi-Year Inputs'!$E$4:$AE$4,0)))</f>
        <v>8983.683460097729</v>
      </c>
      <c r="AU169" s="71">
        <f>IF(AU$8=0,0,INDEX('Multi-Year Inputs'!$E$12:$AE$15,MATCH($B169,'Multi-Year Inputs'!$D$12:$D$15,0),MATCH(AU$7,'Multi-Year Inputs'!$E$4:$AE$4,0)))</f>
        <v>8983.683460097729</v>
      </c>
      <c r="AV169" s="71">
        <f>IF(AV$8=0,0,INDEX('Multi-Year Inputs'!$E$12:$AE$15,MATCH($B169,'Multi-Year Inputs'!$D$12:$D$15,0),MATCH(AV$7,'Multi-Year Inputs'!$E$4:$AE$4,0)))</f>
        <v>8983.683460097729</v>
      </c>
      <c r="AW169" s="71">
        <f>IF(AW$8=0,0,INDEX('Multi-Year Inputs'!$E$12:$AE$15,MATCH($B169,'Multi-Year Inputs'!$D$12:$D$15,0),MATCH(AW$7,'Multi-Year Inputs'!$E$4:$AE$4,0)))</f>
        <v>8983.683460097729</v>
      </c>
      <c r="AX169" s="71">
        <f>IF(AX$8=0,0,INDEX('Multi-Year Inputs'!$E$12:$AE$15,MATCH($B169,'Multi-Year Inputs'!$D$12:$D$15,0),MATCH(AX$7,'Multi-Year Inputs'!$E$4:$AE$4,0)))</f>
        <v>8983.683460097729</v>
      </c>
      <c r="AY169" s="71">
        <f>IF(AY$8=0,0,INDEX('Multi-Year Inputs'!$E$12:$AE$15,MATCH($B169,'Multi-Year Inputs'!$D$12:$D$15,0),MATCH(AY$7,'Multi-Year Inputs'!$E$4:$AE$4,0)))</f>
        <v>8983.683460097729</v>
      </c>
      <c r="AZ169" s="71">
        <f>IF(AZ$8=0,0,INDEX('Multi-Year Inputs'!$E$12:$AE$15,MATCH($B169,'Multi-Year Inputs'!$D$12:$D$15,0),MATCH(AZ$7,'Multi-Year Inputs'!$E$4:$AE$4,0)))</f>
        <v>8983.683460097729</v>
      </c>
      <c r="BA169" s="71">
        <f>IF(BA$8=0,0,INDEX('Multi-Year Inputs'!$E$12:$AE$15,MATCH($B169,'Multi-Year Inputs'!$D$12:$D$15,0),MATCH(BA$7,'Multi-Year Inputs'!$E$4:$AE$4,0)))</f>
        <v>8983.683460097729</v>
      </c>
      <c r="BB169" s="71">
        <f>IF(BB$8=0,0,INDEX('Multi-Year Inputs'!$E$12:$AE$15,MATCH($B169,'Multi-Year Inputs'!$D$12:$D$15,0),MATCH(BB$7,'Multi-Year Inputs'!$E$4:$AE$4,0)))</f>
        <v>8983.683460097729</v>
      </c>
      <c r="BC169" s="71">
        <f>IF(BC$8=0,0,INDEX('Multi-Year Inputs'!$E$12:$AE$15,MATCH($B169,'Multi-Year Inputs'!$D$12:$D$15,0),MATCH(BC$7,'Multi-Year Inputs'!$E$4:$AE$4,0)))</f>
        <v>8983.683460097729</v>
      </c>
      <c r="BD169" s="71">
        <f>IF(BD$8=0,0,INDEX('Multi-Year Inputs'!$E$12:$AE$15,MATCH($B169,'Multi-Year Inputs'!$D$12:$D$15,0),MATCH(BD$7,'Multi-Year Inputs'!$E$4:$AE$4,0)))</f>
        <v>8983.683460097729</v>
      </c>
      <c r="BE169" s="71">
        <f>IF(BE$8=0,0,INDEX('Multi-Year Inputs'!$E$12:$AE$15,MATCH($B169,'Multi-Year Inputs'!$D$12:$D$15,0),MATCH(BE$7,'Multi-Year Inputs'!$E$4:$AE$4,0)))</f>
        <v>8983.683460097729</v>
      </c>
      <c r="BF169" s="71">
        <f>IF(BF$8=0,0,INDEX('Multi-Year Inputs'!$E$12:$AE$15,MATCH($B169,'Multi-Year Inputs'!$D$12:$D$15,0),MATCH(BF$7,'Multi-Year Inputs'!$E$4:$AE$4,0)))</f>
        <v>8983.683460097729</v>
      </c>
      <c r="BG169" s="71">
        <f>IF(BG$8=0,0,INDEX('Multi-Year Inputs'!$E$12:$AE$15,MATCH($B169,'Multi-Year Inputs'!$D$12:$D$15,0),MATCH(BG$7,'Multi-Year Inputs'!$E$4:$AE$4,0)))</f>
        <v>8983.683460097729</v>
      </c>
      <c r="BH169" s="71">
        <f>IF(BH$8=0,0,INDEX('Multi-Year Inputs'!$E$12:$AE$15,MATCH($B169,'Multi-Year Inputs'!$D$12:$D$15,0),MATCH(BH$7,'Multi-Year Inputs'!$E$4:$AE$4,0)))</f>
        <v>8983.683460097729</v>
      </c>
      <c r="BI169" s="71">
        <f>IF(BI$8=0,0,INDEX('Multi-Year Inputs'!$E$12:$AE$15,MATCH($B169,'Multi-Year Inputs'!$D$12:$D$15,0),MATCH(BI$7,'Multi-Year Inputs'!$E$4:$AE$4,0)))</f>
        <v>8983.683460097729</v>
      </c>
      <c r="BJ169" s="71">
        <f>IF(BJ$8=0,0,INDEX('Multi-Year Inputs'!$E$12:$AE$15,MATCH($B169,'Multi-Year Inputs'!$D$12:$D$15,0),MATCH(BJ$7,'Multi-Year Inputs'!$E$4:$AE$4,0)))</f>
        <v>8983.683460097729</v>
      </c>
      <c r="BK169" s="71">
        <f>IF(BK$8=0,0,INDEX('Multi-Year Inputs'!$E$12:$AE$15,MATCH($B169,'Multi-Year Inputs'!$D$12:$D$15,0),MATCH(BK$7,'Multi-Year Inputs'!$E$4:$AE$4,0)))</f>
        <v>8983.683460097729</v>
      </c>
      <c r="BL169" s="71">
        <f>IF(BL$8=0,0,INDEX('Multi-Year Inputs'!$E$12:$AE$15,MATCH($B169,'Multi-Year Inputs'!$D$12:$D$15,0),MATCH(BL$7,'Multi-Year Inputs'!$E$4:$AE$4,0)))</f>
        <v>8983.683460097729</v>
      </c>
      <c r="BM169" s="71">
        <f>IF(BM$8=0,0,INDEX('Multi-Year Inputs'!$E$12:$AE$15,MATCH($B169,'Multi-Year Inputs'!$D$12:$D$15,0),MATCH(BM$7,'Multi-Year Inputs'!$E$4:$AE$4,0)))</f>
        <v>8983.683460097729</v>
      </c>
      <c r="BN169" s="72"/>
      <c r="BO169" s="72"/>
      <c r="BP169" s="72"/>
      <c r="BS169" s="76" t="s">
        <v>89</v>
      </c>
      <c r="BT169" s="51" t="s">
        <v>17</v>
      </c>
    </row>
    <row r="170" spans="1:72" s="5" customFormat="1" x14ac:dyDescent="0.25">
      <c r="A170" s="52"/>
      <c r="B170" s="242" t="str">
        <f t="shared" si="179"/>
        <v>Small C&amp;I</v>
      </c>
      <c r="C170" s="242" t="str">
        <f>C169</f>
        <v>Customers</v>
      </c>
      <c r="D170" s="244" t="s">
        <v>40</v>
      </c>
      <c r="E170" s="77" t="s">
        <v>40</v>
      </c>
      <c r="F170" s="76" t="s">
        <v>2</v>
      </c>
      <c r="G170" s="65" t="str">
        <f ca="1">IF($C$4=Lookups!$D$40,IF(SUM(INDIRECT("'Yr1'!"&amp;ADDRESS(ROW(G170),COLUMN(G170))),INDIRECT("'Yr2'!"&amp;ADDRESS(ROW(G170),COLUMN(G170))),INDIRECT("'Yr3'!"&amp;ADDRESS(ROW(G170),COLUMN(G170))))&gt;0,"3 Yr. total",0),
IF(G$7&lt;$C$4,0,IF(G$8&lt;=SUMIFS('EE Inputs'!$V$9:$V$32,'EE Inputs'!$C$9:$C$32,$G$6,'EE Inputs'!$D$9:$D$32,$C$4,'EE Inputs'!$E$9:$E$32,$B170),SUMIFS('EE Inputs'!$V$9:$V$32,'EE Inputs'!$C$9:$C$32,$G$6,'EE Inputs'!$D$9:$D$32,$C$4,'EE Inputs'!$E$9:$E$32,$B170),0)))</f>
        <v>3 Yr. total</v>
      </c>
      <c r="H170" s="65" t="str">
        <f ca="1">IF($C$4=Lookups!$D$40,IF(SUM(INDIRECT("'Yr1'!"&amp;ADDRESS(ROW(H170),COLUMN(H170))),INDIRECT("'Yr2'!"&amp;ADDRESS(ROW(H170),COLUMN(H170))),INDIRECT("'Yr3'!"&amp;ADDRESS(ROW(H170),COLUMN(H170))))&gt;0,"3 Yr. total",0),
IF(H$7&lt;$C$4,0,IF(H$8&lt;=SUMIFS('EE Inputs'!$V$9:$V$32,'EE Inputs'!$C$9:$C$32,$G$6,'EE Inputs'!$D$9:$D$32,$C$4,'EE Inputs'!$E$9:$E$32,$B170),SUMIFS('EE Inputs'!$V$9:$V$32,'EE Inputs'!$C$9:$C$32,$G$6,'EE Inputs'!$D$9:$D$32,$C$4,'EE Inputs'!$E$9:$E$32,$B170),0)))</f>
        <v>3 Yr. total</v>
      </c>
      <c r="I170" s="65" t="str">
        <f ca="1">IF($C$4=Lookups!$D$40,IF(SUM(INDIRECT("'Yr1'!"&amp;ADDRESS(ROW(I170),COLUMN(I170))),INDIRECT("'Yr2'!"&amp;ADDRESS(ROW(I170),COLUMN(I170))),INDIRECT("'Yr3'!"&amp;ADDRESS(ROW(I170),COLUMN(I170))))&gt;0,"3 Yr. total",0),
IF(I$7&lt;$C$4,0,IF(I$8&lt;=SUMIFS('EE Inputs'!$V$9:$V$32,'EE Inputs'!$C$9:$C$32,$G$6,'EE Inputs'!$D$9:$D$32,$C$4,'EE Inputs'!$E$9:$E$32,$B170),SUMIFS('EE Inputs'!$V$9:$V$32,'EE Inputs'!$C$9:$C$32,$G$6,'EE Inputs'!$D$9:$D$32,$C$4,'EE Inputs'!$E$9:$E$32,$B170),0)))</f>
        <v>3 Yr. total</v>
      </c>
      <c r="J170" s="65" t="str">
        <f ca="1">IF($C$4=Lookups!$D$40,IF(SUM(INDIRECT("'Yr1'!"&amp;ADDRESS(ROW(J170),COLUMN(J170))),INDIRECT("'Yr2'!"&amp;ADDRESS(ROW(J170),COLUMN(J170))),INDIRECT("'Yr3'!"&amp;ADDRESS(ROW(J170),COLUMN(J170))))&gt;0,"3 Yr. total",0),
IF(J$7&lt;$C$4,0,IF(J$8&lt;=SUMIFS('EE Inputs'!$V$9:$V$32,'EE Inputs'!$C$9:$C$32,$G$6,'EE Inputs'!$D$9:$D$32,$C$4,'EE Inputs'!$E$9:$E$32,$B170),SUMIFS('EE Inputs'!$V$9:$V$32,'EE Inputs'!$C$9:$C$32,$G$6,'EE Inputs'!$D$9:$D$32,$C$4,'EE Inputs'!$E$9:$E$32,$B170),0)))</f>
        <v>3 Yr. total</v>
      </c>
      <c r="K170" s="65" t="str">
        <f ca="1">IF($C$4=Lookups!$D$40,IF(SUM(INDIRECT("'Yr1'!"&amp;ADDRESS(ROW(K170),COLUMN(K170))),INDIRECT("'Yr2'!"&amp;ADDRESS(ROW(K170),COLUMN(K170))),INDIRECT("'Yr3'!"&amp;ADDRESS(ROW(K170),COLUMN(K170))))&gt;0,"3 Yr. total",0),
IF(K$7&lt;$C$4,0,IF(K$8&lt;=SUMIFS('EE Inputs'!$V$9:$V$32,'EE Inputs'!$C$9:$C$32,$G$6,'EE Inputs'!$D$9:$D$32,$C$4,'EE Inputs'!$E$9:$E$32,$B170),SUMIFS('EE Inputs'!$V$9:$V$32,'EE Inputs'!$C$9:$C$32,$G$6,'EE Inputs'!$D$9:$D$32,$C$4,'EE Inputs'!$E$9:$E$32,$B170),0)))</f>
        <v>3 Yr. total</v>
      </c>
      <c r="L170" s="65" t="str">
        <f ca="1">IF($C$4=Lookups!$D$40,IF(SUM(INDIRECT("'Yr1'!"&amp;ADDRESS(ROW(L170),COLUMN(L170))),INDIRECT("'Yr2'!"&amp;ADDRESS(ROW(L170),COLUMN(L170))),INDIRECT("'Yr3'!"&amp;ADDRESS(ROW(L170),COLUMN(L170))))&gt;0,"3 Yr. total",0),
IF(L$7&lt;$C$4,0,IF(L$8&lt;=SUMIFS('EE Inputs'!$V$9:$V$32,'EE Inputs'!$C$9:$C$32,$G$6,'EE Inputs'!$D$9:$D$32,$C$4,'EE Inputs'!$E$9:$E$32,$B170),SUMIFS('EE Inputs'!$V$9:$V$32,'EE Inputs'!$C$9:$C$32,$G$6,'EE Inputs'!$D$9:$D$32,$C$4,'EE Inputs'!$E$9:$E$32,$B170),0)))</f>
        <v>3 Yr. total</v>
      </c>
      <c r="M170" s="65" t="str">
        <f ca="1">IF($C$4=Lookups!$D$40,IF(SUM(INDIRECT("'Yr1'!"&amp;ADDRESS(ROW(M170),COLUMN(M170))),INDIRECT("'Yr2'!"&amp;ADDRESS(ROW(M170),COLUMN(M170))),INDIRECT("'Yr3'!"&amp;ADDRESS(ROW(M170),COLUMN(M170))))&gt;0,"3 Yr. total",0),
IF(M$7&lt;$C$4,0,IF(M$8&lt;=SUMIFS('EE Inputs'!$V$9:$V$32,'EE Inputs'!$C$9:$C$32,$G$6,'EE Inputs'!$D$9:$D$32,$C$4,'EE Inputs'!$E$9:$E$32,$B170),SUMIFS('EE Inputs'!$V$9:$V$32,'EE Inputs'!$C$9:$C$32,$G$6,'EE Inputs'!$D$9:$D$32,$C$4,'EE Inputs'!$E$9:$E$32,$B170),0)))</f>
        <v>3 Yr. total</v>
      </c>
      <c r="N170" s="65" t="str">
        <f ca="1">IF($C$4=Lookups!$D$40,IF(SUM(INDIRECT("'Yr1'!"&amp;ADDRESS(ROW(N170),COLUMN(N170))),INDIRECT("'Yr2'!"&amp;ADDRESS(ROW(N170),COLUMN(N170))),INDIRECT("'Yr3'!"&amp;ADDRESS(ROW(N170),COLUMN(N170))))&gt;0,"3 Yr. total",0),
IF(N$7&lt;$C$4,0,IF(N$8&lt;=SUMIFS('EE Inputs'!$V$9:$V$32,'EE Inputs'!$C$9:$C$32,$G$6,'EE Inputs'!$D$9:$D$32,$C$4,'EE Inputs'!$E$9:$E$32,$B170),SUMIFS('EE Inputs'!$V$9:$V$32,'EE Inputs'!$C$9:$C$32,$G$6,'EE Inputs'!$D$9:$D$32,$C$4,'EE Inputs'!$E$9:$E$32,$B170),0)))</f>
        <v>3 Yr. total</v>
      </c>
      <c r="O170" s="65" t="str">
        <f ca="1">IF($C$4=Lookups!$D$40,IF(SUM(INDIRECT("'Yr1'!"&amp;ADDRESS(ROW(O170),COLUMN(O170))),INDIRECT("'Yr2'!"&amp;ADDRESS(ROW(O170),COLUMN(O170))),INDIRECT("'Yr3'!"&amp;ADDRESS(ROW(O170),COLUMN(O170))))&gt;0,"3 Yr. total",0),
IF(O$7&lt;$C$4,0,IF(O$8&lt;=SUMIFS('EE Inputs'!$V$9:$V$32,'EE Inputs'!$C$9:$C$32,$G$6,'EE Inputs'!$D$9:$D$32,$C$4,'EE Inputs'!$E$9:$E$32,$B170),SUMIFS('EE Inputs'!$V$9:$V$32,'EE Inputs'!$C$9:$C$32,$G$6,'EE Inputs'!$D$9:$D$32,$C$4,'EE Inputs'!$E$9:$E$32,$B170),0)))</f>
        <v>3 Yr. total</v>
      </c>
      <c r="P170" s="65" t="str">
        <f ca="1">IF($C$4=Lookups!$D$40,IF(SUM(INDIRECT("'Yr1'!"&amp;ADDRESS(ROW(P170),COLUMN(P170))),INDIRECT("'Yr2'!"&amp;ADDRESS(ROW(P170),COLUMN(P170))),INDIRECT("'Yr3'!"&amp;ADDRESS(ROW(P170),COLUMN(P170))))&gt;0,"3 Yr. total",0),
IF(P$7&lt;$C$4,0,IF(P$8&lt;=SUMIFS('EE Inputs'!$V$9:$V$32,'EE Inputs'!$C$9:$C$32,$G$6,'EE Inputs'!$D$9:$D$32,$C$4,'EE Inputs'!$E$9:$E$32,$B170),SUMIFS('EE Inputs'!$V$9:$V$32,'EE Inputs'!$C$9:$C$32,$G$6,'EE Inputs'!$D$9:$D$32,$C$4,'EE Inputs'!$E$9:$E$32,$B170),0)))</f>
        <v>3 Yr. total</v>
      </c>
      <c r="Q170" s="65" t="str">
        <f ca="1">IF($C$4=Lookups!$D$40,IF(SUM(INDIRECT("'Yr1'!"&amp;ADDRESS(ROW(Q170),COLUMN(Q170))),INDIRECT("'Yr2'!"&amp;ADDRESS(ROW(Q170),COLUMN(Q170))),INDIRECT("'Yr3'!"&amp;ADDRESS(ROW(Q170),COLUMN(Q170))))&gt;0,"3 Yr. total",0),
IF(Q$7&lt;$C$4,0,IF(Q$8&lt;=SUMIFS('EE Inputs'!$V$9:$V$32,'EE Inputs'!$C$9:$C$32,$G$6,'EE Inputs'!$D$9:$D$32,$C$4,'EE Inputs'!$E$9:$E$32,$B170),SUMIFS('EE Inputs'!$V$9:$V$32,'EE Inputs'!$C$9:$C$32,$G$6,'EE Inputs'!$D$9:$D$32,$C$4,'EE Inputs'!$E$9:$E$32,$B170),0)))</f>
        <v>3 Yr. total</v>
      </c>
      <c r="R170" s="65" t="str">
        <f ca="1">IF($C$4=Lookups!$D$40,IF(SUM(INDIRECT("'Yr1'!"&amp;ADDRESS(ROW(R170),COLUMN(R170))),INDIRECT("'Yr2'!"&amp;ADDRESS(ROW(R170),COLUMN(R170))),INDIRECT("'Yr3'!"&amp;ADDRESS(ROW(R170),COLUMN(R170))))&gt;0,"3 Yr. total",0),
IF(R$7&lt;$C$4,0,IF(R$8&lt;=SUMIFS('EE Inputs'!$V$9:$V$32,'EE Inputs'!$C$9:$C$32,$G$6,'EE Inputs'!$D$9:$D$32,$C$4,'EE Inputs'!$E$9:$E$32,$B170),SUMIFS('EE Inputs'!$V$9:$V$32,'EE Inputs'!$C$9:$C$32,$G$6,'EE Inputs'!$D$9:$D$32,$C$4,'EE Inputs'!$E$9:$E$32,$B170),0)))</f>
        <v>3 Yr. total</v>
      </c>
      <c r="S170" s="65" t="str">
        <f ca="1">IF($C$4=Lookups!$D$40,IF(SUM(INDIRECT("'Yr1'!"&amp;ADDRESS(ROW(S170),COLUMN(S170))),INDIRECT("'Yr2'!"&amp;ADDRESS(ROW(S170),COLUMN(S170))),INDIRECT("'Yr3'!"&amp;ADDRESS(ROW(S170),COLUMN(S170))))&gt;0,"3 Yr. total",0),
IF(S$7&lt;$C$4,0,IF(S$8&lt;=SUMIFS('EE Inputs'!$V$9:$V$32,'EE Inputs'!$C$9:$C$32,$G$6,'EE Inputs'!$D$9:$D$32,$C$4,'EE Inputs'!$E$9:$E$32,$B170),SUMIFS('EE Inputs'!$V$9:$V$32,'EE Inputs'!$C$9:$C$32,$G$6,'EE Inputs'!$D$9:$D$32,$C$4,'EE Inputs'!$E$9:$E$32,$B170),0)))</f>
        <v>3 Yr. total</v>
      </c>
      <c r="T170" s="65" t="str">
        <f ca="1">IF($C$4=Lookups!$D$40,IF(SUM(INDIRECT("'Yr1'!"&amp;ADDRESS(ROW(T170),COLUMN(T170))),INDIRECT("'Yr2'!"&amp;ADDRESS(ROW(T170),COLUMN(T170))),INDIRECT("'Yr3'!"&amp;ADDRESS(ROW(T170),COLUMN(T170))))&gt;0,"3 Yr. total",0),
IF(T$7&lt;$C$4,0,IF(T$8&lt;=SUMIFS('EE Inputs'!$V$9:$V$32,'EE Inputs'!$C$9:$C$32,$G$6,'EE Inputs'!$D$9:$D$32,$C$4,'EE Inputs'!$E$9:$E$32,$B170),SUMIFS('EE Inputs'!$V$9:$V$32,'EE Inputs'!$C$9:$C$32,$G$6,'EE Inputs'!$D$9:$D$32,$C$4,'EE Inputs'!$E$9:$E$32,$B170),0)))</f>
        <v>3 Yr. total</v>
      </c>
      <c r="U170" s="65" t="str">
        <f ca="1">IF($C$4=Lookups!$D$40,IF(SUM(INDIRECT("'Yr1'!"&amp;ADDRESS(ROW(U170),COLUMN(U170))),INDIRECT("'Yr2'!"&amp;ADDRESS(ROW(U170),COLUMN(U170))),INDIRECT("'Yr3'!"&amp;ADDRESS(ROW(U170),COLUMN(U170))))&gt;0,"3 Yr. total",0),
IF(U$7&lt;$C$4,0,IF(U$8&lt;=SUMIFS('EE Inputs'!$V$9:$V$32,'EE Inputs'!$C$9:$C$32,$G$6,'EE Inputs'!$D$9:$D$32,$C$4,'EE Inputs'!$E$9:$E$32,$B170),SUMIFS('EE Inputs'!$V$9:$V$32,'EE Inputs'!$C$9:$C$32,$G$6,'EE Inputs'!$D$9:$D$32,$C$4,'EE Inputs'!$E$9:$E$32,$B170),0)))</f>
        <v>3 Yr. total</v>
      </c>
      <c r="V170" s="65" t="str">
        <f ca="1">IF($C$4=Lookups!$D$40,IF(SUM(INDIRECT("'Yr1'!"&amp;ADDRESS(ROW(V170),COLUMN(V170))),INDIRECT("'Yr2'!"&amp;ADDRESS(ROW(V170),COLUMN(V170))),INDIRECT("'Yr3'!"&amp;ADDRESS(ROW(V170),COLUMN(V170))))&gt;0,"3 Yr. total",0),
IF(V$7&lt;$C$4,0,IF(V$8&lt;=SUMIFS('EE Inputs'!$V$9:$V$32,'EE Inputs'!$C$9:$C$32,$G$6,'EE Inputs'!$D$9:$D$32,$C$4,'EE Inputs'!$E$9:$E$32,$B170),SUMIFS('EE Inputs'!$V$9:$V$32,'EE Inputs'!$C$9:$C$32,$G$6,'EE Inputs'!$D$9:$D$32,$C$4,'EE Inputs'!$E$9:$E$32,$B170),0)))</f>
        <v>3 Yr. total</v>
      </c>
      <c r="W170" s="65" t="str">
        <f ca="1">IF($C$4=Lookups!$D$40,IF(SUM(INDIRECT("'Yr1'!"&amp;ADDRESS(ROW(W170),COLUMN(W170))),INDIRECT("'Yr2'!"&amp;ADDRESS(ROW(W170),COLUMN(W170))),INDIRECT("'Yr3'!"&amp;ADDRESS(ROW(W170),COLUMN(W170))))&gt;0,"3 Yr. total",0),
IF(W$7&lt;$C$4,0,IF(W$8&lt;=SUMIFS('EE Inputs'!$V$9:$V$32,'EE Inputs'!$C$9:$C$32,$G$6,'EE Inputs'!$D$9:$D$32,$C$4,'EE Inputs'!$E$9:$E$32,$B170),SUMIFS('EE Inputs'!$V$9:$V$32,'EE Inputs'!$C$9:$C$32,$G$6,'EE Inputs'!$D$9:$D$32,$C$4,'EE Inputs'!$E$9:$E$32,$B170),0)))</f>
        <v>3 Yr. total</v>
      </c>
      <c r="X170" s="65" t="str">
        <f ca="1">IF($C$4=Lookups!$D$40,IF(SUM(INDIRECT("'Yr1'!"&amp;ADDRESS(ROW(X170),COLUMN(X170))),INDIRECT("'Yr2'!"&amp;ADDRESS(ROW(X170),COLUMN(X170))),INDIRECT("'Yr3'!"&amp;ADDRESS(ROW(X170),COLUMN(X170))))&gt;0,"3 Yr. total",0),
IF(X$7&lt;$C$4,0,IF(X$8&lt;=SUMIFS('EE Inputs'!$V$9:$V$32,'EE Inputs'!$C$9:$C$32,$G$6,'EE Inputs'!$D$9:$D$32,$C$4,'EE Inputs'!$E$9:$E$32,$B170),SUMIFS('EE Inputs'!$V$9:$V$32,'EE Inputs'!$C$9:$C$32,$G$6,'EE Inputs'!$D$9:$D$32,$C$4,'EE Inputs'!$E$9:$E$32,$B170),0)))</f>
        <v>3 Yr. total</v>
      </c>
      <c r="Y170" s="65">
        <f ca="1">IF($C$4=Lookups!$D$40,IF(SUM(INDIRECT("'Yr1'!"&amp;ADDRESS(ROW(Y170),COLUMN(Y170))),INDIRECT("'Yr2'!"&amp;ADDRESS(ROW(Y170),COLUMN(Y170))),INDIRECT("'Yr3'!"&amp;ADDRESS(ROW(Y170),COLUMN(Y170))))&gt;0,"3 Yr. total",0),
IF(Y$7&lt;$C$4,0,IF(Y$8&lt;=SUMIFS('EE Inputs'!$V$9:$V$32,'EE Inputs'!$C$9:$C$32,$G$6,'EE Inputs'!$D$9:$D$32,$C$4,'EE Inputs'!$E$9:$E$32,$B170),SUMIFS('EE Inputs'!$V$9:$V$32,'EE Inputs'!$C$9:$C$32,$G$6,'EE Inputs'!$D$9:$D$32,$C$4,'EE Inputs'!$E$9:$E$32,$B170),0)))</f>
        <v>0</v>
      </c>
      <c r="Z170" s="65">
        <f ca="1">IF($C$4=Lookups!$D$40,IF(SUM(INDIRECT("'Yr1'!"&amp;ADDRESS(ROW(Z170),COLUMN(Z170))),INDIRECT("'Yr2'!"&amp;ADDRESS(ROW(Z170),COLUMN(Z170))),INDIRECT("'Yr3'!"&amp;ADDRESS(ROW(Z170),COLUMN(Z170))))&gt;0,"3 Yr. total",0),
IF(Z$7&lt;$C$4,0,IF(Z$8&lt;=SUMIFS('EE Inputs'!$V$9:$V$32,'EE Inputs'!$C$9:$C$32,$G$6,'EE Inputs'!$D$9:$D$32,$C$4,'EE Inputs'!$E$9:$E$32,$B170),SUMIFS('EE Inputs'!$V$9:$V$32,'EE Inputs'!$C$9:$C$32,$G$6,'EE Inputs'!$D$9:$D$32,$C$4,'EE Inputs'!$E$9:$E$32,$B170),0)))</f>
        <v>0</v>
      </c>
      <c r="AA170" s="65">
        <f ca="1">IF($C$4=Lookups!$D$40,IF(SUM(INDIRECT("'Yr1'!"&amp;ADDRESS(ROW(AA170),COLUMN(AA170))),INDIRECT("'Yr2'!"&amp;ADDRESS(ROW(AA170),COLUMN(AA170))),INDIRECT("'Yr3'!"&amp;ADDRESS(ROW(AA170),COLUMN(AA170))))&gt;0,"3 Yr. total",0),
IF(AA$7&lt;$C$4,0,IF(AA$8&lt;=SUMIFS('EE Inputs'!$V$9:$V$32,'EE Inputs'!$C$9:$C$32,$G$6,'EE Inputs'!$D$9:$D$32,$C$4,'EE Inputs'!$E$9:$E$32,$B170),SUMIFS('EE Inputs'!$V$9:$V$32,'EE Inputs'!$C$9:$C$32,$G$6,'EE Inputs'!$D$9:$D$32,$C$4,'EE Inputs'!$E$9:$E$32,$B170),0)))</f>
        <v>0</v>
      </c>
      <c r="AB170" s="65">
        <f ca="1">IF($C$4=Lookups!$D$40,IF(SUM(INDIRECT("'Yr1'!"&amp;ADDRESS(ROW(AB170),COLUMN(AB170))),INDIRECT("'Yr2'!"&amp;ADDRESS(ROW(AB170),COLUMN(AB170))),INDIRECT("'Yr3'!"&amp;ADDRESS(ROW(AB170),COLUMN(AB170))))&gt;0,"3 Yr. total",0),
IF(AB$7&lt;$C$4,0,IF(AB$8&lt;=SUMIFS('EE Inputs'!$V$9:$V$32,'EE Inputs'!$C$9:$C$32,$G$6,'EE Inputs'!$D$9:$D$32,$C$4,'EE Inputs'!$E$9:$E$32,$B170),SUMIFS('EE Inputs'!$V$9:$V$32,'EE Inputs'!$C$9:$C$32,$G$6,'EE Inputs'!$D$9:$D$32,$C$4,'EE Inputs'!$E$9:$E$32,$B170),0)))</f>
        <v>0</v>
      </c>
      <c r="AC170" s="65">
        <f ca="1">IF($C$4=Lookups!$D$40,IF(SUM(INDIRECT("'Yr1'!"&amp;ADDRESS(ROW(AC170),COLUMN(AC170))),INDIRECT("'Yr2'!"&amp;ADDRESS(ROW(AC170),COLUMN(AC170))),INDIRECT("'Yr3'!"&amp;ADDRESS(ROW(AC170),COLUMN(AC170))))&gt;0,"3 Yr. total",0),
IF(AC$7&lt;$C$4,0,IF(AC$8&lt;=SUMIFS('EE Inputs'!$V$9:$V$32,'EE Inputs'!$C$9:$C$32,$G$6,'EE Inputs'!$D$9:$D$32,$C$4,'EE Inputs'!$E$9:$E$32,$B170),SUMIFS('EE Inputs'!$V$9:$V$32,'EE Inputs'!$C$9:$C$32,$G$6,'EE Inputs'!$D$9:$D$32,$C$4,'EE Inputs'!$E$9:$E$32,$B170),0)))</f>
        <v>0</v>
      </c>
      <c r="AD170" s="65">
        <f ca="1">IF($C$4=Lookups!$D$40,IF(SUM(INDIRECT("'Yr1'!"&amp;ADDRESS(ROW(AD170),COLUMN(AD170))),INDIRECT("'Yr2'!"&amp;ADDRESS(ROW(AD170),COLUMN(AD170))),INDIRECT("'Yr3'!"&amp;ADDRESS(ROW(AD170),COLUMN(AD170))))&gt;0,"3 Yr. total",0),
IF(AD$7&lt;$C$4,0,IF(AD$8&lt;=SUMIFS('EE Inputs'!$V$9:$V$32,'EE Inputs'!$C$9:$C$32,$G$6,'EE Inputs'!$D$9:$D$32,$C$4,'EE Inputs'!$E$9:$E$32,$B170),SUMIFS('EE Inputs'!$V$9:$V$32,'EE Inputs'!$C$9:$C$32,$G$6,'EE Inputs'!$D$9:$D$32,$C$4,'EE Inputs'!$E$9:$E$32,$B170),0)))</f>
        <v>0</v>
      </c>
      <c r="AE170" s="65">
        <f ca="1">IF($C$4=Lookups!$D$40,IF(SUM(INDIRECT("'Yr1'!"&amp;ADDRESS(ROW(AE170),COLUMN(AE170))),INDIRECT("'Yr2'!"&amp;ADDRESS(ROW(AE170),COLUMN(AE170))),INDIRECT("'Yr3'!"&amp;ADDRESS(ROW(AE170),COLUMN(AE170))))&gt;0,"3 Yr. total",0),
IF(AE$7&lt;$C$4,0,IF(AE$8&lt;=SUMIFS('EE Inputs'!$V$9:$V$32,'EE Inputs'!$C$9:$C$32,$G$6,'EE Inputs'!$D$9:$D$32,$C$4,'EE Inputs'!$E$9:$E$32,$B170),SUMIFS('EE Inputs'!$V$9:$V$32,'EE Inputs'!$C$9:$C$32,$G$6,'EE Inputs'!$D$9:$D$32,$C$4,'EE Inputs'!$E$9:$E$32,$B170),0)))</f>
        <v>0</v>
      </c>
      <c r="AF170" s="65">
        <f ca="1">IF($C$4=Lookups!$D$40,IF(SUM(INDIRECT("'Yr1'!"&amp;ADDRESS(ROW(AF170),COLUMN(AF170))),INDIRECT("'Yr2'!"&amp;ADDRESS(ROW(AF170),COLUMN(AF170))),INDIRECT("'Yr3'!"&amp;ADDRESS(ROW(AF170),COLUMN(AF170))))&gt;0,"3 Yr. total",0),
IF(AF$7&lt;$C$4,0,IF(AF$8&lt;=SUMIFS('EE Inputs'!$V$9:$V$32,'EE Inputs'!$C$9:$C$32,$G$6,'EE Inputs'!$D$9:$D$32,$C$4,'EE Inputs'!$E$9:$E$32,$B170),SUMIFS('EE Inputs'!$V$9:$V$32,'EE Inputs'!$C$9:$C$32,$G$6,'EE Inputs'!$D$9:$D$32,$C$4,'EE Inputs'!$E$9:$E$32,$B170),0)))</f>
        <v>0</v>
      </c>
      <c r="AG170" s="65">
        <f ca="1">IF($C$4=Lookups!$D$40,IF(SUM(INDIRECT("'Yr1'!"&amp;ADDRESS(ROW(AG170),COLUMN(AG170))),INDIRECT("'Yr2'!"&amp;ADDRESS(ROW(AG170),COLUMN(AG170))),INDIRECT("'Yr3'!"&amp;ADDRESS(ROW(AG170),COLUMN(AG170))))&gt;0,"3 Yr. total",0),
IF(AG$7&lt;$C$4,0,IF(AG$8&lt;=SUMIFS('EE Inputs'!$V$9:$V$32,'EE Inputs'!$C$9:$C$32,$G$6,'EE Inputs'!$D$9:$D$32,$C$4,'EE Inputs'!$E$9:$E$32,$B170),SUMIFS('EE Inputs'!$V$9:$V$32,'EE Inputs'!$C$9:$C$32,$G$6,'EE Inputs'!$D$9:$D$32,$C$4,'EE Inputs'!$E$9:$E$32,$B170),0)))</f>
        <v>0</v>
      </c>
      <c r="AH170" s="65"/>
      <c r="AI170" s="65"/>
      <c r="AJ170" s="65"/>
      <c r="AM170" s="72" t="str">
        <f ca="1">IF($C$4=Lookups!$D$40,IF(SUM(INDIRECT("'Yr1'!"&amp;ADDRESS(ROW(AM170),COLUMN(AM170))),INDIRECT("'Yr2'!"&amp;ADDRESS(ROW(AM170),COLUMN(AM170))),INDIRECT("'Yr3'!"&amp;ADDRESS(ROW(AM170),COLUMN(AM170))))&gt;0,"3 Yr. total",0),
IF(AM$7&lt;$C$4,0,IF(AM$8&lt;=SUMIFS('EE Inputs'!$V$9:$V$32,'EE Inputs'!$C$9:$C$32,$AM$6,'EE Inputs'!$D$9:$D$32,$C$4,'EE Inputs'!$E$9:$E$32,$B170),SUMIFS('EE Inputs'!$V$9:$V$32,'EE Inputs'!$C$9:$C$32,$AM$6,'EE Inputs'!$D$9:$D$32,$C$4,'EE Inputs'!$E$9:$E$32,$B170),0)))</f>
        <v>3 Yr. total</v>
      </c>
      <c r="AN170" s="72" t="str">
        <f ca="1">IF($C$4=Lookups!$D$40,IF(SUM(INDIRECT("'Yr1'!"&amp;ADDRESS(ROW(AN170),COLUMN(AN170))),INDIRECT("'Yr2'!"&amp;ADDRESS(ROW(AN170),COLUMN(AN170))),INDIRECT("'Yr3'!"&amp;ADDRESS(ROW(AN170),COLUMN(AN170))))&gt;0,"3 Yr. total",0),
IF(AN$7&lt;$C$4,0,IF(AN$8&lt;=SUMIFS('EE Inputs'!$V$9:$V$32,'EE Inputs'!$C$9:$C$32,$AM$6,'EE Inputs'!$D$9:$D$32,$C$4,'EE Inputs'!$E$9:$E$32,$B170),SUMIFS('EE Inputs'!$V$9:$V$32,'EE Inputs'!$C$9:$C$32,$AM$6,'EE Inputs'!$D$9:$D$32,$C$4,'EE Inputs'!$E$9:$E$32,$B170),0)))</f>
        <v>3 Yr. total</v>
      </c>
      <c r="AO170" s="72" t="str">
        <f ca="1">IF($C$4=Lookups!$D$40,IF(SUM(INDIRECT("'Yr1'!"&amp;ADDRESS(ROW(AO170),COLUMN(AO170))),INDIRECT("'Yr2'!"&amp;ADDRESS(ROW(AO170),COLUMN(AO170))),INDIRECT("'Yr3'!"&amp;ADDRESS(ROW(AO170),COLUMN(AO170))))&gt;0,"3 Yr. total",0),
IF(AO$7&lt;$C$4,0,IF(AO$8&lt;=SUMIFS('EE Inputs'!$V$9:$V$32,'EE Inputs'!$C$9:$C$32,$AM$6,'EE Inputs'!$D$9:$D$32,$C$4,'EE Inputs'!$E$9:$E$32,$B170),SUMIFS('EE Inputs'!$V$9:$V$32,'EE Inputs'!$C$9:$C$32,$AM$6,'EE Inputs'!$D$9:$D$32,$C$4,'EE Inputs'!$E$9:$E$32,$B170),0)))</f>
        <v>3 Yr. total</v>
      </c>
      <c r="AP170" s="72" t="str">
        <f ca="1">IF($C$4=Lookups!$D$40,IF(SUM(INDIRECT("'Yr1'!"&amp;ADDRESS(ROW(AP170),COLUMN(AP170))),INDIRECT("'Yr2'!"&amp;ADDRESS(ROW(AP170),COLUMN(AP170))),INDIRECT("'Yr3'!"&amp;ADDRESS(ROW(AP170),COLUMN(AP170))))&gt;0,"3 Yr. total",0),
IF(AP$7&lt;$C$4,0,IF(AP$8&lt;=SUMIFS('EE Inputs'!$V$9:$V$32,'EE Inputs'!$C$9:$C$32,$AM$6,'EE Inputs'!$D$9:$D$32,$C$4,'EE Inputs'!$E$9:$E$32,$B170),SUMIFS('EE Inputs'!$V$9:$V$32,'EE Inputs'!$C$9:$C$32,$AM$6,'EE Inputs'!$D$9:$D$32,$C$4,'EE Inputs'!$E$9:$E$32,$B170),0)))</f>
        <v>3 Yr. total</v>
      </c>
      <c r="AQ170" s="72" t="str">
        <f ca="1">IF($C$4=Lookups!$D$40,IF(SUM(INDIRECT("'Yr1'!"&amp;ADDRESS(ROW(AQ170),COLUMN(AQ170))),INDIRECT("'Yr2'!"&amp;ADDRESS(ROW(AQ170),COLUMN(AQ170))),INDIRECT("'Yr3'!"&amp;ADDRESS(ROW(AQ170),COLUMN(AQ170))))&gt;0,"3 Yr. total",0),
IF(AQ$7&lt;$C$4,0,IF(AQ$8&lt;=SUMIFS('EE Inputs'!$V$9:$V$32,'EE Inputs'!$C$9:$C$32,$AM$6,'EE Inputs'!$D$9:$D$32,$C$4,'EE Inputs'!$E$9:$E$32,$B170),SUMIFS('EE Inputs'!$V$9:$V$32,'EE Inputs'!$C$9:$C$32,$AM$6,'EE Inputs'!$D$9:$D$32,$C$4,'EE Inputs'!$E$9:$E$32,$B170),0)))</f>
        <v>3 Yr. total</v>
      </c>
      <c r="AR170" s="72" t="str">
        <f ca="1">IF($C$4=Lookups!$D$40,IF(SUM(INDIRECT("'Yr1'!"&amp;ADDRESS(ROW(AR170),COLUMN(AR170))),INDIRECT("'Yr2'!"&amp;ADDRESS(ROW(AR170),COLUMN(AR170))),INDIRECT("'Yr3'!"&amp;ADDRESS(ROW(AR170),COLUMN(AR170))))&gt;0,"3 Yr. total",0),
IF(AR$7&lt;$C$4,0,IF(AR$8&lt;=SUMIFS('EE Inputs'!$V$9:$V$32,'EE Inputs'!$C$9:$C$32,$AM$6,'EE Inputs'!$D$9:$D$32,$C$4,'EE Inputs'!$E$9:$E$32,$B170),SUMIFS('EE Inputs'!$V$9:$V$32,'EE Inputs'!$C$9:$C$32,$AM$6,'EE Inputs'!$D$9:$D$32,$C$4,'EE Inputs'!$E$9:$E$32,$B170),0)))</f>
        <v>3 Yr. total</v>
      </c>
      <c r="AS170" s="72" t="str">
        <f ca="1">IF($C$4=Lookups!$D$40,IF(SUM(INDIRECT("'Yr1'!"&amp;ADDRESS(ROW(AS170),COLUMN(AS170))),INDIRECT("'Yr2'!"&amp;ADDRESS(ROW(AS170),COLUMN(AS170))),INDIRECT("'Yr3'!"&amp;ADDRESS(ROW(AS170),COLUMN(AS170))))&gt;0,"3 Yr. total",0),
IF(AS$7&lt;$C$4,0,IF(AS$8&lt;=SUMIFS('EE Inputs'!$V$9:$V$32,'EE Inputs'!$C$9:$C$32,$AM$6,'EE Inputs'!$D$9:$D$32,$C$4,'EE Inputs'!$E$9:$E$32,$B170),SUMIFS('EE Inputs'!$V$9:$V$32,'EE Inputs'!$C$9:$C$32,$AM$6,'EE Inputs'!$D$9:$D$32,$C$4,'EE Inputs'!$E$9:$E$32,$B170),0)))</f>
        <v>3 Yr. total</v>
      </c>
      <c r="AT170" s="72" t="str">
        <f ca="1">IF($C$4=Lookups!$D$40,IF(SUM(INDIRECT("'Yr1'!"&amp;ADDRESS(ROW(AT170),COLUMN(AT170))),INDIRECT("'Yr2'!"&amp;ADDRESS(ROW(AT170),COLUMN(AT170))),INDIRECT("'Yr3'!"&amp;ADDRESS(ROW(AT170),COLUMN(AT170))))&gt;0,"3 Yr. total",0),
IF(AT$7&lt;$C$4,0,IF(AT$8&lt;=SUMIFS('EE Inputs'!$V$9:$V$32,'EE Inputs'!$C$9:$C$32,$AM$6,'EE Inputs'!$D$9:$D$32,$C$4,'EE Inputs'!$E$9:$E$32,$B170),SUMIFS('EE Inputs'!$V$9:$V$32,'EE Inputs'!$C$9:$C$32,$AM$6,'EE Inputs'!$D$9:$D$32,$C$4,'EE Inputs'!$E$9:$E$32,$B170),0)))</f>
        <v>3 Yr. total</v>
      </c>
      <c r="AU170" s="72" t="str">
        <f ca="1">IF($C$4=Lookups!$D$40,IF(SUM(INDIRECT("'Yr1'!"&amp;ADDRESS(ROW(AU170),COLUMN(AU170))),INDIRECT("'Yr2'!"&amp;ADDRESS(ROW(AU170),COLUMN(AU170))),INDIRECT("'Yr3'!"&amp;ADDRESS(ROW(AU170),COLUMN(AU170))))&gt;0,"3 Yr. total",0),
IF(AU$7&lt;$C$4,0,IF(AU$8&lt;=SUMIFS('EE Inputs'!$V$9:$V$32,'EE Inputs'!$C$9:$C$32,$AM$6,'EE Inputs'!$D$9:$D$32,$C$4,'EE Inputs'!$E$9:$E$32,$B170),SUMIFS('EE Inputs'!$V$9:$V$32,'EE Inputs'!$C$9:$C$32,$AM$6,'EE Inputs'!$D$9:$D$32,$C$4,'EE Inputs'!$E$9:$E$32,$B170),0)))</f>
        <v>3 Yr. total</v>
      </c>
      <c r="AV170" s="72" t="str">
        <f ca="1">IF($C$4=Lookups!$D$40,IF(SUM(INDIRECT("'Yr1'!"&amp;ADDRESS(ROW(AV170),COLUMN(AV170))),INDIRECT("'Yr2'!"&amp;ADDRESS(ROW(AV170),COLUMN(AV170))),INDIRECT("'Yr3'!"&amp;ADDRESS(ROW(AV170),COLUMN(AV170))))&gt;0,"3 Yr. total",0),
IF(AV$7&lt;$C$4,0,IF(AV$8&lt;=SUMIFS('EE Inputs'!$V$9:$V$32,'EE Inputs'!$C$9:$C$32,$AM$6,'EE Inputs'!$D$9:$D$32,$C$4,'EE Inputs'!$E$9:$E$32,$B170),SUMIFS('EE Inputs'!$V$9:$V$32,'EE Inputs'!$C$9:$C$32,$AM$6,'EE Inputs'!$D$9:$D$32,$C$4,'EE Inputs'!$E$9:$E$32,$B170),0)))</f>
        <v>3 Yr. total</v>
      </c>
      <c r="AW170" s="72" t="str">
        <f ca="1">IF($C$4=Lookups!$D$40,IF(SUM(INDIRECT("'Yr1'!"&amp;ADDRESS(ROW(AW170),COLUMN(AW170))),INDIRECT("'Yr2'!"&amp;ADDRESS(ROW(AW170),COLUMN(AW170))),INDIRECT("'Yr3'!"&amp;ADDRESS(ROW(AW170),COLUMN(AW170))))&gt;0,"3 Yr. total",0),
IF(AW$7&lt;$C$4,0,IF(AW$8&lt;=SUMIFS('EE Inputs'!$V$9:$V$32,'EE Inputs'!$C$9:$C$32,$AM$6,'EE Inputs'!$D$9:$D$32,$C$4,'EE Inputs'!$E$9:$E$32,$B170),SUMIFS('EE Inputs'!$V$9:$V$32,'EE Inputs'!$C$9:$C$32,$AM$6,'EE Inputs'!$D$9:$D$32,$C$4,'EE Inputs'!$E$9:$E$32,$B170),0)))</f>
        <v>3 Yr. total</v>
      </c>
      <c r="AX170" s="72" t="str">
        <f ca="1">IF($C$4=Lookups!$D$40,IF(SUM(INDIRECT("'Yr1'!"&amp;ADDRESS(ROW(AX170),COLUMN(AX170))),INDIRECT("'Yr2'!"&amp;ADDRESS(ROW(AX170),COLUMN(AX170))),INDIRECT("'Yr3'!"&amp;ADDRESS(ROW(AX170),COLUMN(AX170))))&gt;0,"3 Yr. total",0),
IF(AX$7&lt;$C$4,0,IF(AX$8&lt;=SUMIFS('EE Inputs'!$V$9:$V$32,'EE Inputs'!$C$9:$C$32,$AM$6,'EE Inputs'!$D$9:$D$32,$C$4,'EE Inputs'!$E$9:$E$32,$B170),SUMIFS('EE Inputs'!$V$9:$V$32,'EE Inputs'!$C$9:$C$32,$AM$6,'EE Inputs'!$D$9:$D$32,$C$4,'EE Inputs'!$E$9:$E$32,$B170),0)))</f>
        <v>3 Yr. total</v>
      </c>
      <c r="AY170" s="72" t="str">
        <f ca="1">IF($C$4=Lookups!$D$40,IF(SUM(INDIRECT("'Yr1'!"&amp;ADDRESS(ROW(AY170),COLUMN(AY170))),INDIRECT("'Yr2'!"&amp;ADDRESS(ROW(AY170),COLUMN(AY170))),INDIRECT("'Yr3'!"&amp;ADDRESS(ROW(AY170),COLUMN(AY170))))&gt;0,"3 Yr. total",0),
IF(AY$7&lt;$C$4,0,IF(AY$8&lt;=SUMIFS('EE Inputs'!$V$9:$V$32,'EE Inputs'!$C$9:$C$32,$AM$6,'EE Inputs'!$D$9:$D$32,$C$4,'EE Inputs'!$E$9:$E$32,$B170),SUMIFS('EE Inputs'!$V$9:$V$32,'EE Inputs'!$C$9:$C$32,$AM$6,'EE Inputs'!$D$9:$D$32,$C$4,'EE Inputs'!$E$9:$E$32,$B170),0)))</f>
        <v>3 Yr. total</v>
      </c>
      <c r="AZ170" s="72" t="str">
        <f ca="1">IF($C$4=Lookups!$D$40,IF(SUM(INDIRECT("'Yr1'!"&amp;ADDRESS(ROW(AZ170),COLUMN(AZ170))),INDIRECT("'Yr2'!"&amp;ADDRESS(ROW(AZ170),COLUMN(AZ170))),INDIRECT("'Yr3'!"&amp;ADDRESS(ROW(AZ170),COLUMN(AZ170))))&gt;0,"3 Yr. total",0),
IF(AZ$7&lt;$C$4,0,IF(AZ$8&lt;=SUMIFS('EE Inputs'!$V$9:$V$32,'EE Inputs'!$C$9:$C$32,$AM$6,'EE Inputs'!$D$9:$D$32,$C$4,'EE Inputs'!$E$9:$E$32,$B170),SUMIFS('EE Inputs'!$V$9:$V$32,'EE Inputs'!$C$9:$C$32,$AM$6,'EE Inputs'!$D$9:$D$32,$C$4,'EE Inputs'!$E$9:$E$32,$B170),0)))</f>
        <v>3 Yr. total</v>
      </c>
      <c r="BA170" s="72" t="str">
        <f ca="1">IF($C$4=Lookups!$D$40,IF(SUM(INDIRECT("'Yr1'!"&amp;ADDRESS(ROW(BA170),COLUMN(BA170))),INDIRECT("'Yr2'!"&amp;ADDRESS(ROW(BA170),COLUMN(BA170))),INDIRECT("'Yr3'!"&amp;ADDRESS(ROW(BA170),COLUMN(BA170))))&gt;0,"3 Yr. total",0),
IF(BA$7&lt;$C$4,0,IF(BA$8&lt;=SUMIFS('EE Inputs'!$V$9:$V$32,'EE Inputs'!$C$9:$C$32,$AM$6,'EE Inputs'!$D$9:$D$32,$C$4,'EE Inputs'!$E$9:$E$32,$B170),SUMIFS('EE Inputs'!$V$9:$V$32,'EE Inputs'!$C$9:$C$32,$AM$6,'EE Inputs'!$D$9:$D$32,$C$4,'EE Inputs'!$E$9:$E$32,$B170),0)))</f>
        <v>3 Yr. total</v>
      </c>
      <c r="BB170" s="72" t="str">
        <f ca="1">IF($C$4=Lookups!$D$40,IF(SUM(INDIRECT("'Yr1'!"&amp;ADDRESS(ROW(BB170),COLUMN(BB170))),INDIRECT("'Yr2'!"&amp;ADDRESS(ROW(BB170),COLUMN(BB170))),INDIRECT("'Yr3'!"&amp;ADDRESS(ROW(BB170),COLUMN(BB170))))&gt;0,"3 Yr. total",0),
IF(BB$7&lt;$C$4,0,IF(BB$8&lt;=SUMIFS('EE Inputs'!$V$9:$V$32,'EE Inputs'!$C$9:$C$32,$AM$6,'EE Inputs'!$D$9:$D$32,$C$4,'EE Inputs'!$E$9:$E$32,$B170),SUMIFS('EE Inputs'!$V$9:$V$32,'EE Inputs'!$C$9:$C$32,$AM$6,'EE Inputs'!$D$9:$D$32,$C$4,'EE Inputs'!$E$9:$E$32,$B170),0)))</f>
        <v>3 Yr. total</v>
      </c>
      <c r="BC170" s="72" t="str">
        <f ca="1">IF($C$4=Lookups!$D$40,IF(SUM(INDIRECT("'Yr1'!"&amp;ADDRESS(ROW(BC170),COLUMN(BC170))),INDIRECT("'Yr2'!"&amp;ADDRESS(ROW(BC170),COLUMN(BC170))),INDIRECT("'Yr3'!"&amp;ADDRESS(ROW(BC170),COLUMN(BC170))))&gt;0,"3 Yr. total",0),
IF(BC$7&lt;$C$4,0,IF(BC$8&lt;=SUMIFS('EE Inputs'!$V$9:$V$32,'EE Inputs'!$C$9:$C$32,$AM$6,'EE Inputs'!$D$9:$D$32,$C$4,'EE Inputs'!$E$9:$E$32,$B170),SUMIFS('EE Inputs'!$V$9:$V$32,'EE Inputs'!$C$9:$C$32,$AM$6,'EE Inputs'!$D$9:$D$32,$C$4,'EE Inputs'!$E$9:$E$32,$B170),0)))</f>
        <v>3 Yr. total</v>
      </c>
      <c r="BD170" s="72" t="str">
        <f ca="1">IF($C$4=Lookups!$D$40,IF(SUM(INDIRECT("'Yr1'!"&amp;ADDRESS(ROW(BD170),COLUMN(BD170))),INDIRECT("'Yr2'!"&amp;ADDRESS(ROW(BD170),COLUMN(BD170))),INDIRECT("'Yr3'!"&amp;ADDRESS(ROW(BD170),COLUMN(BD170))))&gt;0,"3 Yr. total",0),
IF(BD$7&lt;$C$4,0,IF(BD$8&lt;=SUMIFS('EE Inputs'!$V$9:$V$32,'EE Inputs'!$C$9:$C$32,$AM$6,'EE Inputs'!$D$9:$D$32,$C$4,'EE Inputs'!$E$9:$E$32,$B170),SUMIFS('EE Inputs'!$V$9:$V$32,'EE Inputs'!$C$9:$C$32,$AM$6,'EE Inputs'!$D$9:$D$32,$C$4,'EE Inputs'!$E$9:$E$32,$B170),0)))</f>
        <v>3 Yr. total</v>
      </c>
      <c r="BE170" s="72">
        <f ca="1">IF($C$4=Lookups!$D$40,IF(SUM(INDIRECT("'Yr1'!"&amp;ADDRESS(ROW(BE170),COLUMN(BE170))),INDIRECT("'Yr2'!"&amp;ADDRESS(ROW(BE170),COLUMN(BE170))),INDIRECT("'Yr3'!"&amp;ADDRESS(ROW(BE170),COLUMN(BE170))))&gt;0,"3 Yr. total",0),
IF(BE$7&lt;$C$4,0,IF(BE$8&lt;=SUMIFS('EE Inputs'!$V$9:$V$32,'EE Inputs'!$C$9:$C$32,$AM$6,'EE Inputs'!$D$9:$D$32,$C$4,'EE Inputs'!$E$9:$E$32,$B170),SUMIFS('EE Inputs'!$V$9:$V$32,'EE Inputs'!$C$9:$C$32,$AM$6,'EE Inputs'!$D$9:$D$32,$C$4,'EE Inputs'!$E$9:$E$32,$B170),0)))</f>
        <v>0</v>
      </c>
      <c r="BF170" s="72">
        <f ca="1">IF($C$4=Lookups!$D$40,IF(SUM(INDIRECT("'Yr1'!"&amp;ADDRESS(ROW(BF170),COLUMN(BF170))),INDIRECT("'Yr2'!"&amp;ADDRESS(ROW(BF170),COLUMN(BF170))),INDIRECT("'Yr3'!"&amp;ADDRESS(ROW(BF170),COLUMN(BF170))))&gt;0,"3 Yr. total",0),
IF(BF$7&lt;$C$4,0,IF(BF$8&lt;=SUMIFS('EE Inputs'!$V$9:$V$32,'EE Inputs'!$C$9:$C$32,$AM$6,'EE Inputs'!$D$9:$D$32,$C$4,'EE Inputs'!$E$9:$E$32,$B170),SUMIFS('EE Inputs'!$V$9:$V$32,'EE Inputs'!$C$9:$C$32,$AM$6,'EE Inputs'!$D$9:$D$32,$C$4,'EE Inputs'!$E$9:$E$32,$B170),0)))</f>
        <v>0</v>
      </c>
      <c r="BG170" s="72">
        <f ca="1">IF($C$4=Lookups!$D$40,IF(SUM(INDIRECT("'Yr1'!"&amp;ADDRESS(ROW(BG170),COLUMN(BG170))),INDIRECT("'Yr2'!"&amp;ADDRESS(ROW(BG170),COLUMN(BG170))),INDIRECT("'Yr3'!"&amp;ADDRESS(ROW(BG170),COLUMN(BG170))))&gt;0,"3 Yr. total",0),
IF(BG$7&lt;$C$4,0,IF(BG$8&lt;=SUMIFS('EE Inputs'!$V$9:$V$32,'EE Inputs'!$C$9:$C$32,$AM$6,'EE Inputs'!$D$9:$D$32,$C$4,'EE Inputs'!$E$9:$E$32,$B170),SUMIFS('EE Inputs'!$V$9:$V$32,'EE Inputs'!$C$9:$C$32,$AM$6,'EE Inputs'!$D$9:$D$32,$C$4,'EE Inputs'!$E$9:$E$32,$B170),0)))</f>
        <v>0</v>
      </c>
      <c r="BH170" s="72">
        <f ca="1">IF($C$4=Lookups!$D$40,IF(SUM(INDIRECT("'Yr1'!"&amp;ADDRESS(ROW(BH170),COLUMN(BH170))),INDIRECT("'Yr2'!"&amp;ADDRESS(ROW(BH170),COLUMN(BH170))),INDIRECT("'Yr3'!"&amp;ADDRESS(ROW(BH170),COLUMN(BH170))))&gt;0,"3 Yr. total",0),
IF(BH$7&lt;$C$4,0,IF(BH$8&lt;=SUMIFS('EE Inputs'!$V$9:$V$32,'EE Inputs'!$C$9:$C$32,$AM$6,'EE Inputs'!$D$9:$D$32,$C$4,'EE Inputs'!$E$9:$E$32,$B170),SUMIFS('EE Inputs'!$V$9:$V$32,'EE Inputs'!$C$9:$C$32,$AM$6,'EE Inputs'!$D$9:$D$32,$C$4,'EE Inputs'!$E$9:$E$32,$B170),0)))</f>
        <v>0</v>
      </c>
      <c r="BI170" s="72">
        <f ca="1">IF($C$4=Lookups!$D$40,IF(SUM(INDIRECT("'Yr1'!"&amp;ADDRESS(ROW(BI170),COLUMN(BI170))),INDIRECT("'Yr2'!"&amp;ADDRESS(ROW(BI170),COLUMN(BI170))),INDIRECT("'Yr3'!"&amp;ADDRESS(ROW(BI170),COLUMN(BI170))))&gt;0,"3 Yr. total",0),
IF(BI$7&lt;$C$4,0,IF(BI$8&lt;=SUMIFS('EE Inputs'!$V$9:$V$32,'EE Inputs'!$C$9:$C$32,$AM$6,'EE Inputs'!$D$9:$D$32,$C$4,'EE Inputs'!$E$9:$E$32,$B170),SUMIFS('EE Inputs'!$V$9:$V$32,'EE Inputs'!$C$9:$C$32,$AM$6,'EE Inputs'!$D$9:$D$32,$C$4,'EE Inputs'!$E$9:$E$32,$B170),0)))</f>
        <v>0</v>
      </c>
      <c r="BJ170" s="72">
        <f ca="1">IF($C$4=Lookups!$D$40,IF(SUM(INDIRECT("'Yr1'!"&amp;ADDRESS(ROW(BJ170),COLUMN(BJ170))),INDIRECT("'Yr2'!"&amp;ADDRESS(ROW(BJ170),COLUMN(BJ170))),INDIRECT("'Yr3'!"&amp;ADDRESS(ROW(BJ170),COLUMN(BJ170))))&gt;0,"3 Yr. total",0),
IF(BJ$7&lt;$C$4,0,IF(BJ$8&lt;=SUMIFS('EE Inputs'!$V$9:$V$32,'EE Inputs'!$C$9:$C$32,$AM$6,'EE Inputs'!$D$9:$D$32,$C$4,'EE Inputs'!$E$9:$E$32,$B170),SUMIFS('EE Inputs'!$V$9:$V$32,'EE Inputs'!$C$9:$C$32,$AM$6,'EE Inputs'!$D$9:$D$32,$C$4,'EE Inputs'!$E$9:$E$32,$B170),0)))</f>
        <v>0</v>
      </c>
      <c r="BK170" s="72">
        <f ca="1">IF($C$4=Lookups!$D$40,IF(SUM(INDIRECT("'Yr1'!"&amp;ADDRESS(ROW(BK170),COLUMN(BK170))),INDIRECT("'Yr2'!"&amp;ADDRESS(ROW(BK170),COLUMN(BK170))),INDIRECT("'Yr3'!"&amp;ADDRESS(ROW(BK170),COLUMN(BK170))))&gt;0,"3 Yr. total",0),
IF(BK$7&lt;$C$4,0,IF(BK$8&lt;=SUMIFS('EE Inputs'!$V$9:$V$32,'EE Inputs'!$C$9:$C$32,$AM$6,'EE Inputs'!$D$9:$D$32,$C$4,'EE Inputs'!$E$9:$E$32,$B170),SUMIFS('EE Inputs'!$V$9:$V$32,'EE Inputs'!$C$9:$C$32,$AM$6,'EE Inputs'!$D$9:$D$32,$C$4,'EE Inputs'!$E$9:$E$32,$B170),0)))</f>
        <v>0</v>
      </c>
      <c r="BL170" s="72">
        <f ca="1">IF($C$4=Lookups!$D$40,IF(SUM(INDIRECT("'Yr1'!"&amp;ADDRESS(ROW(BL170),COLUMN(BL170))),INDIRECT("'Yr2'!"&amp;ADDRESS(ROW(BL170),COLUMN(BL170))),INDIRECT("'Yr3'!"&amp;ADDRESS(ROW(BL170),COLUMN(BL170))))&gt;0,"3 Yr. total",0),
IF(BL$7&lt;$C$4,0,IF(BL$8&lt;=SUMIFS('EE Inputs'!$V$9:$V$32,'EE Inputs'!$C$9:$C$32,$AM$6,'EE Inputs'!$D$9:$D$32,$C$4,'EE Inputs'!$E$9:$E$32,$B170),SUMIFS('EE Inputs'!$V$9:$V$32,'EE Inputs'!$C$9:$C$32,$AM$6,'EE Inputs'!$D$9:$D$32,$C$4,'EE Inputs'!$E$9:$E$32,$B170),0)))</f>
        <v>0</v>
      </c>
      <c r="BM170" s="72">
        <f ca="1">IF($C$4=Lookups!$D$40,IF(SUM(INDIRECT("'Yr1'!"&amp;ADDRESS(ROW(BM170),COLUMN(BM170))),INDIRECT("'Yr2'!"&amp;ADDRESS(ROW(BM170),COLUMN(BM170))),INDIRECT("'Yr3'!"&amp;ADDRESS(ROW(BM170),COLUMN(BM170))))&gt;0,"3 Yr. total",0),
IF(BM$7&lt;$C$4,0,IF(BM$8&lt;=SUMIFS('EE Inputs'!$V$9:$V$32,'EE Inputs'!$C$9:$C$32,$AM$6,'EE Inputs'!$D$9:$D$32,$C$4,'EE Inputs'!$E$9:$E$32,$B170),SUMIFS('EE Inputs'!$V$9:$V$32,'EE Inputs'!$C$9:$C$32,$AM$6,'EE Inputs'!$D$9:$D$32,$C$4,'EE Inputs'!$E$9:$E$32,$B170),0)))</f>
        <v>0</v>
      </c>
      <c r="BN170" s="72"/>
      <c r="BO170" s="72"/>
      <c r="BP170" s="72"/>
      <c r="BS170" s="76" t="s">
        <v>90</v>
      </c>
      <c r="BT170" s="51" t="s">
        <v>17</v>
      </c>
    </row>
    <row r="171" spans="1:72" s="5" customFormat="1" x14ac:dyDescent="0.25">
      <c r="A171" s="52"/>
      <c r="B171" s="242" t="str">
        <f t="shared" si="179"/>
        <v>Small C&amp;I</v>
      </c>
      <c r="C171" s="242" t="str">
        <f>C170</f>
        <v>Customers</v>
      </c>
      <c r="D171" s="77" t="s">
        <v>17</v>
      </c>
      <c r="E171" s="76"/>
      <c r="F171" s="76"/>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S171" s="76"/>
      <c r="BT171" s="51" t="s">
        <v>17</v>
      </c>
    </row>
    <row r="172" spans="1:72" s="5" customFormat="1" ht="15.75" x14ac:dyDescent="0.25">
      <c r="A172" s="52"/>
      <c r="B172" s="241" t="str">
        <f t="shared" si="179"/>
        <v>Small C&amp;I</v>
      </c>
      <c r="C172" s="63" t="s">
        <v>4</v>
      </c>
      <c r="D172" s="61"/>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2"/>
      <c r="BO172" s="62"/>
      <c r="BP172" s="62"/>
      <c r="BS172" s="62"/>
      <c r="BT172" s="51" t="s">
        <v>17</v>
      </c>
    </row>
    <row r="173" spans="1:72" x14ac:dyDescent="0.25">
      <c r="B173" s="243" t="str">
        <f t="shared" si="179"/>
        <v>Small C&amp;I</v>
      </c>
      <c r="C173" s="243" t="str">
        <f>C172</f>
        <v>Sales</v>
      </c>
      <c r="D173" s="244" t="str">
        <f>"Sales before DSM ("&amp;Lookups!$D$22&amp;" Scenario)"</f>
        <v>Sales before DSM (No EE Scenario)</v>
      </c>
      <c r="E173" s="85" t="str">
        <f>"Sales before DSM ("&amp;Lookups!$D$22&amp;" Scenario)"</f>
        <v>Sales before DSM (No EE Scenario)</v>
      </c>
      <c r="F173" s="84" t="s">
        <v>195</v>
      </c>
      <c r="G173" s="64">
        <f>IF(G$8=0,0,INDEX('Multi-Year Inputs'!$E$41:$AE$44,MATCH($B173,'Multi-Year Inputs'!$D$41:$D$44,0),MATCH(G$7,'Multi-Year Inputs'!$E$4:$AE$4,0)))</f>
        <v>21353625.848446414</v>
      </c>
      <c r="H173" s="64">
        <f>IF(H$8=0,0,INDEX('Multi-Year Inputs'!$E$41:$AE$44,MATCH($B173,'Multi-Year Inputs'!$D$41:$D$44,0),MATCH(H$7,'Multi-Year Inputs'!$E$4:$AE$4,0)))</f>
        <v>21353625.848446414</v>
      </c>
      <c r="I173" s="64">
        <f>IF(I$8=0,0,INDEX('Multi-Year Inputs'!$E$41:$AE$44,MATCH($B173,'Multi-Year Inputs'!$D$41:$D$44,0),MATCH(I$7,'Multi-Year Inputs'!$E$4:$AE$4,0)))</f>
        <v>21353625.848446414</v>
      </c>
      <c r="J173" s="64">
        <f>IF(J$8=0,0,INDEX('Multi-Year Inputs'!$E$41:$AE$44,MATCH($B173,'Multi-Year Inputs'!$D$41:$D$44,0),MATCH(J$7,'Multi-Year Inputs'!$E$4:$AE$4,0)))</f>
        <v>21353625.848446414</v>
      </c>
      <c r="K173" s="64">
        <f>IF(K$8=0,0,INDEX('Multi-Year Inputs'!$E$41:$AE$44,MATCH($B173,'Multi-Year Inputs'!$D$41:$D$44,0),MATCH(K$7,'Multi-Year Inputs'!$E$4:$AE$4,0)))</f>
        <v>21353625.848446414</v>
      </c>
      <c r="L173" s="64">
        <f>IF(L$8=0,0,INDEX('Multi-Year Inputs'!$E$41:$AE$44,MATCH($B173,'Multi-Year Inputs'!$D$41:$D$44,0),MATCH(L$7,'Multi-Year Inputs'!$E$4:$AE$4,0)))</f>
        <v>21353625.848446414</v>
      </c>
      <c r="M173" s="64">
        <f>IF(M$8=0,0,INDEX('Multi-Year Inputs'!$E$41:$AE$44,MATCH($B173,'Multi-Year Inputs'!$D$41:$D$44,0),MATCH(M$7,'Multi-Year Inputs'!$E$4:$AE$4,0)))</f>
        <v>21353625.848446414</v>
      </c>
      <c r="N173" s="64">
        <f>IF(N$8=0,0,INDEX('Multi-Year Inputs'!$E$41:$AE$44,MATCH($B173,'Multi-Year Inputs'!$D$41:$D$44,0),MATCH(N$7,'Multi-Year Inputs'!$E$4:$AE$4,0)))</f>
        <v>21353625.848446414</v>
      </c>
      <c r="O173" s="64">
        <f>IF(O$8=0,0,INDEX('Multi-Year Inputs'!$E$41:$AE$44,MATCH($B173,'Multi-Year Inputs'!$D$41:$D$44,0),MATCH(O$7,'Multi-Year Inputs'!$E$4:$AE$4,0)))</f>
        <v>21353625.848446414</v>
      </c>
      <c r="P173" s="64">
        <f>IF(P$8=0,0,INDEX('Multi-Year Inputs'!$E$41:$AE$44,MATCH($B173,'Multi-Year Inputs'!$D$41:$D$44,0),MATCH(P$7,'Multi-Year Inputs'!$E$4:$AE$4,0)))</f>
        <v>21353625.848446414</v>
      </c>
      <c r="Q173" s="64">
        <f>IF(Q$8=0,0,INDEX('Multi-Year Inputs'!$E$41:$AE$44,MATCH($B173,'Multi-Year Inputs'!$D$41:$D$44,0),MATCH(Q$7,'Multi-Year Inputs'!$E$4:$AE$4,0)))</f>
        <v>21353625.848446414</v>
      </c>
      <c r="R173" s="64">
        <f>IF(R$8=0,0,INDEX('Multi-Year Inputs'!$E$41:$AE$44,MATCH($B173,'Multi-Year Inputs'!$D$41:$D$44,0),MATCH(R$7,'Multi-Year Inputs'!$E$4:$AE$4,0)))</f>
        <v>21353625.848446414</v>
      </c>
      <c r="S173" s="64">
        <f>IF(S$8=0,0,INDEX('Multi-Year Inputs'!$E$41:$AE$44,MATCH($B173,'Multi-Year Inputs'!$D$41:$D$44,0),MATCH(S$7,'Multi-Year Inputs'!$E$4:$AE$4,0)))</f>
        <v>21353625.848446414</v>
      </c>
      <c r="T173" s="64">
        <f>IF(T$8=0,0,INDEX('Multi-Year Inputs'!$E$41:$AE$44,MATCH($B173,'Multi-Year Inputs'!$D$41:$D$44,0),MATCH(T$7,'Multi-Year Inputs'!$E$4:$AE$4,0)))</f>
        <v>21353625.848446414</v>
      </c>
      <c r="U173" s="64">
        <f>IF(U$8=0,0,INDEX('Multi-Year Inputs'!$E$41:$AE$44,MATCH($B173,'Multi-Year Inputs'!$D$41:$D$44,0),MATCH(U$7,'Multi-Year Inputs'!$E$4:$AE$4,0)))</f>
        <v>21353625.848446414</v>
      </c>
      <c r="V173" s="64">
        <f>IF(V$8=0,0,INDEX('Multi-Year Inputs'!$E$41:$AE$44,MATCH($B173,'Multi-Year Inputs'!$D$41:$D$44,0),MATCH(V$7,'Multi-Year Inputs'!$E$4:$AE$4,0)))</f>
        <v>21353625.848446414</v>
      </c>
      <c r="W173" s="64">
        <f>IF(W$8=0,0,INDEX('Multi-Year Inputs'!$E$41:$AE$44,MATCH($B173,'Multi-Year Inputs'!$D$41:$D$44,0),MATCH(W$7,'Multi-Year Inputs'!$E$4:$AE$4,0)))</f>
        <v>21353625.848446414</v>
      </c>
      <c r="X173" s="64">
        <f>IF(X$8=0,0,INDEX('Multi-Year Inputs'!$E$41:$AE$44,MATCH($B173,'Multi-Year Inputs'!$D$41:$D$44,0),MATCH(X$7,'Multi-Year Inputs'!$E$4:$AE$4,0)))</f>
        <v>21353625.848446414</v>
      </c>
      <c r="Y173" s="64">
        <f>IF(Y$8=0,0,INDEX('Multi-Year Inputs'!$E$41:$AE$44,MATCH($B173,'Multi-Year Inputs'!$D$41:$D$44,0),MATCH(Y$7,'Multi-Year Inputs'!$E$4:$AE$4,0)))</f>
        <v>21353625.848446414</v>
      </c>
      <c r="Z173" s="64">
        <f>IF(Z$8=0,0,INDEX('Multi-Year Inputs'!$E$41:$AE$44,MATCH($B173,'Multi-Year Inputs'!$D$41:$D$44,0),MATCH(Z$7,'Multi-Year Inputs'!$E$4:$AE$4,0)))</f>
        <v>21353625.848446414</v>
      </c>
      <c r="AA173" s="64">
        <f>IF(AA$8=0,0,INDEX('Multi-Year Inputs'!$E$41:$AE$44,MATCH($B173,'Multi-Year Inputs'!$D$41:$D$44,0),MATCH(AA$7,'Multi-Year Inputs'!$E$4:$AE$4,0)))</f>
        <v>21353625.848446414</v>
      </c>
      <c r="AB173" s="64">
        <f>IF(AB$8=0,0,INDEX('Multi-Year Inputs'!$E$41:$AE$44,MATCH($B173,'Multi-Year Inputs'!$D$41:$D$44,0),MATCH(AB$7,'Multi-Year Inputs'!$E$4:$AE$4,0)))</f>
        <v>21353625.848446414</v>
      </c>
      <c r="AC173" s="64">
        <f>IF(AC$8=0,0,INDEX('Multi-Year Inputs'!$E$41:$AE$44,MATCH($B173,'Multi-Year Inputs'!$D$41:$D$44,0),MATCH(AC$7,'Multi-Year Inputs'!$E$4:$AE$4,0)))</f>
        <v>21353625.848446414</v>
      </c>
      <c r="AD173" s="64">
        <f>IF(AD$8=0,0,INDEX('Multi-Year Inputs'!$E$41:$AE$44,MATCH($B173,'Multi-Year Inputs'!$D$41:$D$44,0),MATCH(AD$7,'Multi-Year Inputs'!$E$4:$AE$4,0)))</f>
        <v>21353625.848446414</v>
      </c>
      <c r="AE173" s="64">
        <f>IF(AE$8=0,0,INDEX('Multi-Year Inputs'!$E$41:$AE$44,MATCH($B173,'Multi-Year Inputs'!$D$41:$D$44,0),MATCH(AE$7,'Multi-Year Inputs'!$E$4:$AE$4,0)))</f>
        <v>21353625.848446414</v>
      </c>
      <c r="AF173" s="64">
        <f>IF(AF$8=0,0,INDEX('Multi-Year Inputs'!$E$41:$AE$44,MATCH($B173,'Multi-Year Inputs'!$D$41:$D$44,0),MATCH(AF$7,'Multi-Year Inputs'!$E$4:$AE$4,0)))</f>
        <v>21353625.848446414</v>
      </c>
      <c r="AG173" s="64">
        <f>IF(AG$8=0,0,INDEX('Multi-Year Inputs'!$E$41:$AE$44,MATCH($B173,'Multi-Year Inputs'!$D$41:$D$44,0),MATCH(AG$7,'Multi-Year Inputs'!$E$4:$AE$4,0)))</f>
        <v>21353625.848446414</v>
      </c>
      <c r="AH173" s="64"/>
      <c r="AI173" s="64">
        <f t="shared" ref="AI173:AI175" si="180">SUM(G173:AG173)</f>
        <v>576547897.9080534</v>
      </c>
      <c r="AJ173" s="64"/>
      <c r="AM173" s="71">
        <f>IF(AM$8=0,0,INDEX('Multi-Year Inputs'!$E$41:$AE$44,MATCH($B173,'Multi-Year Inputs'!$D$41:$D$44,0),MATCH(AM$7,'Multi-Year Inputs'!$E$4:$AE$4,0)))</f>
        <v>21353625.848446414</v>
      </c>
      <c r="AN173" s="71">
        <f>IF(AN$8=0,0,INDEX('Multi-Year Inputs'!$E$41:$AE$44,MATCH($B173,'Multi-Year Inputs'!$D$41:$D$44,0),MATCH(AN$7,'Multi-Year Inputs'!$E$4:$AE$4,0)))</f>
        <v>21353625.848446414</v>
      </c>
      <c r="AO173" s="71">
        <f>IF(AO$8=0,0,INDEX('Multi-Year Inputs'!$E$41:$AE$44,MATCH($B173,'Multi-Year Inputs'!$D$41:$D$44,0),MATCH(AO$7,'Multi-Year Inputs'!$E$4:$AE$4,0)))</f>
        <v>21353625.848446414</v>
      </c>
      <c r="AP173" s="71">
        <f>IF(AP$8=0,0,INDEX('Multi-Year Inputs'!$E$41:$AE$44,MATCH($B173,'Multi-Year Inputs'!$D$41:$D$44,0),MATCH(AP$7,'Multi-Year Inputs'!$E$4:$AE$4,0)))</f>
        <v>21353625.848446414</v>
      </c>
      <c r="AQ173" s="71">
        <f>IF(AQ$8=0,0,INDEX('Multi-Year Inputs'!$E$41:$AE$44,MATCH($B173,'Multi-Year Inputs'!$D$41:$D$44,0),MATCH(AQ$7,'Multi-Year Inputs'!$E$4:$AE$4,0)))</f>
        <v>21353625.848446414</v>
      </c>
      <c r="AR173" s="71">
        <f>IF(AR$8=0,0,INDEX('Multi-Year Inputs'!$E$41:$AE$44,MATCH($B173,'Multi-Year Inputs'!$D$41:$D$44,0),MATCH(AR$7,'Multi-Year Inputs'!$E$4:$AE$4,0)))</f>
        <v>21353625.848446414</v>
      </c>
      <c r="AS173" s="71">
        <f>IF(AS$8=0,0,INDEX('Multi-Year Inputs'!$E$41:$AE$44,MATCH($B173,'Multi-Year Inputs'!$D$41:$D$44,0),MATCH(AS$7,'Multi-Year Inputs'!$E$4:$AE$4,0)))</f>
        <v>21353625.848446414</v>
      </c>
      <c r="AT173" s="71">
        <f>IF(AT$8=0,0,INDEX('Multi-Year Inputs'!$E$41:$AE$44,MATCH($B173,'Multi-Year Inputs'!$D$41:$D$44,0),MATCH(AT$7,'Multi-Year Inputs'!$E$4:$AE$4,0)))</f>
        <v>21353625.848446414</v>
      </c>
      <c r="AU173" s="71">
        <f>IF(AU$8=0,0,INDEX('Multi-Year Inputs'!$E$41:$AE$44,MATCH($B173,'Multi-Year Inputs'!$D$41:$D$44,0),MATCH(AU$7,'Multi-Year Inputs'!$E$4:$AE$4,0)))</f>
        <v>21353625.848446414</v>
      </c>
      <c r="AV173" s="71">
        <f>IF(AV$8=0,0,INDEX('Multi-Year Inputs'!$E$41:$AE$44,MATCH($B173,'Multi-Year Inputs'!$D$41:$D$44,0),MATCH(AV$7,'Multi-Year Inputs'!$E$4:$AE$4,0)))</f>
        <v>21353625.848446414</v>
      </c>
      <c r="AW173" s="71">
        <f>IF(AW$8=0,0,INDEX('Multi-Year Inputs'!$E$41:$AE$44,MATCH($B173,'Multi-Year Inputs'!$D$41:$D$44,0),MATCH(AW$7,'Multi-Year Inputs'!$E$4:$AE$4,0)))</f>
        <v>21353625.848446414</v>
      </c>
      <c r="AX173" s="71">
        <f>IF(AX$8=0,0,INDEX('Multi-Year Inputs'!$E$41:$AE$44,MATCH($B173,'Multi-Year Inputs'!$D$41:$D$44,0),MATCH(AX$7,'Multi-Year Inputs'!$E$4:$AE$4,0)))</f>
        <v>21353625.848446414</v>
      </c>
      <c r="AY173" s="71">
        <f>IF(AY$8=0,0,INDEX('Multi-Year Inputs'!$E$41:$AE$44,MATCH($B173,'Multi-Year Inputs'!$D$41:$D$44,0),MATCH(AY$7,'Multi-Year Inputs'!$E$4:$AE$4,0)))</f>
        <v>21353625.848446414</v>
      </c>
      <c r="AZ173" s="71">
        <f>IF(AZ$8=0,0,INDEX('Multi-Year Inputs'!$E$41:$AE$44,MATCH($B173,'Multi-Year Inputs'!$D$41:$D$44,0),MATCH(AZ$7,'Multi-Year Inputs'!$E$4:$AE$4,0)))</f>
        <v>21353625.848446414</v>
      </c>
      <c r="BA173" s="71">
        <f>IF(BA$8=0,0,INDEX('Multi-Year Inputs'!$E$41:$AE$44,MATCH($B173,'Multi-Year Inputs'!$D$41:$D$44,0),MATCH(BA$7,'Multi-Year Inputs'!$E$4:$AE$4,0)))</f>
        <v>21353625.848446414</v>
      </c>
      <c r="BB173" s="71">
        <f>IF(BB$8=0,0,INDEX('Multi-Year Inputs'!$E$41:$AE$44,MATCH($B173,'Multi-Year Inputs'!$D$41:$D$44,0),MATCH(BB$7,'Multi-Year Inputs'!$E$4:$AE$4,0)))</f>
        <v>21353625.848446414</v>
      </c>
      <c r="BC173" s="71">
        <f>IF(BC$8=0,0,INDEX('Multi-Year Inputs'!$E$41:$AE$44,MATCH($B173,'Multi-Year Inputs'!$D$41:$D$44,0),MATCH(BC$7,'Multi-Year Inputs'!$E$4:$AE$4,0)))</f>
        <v>21353625.848446414</v>
      </c>
      <c r="BD173" s="71">
        <f>IF(BD$8=0,0,INDEX('Multi-Year Inputs'!$E$41:$AE$44,MATCH($B173,'Multi-Year Inputs'!$D$41:$D$44,0),MATCH(BD$7,'Multi-Year Inputs'!$E$4:$AE$4,0)))</f>
        <v>21353625.848446414</v>
      </c>
      <c r="BE173" s="71">
        <f>IF(BE$8=0,0,INDEX('Multi-Year Inputs'!$E$41:$AE$44,MATCH($B173,'Multi-Year Inputs'!$D$41:$D$44,0),MATCH(BE$7,'Multi-Year Inputs'!$E$4:$AE$4,0)))</f>
        <v>21353625.848446414</v>
      </c>
      <c r="BF173" s="71">
        <f>IF(BF$8=0,0,INDEX('Multi-Year Inputs'!$E$41:$AE$44,MATCH($B173,'Multi-Year Inputs'!$D$41:$D$44,0),MATCH(BF$7,'Multi-Year Inputs'!$E$4:$AE$4,0)))</f>
        <v>21353625.848446414</v>
      </c>
      <c r="BG173" s="71">
        <f>IF(BG$8=0,0,INDEX('Multi-Year Inputs'!$E$41:$AE$44,MATCH($B173,'Multi-Year Inputs'!$D$41:$D$44,0),MATCH(BG$7,'Multi-Year Inputs'!$E$4:$AE$4,0)))</f>
        <v>21353625.848446414</v>
      </c>
      <c r="BH173" s="71">
        <f>IF(BH$8=0,0,INDEX('Multi-Year Inputs'!$E$41:$AE$44,MATCH($B173,'Multi-Year Inputs'!$D$41:$D$44,0),MATCH(BH$7,'Multi-Year Inputs'!$E$4:$AE$4,0)))</f>
        <v>21353625.848446414</v>
      </c>
      <c r="BI173" s="71">
        <f>IF(BI$8=0,0,INDEX('Multi-Year Inputs'!$E$41:$AE$44,MATCH($B173,'Multi-Year Inputs'!$D$41:$D$44,0),MATCH(BI$7,'Multi-Year Inputs'!$E$4:$AE$4,0)))</f>
        <v>21353625.848446414</v>
      </c>
      <c r="BJ173" s="71">
        <f>IF(BJ$8=0,0,INDEX('Multi-Year Inputs'!$E$41:$AE$44,MATCH($B173,'Multi-Year Inputs'!$D$41:$D$44,0),MATCH(BJ$7,'Multi-Year Inputs'!$E$4:$AE$4,0)))</f>
        <v>21353625.848446414</v>
      </c>
      <c r="BK173" s="71">
        <f>IF(BK$8=0,0,INDEX('Multi-Year Inputs'!$E$41:$AE$44,MATCH($B173,'Multi-Year Inputs'!$D$41:$D$44,0),MATCH(BK$7,'Multi-Year Inputs'!$E$4:$AE$4,0)))</f>
        <v>21353625.848446414</v>
      </c>
      <c r="BL173" s="71">
        <f>IF(BL$8=0,0,INDEX('Multi-Year Inputs'!$E$41:$AE$44,MATCH($B173,'Multi-Year Inputs'!$D$41:$D$44,0),MATCH(BL$7,'Multi-Year Inputs'!$E$4:$AE$4,0)))</f>
        <v>21353625.848446414</v>
      </c>
      <c r="BM173" s="71">
        <f>IF(BM$8=0,0,INDEX('Multi-Year Inputs'!$E$41:$AE$44,MATCH($B173,'Multi-Year Inputs'!$D$41:$D$44,0),MATCH(BM$7,'Multi-Year Inputs'!$E$4:$AE$4,0)))</f>
        <v>21353625.848446414</v>
      </c>
      <c r="BN173" s="72"/>
      <c r="BO173" s="72">
        <f t="shared" ref="BO173:BO175" si="181">SUM(AM173:BM173)</f>
        <v>576547897.9080534</v>
      </c>
      <c r="BP173" s="72"/>
      <c r="BS173" s="76" t="s">
        <v>91</v>
      </c>
      <c r="BT173" s="51" t="s">
        <v>17</v>
      </c>
    </row>
    <row r="174" spans="1:72" x14ac:dyDescent="0.25">
      <c r="A174" s="246"/>
      <c r="B174" s="243" t="str">
        <f t="shared" si="179"/>
        <v>Small C&amp;I</v>
      </c>
      <c r="C174" s="243" t="str">
        <f>C173</f>
        <v>Sales</v>
      </c>
      <c r="D174" s="244" t="s">
        <v>108</v>
      </c>
      <c r="E174" s="85" t="s">
        <v>108</v>
      </c>
      <c r="F174" s="84" t="s">
        <v>195</v>
      </c>
      <c r="G174" s="64">
        <f ca="1">IF($C$4=Lookups!$D$40,SUM(INDIRECT("'Yr1'!"&amp;ADDRESS(ROW(G174),COLUMN(G174))),INDIRECT("'Yr2'!"&amp;ADDRESS(ROW(G174),COLUMN(G174))),INDIRECT("'Yr3'!"&amp;ADDRESS(ROW(G174),COLUMN(G174)))),
IF(G170&gt;0,SUMIFS('EE Inputs'!$I$9:$I$32,'EE Inputs'!$C$9:$C$32,$G$6,'EE Inputs'!$D$9:$D$32,$C$4,'EE Inputs'!$E$9:$E$32,$B174)/SUMIFS('EE Inputs'!$V$9:$V$32,'EE Inputs'!$C$9:$C$32,$G$6,'EE Inputs'!$D$9:$D$32,$C$4,'EE Inputs'!$E$9:$E$32,$B174)*10,0))</f>
        <v>343434.8876884483</v>
      </c>
      <c r="H174" s="64">
        <f ca="1">IF($C$4=Lookups!$D$40,SUM(INDIRECT("'Yr1'!"&amp;ADDRESS(ROW(H174),COLUMN(H174))),INDIRECT("'Yr2'!"&amp;ADDRESS(ROW(H174),COLUMN(H174))),INDIRECT("'Yr3'!"&amp;ADDRESS(ROW(H174),COLUMN(H174)))),
IF(H170&gt;0,SUMIFS('EE Inputs'!$I$9:$I$32,'EE Inputs'!$C$9:$C$32,$G$6,'EE Inputs'!$D$9:$D$32,$C$4,'EE Inputs'!$E$9:$E$32,$B174)/SUMIFS('EE Inputs'!$V$9:$V$32,'EE Inputs'!$C$9:$C$32,$G$6,'EE Inputs'!$D$9:$D$32,$C$4,'EE Inputs'!$E$9:$E$32,$B174)*10,0))</f>
        <v>705436.41441578255</v>
      </c>
      <c r="I174" s="64">
        <f ca="1">IF($C$4=Lookups!$D$40,SUM(INDIRECT("'Yr1'!"&amp;ADDRESS(ROW(I174),COLUMN(I174))),INDIRECT("'Yr2'!"&amp;ADDRESS(ROW(I174),COLUMN(I174))),INDIRECT("'Yr3'!"&amp;ADDRESS(ROW(I174),COLUMN(I174)))),
IF(I170&gt;0,SUMIFS('EE Inputs'!$I$9:$I$32,'EE Inputs'!$C$9:$C$32,$G$6,'EE Inputs'!$D$9:$D$32,$C$4,'EE Inputs'!$E$9:$E$32,$B174)/SUMIFS('EE Inputs'!$V$9:$V$32,'EE Inputs'!$C$9:$C$32,$G$6,'EE Inputs'!$D$9:$D$32,$C$4,'EE Inputs'!$E$9:$E$32,$B174)*10,0))</f>
        <v>1084079.6987786279</v>
      </c>
      <c r="J174" s="64">
        <f ca="1">IF($C$4=Lookups!$D$40,SUM(INDIRECT("'Yr1'!"&amp;ADDRESS(ROW(J174),COLUMN(J174))),INDIRECT("'Yr2'!"&amp;ADDRESS(ROW(J174),COLUMN(J174))),INDIRECT("'Yr3'!"&amp;ADDRESS(ROW(J174),COLUMN(J174)))),
IF(J170&gt;0,SUMIFS('EE Inputs'!$I$9:$I$32,'EE Inputs'!$C$9:$C$32,$G$6,'EE Inputs'!$D$9:$D$32,$C$4,'EE Inputs'!$E$9:$E$32,$B174)/SUMIFS('EE Inputs'!$V$9:$V$32,'EE Inputs'!$C$9:$C$32,$G$6,'EE Inputs'!$D$9:$D$32,$C$4,'EE Inputs'!$E$9:$E$32,$B174)*10,0))</f>
        <v>1084079.6987786279</v>
      </c>
      <c r="K174" s="64">
        <f ca="1">IF($C$4=Lookups!$D$40,SUM(INDIRECT("'Yr1'!"&amp;ADDRESS(ROW(K174),COLUMN(K174))),INDIRECT("'Yr2'!"&amp;ADDRESS(ROW(K174),COLUMN(K174))),INDIRECT("'Yr3'!"&amp;ADDRESS(ROW(K174),COLUMN(K174)))),
IF(K170&gt;0,SUMIFS('EE Inputs'!$I$9:$I$32,'EE Inputs'!$C$9:$C$32,$G$6,'EE Inputs'!$D$9:$D$32,$C$4,'EE Inputs'!$E$9:$E$32,$B174)/SUMIFS('EE Inputs'!$V$9:$V$32,'EE Inputs'!$C$9:$C$32,$G$6,'EE Inputs'!$D$9:$D$32,$C$4,'EE Inputs'!$E$9:$E$32,$B174)*10,0))</f>
        <v>1084079.6987786279</v>
      </c>
      <c r="L174" s="64">
        <f ca="1">IF($C$4=Lookups!$D$40,SUM(INDIRECT("'Yr1'!"&amp;ADDRESS(ROW(L174),COLUMN(L174))),INDIRECT("'Yr2'!"&amp;ADDRESS(ROW(L174),COLUMN(L174))),INDIRECT("'Yr3'!"&amp;ADDRESS(ROW(L174),COLUMN(L174)))),
IF(L170&gt;0,SUMIFS('EE Inputs'!$I$9:$I$32,'EE Inputs'!$C$9:$C$32,$G$6,'EE Inputs'!$D$9:$D$32,$C$4,'EE Inputs'!$E$9:$E$32,$B174)/SUMIFS('EE Inputs'!$V$9:$V$32,'EE Inputs'!$C$9:$C$32,$G$6,'EE Inputs'!$D$9:$D$32,$C$4,'EE Inputs'!$E$9:$E$32,$B174)*10,0))</f>
        <v>1084079.6987786279</v>
      </c>
      <c r="M174" s="64">
        <f ca="1">IF($C$4=Lookups!$D$40,SUM(INDIRECT("'Yr1'!"&amp;ADDRESS(ROW(M174),COLUMN(M174))),INDIRECT("'Yr2'!"&amp;ADDRESS(ROW(M174),COLUMN(M174))),INDIRECT("'Yr3'!"&amp;ADDRESS(ROW(M174),COLUMN(M174)))),
IF(M170&gt;0,SUMIFS('EE Inputs'!$I$9:$I$32,'EE Inputs'!$C$9:$C$32,$G$6,'EE Inputs'!$D$9:$D$32,$C$4,'EE Inputs'!$E$9:$E$32,$B174)/SUMIFS('EE Inputs'!$V$9:$V$32,'EE Inputs'!$C$9:$C$32,$G$6,'EE Inputs'!$D$9:$D$32,$C$4,'EE Inputs'!$E$9:$E$32,$B174)*10,0))</f>
        <v>1084079.6987786279</v>
      </c>
      <c r="N174" s="64">
        <f ca="1">IF($C$4=Lookups!$D$40,SUM(INDIRECT("'Yr1'!"&amp;ADDRESS(ROW(N174),COLUMN(N174))),INDIRECT("'Yr2'!"&amp;ADDRESS(ROW(N174),COLUMN(N174))),INDIRECT("'Yr3'!"&amp;ADDRESS(ROW(N174),COLUMN(N174)))),
IF(N170&gt;0,SUMIFS('EE Inputs'!$I$9:$I$32,'EE Inputs'!$C$9:$C$32,$G$6,'EE Inputs'!$D$9:$D$32,$C$4,'EE Inputs'!$E$9:$E$32,$B174)/SUMIFS('EE Inputs'!$V$9:$V$32,'EE Inputs'!$C$9:$C$32,$G$6,'EE Inputs'!$D$9:$D$32,$C$4,'EE Inputs'!$E$9:$E$32,$B174)*10,0))</f>
        <v>1084079.6987786279</v>
      </c>
      <c r="O174" s="64">
        <f ca="1">IF($C$4=Lookups!$D$40,SUM(INDIRECT("'Yr1'!"&amp;ADDRESS(ROW(O174),COLUMN(O174))),INDIRECT("'Yr2'!"&amp;ADDRESS(ROW(O174),COLUMN(O174))),INDIRECT("'Yr3'!"&amp;ADDRESS(ROW(O174),COLUMN(O174)))),
IF(O170&gt;0,SUMIFS('EE Inputs'!$I$9:$I$32,'EE Inputs'!$C$9:$C$32,$G$6,'EE Inputs'!$D$9:$D$32,$C$4,'EE Inputs'!$E$9:$E$32,$B174)/SUMIFS('EE Inputs'!$V$9:$V$32,'EE Inputs'!$C$9:$C$32,$G$6,'EE Inputs'!$D$9:$D$32,$C$4,'EE Inputs'!$E$9:$E$32,$B174)*10,0))</f>
        <v>1084079.6987786279</v>
      </c>
      <c r="P174" s="64">
        <f ca="1">IF($C$4=Lookups!$D$40,SUM(INDIRECT("'Yr1'!"&amp;ADDRESS(ROW(P174),COLUMN(P174))),INDIRECT("'Yr2'!"&amp;ADDRESS(ROW(P174),COLUMN(P174))),INDIRECT("'Yr3'!"&amp;ADDRESS(ROW(P174),COLUMN(P174)))),
IF(P170&gt;0,SUMIFS('EE Inputs'!$I$9:$I$32,'EE Inputs'!$C$9:$C$32,$G$6,'EE Inputs'!$D$9:$D$32,$C$4,'EE Inputs'!$E$9:$E$32,$B174)/SUMIFS('EE Inputs'!$V$9:$V$32,'EE Inputs'!$C$9:$C$32,$G$6,'EE Inputs'!$D$9:$D$32,$C$4,'EE Inputs'!$E$9:$E$32,$B174)*10,0))</f>
        <v>1084079.6987786279</v>
      </c>
      <c r="Q174" s="64">
        <f ca="1">IF($C$4=Lookups!$D$40,SUM(INDIRECT("'Yr1'!"&amp;ADDRESS(ROW(Q174),COLUMN(Q174))),INDIRECT("'Yr2'!"&amp;ADDRESS(ROW(Q174),COLUMN(Q174))),INDIRECT("'Yr3'!"&amp;ADDRESS(ROW(Q174),COLUMN(Q174)))),
IF(Q170&gt;0,SUMIFS('EE Inputs'!$I$9:$I$32,'EE Inputs'!$C$9:$C$32,$G$6,'EE Inputs'!$D$9:$D$32,$C$4,'EE Inputs'!$E$9:$E$32,$B174)/SUMIFS('EE Inputs'!$V$9:$V$32,'EE Inputs'!$C$9:$C$32,$G$6,'EE Inputs'!$D$9:$D$32,$C$4,'EE Inputs'!$E$9:$E$32,$B174)*10,0))</f>
        <v>1084079.6987786279</v>
      </c>
      <c r="R174" s="64">
        <f ca="1">IF($C$4=Lookups!$D$40,SUM(INDIRECT("'Yr1'!"&amp;ADDRESS(ROW(R174),COLUMN(R174))),INDIRECT("'Yr2'!"&amp;ADDRESS(ROW(R174),COLUMN(R174))),INDIRECT("'Yr3'!"&amp;ADDRESS(ROW(R174),COLUMN(R174)))),
IF(R170&gt;0,SUMIFS('EE Inputs'!$I$9:$I$32,'EE Inputs'!$C$9:$C$32,$G$6,'EE Inputs'!$D$9:$D$32,$C$4,'EE Inputs'!$E$9:$E$32,$B174)/SUMIFS('EE Inputs'!$V$9:$V$32,'EE Inputs'!$C$9:$C$32,$G$6,'EE Inputs'!$D$9:$D$32,$C$4,'EE Inputs'!$E$9:$E$32,$B174)*10,0))</f>
        <v>1084079.6987786279</v>
      </c>
      <c r="S174" s="64">
        <f ca="1">IF($C$4=Lookups!$D$40,SUM(INDIRECT("'Yr1'!"&amp;ADDRESS(ROW(S174),COLUMN(S174))),INDIRECT("'Yr2'!"&amp;ADDRESS(ROW(S174),COLUMN(S174))),INDIRECT("'Yr3'!"&amp;ADDRESS(ROW(S174),COLUMN(S174)))),
IF(S170&gt;0,SUMIFS('EE Inputs'!$I$9:$I$32,'EE Inputs'!$C$9:$C$32,$G$6,'EE Inputs'!$D$9:$D$32,$C$4,'EE Inputs'!$E$9:$E$32,$B174)/SUMIFS('EE Inputs'!$V$9:$V$32,'EE Inputs'!$C$9:$C$32,$G$6,'EE Inputs'!$D$9:$D$32,$C$4,'EE Inputs'!$E$9:$E$32,$B174)*10,0))</f>
        <v>1084079.6987786279</v>
      </c>
      <c r="T174" s="64">
        <f ca="1">IF($C$4=Lookups!$D$40,SUM(INDIRECT("'Yr1'!"&amp;ADDRESS(ROW(T174),COLUMN(T174))),INDIRECT("'Yr2'!"&amp;ADDRESS(ROW(T174),COLUMN(T174))),INDIRECT("'Yr3'!"&amp;ADDRESS(ROW(T174),COLUMN(T174)))),
IF(T170&gt;0,SUMIFS('EE Inputs'!$I$9:$I$32,'EE Inputs'!$C$9:$C$32,$G$6,'EE Inputs'!$D$9:$D$32,$C$4,'EE Inputs'!$E$9:$E$32,$B174)/SUMIFS('EE Inputs'!$V$9:$V$32,'EE Inputs'!$C$9:$C$32,$G$6,'EE Inputs'!$D$9:$D$32,$C$4,'EE Inputs'!$E$9:$E$32,$B174)*10,0))</f>
        <v>1084079.6987786279</v>
      </c>
      <c r="U174" s="64">
        <f ca="1">IF($C$4=Lookups!$D$40,SUM(INDIRECT("'Yr1'!"&amp;ADDRESS(ROW(U174),COLUMN(U174))),INDIRECT("'Yr2'!"&amp;ADDRESS(ROW(U174),COLUMN(U174))),INDIRECT("'Yr3'!"&amp;ADDRESS(ROW(U174),COLUMN(U174)))),
IF(U170&gt;0,SUMIFS('EE Inputs'!$I$9:$I$32,'EE Inputs'!$C$9:$C$32,$G$6,'EE Inputs'!$D$9:$D$32,$C$4,'EE Inputs'!$E$9:$E$32,$B174)/SUMIFS('EE Inputs'!$V$9:$V$32,'EE Inputs'!$C$9:$C$32,$G$6,'EE Inputs'!$D$9:$D$32,$C$4,'EE Inputs'!$E$9:$E$32,$B174)*10,0))</f>
        <v>1084079.6987786279</v>
      </c>
      <c r="V174" s="64">
        <f ca="1">IF($C$4=Lookups!$D$40,SUM(INDIRECT("'Yr1'!"&amp;ADDRESS(ROW(V174),COLUMN(V174))),INDIRECT("'Yr2'!"&amp;ADDRESS(ROW(V174),COLUMN(V174))),INDIRECT("'Yr3'!"&amp;ADDRESS(ROW(V174),COLUMN(V174)))),
IF(V170&gt;0,SUMIFS('EE Inputs'!$I$9:$I$32,'EE Inputs'!$C$9:$C$32,$G$6,'EE Inputs'!$D$9:$D$32,$C$4,'EE Inputs'!$E$9:$E$32,$B174)/SUMIFS('EE Inputs'!$V$9:$V$32,'EE Inputs'!$C$9:$C$32,$G$6,'EE Inputs'!$D$9:$D$32,$C$4,'EE Inputs'!$E$9:$E$32,$B174)*10,0))</f>
        <v>1084079.6987786279</v>
      </c>
      <c r="W174" s="64">
        <f ca="1">IF($C$4=Lookups!$D$40,SUM(INDIRECT("'Yr1'!"&amp;ADDRESS(ROW(W174),COLUMN(W174))),INDIRECT("'Yr2'!"&amp;ADDRESS(ROW(W174),COLUMN(W174))),INDIRECT("'Yr3'!"&amp;ADDRESS(ROW(W174),COLUMN(W174)))),
IF(W170&gt;0,SUMIFS('EE Inputs'!$I$9:$I$32,'EE Inputs'!$C$9:$C$32,$G$6,'EE Inputs'!$D$9:$D$32,$C$4,'EE Inputs'!$E$9:$E$32,$B174)/SUMIFS('EE Inputs'!$V$9:$V$32,'EE Inputs'!$C$9:$C$32,$G$6,'EE Inputs'!$D$9:$D$32,$C$4,'EE Inputs'!$E$9:$E$32,$B174)*10,0))</f>
        <v>740644.81109017972</v>
      </c>
      <c r="X174" s="64">
        <f ca="1">IF($C$4=Lookups!$D$40,SUM(INDIRECT("'Yr1'!"&amp;ADDRESS(ROW(X174),COLUMN(X174))),INDIRECT("'Yr2'!"&amp;ADDRESS(ROW(X174),COLUMN(X174))),INDIRECT("'Yr3'!"&amp;ADDRESS(ROW(X174),COLUMN(X174)))),
IF(X170&gt;0,SUMIFS('EE Inputs'!$I$9:$I$32,'EE Inputs'!$C$9:$C$32,$G$6,'EE Inputs'!$D$9:$D$32,$C$4,'EE Inputs'!$E$9:$E$32,$B174)/SUMIFS('EE Inputs'!$V$9:$V$32,'EE Inputs'!$C$9:$C$32,$G$6,'EE Inputs'!$D$9:$D$32,$C$4,'EE Inputs'!$E$9:$E$32,$B174)*10,0))</f>
        <v>378643.28436284547</v>
      </c>
      <c r="Y174" s="64">
        <f ca="1">IF($C$4=Lookups!$D$40,SUM(INDIRECT("'Yr1'!"&amp;ADDRESS(ROW(Y174),COLUMN(Y174))),INDIRECT("'Yr2'!"&amp;ADDRESS(ROW(Y174),COLUMN(Y174))),INDIRECT("'Yr3'!"&amp;ADDRESS(ROW(Y174),COLUMN(Y174)))),
IF(Y170&gt;0,SUMIFS('EE Inputs'!$I$9:$I$32,'EE Inputs'!$C$9:$C$32,$G$6,'EE Inputs'!$D$9:$D$32,$C$4,'EE Inputs'!$E$9:$E$32,$B174)/SUMIFS('EE Inputs'!$V$9:$V$32,'EE Inputs'!$C$9:$C$32,$G$6,'EE Inputs'!$D$9:$D$32,$C$4,'EE Inputs'!$E$9:$E$32,$B174)*10,0))</f>
        <v>0</v>
      </c>
      <c r="Z174" s="64">
        <f ca="1">IF($C$4=Lookups!$D$40,SUM(INDIRECT("'Yr1'!"&amp;ADDRESS(ROW(Z174),COLUMN(Z174))),INDIRECT("'Yr2'!"&amp;ADDRESS(ROW(Z174),COLUMN(Z174))),INDIRECT("'Yr3'!"&amp;ADDRESS(ROW(Z174),COLUMN(Z174)))),
IF(Z170&gt;0,SUMIFS('EE Inputs'!$I$9:$I$32,'EE Inputs'!$C$9:$C$32,$G$6,'EE Inputs'!$D$9:$D$32,$C$4,'EE Inputs'!$E$9:$E$32,$B174)/SUMIFS('EE Inputs'!$V$9:$V$32,'EE Inputs'!$C$9:$C$32,$G$6,'EE Inputs'!$D$9:$D$32,$C$4,'EE Inputs'!$E$9:$E$32,$B174)*10,0))</f>
        <v>0</v>
      </c>
      <c r="AA174" s="64">
        <f ca="1">IF($C$4=Lookups!$D$40,SUM(INDIRECT("'Yr1'!"&amp;ADDRESS(ROW(AA174),COLUMN(AA174))),INDIRECT("'Yr2'!"&amp;ADDRESS(ROW(AA174),COLUMN(AA174))),INDIRECT("'Yr3'!"&amp;ADDRESS(ROW(AA174),COLUMN(AA174)))),
IF(AA170&gt;0,SUMIFS('EE Inputs'!$I$9:$I$32,'EE Inputs'!$C$9:$C$32,$G$6,'EE Inputs'!$D$9:$D$32,$C$4,'EE Inputs'!$E$9:$E$32,$B174)/SUMIFS('EE Inputs'!$V$9:$V$32,'EE Inputs'!$C$9:$C$32,$G$6,'EE Inputs'!$D$9:$D$32,$C$4,'EE Inputs'!$E$9:$E$32,$B174)*10,0))</f>
        <v>0</v>
      </c>
      <c r="AB174" s="64">
        <f ca="1">IF($C$4=Lookups!$D$40,SUM(INDIRECT("'Yr1'!"&amp;ADDRESS(ROW(AB174),COLUMN(AB174))),INDIRECT("'Yr2'!"&amp;ADDRESS(ROW(AB174),COLUMN(AB174))),INDIRECT("'Yr3'!"&amp;ADDRESS(ROW(AB174),COLUMN(AB174)))),
IF(AB170&gt;0,SUMIFS('EE Inputs'!$I$9:$I$32,'EE Inputs'!$C$9:$C$32,$G$6,'EE Inputs'!$D$9:$D$32,$C$4,'EE Inputs'!$E$9:$E$32,$B174)/SUMIFS('EE Inputs'!$V$9:$V$32,'EE Inputs'!$C$9:$C$32,$G$6,'EE Inputs'!$D$9:$D$32,$C$4,'EE Inputs'!$E$9:$E$32,$B174)*10,0))</f>
        <v>0</v>
      </c>
      <c r="AC174" s="64">
        <f ca="1">IF($C$4=Lookups!$D$40,SUM(INDIRECT("'Yr1'!"&amp;ADDRESS(ROW(AC174),COLUMN(AC174))),INDIRECT("'Yr2'!"&amp;ADDRESS(ROW(AC174),COLUMN(AC174))),INDIRECT("'Yr3'!"&amp;ADDRESS(ROW(AC174),COLUMN(AC174)))),
IF(AC170&gt;0,SUMIFS('EE Inputs'!$I$9:$I$32,'EE Inputs'!$C$9:$C$32,$G$6,'EE Inputs'!$D$9:$D$32,$C$4,'EE Inputs'!$E$9:$E$32,$B174)/SUMIFS('EE Inputs'!$V$9:$V$32,'EE Inputs'!$C$9:$C$32,$G$6,'EE Inputs'!$D$9:$D$32,$C$4,'EE Inputs'!$E$9:$E$32,$B174)*10,0))</f>
        <v>0</v>
      </c>
      <c r="AD174" s="64">
        <f ca="1">IF($C$4=Lookups!$D$40,SUM(INDIRECT("'Yr1'!"&amp;ADDRESS(ROW(AD174),COLUMN(AD174))),INDIRECT("'Yr2'!"&amp;ADDRESS(ROW(AD174),COLUMN(AD174))),INDIRECT("'Yr3'!"&amp;ADDRESS(ROW(AD174),COLUMN(AD174)))),
IF(AD170&gt;0,SUMIFS('EE Inputs'!$I$9:$I$32,'EE Inputs'!$C$9:$C$32,$G$6,'EE Inputs'!$D$9:$D$32,$C$4,'EE Inputs'!$E$9:$E$32,$B174)/SUMIFS('EE Inputs'!$V$9:$V$32,'EE Inputs'!$C$9:$C$32,$G$6,'EE Inputs'!$D$9:$D$32,$C$4,'EE Inputs'!$E$9:$E$32,$B174)*10,0))</f>
        <v>0</v>
      </c>
      <c r="AE174" s="64">
        <f ca="1">IF($C$4=Lookups!$D$40,SUM(INDIRECT("'Yr1'!"&amp;ADDRESS(ROW(AE174),COLUMN(AE174))),INDIRECT("'Yr2'!"&amp;ADDRESS(ROW(AE174),COLUMN(AE174))),INDIRECT("'Yr3'!"&amp;ADDRESS(ROW(AE174),COLUMN(AE174)))),
IF(AE170&gt;0,SUMIFS('EE Inputs'!$I$9:$I$32,'EE Inputs'!$C$9:$C$32,$G$6,'EE Inputs'!$D$9:$D$32,$C$4,'EE Inputs'!$E$9:$E$32,$B174)/SUMIFS('EE Inputs'!$V$9:$V$32,'EE Inputs'!$C$9:$C$32,$G$6,'EE Inputs'!$D$9:$D$32,$C$4,'EE Inputs'!$E$9:$E$32,$B174)*10,0))</f>
        <v>0</v>
      </c>
      <c r="AF174" s="64">
        <f ca="1">IF($C$4=Lookups!$D$40,SUM(INDIRECT("'Yr1'!"&amp;ADDRESS(ROW(AF174),COLUMN(AF174))),INDIRECT("'Yr2'!"&amp;ADDRESS(ROW(AF174),COLUMN(AF174))),INDIRECT("'Yr3'!"&amp;ADDRESS(ROW(AF174),COLUMN(AF174)))),
IF(AF170&gt;0,SUMIFS('EE Inputs'!$I$9:$I$32,'EE Inputs'!$C$9:$C$32,$G$6,'EE Inputs'!$D$9:$D$32,$C$4,'EE Inputs'!$E$9:$E$32,$B174)/SUMIFS('EE Inputs'!$V$9:$V$32,'EE Inputs'!$C$9:$C$32,$G$6,'EE Inputs'!$D$9:$D$32,$C$4,'EE Inputs'!$E$9:$E$32,$B174)*10,0))</f>
        <v>0</v>
      </c>
      <c r="AG174" s="64">
        <f ca="1">IF($C$4=Lookups!$D$40,SUM(INDIRECT("'Yr1'!"&amp;ADDRESS(ROW(AG174),COLUMN(AG174))),INDIRECT("'Yr2'!"&amp;ADDRESS(ROW(AG174),COLUMN(AG174))),INDIRECT("'Yr3'!"&amp;ADDRESS(ROW(AG174),COLUMN(AG174)))),
IF(AG170&gt;0,SUMIFS('EE Inputs'!$I$9:$I$32,'EE Inputs'!$C$9:$C$32,$G$6,'EE Inputs'!$D$9:$D$32,$C$4,'EE Inputs'!$E$9:$E$32,$B174)/SUMIFS('EE Inputs'!$V$9:$V$32,'EE Inputs'!$C$9:$C$32,$G$6,'EE Inputs'!$D$9:$D$32,$C$4,'EE Inputs'!$E$9:$E$32,$B174)*10,0))</f>
        <v>0</v>
      </c>
      <c r="AH174" s="64"/>
      <c r="AI174" s="64">
        <f t="shared" ca="1" si="180"/>
        <v>17345275.180458043</v>
      </c>
      <c r="AJ174" s="64"/>
      <c r="AM174" s="71">
        <f ca="1">IF($C$4=Lookups!$D$40,SUM(INDIRECT("'Yr1'!"&amp;ADDRESS(ROW(AM174),COLUMN(AM174))),INDIRECT("'Yr2'!"&amp;ADDRESS(ROW(AM174),COLUMN(AM174))),INDIRECT("'Yr3'!"&amp;ADDRESS(ROW(AM174),COLUMN(AM174)))),
IF(AM170&gt;0,SUMIFS('EE Inputs'!$I$9:$I$32,'EE Inputs'!$C$9:$C$32,$AM$6,'EE Inputs'!$D$9:$D$32,$C$4,'EE Inputs'!$E$9:$E$32,$B174)/SUMIFS('EE Inputs'!$V$9:$V$32,'EE Inputs'!$C$9:$C$32,$AM$6,'EE Inputs'!$D$9:$D$32,$C$4,'EE Inputs'!$E$9:$E$32,$B174)*10,0))</f>
        <v>392497.01450108376</v>
      </c>
      <c r="AN174" s="71">
        <f ca="1">IF($C$4=Lookups!$D$40,SUM(INDIRECT("'Yr1'!"&amp;ADDRESS(ROW(AN174),COLUMN(AN174))),INDIRECT("'Yr2'!"&amp;ADDRESS(ROW(AN174),COLUMN(AN174))),INDIRECT("'Yr3'!"&amp;ADDRESS(ROW(AN174),COLUMN(AN174)))),
IF(AN170&gt;0,SUMIFS('EE Inputs'!$I$9:$I$32,'EE Inputs'!$C$9:$C$32,$AM$6,'EE Inputs'!$D$9:$D$32,$C$4,'EE Inputs'!$E$9:$E$32,$B174)/SUMIFS('EE Inputs'!$V$9:$V$32,'EE Inputs'!$C$9:$C$32,$AM$6,'EE Inputs'!$D$9:$D$32,$C$4,'EE Inputs'!$E$9:$E$32,$B174)*10,0))</f>
        <v>806213.04504660866</v>
      </c>
      <c r="AO174" s="71">
        <f ca="1">IF($C$4=Lookups!$D$40,SUM(INDIRECT("'Yr1'!"&amp;ADDRESS(ROW(AO174),COLUMN(AO174))),INDIRECT("'Yr2'!"&amp;ADDRESS(ROW(AO174),COLUMN(AO174))),INDIRECT("'Yr3'!"&amp;ADDRESS(ROW(AO174),COLUMN(AO174)))),
IF(AO170&gt;0,SUMIFS('EE Inputs'!$I$9:$I$32,'EE Inputs'!$C$9:$C$32,$AM$6,'EE Inputs'!$D$9:$D$32,$C$4,'EE Inputs'!$E$9:$E$32,$B174)/SUMIFS('EE Inputs'!$V$9:$V$32,'EE Inputs'!$C$9:$C$32,$AM$6,'EE Inputs'!$D$9:$D$32,$C$4,'EE Inputs'!$E$9:$E$32,$B174)*10,0))</f>
        <v>1238948.2271755747</v>
      </c>
      <c r="AP174" s="71">
        <f ca="1">IF($C$4=Lookups!$D$40,SUM(INDIRECT("'Yr1'!"&amp;ADDRESS(ROW(AP174),COLUMN(AP174))),INDIRECT("'Yr2'!"&amp;ADDRESS(ROW(AP174),COLUMN(AP174))),INDIRECT("'Yr3'!"&amp;ADDRESS(ROW(AP174),COLUMN(AP174)))),
IF(AP170&gt;0,SUMIFS('EE Inputs'!$I$9:$I$32,'EE Inputs'!$C$9:$C$32,$AM$6,'EE Inputs'!$D$9:$D$32,$C$4,'EE Inputs'!$E$9:$E$32,$B174)/SUMIFS('EE Inputs'!$V$9:$V$32,'EE Inputs'!$C$9:$C$32,$AM$6,'EE Inputs'!$D$9:$D$32,$C$4,'EE Inputs'!$E$9:$E$32,$B174)*10,0))</f>
        <v>1238948.2271755747</v>
      </c>
      <c r="AQ174" s="71">
        <f ca="1">IF($C$4=Lookups!$D$40,SUM(INDIRECT("'Yr1'!"&amp;ADDRESS(ROW(AQ174),COLUMN(AQ174))),INDIRECT("'Yr2'!"&amp;ADDRESS(ROW(AQ174),COLUMN(AQ174))),INDIRECT("'Yr3'!"&amp;ADDRESS(ROW(AQ174),COLUMN(AQ174)))),
IF(AQ170&gt;0,SUMIFS('EE Inputs'!$I$9:$I$32,'EE Inputs'!$C$9:$C$32,$AM$6,'EE Inputs'!$D$9:$D$32,$C$4,'EE Inputs'!$E$9:$E$32,$B174)/SUMIFS('EE Inputs'!$V$9:$V$32,'EE Inputs'!$C$9:$C$32,$AM$6,'EE Inputs'!$D$9:$D$32,$C$4,'EE Inputs'!$E$9:$E$32,$B174)*10,0))</f>
        <v>1238948.2271755747</v>
      </c>
      <c r="AR174" s="71">
        <f ca="1">IF($C$4=Lookups!$D$40,SUM(INDIRECT("'Yr1'!"&amp;ADDRESS(ROW(AR174),COLUMN(AR174))),INDIRECT("'Yr2'!"&amp;ADDRESS(ROW(AR174),COLUMN(AR174))),INDIRECT("'Yr3'!"&amp;ADDRESS(ROW(AR174),COLUMN(AR174)))),
IF(AR170&gt;0,SUMIFS('EE Inputs'!$I$9:$I$32,'EE Inputs'!$C$9:$C$32,$AM$6,'EE Inputs'!$D$9:$D$32,$C$4,'EE Inputs'!$E$9:$E$32,$B174)/SUMIFS('EE Inputs'!$V$9:$V$32,'EE Inputs'!$C$9:$C$32,$AM$6,'EE Inputs'!$D$9:$D$32,$C$4,'EE Inputs'!$E$9:$E$32,$B174)*10,0))</f>
        <v>1238948.2271755747</v>
      </c>
      <c r="AS174" s="71">
        <f ca="1">IF($C$4=Lookups!$D$40,SUM(INDIRECT("'Yr1'!"&amp;ADDRESS(ROW(AS174),COLUMN(AS174))),INDIRECT("'Yr2'!"&amp;ADDRESS(ROW(AS174),COLUMN(AS174))),INDIRECT("'Yr3'!"&amp;ADDRESS(ROW(AS174),COLUMN(AS174)))),
IF(AS170&gt;0,SUMIFS('EE Inputs'!$I$9:$I$32,'EE Inputs'!$C$9:$C$32,$AM$6,'EE Inputs'!$D$9:$D$32,$C$4,'EE Inputs'!$E$9:$E$32,$B174)/SUMIFS('EE Inputs'!$V$9:$V$32,'EE Inputs'!$C$9:$C$32,$AM$6,'EE Inputs'!$D$9:$D$32,$C$4,'EE Inputs'!$E$9:$E$32,$B174)*10,0))</f>
        <v>1238948.2271755747</v>
      </c>
      <c r="AT174" s="71">
        <f ca="1">IF($C$4=Lookups!$D$40,SUM(INDIRECT("'Yr1'!"&amp;ADDRESS(ROW(AT174),COLUMN(AT174))),INDIRECT("'Yr2'!"&amp;ADDRESS(ROW(AT174),COLUMN(AT174))),INDIRECT("'Yr3'!"&amp;ADDRESS(ROW(AT174),COLUMN(AT174)))),
IF(AT170&gt;0,SUMIFS('EE Inputs'!$I$9:$I$32,'EE Inputs'!$C$9:$C$32,$AM$6,'EE Inputs'!$D$9:$D$32,$C$4,'EE Inputs'!$E$9:$E$32,$B174)/SUMIFS('EE Inputs'!$V$9:$V$32,'EE Inputs'!$C$9:$C$32,$AM$6,'EE Inputs'!$D$9:$D$32,$C$4,'EE Inputs'!$E$9:$E$32,$B174)*10,0))</f>
        <v>1238948.2271755747</v>
      </c>
      <c r="AU174" s="71">
        <f ca="1">IF($C$4=Lookups!$D$40,SUM(INDIRECT("'Yr1'!"&amp;ADDRESS(ROW(AU174),COLUMN(AU174))),INDIRECT("'Yr2'!"&amp;ADDRESS(ROW(AU174),COLUMN(AU174))),INDIRECT("'Yr3'!"&amp;ADDRESS(ROW(AU174),COLUMN(AU174)))),
IF(AU170&gt;0,SUMIFS('EE Inputs'!$I$9:$I$32,'EE Inputs'!$C$9:$C$32,$AM$6,'EE Inputs'!$D$9:$D$32,$C$4,'EE Inputs'!$E$9:$E$32,$B174)/SUMIFS('EE Inputs'!$V$9:$V$32,'EE Inputs'!$C$9:$C$32,$AM$6,'EE Inputs'!$D$9:$D$32,$C$4,'EE Inputs'!$E$9:$E$32,$B174)*10,0))</f>
        <v>1238948.2271755747</v>
      </c>
      <c r="AV174" s="71">
        <f ca="1">IF($C$4=Lookups!$D$40,SUM(INDIRECT("'Yr1'!"&amp;ADDRESS(ROW(AV174),COLUMN(AV174))),INDIRECT("'Yr2'!"&amp;ADDRESS(ROW(AV174),COLUMN(AV174))),INDIRECT("'Yr3'!"&amp;ADDRESS(ROW(AV174),COLUMN(AV174)))),
IF(AV170&gt;0,SUMIFS('EE Inputs'!$I$9:$I$32,'EE Inputs'!$C$9:$C$32,$AM$6,'EE Inputs'!$D$9:$D$32,$C$4,'EE Inputs'!$E$9:$E$32,$B174)/SUMIFS('EE Inputs'!$V$9:$V$32,'EE Inputs'!$C$9:$C$32,$AM$6,'EE Inputs'!$D$9:$D$32,$C$4,'EE Inputs'!$E$9:$E$32,$B174)*10,0))</f>
        <v>1238948.2271755747</v>
      </c>
      <c r="AW174" s="71">
        <f ca="1">IF($C$4=Lookups!$D$40,SUM(INDIRECT("'Yr1'!"&amp;ADDRESS(ROW(AW174),COLUMN(AW174))),INDIRECT("'Yr2'!"&amp;ADDRESS(ROW(AW174),COLUMN(AW174))),INDIRECT("'Yr3'!"&amp;ADDRESS(ROW(AW174),COLUMN(AW174)))),
IF(AW170&gt;0,SUMIFS('EE Inputs'!$I$9:$I$32,'EE Inputs'!$C$9:$C$32,$AM$6,'EE Inputs'!$D$9:$D$32,$C$4,'EE Inputs'!$E$9:$E$32,$B174)/SUMIFS('EE Inputs'!$V$9:$V$32,'EE Inputs'!$C$9:$C$32,$AM$6,'EE Inputs'!$D$9:$D$32,$C$4,'EE Inputs'!$E$9:$E$32,$B174)*10,0))</f>
        <v>1238948.2271755747</v>
      </c>
      <c r="AX174" s="71">
        <f ca="1">IF($C$4=Lookups!$D$40,SUM(INDIRECT("'Yr1'!"&amp;ADDRESS(ROW(AX174),COLUMN(AX174))),INDIRECT("'Yr2'!"&amp;ADDRESS(ROW(AX174),COLUMN(AX174))),INDIRECT("'Yr3'!"&amp;ADDRESS(ROW(AX174),COLUMN(AX174)))),
IF(AX170&gt;0,SUMIFS('EE Inputs'!$I$9:$I$32,'EE Inputs'!$C$9:$C$32,$AM$6,'EE Inputs'!$D$9:$D$32,$C$4,'EE Inputs'!$E$9:$E$32,$B174)/SUMIFS('EE Inputs'!$V$9:$V$32,'EE Inputs'!$C$9:$C$32,$AM$6,'EE Inputs'!$D$9:$D$32,$C$4,'EE Inputs'!$E$9:$E$32,$B174)*10,0))</f>
        <v>1238948.2271755747</v>
      </c>
      <c r="AY174" s="71">
        <f ca="1">IF($C$4=Lookups!$D$40,SUM(INDIRECT("'Yr1'!"&amp;ADDRESS(ROW(AY174),COLUMN(AY174))),INDIRECT("'Yr2'!"&amp;ADDRESS(ROW(AY174),COLUMN(AY174))),INDIRECT("'Yr3'!"&amp;ADDRESS(ROW(AY174),COLUMN(AY174)))),
IF(AY170&gt;0,SUMIFS('EE Inputs'!$I$9:$I$32,'EE Inputs'!$C$9:$C$32,$AM$6,'EE Inputs'!$D$9:$D$32,$C$4,'EE Inputs'!$E$9:$E$32,$B174)/SUMIFS('EE Inputs'!$V$9:$V$32,'EE Inputs'!$C$9:$C$32,$AM$6,'EE Inputs'!$D$9:$D$32,$C$4,'EE Inputs'!$E$9:$E$32,$B174)*10,0))</f>
        <v>1238948.2271755747</v>
      </c>
      <c r="AZ174" s="71">
        <f ca="1">IF($C$4=Lookups!$D$40,SUM(INDIRECT("'Yr1'!"&amp;ADDRESS(ROW(AZ174),COLUMN(AZ174))),INDIRECT("'Yr2'!"&amp;ADDRESS(ROW(AZ174),COLUMN(AZ174))),INDIRECT("'Yr3'!"&amp;ADDRESS(ROW(AZ174),COLUMN(AZ174)))),
IF(AZ170&gt;0,SUMIFS('EE Inputs'!$I$9:$I$32,'EE Inputs'!$C$9:$C$32,$AM$6,'EE Inputs'!$D$9:$D$32,$C$4,'EE Inputs'!$E$9:$E$32,$B174)/SUMIFS('EE Inputs'!$V$9:$V$32,'EE Inputs'!$C$9:$C$32,$AM$6,'EE Inputs'!$D$9:$D$32,$C$4,'EE Inputs'!$E$9:$E$32,$B174)*10,0))</f>
        <v>1238948.2271755747</v>
      </c>
      <c r="BA174" s="71">
        <f ca="1">IF($C$4=Lookups!$D$40,SUM(INDIRECT("'Yr1'!"&amp;ADDRESS(ROW(BA174),COLUMN(BA174))),INDIRECT("'Yr2'!"&amp;ADDRESS(ROW(BA174),COLUMN(BA174))),INDIRECT("'Yr3'!"&amp;ADDRESS(ROW(BA174),COLUMN(BA174)))),
IF(BA170&gt;0,SUMIFS('EE Inputs'!$I$9:$I$32,'EE Inputs'!$C$9:$C$32,$AM$6,'EE Inputs'!$D$9:$D$32,$C$4,'EE Inputs'!$E$9:$E$32,$B174)/SUMIFS('EE Inputs'!$V$9:$V$32,'EE Inputs'!$C$9:$C$32,$AM$6,'EE Inputs'!$D$9:$D$32,$C$4,'EE Inputs'!$E$9:$E$32,$B174)*10,0))</f>
        <v>1238948.2271755747</v>
      </c>
      <c r="BB174" s="71">
        <f ca="1">IF($C$4=Lookups!$D$40,SUM(INDIRECT("'Yr1'!"&amp;ADDRESS(ROW(BB174),COLUMN(BB174))),INDIRECT("'Yr2'!"&amp;ADDRESS(ROW(BB174),COLUMN(BB174))),INDIRECT("'Yr3'!"&amp;ADDRESS(ROW(BB174),COLUMN(BB174)))),
IF(BB170&gt;0,SUMIFS('EE Inputs'!$I$9:$I$32,'EE Inputs'!$C$9:$C$32,$AM$6,'EE Inputs'!$D$9:$D$32,$C$4,'EE Inputs'!$E$9:$E$32,$B174)/SUMIFS('EE Inputs'!$V$9:$V$32,'EE Inputs'!$C$9:$C$32,$AM$6,'EE Inputs'!$D$9:$D$32,$C$4,'EE Inputs'!$E$9:$E$32,$B174)*10,0))</f>
        <v>1238948.2271755747</v>
      </c>
      <c r="BC174" s="71">
        <f ca="1">IF($C$4=Lookups!$D$40,SUM(INDIRECT("'Yr1'!"&amp;ADDRESS(ROW(BC174),COLUMN(BC174))),INDIRECT("'Yr2'!"&amp;ADDRESS(ROW(BC174),COLUMN(BC174))),INDIRECT("'Yr3'!"&amp;ADDRESS(ROW(BC174),COLUMN(BC174)))),
IF(BC170&gt;0,SUMIFS('EE Inputs'!$I$9:$I$32,'EE Inputs'!$C$9:$C$32,$AM$6,'EE Inputs'!$D$9:$D$32,$C$4,'EE Inputs'!$E$9:$E$32,$B174)/SUMIFS('EE Inputs'!$V$9:$V$32,'EE Inputs'!$C$9:$C$32,$AM$6,'EE Inputs'!$D$9:$D$32,$C$4,'EE Inputs'!$E$9:$E$32,$B174)*10,0))</f>
        <v>846451.21267449111</v>
      </c>
      <c r="BD174" s="71">
        <f ca="1">IF($C$4=Lookups!$D$40,SUM(INDIRECT("'Yr1'!"&amp;ADDRESS(ROW(BD174),COLUMN(BD174))),INDIRECT("'Yr2'!"&amp;ADDRESS(ROW(BD174),COLUMN(BD174))),INDIRECT("'Yr3'!"&amp;ADDRESS(ROW(BD174),COLUMN(BD174)))),
IF(BD170&gt;0,SUMIFS('EE Inputs'!$I$9:$I$32,'EE Inputs'!$C$9:$C$32,$AM$6,'EE Inputs'!$D$9:$D$32,$C$4,'EE Inputs'!$E$9:$E$32,$B174)/SUMIFS('EE Inputs'!$V$9:$V$32,'EE Inputs'!$C$9:$C$32,$AM$6,'EE Inputs'!$D$9:$D$32,$C$4,'EE Inputs'!$E$9:$E$32,$B174)*10,0))</f>
        <v>432735.1821289662</v>
      </c>
      <c r="BE174" s="71">
        <f ca="1">IF($C$4=Lookups!$D$40,SUM(INDIRECT("'Yr1'!"&amp;ADDRESS(ROW(BE174),COLUMN(BE174))),INDIRECT("'Yr2'!"&amp;ADDRESS(ROW(BE174),COLUMN(BE174))),INDIRECT("'Yr3'!"&amp;ADDRESS(ROW(BE174),COLUMN(BE174)))),
IF(BE170&gt;0,SUMIFS('EE Inputs'!$I$9:$I$32,'EE Inputs'!$C$9:$C$32,$AM$6,'EE Inputs'!$D$9:$D$32,$C$4,'EE Inputs'!$E$9:$E$32,$B174)/SUMIFS('EE Inputs'!$V$9:$V$32,'EE Inputs'!$C$9:$C$32,$AM$6,'EE Inputs'!$D$9:$D$32,$C$4,'EE Inputs'!$E$9:$E$32,$B174)*10,0))</f>
        <v>0</v>
      </c>
      <c r="BF174" s="71">
        <f ca="1">IF($C$4=Lookups!$D$40,SUM(INDIRECT("'Yr1'!"&amp;ADDRESS(ROW(BF174),COLUMN(BF174))),INDIRECT("'Yr2'!"&amp;ADDRESS(ROW(BF174),COLUMN(BF174))),INDIRECT("'Yr3'!"&amp;ADDRESS(ROW(BF174),COLUMN(BF174)))),
IF(BF170&gt;0,SUMIFS('EE Inputs'!$I$9:$I$32,'EE Inputs'!$C$9:$C$32,$AM$6,'EE Inputs'!$D$9:$D$32,$C$4,'EE Inputs'!$E$9:$E$32,$B174)/SUMIFS('EE Inputs'!$V$9:$V$32,'EE Inputs'!$C$9:$C$32,$AM$6,'EE Inputs'!$D$9:$D$32,$C$4,'EE Inputs'!$E$9:$E$32,$B174)*10,0))</f>
        <v>0</v>
      </c>
      <c r="BG174" s="71">
        <f ca="1">IF($C$4=Lookups!$D$40,SUM(INDIRECT("'Yr1'!"&amp;ADDRESS(ROW(BG174),COLUMN(BG174))),INDIRECT("'Yr2'!"&amp;ADDRESS(ROW(BG174),COLUMN(BG174))),INDIRECT("'Yr3'!"&amp;ADDRESS(ROW(BG174),COLUMN(BG174)))),
IF(BG170&gt;0,SUMIFS('EE Inputs'!$I$9:$I$32,'EE Inputs'!$C$9:$C$32,$AM$6,'EE Inputs'!$D$9:$D$32,$C$4,'EE Inputs'!$E$9:$E$32,$B174)/SUMIFS('EE Inputs'!$V$9:$V$32,'EE Inputs'!$C$9:$C$32,$AM$6,'EE Inputs'!$D$9:$D$32,$C$4,'EE Inputs'!$E$9:$E$32,$B174)*10,0))</f>
        <v>0</v>
      </c>
      <c r="BH174" s="71">
        <f ca="1">IF($C$4=Lookups!$D$40,SUM(INDIRECT("'Yr1'!"&amp;ADDRESS(ROW(BH174),COLUMN(BH174))),INDIRECT("'Yr2'!"&amp;ADDRESS(ROW(BH174),COLUMN(BH174))),INDIRECT("'Yr3'!"&amp;ADDRESS(ROW(BH174),COLUMN(BH174)))),
IF(BH170&gt;0,SUMIFS('EE Inputs'!$I$9:$I$32,'EE Inputs'!$C$9:$C$32,$AM$6,'EE Inputs'!$D$9:$D$32,$C$4,'EE Inputs'!$E$9:$E$32,$B174)/SUMIFS('EE Inputs'!$V$9:$V$32,'EE Inputs'!$C$9:$C$32,$AM$6,'EE Inputs'!$D$9:$D$32,$C$4,'EE Inputs'!$E$9:$E$32,$B174)*10,0))</f>
        <v>0</v>
      </c>
      <c r="BI174" s="71">
        <f ca="1">IF($C$4=Lookups!$D$40,SUM(INDIRECT("'Yr1'!"&amp;ADDRESS(ROW(BI174),COLUMN(BI174))),INDIRECT("'Yr2'!"&amp;ADDRESS(ROW(BI174),COLUMN(BI174))),INDIRECT("'Yr3'!"&amp;ADDRESS(ROW(BI174),COLUMN(BI174)))),
IF(BI170&gt;0,SUMIFS('EE Inputs'!$I$9:$I$32,'EE Inputs'!$C$9:$C$32,$AM$6,'EE Inputs'!$D$9:$D$32,$C$4,'EE Inputs'!$E$9:$E$32,$B174)/SUMIFS('EE Inputs'!$V$9:$V$32,'EE Inputs'!$C$9:$C$32,$AM$6,'EE Inputs'!$D$9:$D$32,$C$4,'EE Inputs'!$E$9:$E$32,$B174)*10,0))</f>
        <v>0</v>
      </c>
      <c r="BJ174" s="71">
        <f ca="1">IF($C$4=Lookups!$D$40,SUM(INDIRECT("'Yr1'!"&amp;ADDRESS(ROW(BJ174),COLUMN(BJ174))),INDIRECT("'Yr2'!"&amp;ADDRESS(ROW(BJ174),COLUMN(BJ174))),INDIRECT("'Yr3'!"&amp;ADDRESS(ROW(BJ174),COLUMN(BJ174)))),
IF(BJ170&gt;0,SUMIFS('EE Inputs'!$I$9:$I$32,'EE Inputs'!$C$9:$C$32,$AM$6,'EE Inputs'!$D$9:$D$32,$C$4,'EE Inputs'!$E$9:$E$32,$B174)/SUMIFS('EE Inputs'!$V$9:$V$32,'EE Inputs'!$C$9:$C$32,$AM$6,'EE Inputs'!$D$9:$D$32,$C$4,'EE Inputs'!$E$9:$E$32,$B174)*10,0))</f>
        <v>0</v>
      </c>
      <c r="BK174" s="71">
        <f ca="1">IF($C$4=Lookups!$D$40,SUM(INDIRECT("'Yr1'!"&amp;ADDRESS(ROW(BK174),COLUMN(BK174))),INDIRECT("'Yr2'!"&amp;ADDRESS(ROW(BK174),COLUMN(BK174))),INDIRECT("'Yr3'!"&amp;ADDRESS(ROW(BK174),COLUMN(BK174)))),
IF(BK170&gt;0,SUMIFS('EE Inputs'!$I$9:$I$32,'EE Inputs'!$C$9:$C$32,$AM$6,'EE Inputs'!$D$9:$D$32,$C$4,'EE Inputs'!$E$9:$E$32,$B174)/SUMIFS('EE Inputs'!$V$9:$V$32,'EE Inputs'!$C$9:$C$32,$AM$6,'EE Inputs'!$D$9:$D$32,$C$4,'EE Inputs'!$E$9:$E$32,$B174)*10,0))</f>
        <v>0</v>
      </c>
      <c r="BL174" s="71">
        <f ca="1">IF($C$4=Lookups!$D$40,SUM(INDIRECT("'Yr1'!"&amp;ADDRESS(ROW(BL174),COLUMN(BL174))),INDIRECT("'Yr2'!"&amp;ADDRESS(ROW(BL174),COLUMN(BL174))),INDIRECT("'Yr3'!"&amp;ADDRESS(ROW(BL174),COLUMN(BL174)))),
IF(BL170&gt;0,SUMIFS('EE Inputs'!$I$9:$I$32,'EE Inputs'!$C$9:$C$32,$AM$6,'EE Inputs'!$D$9:$D$32,$C$4,'EE Inputs'!$E$9:$E$32,$B174)/SUMIFS('EE Inputs'!$V$9:$V$32,'EE Inputs'!$C$9:$C$32,$AM$6,'EE Inputs'!$D$9:$D$32,$C$4,'EE Inputs'!$E$9:$E$32,$B174)*10,0))</f>
        <v>0</v>
      </c>
      <c r="BM174" s="71">
        <f ca="1">IF($C$4=Lookups!$D$40,SUM(INDIRECT("'Yr1'!"&amp;ADDRESS(ROW(BM174),COLUMN(BM174))),INDIRECT("'Yr2'!"&amp;ADDRESS(ROW(BM174),COLUMN(BM174))),INDIRECT("'Yr3'!"&amp;ADDRESS(ROW(BM174),COLUMN(BM174)))),
IF(BM170&gt;0,SUMIFS('EE Inputs'!$I$9:$I$32,'EE Inputs'!$C$9:$C$32,$AM$6,'EE Inputs'!$D$9:$D$32,$C$4,'EE Inputs'!$E$9:$E$32,$B174)/SUMIFS('EE Inputs'!$V$9:$V$32,'EE Inputs'!$C$9:$C$32,$AM$6,'EE Inputs'!$D$9:$D$32,$C$4,'EE Inputs'!$E$9:$E$32,$B174)*10,0))</f>
        <v>0</v>
      </c>
      <c r="BN174" s="71"/>
      <c r="BO174" s="71">
        <f t="shared" ca="1" si="181"/>
        <v>19823171.634809196</v>
      </c>
      <c r="BP174" s="71"/>
      <c r="BS174" s="84" t="s">
        <v>92</v>
      </c>
      <c r="BT174" s="51" t="s">
        <v>17</v>
      </c>
    </row>
    <row r="175" spans="1:72" x14ac:dyDescent="0.25">
      <c r="B175" s="243" t="str">
        <f t="shared" si="179"/>
        <v>Small C&amp;I</v>
      </c>
      <c r="C175" s="243" t="str">
        <f>C174</f>
        <v>Sales</v>
      </c>
      <c r="D175" s="244" t="s">
        <v>109</v>
      </c>
      <c r="E175" s="85" t="s">
        <v>109</v>
      </c>
      <c r="F175" s="84" t="s">
        <v>195</v>
      </c>
      <c r="G175" s="65">
        <f ca="1">G173-G174</f>
        <v>21010190.960757967</v>
      </c>
      <c r="H175" s="65">
        <f t="shared" ref="H175:AG175" ca="1" si="182">H173-H174</f>
        <v>20648189.43403063</v>
      </c>
      <c r="I175" s="65">
        <f t="shared" ca="1" si="182"/>
        <v>20269546.149667785</v>
      </c>
      <c r="J175" s="65">
        <f t="shared" ca="1" si="182"/>
        <v>20269546.149667785</v>
      </c>
      <c r="K175" s="65">
        <f t="shared" ca="1" si="182"/>
        <v>20269546.149667785</v>
      </c>
      <c r="L175" s="65">
        <f t="shared" ca="1" si="182"/>
        <v>20269546.149667785</v>
      </c>
      <c r="M175" s="65">
        <f t="shared" ca="1" si="182"/>
        <v>20269546.149667785</v>
      </c>
      <c r="N175" s="65">
        <f t="shared" ca="1" si="182"/>
        <v>20269546.149667785</v>
      </c>
      <c r="O175" s="65">
        <f t="shared" ca="1" si="182"/>
        <v>20269546.149667785</v>
      </c>
      <c r="P175" s="65">
        <f t="shared" ca="1" si="182"/>
        <v>20269546.149667785</v>
      </c>
      <c r="Q175" s="65">
        <f t="shared" ca="1" si="182"/>
        <v>20269546.149667785</v>
      </c>
      <c r="R175" s="65">
        <f t="shared" ca="1" si="182"/>
        <v>20269546.149667785</v>
      </c>
      <c r="S175" s="65">
        <f t="shared" ca="1" si="182"/>
        <v>20269546.149667785</v>
      </c>
      <c r="T175" s="65">
        <f t="shared" ca="1" si="182"/>
        <v>20269546.149667785</v>
      </c>
      <c r="U175" s="65">
        <f t="shared" ca="1" si="182"/>
        <v>20269546.149667785</v>
      </c>
      <c r="V175" s="65">
        <f t="shared" ca="1" si="182"/>
        <v>20269546.149667785</v>
      </c>
      <c r="W175" s="65">
        <f t="shared" ca="1" si="182"/>
        <v>20612981.037356235</v>
      </c>
      <c r="X175" s="65">
        <f t="shared" ca="1" si="182"/>
        <v>20974982.564083569</v>
      </c>
      <c r="Y175" s="65">
        <f t="shared" ca="1" si="182"/>
        <v>21353625.848446414</v>
      </c>
      <c r="Z175" s="65">
        <f t="shared" ca="1" si="182"/>
        <v>21353625.848446414</v>
      </c>
      <c r="AA175" s="65">
        <f t="shared" ca="1" si="182"/>
        <v>21353625.848446414</v>
      </c>
      <c r="AB175" s="65">
        <f t="shared" ca="1" si="182"/>
        <v>21353625.848446414</v>
      </c>
      <c r="AC175" s="65">
        <f t="shared" ca="1" si="182"/>
        <v>21353625.848446414</v>
      </c>
      <c r="AD175" s="65">
        <f t="shared" ca="1" si="182"/>
        <v>21353625.848446414</v>
      </c>
      <c r="AE175" s="65">
        <f t="shared" ca="1" si="182"/>
        <v>21353625.848446414</v>
      </c>
      <c r="AF175" s="65">
        <f t="shared" ca="1" si="182"/>
        <v>21353625.848446414</v>
      </c>
      <c r="AG175" s="65">
        <f t="shared" ca="1" si="182"/>
        <v>21353625.848446414</v>
      </c>
      <c r="AH175" s="65"/>
      <c r="AI175" s="65">
        <f t="shared" ca="1" si="180"/>
        <v>559202622.72759533</v>
      </c>
      <c r="AJ175" s="65"/>
      <c r="AM175" s="72">
        <f ca="1">AM173-AM174</f>
        <v>20961128.83394533</v>
      </c>
      <c r="AN175" s="72">
        <f t="shared" ref="AN175:BM175" ca="1" si="183">AN173-AN174</f>
        <v>20547412.803399805</v>
      </c>
      <c r="AO175" s="72">
        <f t="shared" ca="1" si="183"/>
        <v>20114677.621270839</v>
      </c>
      <c r="AP175" s="72">
        <f t="shared" ca="1" si="183"/>
        <v>20114677.621270839</v>
      </c>
      <c r="AQ175" s="72">
        <f t="shared" ca="1" si="183"/>
        <v>20114677.621270839</v>
      </c>
      <c r="AR175" s="72">
        <f t="shared" ca="1" si="183"/>
        <v>20114677.621270839</v>
      </c>
      <c r="AS175" s="72">
        <f t="shared" ca="1" si="183"/>
        <v>20114677.621270839</v>
      </c>
      <c r="AT175" s="72">
        <f t="shared" ca="1" si="183"/>
        <v>20114677.621270839</v>
      </c>
      <c r="AU175" s="72">
        <f t="shared" ca="1" si="183"/>
        <v>20114677.621270839</v>
      </c>
      <c r="AV175" s="72">
        <f t="shared" ca="1" si="183"/>
        <v>20114677.621270839</v>
      </c>
      <c r="AW175" s="72">
        <f t="shared" ca="1" si="183"/>
        <v>20114677.621270839</v>
      </c>
      <c r="AX175" s="72">
        <f t="shared" ca="1" si="183"/>
        <v>20114677.621270839</v>
      </c>
      <c r="AY175" s="72">
        <f t="shared" ca="1" si="183"/>
        <v>20114677.621270839</v>
      </c>
      <c r="AZ175" s="72">
        <f t="shared" ca="1" si="183"/>
        <v>20114677.621270839</v>
      </c>
      <c r="BA175" s="72">
        <f t="shared" ca="1" si="183"/>
        <v>20114677.621270839</v>
      </c>
      <c r="BB175" s="72">
        <f t="shared" ca="1" si="183"/>
        <v>20114677.621270839</v>
      </c>
      <c r="BC175" s="72">
        <f t="shared" ca="1" si="183"/>
        <v>20507174.635771923</v>
      </c>
      <c r="BD175" s="72">
        <f t="shared" ca="1" si="183"/>
        <v>20920890.666317448</v>
      </c>
      <c r="BE175" s="72">
        <f t="shared" ca="1" si="183"/>
        <v>21353625.848446414</v>
      </c>
      <c r="BF175" s="72">
        <f t="shared" ca="1" si="183"/>
        <v>21353625.848446414</v>
      </c>
      <c r="BG175" s="72">
        <f t="shared" ca="1" si="183"/>
        <v>21353625.848446414</v>
      </c>
      <c r="BH175" s="72">
        <f t="shared" ca="1" si="183"/>
        <v>21353625.848446414</v>
      </c>
      <c r="BI175" s="72">
        <f t="shared" ca="1" si="183"/>
        <v>21353625.848446414</v>
      </c>
      <c r="BJ175" s="72">
        <f t="shared" ca="1" si="183"/>
        <v>21353625.848446414</v>
      </c>
      <c r="BK175" s="72">
        <f t="shared" ca="1" si="183"/>
        <v>21353625.848446414</v>
      </c>
      <c r="BL175" s="72">
        <f t="shared" ca="1" si="183"/>
        <v>21353625.848446414</v>
      </c>
      <c r="BM175" s="72">
        <f t="shared" ca="1" si="183"/>
        <v>21353625.848446414</v>
      </c>
      <c r="BN175" s="72"/>
      <c r="BO175" s="72">
        <f t="shared" ca="1" si="181"/>
        <v>556724726.27324402</v>
      </c>
      <c r="BP175" s="72"/>
      <c r="BS175" s="84" t="s">
        <v>93</v>
      </c>
      <c r="BT175" s="51" t="s">
        <v>17</v>
      </c>
    </row>
    <row r="176" spans="1:72" s="5" customFormat="1" x14ac:dyDescent="0.25">
      <c r="A176" s="52"/>
      <c r="B176" s="242" t="str">
        <f t="shared" si="179"/>
        <v>Small C&amp;I</v>
      </c>
      <c r="C176" s="243" t="str">
        <f>C175</f>
        <v>Sales</v>
      </c>
      <c r="D176" s="77" t="s">
        <v>17</v>
      </c>
      <c r="E176" s="76"/>
      <c r="F176" s="76"/>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c r="AG176" s="468"/>
      <c r="AH176" s="48"/>
      <c r="AI176" s="235"/>
      <c r="AJ176" s="48"/>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S176" s="76"/>
      <c r="BT176" s="51" t="s">
        <v>17</v>
      </c>
    </row>
    <row r="177" spans="1:72" s="5" customFormat="1" ht="15.75" x14ac:dyDescent="0.25">
      <c r="A177" s="52"/>
      <c r="B177" s="241" t="str">
        <f t="shared" si="179"/>
        <v>Small C&amp;I</v>
      </c>
      <c r="C177" s="63" t="s">
        <v>124</v>
      </c>
      <c r="D177" s="61"/>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2"/>
      <c r="BO177" s="62"/>
      <c r="BP177" s="62"/>
      <c r="BS177" s="62"/>
      <c r="BT177" s="51" t="s">
        <v>17</v>
      </c>
    </row>
    <row r="178" spans="1:72" x14ac:dyDescent="0.25">
      <c r="B178" s="243" t="str">
        <f t="shared" si="179"/>
        <v>Small C&amp;I</v>
      </c>
      <c r="C178" s="243" t="str">
        <f t="shared" si="179"/>
        <v>Revenue Requirements</v>
      </c>
      <c r="D178" s="114" t="str">
        <f>"Revenue Requirement before DSM ("&amp;Lookups!$D$22&amp;" Scenario)"</f>
        <v>Revenue Requirement before DSM (No EE Scenario)</v>
      </c>
      <c r="E178" s="84"/>
      <c r="F178" s="84"/>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S178" s="84"/>
      <c r="BT178" s="51" t="s">
        <v>17</v>
      </c>
    </row>
    <row r="179" spans="1:72" x14ac:dyDescent="0.25">
      <c r="B179" s="243" t="str">
        <f t="shared" si="179"/>
        <v>Small C&amp;I</v>
      </c>
      <c r="C179" s="243" t="str">
        <f t="shared" si="179"/>
        <v>Revenue Requirements</v>
      </c>
      <c r="D179" s="244" t="str">
        <f>D178</f>
        <v>Revenue Requirement before DSM (No EE Scenario)</v>
      </c>
      <c r="E179" s="84" t="s">
        <v>26</v>
      </c>
      <c r="F179" s="84" t="s">
        <v>32</v>
      </c>
      <c r="G179" s="65">
        <f>G196*G173</f>
        <v>8373024.9487512652</v>
      </c>
      <c r="H179" s="65">
        <f t="shared" ref="H179:AG179" si="184">H196*H173</f>
        <v>8373024.9487512652</v>
      </c>
      <c r="I179" s="65">
        <f t="shared" si="184"/>
        <v>8373024.9487512652</v>
      </c>
      <c r="J179" s="65">
        <f t="shared" si="184"/>
        <v>8373024.9487512652</v>
      </c>
      <c r="K179" s="65">
        <f t="shared" si="184"/>
        <v>8373024.9487512652</v>
      </c>
      <c r="L179" s="65">
        <f t="shared" si="184"/>
        <v>8373024.9487512652</v>
      </c>
      <c r="M179" s="65">
        <f t="shared" si="184"/>
        <v>8373024.9487512652</v>
      </c>
      <c r="N179" s="65">
        <f t="shared" si="184"/>
        <v>8373024.9487512652</v>
      </c>
      <c r="O179" s="65">
        <f t="shared" si="184"/>
        <v>8373024.9487512652</v>
      </c>
      <c r="P179" s="65">
        <f t="shared" si="184"/>
        <v>8373024.9487512652</v>
      </c>
      <c r="Q179" s="65">
        <f t="shared" si="184"/>
        <v>8373024.9487512652</v>
      </c>
      <c r="R179" s="65">
        <f t="shared" si="184"/>
        <v>8373024.9487512652</v>
      </c>
      <c r="S179" s="65">
        <f t="shared" si="184"/>
        <v>8373024.9487512652</v>
      </c>
      <c r="T179" s="65">
        <f t="shared" si="184"/>
        <v>8373024.9487512652</v>
      </c>
      <c r="U179" s="65">
        <f t="shared" si="184"/>
        <v>8373024.9487512652</v>
      </c>
      <c r="V179" s="65">
        <f t="shared" si="184"/>
        <v>8373024.9487512652</v>
      </c>
      <c r="W179" s="65">
        <f t="shared" si="184"/>
        <v>8373024.9487512652</v>
      </c>
      <c r="X179" s="65">
        <f t="shared" si="184"/>
        <v>8373024.9487512652</v>
      </c>
      <c r="Y179" s="65">
        <f t="shared" si="184"/>
        <v>8373024.9487512652</v>
      </c>
      <c r="Z179" s="65">
        <f t="shared" si="184"/>
        <v>8373024.9487512652</v>
      </c>
      <c r="AA179" s="65">
        <f t="shared" si="184"/>
        <v>8373024.9487512652</v>
      </c>
      <c r="AB179" s="65">
        <f t="shared" si="184"/>
        <v>8373024.9487512652</v>
      </c>
      <c r="AC179" s="65">
        <f t="shared" si="184"/>
        <v>8373024.9487512652</v>
      </c>
      <c r="AD179" s="65">
        <f t="shared" si="184"/>
        <v>8373024.9487512652</v>
      </c>
      <c r="AE179" s="65">
        <f t="shared" si="184"/>
        <v>8373024.9487512652</v>
      </c>
      <c r="AF179" s="65">
        <f t="shared" si="184"/>
        <v>8373024.9487512652</v>
      </c>
      <c r="AG179" s="65">
        <f t="shared" si="184"/>
        <v>8373024.9487512652</v>
      </c>
      <c r="AH179" s="65"/>
      <c r="AI179" s="65">
        <f>NPV(Lookups!$E$17,G179:AG179)</f>
        <v>186830136.87604639</v>
      </c>
      <c r="AJ179" s="65"/>
      <c r="AM179" s="72">
        <f>AM196*AM173</f>
        <v>8373024.9487512652</v>
      </c>
      <c r="AN179" s="72">
        <f t="shared" ref="AN179:BM179" si="185">AN196*AN173</f>
        <v>8373024.9487512652</v>
      </c>
      <c r="AO179" s="72">
        <f t="shared" si="185"/>
        <v>8373024.9487512652</v>
      </c>
      <c r="AP179" s="72">
        <f t="shared" si="185"/>
        <v>8373024.9487512652</v>
      </c>
      <c r="AQ179" s="72">
        <f t="shared" si="185"/>
        <v>8373024.9487512652</v>
      </c>
      <c r="AR179" s="72">
        <f t="shared" si="185"/>
        <v>8373024.9487512652</v>
      </c>
      <c r="AS179" s="72">
        <f t="shared" si="185"/>
        <v>8373024.9487512652</v>
      </c>
      <c r="AT179" s="72">
        <f t="shared" si="185"/>
        <v>8373024.9487512652</v>
      </c>
      <c r="AU179" s="72">
        <f t="shared" si="185"/>
        <v>8373024.9487512652</v>
      </c>
      <c r="AV179" s="72">
        <f t="shared" si="185"/>
        <v>8373024.9487512652</v>
      </c>
      <c r="AW179" s="72">
        <f t="shared" si="185"/>
        <v>8373024.9487512652</v>
      </c>
      <c r="AX179" s="72">
        <f t="shared" si="185"/>
        <v>8373024.9487512652</v>
      </c>
      <c r="AY179" s="72">
        <f t="shared" si="185"/>
        <v>8373024.9487512652</v>
      </c>
      <c r="AZ179" s="72">
        <f t="shared" si="185"/>
        <v>8373024.9487512652</v>
      </c>
      <c r="BA179" s="72">
        <f t="shared" si="185"/>
        <v>8373024.9487512652</v>
      </c>
      <c r="BB179" s="72">
        <f t="shared" si="185"/>
        <v>8373024.9487512652</v>
      </c>
      <c r="BC179" s="72">
        <f t="shared" si="185"/>
        <v>8373024.9487512652</v>
      </c>
      <c r="BD179" s="72">
        <f t="shared" si="185"/>
        <v>8373024.9487512652</v>
      </c>
      <c r="BE179" s="72">
        <f t="shared" si="185"/>
        <v>8373024.9487512652</v>
      </c>
      <c r="BF179" s="72">
        <f t="shared" si="185"/>
        <v>8373024.9487512652</v>
      </c>
      <c r="BG179" s="72">
        <f t="shared" si="185"/>
        <v>8373024.9487512652</v>
      </c>
      <c r="BH179" s="72">
        <f t="shared" si="185"/>
        <v>8373024.9487512652</v>
      </c>
      <c r="BI179" s="72">
        <f t="shared" si="185"/>
        <v>8373024.9487512652</v>
      </c>
      <c r="BJ179" s="72">
        <f t="shared" si="185"/>
        <v>8373024.9487512652</v>
      </c>
      <c r="BK179" s="72">
        <f t="shared" si="185"/>
        <v>8373024.9487512652</v>
      </c>
      <c r="BL179" s="72">
        <f t="shared" si="185"/>
        <v>8373024.9487512652</v>
      </c>
      <c r="BM179" s="72">
        <f t="shared" si="185"/>
        <v>8373024.9487512652</v>
      </c>
      <c r="BN179" s="72"/>
      <c r="BO179" s="72">
        <f>NPV(Lookups!$E$17,AM179:BM179)</f>
        <v>186830136.87604639</v>
      </c>
      <c r="BP179" s="72"/>
      <c r="BS179" s="84" t="str">
        <f>"No EE Scenario "&amp;E179&amp;" rate multiplied by No EE Scenario sales."</f>
        <v>No EE Scenario Distribution rate multiplied by No EE Scenario sales.</v>
      </c>
      <c r="BT179" s="51" t="s">
        <v>17</v>
      </c>
    </row>
    <row r="180" spans="1:72" x14ac:dyDescent="0.25">
      <c r="B180" s="243" t="str">
        <f t="shared" si="179"/>
        <v>Small C&amp;I</v>
      </c>
      <c r="C180" s="243" t="str">
        <f t="shared" si="179"/>
        <v>Revenue Requirements</v>
      </c>
      <c r="D180" s="244" t="str">
        <f>D179</f>
        <v>Revenue Requirement before DSM (No EE Scenario)</v>
      </c>
      <c r="E180" s="84" t="s">
        <v>407</v>
      </c>
      <c r="F180" s="84" t="s">
        <v>32</v>
      </c>
      <c r="G180" s="65">
        <f>G197*G173</f>
        <v>111038.85441192142</v>
      </c>
      <c r="H180" s="65">
        <f t="shared" ref="H180:AG180" si="186">H197*H173</f>
        <v>111038.85441192142</v>
      </c>
      <c r="I180" s="65">
        <f t="shared" si="186"/>
        <v>111038.85441192142</v>
      </c>
      <c r="J180" s="65">
        <f t="shared" si="186"/>
        <v>111038.85441192142</v>
      </c>
      <c r="K180" s="65">
        <f t="shared" si="186"/>
        <v>111038.85441192142</v>
      </c>
      <c r="L180" s="65">
        <f t="shared" si="186"/>
        <v>111038.85441192142</v>
      </c>
      <c r="M180" s="65">
        <f t="shared" si="186"/>
        <v>111038.85441192142</v>
      </c>
      <c r="N180" s="65">
        <f t="shared" si="186"/>
        <v>111038.85441192142</v>
      </c>
      <c r="O180" s="65">
        <f t="shared" si="186"/>
        <v>111038.85441192142</v>
      </c>
      <c r="P180" s="65">
        <f t="shared" si="186"/>
        <v>111038.85441192142</v>
      </c>
      <c r="Q180" s="65">
        <f t="shared" si="186"/>
        <v>111038.85441192142</v>
      </c>
      <c r="R180" s="65">
        <f t="shared" si="186"/>
        <v>111038.85441192142</v>
      </c>
      <c r="S180" s="65">
        <f t="shared" si="186"/>
        <v>111038.85441192142</v>
      </c>
      <c r="T180" s="65">
        <f t="shared" si="186"/>
        <v>111038.85441192142</v>
      </c>
      <c r="U180" s="65">
        <f t="shared" si="186"/>
        <v>111038.85441192142</v>
      </c>
      <c r="V180" s="65">
        <f t="shared" si="186"/>
        <v>111038.85441192142</v>
      </c>
      <c r="W180" s="65">
        <f t="shared" si="186"/>
        <v>111038.85441192142</v>
      </c>
      <c r="X180" s="65">
        <f t="shared" si="186"/>
        <v>111038.85441192142</v>
      </c>
      <c r="Y180" s="65">
        <f t="shared" si="186"/>
        <v>111038.85441192142</v>
      </c>
      <c r="Z180" s="65">
        <f t="shared" si="186"/>
        <v>111038.85441192142</v>
      </c>
      <c r="AA180" s="65">
        <f t="shared" si="186"/>
        <v>111038.85441192142</v>
      </c>
      <c r="AB180" s="65">
        <f t="shared" si="186"/>
        <v>111038.85441192142</v>
      </c>
      <c r="AC180" s="65">
        <f t="shared" si="186"/>
        <v>111038.85441192142</v>
      </c>
      <c r="AD180" s="65">
        <f t="shared" si="186"/>
        <v>111038.85441192142</v>
      </c>
      <c r="AE180" s="65">
        <f t="shared" si="186"/>
        <v>111038.85441192142</v>
      </c>
      <c r="AF180" s="65">
        <f t="shared" si="186"/>
        <v>111038.85441192142</v>
      </c>
      <c r="AG180" s="65">
        <f t="shared" si="186"/>
        <v>111038.85441192142</v>
      </c>
      <c r="AH180" s="65"/>
      <c r="AI180" s="65">
        <f>NPV(Lookups!$E$17,G180:AG180)</f>
        <v>2477647.5043744599</v>
      </c>
      <c r="AJ180" s="65"/>
      <c r="AM180" s="72">
        <f>AM197*AM173</f>
        <v>111038.85441192142</v>
      </c>
      <c r="AN180" s="72">
        <f t="shared" ref="AN180:BM180" si="187">AN197*AN173</f>
        <v>111038.85441192142</v>
      </c>
      <c r="AO180" s="72">
        <f t="shared" si="187"/>
        <v>111038.85441192142</v>
      </c>
      <c r="AP180" s="72">
        <f t="shared" si="187"/>
        <v>111038.85441192142</v>
      </c>
      <c r="AQ180" s="72">
        <f t="shared" si="187"/>
        <v>111038.85441192142</v>
      </c>
      <c r="AR180" s="72">
        <f t="shared" si="187"/>
        <v>111038.85441192142</v>
      </c>
      <c r="AS180" s="72">
        <f t="shared" si="187"/>
        <v>111038.85441192142</v>
      </c>
      <c r="AT180" s="72">
        <f t="shared" si="187"/>
        <v>111038.85441192142</v>
      </c>
      <c r="AU180" s="72">
        <f t="shared" si="187"/>
        <v>111038.85441192142</v>
      </c>
      <c r="AV180" s="72">
        <f t="shared" si="187"/>
        <v>111038.85441192142</v>
      </c>
      <c r="AW180" s="72">
        <f t="shared" si="187"/>
        <v>111038.85441192142</v>
      </c>
      <c r="AX180" s="72">
        <f t="shared" si="187"/>
        <v>111038.85441192142</v>
      </c>
      <c r="AY180" s="72">
        <f t="shared" si="187"/>
        <v>111038.85441192142</v>
      </c>
      <c r="AZ180" s="72">
        <f t="shared" si="187"/>
        <v>111038.85441192142</v>
      </c>
      <c r="BA180" s="72">
        <f t="shared" si="187"/>
        <v>111038.85441192142</v>
      </c>
      <c r="BB180" s="72">
        <f t="shared" si="187"/>
        <v>111038.85441192142</v>
      </c>
      <c r="BC180" s="72">
        <f t="shared" si="187"/>
        <v>111038.85441192142</v>
      </c>
      <c r="BD180" s="72">
        <f t="shared" si="187"/>
        <v>111038.85441192142</v>
      </c>
      <c r="BE180" s="72">
        <f t="shared" si="187"/>
        <v>111038.85441192142</v>
      </c>
      <c r="BF180" s="72">
        <f t="shared" si="187"/>
        <v>111038.85441192142</v>
      </c>
      <c r="BG180" s="72">
        <f t="shared" si="187"/>
        <v>111038.85441192142</v>
      </c>
      <c r="BH180" s="72">
        <f t="shared" si="187"/>
        <v>111038.85441192142</v>
      </c>
      <c r="BI180" s="72">
        <f t="shared" si="187"/>
        <v>111038.85441192142</v>
      </c>
      <c r="BJ180" s="72">
        <f t="shared" si="187"/>
        <v>111038.85441192142</v>
      </c>
      <c r="BK180" s="72">
        <f t="shared" si="187"/>
        <v>111038.85441192142</v>
      </c>
      <c r="BL180" s="72">
        <f t="shared" si="187"/>
        <v>111038.85441192142</v>
      </c>
      <c r="BM180" s="72">
        <f t="shared" si="187"/>
        <v>111038.85441192142</v>
      </c>
      <c r="BN180" s="72"/>
      <c r="BO180" s="72">
        <f>NPV(Lookups!$E$17,AM180:BM180)</f>
        <v>2477647.5043744599</v>
      </c>
      <c r="BP180" s="72"/>
      <c r="BS180" s="84" t="str">
        <f>"No EE Scenario "&amp;E180&amp;" rate multiplied by No EE Scenario sales."</f>
        <v>No EE Scenario LDAC, Non-EE rate multiplied by No EE Scenario sales.</v>
      </c>
      <c r="BT180" s="51" t="s">
        <v>17</v>
      </c>
    </row>
    <row r="181" spans="1:72" x14ac:dyDescent="0.25">
      <c r="A181" s="1"/>
      <c r="B181" s="243" t="str">
        <f>B179</f>
        <v>Small C&amp;I</v>
      </c>
      <c r="C181" s="243" t="str">
        <f>C179</f>
        <v>Revenue Requirements</v>
      </c>
      <c r="D181" s="244" t="str">
        <f>D179</f>
        <v>Revenue Requirement before DSM (No EE Scenario)</v>
      </c>
      <c r="E181" s="84" t="s">
        <v>197</v>
      </c>
      <c r="F181" s="84" t="s">
        <v>32</v>
      </c>
      <c r="G181" s="65">
        <f>G198*G173</f>
        <v>13217894.400188331</v>
      </c>
      <c r="H181" s="65">
        <f t="shared" ref="H181:AG181" si="188">H198*H173</f>
        <v>13217894.400188331</v>
      </c>
      <c r="I181" s="65">
        <f t="shared" si="188"/>
        <v>13217894.400188331</v>
      </c>
      <c r="J181" s="65">
        <f t="shared" si="188"/>
        <v>13217894.400188331</v>
      </c>
      <c r="K181" s="65">
        <f t="shared" si="188"/>
        <v>13217894.400188331</v>
      </c>
      <c r="L181" s="65">
        <f t="shared" si="188"/>
        <v>13217894.400188331</v>
      </c>
      <c r="M181" s="65">
        <f t="shared" si="188"/>
        <v>13217894.400188331</v>
      </c>
      <c r="N181" s="65">
        <f t="shared" si="188"/>
        <v>13217894.400188331</v>
      </c>
      <c r="O181" s="65">
        <f t="shared" si="188"/>
        <v>13217894.400188331</v>
      </c>
      <c r="P181" s="65">
        <f t="shared" si="188"/>
        <v>13217894.400188331</v>
      </c>
      <c r="Q181" s="65">
        <f t="shared" si="188"/>
        <v>13217894.400188331</v>
      </c>
      <c r="R181" s="65">
        <f t="shared" si="188"/>
        <v>13217894.400188331</v>
      </c>
      <c r="S181" s="65">
        <f t="shared" si="188"/>
        <v>13217894.400188331</v>
      </c>
      <c r="T181" s="65">
        <f t="shared" si="188"/>
        <v>13217894.400188331</v>
      </c>
      <c r="U181" s="65">
        <f t="shared" si="188"/>
        <v>13217894.400188331</v>
      </c>
      <c r="V181" s="65">
        <f t="shared" si="188"/>
        <v>13217894.400188331</v>
      </c>
      <c r="W181" s="65">
        <f t="shared" si="188"/>
        <v>13217894.400188331</v>
      </c>
      <c r="X181" s="65">
        <f t="shared" si="188"/>
        <v>13217894.400188331</v>
      </c>
      <c r="Y181" s="65">
        <f t="shared" si="188"/>
        <v>13217894.400188331</v>
      </c>
      <c r="Z181" s="65">
        <f t="shared" si="188"/>
        <v>13217894.400188331</v>
      </c>
      <c r="AA181" s="65">
        <f t="shared" si="188"/>
        <v>13217894.400188331</v>
      </c>
      <c r="AB181" s="65">
        <f t="shared" si="188"/>
        <v>13217894.400188331</v>
      </c>
      <c r="AC181" s="65">
        <f t="shared" si="188"/>
        <v>13217894.400188331</v>
      </c>
      <c r="AD181" s="65">
        <f t="shared" si="188"/>
        <v>13217894.400188331</v>
      </c>
      <c r="AE181" s="65">
        <f t="shared" si="188"/>
        <v>13217894.400188331</v>
      </c>
      <c r="AF181" s="65">
        <f t="shared" si="188"/>
        <v>13217894.400188331</v>
      </c>
      <c r="AG181" s="65">
        <f t="shared" si="188"/>
        <v>13217894.400188331</v>
      </c>
      <c r="AH181" s="65"/>
      <c r="AI181" s="65">
        <f>NPV(Lookups!$E$17,G181:AG181)</f>
        <v>294935347.15534425</v>
      </c>
      <c r="AJ181" s="65"/>
      <c r="AM181" s="72">
        <f>AM198*AM173</f>
        <v>13217894.400188331</v>
      </c>
      <c r="AN181" s="72">
        <f t="shared" ref="AN181:BM181" si="189">AN198*AN173</f>
        <v>13217894.400188331</v>
      </c>
      <c r="AO181" s="72">
        <f t="shared" si="189"/>
        <v>13217894.400188331</v>
      </c>
      <c r="AP181" s="72">
        <f t="shared" si="189"/>
        <v>13217894.400188331</v>
      </c>
      <c r="AQ181" s="72">
        <f t="shared" si="189"/>
        <v>13217894.400188331</v>
      </c>
      <c r="AR181" s="72">
        <f t="shared" si="189"/>
        <v>13217894.400188331</v>
      </c>
      <c r="AS181" s="72">
        <f t="shared" si="189"/>
        <v>13217894.400188331</v>
      </c>
      <c r="AT181" s="72">
        <f t="shared" si="189"/>
        <v>13217894.400188331</v>
      </c>
      <c r="AU181" s="72">
        <f t="shared" si="189"/>
        <v>13217894.400188331</v>
      </c>
      <c r="AV181" s="72">
        <f t="shared" si="189"/>
        <v>13217894.400188331</v>
      </c>
      <c r="AW181" s="72">
        <f t="shared" si="189"/>
        <v>13217894.400188331</v>
      </c>
      <c r="AX181" s="72">
        <f t="shared" si="189"/>
        <v>13217894.400188331</v>
      </c>
      <c r="AY181" s="72">
        <f t="shared" si="189"/>
        <v>13217894.400188331</v>
      </c>
      <c r="AZ181" s="72">
        <f t="shared" si="189"/>
        <v>13217894.400188331</v>
      </c>
      <c r="BA181" s="72">
        <f t="shared" si="189"/>
        <v>13217894.400188331</v>
      </c>
      <c r="BB181" s="72">
        <f t="shared" si="189"/>
        <v>13217894.400188331</v>
      </c>
      <c r="BC181" s="72">
        <f t="shared" si="189"/>
        <v>13217894.400188331</v>
      </c>
      <c r="BD181" s="72">
        <f t="shared" si="189"/>
        <v>13217894.400188331</v>
      </c>
      <c r="BE181" s="72">
        <f t="shared" si="189"/>
        <v>13217894.400188331</v>
      </c>
      <c r="BF181" s="72">
        <f t="shared" si="189"/>
        <v>13217894.400188331</v>
      </c>
      <c r="BG181" s="72">
        <f t="shared" si="189"/>
        <v>13217894.400188331</v>
      </c>
      <c r="BH181" s="72">
        <f t="shared" si="189"/>
        <v>13217894.400188331</v>
      </c>
      <c r="BI181" s="72">
        <f t="shared" si="189"/>
        <v>13217894.400188331</v>
      </c>
      <c r="BJ181" s="72">
        <f t="shared" si="189"/>
        <v>13217894.400188331</v>
      </c>
      <c r="BK181" s="72">
        <f t="shared" si="189"/>
        <v>13217894.400188331</v>
      </c>
      <c r="BL181" s="72">
        <f t="shared" si="189"/>
        <v>13217894.400188331</v>
      </c>
      <c r="BM181" s="72">
        <f t="shared" si="189"/>
        <v>13217894.400188331</v>
      </c>
      <c r="BN181" s="72"/>
      <c r="BO181" s="72">
        <f>NPV(Lookups!$E$17,AM181:BM181)</f>
        <v>294935347.15534425</v>
      </c>
      <c r="BP181" s="72"/>
      <c r="BS181" s="84" t="str">
        <f>"No EE Scenario "&amp;E181&amp;" rate multiplied by No EE Scenario sales."</f>
        <v>No EE Scenario Cost of Gas rate multiplied by No EE Scenario sales.</v>
      </c>
      <c r="BT181" s="51" t="s">
        <v>17</v>
      </c>
    </row>
    <row r="182" spans="1:72" x14ac:dyDescent="0.25">
      <c r="B182" s="243" t="str">
        <f t="shared" ref="B182:C184" si="190">B181</f>
        <v>Small C&amp;I</v>
      </c>
      <c r="C182" s="243" t="str">
        <f t="shared" si="190"/>
        <v>Revenue Requirements</v>
      </c>
      <c r="D182" s="114" t="s">
        <v>24</v>
      </c>
      <c r="E182" s="84"/>
      <c r="F182" s="84"/>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S182" s="84"/>
      <c r="BT182" s="51" t="s">
        <v>17</v>
      </c>
    </row>
    <row r="183" spans="1:72" x14ac:dyDescent="0.25">
      <c r="A183" s="246"/>
      <c r="B183" s="243" t="str">
        <f t="shared" si="190"/>
        <v>Small C&amp;I</v>
      </c>
      <c r="C183" s="243" t="str">
        <f t="shared" si="190"/>
        <v>Revenue Requirements</v>
      </c>
      <c r="D183" s="244" t="str">
        <f>D182</f>
        <v>Avoided Costs</v>
      </c>
      <c r="E183" s="84" t="s">
        <v>45</v>
      </c>
      <c r="F183" s="84" t="s">
        <v>32</v>
      </c>
      <c r="G183" s="65">
        <f ca="1">IF($C$4=Lookups!$D$40,SUM(INDIRECT("'Yr1'!"&amp;ADDRESS(ROW(G183),COLUMN(G183))),INDIRECT("'Yr2'!"&amp;ADDRESS(ROW(G183),COLUMN(G183))),INDIRECT("'Yr3'!"&amp;ADDRESS(ROW(G183),COLUMN(G183)))),
IF(G170=0,0,-PMT(INDEX(Lookups!$E$17:$G$17,MATCH($C$4,Lookups!$E$14:$G$14,0)),G170,SUMIFS('EE Inputs'!$J$9:$J$32,'EE Inputs'!$C$9:$C$32,$G$6,'EE Inputs'!$D$9:$D$32,$C$4,'EE Inputs'!$E$9:$E$32,$B183),0,1)))-G184</f>
        <v>204220.8590284661</v>
      </c>
      <c r="H183" s="65">
        <f ca="1">IF($C$4=Lookups!$D$40,SUM(INDIRECT("'Yr1'!"&amp;ADDRESS(ROW(H183),COLUMN(H183))),INDIRECT("'Yr2'!"&amp;ADDRESS(ROW(H183),COLUMN(H183))),INDIRECT("'Yr3'!"&amp;ADDRESS(ROW(H183),COLUMN(H183)))),
IF(H170=0,0,-PMT(INDEX(Lookups!$E$17:$G$17,MATCH($C$4,Lookups!$E$14:$G$14,0)),H170,SUMIFS('EE Inputs'!$J$9:$J$32,'EE Inputs'!$C$9:$C$32,$G$6,'EE Inputs'!$D$9:$D$32,$C$4,'EE Inputs'!$E$9:$E$32,$B183),0,1)))-H184</f>
        <v>419506.70174257003</v>
      </c>
      <c r="I183" s="65">
        <f ca="1">IF($C$4=Lookups!$D$40,SUM(INDIRECT("'Yr1'!"&amp;ADDRESS(ROW(I183),COLUMN(I183))),INDIRECT("'Yr2'!"&amp;ADDRESS(ROW(I183),COLUMN(I183))),INDIRECT("'Yr3'!"&amp;ADDRESS(ROW(I183),COLUMN(I183)))),
IF(I170=0,0,-PMT(INDEX(Lookups!$E$17:$G$17,MATCH($C$4,Lookups!$E$14:$G$14,0)),I170,SUMIFS('EE Inputs'!$J$9:$J$32,'EE Inputs'!$C$9:$C$32,$G$6,'EE Inputs'!$D$9:$D$32,$C$4,'EE Inputs'!$E$9:$E$32,$B183),0,1)))-I184</f>
        <v>644636.7624533975</v>
      </c>
      <c r="J183" s="65">
        <f ca="1">IF($C$4=Lookups!$D$40,SUM(INDIRECT("'Yr1'!"&amp;ADDRESS(ROW(J183),COLUMN(J183))),INDIRECT("'Yr2'!"&amp;ADDRESS(ROW(J183),COLUMN(J183))),INDIRECT("'Yr3'!"&amp;ADDRESS(ROW(J183),COLUMN(J183)))),
IF(J170=0,0,-PMT(INDEX(Lookups!$E$17:$G$17,MATCH($C$4,Lookups!$E$14:$G$14,0)),J170,SUMIFS('EE Inputs'!$J$9:$J$32,'EE Inputs'!$C$9:$C$32,$G$6,'EE Inputs'!$D$9:$D$32,$C$4,'EE Inputs'!$E$9:$E$32,$B183),0,1)))-J184</f>
        <v>644636.7624533975</v>
      </c>
      <c r="K183" s="65">
        <f ca="1">IF($C$4=Lookups!$D$40,SUM(INDIRECT("'Yr1'!"&amp;ADDRESS(ROW(K183),COLUMN(K183))),INDIRECT("'Yr2'!"&amp;ADDRESS(ROW(K183),COLUMN(K183))),INDIRECT("'Yr3'!"&amp;ADDRESS(ROW(K183),COLUMN(K183)))),
IF(K170=0,0,-PMT(INDEX(Lookups!$E$17:$G$17,MATCH($C$4,Lookups!$E$14:$G$14,0)),K170,SUMIFS('EE Inputs'!$J$9:$J$32,'EE Inputs'!$C$9:$C$32,$G$6,'EE Inputs'!$D$9:$D$32,$C$4,'EE Inputs'!$E$9:$E$32,$B183),0,1)))-K184</f>
        <v>644636.7624533975</v>
      </c>
      <c r="L183" s="65">
        <f ca="1">IF($C$4=Lookups!$D$40,SUM(INDIRECT("'Yr1'!"&amp;ADDRESS(ROW(L183),COLUMN(L183))),INDIRECT("'Yr2'!"&amp;ADDRESS(ROW(L183),COLUMN(L183))),INDIRECT("'Yr3'!"&amp;ADDRESS(ROW(L183),COLUMN(L183)))),
IF(L170=0,0,-PMT(INDEX(Lookups!$E$17:$G$17,MATCH($C$4,Lookups!$E$14:$G$14,0)),L170,SUMIFS('EE Inputs'!$J$9:$J$32,'EE Inputs'!$C$9:$C$32,$G$6,'EE Inputs'!$D$9:$D$32,$C$4,'EE Inputs'!$E$9:$E$32,$B183),0,1)))-L184</f>
        <v>644636.7624533975</v>
      </c>
      <c r="M183" s="65">
        <f ca="1">IF($C$4=Lookups!$D$40,SUM(INDIRECT("'Yr1'!"&amp;ADDRESS(ROW(M183),COLUMN(M183))),INDIRECT("'Yr2'!"&amp;ADDRESS(ROW(M183),COLUMN(M183))),INDIRECT("'Yr3'!"&amp;ADDRESS(ROW(M183),COLUMN(M183)))),
IF(M170=0,0,-PMT(INDEX(Lookups!$E$17:$G$17,MATCH($C$4,Lookups!$E$14:$G$14,0)),M170,SUMIFS('EE Inputs'!$J$9:$J$32,'EE Inputs'!$C$9:$C$32,$G$6,'EE Inputs'!$D$9:$D$32,$C$4,'EE Inputs'!$E$9:$E$32,$B183),0,1)))-M184</f>
        <v>644636.7624533975</v>
      </c>
      <c r="N183" s="65">
        <f ca="1">IF($C$4=Lookups!$D$40,SUM(INDIRECT("'Yr1'!"&amp;ADDRESS(ROW(N183),COLUMN(N183))),INDIRECT("'Yr2'!"&amp;ADDRESS(ROW(N183),COLUMN(N183))),INDIRECT("'Yr3'!"&amp;ADDRESS(ROW(N183),COLUMN(N183)))),
IF(N170=0,0,-PMT(INDEX(Lookups!$E$17:$G$17,MATCH($C$4,Lookups!$E$14:$G$14,0)),N170,SUMIFS('EE Inputs'!$J$9:$J$32,'EE Inputs'!$C$9:$C$32,$G$6,'EE Inputs'!$D$9:$D$32,$C$4,'EE Inputs'!$E$9:$E$32,$B183),0,1)))-N184</f>
        <v>644636.7624533975</v>
      </c>
      <c r="O183" s="65">
        <f ca="1">IF($C$4=Lookups!$D$40,SUM(INDIRECT("'Yr1'!"&amp;ADDRESS(ROW(O183),COLUMN(O183))),INDIRECT("'Yr2'!"&amp;ADDRESS(ROW(O183),COLUMN(O183))),INDIRECT("'Yr3'!"&amp;ADDRESS(ROW(O183),COLUMN(O183)))),
IF(O170=0,0,-PMT(INDEX(Lookups!$E$17:$G$17,MATCH($C$4,Lookups!$E$14:$G$14,0)),O170,SUMIFS('EE Inputs'!$J$9:$J$32,'EE Inputs'!$C$9:$C$32,$G$6,'EE Inputs'!$D$9:$D$32,$C$4,'EE Inputs'!$E$9:$E$32,$B183),0,1)))-O184</f>
        <v>644636.7624533975</v>
      </c>
      <c r="P183" s="65">
        <f ca="1">IF($C$4=Lookups!$D$40,SUM(INDIRECT("'Yr1'!"&amp;ADDRESS(ROW(P183),COLUMN(P183))),INDIRECT("'Yr2'!"&amp;ADDRESS(ROW(P183),COLUMN(P183))),INDIRECT("'Yr3'!"&amp;ADDRESS(ROW(P183),COLUMN(P183)))),
IF(P170=0,0,-PMT(INDEX(Lookups!$E$17:$G$17,MATCH($C$4,Lookups!$E$14:$G$14,0)),P170,SUMIFS('EE Inputs'!$J$9:$J$32,'EE Inputs'!$C$9:$C$32,$G$6,'EE Inputs'!$D$9:$D$32,$C$4,'EE Inputs'!$E$9:$E$32,$B183),0,1)))-P184</f>
        <v>644636.7624533975</v>
      </c>
      <c r="Q183" s="65">
        <f ca="1">IF($C$4=Lookups!$D$40,SUM(INDIRECT("'Yr1'!"&amp;ADDRESS(ROW(Q183),COLUMN(Q183))),INDIRECT("'Yr2'!"&amp;ADDRESS(ROW(Q183),COLUMN(Q183))),INDIRECT("'Yr3'!"&amp;ADDRESS(ROW(Q183),COLUMN(Q183)))),
IF(Q170=0,0,-PMT(INDEX(Lookups!$E$17:$G$17,MATCH($C$4,Lookups!$E$14:$G$14,0)),Q170,SUMIFS('EE Inputs'!$J$9:$J$32,'EE Inputs'!$C$9:$C$32,$G$6,'EE Inputs'!$D$9:$D$32,$C$4,'EE Inputs'!$E$9:$E$32,$B183),0,1)))-Q184</f>
        <v>644636.7624533975</v>
      </c>
      <c r="R183" s="65">
        <f ca="1">IF($C$4=Lookups!$D$40,SUM(INDIRECT("'Yr1'!"&amp;ADDRESS(ROW(R183),COLUMN(R183))),INDIRECT("'Yr2'!"&amp;ADDRESS(ROW(R183),COLUMN(R183))),INDIRECT("'Yr3'!"&amp;ADDRESS(ROW(R183),COLUMN(R183)))),
IF(R170=0,0,-PMT(INDEX(Lookups!$E$17:$G$17,MATCH($C$4,Lookups!$E$14:$G$14,0)),R170,SUMIFS('EE Inputs'!$J$9:$J$32,'EE Inputs'!$C$9:$C$32,$G$6,'EE Inputs'!$D$9:$D$32,$C$4,'EE Inputs'!$E$9:$E$32,$B183),0,1)))-R184</f>
        <v>644636.7624533975</v>
      </c>
      <c r="S183" s="65">
        <f ca="1">IF($C$4=Lookups!$D$40,SUM(INDIRECT("'Yr1'!"&amp;ADDRESS(ROW(S183),COLUMN(S183))),INDIRECT("'Yr2'!"&amp;ADDRESS(ROW(S183),COLUMN(S183))),INDIRECT("'Yr3'!"&amp;ADDRESS(ROW(S183),COLUMN(S183)))),
IF(S170=0,0,-PMT(INDEX(Lookups!$E$17:$G$17,MATCH($C$4,Lookups!$E$14:$G$14,0)),S170,SUMIFS('EE Inputs'!$J$9:$J$32,'EE Inputs'!$C$9:$C$32,$G$6,'EE Inputs'!$D$9:$D$32,$C$4,'EE Inputs'!$E$9:$E$32,$B183),0,1)))-S184</f>
        <v>644636.7624533975</v>
      </c>
      <c r="T183" s="65">
        <f ca="1">IF($C$4=Lookups!$D$40,SUM(INDIRECT("'Yr1'!"&amp;ADDRESS(ROW(T183),COLUMN(T183))),INDIRECT("'Yr2'!"&amp;ADDRESS(ROW(T183),COLUMN(T183))),INDIRECT("'Yr3'!"&amp;ADDRESS(ROW(T183),COLUMN(T183)))),
IF(T170=0,0,-PMT(INDEX(Lookups!$E$17:$G$17,MATCH($C$4,Lookups!$E$14:$G$14,0)),T170,SUMIFS('EE Inputs'!$J$9:$J$32,'EE Inputs'!$C$9:$C$32,$G$6,'EE Inputs'!$D$9:$D$32,$C$4,'EE Inputs'!$E$9:$E$32,$B183),0,1)))-T184</f>
        <v>644636.7624533975</v>
      </c>
      <c r="U183" s="65">
        <f ca="1">IF($C$4=Lookups!$D$40,SUM(INDIRECT("'Yr1'!"&amp;ADDRESS(ROW(U183),COLUMN(U183))),INDIRECT("'Yr2'!"&amp;ADDRESS(ROW(U183),COLUMN(U183))),INDIRECT("'Yr3'!"&amp;ADDRESS(ROW(U183),COLUMN(U183)))),
IF(U170=0,0,-PMT(INDEX(Lookups!$E$17:$G$17,MATCH($C$4,Lookups!$E$14:$G$14,0)),U170,SUMIFS('EE Inputs'!$J$9:$J$32,'EE Inputs'!$C$9:$C$32,$G$6,'EE Inputs'!$D$9:$D$32,$C$4,'EE Inputs'!$E$9:$E$32,$B183),0,1)))-U184</f>
        <v>644636.7624533975</v>
      </c>
      <c r="V183" s="65">
        <f ca="1">IF($C$4=Lookups!$D$40,SUM(INDIRECT("'Yr1'!"&amp;ADDRESS(ROW(V183),COLUMN(V183))),INDIRECT("'Yr2'!"&amp;ADDRESS(ROW(V183),COLUMN(V183))),INDIRECT("'Yr3'!"&amp;ADDRESS(ROW(V183),COLUMN(V183)))),
IF(V170=0,0,-PMT(INDEX(Lookups!$E$17:$G$17,MATCH($C$4,Lookups!$E$14:$G$14,0)),V170,SUMIFS('EE Inputs'!$J$9:$J$32,'EE Inputs'!$C$9:$C$32,$G$6,'EE Inputs'!$D$9:$D$32,$C$4,'EE Inputs'!$E$9:$E$32,$B183),0,1)))-V184</f>
        <v>644636.7624533975</v>
      </c>
      <c r="W183" s="65">
        <f ca="1">IF($C$4=Lookups!$D$40,SUM(INDIRECT("'Yr1'!"&amp;ADDRESS(ROW(W183),COLUMN(W183))),INDIRECT("'Yr2'!"&amp;ADDRESS(ROW(W183),COLUMN(W183))),INDIRECT("'Yr3'!"&amp;ADDRESS(ROW(W183),COLUMN(W183)))),
IF(W170=0,0,-PMT(INDEX(Lookups!$E$17:$G$17,MATCH($C$4,Lookups!$E$14:$G$14,0)),W170,SUMIFS('EE Inputs'!$J$9:$J$32,'EE Inputs'!$C$9:$C$32,$G$6,'EE Inputs'!$D$9:$D$32,$C$4,'EE Inputs'!$E$9:$E$32,$B183),0,1)))-W184</f>
        <v>440415.90342493134</v>
      </c>
      <c r="X183" s="65">
        <f ca="1">IF($C$4=Lookups!$D$40,SUM(INDIRECT("'Yr1'!"&amp;ADDRESS(ROW(X183),COLUMN(X183))),INDIRECT("'Yr2'!"&amp;ADDRESS(ROW(X183),COLUMN(X183))),INDIRECT("'Yr3'!"&amp;ADDRESS(ROW(X183),COLUMN(X183)))),
IF(X170=0,0,-PMT(INDEX(Lookups!$E$17:$G$17,MATCH($C$4,Lookups!$E$14:$G$14,0)),X170,SUMIFS('EE Inputs'!$J$9:$J$32,'EE Inputs'!$C$9:$C$32,$G$6,'EE Inputs'!$D$9:$D$32,$C$4,'EE Inputs'!$E$9:$E$32,$B183),0,1)))-X184</f>
        <v>225130.06071082738</v>
      </c>
      <c r="Y183" s="65">
        <f ca="1">IF($C$4=Lookups!$D$40,SUM(INDIRECT("'Yr1'!"&amp;ADDRESS(ROW(Y183),COLUMN(Y183))),INDIRECT("'Yr2'!"&amp;ADDRESS(ROW(Y183),COLUMN(Y183))),INDIRECT("'Yr3'!"&amp;ADDRESS(ROW(Y183),COLUMN(Y183)))),
IF(Y170=0,0,-PMT(INDEX(Lookups!$E$17:$G$17,MATCH($C$4,Lookups!$E$14:$G$14,0)),Y170,SUMIFS('EE Inputs'!$J$9:$J$32,'EE Inputs'!$C$9:$C$32,$G$6,'EE Inputs'!$D$9:$D$32,$C$4,'EE Inputs'!$E$9:$E$32,$B183),0,1)))-Y184</f>
        <v>0</v>
      </c>
      <c r="Z183" s="65">
        <f ca="1">IF($C$4=Lookups!$D$40,SUM(INDIRECT("'Yr1'!"&amp;ADDRESS(ROW(Z183),COLUMN(Z183))),INDIRECT("'Yr2'!"&amp;ADDRESS(ROW(Z183),COLUMN(Z183))),INDIRECT("'Yr3'!"&amp;ADDRESS(ROW(Z183),COLUMN(Z183)))),
IF(Z170=0,0,-PMT(INDEX(Lookups!$E$17:$G$17,MATCH($C$4,Lookups!$E$14:$G$14,0)),Z170,SUMIFS('EE Inputs'!$J$9:$J$32,'EE Inputs'!$C$9:$C$32,$G$6,'EE Inputs'!$D$9:$D$32,$C$4,'EE Inputs'!$E$9:$E$32,$B183),0,1)))-Z184</f>
        <v>0</v>
      </c>
      <c r="AA183" s="65">
        <f ca="1">IF($C$4=Lookups!$D$40,SUM(INDIRECT("'Yr1'!"&amp;ADDRESS(ROW(AA183),COLUMN(AA183))),INDIRECT("'Yr2'!"&amp;ADDRESS(ROW(AA183),COLUMN(AA183))),INDIRECT("'Yr3'!"&amp;ADDRESS(ROW(AA183),COLUMN(AA183)))),
IF(AA170=0,0,-PMT(INDEX(Lookups!$E$17:$G$17,MATCH($C$4,Lookups!$E$14:$G$14,0)),AA170,SUMIFS('EE Inputs'!$J$9:$J$32,'EE Inputs'!$C$9:$C$32,$G$6,'EE Inputs'!$D$9:$D$32,$C$4,'EE Inputs'!$E$9:$E$32,$B183),0,1)))-AA184</f>
        <v>0</v>
      </c>
      <c r="AB183" s="65">
        <f ca="1">IF($C$4=Lookups!$D$40,SUM(INDIRECT("'Yr1'!"&amp;ADDRESS(ROW(AB183),COLUMN(AB183))),INDIRECT("'Yr2'!"&amp;ADDRESS(ROW(AB183),COLUMN(AB183))),INDIRECT("'Yr3'!"&amp;ADDRESS(ROW(AB183),COLUMN(AB183)))),
IF(AB170=0,0,-PMT(INDEX(Lookups!$E$17:$G$17,MATCH($C$4,Lookups!$E$14:$G$14,0)),AB170,SUMIFS('EE Inputs'!$J$9:$J$32,'EE Inputs'!$C$9:$C$32,$G$6,'EE Inputs'!$D$9:$D$32,$C$4,'EE Inputs'!$E$9:$E$32,$B183),0,1)))-AB184</f>
        <v>0</v>
      </c>
      <c r="AC183" s="65">
        <f ca="1">IF($C$4=Lookups!$D$40,SUM(INDIRECT("'Yr1'!"&amp;ADDRESS(ROW(AC183),COLUMN(AC183))),INDIRECT("'Yr2'!"&amp;ADDRESS(ROW(AC183),COLUMN(AC183))),INDIRECT("'Yr3'!"&amp;ADDRESS(ROW(AC183),COLUMN(AC183)))),
IF(AC170=0,0,-PMT(INDEX(Lookups!$E$17:$G$17,MATCH($C$4,Lookups!$E$14:$G$14,0)),AC170,SUMIFS('EE Inputs'!$J$9:$J$32,'EE Inputs'!$C$9:$C$32,$G$6,'EE Inputs'!$D$9:$D$32,$C$4,'EE Inputs'!$E$9:$E$32,$B183),0,1)))-AC184</f>
        <v>0</v>
      </c>
      <c r="AD183" s="65">
        <f ca="1">IF($C$4=Lookups!$D$40,SUM(INDIRECT("'Yr1'!"&amp;ADDRESS(ROW(AD183),COLUMN(AD183))),INDIRECT("'Yr2'!"&amp;ADDRESS(ROW(AD183),COLUMN(AD183))),INDIRECT("'Yr3'!"&amp;ADDRESS(ROW(AD183),COLUMN(AD183)))),
IF(AD170=0,0,-PMT(INDEX(Lookups!$E$17:$G$17,MATCH($C$4,Lookups!$E$14:$G$14,0)),AD170,SUMIFS('EE Inputs'!$J$9:$J$32,'EE Inputs'!$C$9:$C$32,$G$6,'EE Inputs'!$D$9:$D$32,$C$4,'EE Inputs'!$E$9:$E$32,$B183),0,1)))-AD184</f>
        <v>0</v>
      </c>
      <c r="AE183" s="65">
        <f ca="1">IF($C$4=Lookups!$D$40,SUM(INDIRECT("'Yr1'!"&amp;ADDRESS(ROW(AE183),COLUMN(AE183))),INDIRECT("'Yr2'!"&amp;ADDRESS(ROW(AE183),COLUMN(AE183))),INDIRECT("'Yr3'!"&amp;ADDRESS(ROW(AE183),COLUMN(AE183)))),
IF(AE170=0,0,-PMT(INDEX(Lookups!$E$17:$G$17,MATCH($C$4,Lookups!$E$14:$G$14,0)),AE170,SUMIFS('EE Inputs'!$J$9:$J$32,'EE Inputs'!$C$9:$C$32,$G$6,'EE Inputs'!$D$9:$D$32,$C$4,'EE Inputs'!$E$9:$E$32,$B183),0,1)))-AE184</f>
        <v>0</v>
      </c>
      <c r="AF183" s="65">
        <f ca="1">IF($C$4=Lookups!$D$40,SUM(INDIRECT("'Yr1'!"&amp;ADDRESS(ROW(AF183),COLUMN(AF183))),INDIRECT("'Yr2'!"&amp;ADDRESS(ROW(AF183),COLUMN(AF183))),INDIRECT("'Yr3'!"&amp;ADDRESS(ROW(AF183),COLUMN(AF183)))),
IF(AF170=0,0,-PMT(INDEX(Lookups!$E$17:$G$17,MATCH($C$4,Lookups!$E$14:$G$14,0)),AF170,SUMIFS('EE Inputs'!$J$9:$J$32,'EE Inputs'!$C$9:$C$32,$G$6,'EE Inputs'!$D$9:$D$32,$C$4,'EE Inputs'!$E$9:$E$32,$B183),0,1)))-AF184</f>
        <v>0</v>
      </c>
      <c r="AG183" s="65">
        <f ca="1">IF($C$4=Lookups!$D$40,SUM(INDIRECT("'Yr1'!"&amp;ADDRESS(ROW(AG183),COLUMN(AG183))),INDIRECT("'Yr2'!"&amp;ADDRESS(ROW(AG183),COLUMN(AG183))),INDIRECT("'Yr3'!"&amp;ADDRESS(ROW(AG183),COLUMN(AG183)))),
IF(AG170=0,0,-PMT(INDEX(Lookups!$E$17:$G$17,MATCH($C$4,Lookups!$E$14:$G$14,0)),AG170,SUMIFS('EE Inputs'!$J$9:$J$32,'EE Inputs'!$C$9:$C$32,$G$6,'EE Inputs'!$D$9:$D$32,$C$4,'EE Inputs'!$E$9:$E$32,$B183),0,1)))-AG184</f>
        <v>0</v>
      </c>
      <c r="AH183" s="65"/>
      <c r="AI183" s="65">
        <f ca="1">NPV(Lookups!$E$17,G183:AG183)</f>
        <v>9041263.4416688737</v>
      </c>
      <c r="AJ183" s="65"/>
      <c r="AM183" s="72">
        <f ca="1">IF($C$4=Lookups!$D$40,SUM(INDIRECT("'Yr1'!"&amp;ADDRESS(ROW(AM183),COLUMN(AM183))),INDIRECT("'Yr2'!"&amp;ADDRESS(ROW(AM183),COLUMN(AM183))),INDIRECT("'Yr3'!"&amp;ADDRESS(ROW(AM183),COLUMN(AM183)))),
IF(AM170=0,0,-PMT(INDEX(Lookups!$E$17:$G$17,MATCH($C$4,Lookups!$E$14:$G$14,0)),AM170,SUMIFS('EE Inputs'!$J$9:$J$32,'EE Inputs'!$C$9:$C$32,$AM$6,'EE Inputs'!$D$9:$D$32,$C$4,'EE Inputs'!$E$9:$E$32,$B183),0,1)))-AM184</f>
        <v>233395.26746110414</v>
      </c>
      <c r="AN183" s="72">
        <f ca="1">IF($C$4=Lookups!$D$40,SUM(INDIRECT("'Yr1'!"&amp;ADDRESS(ROW(AN183),COLUMN(AN183))),INDIRECT("'Yr2'!"&amp;ADDRESS(ROW(AN183),COLUMN(AN183))),INDIRECT("'Yr3'!"&amp;ADDRESS(ROW(AN183),COLUMN(AN183)))),
IF(AN170=0,0,-PMT(INDEX(Lookups!$E$17:$G$17,MATCH($C$4,Lookups!$E$14:$G$14,0)),AN170,SUMIFS('EE Inputs'!$J$9:$J$32,'EE Inputs'!$C$9:$C$32,$AM$6,'EE Inputs'!$D$9:$D$32,$C$4,'EE Inputs'!$E$9:$E$32,$B183),0,1)))-AN184</f>
        <v>479436.23056293727</v>
      </c>
      <c r="AO183" s="72">
        <f ca="1">IF($C$4=Lookups!$D$40,SUM(INDIRECT("'Yr1'!"&amp;ADDRESS(ROW(AO183),COLUMN(AO183))),INDIRECT("'Yr2'!"&amp;ADDRESS(ROW(AO183),COLUMN(AO183))),INDIRECT("'Yr3'!"&amp;ADDRESS(ROW(AO183),COLUMN(AO183)))),
IF(AO170=0,0,-PMT(INDEX(Lookups!$E$17:$G$17,MATCH($C$4,Lookups!$E$14:$G$14,0)),AO170,SUMIFS('EE Inputs'!$J$9:$J$32,'EE Inputs'!$C$9:$C$32,$AM$6,'EE Inputs'!$D$9:$D$32,$C$4,'EE Inputs'!$E$9:$E$32,$B183),0,1)))-AO184</f>
        <v>736727.72851816844</v>
      </c>
      <c r="AP183" s="72">
        <f ca="1">IF($C$4=Lookups!$D$40,SUM(INDIRECT("'Yr1'!"&amp;ADDRESS(ROW(AP183),COLUMN(AP183))),INDIRECT("'Yr2'!"&amp;ADDRESS(ROW(AP183),COLUMN(AP183))),INDIRECT("'Yr3'!"&amp;ADDRESS(ROW(AP183),COLUMN(AP183)))),
IF(AP170=0,0,-PMT(INDEX(Lookups!$E$17:$G$17,MATCH($C$4,Lookups!$E$14:$G$14,0)),AP170,SUMIFS('EE Inputs'!$J$9:$J$32,'EE Inputs'!$C$9:$C$32,$AM$6,'EE Inputs'!$D$9:$D$32,$C$4,'EE Inputs'!$E$9:$E$32,$B183),0,1)))-AP184</f>
        <v>736727.72851816844</v>
      </c>
      <c r="AQ183" s="72">
        <f ca="1">IF($C$4=Lookups!$D$40,SUM(INDIRECT("'Yr1'!"&amp;ADDRESS(ROW(AQ183),COLUMN(AQ183))),INDIRECT("'Yr2'!"&amp;ADDRESS(ROW(AQ183),COLUMN(AQ183))),INDIRECT("'Yr3'!"&amp;ADDRESS(ROW(AQ183),COLUMN(AQ183)))),
IF(AQ170=0,0,-PMT(INDEX(Lookups!$E$17:$G$17,MATCH($C$4,Lookups!$E$14:$G$14,0)),AQ170,SUMIFS('EE Inputs'!$J$9:$J$32,'EE Inputs'!$C$9:$C$32,$AM$6,'EE Inputs'!$D$9:$D$32,$C$4,'EE Inputs'!$E$9:$E$32,$B183),0,1)))-AQ184</f>
        <v>736727.72851816844</v>
      </c>
      <c r="AR183" s="72">
        <f ca="1">IF($C$4=Lookups!$D$40,SUM(INDIRECT("'Yr1'!"&amp;ADDRESS(ROW(AR183),COLUMN(AR183))),INDIRECT("'Yr2'!"&amp;ADDRESS(ROW(AR183),COLUMN(AR183))),INDIRECT("'Yr3'!"&amp;ADDRESS(ROW(AR183),COLUMN(AR183)))),
IF(AR170=0,0,-PMT(INDEX(Lookups!$E$17:$G$17,MATCH($C$4,Lookups!$E$14:$G$14,0)),AR170,SUMIFS('EE Inputs'!$J$9:$J$32,'EE Inputs'!$C$9:$C$32,$AM$6,'EE Inputs'!$D$9:$D$32,$C$4,'EE Inputs'!$E$9:$E$32,$B183),0,1)))-AR184</f>
        <v>736727.72851816844</v>
      </c>
      <c r="AS183" s="72">
        <f ca="1">IF($C$4=Lookups!$D$40,SUM(INDIRECT("'Yr1'!"&amp;ADDRESS(ROW(AS183),COLUMN(AS183))),INDIRECT("'Yr2'!"&amp;ADDRESS(ROW(AS183),COLUMN(AS183))),INDIRECT("'Yr3'!"&amp;ADDRESS(ROW(AS183),COLUMN(AS183)))),
IF(AS170=0,0,-PMT(INDEX(Lookups!$E$17:$G$17,MATCH($C$4,Lookups!$E$14:$G$14,0)),AS170,SUMIFS('EE Inputs'!$J$9:$J$32,'EE Inputs'!$C$9:$C$32,$AM$6,'EE Inputs'!$D$9:$D$32,$C$4,'EE Inputs'!$E$9:$E$32,$B183),0,1)))-AS184</f>
        <v>736727.72851816844</v>
      </c>
      <c r="AT183" s="72">
        <f ca="1">IF($C$4=Lookups!$D$40,SUM(INDIRECT("'Yr1'!"&amp;ADDRESS(ROW(AT183),COLUMN(AT183))),INDIRECT("'Yr2'!"&amp;ADDRESS(ROW(AT183),COLUMN(AT183))),INDIRECT("'Yr3'!"&amp;ADDRESS(ROW(AT183),COLUMN(AT183)))),
IF(AT170=0,0,-PMT(INDEX(Lookups!$E$17:$G$17,MATCH($C$4,Lookups!$E$14:$G$14,0)),AT170,SUMIFS('EE Inputs'!$J$9:$J$32,'EE Inputs'!$C$9:$C$32,$AM$6,'EE Inputs'!$D$9:$D$32,$C$4,'EE Inputs'!$E$9:$E$32,$B183),0,1)))-AT184</f>
        <v>736727.72851816844</v>
      </c>
      <c r="AU183" s="72">
        <f ca="1">IF($C$4=Lookups!$D$40,SUM(INDIRECT("'Yr1'!"&amp;ADDRESS(ROW(AU183),COLUMN(AU183))),INDIRECT("'Yr2'!"&amp;ADDRESS(ROW(AU183),COLUMN(AU183))),INDIRECT("'Yr3'!"&amp;ADDRESS(ROW(AU183),COLUMN(AU183)))),
IF(AU170=0,0,-PMT(INDEX(Lookups!$E$17:$G$17,MATCH($C$4,Lookups!$E$14:$G$14,0)),AU170,SUMIFS('EE Inputs'!$J$9:$J$32,'EE Inputs'!$C$9:$C$32,$AM$6,'EE Inputs'!$D$9:$D$32,$C$4,'EE Inputs'!$E$9:$E$32,$B183),0,1)))-AU184</f>
        <v>736727.72851816844</v>
      </c>
      <c r="AV183" s="72">
        <f ca="1">IF($C$4=Lookups!$D$40,SUM(INDIRECT("'Yr1'!"&amp;ADDRESS(ROW(AV183),COLUMN(AV183))),INDIRECT("'Yr2'!"&amp;ADDRESS(ROW(AV183),COLUMN(AV183))),INDIRECT("'Yr3'!"&amp;ADDRESS(ROW(AV183),COLUMN(AV183)))),
IF(AV170=0,0,-PMT(INDEX(Lookups!$E$17:$G$17,MATCH($C$4,Lookups!$E$14:$G$14,0)),AV170,SUMIFS('EE Inputs'!$J$9:$J$32,'EE Inputs'!$C$9:$C$32,$AM$6,'EE Inputs'!$D$9:$D$32,$C$4,'EE Inputs'!$E$9:$E$32,$B183),0,1)))-AV184</f>
        <v>736727.72851816844</v>
      </c>
      <c r="AW183" s="72">
        <f ca="1">IF($C$4=Lookups!$D$40,SUM(INDIRECT("'Yr1'!"&amp;ADDRESS(ROW(AW183),COLUMN(AW183))),INDIRECT("'Yr2'!"&amp;ADDRESS(ROW(AW183),COLUMN(AW183))),INDIRECT("'Yr3'!"&amp;ADDRESS(ROW(AW183),COLUMN(AW183)))),
IF(AW170=0,0,-PMT(INDEX(Lookups!$E$17:$G$17,MATCH($C$4,Lookups!$E$14:$G$14,0)),AW170,SUMIFS('EE Inputs'!$J$9:$J$32,'EE Inputs'!$C$9:$C$32,$AM$6,'EE Inputs'!$D$9:$D$32,$C$4,'EE Inputs'!$E$9:$E$32,$B183),0,1)))-AW184</f>
        <v>736727.72851816844</v>
      </c>
      <c r="AX183" s="72">
        <f ca="1">IF($C$4=Lookups!$D$40,SUM(INDIRECT("'Yr1'!"&amp;ADDRESS(ROW(AX183),COLUMN(AX183))),INDIRECT("'Yr2'!"&amp;ADDRESS(ROW(AX183),COLUMN(AX183))),INDIRECT("'Yr3'!"&amp;ADDRESS(ROW(AX183),COLUMN(AX183)))),
IF(AX170=0,0,-PMT(INDEX(Lookups!$E$17:$G$17,MATCH($C$4,Lookups!$E$14:$G$14,0)),AX170,SUMIFS('EE Inputs'!$J$9:$J$32,'EE Inputs'!$C$9:$C$32,$AM$6,'EE Inputs'!$D$9:$D$32,$C$4,'EE Inputs'!$E$9:$E$32,$B183),0,1)))-AX184</f>
        <v>736727.72851816844</v>
      </c>
      <c r="AY183" s="72">
        <f ca="1">IF($C$4=Lookups!$D$40,SUM(INDIRECT("'Yr1'!"&amp;ADDRESS(ROW(AY183),COLUMN(AY183))),INDIRECT("'Yr2'!"&amp;ADDRESS(ROW(AY183),COLUMN(AY183))),INDIRECT("'Yr3'!"&amp;ADDRESS(ROW(AY183),COLUMN(AY183)))),
IF(AY170=0,0,-PMT(INDEX(Lookups!$E$17:$G$17,MATCH($C$4,Lookups!$E$14:$G$14,0)),AY170,SUMIFS('EE Inputs'!$J$9:$J$32,'EE Inputs'!$C$9:$C$32,$AM$6,'EE Inputs'!$D$9:$D$32,$C$4,'EE Inputs'!$E$9:$E$32,$B183),0,1)))-AY184</f>
        <v>736727.72851816844</v>
      </c>
      <c r="AZ183" s="72">
        <f ca="1">IF($C$4=Lookups!$D$40,SUM(INDIRECT("'Yr1'!"&amp;ADDRESS(ROW(AZ183),COLUMN(AZ183))),INDIRECT("'Yr2'!"&amp;ADDRESS(ROW(AZ183),COLUMN(AZ183))),INDIRECT("'Yr3'!"&amp;ADDRESS(ROW(AZ183),COLUMN(AZ183)))),
IF(AZ170=0,0,-PMT(INDEX(Lookups!$E$17:$G$17,MATCH($C$4,Lookups!$E$14:$G$14,0)),AZ170,SUMIFS('EE Inputs'!$J$9:$J$32,'EE Inputs'!$C$9:$C$32,$AM$6,'EE Inputs'!$D$9:$D$32,$C$4,'EE Inputs'!$E$9:$E$32,$B183),0,1)))-AZ184</f>
        <v>736727.72851816844</v>
      </c>
      <c r="BA183" s="72">
        <f ca="1">IF($C$4=Lookups!$D$40,SUM(INDIRECT("'Yr1'!"&amp;ADDRESS(ROW(BA183),COLUMN(BA183))),INDIRECT("'Yr2'!"&amp;ADDRESS(ROW(BA183),COLUMN(BA183))),INDIRECT("'Yr3'!"&amp;ADDRESS(ROW(BA183),COLUMN(BA183)))),
IF(BA170=0,0,-PMT(INDEX(Lookups!$E$17:$G$17,MATCH($C$4,Lookups!$E$14:$G$14,0)),BA170,SUMIFS('EE Inputs'!$J$9:$J$32,'EE Inputs'!$C$9:$C$32,$AM$6,'EE Inputs'!$D$9:$D$32,$C$4,'EE Inputs'!$E$9:$E$32,$B183),0,1)))-BA184</f>
        <v>736727.72851816844</v>
      </c>
      <c r="BB183" s="72">
        <f ca="1">IF($C$4=Lookups!$D$40,SUM(INDIRECT("'Yr1'!"&amp;ADDRESS(ROW(BB183),COLUMN(BB183))),INDIRECT("'Yr2'!"&amp;ADDRESS(ROW(BB183),COLUMN(BB183))),INDIRECT("'Yr3'!"&amp;ADDRESS(ROW(BB183),COLUMN(BB183)))),
IF(BB170=0,0,-PMT(INDEX(Lookups!$E$17:$G$17,MATCH($C$4,Lookups!$E$14:$G$14,0)),BB170,SUMIFS('EE Inputs'!$J$9:$J$32,'EE Inputs'!$C$9:$C$32,$AM$6,'EE Inputs'!$D$9:$D$32,$C$4,'EE Inputs'!$E$9:$E$32,$B183),0,1)))-BB184</f>
        <v>736727.72851816844</v>
      </c>
      <c r="BC183" s="72">
        <f ca="1">IF($C$4=Lookups!$D$40,SUM(INDIRECT("'Yr1'!"&amp;ADDRESS(ROW(BC183),COLUMN(BC183))),INDIRECT("'Yr2'!"&amp;ADDRESS(ROW(BC183),COLUMN(BC183))),INDIRECT("'Yr3'!"&amp;ADDRESS(ROW(BC183),COLUMN(BC183)))),
IF(BC170=0,0,-PMT(INDEX(Lookups!$E$17:$G$17,MATCH($C$4,Lookups!$E$14:$G$14,0)),BC170,SUMIFS('EE Inputs'!$J$9:$J$32,'EE Inputs'!$C$9:$C$32,$AM$6,'EE Inputs'!$D$9:$D$32,$C$4,'EE Inputs'!$E$9:$E$32,$B183),0,1)))-BC184</f>
        <v>503332.46105706436</v>
      </c>
      <c r="BD183" s="72">
        <f ca="1">IF($C$4=Lookups!$D$40,SUM(INDIRECT("'Yr1'!"&amp;ADDRESS(ROW(BD183),COLUMN(BD183))),INDIRECT("'Yr2'!"&amp;ADDRESS(ROW(BD183),COLUMN(BD183))),INDIRECT("'Yr3'!"&amp;ADDRESS(ROW(BD183),COLUMN(BD183)))),
IF(BD170=0,0,-PMT(INDEX(Lookups!$E$17:$G$17,MATCH($C$4,Lookups!$E$14:$G$14,0)),BD170,SUMIFS('EE Inputs'!$J$9:$J$32,'EE Inputs'!$C$9:$C$32,$AM$6,'EE Inputs'!$D$9:$D$32,$C$4,'EE Inputs'!$E$9:$E$32,$B183),0,1)))-BD184</f>
        <v>257291.49795523129</v>
      </c>
      <c r="BE183" s="72">
        <f ca="1">IF($C$4=Lookups!$D$40,SUM(INDIRECT("'Yr1'!"&amp;ADDRESS(ROW(BE183),COLUMN(BE183))),INDIRECT("'Yr2'!"&amp;ADDRESS(ROW(BE183),COLUMN(BE183))),INDIRECT("'Yr3'!"&amp;ADDRESS(ROW(BE183),COLUMN(BE183)))),
IF(BE170=0,0,-PMT(INDEX(Lookups!$E$17:$G$17,MATCH($C$4,Lookups!$E$14:$G$14,0)),BE170,SUMIFS('EE Inputs'!$J$9:$J$32,'EE Inputs'!$C$9:$C$32,$AM$6,'EE Inputs'!$D$9:$D$32,$C$4,'EE Inputs'!$E$9:$E$32,$B183),0,1)))-BE184</f>
        <v>0</v>
      </c>
      <c r="BF183" s="72">
        <f ca="1">IF($C$4=Lookups!$D$40,SUM(INDIRECT("'Yr1'!"&amp;ADDRESS(ROW(BF183),COLUMN(BF183))),INDIRECT("'Yr2'!"&amp;ADDRESS(ROW(BF183),COLUMN(BF183))),INDIRECT("'Yr3'!"&amp;ADDRESS(ROW(BF183),COLUMN(BF183)))),
IF(BF170=0,0,-PMT(INDEX(Lookups!$E$17:$G$17,MATCH($C$4,Lookups!$E$14:$G$14,0)),BF170,SUMIFS('EE Inputs'!$J$9:$J$32,'EE Inputs'!$C$9:$C$32,$AM$6,'EE Inputs'!$D$9:$D$32,$C$4,'EE Inputs'!$E$9:$E$32,$B183),0,1)))-BF184</f>
        <v>0</v>
      </c>
      <c r="BG183" s="72">
        <f ca="1">IF($C$4=Lookups!$D$40,SUM(INDIRECT("'Yr1'!"&amp;ADDRESS(ROW(BG183),COLUMN(BG183))),INDIRECT("'Yr2'!"&amp;ADDRESS(ROW(BG183),COLUMN(BG183))),INDIRECT("'Yr3'!"&amp;ADDRESS(ROW(BG183),COLUMN(BG183)))),
IF(BG170=0,0,-PMT(INDEX(Lookups!$E$17:$G$17,MATCH($C$4,Lookups!$E$14:$G$14,0)),BG170,SUMIFS('EE Inputs'!$J$9:$J$32,'EE Inputs'!$C$9:$C$32,$AM$6,'EE Inputs'!$D$9:$D$32,$C$4,'EE Inputs'!$E$9:$E$32,$B183),0,1)))-BG184</f>
        <v>0</v>
      </c>
      <c r="BH183" s="72">
        <f ca="1">IF($C$4=Lookups!$D$40,SUM(INDIRECT("'Yr1'!"&amp;ADDRESS(ROW(BH183),COLUMN(BH183))),INDIRECT("'Yr2'!"&amp;ADDRESS(ROW(BH183),COLUMN(BH183))),INDIRECT("'Yr3'!"&amp;ADDRESS(ROW(BH183),COLUMN(BH183)))),
IF(BH170=0,0,-PMT(INDEX(Lookups!$E$17:$G$17,MATCH($C$4,Lookups!$E$14:$G$14,0)),BH170,SUMIFS('EE Inputs'!$J$9:$J$32,'EE Inputs'!$C$9:$C$32,$AM$6,'EE Inputs'!$D$9:$D$32,$C$4,'EE Inputs'!$E$9:$E$32,$B183),0,1)))-BH184</f>
        <v>0</v>
      </c>
      <c r="BI183" s="72">
        <f ca="1">IF($C$4=Lookups!$D$40,SUM(INDIRECT("'Yr1'!"&amp;ADDRESS(ROW(BI183),COLUMN(BI183))),INDIRECT("'Yr2'!"&amp;ADDRESS(ROW(BI183),COLUMN(BI183))),INDIRECT("'Yr3'!"&amp;ADDRESS(ROW(BI183),COLUMN(BI183)))),
IF(BI170=0,0,-PMT(INDEX(Lookups!$E$17:$G$17,MATCH($C$4,Lookups!$E$14:$G$14,0)),BI170,SUMIFS('EE Inputs'!$J$9:$J$32,'EE Inputs'!$C$9:$C$32,$AM$6,'EE Inputs'!$D$9:$D$32,$C$4,'EE Inputs'!$E$9:$E$32,$B183),0,1)))-BI184</f>
        <v>0</v>
      </c>
      <c r="BJ183" s="72">
        <f ca="1">IF($C$4=Lookups!$D$40,SUM(INDIRECT("'Yr1'!"&amp;ADDRESS(ROW(BJ183),COLUMN(BJ183))),INDIRECT("'Yr2'!"&amp;ADDRESS(ROW(BJ183),COLUMN(BJ183))),INDIRECT("'Yr3'!"&amp;ADDRESS(ROW(BJ183),COLUMN(BJ183)))),
IF(BJ170=0,0,-PMT(INDEX(Lookups!$E$17:$G$17,MATCH($C$4,Lookups!$E$14:$G$14,0)),BJ170,SUMIFS('EE Inputs'!$J$9:$J$32,'EE Inputs'!$C$9:$C$32,$AM$6,'EE Inputs'!$D$9:$D$32,$C$4,'EE Inputs'!$E$9:$E$32,$B183),0,1)))-BJ184</f>
        <v>0</v>
      </c>
      <c r="BK183" s="72">
        <f ca="1">IF($C$4=Lookups!$D$40,SUM(INDIRECT("'Yr1'!"&amp;ADDRESS(ROW(BK183),COLUMN(BK183))),INDIRECT("'Yr2'!"&amp;ADDRESS(ROW(BK183),COLUMN(BK183))),INDIRECT("'Yr3'!"&amp;ADDRESS(ROW(BK183),COLUMN(BK183)))),
IF(BK170=0,0,-PMT(INDEX(Lookups!$E$17:$G$17,MATCH($C$4,Lookups!$E$14:$G$14,0)),BK170,SUMIFS('EE Inputs'!$J$9:$J$32,'EE Inputs'!$C$9:$C$32,$AM$6,'EE Inputs'!$D$9:$D$32,$C$4,'EE Inputs'!$E$9:$E$32,$B183),0,1)))-BK184</f>
        <v>0</v>
      </c>
      <c r="BL183" s="72">
        <f ca="1">IF($C$4=Lookups!$D$40,SUM(INDIRECT("'Yr1'!"&amp;ADDRESS(ROW(BL183),COLUMN(BL183))),INDIRECT("'Yr2'!"&amp;ADDRESS(ROW(BL183),COLUMN(BL183))),INDIRECT("'Yr3'!"&amp;ADDRESS(ROW(BL183),COLUMN(BL183)))),
IF(BL170=0,0,-PMT(INDEX(Lookups!$E$17:$G$17,MATCH($C$4,Lookups!$E$14:$G$14,0)),BL170,SUMIFS('EE Inputs'!$J$9:$J$32,'EE Inputs'!$C$9:$C$32,$AM$6,'EE Inputs'!$D$9:$D$32,$C$4,'EE Inputs'!$E$9:$E$32,$B183),0,1)))-BL184</f>
        <v>0</v>
      </c>
      <c r="BM183" s="72">
        <f ca="1">IF($C$4=Lookups!$D$40,SUM(INDIRECT("'Yr1'!"&amp;ADDRESS(ROW(BM183),COLUMN(BM183))),INDIRECT("'Yr2'!"&amp;ADDRESS(ROW(BM183),COLUMN(BM183))),INDIRECT("'Yr3'!"&amp;ADDRESS(ROW(BM183),COLUMN(BM183)))),
IF(BM170=0,0,-PMT(INDEX(Lookups!$E$17:$G$17,MATCH($C$4,Lookups!$E$14:$G$14,0)),BM170,SUMIFS('EE Inputs'!$J$9:$J$32,'EE Inputs'!$C$9:$C$32,$AM$6,'EE Inputs'!$D$9:$D$32,$C$4,'EE Inputs'!$E$9:$E$32,$B183),0,1)))-BM184</f>
        <v>0</v>
      </c>
      <c r="BN183" s="72"/>
      <c r="BO183" s="72">
        <f ca="1">NPV(Lookups!$E$17,AM183:BM183)</f>
        <v>10332872.504764425</v>
      </c>
      <c r="BP183" s="72"/>
      <c r="BS183" s="84" t="str">
        <f>"Avoided "&amp;E183&amp;" costs, less the retail margin."</f>
        <v>Avoided Gas costs, less the retail margin.</v>
      </c>
      <c r="BT183" s="51" t="s">
        <v>17</v>
      </c>
    </row>
    <row r="184" spans="1:72" x14ac:dyDescent="0.25">
      <c r="A184" s="246"/>
      <c r="B184" s="243" t="str">
        <f t="shared" si="190"/>
        <v>Small C&amp;I</v>
      </c>
      <c r="C184" s="243" t="str">
        <f t="shared" si="190"/>
        <v>Revenue Requirements</v>
      </c>
      <c r="D184" s="244" t="str">
        <f>D183</f>
        <v>Avoided Costs</v>
      </c>
      <c r="E184" s="84" t="s">
        <v>412</v>
      </c>
      <c r="F184" s="84" t="s">
        <v>32</v>
      </c>
      <c r="G184" s="65">
        <f ca="1">IF($C$4=Lookups!$D$40,SUM(INDIRECT("'Yr1'!"&amp;ADDRESS(ROW(G184),COLUMN(G184))),INDIRECT("'Yr2'!"&amp;ADDRESS(ROW(G184),COLUMN(G184))),INDIRECT("'Yr3'!"&amp;ADDRESS(ROW(G184),COLUMN(G184)))),
IF(G170=0,0,-PMT(INDEX(Lookups!$E$17:$G$17,MATCH($C$4,Lookups!$E$14:$G$14,0)),G170,SUMIFS('EE Inputs'!$W$9:$W$32,'EE Inputs'!$C$9:$C$32,$G$6,'EE Inputs'!$D$9:$D$32,$C$4,'EE Inputs'!$E$9:$E$32,$B184),0,1)))</f>
        <v>13924.149479213598</v>
      </c>
      <c r="H184" s="65">
        <f ca="1">IF($C$4=Lookups!$D$40,SUM(INDIRECT("'Yr1'!"&amp;ADDRESS(ROW(H184),COLUMN(H184))),INDIRECT("'Yr2'!"&amp;ADDRESS(ROW(H184),COLUMN(H184))),INDIRECT("'Yr3'!"&amp;ADDRESS(ROW(H184),COLUMN(H184)))),
IF(H170=0,0,-PMT(INDEX(Lookups!$E$17:$G$17,MATCH($C$4,Lookups!$E$14:$G$14,0)),H170,SUMIFS('EE Inputs'!$W$9:$W$32,'EE Inputs'!$C$9:$C$32,$G$6,'EE Inputs'!$D$9:$D$32,$C$4,'EE Inputs'!$E$9:$E$32,$B184),0,1)))</f>
        <v>28602.729664266139</v>
      </c>
      <c r="I184" s="65">
        <f ca="1">IF($C$4=Lookups!$D$40,SUM(INDIRECT("'Yr1'!"&amp;ADDRESS(ROW(I184),COLUMN(I184))),INDIRECT("'Yr2'!"&amp;ADDRESS(ROW(I184),COLUMN(I184))),INDIRECT("'Yr3'!"&amp;ADDRESS(ROW(I184),COLUMN(I184)))),
IF(I170=0,0,-PMT(INDEX(Lookups!$E$17:$G$17,MATCH($C$4,Lookups!$E$14:$G$14,0)),I170,SUMIFS('EE Inputs'!$W$9:$W$32,'EE Inputs'!$C$9:$C$32,$G$6,'EE Inputs'!$D$9:$D$32,$C$4,'EE Inputs'!$E$9:$E$32,$B184),0,1)))</f>
        <v>43952.506530913459</v>
      </c>
      <c r="J184" s="65">
        <f ca="1">IF($C$4=Lookups!$D$40,SUM(INDIRECT("'Yr1'!"&amp;ADDRESS(ROW(J184),COLUMN(J184))),INDIRECT("'Yr2'!"&amp;ADDRESS(ROW(J184),COLUMN(J184))),INDIRECT("'Yr3'!"&amp;ADDRESS(ROW(J184),COLUMN(J184)))),
IF(J170=0,0,-PMT(INDEX(Lookups!$E$17:$G$17,MATCH($C$4,Lookups!$E$14:$G$14,0)),J170,SUMIFS('EE Inputs'!$W$9:$W$32,'EE Inputs'!$C$9:$C$32,$G$6,'EE Inputs'!$D$9:$D$32,$C$4,'EE Inputs'!$E$9:$E$32,$B184),0,1)))</f>
        <v>43952.506530913459</v>
      </c>
      <c r="K184" s="65">
        <f ca="1">IF($C$4=Lookups!$D$40,SUM(INDIRECT("'Yr1'!"&amp;ADDRESS(ROW(K184),COLUMN(K184))),INDIRECT("'Yr2'!"&amp;ADDRESS(ROW(K184),COLUMN(K184))),INDIRECT("'Yr3'!"&amp;ADDRESS(ROW(K184),COLUMN(K184)))),
IF(K170=0,0,-PMT(INDEX(Lookups!$E$17:$G$17,MATCH($C$4,Lookups!$E$14:$G$14,0)),K170,SUMIFS('EE Inputs'!$W$9:$W$32,'EE Inputs'!$C$9:$C$32,$G$6,'EE Inputs'!$D$9:$D$32,$C$4,'EE Inputs'!$E$9:$E$32,$B184),0,1)))</f>
        <v>43952.506530913459</v>
      </c>
      <c r="L184" s="65">
        <f ca="1">IF($C$4=Lookups!$D$40,SUM(INDIRECT("'Yr1'!"&amp;ADDRESS(ROW(L184),COLUMN(L184))),INDIRECT("'Yr2'!"&amp;ADDRESS(ROW(L184),COLUMN(L184))),INDIRECT("'Yr3'!"&amp;ADDRESS(ROW(L184),COLUMN(L184)))),
IF(L170=0,0,-PMT(INDEX(Lookups!$E$17:$G$17,MATCH($C$4,Lookups!$E$14:$G$14,0)),L170,SUMIFS('EE Inputs'!$W$9:$W$32,'EE Inputs'!$C$9:$C$32,$G$6,'EE Inputs'!$D$9:$D$32,$C$4,'EE Inputs'!$E$9:$E$32,$B184),0,1)))</f>
        <v>43952.506530913459</v>
      </c>
      <c r="M184" s="65">
        <f ca="1">IF($C$4=Lookups!$D$40,SUM(INDIRECT("'Yr1'!"&amp;ADDRESS(ROW(M184),COLUMN(M184))),INDIRECT("'Yr2'!"&amp;ADDRESS(ROW(M184),COLUMN(M184))),INDIRECT("'Yr3'!"&amp;ADDRESS(ROW(M184),COLUMN(M184)))),
IF(M170=0,0,-PMT(INDEX(Lookups!$E$17:$G$17,MATCH($C$4,Lookups!$E$14:$G$14,0)),M170,SUMIFS('EE Inputs'!$W$9:$W$32,'EE Inputs'!$C$9:$C$32,$G$6,'EE Inputs'!$D$9:$D$32,$C$4,'EE Inputs'!$E$9:$E$32,$B184),0,1)))</f>
        <v>43952.506530913459</v>
      </c>
      <c r="N184" s="65">
        <f ca="1">IF($C$4=Lookups!$D$40,SUM(INDIRECT("'Yr1'!"&amp;ADDRESS(ROW(N184),COLUMN(N184))),INDIRECT("'Yr2'!"&amp;ADDRESS(ROW(N184),COLUMN(N184))),INDIRECT("'Yr3'!"&amp;ADDRESS(ROW(N184),COLUMN(N184)))),
IF(N170=0,0,-PMT(INDEX(Lookups!$E$17:$G$17,MATCH($C$4,Lookups!$E$14:$G$14,0)),N170,SUMIFS('EE Inputs'!$W$9:$W$32,'EE Inputs'!$C$9:$C$32,$G$6,'EE Inputs'!$D$9:$D$32,$C$4,'EE Inputs'!$E$9:$E$32,$B184),0,1)))</f>
        <v>43952.506530913459</v>
      </c>
      <c r="O184" s="65">
        <f ca="1">IF($C$4=Lookups!$D$40,SUM(INDIRECT("'Yr1'!"&amp;ADDRESS(ROW(O184),COLUMN(O184))),INDIRECT("'Yr2'!"&amp;ADDRESS(ROW(O184),COLUMN(O184))),INDIRECT("'Yr3'!"&amp;ADDRESS(ROW(O184),COLUMN(O184)))),
IF(O170=0,0,-PMT(INDEX(Lookups!$E$17:$G$17,MATCH($C$4,Lookups!$E$14:$G$14,0)),O170,SUMIFS('EE Inputs'!$W$9:$W$32,'EE Inputs'!$C$9:$C$32,$G$6,'EE Inputs'!$D$9:$D$32,$C$4,'EE Inputs'!$E$9:$E$32,$B184),0,1)))</f>
        <v>43952.506530913459</v>
      </c>
      <c r="P184" s="65">
        <f ca="1">IF($C$4=Lookups!$D$40,SUM(INDIRECT("'Yr1'!"&amp;ADDRESS(ROW(P184),COLUMN(P184))),INDIRECT("'Yr2'!"&amp;ADDRESS(ROW(P184),COLUMN(P184))),INDIRECT("'Yr3'!"&amp;ADDRESS(ROW(P184),COLUMN(P184)))),
IF(P170=0,0,-PMT(INDEX(Lookups!$E$17:$G$17,MATCH($C$4,Lookups!$E$14:$G$14,0)),P170,SUMIFS('EE Inputs'!$W$9:$W$32,'EE Inputs'!$C$9:$C$32,$G$6,'EE Inputs'!$D$9:$D$32,$C$4,'EE Inputs'!$E$9:$E$32,$B184),0,1)))</f>
        <v>43952.506530913459</v>
      </c>
      <c r="Q184" s="65">
        <f ca="1">IF($C$4=Lookups!$D$40,SUM(INDIRECT("'Yr1'!"&amp;ADDRESS(ROW(Q184),COLUMN(Q184))),INDIRECT("'Yr2'!"&amp;ADDRESS(ROW(Q184),COLUMN(Q184))),INDIRECT("'Yr3'!"&amp;ADDRESS(ROW(Q184),COLUMN(Q184)))),
IF(Q170=0,0,-PMT(INDEX(Lookups!$E$17:$G$17,MATCH($C$4,Lookups!$E$14:$G$14,0)),Q170,SUMIFS('EE Inputs'!$W$9:$W$32,'EE Inputs'!$C$9:$C$32,$G$6,'EE Inputs'!$D$9:$D$32,$C$4,'EE Inputs'!$E$9:$E$32,$B184),0,1)))</f>
        <v>43952.506530913459</v>
      </c>
      <c r="R184" s="65">
        <f ca="1">IF($C$4=Lookups!$D$40,SUM(INDIRECT("'Yr1'!"&amp;ADDRESS(ROW(R184),COLUMN(R184))),INDIRECT("'Yr2'!"&amp;ADDRESS(ROW(R184),COLUMN(R184))),INDIRECT("'Yr3'!"&amp;ADDRESS(ROW(R184),COLUMN(R184)))),
IF(R170=0,0,-PMT(INDEX(Lookups!$E$17:$G$17,MATCH($C$4,Lookups!$E$14:$G$14,0)),R170,SUMIFS('EE Inputs'!$W$9:$W$32,'EE Inputs'!$C$9:$C$32,$G$6,'EE Inputs'!$D$9:$D$32,$C$4,'EE Inputs'!$E$9:$E$32,$B184),0,1)))</f>
        <v>43952.506530913459</v>
      </c>
      <c r="S184" s="65">
        <f ca="1">IF($C$4=Lookups!$D$40,SUM(INDIRECT("'Yr1'!"&amp;ADDRESS(ROW(S184),COLUMN(S184))),INDIRECT("'Yr2'!"&amp;ADDRESS(ROW(S184),COLUMN(S184))),INDIRECT("'Yr3'!"&amp;ADDRESS(ROW(S184),COLUMN(S184)))),
IF(S170=0,0,-PMT(INDEX(Lookups!$E$17:$G$17,MATCH($C$4,Lookups!$E$14:$G$14,0)),S170,SUMIFS('EE Inputs'!$W$9:$W$32,'EE Inputs'!$C$9:$C$32,$G$6,'EE Inputs'!$D$9:$D$32,$C$4,'EE Inputs'!$E$9:$E$32,$B184),0,1)))</f>
        <v>43952.506530913459</v>
      </c>
      <c r="T184" s="65">
        <f ca="1">IF($C$4=Lookups!$D$40,SUM(INDIRECT("'Yr1'!"&amp;ADDRESS(ROW(T184),COLUMN(T184))),INDIRECT("'Yr2'!"&amp;ADDRESS(ROW(T184),COLUMN(T184))),INDIRECT("'Yr3'!"&amp;ADDRESS(ROW(T184),COLUMN(T184)))),
IF(T170=0,0,-PMT(INDEX(Lookups!$E$17:$G$17,MATCH($C$4,Lookups!$E$14:$G$14,0)),T170,SUMIFS('EE Inputs'!$W$9:$W$32,'EE Inputs'!$C$9:$C$32,$G$6,'EE Inputs'!$D$9:$D$32,$C$4,'EE Inputs'!$E$9:$E$32,$B184),0,1)))</f>
        <v>43952.506530913459</v>
      </c>
      <c r="U184" s="65">
        <f ca="1">IF($C$4=Lookups!$D$40,SUM(INDIRECT("'Yr1'!"&amp;ADDRESS(ROW(U184),COLUMN(U184))),INDIRECT("'Yr2'!"&amp;ADDRESS(ROW(U184),COLUMN(U184))),INDIRECT("'Yr3'!"&amp;ADDRESS(ROW(U184),COLUMN(U184)))),
IF(U170=0,0,-PMT(INDEX(Lookups!$E$17:$G$17,MATCH($C$4,Lookups!$E$14:$G$14,0)),U170,SUMIFS('EE Inputs'!$W$9:$W$32,'EE Inputs'!$C$9:$C$32,$G$6,'EE Inputs'!$D$9:$D$32,$C$4,'EE Inputs'!$E$9:$E$32,$B184),0,1)))</f>
        <v>43952.506530913459</v>
      </c>
      <c r="V184" s="65">
        <f ca="1">IF($C$4=Lookups!$D$40,SUM(INDIRECT("'Yr1'!"&amp;ADDRESS(ROW(V184),COLUMN(V184))),INDIRECT("'Yr2'!"&amp;ADDRESS(ROW(V184),COLUMN(V184))),INDIRECT("'Yr3'!"&amp;ADDRESS(ROW(V184),COLUMN(V184)))),
IF(V170=0,0,-PMT(INDEX(Lookups!$E$17:$G$17,MATCH($C$4,Lookups!$E$14:$G$14,0)),V170,SUMIFS('EE Inputs'!$W$9:$W$32,'EE Inputs'!$C$9:$C$32,$G$6,'EE Inputs'!$D$9:$D$32,$C$4,'EE Inputs'!$E$9:$E$32,$B184),0,1)))</f>
        <v>43952.506530913459</v>
      </c>
      <c r="W184" s="65">
        <f ca="1">IF($C$4=Lookups!$D$40,SUM(INDIRECT("'Yr1'!"&amp;ADDRESS(ROW(W184),COLUMN(W184))),INDIRECT("'Yr2'!"&amp;ADDRESS(ROW(W184),COLUMN(W184))),INDIRECT("'Yr3'!"&amp;ADDRESS(ROW(W184),COLUMN(W184)))),
IF(W170=0,0,-PMT(INDEX(Lookups!$E$17:$G$17,MATCH($C$4,Lookups!$E$14:$G$14,0)),W170,SUMIFS('EE Inputs'!$W$9:$W$32,'EE Inputs'!$C$9:$C$32,$G$6,'EE Inputs'!$D$9:$D$32,$C$4,'EE Inputs'!$E$9:$E$32,$B184),0,1)))</f>
        <v>30028.357051699862</v>
      </c>
      <c r="X184" s="65">
        <f ca="1">IF($C$4=Lookups!$D$40,SUM(INDIRECT("'Yr1'!"&amp;ADDRESS(ROW(X184),COLUMN(X184))),INDIRECT("'Yr2'!"&amp;ADDRESS(ROW(X184),COLUMN(X184))),INDIRECT("'Yr3'!"&amp;ADDRESS(ROW(X184),COLUMN(X184)))),
IF(X170=0,0,-PMT(INDEX(Lookups!$E$17:$G$17,MATCH($C$4,Lookups!$E$14:$G$14,0)),X170,SUMIFS('EE Inputs'!$W$9:$W$32,'EE Inputs'!$C$9:$C$32,$G$6,'EE Inputs'!$D$9:$D$32,$C$4,'EE Inputs'!$E$9:$E$32,$B184),0,1)))</f>
        <v>15349.776866647322</v>
      </c>
      <c r="Y184" s="65">
        <f ca="1">IF($C$4=Lookups!$D$40,SUM(INDIRECT("'Yr1'!"&amp;ADDRESS(ROW(Y184),COLUMN(Y184))),INDIRECT("'Yr2'!"&amp;ADDRESS(ROW(Y184),COLUMN(Y184))),INDIRECT("'Yr3'!"&amp;ADDRESS(ROW(Y184),COLUMN(Y184)))),
IF(Y170=0,0,-PMT(INDEX(Lookups!$E$17:$G$17,MATCH($C$4,Lookups!$E$14:$G$14,0)),Y170,SUMIFS('EE Inputs'!$W$9:$W$32,'EE Inputs'!$C$9:$C$32,$G$6,'EE Inputs'!$D$9:$D$32,$C$4,'EE Inputs'!$E$9:$E$32,$B184),0,1)))</f>
        <v>0</v>
      </c>
      <c r="Z184" s="65">
        <f ca="1">IF($C$4=Lookups!$D$40,SUM(INDIRECT("'Yr1'!"&amp;ADDRESS(ROW(Z184),COLUMN(Z184))),INDIRECT("'Yr2'!"&amp;ADDRESS(ROW(Z184),COLUMN(Z184))),INDIRECT("'Yr3'!"&amp;ADDRESS(ROW(Z184),COLUMN(Z184)))),
IF(Z170=0,0,-PMT(INDEX(Lookups!$E$17:$G$17,MATCH($C$4,Lookups!$E$14:$G$14,0)),Z170,SUMIFS('EE Inputs'!$W$9:$W$32,'EE Inputs'!$C$9:$C$32,$G$6,'EE Inputs'!$D$9:$D$32,$C$4,'EE Inputs'!$E$9:$E$32,$B184),0,1)))</f>
        <v>0</v>
      </c>
      <c r="AA184" s="65">
        <f ca="1">IF($C$4=Lookups!$D$40,SUM(INDIRECT("'Yr1'!"&amp;ADDRESS(ROW(AA184),COLUMN(AA184))),INDIRECT("'Yr2'!"&amp;ADDRESS(ROW(AA184),COLUMN(AA184))),INDIRECT("'Yr3'!"&amp;ADDRESS(ROW(AA184),COLUMN(AA184)))),
IF(AA170=0,0,-PMT(INDEX(Lookups!$E$17:$G$17,MATCH($C$4,Lookups!$E$14:$G$14,0)),AA170,SUMIFS('EE Inputs'!$W$9:$W$32,'EE Inputs'!$C$9:$C$32,$G$6,'EE Inputs'!$D$9:$D$32,$C$4,'EE Inputs'!$E$9:$E$32,$B184),0,1)))</f>
        <v>0</v>
      </c>
      <c r="AB184" s="65">
        <f ca="1">IF($C$4=Lookups!$D$40,SUM(INDIRECT("'Yr1'!"&amp;ADDRESS(ROW(AB184),COLUMN(AB184))),INDIRECT("'Yr2'!"&amp;ADDRESS(ROW(AB184),COLUMN(AB184))),INDIRECT("'Yr3'!"&amp;ADDRESS(ROW(AB184),COLUMN(AB184)))),
IF(AB170=0,0,-PMT(INDEX(Lookups!$E$17:$G$17,MATCH($C$4,Lookups!$E$14:$G$14,0)),AB170,SUMIFS('EE Inputs'!$W$9:$W$32,'EE Inputs'!$C$9:$C$32,$G$6,'EE Inputs'!$D$9:$D$32,$C$4,'EE Inputs'!$E$9:$E$32,$B184),0,1)))</f>
        <v>0</v>
      </c>
      <c r="AC184" s="65">
        <f ca="1">IF($C$4=Lookups!$D$40,SUM(INDIRECT("'Yr1'!"&amp;ADDRESS(ROW(AC184),COLUMN(AC184))),INDIRECT("'Yr2'!"&amp;ADDRESS(ROW(AC184),COLUMN(AC184))),INDIRECT("'Yr3'!"&amp;ADDRESS(ROW(AC184),COLUMN(AC184)))),
IF(AC170=0,0,-PMT(INDEX(Lookups!$E$17:$G$17,MATCH($C$4,Lookups!$E$14:$G$14,0)),AC170,SUMIFS('EE Inputs'!$W$9:$W$32,'EE Inputs'!$C$9:$C$32,$G$6,'EE Inputs'!$D$9:$D$32,$C$4,'EE Inputs'!$E$9:$E$32,$B184),0,1)))</f>
        <v>0</v>
      </c>
      <c r="AD184" s="65">
        <f ca="1">IF($C$4=Lookups!$D$40,SUM(INDIRECT("'Yr1'!"&amp;ADDRESS(ROW(AD184),COLUMN(AD184))),INDIRECT("'Yr2'!"&amp;ADDRESS(ROW(AD184),COLUMN(AD184))),INDIRECT("'Yr3'!"&amp;ADDRESS(ROW(AD184),COLUMN(AD184)))),
IF(AD170=0,0,-PMT(INDEX(Lookups!$E$17:$G$17,MATCH($C$4,Lookups!$E$14:$G$14,0)),AD170,SUMIFS('EE Inputs'!$W$9:$W$32,'EE Inputs'!$C$9:$C$32,$G$6,'EE Inputs'!$D$9:$D$32,$C$4,'EE Inputs'!$E$9:$E$32,$B184),0,1)))</f>
        <v>0</v>
      </c>
      <c r="AE184" s="65">
        <f ca="1">IF($C$4=Lookups!$D$40,SUM(INDIRECT("'Yr1'!"&amp;ADDRESS(ROW(AE184),COLUMN(AE184))),INDIRECT("'Yr2'!"&amp;ADDRESS(ROW(AE184),COLUMN(AE184))),INDIRECT("'Yr3'!"&amp;ADDRESS(ROW(AE184),COLUMN(AE184)))),
IF(AE170=0,0,-PMT(INDEX(Lookups!$E$17:$G$17,MATCH($C$4,Lookups!$E$14:$G$14,0)),AE170,SUMIFS('EE Inputs'!$W$9:$W$32,'EE Inputs'!$C$9:$C$32,$G$6,'EE Inputs'!$D$9:$D$32,$C$4,'EE Inputs'!$E$9:$E$32,$B184),0,1)))</f>
        <v>0</v>
      </c>
      <c r="AF184" s="65">
        <f ca="1">IF($C$4=Lookups!$D$40,SUM(INDIRECT("'Yr1'!"&amp;ADDRESS(ROW(AF184),COLUMN(AF184))),INDIRECT("'Yr2'!"&amp;ADDRESS(ROW(AF184),COLUMN(AF184))),INDIRECT("'Yr3'!"&amp;ADDRESS(ROW(AF184),COLUMN(AF184)))),
IF(AF170=0,0,-PMT(INDEX(Lookups!$E$17:$G$17,MATCH($C$4,Lookups!$E$14:$G$14,0)),AF170,SUMIFS('EE Inputs'!$W$9:$W$32,'EE Inputs'!$C$9:$C$32,$G$6,'EE Inputs'!$D$9:$D$32,$C$4,'EE Inputs'!$E$9:$E$32,$B184),0,1)))</f>
        <v>0</v>
      </c>
      <c r="AG184" s="65">
        <f ca="1">IF($C$4=Lookups!$D$40,SUM(INDIRECT("'Yr1'!"&amp;ADDRESS(ROW(AG184),COLUMN(AG184))),INDIRECT("'Yr2'!"&amp;ADDRESS(ROW(AG184),COLUMN(AG184))),INDIRECT("'Yr3'!"&amp;ADDRESS(ROW(AG184),COLUMN(AG184)))),
IF(AG170=0,0,-PMT(INDEX(Lookups!$E$17:$G$17,MATCH($C$4,Lookups!$E$14:$G$14,0)),AG170,SUMIFS('EE Inputs'!$W$9:$W$32,'EE Inputs'!$C$9:$C$32,$G$6,'EE Inputs'!$D$9:$D$32,$C$4,'EE Inputs'!$E$9:$E$32,$B184),0,1)))</f>
        <v>0</v>
      </c>
      <c r="AH184" s="65"/>
      <c r="AI184" s="65">
        <f ca="1">NPV(Lookups!$E$17,G184:AG184)</f>
        <v>616449.78011378704</v>
      </c>
      <c r="AJ184" s="65"/>
      <c r="AM184" s="72">
        <f ca="1">IF($C$4=Lookups!$D$40,SUM(INDIRECT("'Yr1'!"&amp;ADDRESS(ROW(AM184),COLUMN(AM184))),INDIRECT("'Yr2'!"&amp;ADDRESS(ROW(AM184),COLUMN(AM184))),INDIRECT("'Yr3'!"&amp;ADDRESS(ROW(AM184),COLUMN(AM184)))),
IF(AM170=0,0,-PMT(INDEX(Lookups!$E$17:$G$17,MATCH($C$4,Lookups!$E$14:$G$14,0)),AM170,SUMIFS('EE Inputs'!$W$9:$W$32,'EE Inputs'!$C$9:$C$32,$AM$6,'EE Inputs'!$D$9:$D$32,$C$4,'EE Inputs'!$E$9:$E$32,$B184),0,1)))</f>
        <v>15913.313690529827</v>
      </c>
      <c r="AN184" s="72">
        <f ca="1">IF($C$4=Lookups!$D$40,SUM(INDIRECT("'Yr1'!"&amp;ADDRESS(ROW(AN184),COLUMN(AN184))),INDIRECT("'Yr2'!"&amp;ADDRESS(ROW(AN184),COLUMN(AN184))),INDIRECT("'Yr3'!"&amp;ADDRESS(ROW(AN184),COLUMN(AN184)))),
IF(AN170=0,0,-PMT(INDEX(Lookups!$E$17:$G$17,MATCH($C$4,Lookups!$E$14:$G$14,0)),AN170,SUMIFS('EE Inputs'!$W$9:$W$32,'EE Inputs'!$C$9:$C$32,$AM$6,'EE Inputs'!$D$9:$D$32,$C$4,'EE Inputs'!$E$9:$E$32,$B184),0,1)))</f>
        <v>32688.833902018443</v>
      </c>
      <c r="AO184" s="72">
        <f ca="1">IF($C$4=Lookups!$D$40,SUM(INDIRECT("'Yr1'!"&amp;ADDRESS(ROW(AO184),COLUMN(AO184))),INDIRECT("'Yr2'!"&amp;ADDRESS(ROW(AO184),COLUMN(AO184))),INDIRECT("'Yr3'!"&amp;ADDRESS(ROW(AO184),COLUMN(AO184)))),
IF(AO170=0,0,-PMT(INDEX(Lookups!$E$17:$G$17,MATCH($C$4,Lookups!$E$14:$G$14,0)),AO170,SUMIFS('EE Inputs'!$W$9:$W$32,'EE Inputs'!$C$9:$C$32,$AM$6,'EE Inputs'!$D$9:$D$32,$C$4,'EE Inputs'!$E$9:$E$32,$B184),0,1)))</f>
        <v>50231.436035329665</v>
      </c>
      <c r="AP184" s="72">
        <f ca="1">IF($C$4=Lookups!$D$40,SUM(INDIRECT("'Yr1'!"&amp;ADDRESS(ROW(AP184),COLUMN(AP184))),INDIRECT("'Yr2'!"&amp;ADDRESS(ROW(AP184),COLUMN(AP184))),INDIRECT("'Yr3'!"&amp;ADDRESS(ROW(AP184),COLUMN(AP184)))),
IF(AP170=0,0,-PMT(INDEX(Lookups!$E$17:$G$17,MATCH($C$4,Lookups!$E$14:$G$14,0)),AP170,SUMIFS('EE Inputs'!$W$9:$W$32,'EE Inputs'!$C$9:$C$32,$AM$6,'EE Inputs'!$D$9:$D$32,$C$4,'EE Inputs'!$E$9:$E$32,$B184),0,1)))</f>
        <v>50231.436035329665</v>
      </c>
      <c r="AQ184" s="72">
        <f ca="1">IF($C$4=Lookups!$D$40,SUM(INDIRECT("'Yr1'!"&amp;ADDRESS(ROW(AQ184),COLUMN(AQ184))),INDIRECT("'Yr2'!"&amp;ADDRESS(ROW(AQ184),COLUMN(AQ184))),INDIRECT("'Yr3'!"&amp;ADDRESS(ROW(AQ184),COLUMN(AQ184)))),
IF(AQ170=0,0,-PMT(INDEX(Lookups!$E$17:$G$17,MATCH($C$4,Lookups!$E$14:$G$14,0)),AQ170,SUMIFS('EE Inputs'!$W$9:$W$32,'EE Inputs'!$C$9:$C$32,$AM$6,'EE Inputs'!$D$9:$D$32,$C$4,'EE Inputs'!$E$9:$E$32,$B184),0,1)))</f>
        <v>50231.436035329665</v>
      </c>
      <c r="AR184" s="72">
        <f ca="1">IF($C$4=Lookups!$D$40,SUM(INDIRECT("'Yr1'!"&amp;ADDRESS(ROW(AR184),COLUMN(AR184))),INDIRECT("'Yr2'!"&amp;ADDRESS(ROW(AR184),COLUMN(AR184))),INDIRECT("'Yr3'!"&amp;ADDRESS(ROW(AR184),COLUMN(AR184)))),
IF(AR170=0,0,-PMT(INDEX(Lookups!$E$17:$G$17,MATCH($C$4,Lookups!$E$14:$G$14,0)),AR170,SUMIFS('EE Inputs'!$W$9:$W$32,'EE Inputs'!$C$9:$C$32,$AM$6,'EE Inputs'!$D$9:$D$32,$C$4,'EE Inputs'!$E$9:$E$32,$B184),0,1)))</f>
        <v>50231.436035329665</v>
      </c>
      <c r="AS184" s="72">
        <f ca="1">IF($C$4=Lookups!$D$40,SUM(INDIRECT("'Yr1'!"&amp;ADDRESS(ROW(AS184),COLUMN(AS184))),INDIRECT("'Yr2'!"&amp;ADDRESS(ROW(AS184),COLUMN(AS184))),INDIRECT("'Yr3'!"&amp;ADDRESS(ROW(AS184),COLUMN(AS184)))),
IF(AS170=0,0,-PMT(INDEX(Lookups!$E$17:$G$17,MATCH($C$4,Lookups!$E$14:$G$14,0)),AS170,SUMIFS('EE Inputs'!$W$9:$W$32,'EE Inputs'!$C$9:$C$32,$AM$6,'EE Inputs'!$D$9:$D$32,$C$4,'EE Inputs'!$E$9:$E$32,$B184),0,1)))</f>
        <v>50231.436035329665</v>
      </c>
      <c r="AT184" s="72">
        <f ca="1">IF($C$4=Lookups!$D$40,SUM(INDIRECT("'Yr1'!"&amp;ADDRESS(ROW(AT184),COLUMN(AT184))),INDIRECT("'Yr2'!"&amp;ADDRESS(ROW(AT184),COLUMN(AT184))),INDIRECT("'Yr3'!"&amp;ADDRESS(ROW(AT184),COLUMN(AT184)))),
IF(AT170=0,0,-PMT(INDEX(Lookups!$E$17:$G$17,MATCH($C$4,Lookups!$E$14:$G$14,0)),AT170,SUMIFS('EE Inputs'!$W$9:$W$32,'EE Inputs'!$C$9:$C$32,$AM$6,'EE Inputs'!$D$9:$D$32,$C$4,'EE Inputs'!$E$9:$E$32,$B184),0,1)))</f>
        <v>50231.436035329665</v>
      </c>
      <c r="AU184" s="72">
        <f ca="1">IF($C$4=Lookups!$D$40,SUM(INDIRECT("'Yr1'!"&amp;ADDRESS(ROW(AU184),COLUMN(AU184))),INDIRECT("'Yr2'!"&amp;ADDRESS(ROW(AU184),COLUMN(AU184))),INDIRECT("'Yr3'!"&amp;ADDRESS(ROW(AU184),COLUMN(AU184)))),
IF(AU170=0,0,-PMT(INDEX(Lookups!$E$17:$G$17,MATCH($C$4,Lookups!$E$14:$G$14,0)),AU170,SUMIFS('EE Inputs'!$W$9:$W$32,'EE Inputs'!$C$9:$C$32,$AM$6,'EE Inputs'!$D$9:$D$32,$C$4,'EE Inputs'!$E$9:$E$32,$B184),0,1)))</f>
        <v>50231.436035329665</v>
      </c>
      <c r="AV184" s="72">
        <f ca="1">IF($C$4=Lookups!$D$40,SUM(INDIRECT("'Yr1'!"&amp;ADDRESS(ROW(AV184),COLUMN(AV184))),INDIRECT("'Yr2'!"&amp;ADDRESS(ROW(AV184),COLUMN(AV184))),INDIRECT("'Yr3'!"&amp;ADDRESS(ROW(AV184),COLUMN(AV184)))),
IF(AV170=0,0,-PMT(INDEX(Lookups!$E$17:$G$17,MATCH($C$4,Lookups!$E$14:$G$14,0)),AV170,SUMIFS('EE Inputs'!$W$9:$W$32,'EE Inputs'!$C$9:$C$32,$AM$6,'EE Inputs'!$D$9:$D$32,$C$4,'EE Inputs'!$E$9:$E$32,$B184),0,1)))</f>
        <v>50231.436035329665</v>
      </c>
      <c r="AW184" s="72">
        <f ca="1">IF($C$4=Lookups!$D$40,SUM(INDIRECT("'Yr1'!"&amp;ADDRESS(ROW(AW184),COLUMN(AW184))),INDIRECT("'Yr2'!"&amp;ADDRESS(ROW(AW184),COLUMN(AW184))),INDIRECT("'Yr3'!"&amp;ADDRESS(ROW(AW184),COLUMN(AW184)))),
IF(AW170=0,0,-PMT(INDEX(Lookups!$E$17:$G$17,MATCH($C$4,Lookups!$E$14:$G$14,0)),AW170,SUMIFS('EE Inputs'!$W$9:$W$32,'EE Inputs'!$C$9:$C$32,$AM$6,'EE Inputs'!$D$9:$D$32,$C$4,'EE Inputs'!$E$9:$E$32,$B184),0,1)))</f>
        <v>50231.436035329665</v>
      </c>
      <c r="AX184" s="72">
        <f ca="1">IF($C$4=Lookups!$D$40,SUM(INDIRECT("'Yr1'!"&amp;ADDRESS(ROW(AX184),COLUMN(AX184))),INDIRECT("'Yr2'!"&amp;ADDRESS(ROW(AX184),COLUMN(AX184))),INDIRECT("'Yr3'!"&amp;ADDRESS(ROW(AX184),COLUMN(AX184)))),
IF(AX170=0,0,-PMT(INDEX(Lookups!$E$17:$G$17,MATCH($C$4,Lookups!$E$14:$G$14,0)),AX170,SUMIFS('EE Inputs'!$W$9:$W$32,'EE Inputs'!$C$9:$C$32,$AM$6,'EE Inputs'!$D$9:$D$32,$C$4,'EE Inputs'!$E$9:$E$32,$B184),0,1)))</f>
        <v>50231.436035329665</v>
      </c>
      <c r="AY184" s="72">
        <f ca="1">IF($C$4=Lookups!$D$40,SUM(INDIRECT("'Yr1'!"&amp;ADDRESS(ROW(AY184),COLUMN(AY184))),INDIRECT("'Yr2'!"&amp;ADDRESS(ROW(AY184),COLUMN(AY184))),INDIRECT("'Yr3'!"&amp;ADDRESS(ROW(AY184),COLUMN(AY184)))),
IF(AY170=0,0,-PMT(INDEX(Lookups!$E$17:$G$17,MATCH($C$4,Lookups!$E$14:$G$14,0)),AY170,SUMIFS('EE Inputs'!$W$9:$W$32,'EE Inputs'!$C$9:$C$32,$AM$6,'EE Inputs'!$D$9:$D$32,$C$4,'EE Inputs'!$E$9:$E$32,$B184),0,1)))</f>
        <v>50231.436035329665</v>
      </c>
      <c r="AZ184" s="72">
        <f ca="1">IF($C$4=Lookups!$D$40,SUM(INDIRECT("'Yr1'!"&amp;ADDRESS(ROW(AZ184),COLUMN(AZ184))),INDIRECT("'Yr2'!"&amp;ADDRESS(ROW(AZ184),COLUMN(AZ184))),INDIRECT("'Yr3'!"&amp;ADDRESS(ROW(AZ184),COLUMN(AZ184)))),
IF(AZ170=0,0,-PMT(INDEX(Lookups!$E$17:$G$17,MATCH($C$4,Lookups!$E$14:$G$14,0)),AZ170,SUMIFS('EE Inputs'!$W$9:$W$32,'EE Inputs'!$C$9:$C$32,$AM$6,'EE Inputs'!$D$9:$D$32,$C$4,'EE Inputs'!$E$9:$E$32,$B184),0,1)))</f>
        <v>50231.436035329665</v>
      </c>
      <c r="BA184" s="72">
        <f ca="1">IF($C$4=Lookups!$D$40,SUM(INDIRECT("'Yr1'!"&amp;ADDRESS(ROW(BA184),COLUMN(BA184))),INDIRECT("'Yr2'!"&amp;ADDRESS(ROW(BA184),COLUMN(BA184))),INDIRECT("'Yr3'!"&amp;ADDRESS(ROW(BA184),COLUMN(BA184)))),
IF(BA170=0,0,-PMT(INDEX(Lookups!$E$17:$G$17,MATCH($C$4,Lookups!$E$14:$G$14,0)),BA170,SUMIFS('EE Inputs'!$W$9:$W$32,'EE Inputs'!$C$9:$C$32,$AM$6,'EE Inputs'!$D$9:$D$32,$C$4,'EE Inputs'!$E$9:$E$32,$B184),0,1)))</f>
        <v>50231.436035329665</v>
      </c>
      <c r="BB184" s="72">
        <f ca="1">IF($C$4=Lookups!$D$40,SUM(INDIRECT("'Yr1'!"&amp;ADDRESS(ROW(BB184),COLUMN(BB184))),INDIRECT("'Yr2'!"&amp;ADDRESS(ROW(BB184),COLUMN(BB184))),INDIRECT("'Yr3'!"&amp;ADDRESS(ROW(BB184),COLUMN(BB184)))),
IF(BB170=0,0,-PMT(INDEX(Lookups!$E$17:$G$17,MATCH($C$4,Lookups!$E$14:$G$14,0)),BB170,SUMIFS('EE Inputs'!$W$9:$W$32,'EE Inputs'!$C$9:$C$32,$AM$6,'EE Inputs'!$D$9:$D$32,$C$4,'EE Inputs'!$E$9:$E$32,$B184),0,1)))</f>
        <v>50231.436035329665</v>
      </c>
      <c r="BC184" s="72">
        <f ca="1">IF($C$4=Lookups!$D$40,SUM(INDIRECT("'Yr1'!"&amp;ADDRESS(ROW(BC184),COLUMN(BC184))),INDIRECT("'Yr2'!"&amp;ADDRESS(ROW(BC184),COLUMN(BC184))),INDIRECT("'Yr3'!"&amp;ADDRESS(ROW(BC184),COLUMN(BC184)))),
IF(BC170=0,0,-PMT(INDEX(Lookups!$E$17:$G$17,MATCH($C$4,Lookups!$E$14:$G$14,0)),BC170,SUMIFS('EE Inputs'!$W$9:$W$32,'EE Inputs'!$C$9:$C$32,$AM$6,'EE Inputs'!$D$9:$D$32,$C$4,'EE Inputs'!$E$9:$E$32,$B184),0,1)))</f>
        <v>34318.122344799835</v>
      </c>
      <c r="BD184" s="72">
        <f ca="1">IF($C$4=Lookups!$D$40,SUM(INDIRECT("'Yr1'!"&amp;ADDRESS(ROW(BD184),COLUMN(BD184))),INDIRECT("'Yr2'!"&amp;ADDRESS(ROW(BD184),COLUMN(BD184))),INDIRECT("'Yr3'!"&amp;ADDRESS(ROW(BD184),COLUMN(BD184)))),
IF(BD170=0,0,-PMT(INDEX(Lookups!$E$17:$G$17,MATCH($C$4,Lookups!$E$14:$G$14,0)),BD170,SUMIFS('EE Inputs'!$W$9:$W$32,'EE Inputs'!$C$9:$C$32,$AM$6,'EE Inputs'!$D$9:$D$32,$C$4,'EE Inputs'!$E$9:$E$32,$B184),0,1)))</f>
        <v>17542.602133311222</v>
      </c>
      <c r="BE184" s="72">
        <f ca="1">IF($C$4=Lookups!$D$40,SUM(INDIRECT("'Yr1'!"&amp;ADDRESS(ROW(BE184),COLUMN(BE184))),INDIRECT("'Yr2'!"&amp;ADDRESS(ROW(BE184),COLUMN(BE184))),INDIRECT("'Yr3'!"&amp;ADDRESS(ROW(BE184),COLUMN(BE184)))),
IF(BE170=0,0,-PMT(INDEX(Lookups!$E$17:$G$17,MATCH($C$4,Lookups!$E$14:$G$14,0)),BE170,SUMIFS('EE Inputs'!$W$9:$W$32,'EE Inputs'!$C$9:$C$32,$AM$6,'EE Inputs'!$D$9:$D$32,$C$4,'EE Inputs'!$E$9:$E$32,$B184),0,1)))</f>
        <v>0</v>
      </c>
      <c r="BF184" s="72">
        <f ca="1">IF($C$4=Lookups!$D$40,SUM(INDIRECT("'Yr1'!"&amp;ADDRESS(ROW(BF184),COLUMN(BF184))),INDIRECT("'Yr2'!"&amp;ADDRESS(ROW(BF184),COLUMN(BF184))),INDIRECT("'Yr3'!"&amp;ADDRESS(ROW(BF184),COLUMN(BF184)))),
IF(BF170=0,0,-PMT(INDEX(Lookups!$E$17:$G$17,MATCH($C$4,Lookups!$E$14:$G$14,0)),BF170,SUMIFS('EE Inputs'!$W$9:$W$32,'EE Inputs'!$C$9:$C$32,$AM$6,'EE Inputs'!$D$9:$D$32,$C$4,'EE Inputs'!$E$9:$E$32,$B184),0,1)))</f>
        <v>0</v>
      </c>
      <c r="BG184" s="72">
        <f ca="1">IF($C$4=Lookups!$D$40,SUM(INDIRECT("'Yr1'!"&amp;ADDRESS(ROW(BG184),COLUMN(BG184))),INDIRECT("'Yr2'!"&amp;ADDRESS(ROW(BG184),COLUMN(BG184))),INDIRECT("'Yr3'!"&amp;ADDRESS(ROW(BG184),COLUMN(BG184)))),
IF(BG170=0,0,-PMT(INDEX(Lookups!$E$17:$G$17,MATCH($C$4,Lookups!$E$14:$G$14,0)),BG170,SUMIFS('EE Inputs'!$W$9:$W$32,'EE Inputs'!$C$9:$C$32,$AM$6,'EE Inputs'!$D$9:$D$32,$C$4,'EE Inputs'!$E$9:$E$32,$B184),0,1)))</f>
        <v>0</v>
      </c>
      <c r="BH184" s="72">
        <f ca="1">IF($C$4=Lookups!$D$40,SUM(INDIRECT("'Yr1'!"&amp;ADDRESS(ROW(BH184),COLUMN(BH184))),INDIRECT("'Yr2'!"&amp;ADDRESS(ROW(BH184),COLUMN(BH184))),INDIRECT("'Yr3'!"&amp;ADDRESS(ROW(BH184),COLUMN(BH184)))),
IF(BH170=0,0,-PMT(INDEX(Lookups!$E$17:$G$17,MATCH($C$4,Lookups!$E$14:$G$14,0)),BH170,SUMIFS('EE Inputs'!$W$9:$W$32,'EE Inputs'!$C$9:$C$32,$AM$6,'EE Inputs'!$D$9:$D$32,$C$4,'EE Inputs'!$E$9:$E$32,$B184),0,1)))</f>
        <v>0</v>
      </c>
      <c r="BI184" s="72">
        <f ca="1">IF($C$4=Lookups!$D$40,SUM(INDIRECT("'Yr1'!"&amp;ADDRESS(ROW(BI184),COLUMN(BI184))),INDIRECT("'Yr2'!"&amp;ADDRESS(ROW(BI184),COLUMN(BI184))),INDIRECT("'Yr3'!"&amp;ADDRESS(ROW(BI184),COLUMN(BI184)))),
IF(BI170=0,0,-PMT(INDEX(Lookups!$E$17:$G$17,MATCH($C$4,Lookups!$E$14:$G$14,0)),BI170,SUMIFS('EE Inputs'!$W$9:$W$32,'EE Inputs'!$C$9:$C$32,$AM$6,'EE Inputs'!$D$9:$D$32,$C$4,'EE Inputs'!$E$9:$E$32,$B184),0,1)))</f>
        <v>0</v>
      </c>
      <c r="BJ184" s="72">
        <f ca="1">IF($C$4=Lookups!$D$40,SUM(INDIRECT("'Yr1'!"&amp;ADDRESS(ROW(BJ184),COLUMN(BJ184))),INDIRECT("'Yr2'!"&amp;ADDRESS(ROW(BJ184),COLUMN(BJ184))),INDIRECT("'Yr3'!"&amp;ADDRESS(ROW(BJ184),COLUMN(BJ184)))),
IF(BJ170=0,0,-PMT(INDEX(Lookups!$E$17:$G$17,MATCH($C$4,Lookups!$E$14:$G$14,0)),BJ170,SUMIFS('EE Inputs'!$W$9:$W$32,'EE Inputs'!$C$9:$C$32,$AM$6,'EE Inputs'!$D$9:$D$32,$C$4,'EE Inputs'!$E$9:$E$32,$B184),0,1)))</f>
        <v>0</v>
      </c>
      <c r="BK184" s="72">
        <f ca="1">IF($C$4=Lookups!$D$40,SUM(INDIRECT("'Yr1'!"&amp;ADDRESS(ROW(BK184),COLUMN(BK184))),INDIRECT("'Yr2'!"&amp;ADDRESS(ROW(BK184),COLUMN(BK184))),INDIRECT("'Yr3'!"&amp;ADDRESS(ROW(BK184),COLUMN(BK184)))),
IF(BK170=0,0,-PMT(INDEX(Lookups!$E$17:$G$17,MATCH($C$4,Lookups!$E$14:$G$14,0)),BK170,SUMIFS('EE Inputs'!$W$9:$W$32,'EE Inputs'!$C$9:$C$32,$AM$6,'EE Inputs'!$D$9:$D$32,$C$4,'EE Inputs'!$E$9:$E$32,$B184),0,1)))</f>
        <v>0</v>
      </c>
      <c r="BL184" s="72">
        <f ca="1">IF($C$4=Lookups!$D$40,SUM(INDIRECT("'Yr1'!"&amp;ADDRESS(ROW(BL184),COLUMN(BL184))),INDIRECT("'Yr2'!"&amp;ADDRESS(ROW(BL184),COLUMN(BL184))),INDIRECT("'Yr3'!"&amp;ADDRESS(ROW(BL184),COLUMN(BL184)))),
IF(BL170=0,0,-PMT(INDEX(Lookups!$E$17:$G$17,MATCH($C$4,Lookups!$E$14:$G$14,0)),BL170,SUMIFS('EE Inputs'!$W$9:$W$32,'EE Inputs'!$C$9:$C$32,$AM$6,'EE Inputs'!$D$9:$D$32,$C$4,'EE Inputs'!$E$9:$E$32,$B184),0,1)))</f>
        <v>0</v>
      </c>
      <c r="BM184" s="72">
        <f ca="1">IF($C$4=Lookups!$D$40,SUM(INDIRECT("'Yr1'!"&amp;ADDRESS(ROW(BM184),COLUMN(BM184))),INDIRECT("'Yr2'!"&amp;ADDRESS(ROW(BM184),COLUMN(BM184))),INDIRECT("'Yr3'!"&amp;ADDRESS(ROW(BM184),COLUMN(BM184)))),
IF(BM170=0,0,-PMT(INDEX(Lookups!$E$17:$G$17,MATCH($C$4,Lookups!$E$14:$G$14,0)),BM170,SUMIFS('EE Inputs'!$W$9:$W$32,'EE Inputs'!$C$9:$C$32,$AM$6,'EE Inputs'!$D$9:$D$32,$C$4,'EE Inputs'!$E$9:$E$32,$B184),0,1)))</f>
        <v>0</v>
      </c>
      <c r="BN184" s="72"/>
      <c r="BO184" s="72">
        <f ca="1">NPV(Lookups!$E$17,AM184:BM184)</f>
        <v>704514.03441575647</v>
      </c>
      <c r="BP184" s="72"/>
      <c r="BS184" s="84" t="s">
        <v>413</v>
      </c>
      <c r="BT184" s="51"/>
    </row>
    <row r="185" spans="1:72" x14ac:dyDescent="0.25">
      <c r="A185" s="246"/>
      <c r="B185" s="243" t="str">
        <f t="shared" ref="B185:C185" si="191">B183</f>
        <v>Small C&amp;I</v>
      </c>
      <c r="C185" s="243" t="str">
        <f t="shared" si="191"/>
        <v>Revenue Requirements</v>
      </c>
      <c r="D185" s="244" t="str">
        <f>D183</f>
        <v>Avoided Costs</v>
      </c>
      <c r="E185" s="86" t="s">
        <v>175</v>
      </c>
      <c r="F185" s="84" t="s">
        <v>32</v>
      </c>
      <c r="G185" s="65">
        <f ca="1">IF($C$4=Lookups!$D$40,SUM(INDIRECT("'Yr1'!"&amp;ADDRESS(ROW(G185),COLUMN(G185))),INDIRECT("'Yr2'!"&amp;ADDRESS(ROW(G185),COLUMN(G185))),INDIRECT("'Yr3'!"&amp;ADDRESS(ROW(G185),COLUMN(G185)))),
IF(G170=0,0,-PMT(INDEX(Lookups!$E$17:$G$17,MATCH($C$4,Lookups!$E$14:$G$14,0)),G170,SUMIFS('EE Inputs'!$K$9:$K$32,'EE Inputs'!$C$9:$C$32,$G$6,'EE Inputs'!$D$9:$D$32,$C$4,'EE Inputs'!$E$9:$E$32,$B185),0,1)))</f>
        <v>8175.0837003515289</v>
      </c>
      <c r="H185" s="65">
        <f ca="1">IF($C$4=Lookups!$D$40,SUM(INDIRECT("'Yr1'!"&amp;ADDRESS(ROW(H185),COLUMN(H185))),INDIRECT("'Yr2'!"&amp;ADDRESS(ROW(H185),COLUMN(H185))),INDIRECT("'Yr3'!"&amp;ADDRESS(ROW(H185),COLUMN(H185)))),
IF(H170=0,0,-PMT(INDEX(Lookups!$E$17:$G$17,MATCH($C$4,Lookups!$E$14:$G$14,0)),H170,SUMIFS('EE Inputs'!$K$9:$K$32,'EE Inputs'!$C$9:$C$32,$G$6,'EE Inputs'!$D$9:$D$32,$C$4,'EE Inputs'!$E$9:$E$32,$B185),0,1)))</f>
        <v>16793.124250160952</v>
      </c>
      <c r="I185" s="65">
        <f ca="1">IF($C$4=Lookups!$D$40,SUM(INDIRECT("'Yr1'!"&amp;ADDRESS(ROW(I185),COLUMN(I185))),INDIRECT("'Yr2'!"&amp;ADDRESS(ROW(I185),COLUMN(I185))),INDIRECT("'Yr3'!"&amp;ADDRESS(ROW(I185),COLUMN(I185)))),
IF(I170=0,0,-PMT(INDEX(Lookups!$E$17:$G$17,MATCH($C$4,Lookups!$E$14:$G$14,0)),I170,SUMIFS('EE Inputs'!$K$9:$K$32,'EE Inputs'!$C$9:$C$32,$G$6,'EE Inputs'!$D$9:$D$32,$C$4,'EE Inputs'!$E$9:$E$32,$B185),0,1)))</f>
        <v>25793.581009659989</v>
      </c>
      <c r="J185" s="65">
        <f ca="1">IF($C$4=Lookups!$D$40,SUM(INDIRECT("'Yr1'!"&amp;ADDRESS(ROW(J185),COLUMN(J185))),INDIRECT("'Yr2'!"&amp;ADDRESS(ROW(J185),COLUMN(J185))),INDIRECT("'Yr3'!"&amp;ADDRESS(ROW(J185),COLUMN(J185)))),
IF(J170=0,0,-PMT(INDEX(Lookups!$E$17:$G$17,MATCH($C$4,Lookups!$E$14:$G$14,0)),J170,SUMIFS('EE Inputs'!$K$9:$K$32,'EE Inputs'!$C$9:$C$32,$G$6,'EE Inputs'!$D$9:$D$32,$C$4,'EE Inputs'!$E$9:$E$32,$B185),0,1)))</f>
        <v>25793.581009659989</v>
      </c>
      <c r="K185" s="65">
        <f ca="1">IF($C$4=Lookups!$D$40,SUM(INDIRECT("'Yr1'!"&amp;ADDRESS(ROW(K185),COLUMN(K185))),INDIRECT("'Yr2'!"&amp;ADDRESS(ROW(K185),COLUMN(K185))),INDIRECT("'Yr3'!"&amp;ADDRESS(ROW(K185),COLUMN(K185)))),
IF(K170=0,0,-PMT(INDEX(Lookups!$E$17:$G$17,MATCH($C$4,Lookups!$E$14:$G$14,0)),K170,SUMIFS('EE Inputs'!$K$9:$K$32,'EE Inputs'!$C$9:$C$32,$G$6,'EE Inputs'!$D$9:$D$32,$C$4,'EE Inputs'!$E$9:$E$32,$B185),0,1)))</f>
        <v>25793.581009659989</v>
      </c>
      <c r="L185" s="65">
        <f ca="1">IF($C$4=Lookups!$D$40,SUM(INDIRECT("'Yr1'!"&amp;ADDRESS(ROW(L185),COLUMN(L185))),INDIRECT("'Yr2'!"&amp;ADDRESS(ROW(L185),COLUMN(L185))),INDIRECT("'Yr3'!"&amp;ADDRESS(ROW(L185),COLUMN(L185)))),
IF(L170=0,0,-PMT(INDEX(Lookups!$E$17:$G$17,MATCH($C$4,Lookups!$E$14:$G$14,0)),L170,SUMIFS('EE Inputs'!$K$9:$K$32,'EE Inputs'!$C$9:$C$32,$G$6,'EE Inputs'!$D$9:$D$32,$C$4,'EE Inputs'!$E$9:$E$32,$B185),0,1)))</f>
        <v>25793.581009659989</v>
      </c>
      <c r="M185" s="65">
        <f ca="1">IF($C$4=Lookups!$D$40,SUM(INDIRECT("'Yr1'!"&amp;ADDRESS(ROW(M185),COLUMN(M185))),INDIRECT("'Yr2'!"&amp;ADDRESS(ROW(M185),COLUMN(M185))),INDIRECT("'Yr3'!"&amp;ADDRESS(ROW(M185),COLUMN(M185)))),
IF(M170=0,0,-PMT(INDEX(Lookups!$E$17:$G$17,MATCH($C$4,Lookups!$E$14:$G$14,0)),M170,SUMIFS('EE Inputs'!$K$9:$K$32,'EE Inputs'!$C$9:$C$32,$G$6,'EE Inputs'!$D$9:$D$32,$C$4,'EE Inputs'!$E$9:$E$32,$B185),0,1)))</f>
        <v>25793.581009659989</v>
      </c>
      <c r="N185" s="65">
        <f ca="1">IF($C$4=Lookups!$D$40,SUM(INDIRECT("'Yr1'!"&amp;ADDRESS(ROW(N185),COLUMN(N185))),INDIRECT("'Yr2'!"&amp;ADDRESS(ROW(N185),COLUMN(N185))),INDIRECT("'Yr3'!"&amp;ADDRESS(ROW(N185),COLUMN(N185)))),
IF(N170=0,0,-PMT(INDEX(Lookups!$E$17:$G$17,MATCH($C$4,Lookups!$E$14:$G$14,0)),N170,SUMIFS('EE Inputs'!$K$9:$K$32,'EE Inputs'!$C$9:$C$32,$G$6,'EE Inputs'!$D$9:$D$32,$C$4,'EE Inputs'!$E$9:$E$32,$B185),0,1)))</f>
        <v>25793.581009659989</v>
      </c>
      <c r="O185" s="65">
        <f ca="1">IF($C$4=Lookups!$D$40,SUM(INDIRECT("'Yr1'!"&amp;ADDRESS(ROW(O185),COLUMN(O185))),INDIRECT("'Yr2'!"&amp;ADDRESS(ROW(O185),COLUMN(O185))),INDIRECT("'Yr3'!"&amp;ADDRESS(ROW(O185),COLUMN(O185)))),
IF(O170=0,0,-PMT(INDEX(Lookups!$E$17:$G$17,MATCH($C$4,Lookups!$E$14:$G$14,0)),O170,SUMIFS('EE Inputs'!$K$9:$K$32,'EE Inputs'!$C$9:$C$32,$G$6,'EE Inputs'!$D$9:$D$32,$C$4,'EE Inputs'!$E$9:$E$32,$B185),0,1)))</f>
        <v>25793.581009659989</v>
      </c>
      <c r="P185" s="65">
        <f ca="1">IF($C$4=Lookups!$D$40,SUM(INDIRECT("'Yr1'!"&amp;ADDRESS(ROW(P185),COLUMN(P185))),INDIRECT("'Yr2'!"&amp;ADDRESS(ROW(P185),COLUMN(P185))),INDIRECT("'Yr3'!"&amp;ADDRESS(ROW(P185),COLUMN(P185)))),
IF(P170=0,0,-PMT(INDEX(Lookups!$E$17:$G$17,MATCH($C$4,Lookups!$E$14:$G$14,0)),P170,SUMIFS('EE Inputs'!$K$9:$K$32,'EE Inputs'!$C$9:$C$32,$G$6,'EE Inputs'!$D$9:$D$32,$C$4,'EE Inputs'!$E$9:$E$32,$B185),0,1)))</f>
        <v>25793.581009659989</v>
      </c>
      <c r="Q185" s="65">
        <f ca="1">IF($C$4=Lookups!$D$40,SUM(INDIRECT("'Yr1'!"&amp;ADDRESS(ROW(Q185),COLUMN(Q185))),INDIRECT("'Yr2'!"&amp;ADDRESS(ROW(Q185),COLUMN(Q185))),INDIRECT("'Yr3'!"&amp;ADDRESS(ROW(Q185),COLUMN(Q185)))),
IF(Q170=0,0,-PMT(INDEX(Lookups!$E$17:$G$17,MATCH($C$4,Lookups!$E$14:$G$14,0)),Q170,SUMIFS('EE Inputs'!$K$9:$K$32,'EE Inputs'!$C$9:$C$32,$G$6,'EE Inputs'!$D$9:$D$32,$C$4,'EE Inputs'!$E$9:$E$32,$B185),0,1)))</f>
        <v>25793.581009659989</v>
      </c>
      <c r="R185" s="65">
        <f ca="1">IF($C$4=Lookups!$D$40,SUM(INDIRECT("'Yr1'!"&amp;ADDRESS(ROW(R185),COLUMN(R185))),INDIRECT("'Yr2'!"&amp;ADDRESS(ROW(R185),COLUMN(R185))),INDIRECT("'Yr3'!"&amp;ADDRESS(ROW(R185),COLUMN(R185)))),
IF(R170=0,0,-PMT(INDEX(Lookups!$E$17:$G$17,MATCH($C$4,Lookups!$E$14:$G$14,0)),R170,SUMIFS('EE Inputs'!$K$9:$K$32,'EE Inputs'!$C$9:$C$32,$G$6,'EE Inputs'!$D$9:$D$32,$C$4,'EE Inputs'!$E$9:$E$32,$B185),0,1)))</f>
        <v>25793.581009659989</v>
      </c>
      <c r="S185" s="65">
        <f ca="1">IF($C$4=Lookups!$D$40,SUM(INDIRECT("'Yr1'!"&amp;ADDRESS(ROW(S185),COLUMN(S185))),INDIRECT("'Yr2'!"&amp;ADDRESS(ROW(S185),COLUMN(S185))),INDIRECT("'Yr3'!"&amp;ADDRESS(ROW(S185),COLUMN(S185)))),
IF(S170=0,0,-PMT(INDEX(Lookups!$E$17:$G$17,MATCH($C$4,Lookups!$E$14:$G$14,0)),S170,SUMIFS('EE Inputs'!$K$9:$K$32,'EE Inputs'!$C$9:$C$32,$G$6,'EE Inputs'!$D$9:$D$32,$C$4,'EE Inputs'!$E$9:$E$32,$B185),0,1)))</f>
        <v>25793.581009659989</v>
      </c>
      <c r="T185" s="65">
        <f ca="1">IF($C$4=Lookups!$D$40,SUM(INDIRECT("'Yr1'!"&amp;ADDRESS(ROW(T185),COLUMN(T185))),INDIRECT("'Yr2'!"&amp;ADDRESS(ROW(T185),COLUMN(T185))),INDIRECT("'Yr3'!"&amp;ADDRESS(ROW(T185),COLUMN(T185)))),
IF(T170=0,0,-PMT(INDEX(Lookups!$E$17:$G$17,MATCH($C$4,Lookups!$E$14:$G$14,0)),T170,SUMIFS('EE Inputs'!$K$9:$K$32,'EE Inputs'!$C$9:$C$32,$G$6,'EE Inputs'!$D$9:$D$32,$C$4,'EE Inputs'!$E$9:$E$32,$B185),0,1)))</f>
        <v>25793.581009659989</v>
      </c>
      <c r="U185" s="65">
        <f ca="1">IF($C$4=Lookups!$D$40,SUM(INDIRECT("'Yr1'!"&amp;ADDRESS(ROW(U185),COLUMN(U185))),INDIRECT("'Yr2'!"&amp;ADDRESS(ROW(U185),COLUMN(U185))),INDIRECT("'Yr3'!"&amp;ADDRESS(ROW(U185),COLUMN(U185)))),
IF(U170=0,0,-PMT(INDEX(Lookups!$E$17:$G$17,MATCH($C$4,Lookups!$E$14:$G$14,0)),U170,SUMIFS('EE Inputs'!$K$9:$K$32,'EE Inputs'!$C$9:$C$32,$G$6,'EE Inputs'!$D$9:$D$32,$C$4,'EE Inputs'!$E$9:$E$32,$B185),0,1)))</f>
        <v>25793.581009659989</v>
      </c>
      <c r="V185" s="65">
        <f ca="1">IF($C$4=Lookups!$D$40,SUM(INDIRECT("'Yr1'!"&amp;ADDRESS(ROW(V185),COLUMN(V185))),INDIRECT("'Yr2'!"&amp;ADDRESS(ROW(V185),COLUMN(V185))),INDIRECT("'Yr3'!"&amp;ADDRESS(ROW(V185),COLUMN(V185)))),
IF(V170=0,0,-PMT(INDEX(Lookups!$E$17:$G$17,MATCH($C$4,Lookups!$E$14:$G$14,0)),V170,SUMIFS('EE Inputs'!$K$9:$K$32,'EE Inputs'!$C$9:$C$32,$G$6,'EE Inputs'!$D$9:$D$32,$C$4,'EE Inputs'!$E$9:$E$32,$B185),0,1)))</f>
        <v>25793.581009659989</v>
      </c>
      <c r="W185" s="65">
        <f ca="1">IF($C$4=Lookups!$D$40,SUM(INDIRECT("'Yr1'!"&amp;ADDRESS(ROW(W185),COLUMN(W185))),INDIRECT("'Yr2'!"&amp;ADDRESS(ROW(W185),COLUMN(W185))),INDIRECT("'Yr3'!"&amp;ADDRESS(ROW(W185),COLUMN(W185)))),
IF(W170=0,0,-PMT(INDEX(Lookups!$E$17:$G$17,MATCH($C$4,Lookups!$E$14:$G$14,0)),W170,SUMIFS('EE Inputs'!$K$9:$K$32,'EE Inputs'!$C$9:$C$32,$G$6,'EE Inputs'!$D$9:$D$32,$C$4,'EE Inputs'!$E$9:$E$32,$B185),0,1)))</f>
        <v>17618.497309308459</v>
      </c>
      <c r="X185" s="65">
        <f ca="1">IF($C$4=Lookups!$D$40,SUM(INDIRECT("'Yr1'!"&amp;ADDRESS(ROW(X185),COLUMN(X185))),INDIRECT("'Yr2'!"&amp;ADDRESS(ROW(X185),COLUMN(X185))),INDIRECT("'Yr3'!"&amp;ADDRESS(ROW(X185),COLUMN(X185)))),
IF(X170=0,0,-PMT(INDEX(Lookups!$E$17:$G$17,MATCH($C$4,Lookups!$E$14:$G$14,0)),X170,SUMIFS('EE Inputs'!$K$9:$K$32,'EE Inputs'!$C$9:$C$32,$G$6,'EE Inputs'!$D$9:$D$32,$C$4,'EE Inputs'!$E$9:$E$32,$B185),0,1)))</f>
        <v>9000.4567594990367</v>
      </c>
      <c r="Y185" s="65">
        <f ca="1">IF($C$4=Lookups!$D$40,SUM(INDIRECT("'Yr1'!"&amp;ADDRESS(ROW(Y185),COLUMN(Y185))),INDIRECT("'Yr2'!"&amp;ADDRESS(ROW(Y185),COLUMN(Y185))),INDIRECT("'Yr3'!"&amp;ADDRESS(ROW(Y185),COLUMN(Y185)))),
IF(Y170=0,0,-PMT(INDEX(Lookups!$E$17:$G$17,MATCH($C$4,Lookups!$E$14:$G$14,0)),Y170,SUMIFS('EE Inputs'!$K$9:$K$32,'EE Inputs'!$C$9:$C$32,$G$6,'EE Inputs'!$D$9:$D$32,$C$4,'EE Inputs'!$E$9:$E$32,$B185),0,1)))</f>
        <v>0</v>
      </c>
      <c r="Z185" s="65">
        <f ca="1">IF($C$4=Lookups!$D$40,SUM(INDIRECT("'Yr1'!"&amp;ADDRESS(ROW(Z185),COLUMN(Z185))),INDIRECT("'Yr2'!"&amp;ADDRESS(ROW(Z185),COLUMN(Z185))),INDIRECT("'Yr3'!"&amp;ADDRESS(ROW(Z185),COLUMN(Z185)))),
IF(Z170=0,0,-PMT(INDEX(Lookups!$E$17:$G$17,MATCH($C$4,Lookups!$E$14:$G$14,0)),Z170,SUMIFS('EE Inputs'!$K$9:$K$32,'EE Inputs'!$C$9:$C$32,$G$6,'EE Inputs'!$D$9:$D$32,$C$4,'EE Inputs'!$E$9:$E$32,$B185),0,1)))</f>
        <v>0</v>
      </c>
      <c r="AA185" s="65">
        <f ca="1">IF($C$4=Lookups!$D$40,SUM(INDIRECT("'Yr1'!"&amp;ADDRESS(ROW(AA185),COLUMN(AA185))),INDIRECT("'Yr2'!"&amp;ADDRESS(ROW(AA185),COLUMN(AA185))),INDIRECT("'Yr3'!"&amp;ADDRESS(ROW(AA185),COLUMN(AA185)))),
IF(AA170=0,0,-PMT(INDEX(Lookups!$E$17:$G$17,MATCH($C$4,Lookups!$E$14:$G$14,0)),AA170,SUMIFS('EE Inputs'!$K$9:$K$32,'EE Inputs'!$C$9:$C$32,$G$6,'EE Inputs'!$D$9:$D$32,$C$4,'EE Inputs'!$E$9:$E$32,$B185),0,1)))</f>
        <v>0</v>
      </c>
      <c r="AB185" s="65">
        <f ca="1">IF($C$4=Lookups!$D$40,SUM(INDIRECT("'Yr1'!"&amp;ADDRESS(ROW(AB185),COLUMN(AB185))),INDIRECT("'Yr2'!"&amp;ADDRESS(ROW(AB185),COLUMN(AB185))),INDIRECT("'Yr3'!"&amp;ADDRESS(ROW(AB185),COLUMN(AB185)))),
IF(AB170=0,0,-PMT(INDEX(Lookups!$E$17:$G$17,MATCH($C$4,Lookups!$E$14:$G$14,0)),AB170,SUMIFS('EE Inputs'!$K$9:$K$32,'EE Inputs'!$C$9:$C$32,$G$6,'EE Inputs'!$D$9:$D$32,$C$4,'EE Inputs'!$E$9:$E$32,$B185),0,1)))</f>
        <v>0</v>
      </c>
      <c r="AC185" s="65">
        <f ca="1">IF($C$4=Lookups!$D$40,SUM(INDIRECT("'Yr1'!"&amp;ADDRESS(ROW(AC185),COLUMN(AC185))),INDIRECT("'Yr2'!"&amp;ADDRESS(ROW(AC185),COLUMN(AC185))),INDIRECT("'Yr3'!"&amp;ADDRESS(ROW(AC185),COLUMN(AC185)))),
IF(AC170=0,0,-PMT(INDEX(Lookups!$E$17:$G$17,MATCH($C$4,Lookups!$E$14:$G$14,0)),AC170,SUMIFS('EE Inputs'!$K$9:$K$32,'EE Inputs'!$C$9:$C$32,$G$6,'EE Inputs'!$D$9:$D$32,$C$4,'EE Inputs'!$E$9:$E$32,$B185),0,1)))</f>
        <v>0</v>
      </c>
      <c r="AD185" s="65">
        <f ca="1">IF($C$4=Lookups!$D$40,SUM(INDIRECT("'Yr1'!"&amp;ADDRESS(ROW(AD185),COLUMN(AD185))),INDIRECT("'Yr2'!"&amp;ADDRESS(ROW(AD185),COLUMN(AD185))),INDIRECT("'Yr3'!"&amp;ADDRESS(ROW(AD185),COLUMN(AD185)))),
IF(AD170=0,0,-PMT(INDEX(Lookups!$E$17:$G$17,MATCH($C$4,Lookups!$E$14:$G$14,0)),AD170,SUMIFS('EE Inputs'!$K$9:$K$32,'EE Inputs'!$C$9:$C$32,$G$6,'EE Inputs'!$D$9:$D$32,$C$4,'EE Inputs'!$E$9:$E$32,$B185),0,1)))</f>
        <v>0</v>
      </c>
      <c r="AE185" s="65">
        <f ca="1">IF($C$4=Lookups!$D$40,SUM(INDIRECT("'Yr1'!"&amp;ADDRESS(ROW(AE185),COLUMN(AE185))),INDIRECT("'Yr2'!"&amp;ADDRESS(ROW(AE185),COLUMN(AE185))),INDIRECT("'Yr3'!"&amp;ADDRESS(ROW(AE185),COLUMN(AE185)))),
IF(AE170=0,0,-PMT(INDEX(Lookups!$E$17:$G$17,MATCH($C$4,Lookups!$E$14:$G$14,0)),AE170,SUMIFS('EE Inputs'!$K$9:$K$32,'EE Inputs'!$C$9:$C$32,$G$6,'EE Inputs'!$D$9:$D$32,$C$4,'EE Inputs'!$E$9:$E$32,$B185),0,1)))</f>
        <v>0</v>
      </c>
      <c r="AF185" s="65">
        <f ca="1">IF($C$4=Lookups!$D$40,SUM(INDIRECT("'Yr1'!"&amp;ADDRESS(ROW(AF185),COLUMN(AF185))),INDIRECT("'Yr2'!"&amp;ADDRESS(ROW(AF185),COLUMN(AF185))),INDIRECT("'Yr3'!"&amp;ADDRESS(ROW(AF185),COLUMN(AF185)))),
IF(AF170=0,0,-PMT(INDEX(Lookups!$E$17:$G$17,MATCH($C$4,Lookups!$E$14:$G$14,0)),AF170,SUMIFS('EE Inputs'!$K$9:$K$32,'EE Inputs'!$C$9:$C$32,$G$6,'EE Inputs'!$D$9:$D$32,$C$4,'EE Inputs'!$E$9:$E$32,$B185),0,1)))</f>
        <v>0</v>
      </c>
      <c r="AG185" s="65">
        <f ca="1">IF($C$4=Lookups!$D$40,SUM(INDIRECT("'Yr1'!"&amp;ADDRESS(ROW(AG185),COLUMN(AG185))),INDIRECT("'Yr2'!"&amp;ADDRESS(ROW(AG185),COLUMN(AG185))),INDIRECT("'Yr3'!"&amp;ADDRESS(ROW(AG185),COLUMN(AG185)))),
IF(AG170=0,0,-PMT(INDEX(Lookups!$E$17:$G$17,MATCH($C$4,Lookups!$E$14:$G$14,0)),AG170,SUMIFS('EE Inputs'!$K$9:$K$32,'EE Inputs'!$C$9:$C$32,$G$6,'EE Inputs'!$D$9:$D$32,$C$4,'EE Inputs'!$E$9:$E$32,$B185),0,1)))</f>
        <v>0</v>
      </c>
      <c r="AH185" s="65"/>
      <c r="AI185" s="65">
        <f ca="1">NPV(Lookups!$E$17,G185:AG185)</f>
        <v>361766.50373395812</v>
      </c>
      <c r="AJ185" s="65"/>
      <c r="AM185" s="72">
        <f ca="1">IF($C$4=Lookups!$D$40,SUM(INDIRECT("'Yr1'!"&amp;ADDRESS(ROW(AM185),COLUMN(AM185))),INDIRECT("'Yr2'!"&amp;ADDRESS(ROW(AM185),COLUMN(AM185))),INDIRECT("'Yr3'!"&amp;ADDRESS(ROW(AM185),COLUMN(AM185)))),
IF(AM170=0,0,-PMT(INDEX(Lookups!$E$17:$G$17,MATCH($C$4,Lookups!$E$14:$G$14,0)),AM170,SUMIFS('EE Inputs'!$K$9:$K$32,'EE Inputs'!$C$9:$C$32,$AM$6,'EE Inputs'!$D$9:$D$32,$C$4,'EE Inputs'!$E$9:$E$32,$B185),0,1)))</f>
        <v>9342.9528004017484</v>
      </c>
      <c r="AN185" s="72">
        <f ca="1">IF($C$4=Lookups!$D$40,SUM(INDIRECT("'Yr1'!"&amp;ADDRESS(ROW(AN185),COLUMN(AN185))),INDIRECT("'Yr2'!"&amp;ADDRESS(ROW(AN185),COLUMN(AN185))),INDIRECT("'Yr3'!"&amp;ADDRESS(ROW(AN185),COLUMN(AN185)))),
IF(AN170=0,0,-PMT(INDEX(Lookups!$E$17:$G$17,MATCH($C$4,Lookups!$E$14:$G$14,0)),AN170,SUMIFS('EE Inputs'!$K$9:$K$32,'EE Inputs'!$C$9:$C$32,$AM$6,'EE Inputs'!$D$9:$D$32,$C$4,'EE Inputs'!$E$9:$E$32,$B185),0,1)))</f>
        <v>19192.142000183943</v>
      </c>
      <c r="AO185" s="72">
        <f ca="1">IF($C$4=Lookups!$D$40,SUM(INDIRECT("'Yr1'!"&amp;ADDRESS(ROW(AO185),COLUMN(AO185))),INDIRECT("'Yr2'!"&amp;ADDRESS(ROW(AO185),COLUMN(AO185))),INDIRECT("'Yr3'!"&amp;ADDRESS(ROW(AO185),COLUMN(AO185)))),
IF(AO170=0,0,-PMT(INDEX(Lookups!$E$17:$G$17,MATCH($C$4,Lookups!$E$14:$G$14,0)),AO170,SUMIFS('EE Inputs'!$K$9:$K$32,'EE Inputs'!$C$9:$C$32,$AM$6,'EE Inputs'!$D$9:$D$32,$C$4,'EE Inputs'!$E$9:$E$32,$B185),0,1)))</f>
        <v>29478.378296754272</v>
      </c>
      <c r="AP185" s="72">
        <f ca="1">IF($C$4=Lookups!$D$40,SUM(INDIRECT("'Yr1'!"&amp;ADDRESS(ROW(AP185),COLUMN(AP185))),INDIRECT("'Yr2'!"&amp;ADDRESS(ROW(AP185),COLUMN(AP185))),INDIRECT("'Yr3'!"&amp;ADDRESS(ROW(AP185),COLUMN(AP185)))),
IF(AP170=0,0,-PMT(INDEX(Lookups!$E$17:$G$17,MATCH($C$4,Lookups!$E$14:$G$14,0)),AP170,SUMIFS('EE Inputs'!$K$9:$K$32,'EE Inputs'!$C$9:$C$32,$AM$6,'EE Inputs'!$D$9:$D$32,$C$4,'EE Inputs'!$E$9:$E$32,$B185),0,1)))</f>
        <v>29478.378296754272</v>
      </c>
      <c r="AQ185" s="72">
        <f ca="1">IF($C$4=Lookups!$D$40,SUM(INDIRECT("'Yr1'!"&amp;ADDRESS(ROW(AQ185),COLUMN(AQ185))),INDIRECT("'Yr2'!"&amp;ADDRESS(ROW(AQ185),COLUMN(AQ185))),INDIRECT("'Yr3'!"&amp;ADDRESS(ROW(AQ185),COLUMN(AQ185)))),
IF(AQ170=0,0,-PMT(INDEX(Lookups!$E$17:$G$17,MATCH($C$4,Lookups!$E$14:$G$14,0)),AQ170,SUMIFS('EE Inputs'!$K$9:$K$32,'EE Inputs'!$C$9:$C$32,$AM$6,'EE Inputs'!$D$9:$D$32,$C$4,'EE Inputs'!$E$9:$E$32,$B185),0,1)))</f>
        <v>29478.378296754272</v>
      </c>
      <c r="AR185" s="72">
        <f ca="1">IF($C$4=Lookups!$D$40,SUM(INDIRECT("'Yr1'!"&amp;ADDRESS(ROW(AR185),COLUMN(AR185))),INDIRECT("'Yr2'!"&amp;ADDRESS(ROW(AR185),COLUMN(AR185))),INDIRECT("'Yr3'!"&amp;ADDRESS(ROW(AR185),COLUMN(AR185)))),
IF(AR170=0,0,-PMT(INDEX(Lookups!$E$17:$G$17,MATCH($C$4,Lookups!$E$14:$G$14,0)),AR170,SUMIFS('EE Inputs'!$K$9:$K$32,'EE Inputs'!$C$9:$C$32,$AM$6,'EE Inputs'!$D$9:$D$32,$C$4,'EE Inputs'!$E$9:$E$32,$B185),0,1)))</f>
        <v>29478.378296754272</v>
      </c>
      <c r="AS185" s="72">
        <f ca="1">IF($C$4=Lookups!$D$40,SUM(INDIRECT("'Yr1'!"&amp;ADDRESS(ROW(AS185),COLUMN(AS185))),INDIRECT("'Yr2'!"&amp;ADDRESS(ROW(AS185),COLUMN(AS185))),INDIRECT("'Yr3'!"&amp;ADDRESS(ROW(AS185),COLUMN(AS185)))),
IF(AS170=0,0,-PMT(INDEX(Lookups!$E$17:$G$17,MATCH($C$4,Lookups!$E$14:$G$14,0)),AS170,SUMIFS('EE Inputs'!$K$9:$K$32,'EE Inputs'!$C$9:$C$32,$AM$6,'EE Inputs'!$D$9:$D$32,$C$4,'EE Inputs'!$E$9:$E$32,$B185),0,1)))</f>
        <v>29478.378296754272</v>
      </c>
      <c r="AT185" s="72">
        <f ca="1">IF($C$4=Lookups!$D$40,SUM(INDIRECT("'Yr1'!"&amp;ADDRESS(ROW(AT185),COLUMN(AT185))),INDIRECT("'Yr2'!"&amp;ADDRESS(ROW(AT185),COLUMN(AT185))),INDIRECT("'Yr3'!"&amp;ADDRESS(ROW(AT185),COLUMN(AT185)))),
IF(AT170=0,0,-PMT(INDEX(Lookups!$E$17:$G$17,MATCH($C$4,Lookups!$E$14:$G$14,0)),AT170,SUMIFS('EE Inputs'!$K$9:$K$32,'EE Inputs'!$C$9:$C$32,$AM$6,'EE Inputs'!$D$9:$D$32,$C$4,'EE Inputs'!$E$9:$E$32,$B185),0,1)))</f>
        <v>29478.378296754272</v>
      </c>
      <c r="AU185" s="72">
        <f ca="1">IF($C$4=Lookups!$D$40,SUM(INDIRECT("'Yr1'!"&amp;ADDRESS(ROW(AU185),COLUMN(AU185))),INDIRECT("'Yr2'!"&amp;ADDRESS(ROW(AU185),COLUMN(AU185))),INDIRECT("'Yr3'!"&amp;ADDRESS(ROW(AU185),COLUMN(AU185)))),
IF(AU170=0,0,-PMT(INDEX(Lookups!$E$17:$G$17,MATCH($C$4,Lookups!$E$14:$G$14,0)),AU170,SUMIFS('EE Inputs'!$K$9:$K$32,'EE Inputs'!$C$9:$C$32,$AM$6,'EE Inputs'!$D$9:$D$32,$C$4,'EE Inputs'!$E$9:$E$32,$B185),0,1)))</f>
        <v>29478.378296754272</v>
      </c>
      <c r="AV185" s="72">
        <f ca="1">IF($C$4=Lookups!$D$40,SUM(INDIRECT("'Yr1'!"&amp;ADDRESS(ROW(AV185),COLUMN(AV185))),INDIRECT("'Yr2'!"&amp;ADDRESS(ROW(AV185),COLUMN(AV185))),INDIRECT("'Yr3'!"&amp;ADDRESS(ROW(AV185),COLUMN(AV185)))),
IF(AV170=0,0,-PMT(INDEX(Lookups!$E$17:$G$17,MATCH($C$4,Lookups!$E$14:$G$14,0)),AV170,SUMIFS('EE Inputs'!$K$9:$K$32,'EE Inputs'!$C$9:$C$32,$AM$6,'EE Inputs'!$D$9:$D$32,$C$4,'EE Inputs'!$E$9:$E$32,$B185),0,1)))</f>
        <v>29478.378296754272</v>
      </c>
      <c r="AW185" s="72">
        <f ca="1">IF($C$4=Lookups!$D$40,SUM(INDIRECT("'Yr1'!"&amp;ADDRESS(ROW(AW185),COLUMN(AW185))),INDIRECT("'Yr2'!"&amp;ADDRESS(ROW(AW185),COLUMN(AW185))),INDIRECT("'Yr3'!"&amp;ADDRESS(ROW(AW185),COLUMN(AW185)))),
IF(AW170=0,0,-PMT(INDEX(Lookups!$E$17:$G$17,MATCH($C$4,Lookups!$E$14:$G$14,0)),AW170,SUMIFS('EE Inputs'!$K$9:$K$32,'EE Inputs'!$C$9:$C$32,$AM$6,'EE Inputs'!$D$9:$D$32,$C$4,'EE Inputs'!$E$9:$E$32,$B185),0,1)))</f>
        <v>29478.378296754272</v>
      </c>
      <c r="AX185" s="72">
        <f ca="1">IF($C$4=Lookups!$D$40,SUM(INDIRECT("'Yr1'!"&amp;ADDRESS(ROW(AX185),COLUMN(AX185))),INDIRECT("'Yr2'!"&amp;ADDRESS(ROW(AX185),COLUMN(AX185))),INDIRECT("'Yr3'!"&amp;ADDRESS(ROW(AX185),COLUMN(AX185)))),
IF(AX170=0,0,-PMT(INDEX(Lookups!$E$17:$G$17,MATCH($C$4,Lookups!$E$14:$G$14,0)),AX170,SUMIFS('EE Inputs'!$K$9:$K$32,'EE Inputs'!$C$9:$C$32,$AM$6,'EE Inputs'!$D$9:$D$32,$C$4,'EE Inputs'!$E$9:$E$32,$B185),0,1)))</f>
        <v>29478.378296754272</v>
      </c>
      <c r="AY185" s="72">
        <f ca="1">IF($C$4=Lookups!$D$40,SUM(INDIRECT("'Yr1'!"&amp;ADDRESS(ROW(AY185),COLUMN(AY185))),INDIRECT("'Yr2'!"&amp;ADDRESS(ROW(AY185),COLUMN(AY185))),INDIRECT("'Yr3'!"&amp;ADDRESS(ROW(AY185),COLUMN(AY185)))),
IF(AY170=0,0,-PMT(INDEX(Lookups!$E$17:$G$17,MATCH($C$4,Lookups!$E$14:$G$14,0)),AY170,SUMIFS('EE Inputs'!$K$9:$K$32,'EE Inputs'!$C$9:$C$32,$AM$6,'EE Inputs'!$D$9:$D$32,$C$4,'EE Inputs'!$E$9:$E$32,$B185),0,1)))</f>
        <v>29478.378296754272</v>
      </c>
      <c r="AZ185" s="72">
        <f ca="1">IF($C$4=Lookups!$D$40,SUM(INDIRECT("'Yr1'!"&amp;ADDRESS(ROW(AZ185),COLUMN(AZ185))),INDIRECT("'Yr2'!"&amp;ADDRESS(ROW(AZ185),COLUMN(AZ185))),INDIRECT("'Yr3'!"&amp;ADDRESS(ROW(AZ185),COLUMN(AZ185)))),
IF(AZ170=0,0,-PMT(INDEX(Lookups!$E$17:$G$17,MATCH($C$4,Lookups!$E$14:$G$14,0)),AZ170,SUMIFS('EE Inputs'!$K$9:$K$32,'EE Inputs'!$C$9:$C$32,$AM$6,'EE Inputs'!$D$9:$D$32,$C$4,'EE Inputs'!$E$9:$E$32,$B185),0,1)))</f>
        <v>29478.378296754272</v>
      </c>
      <c r="BA185" s="72">
        <f ca="1">IF($C$4=Lookups!$D$40,SUM(INDIRECT("'Yr1'!"&amp;ADDRESS(ROW(BA185),COLUMN(BA185))),INDIRECT("'Yr2'!"&amp;ADDRESS(ROW(BA185),COLUMN(BA185))),INDIRECT("'Yr3'!"&amp;ADDRESS(ROW(BA185),COLUMN(BA185)))),
IF(BA170=0,0,-PMT(INDEX(Lookups!$E$17:$G$17,MATCH($C$4,Lookups!$E$14:$G$14,0)),BA170,SUMIFS('EE Inputs'!$K$9:$K$32,'EE Inputs'!$C$9:$C$32,$AM$6,'EE Inputs'!$D$9:$D$32,$C$4,'EE Inputs'!$E$9:$E$32,$B185),0,1)))</f>
        <v>29478.378296754272</v>
      </c>
      <c r="BB185" s="72">
        <f ca="1">IF($C$4=Lookups!$D$40,SUM(INDIRECT("'Yr1'!"&amp;ADDRESS(ROW(BB185),COLUMN(BB185))),INDIRECT("'Yr2'!"&amp;ADDRESS(ROW(BB185),COLUMN(BB185))),INDIRECT("'Yr3'!"&amp;ADDRESS(ROW(BB185),COLUMN(BB185)))),
IF(BB170=0,0,-PMT(INDEX(Lookups!$E$17:$G$17,MATCH($C$4,Lookups!$E$14:$G$14,0)),BB170,SUMIFS('EE Inputs'!$K$9:$K$32,'EE Inputs'!$C$9:$C$32,$AM$6,'EE Inputs'!$D$9:$D$32,$C$4,'EE Inputs'!$E$9:$E$32,$B185),0,1)))</f>
        <v>29478.378296754272</v>
      </c>
      <c r="BC185" s="72">
        <f ca="1">IF($C$4=Lookups!$D$40,SUM(INDIRECT("'Yr1'!"&amp;ADDRESS(ROW(BC185),COLUMN(BC185))),INDIRECT("'Yr2'!"&amp;ADDRESS(ROW(BC185),COLUMN(BC185))),INDIRECT("'Yr3'!"&amp;ADDRESS(ROW(BC185),COLUMN(BC185)))),
IF(BC170=0,0,-PMT(INDEX(Lookups!$E$17:$G$17,MATCH($C$4,Lookups!$E$14:$G$14,0)),BC170,SUMIFS('EE Inputs'!$K$9:$K$32,'EE Inputs'!$C$9:$C$32,$AM$6,'EE Inputs'!$D$9:$D$32,$C$4,'EE Inputs'!$E$9:$E$32,$B185),0,1)))</f>
        <v>20135.425496352524</v>
      </c>
      <c r="BD185" s="72">
        <f ca="1">IF($C$4=Lookups!$D$40,SUM(INDIRECT("'Yr1'!"&amp;ADDRESS(ROW(BD185),COLUMN(BD185))),INDIRECT("'Yr2'!"&amp;ADDRESS(ROW(BD185),COLUMN(BD185))),INDIRECT("'Yr3'!"&amp;ADDRESS(ROW(BD185),COLUMN(BD185)))),
IF(BD170=0,0,-PMT(INDEX(Lookups!$E$17:$G$17,MATCH($C$4,Lookups!$E$14:$G$14,0)),BD170,SUMIFS('EE Inputs'!$K$9:$K$32,'EE Inputs'!$C$9:$C$32,$AM$6,'EE Inputs'!$D$9:$D$32,$C$4,'EE Inputs'!$E$9:$E$32,$B185),0,1)))</f>
        <v>10286.236296570327</v>
      </c>
      <c r="BE185" s="72">
        <f ca="1">IF($C$4=Lookups!$D$40,SUM(INDIRECT("'Yr1'!"&amp;ADDRESS(ROW(BE185),COLUMN(BE185))),INDIRECT("'Yr2'!"&amp;ADDRESS(ROW(BE185),COLUMN(BE185))),INDIRECT("'Yr3'!"&amp;ADDRESS(ROW(BE185),COLUMN(BE185)))),
IF(BE170=0,0,-PMT(INDEX(Lookups!$E$17:$G$17,MATCH($C$4,Lookups!$E$14:$G$14,0)),BE170,SUMIFS('EE Inputs'!$K$9:$K$32,'EE Inputs'!$C$9:$C$32,$AM$6,'EE Inputs'!$D$9:$D$32,$C$4,'EE Inputs'!$E$9:$E$32,$B185),0,1)))</f>
        <v>0</v>
      </c>
      <c r="BF185" s="72">
        <f ca="1">IF($C$4=Lookups!$D$40,SUM(INDIRECT("'Yr1'!"&amp;ADDRESS(ROW(BF185),COLUMN(BF185))),INDIRECT("'Yr2'!"&amp;ADDRESS(ROW(BF185),COLUMN(BF185))),INDIRECT("'Yr3'!"&amp;ADDRESS(ROW(BF185),COLUMN(BF185)))),
IF(BF170=0,0,-PMT(INDEX(Lookups!$E$17:$G$17,MATCH($C$4,Lookups!$E$14:$G$14,0)),BF170,SUMIFS('EE Inputs'!$K$9:$K$32,'EE Inputs'!$C$9:$C$32,$AM$6,'EE Inputs'!$D$9:$D$32,$C$4,'EE Inputs'!$E$9:$E$32,$B185),0,1)))</f>
        <v>0</v>
      </c>
      <c r="BG185" s="72">
        <f ca="1">IF($C$4=Lookups!$D$40,SUM(INDIRECT("'Yr1'!"&amp;ADDRESS(ROW(BG185),COLUMN(BG185))),INDIRECT("'Yr2'!"&amp;ADDRESS(ROW(BG185),COLUMN(BG185))),INDIRECT("'Yr3'!"&amp;ADDRESS(ROW(BG185),COLUMN(BG185)))),
IF(BG170=0,0,-PMT(INDEX(Lookups!$E$17:$G$17,MATCH($C$4,Lookups!$E$14:$G$14,0)),BG170,SUMIFS('EE Inputs'!$K$9:$K$32,'EE Inputs'!$C$9:$C$32,$AM$6,'EE Inputs'!$D$9:$D$32,$C$4,'EE Inputs'!$E$9:$E$32,$B185),0,1)))</f>
        <v>0</v>
      </c>
      <c r="BH185" s="72">
        <f ca="1">IF($C$4=Lookups!$D$40,SUM(INDIRECT("'Yr1'!"&amp;ADDRESS(ROW(BH185),COLUMN(BH185))),INDIRECT("'Yr2'!"&amp;ADDRESS(ROW(BH185),COLUMN(BH185))),INDIRECT("'Yr3'!"&amp;ADDRESS(ROW(BH185),COLUMN(BH185)))),
IF(BH170=0,0,-PMT(INDEX(Lookups!$E$17:$G$17,MATCH($C$4,Lookups!$E$14:$G$14,0)),BH170,SUMIFS('EE Inputs'!$K$9:$K$32,'EE Inputs'!$C$9:$C$32,$AM$6,'EE Inputs'!$D$9:$D$32,$C$4,'EE Inputs'!$E$9:$E$32,$B185),0,1)))</f>
        <v>0</v>
      </c>
      <c r="BI185" s="72">
        <f ca="1">IF($C$4=Lookups!$D$40,SUM(INDIRECT("'Yr1'!"&amp;ADDRESS(ROW(BI185),COLUMN(BI185))),INDIRECT("'Yr2'!"&amp;ADDRESS(ROW(BI185),COLUMN(BI185))),INDIRECT("'Yr3'!"&amp;ADDRESS(ROW(BI185),COLUMN(BI185)))),
IF(BI170=0,0,-PMT(INDEX(Lookups!$E$17:$G$17,MATCH($C$4,Lookups!$E$14:$G$14,0)),BI170,SUMIFS('EE Inputs'!$K$9:$K$32,'EE Inputs'!$C$9:$C$32,$AM$6,'EE Inputs'!$D$9:$D$32,$C$4,'EE Inputs'!$E$9:$E$32,$B185),0,1)))</f>
        <v>0</v>
      </c>
      <c r="BJ185" s="72">
        <f ca="1">IF($C$4=Lookups!$D$40,SUM(INDIRECT("'Yr1'!"&amp;ADDRESS(ROW(BJ185),COLUMN(BJ185))),INDIRECT("'Yr2'!"&amp;ADDRESS(ROW(BJ185),COLUMN(BJ185))),INDIRECT("'Yr3'!"&amp;ADDRESS(ROW(BJ185),COLUMN(BJ185)))),
IF(BJ170=0,0,-PMT(INDEX(Lookups!$E$17:$G$17,MATCH($C$4,Lookups!$E$14:$G$14,0)),BJ170,SUMIFS('EE Inputs'!$K$9:$K$32,'EE Inputs'!$C$9:$C$32,$AM$6,'EE Inputs'!$D$9:$D$32,$C$4,'EE Inputs'!$E$9:$E$32,$B185),0,1)))</f>
        <v>0</v>
      </c>
      <c r="BK185" s="72">
        <f ca="1">IF($C$4=Lookups!$D$40,SUM(INDIRECT("'Yr1'!"&amp;ADDRESS(ROW(BK185),COLUMN(BK185))),INDIRECT("'Yr2'!"&amp;ADDRESS(ROW(BK185),COLUMN(BK185))),INDIRECT("'Yr3'!"&amp;ADDRESS(ROW(BK185),COLUMN(BK185)))),
IF(BK170=0,0,-PMT(INDEX(Lookups!$E$17:$G$17,MATCH($C$4,Lookups!$E$14:$G$14,0)),BK170,SUMIFS('EE Inputs'!$K$9:$K$32,'EE Inputs'!$C$9:$C$32,$AM$6,'EE Inputs'!$D$9:$D$32,$C$4,'EE Inputs'!$E$9:$E$32,$B185),0,1)))</f>
        <v>0</v>
      </c>
      <c r="BL185" s="72">
        <f ca="1">IF($C$4=Lookups!$D$40,SUM(INDIRECT("'Yr1'!"&amp;ADDRESS(ROW(BL185),COLUMN(BL185))),INDIRECT("'Yr2'!"&amp;ADDRESS(ROW(BL185),COLUMN(BL185))),INDIRECT("'Yr3'!"&amp;ADDRESS(ROW(BL185),COLUMN(BL185)))),
IF(BL170=0,0,-PMT(INDEX(Lookups!$E$17:$G$17,MATCH($C$4,Lookups!$E$14:$G$14,0)),BL170,SUMIFS('EE Inputs'!$K$9:$K$32,'EE Inputs'!$C$9:$C$32,$AM$6,'EE Inputs'!$D$9:$D$32,$C$4,'EE Inputs'!$E$9:$E$32,$B185),0,1)))</f>
        <v>0</v>
      </c>
      <c r="BM185" s="72">
        <f ca="1">IF($C$4=Lookups!$D$40,SUM(INDIRECT("'Yr1'!"&amp;ADDRESS(ROW(BM185),COLUMN(BM185))),INDIRECT("'Yr2'!"&amp;ADDRESS(ROW(BM185),COLUMN(BM185))),INDIRECT("'Yr3'!"&amp;ADDRESS(ROW(BM185),COLUMN(BM185)))),
IF(BM170=0,0,-PMT(INDEX(Lookups!$E$17:$G$17,MATCH($C$4,Lookups!$E$14:$G$14,0)),BM170,SUMIFS('EE Inputs'!$K$9:$K$32,'EE Inputs'!$C$9:$C$32,$AM$6,'EE Inputs'!$D$9:$D$32,$C$4,'EE Inputs'!$E$9:$E$32,$B185),0,1)))</f>
        <v>0</v>
      </c>
      <c r="BN185" s="72"/>
      <c r="BO185" s="72">
        <f ca="1">NPV(Lookups!$E$17,AM185:BM185)</f>
        <v>413447.43283880939</v>
      </c>
      <c r="BP185" s="72"/>
      <c r="BS185" s="84" t="str">
        <f>"Avoided "&amp;E185&amp;" costs."</f>
        <v>Avoided Gas DRIPE costs.</v>
      </c>
      <c r="BT185" s="51" t="s">
        <v>17</v>
      </c>
    </row>
    <row r="186" spans="1:72" x14ac:dyDescent="0.25">
      <c r="B186" s="243" t="str">
        <f t="shared" ref="B186:C188" si="192">B185</f>
        <v>Small C&amp;I</v>
      </c>
      <c r="C186" s="243" t="str">
        <f t="shared" si="192"/>
        <v>Revenue Requirements</v>
      </c>
      <c r="D186" s="114" t="s">
        <v>165</v>
      </c>
      <c r="E186" s="84"/>
      <c r="F186" s="84"/>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S186" s="84"/>
      <c r="BT186" s="51" t="s">
        <v>17</v>
      </c>
    </row>
    <row r="187" spans="1:72" x14ac:dyDescent="0.25">
      <c r="A187" s="476"/>
      <c r="B187" s="243" t="str">
        <f t="shared" si="192"/>
        <v>Small C&amp;I</v>
      </c>
      <c r="C187" s="243" t="str">
        <f t="shared" si="192"/>
        <v>Revenue Requirements</v>
      </c>
      <c r="D187" s="244" t="str">
        <f>D186</f>
        <v>Increased Costs and Cost Shifting</v>
      </c>
      <c r="E187" s="84" t="s">
        <v>406</v>
      </c>
      <c r="F187" s="84" t="s">
        <v>32</v>
      </c>
      <c r="G187" s="64">
        <f ca="1">IF($C$4=Lookups!$D$40,SUM(INDIRECT("'Yr1'!"&amp;ADDRESS(ROW(G187),COLUMN(G187))),INDIRECT("'Yr2'!"&amp;ADDRESS(ROW(G187),COLUMN(G187))),INDIRECT("'Yr3'!"&amp;ADDRESS(ROW(G187),COLUMN(G187)))),
IF($C$4=G$7,G207*G175,0))</f>
        <v>2992955.9193929015</v>
      </c>
      <c r="H187" s="64">
        <f ca="1">IF($C$4=Lookups!$D$40,SUM(INDIRECT("'Yr1'!"&amp;ADDRESS(ROW(H187),COLUMN(H187))),INDIRECT("'Yr2'!"&amp;ADDRESS(ROW(H187),COLUMN(H187))),INDIRECT("'Yr3'!"&amp;ADDRESS(ROW(H187),COLUMN(H187)))),
IF($C$4=H$7,H207*H175,0))</f>
        <v>3133401.197942582</v>
      </c>
      <c r="I187" s="64">
        <f ca="1">IF($C$4=Lookups!$D$40,SUM(INDIRECT("'Yr1'!"&amp;ADDRESS(ROW(I187),COLUMN(I187))),INDIRECT("'Yr2'!"&amp;ADDRESS(ROW(I187),COLUMN(I187))),INDIRECT("'Yr3'!"&amp;ADDRESS(ROW(I187),COLUMN(I187)))),
IF($C$4=I$7,I207*I175,0))</f>
        <v>3329799.6840217798</v>
      </c>
      <c r="J187" s="64">
        <f ca="1">IF($C$4=Lookups!$D$40,SUM(INDIRECT("'Yr1'!"&amp;ADDRESS(ROW(J187),COLUMN(J187))),INDIRECT("'Yr2'!"&amp;ADDRESS(ROW(J187),COLUMN(J187))),INDIRECT("'Yr3'!"&amp;ADDRESS(ROW(J187),COLUMN(J187)))),
IF($C$4=J$7,J207*J175,0))</f>
        <v>0</v>
      </c>
      <c r="K187" s="64">
        <f ca="1">IF($C$4=Lookups!$D$40,SUM(INDIRECT("'Yr1'!"&amp;ADDRESS(ROW(K187),COLUMN(K187))),INDIRECT("'Yr2'!"&amp;ADDRESS(ROW(K187),COLUMN(K187))),INDIRECT("'Yr3'!"&amp;ADDRESS(ROW(K187),COLUMN(K187)))),
IF($C$4=K$7,K207*K175,0))</f>
        <v>0</v>
      </c>
      <c r="L187" s="64">
        <f ca="1">IF($C$4=Lookups!$D$40,SUM(INDIRECT("'Yr1'!"&amp;ADDRESS(ROW(L187),COLUMN(L187))),INDIRECT("'Yr2'!"&amp;ADDRESS(ROW(L187),COLUMN(L187))),INDIRECT("'Yr3'!"&amp;ADDRESS(ROW(L187),COLUMN(L187)))),
IF($C$4=L$7,L207*L175,0))</f>
        <v>0</v>
      </c>
      <c r="M187" s="64">
        <f ca="1">IF($C$4=Lookups!$D$40,SUM(INDIRECT("'Yr1'!"&amp;ADDRESS(ROW(M187),COLUMN(M187))),INDIRECT("'Yr2'!"&amp;ADDRESS(ROW(M187),COLUMN(M187))),INDIRECT("'Yr3'!"&amp;ADDRESS(ROW(M187),COLUMN(M187)))),
IF($C$4=M$7,M207*M175,0))</f>
        <v>0</v>
      </c>
      <c r="N187" s="64">
        <f ca="1">IF($C$4=Lookups!$D$40,SUM(INDIRECT("'Yr1'!"&amp;ADDRESS(ROW(N187),COLUMN(N187))),INDIRECT("'Yr2'!"&amp;ADDRESS(ROW(N187),COLUMN(N187))),INDIRECT("'Yr3'!"&amp;ADDRESS(ROW(N187),COLUMN(N187)))),
IF($C$4=N$7,N207*N175,0))</f>
        <v>0</v>
      </c>
      <c r="O187" s="64">
        <f ca="1">IF($C$4=Lookups!$D$40,SUM(INDIRECT("'Yr1'!"&amp;ADDRESS(ROW(O187),COLUMN(O187))),INDIRECT("'Yr2'!"&amp;ADDRESS(ROW(O187),COLUMN(O187))),INDIRECT("'Yr3'!"&amp;ADDRESS(ROW(O187),COLUMN(O187)))),
IF($C$4=O$7,O207*O175,0))</f>
        <v>0</v>
      </c>
      <c r="P187" s="64">
        <f ca="1">IF($C$4=Lookups!$D$40,SUM(INDIRECT("'Yr1'!"&amp;ADDRESS(ROW(P187),COLUMN(P187))),INDIRECT("'Yr2'!"&amp;ADDRESS(ROW(P187),COLUMN(P187))),INDIRECT("'Yr3'!"&amp;ADDRESS(ROW(P187),COLUMN(P187)))),
IF($C$4=P$7,P207*P175,0))</f>
        <v>0</v>
      </c>
      <c r="Q187" s="64">
        <f ca="1">IF($C$4=Lookups!$D$40,SUM(INDIRECT("'Yr1'!"&amp;ADDRESS(ROW(Q187),COLUMN(Q187))),INDIRECT("'Yr2'!"&amp;ADDRESS(ROW(Q187),COLUMN(Q187))),INDIRECT("'Yr3'!"&amp;ADDRESS(ROW(Q187),COLUMN(Q187)))),
IF($C$4=Q$7,Q207*Q175,0))</f>
        <v>0</v>
      </c>
      <c r="R187" s="64">
        <f ca="1">IF($C$4=Lookups!$D$40,SUM(INDIRECT("'Yr1'!"&amp;ADDRESS(ROW(R187),COLUMN(R187))),INDIRECT("'Yr2'!"&amp;ADDRESS(ROW(R187),COLUMN(R187))),INDIRECT("'Yr3'!"&amp;ADDRESS(ROW(R187),COLUMN(R187)))),
IF($C$4=R$7,R207*R175,0))</f>
        <v>0</v>
      </c>
      <c r="S187" s="64">
        <f ca="1">IF($C$4=Lookups!$D$40,SUM(INDIRECT("'Yr1'!"&amp;ADDRESS(ROW(S187),COLUMN(S187))),INDIRECT("'Yr2'!"&amp;ADDRESS(ROW(S187),COLUMN(S187))),INDIRECT("'Yr3'!"&amp;ADDRESS(ROW(S187),COLUMN(S187)))),
IF($C$4=S$7,S207*S175,0))</f>
        <v>0</v>
      </c>
      <c r="T187" s="64">
        <f ca="1">IF($C$4=Lookups!$D$40,SUM(INDIRECT("'Yr1'!"&amp;ADDRESS(ROW(T187),COLUMN(T187))),INDIRECT("'Yr2'!"&amp;ADDRESS(ROW(T187),COLUMN(T187))),INDIRECT("'Yr3'!"&amp;ADDRESS(ROW(T187),COLUMN(T187)))),
IF($C$4=T$7,T207*T175,0))</f>
        <v>0</v>
      </c>
      <c r="U187" s="64">
        <f ca="1">IF($C$4=Lookups!$D$40,SUM(INDIRECT("'Yr1'!"&amp;ADDRESS(ROW(U187),COLUMN(U187))),INDIRECT("'Yr2'!"&amp;ADDRESS(ROW(U187),COLUMN(U187))),INDIRECT("'Yr3'!"&amp;ADDRESS(ROW(U187),COLUMN(U187)))),
IF($C$4=U$7,U207*U175,0))</f>
        <v>0</v>
      </c>
      <c r="V187" s="64">
        <f ca="1">IF($C$4=Lookups!$D$40,SUM(INDIRECT("'Yr1'!"&amp;ADDRESS(ROW(V187),COLUMN(V187))),INDIRECT("'Yr2'!"&amp;ADDRESS(ROW(V187),COLUMN(V187))),INDIRECT("'Yr3'!"&amp;ADDRESS(ROW(V187),COLUMN(V187)))),
IF($C$4=V$7,V207*V175,0))</f>
        <v>0</v>
      </c>
      <c r="W187" s="64">
        <f ca="1">IF($C$4=Lookups!$D$40,SUM(INDIRECT("'Yr1'!"&amp;ADDRESS(ROW(W187),COLUMN(W187))),INDIRECT("'Yr2'!"&amp;ADDRESS(ROW(W187),COLUMN(W187))),INDIRECT("'Yr3'!"&amp;ADDRESS(ROW(W187),COLUMN(W187)))),
IF($C$4=W$7,W207*W175,0))</f>
        <v>0</v>
      </c>
      <c r="X187" s="64">
        <f ca="1">IF($C$4=Lookups!$D$40,SUM(INDIRECT("'Yr1'!"&amp;ADDRESS(ROW(X187),COLUMN(X187))),INDIRECT("'Yr2'!"&amp;ADDRESS(ROW(X187),COLUMN(X187))),INDIRECT("'Yr3'!"&amp;ADDRESS(ROW(X187),COLUMN(X187)))),
IF($C$4=X$7,X207*X175,0))</f>
        <v>0</v>
      </c>
      <c r="Y187" s="64">
        <f ca="1">IF($C$4=Lookups!$D$40,SUM(INDIRECT("'Yr1'!"&amp;ADDRESS(ROW(Y187),COLUMN(Y187))),INDIRECT("'Yr2'!"&amp;ADDRESS(ROW(Y187),COLUMN(Y187))),INDIRECT("'Yr3'!"&amp;ADDRESS(ROW(Y187),COLUMN(Y187)))),
IF($C$4=Y$7,Y207*Y175,0))</f>
        <v>0</v>
      </c>
      <c r="Z187" s="64">
        <f ca="1">IF($C$4=Lookups!$D$40,SUM(INDIRECT("'Yr1'!"&amp;ADDRESS(ROW(Z187),COLUMN(Z187))),INDIRECT("'Yr2'!"&amp;ADDRESS(ROW(Z187),COLUMN(Z187))),INDIRECT("'Yr3'!"&amp;ADDRESS(ROW(Z187),COLUMN(Z187)))),
IF($C$4=Z$7,Z207*Z175,0))</f>
        <v>0</v>
      </c>
      <c r="AA187" s="64">
        <f ca="1">IF($C$4=Lookups!$D$40,SUM(INDIRECT("'Yr1'!"&amp;ADDRESS(ROW(AA187),COLUMN(AA187))),INDIRECT("'Yr2'!"&amp;ADDRESS(ROW(AA187),COLUMN(AA187))),INDIRECT("'Yr3'!"&amp;ADDRESS(ROW(AA187),COLUMN(AA187)))),
IF($C$4=AA$7,AA207*AA175,0))</f>
        <v>0</v>
      </c>
      <c r="AB187" s="64">
        <f ca="1">IF($C$4=Lookups!$D$40,SUM(INDIRECT("'Yr1'!"&amp;ADDRESS(ROW(AB187),COLUMN(AB187))),INDIRECT("'Yr2'!"&amp;ADDRESS(ROW(AB187),COLUMN(AB187))),INDIRECT("'Yr3'!"&amp;ADDRESS(ROW(AB187),COLUMN(AB187)))),
IF($C$4=AB$7,AB207*AB175,0))</f>
        <v>0</v>
      </c>
      <c r="AC187" s="64">
        <f ca="1">IF($C$4=Lookups!$D$40,SUM(INDIRECT("'Yr1'!"&amp;ADDRESS(ROW(AC187),COLUMN(AC187))),INDIRECT("'Yr2'!"&amp;ADDRESS(ROW(AC187),COLUMN(AC187))),INDIRECT("'Yr3'!"&amp;ADDRESS(ROW(AC187),COLUMN(AC187)))),
IF($C$4=AC$7,AC207*AC175,0))</f>
        <v>0</v>
      </c>
      <c r="AD187" s="64">
        <f ca="1">IF($C$4=Lookups!$D$40,SUM(INDIRECT("'Yr1'!"&amp;ADDRESS(ROW(AD187),COLUMN(AD187))),INDIRECT("'Yr2'!"&amp;ADDRESS(ROW(AD187),COLUMN(AD187))),INDIRECT("'Yr3'!"&amp;ADDRESS(ROW(AD187),COLUMN(AD187)))),
IF($C$4=AD$7,AD207*AD175,0))</f>
        <v>0</v>
      </c>
      <c r="AE187" s="64">
        <f ca="1">IF($C$4=Lookups!$D$40,SUM(INDIRECT("'Yr1'!"&amp;ADDRESS(ROW(AE187),COLUMN(AE187))),INDIRECT("'Yr2'!"&amp;ADDRESS(ROW(AE187),COLUMN(AE187))),INDIRECT("'Yr3'!"&amp;ADDRESS(ROW(AE187),COLUMN(AE187)))),
IF($C$4=AE$7,AE207*AE175,0))</f>
        <v>0</v>
      </c>
      <c r="AF187" s="64">
        <f ca="1">IF($C$4=Lookups!$D$40,SUM(INDIRECT("'Yr1'!"&amp;ADDRESS(ROW(AF187),COLUMN(AF187))),INDIRECT("'Yr2'!"&amp;ADDRESS(ROW(AF187),COLUMN(AF187))),INDIRECT("'Yr3'!"&amp;ADDRESS(ROW(AF187),COLUMN(AF187)))),
IF($C$4=AF$7,AF207*AF175,0))</f>
        <v>0</v>
      </c>
      <c r="AG187" s="64">
        <f ca="1">IF($C$4=Lookups!$D$40,SUM(INDIRECT("'Yr1'!"&amp;ADDRESS(ROW(AG187),COLUMN(AG187))),INDIRECT("'Yr2'!"&amp;ADDRESS(ROW(AG187),COLUMN(AG187))),INDIRECT("'Yr3'!"&amp;ADDRESS(ROW(AG187),COLUMN(AG187)))),
IF($C$4=AG$7,AG207*AG175,0))</f>
        <v>0</v>
      </c>
      <c r="AH187" s="49"/>
      <c r="AI187" s="64">
        <f ca="1">NPV(Lookups!$E$17,G187:AG187)</f>
        <v>9190237.4770822469</v>
      </c>
      <c r="AJ187" s="65"/>
      <c r="AM187" s="71">
        <f ca="1">IF($C$4=Lookups!$D$40,SUM(INDIRECT("'Yr1'!"&amp;ADDRESS(ROW(AM187),COLUMN(AM187))),INDIRECT("'Yr2'!"&amp;ADDRESS(ROW(AM187),COLUMN(AM187))),INDIRECT("'Yr3'!"&amp;ADDRESS(ROW(AM187),COLUMN(AM187)))),
IF($C$4=AM$7,AM207*AM175,0))</f>
        <v>3583160.2713876888</v>
      </c>
      <c r="AN187" s="71">
        <f ca="1">IF($C$4=Lookups!$D$40,SUM(INDIRECT("'Yr1'!"&amp;ADDRESS(ROW(AN187),COLUMN(AN187))),INDIRECT("'Yr2'!"&amp;ADDRESS(ROW(AN187),COLUMN(AN187))),INDIRECT("'Yr3'!"&amp;ADDRESS(ROW(AN187),COLUMN(AN187)))),
IF($C$4=AN$7,AN207*AN175,0))</f>
        <v>3750818.1836314597</v>
      </c>
      <c r="AO187" s="71">
        <f ca="1">IF($C$4=Lookups!$D$40,SUM(INDIRECT("'Yr1'!"&amp;ADDRESS(ROW(AO187),COLUMN(AO187))),INDIRECT("'Yr2'!"&amp;ADDRESS(ROW(AO187),COLUMN(AO187))),INDIRECT("'Yr3'!"&amp;ADDRESS(ROW(AO187),COLUMN(AO187)))),
IF($C$4=AO$7,AO207*AO175,0))</f>
        <v>3985455.0486889547</v>
      </c>
      <c r="AP187" s="71">
        <f ca="1">IF($C$4=Lookups!$D$40,SUM(INDIRECT("'Yr1'!"&amp;ADDRESS(ROW(AP187),COLUMN(AP187))),INDIRECT("'Yr2'!"&amp;ADDRESS(ROW(AP187),COLUMN(AP187))),INDIRECT("'Yr3'!"&amp;ADDRESS(ROW(AP187),COLUMN(AP187)))),
IF($C$4=AP$7,AP207*AP175,0))</f>
        <v>0</v>
      </c>
      <c r="AQ187" s="71">
        <f ca="1">IF($C$4=Lookups!$D$40,SUM(INDIRECT("'Yr1'!"&amp;ADDRESS(ROW(AQ187),COLUMN(AQ187))),INDIRECT("'Yr2'!"&amp;ADDRESS(ROW(AQ187),COLUMN(AQ187))),INDIRECT("'Yr3'!"&amp;ADDRESS(ROW(AQ187),COLUMN(AQ187)))),
IF($C$4=AQ$7,AQ207*AQ175,0))</f>
        <v>0</v>
      </c>
      <c r="AR187" s="71">
        <f ca="1">IF($C$4=Lookups!$D$40,SUM(INDIRECT("'Yr1'!"&amp;ADDRESS(ROW(AR187),COLUMN(AR187))),INDIRECT("'Yr2'!"&amp;ADDRESS(ROW(AR187),COLUMN(AR187))),INDIRECT("'Yr3'!"&amp;ADDRESS(ROW(AR187),COLUMN(AR187)))),
IF($C$4=AR$7,AR207*AR175,0))</f>
        <v>0</v>
      </c>
      <c r="AS187" s="71">
        <f ca="1">IF($C$4=Lookups!$D$40,SUM(INDIRECT("'Yr1'!"&amp;ADDRESS(ROW(AS187),COLUMN(AS187))),INDIRECT("'Yr2'!"&amp;ADDRESS(ROW(AS187),COLUMN(AS187))),INDIRECT("'Yr3'!"&amp;ADDRESS(ROW(AS187),COLUMN(AS187)))),
IF($C$4=AS$7,AS207*AS175,0))</f>
        <v>0</v>
      </c>
      <c r="AT187" s="71">
        <f ca="1">IF($C$4=Lookups!$D$40,SUM(INDIRECT("'Yr1'!"&amp;ADDRESS(ROW(AT187),COLUMN(AT187))),INDIRECT("'Yr2'!"&amp;ADDRESS(ROW(AT187),COLUMN(AT187))),INDIRECT("'Yr3'!"&amp;ADDRESS(ROW(AT187),COLUMN(AT187)))),
IF($C$4=AT$7,AT207*AT175,0))</f>
        <v>0</v>
      </c>
      <c r="AU187" s="71">
        <f ca="1">IF($C$4=Lookups!$D$40,SUM(INDIRECT("'Yr1'!"&amp;ADDRESS(ROW(AU187),COLUMN(AU187))),INDIRECT("'Yr2'!"&amp;ADDRESS(ROW(AU187),COLUMN(AU187))),INDIRECT("'Yr3'!"&amp;ADDRESS(ROW(AU187),COLUMN(AU187)))),
IF($C$4=AU$7,AU207*AU175,0))</f>
        <v>0</v>
      </c>
      <c r="AV187" s="71">
        <f ca="1">IF($C$4=Lookups!$D$40,SUM(INDIRECT("'Yr1'!"&amp;ADDRESS(ROW(AV187),COLUMN(AV187))),INDIRECT("'Yr2'!"&amp;ADDRESS(ROW(AV187),COLUMN(AV187))),INDIRECT("'Yr3'!"&amp;ADDRESS(ROW(AV187),COLUMN(AV187)))),
IF($C$4=AV$7,AV207*AV175,0))</f>
        <v>0</v>
      </c>
      <c r="AW187" s="71">
        <f ca="1">IF($C$4=Lookups!$D$40,SUM(INDIRECT("'Yr1'!"&amp;ADDRESS(ROW(AW187),COLUMN(AW187))),INDIRECT("'Yr2'!"&amp;ADDRESS(ROW(AW187),COLUMN(AW187))),INDIRECT("'Yr3'!"&amp;ADDRESS(ROW(AW187),COLUMN(AW187)))),
IF($C$4=AW$7,AW207*AW175,0))</f>
        <v>0</v>
      </c>
      <c r="AX187" s="71">
        <f ca="1">IF($C$4=Lookups!$D$40,SUM(INDIRECT("'Yr1'!"&amp;ADDRESS(ROW(AX187),COLUMN(AX187))),INDIRECT("'Yr2'!"&amp;ADDRESS(ROW(AX187),COLUMN(AX187))),INDIRECT("'Yr3'!"&amp;ADDRESS(ROW(AX187),COLUMN(AX187)))),
IF($C$4=AX$7,AX207*AX175,0))</f>
        <v>0</v>
      </c>
      <c r="AY187" s="71">
        <f ca="1">IF($C$4=Lookups!$D$40,SUM(INDIRECT("'Yr1'!"&amp;ADDRESS(ROW(AY187),COLUMN(AY187))),INDIRECT("'Yr2'!"&amp;ADDRESS(ROW(AY187),COLUMN(AY187))),INDIRECT("'Yr3'!"&amp;ADDRESS(ROW(AY187),COLUMN(AY187)))),
IF($C$4=AY$7,AY207*AY175,0))</f>
        <v>0</v>
      </c>
      <c r="AZ187" s="71">
        <f ca="1">IF($C$4=Lookups!$D$40,SUM(INDIRECT("'Yr1'!"&amp;ADDRESS(ROW(AZ187),COLUMN(AZ187))),INDIRECT("'Yr2'!"&amp;ADDRESS(ROW(AZ187),COLUMN(AZ187))),INDIRECT("'Yr3'!"&amp;ADDRESS(ROW(AZ187),COLUMN(AZ187)))),
IF($C$4=AZ$7,AZ207*AZ175,0))</f>
        <v>0</v>
      </c>
      <c r="BA187" s="71">
        <f ca="1">IF($C$4=Lookups!$D$40,SUM(INDIRECT("'Yr1'!"&amp;ADDRESS(ROW(BA187),COLUMN(BA187))),INDIRECT("'Yr2'!"&amp;ADDRESS(ROW(BA187),COLUMN(BA187))),INDIRECT("'Yr3'!"&amp;ADDRESS(ROW(BA187),COLUMN(BA187)))),
IF($C$4=BA$7,BA207*BA175,0))</f>
        <v>0</v>
      </c>
      <c r="BB187" s="71">
        <f ca="1">IF($C$4=Lookups!$D$40,SUM(INDIRECT("'Yr1'!"&amp;ADDRESS(ROW(BB187),COLUMN(BB187))),INDIRECT("'Yr2'!"&amp;ADDRESS(ROW(BB187),COLUMN(BB187))),INDIRECT("'Yr3'!"&amp;ADDRESS(ROW(BB187),COLUMN(BB187)))),
IF($C$4=BB$7,BB207*BB175,0))</f>
        <v>0</v>
      </c>
      <c r="BC187" s="71">
        <f ca="1">IF($C$4=Lookups!$D$40,SUM(INDIRECT("'Yr1'!"&amp;ADDRESS(ROW(BC187),COLUMN(BC187))),INDIRECT("'Yr2'!"&amp;ADDRESS(ROW(BC187),COLUMN(BC187))),INDIRECT("'Yr3'!"&amp;ADDRESS(ROW(BC187),COLUMN(BC187)))),
IF($C$4=BC$7,BC207*BC175,0))</f>
        <v>0</v>
      </c>
      <c r="BD187" s="71">
        <f ca="1">IF($C$4=Lookups!$D$40,SUM(INDIRECT("'Yr1'!"&amp;ADDRESS(ROW(BD187),COLUMN(BD187))),INDIRECT("'Yr2'!"&amp;ADDRESS(ROW(BD187),COLUMN(BD187))),INDIRECT("'Yr3'!"&amp;ADDRESS(ROW(BD187),COLUMN(BD187)))),
IF($C$4=BD$7,BD207*BD175,0))</f>
        <v>0</v>
      </c>
      <c r="BE187" s="71">
        <f ca="1">IF($C$4=Lookups!$D$40,SUM(INDIRECT("'Yr1'!"&amp;ADDRESS(ROW(BE187),COLUMN(BE187))),INDIRECT("'Yr2'!"&amp;ADDRESS(ROW(BE187),COLUMN(BE187))),INDIRECT("'Yr3'!"&amp;ADDRESS(ROW(BE187),COLUMN(BE187)))),
IF($C$4=BE$7,BE207*BE175,0))</f>
        <v>0</v>
      </c>
      <c r="BF187" s="71">
        <f ca="1">IF($C$4=Lookups!$D$40,SUM(INDIRECT("'Yr1'!"&amp;ADDRESS(ROW(BF187),COLUMN(BF187))),INDIRECT("'Yr2'!"&amp;ADDRESS(ROW(BF187),COLUMN(BF187))),INDIRECT("'Yr3'!"&amp;ADDRESS(ROW(BF187),COLUMN(BF187)))),
IF($C$4=BF$7,BF207*BF175,0))</f>
        <v>0</v>
      </c>
      <c r="BG187" s="71">
        <f ca="1">IF($C$4=Lookups!$D$40,SUM(INDIRECT("'Yr1'!"&amp;ADDRESS(ROW(BG187),COLUMN(BG187))),INDIRECT("'Yr2'!"&amp;ADDRESS(ROW(BG187),COLUMN(BG187))),INDIRECT("'Yr3'!"&amp;ADDRESS(ROW(BG187),COLUMN(BG187)))),
IF($C$4=BG$7,BG207*BG175,0))</f>
        <v>0</v>
      </c>
      <c r="BH187" s="71">
        <f ca="1">IF($C$4=Lookups!$D$40,SUM(INDIRECT("'Yr1'!"&amp;ADDRESS(ROW(BH187),COLUMN(BH187))),INDIRECT("'Yr2'!"&amp;ADDRESS(ROW(BH187),COLUMN(BH187))),INDIRECT("'Yr3'!"&amp;ADDRESS(ROW(BH187),COLUMN(BH187)))),
IF($C$4=BH$7,BH207*BH175,0))</f>
        <v>0</v>
      </c>
      <c r="BI187" s="71">
        <f ca="1">IF($C$4=Lookups!$D$40,SUM(INDIRECT("'Yr1'!"&amp;ADDRESS(ROW(BI187),COLUMN(BI187))),INDIRECT("'Yr2'!"&amp;ADDRESS(ROW(BI187),COLUMN(BI187))),INDIRECT("'Yr3'!"&amp;ADDRESS(ROW(BI187),COLUMN(BI187)))),
IF($C$4=BI$7,BI207*BI175,0))</f>
        <v>0</v>
      </c>
      <c r="BJ187" s="71">
        <f ca="1">IF($C$4=Lookups!$D$40,SUM(INDIRECT("'Yr1'!"&amp;ADDRESS(ROW(BJ187),COLUMN(BJ187))),INDIRECT("'Yr2'!"&amp;ADDRESS(ROW(BJ187),COLUMN(BJ187))),INDIRECT("'Yr3'!"&amp;ADDRESS(ROW(BJ187),COLUMN(BJ187)))),
IF($C$4=BJ$7,BJ207*BJ175,0))</f>
        <v>0</v>
      </c>
      <c r="BK187" s="71">
        <f ca="1">IF($C$4=Lookups!$D$40,SUM(INDIRECT("'Yr1'!"&amp;ADDRESS(ROW(BK187),COLUMN(BK187))),INDIRECT("'Yr2'!"&amp;ADDRESS(ROW(BK187),COLUMN(BK187))),INDIRECT("'Yr3'!"&amp;ADDRESS(ROW(BK187),COLUMN(BK187)))),
IF($C$4=BK$7,BK207*BK175,0))</f>
        <v>0</v>
      </c>
      <c r="BL187" s="71">
        <f ca="1">IF($C$4=Lookups!$D$40,SUM(INDIRECT("'Yr1'!"&amp;ADDRESS(ROW(BL187),COLUMN(BL187))),INDIRECT("'Yr2'!"&amp;ADDRESS(ROW(BL187),COLUMN(BL187))),INDIRECT("'Yr3'!"&amp;ADDRESS(ROW(BL187),COLUMN(BL187)))),
IF($C$4=BL$7,BL207*BL175,0))</f>
        <v>0</v>
      </c>
      <c r="BM187" s="71">
        <f ca="1">IF($C$4=Lookups!$D$40,SUM(INDIRECT("'Yr1'!"&amp;ADDRESS(ROW(BM187),COLUMN(BM187))),INDIRECT("'Yr2'!"&amp;ADDRESS(ROW(BM187),COLUMN(BM187))),INDIRECT("'Yr3'!"&amp;ADDRESS(ROW(BM187),COLUMN(BM187)))),
IF($C$4=BM$7,BM207*BM175,0))</f>
        <v>0</v>
      </c>
      <c r="BN187" s="71"/>
      <c r="BO187" s="71">
        <f ca="1">NPV(Lookups!$E$17,AM187:BM187)</f>
        <v>11001129.02606654</v>
      </c>
      <c r="BP187" s="72"/>
      <c r="BS187" s="84" t="str">
        <f>E187&amp;" rate multiplied by After DSM sales."</f>
        <v>LDAC, EE Only rate multiplied by After DSM sales.</v>
      </c>
      <c r="BT187" s="51" t="s">
        <v>17</v>
      </c>
    </row>
    <row r="188" spans="1:72" x14ac:dyDescent="0.25">
      <c r="A188" s="476"/>
      <c r="B188" s="243" t="str">
        <f t="shared" si="192"/>
        <v>Small C&amp;I</v>
      </c>
      <c r="C188" s="243" t="str">
        <f t="shared" si="192"/>
        <v>Revenue Requirements</v>
      </c>
      <c r="D188" s="244" t="str">
        <f>D187</f>
        <v>Increased Costs and Cost Shifting</v>
      </c>
      <c r="E188" s="86" t="s">
        <v>198</v>
      </c>
      <c r="F188" s="84" t="s">
        <v>32</v>
      </c>
      <c r="G188" s="64">
        <f ca="1">IF($C$4=Lookups!$D$40,SUM(INDIRECT("'Yr1'!"&amp;ADDRESS(ROW(G188),COLUMN(G188))),INDIRECT("'Yr2'!"&amp;ADDRESS(ROW(G188),COLUMN(G188))),INDIRECT("'Yr3'!"&amp;ADDRESS(ROW(G188),COLUMN(G188)))),
G208*G175)</f>
        <v>134441.1887961996</v>
      </c>
      <c r="H188" s="64">
        <f ca="1">IF($C$4=Lookups!$D$40,SUM(INDIRECT("'Yr1'!"&amp;ADDRESS(ROW(H188),COLUMN(H188))),INDIRECT("'Yr2'!"&amp;ADDRESS(ROW(H188),COLUMN(H188))),INDIRECT("'Yr3'!"&amp;ADDRESS(ROW(H188),COLUMN(H188)))),
H208*H175)</f>
        <v>276137.69354023848</v>
      </c>
      <c r="I188" s="64">
        <f ca="1">IF($C$4=Lookups!$D$40,SUM(INDIRECT("'Yr1'!"&amp;ADDRESS(ROW(I188),COLUMN(I188))),INDIRECT("'Yr2'!"&amp;ADDRESS(ROW(I188),COLUMN(I188))),INDIRECT("'Yr3'!"&amp;ADDRESS(ROW(I188),COLUMN(I188)))),
I208*I175)</f>
        <v>424336.29920937482</v>
      </c>
      <c r="J188" s="64">
        <f ca="1">IF($C$4=Lookups!$D$40,SUM(INDIRECT("'Yr1'!"&amp;ADDRESS(ROW(J188),COLUMN(J188))),INDIRECT("'Yr2'!"&amp;ADDRESS(ROW(J188),COLUMN(J188))),INDIRECT("'Yr3'!"&amp;ADDRESS(ROW(J188),COLUMN(J188)))),
J208*J175)</f>
        <v>424336.29920937482</v>
      </c>
      <c r="K188" s="64">
        <f ca="1">IF($C$4=Lookups!$D$40,SUM(INDIRECT("'Yr1'!"&amp;ADDRESS(ROW(K188),COLUMN(K188))),INDIRECT("'Yr2'!"&amp;ADDRESS(ROW(K188),COLUMN(K188))),INDIRECT("'Yr3'!"&amp;ADDRESS(ROW(K188),COLUMN(K188)))),
K208*K175)</f>
        <v>424336.29920937482</v>
      </c>
      <c r="L188" s="64">
        <f ca="1">IF($C$4=Lookups!$D$40,SUM(INDIRECT("'Yr1'!"&amp;ADDRESS(ROW(L188),COLUMN(L188))),INDIRECT("'Yr2'!"&amp;ADDRESS(ROW(L188),COLUMN(L188))),INDIRECT("'Yr3'!"&amp;ADDRESS(ROW(L188),COLUMN(L188)))),
L208*L175)</f>
        <v>424336.29920937482</v>
      </c>
      <c r="M188" s="64">
        <f ca="1">IF($C$4=Lookups!$D$40,SUM(INDIRECT("'Yr1'!"&amp;ADDRESS(ROW(M188),COLUMN(M188))),INDIRECT("'Yr2'!"&amp;ADDRESS(ROW(M188),COLUMN(M188))),INDIRECT("'Yr3'!"&amp;ADDRESS(ROW(M188),COLUMN(M188)))),
M208*M175)</f>
        <v>424336.29920937482</v>
      </c>
      <c r="N188" s="64">
        <f ca="1">IF($C$4=Lookups!$D$40,SUM(INDIRECT("'Yr1'!"&amp;ADDRESS(ROW(N188),COLUMN(N188))),INDIRECT("'Yr2'!"&amp;ADDRESS(ROW(N188),COLUMN(N188))),INDIRECT("'Yr3'!"&amp;ADDRESS(ROW(N188),COLUMN(N188)))),
N208*N175)</f>
        <v>424336.29920937482</v>
      </c>
      <c r="O188" s="64">
        <f ca="1">IF($C$4=Lookups!$D$40,SUM(INDIRECT("'Yr1'!"&amp;ADDRESS(ROW(O188),COLUMN(O188))),INDIRECT("'Yr2'!"&amp;ADDRESS(ROW(O188),COLUMN(O188))),INDIRECT("'Yr3'!"&amp;ADDRESS(ROW(O188),COLUMN(O188)))),
O208*O175)</f>
        <v>424336.29920937482</v>
      </c>
      <c r="P188" s="64">
        <f ca="1">IF($C$4=Lookups!$D$40,SUM(INDIRECT("'Yr1'!"&amp;ADDRESS(ROW(P188),COLUMN(P188))),INDIRECT("'Yr2'!"&amp;ADDRESS(ROW(P188),COLUMN(P188))),INDIRECT("'Yr3'!"&amp;ADDRESS(ROW(P188),COLUMN(P188)))),
P208*P175)</f>
        <v>424336.29920937482</v>
      </c>
      <c r="Q188" s="64">
        <f ca="1">IF($C$4=Lookups!$D$40,SUM(INDIRECT("'Yr1'!"&amp;ADDRESS(ROW(Q188),COLUMN(Q188))),INDIRECT("'Yr2'!"&amp;ADDRESS(ROW(Q188),COLUMN(Q188))),INDIRECT("'Yr3'!"&amp;ADDRESS(ROW(Q188),COLUMN(Q188)))),
Q208*Q175)</f>
        <v>424336.29920937482</v>
      </c>
      <c r="R188" s="64">
        <f ca="1">IF($C$4=Lookups!$D$40,SUM(INDIRECT("'Yr1'!"&amp;ADDRESS(ROW(R188),COLUMN(R188))),INDIRECT("'Yr2'!"&amp;ADDRESS(ROW(R188),COLUMN(R188))),INDIRECT("'Yr3'!"&amp;ADDRESS(ROW(R188),COLUMN(R188)))),
R208*R175)</f>
        <v>424336.29920937482</v>
      </c>
      <c r="S188" s="64">
        <f ca="1">IF($C$4=Lookups!$D$40,SUM(INDIRECT("'Yr1'!"&amp;ADDRESS(ROW(S188),COLUMN(S188))),INDIRECT("'Yr2'!"&amp;ADDRESS(ROW(S188),COLUMN(S188))),INDIRECT("'Yr3'!"&amp;ADDRESS(ROW(S188),COLUMN(S188)))),
S208*S175)</f>
        <v>424336.29920937482</v>
      </c>
      <c r="T188" s="64">
        <f ca="1">IF($C$4=Lookups!$D$40,SUM(INDIRECT("'Yr1'!"&amp;ADDRESS(ROW(T188),COLUMN(T188))),INDIRECT("'Yr2'!"&amp;ADDRESS(ROW(T188),COLUMN(T188))),INDIRECT("'Yr3'!"&amp;ADDRESS(ROW(T188),COLUMN(T188)))),
T208*T175)</f>
        <v>424336.29920937482</v>
      </c>
      <c r="U188" s="64">
        <f ca="1">IF($C$4=Lookups!$D$40,SUM(INDIRECT("'Yr1'!"&amp;ADDRESS(ROW(U188),COLUMN(U188))),INDIRECT("'Yr2'!"&amp;ADDRESS(ROW(U188),COLUMN(U188))),INDIRECT("'Yr3'!"&amp;ADDRESS(ROW(U188),COLUMN(U188)))),
U208*U175)</f>
        <v>424336.29920937482</v>
      </c>
      <c r="V188" s="64">
        <f ca="1">IF($C$4=Lookups!$D$40,SUM(INDIRECT("'Yr1'!"&amp;ADDRESS(ROW(V188),COLUMN(V188))),INDIRECT("'Yr2'!"&amp;ADDRESS(ROW(V188),COLUMN(V188))),INDIRECT("'Yr3'!"&amp;ADDRESS(ROW(V188),COLUMN(V188)))),
V208*V175)</f>
        <v>424336.29920937482</v>
      </c>
      <c r="W188" s="64">
        <f ca="1">IF($C$4=Lookups!$D$40,SUM(INDIRECT("'Yr1'!"&amp;ADDRESS(ROW(W188),COLUMN(W188))),INDIRECT("'Yr2'!"&amp;ADDRESS(ROW(W188),COLUMN(W188))),INDIRECT("'Yr3'!"&amp;ADDRESS(ROW(W188),COLUMN(W188)))),
W208*W175)</f>
        <v>289895.11041317519</v>
      </c>
      <c r="X188" s="64">
        <f ca="1">IF($C$4=Lookups!$D$40,SUM(INDIRECT("'Yr1'!"&amp;ADDRESS(ROW(X188),COLUMN(X188))),INDIRECT("'Yr2'!"&amp;ADDRESS(ROW(X188),COLUMN(X188))),INDIRECT("'Yr3'!"&amp;ADDRESS(ROW(X188),COLUMN(X188)))),
X208*X175)</f>
        <v>148198.60566913633</v>
      </c>
      <c r="Y188" s="64">
        <f ca="1">IF($C$4=Lookups!$D$40,SUM(INDIRECT("'Yr1'!"&amp;ADDRESS(ROW(Y188),COLUMN(Y188))),INDIRECT("'Yr2'!"&amp;ADDRESS(ROW(Y188),COLUMN(Y188))),INDIRECT("'Yr3'!"&amp;ADDRESS(ROW(Y188),COLUMN(Y188)))),
Y208*Y175)</f>
        <v>0</v>
      </c>
      <c r="Z188" s="64">
        <f ca="1">IF($C$4=Lookups!$D$40,SUM(INDIRECT("'Yr1'!"&amp;ADDRESS(ROW(Z188),COLUMN(Z188))),INDIRECT("'Yr2'!"&amp;ADDRESS(ROW(Z188),COLUMN(Z188))),INDIRECT("'Yr3'!"&amp;ADDRESS(ROW(Z188),COLUMN(Z188)))),
Z208*Z175)</f>
        <v>0</v>
      </c>
      <c r="AA188" s="64">
        <f ca="1">IF($C$4=Lookups!$D$40,SUM(INDIRECT("'Yr1'!"&amp;ADDRESS(ROW(AA188),COLUMN(AA188))),INDIRECT("'Yr2'!"&amp;ADDRESS(ROW(AA188),COLUMN(AA188))),INDIRECT("'Yr3'!"&amp;ADDRESS(ROW(AA188),COLUMN(AA188)))),
AA208*AA175)</f>
        <v>0</v>
      </c>
      <c r="AB188" s="64">
        <f ca="1">IF($C$4=Lookups!$D$40,SUM(INDIRECT("'Yr1'!"&amp;ADDRESS(ROW(AB188),COLUMN(AB188))),INDIRECT("'Yr2'!"&amp;ADDRESS(ROW(AB188),COLUMN(AB188))),INDIRECT("'Yr3'!"&amp;ADDRESS(ROW(AB188),COLUMN(AB188)))),
AB208*AB175)</f>
        <v>0</v>
      </c>
      <c r="AC188" s="64">
        <f ca="1">IF($C$4=Lookups!$D$40,SUM(INDIRECT("'Yr1'!"&amp;ADDRESS(ROW(AC188),COLUMN(AC188))),INDIRECT("'Yr2'!"&amp;ADDRESS(ROW(AC188),COLUMN(AC188))),INDIRECT("'Yr3'!"&amp;ADDRESS(ROW(AC188),COLUMN(AC188)))),
AC208*AC175)</f>
        <v>0</v>
      </c>
      <c r="AD188" s="64">
        <f ca="1">IF($C$4=Lookups!$D$40,SUM(INDIRECT("'Yr1'!"&amp;ADDRESS(ROW(AD188),COLUMN(AD188))),INDIRECT("'Yr2'!"&amp;ADDRESS(ROW(AD188),COLUMN(AD188))),INDIRECT("'Yr3'!"&amp;ADDRESS(ROW(AD188),COLUMN(AD188)))),
AD208*AD175)</f>
        <v>0</v>
      </c>
      <c r="AE188" s="64">
        <f ca="1">IF($C$4=Lookups!$D$40,SUM(INDIRECT("'Yr1'!"&amp;ADDRESS(ROW(AE188),COLUMN(AE188))),INDIRECT("'Yr2'!"&amp;ADDRESS(ROW(AE188),COLUMN(AE188))),INDIRECT("'Yr3'!"&amp;ADDRESS(ROW(AE188),COLUMN(AE188)))),
AE208*AE175)</f>
        <v>0</v>
      </c>
      <c r="AF188" s="64">
        <f ca="1">IF($C$4=Lookups!$D$40,SUM(INDIRECT("'Yr1'!"&amp;ADDRESS(ROW(AF188),COLUMN(AF188))),INDIRECT("'Yr2'!"&amp;ADDRESS(ROW(AF188),COLUMN(AF188))),INDIRECT("'Yr3'!"&amp;ADDRESS(ROW(AF188),COLUMN(AF188)))),
AF208*AF175)</f>
        <v>0</v>
      </c>
      <c r="AG188" s="64">
        <f ca="1">IF($C$4=Lookups!$D$40,SUM(INDIRECT("'Yr1'!"&amp;ADDRESS(ROW(AG188),COLUMN(AG188))),INDIRECT("'Yr2'!"&amp;ADDRESS(ROW(AG188),COLUMN(AG188))),INDIRECT("'Yr3'!"&amp;ADDRESS(ROW(AG188),COLUMN(AG188)))),
AG208*AG175)</f>
        <v>0</v>
      </c>
      <c r="AH188" s="49"/>
      <c r="AI188" s="64">
        <f ca="1">NPV(Lookups!$E$17,G188:AG188)</f>
        <v>5951471.1152829127</v>
      </c>
      <c r="AJ188" s="65"/>
      <c r="AM188" s="71">
        <f ca="1">IF($C$4=Lookups!$D$40,SUM(INDIRECT("'Yr1'!"&amp;ADDRESS(ROW(AM188),COLUMN(AM188))),INDIRECT("'Yr2'!"&amp;ADDRESS(ROW(AM188),COLUMN(AM188))),INDIRECT("'Yr3'!"&amp;ADDRESS(ROW(AM188),COLUMN(AM188)))),
AM208*AM175)</f>
        <v>153610.51045353391</v>
      </c>
      <c r="AN188" s="71">
        <f ca="1">IF($C$4=Lookups!$D$40,SUM(INDIRECT("'Yr1'!"&amp;ADDRESS(ROW(AN188),COLUMN(AN188))),INDIRECT("'Yr2'!"&amp;ADDRESS(ROW(AN188),COLUMN(AN188))),INDIRECT("'Yr3'!"&amp;ADDRESS(ROW(AN188),COLUMN(AN188)))),
AN208*AN175)</f>
        <v>315508.74583332636</v>
      </c>
      <c r="AO188" s="71">
        <f ca="1">IF($C$4=Lookups!$D$40,SUM(INDIRECT("'Yr1'!"&amp;ADDRESS(ROW(AO188),COLUMN(AO188))),INDIRECT("'Yr2'!"&amp;ADDRESS(ROW(AO188),COLUMN(AO188))),INDIRECT("'Yr3'!"&amp;ADDRESS(ROW(AO188),COLUMN(AO188)))),
AO208*AO175)</f>
        <v>484834.14287366695</v>
      </c>
      <c r="AP188" s="71">
        <f ca="1">IF($C$4=Lookups!$D$40,SUM(INDIRECT("'Yr1'!"&amp;ADDRESS(ROW(AP188),COLUMN(AP188))),INDIRECT("'Yr2'!"&amp;ADDRESS(ROW(AP188),COLUMN(AP188))),INDIRECT("'Yr3'!"&amp;ADDRESS(ROW(AP188),COLUMN(AP188)))),
AP208*AP175)</f>
        <v>484834.14287366695</v>
      </c>
      <c r="AQ188" s="71">
        <f ca="1">IF($C$4=Lookups!$D$40,SUM(INDIRECT("'Yr1'!"&amp;ADDRESS(ROW(AQ188),COLUMN(AQ188))),INDIRECT("'Yr2'!"&amp;ADDRESS(ROW(AQ188),COLUMN(AQ188))),INDIRECT("'Yr3'!"&amp;ADDRESS(ROW(AQ188),COLUMN(AQ188)))),
AQ208*AQ175)</f>
        <v>484834.14287366695</v>
      </c>
      <c r="AR188" s="71">
        <f ca="1">IF($C$4=Lookups!$D$40,SUM(INDIRECT("'Yr1'!"&amp;ADDRESS(ROW(AR188),COLUMN(AR188))),INDIRECT("'Yr2'!"&amp;ADDRESS(ROW(AR188),COLUMN(AR188))),INDIRECT("'Yr3'!"&amp;ADDRESS(ROW(AR188),COLUMN(AR188)))),
AR208*AR175)</f>
        <v>484834.14287366695</v>
      </c>
      <c r="AS188" s="71">
        <f ca="1">IF($C$4=Lookups!$D$40,SUM(INDIRECT("'Yr1'!"&amp;ADDRESS(ROW(AS188),COLUMN(AS188))),INDIRECT("'Yr2'!"&amp;ADDRESS(ROW(AS188),COLUMN(AS188))),INDIRECT("'Yr3'!"&amp;ADDRESS(ROW(AS188),COLUMN(AS188)))),
AS208*AS175)</f>
        <v>484834.14287366695</v>
      </c>
      <c r="AT188" s="71">
        <f ca="1">IF($C$4=Lookups!$D$40,SUM(INDIRECT("'Yr1'!"&amp;ADDRESS(ROW(AT188),COLUMN(AT188))),INDIRECT("'Yr2'!"&amp;ADDRESS(ROW(AT188),COLUMN(AT188))),INDIRECT("'Yr3'!"&amp;ADDRESS(ROW(AT188),COLUMN(AT188)))),
AT208*AT175)</f>
        <v>484834.14287366695</v>
      </c>
      <c r="AU188" s="71">
        <f ca="1">IF($C$4=Lookups!$D$40,SUM(INDIRECT("'Yr1'!"&amp;ADDRESS(ROW(AU188),COLUMN(AU188))),INDIRECT("'Yr2'!"&amp;ADDRESS(ROW(AU188),COLUMN(AU188))),INDIRECT("'Yr3'!"&amp;ADDRESS(ROW(AU188),COLUMN(AU188)))),
AU208*AU175)</f>
        <v>484834.14287366695</v>
      </c>
      <c r="AV188" s="71">
        <f ca="1">IF($C$4=Lookups!$D$40,SUM(INDIRECT("'Yr1'!"&amp;ADDRESS(ROW(AV188),COLUMN(AV188))),INDIRECT("'Yr2'!"&amp;ADDRESS(ROW(AV188),COLUMN(AV188))),INDIRECT("'Yr3'!"&amp;ADDRESS(ROW(AV188),COLUMN(AV188)))),
AV208*AV175)</f>
        <v>484834.14287366695</v>
      </c>
      <c r="AW188" s="71">
        <f ca="1">IF($C$4=Lookups!$D$40,SUM(INDIRECT("'Yr1'!"&amp;ADDRESS(ROW(AW188),COLUMN(AW188))),INDIRECT("'Yr2'!"&amp;ADDRESS(ROW(AW188),COLUMN(AW188))),INDIRECT("'Yr3'!"&amp;ADDRESS(ROW(AW188),COLUMN(AW188)))),
AW208*AW175)</f>
        <v>484834.14287366695</v>
      </c>
      <c r="AX188" s="71">
        <f ca="1">IF($C$4=Lookups!$D$40,SUM(INDIRECT("'Yr1'!"&amp;ADDRESS(ROW(AX188),COLUMN(AX188))),INDIRECT("'Yr2'!"&amp;ADDRESS(ROW(AX188),COLUMN(AX188))),INDIRECT("'Yr3'!"&amp;ADDRESS(ROW(AX188),COLUMN(AX188)))),
AX208*AX175)</f>
        <v>484834.14287366695</v>
      </c>
      <c r="AY188" s="71">
        <f ca="1">IF($C$4=Lookups!$D$40,SUM(INDIRECT("'Yr1'!"&amp;ADDRESS(ROW(AY188),COLUMN(AY188))),INDIRECT("'Yr2'!"&amp;ADDRESS(ROW(AY188),COLUMN(AY188))),INDIRECT("'Yr3'!"&amp;ADDRESS(ROW(AY188),COLUMN(AY188)))),
AY208*AY175)</f>
        <v>484834.14287366695</v>
      </c>
      <c r="AZ188" s="71">
        <f ca="1">IF($C$4=Lookups!$D$40,SUM(INDIRECT("'Yr1'!"&amp;ADDRESS(ROW(AZ188),COLUMN(AZ188))),INDIRECT("'Yr2'!"&amp;ADDRESS(ROW(AZ188),COLUMN(AZ188))),INDIRECT("'Yr3'!"&amp;ADDRESS(ROW(AZ188),COLUMN(AZ188)))),
AZ208*AZ175)</f>
        <v>484834.14287366695</v>
      </c>
      <c r="BA188" s="71">
        <f ca="1">IF($C$4=Lookups!$D$40,SUM(INDIRECT("'Yr1'!"&amp;ADDRESS(ROW(BA188),COLUMN(BA188))),INDIRECT("'Yr2'!"&amp;ADDRESS(ROW(BA188),COLUMN(BA188))),INDIRECT("'Yr3'!"&amp;ADDRESS(ROW(BA188),COLUMN(BA188)))),
BA208*BA175)</f>
        <v>484834.14287366695</v>
      </c>
      <c r="BB188" s="71">
        <f ca="1">IF($C$4=Lookups!$D$40,SUM(INDIRECT("'Yr1'!"&amp;ADDRESS(ROW(BB188),COLUMN(BB188))),INDIRECT("'Yr2'!"&amp;ADDRESS(ROW(BB188),COLUMN(BB188))),INDIRECT("'Yr3'!"&amp;ADDRESS(ROW(BB188),COLUMN(BB188)))),
BB208*BB175)</f>
        <v>484834.14287366695</v>
      </c>
      <c r="BC188" s="71">
        <f ca="1">IF($C$4=Lookups!$D$40,SUM(INDIRECT("'Yr1'!"&amp;ADDRESS(ROW(BC188),COLUMN(BC188))),INDIRECT("'Yr2'!"&amp;ADDRESS(ROW(BC188),COLUMN(BC188))),INDIRECT("'Yr3'!"&amp;ADDRESS(ROW(BC188),COLUMN(BC188)))),
BC208*BC175)</f>
        <v>331223.63242013298</v>
      </c>
      <c r="BD188" s="71">
        <f ca="1">IF($C$4=Lookups!$D$40,SUM(INDIRECT("'Yr1'!"&amp;ADDRESS(ROW(BD188),COLUMN(BD188))),INDIRECT("'Yr2'!"&amp;ADDRESS(ROW(BD188),COLUMN(BD188))),INDIRECT("'Yr3'!"&amp;ADDRESS(ROW(BD188),COLUMN(BD188)))),
BD208*BD175)</f>
        <v>169325.39704034058</v>
      </c>
      <c r="BE188" s="71">
        <f ca="1">IF($C$4=Lookups!$D$40,SUM(INDIRECT("'Yr1'!"&amp;ADDRESS(ROW(BE188),COLUMN(BE188))),INDIRECT("'Yr2'!"&amp;ADDRESS(ROW(BE188),COLUMN(BE188))),INDIRECT("'Yr3'!"&amp;ADDRESS(ROW(BE188),COLUMN(BE188)))),
BE208*BE175)</f>
        <v>0</v>
      </c>
      <c r="BF188" s="71">
        <f ca="1">IF($C$4=Lookups!$D$40,SUM(INDIRECT("'Yr1'!"&amp;ADDRESS(ROW(BF188),COLUMN(BF188))),INDIRECT("'Yr2'!"&amp;ADDRESS(ROW(BF188),COLUMN(BF188))),INDIRECT("'Yr3'!"&amp;ADDRESS(ROW(BF188),COLUMN(BF188)))),
BF208*BF175)</f>
        <v>0</v>
      </c>
      <c r="BG188" s="71">
        <f ca="1">IF($C$4=Lookups!$D$40,SUM(INDIRECT("'Yr1'!"&amp;ADDRESS(ROW(BG188),COLUMN(BG188))),INDIRECT("'Yr2'!"&amp;ADDRESS(ROW(BG188),COLUMN(BG188))),INDIRECT("'Yr3'!"&amp;ADDRESS(ROW(BG188),COLUMN(BG188)))),
BG208*BG175)</f>
        <v>0</v>
      </c>
      <c r="BH188" s="71">
        <f ca="1">IF($C$4=Lookups!$D$40,SUM(INDIRECT("'Yr1'!"&amp;ADDRESS(ROW(BH188),COLUMN(BH188))),INDIRECT("'Yr2'!"&amp;ADDRESS(ROW(BH188),COLUMN(BH188))),INDIRECT("'Yr3'!"&amp;ADDRESS(ROW(BH188),COLUMN(BH188)))),
BH208*BH175)</f>
        <v>0</v>
      </c>
      <c r="BI188" s="71">
        <f ca="1">IF($C$4=Lookups!$D$40,SUM(INDIRECT("'Yr1'!"&amp;ADDRESS(ROW(BI188),COLUMN(BI188))),INDIRECT("'Yr2'!"&amp;ADDRESS(ROW(BI188),COLUMN(BI188))),INDIRECT("'Yr3'!"&amp;ADDRESS(ROW(BI188),COLUMN(BI188)))),
BI208*BI175)</f>
        <v>0</v>
      </c>
      <c r="BJ188" s="71">
        <f ca="1">IF($C$4=Lookups!$D$40,SUM(INDIRECT("'Yr1'!"&amp;ADDRESS(ROW(BJ188),COLUMN(BJ188))),INDIRECT("'Yr2'!"&amp;ADDRESS(ROW(BJ188),COLUMN(BJ188))),INDIRECT("'Yr3'!"&amp;ADDRESS(ROW(BJ188),COLUMN(BJ188)))),
BJ208*BJ175)</f>
        <v>0</v>
      </c>
      <c r="BK188" s="71">
        <f ca="1">IF($C$4=Lookups!$D$40,SUM(INDIRECT("'Yr1'!"&amp;ADDRESS(ROW(BK188),COLUMN(BK188))),INDIRECT("'Yr2'!"&amp;ADDRESS(ROW(BK188),COLUMN(BK188))),INDIRECT("'Yr3'!"&amp;ADDRESS(ROW(BK188),COLUMN(BK188)))),
BK208*BK175)</f>
        <v>0</v>
      </c>
      <c r="BL188" s="71">
        <f ca="1">IF($C$4=Lookups!$D$40,SUM(INDIRECT("'Yr1'!"&amp;ADDRESS(ROW(BL188),COLUMN(BL188))),INDIRECT("'Yr2'!"&amp;ADDRESS(ROW(BL188),COLUMN(BL188))),INDIRECT("'Yr3'!"&amp;ADDRESS(ROW(BL188),COLUMN(BL188)))),
BL208*BL175)</f>
        <v>0</v>
      </c>
      <c r="BM188" s="71">
        <f ca="1">IF($C$4=Lookups!$D$40,SUM(INDIRECT("'Yr1'!"&amp;ADDRESS(ROW(BM188),COLUMN(BM188))),INDIRECT("'Yr2'!"&amp;ADDRESS(ROW(BM188),COLUMN(BM188))),INDIRECT("'Yr3'!"&amp;ADDRESS(ROW(BM188),COLUMN(BM188)))),
BM208*BM175)</f>
        <v>0</v>
      </c>
      <c r="BN188" s="71"/>
      <c r="BO188" s="71">
        <f ca="1">NPV(Lookups!$E$17,AM188:BM188)</f>
        <v>6799976.1774500646</v>
      </c>
      <c r="BP188" s="72"/>
      <c r="BS188" s="84" t="str">
        <f>E188&amp;" rate multiplied by After DSM sales."</f>
        <v>Distribution Lost Revenue rate multiplied by After DSM sales.</v>
      </c>
      <c r="BT188" s="51" t="s">
        <v>17</v>
      </c>
    </row>
    <row r="189" spans="1:72" x14ac:dyDescent="0.25">
      <c r="B189" s="243" t="str">
        <f>B187</f>
        <v>Small C&amp;I</v>
      </c>
      <c r="C189" s="243" t="str">
        <f>C187</f>
        <v>Revenue Requirements</v>
      </c>
      <c r="D189" s="114" t="s">
        <v>125</v>
      </c>
      <c r="E189" s="84"/>
      <c r="F189" s="84"/>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S189" s="84"/>
      <c r="BT189" s="51" t="s">
        <v>17</v>
      </c>
    </row>
    <row r="190" spans="1:72" x14ac:dyDescent="0.25">
      <c r="A190" s="1"/>
      <c r="B190" s="243" t="str">
        <f t="shared" ref="B190:C191" si="193">B189</f>
        <v>Small C&amp;I</v>
      </c>
      <c r="C190" s="243" t="str">
        <f t="shared" si="193"/>
        <v>Revenue Requirements</v>
      </c>
      <c r="D190" s="244" t="str">
        <f>D189</f>
        <v>Revenue Requirement after DSM Scenario</v>
      </c>
      <c r="E190" s="84" t="s">
        <v>26</v>
      </c>
      <c r="F190" s="84" t="s">
        <v>32</v>
      </c>
      <c r="G190" s="64">
        <f ca="1">G179-G184</f>
        <v>8359100.799272052</v>
      </c>
      <c r="H190" s="64">
        <f t="shared" ref="H190:AG190" ca="1" si="194">H179-H184</f>
        <v>8344422.2190869991</v>
      </c>
      <c r="I190" s="64">
        <f t="shared" ca="1" si="194"/>
        <v>8329072.4422203517</v>
      </c>
      <c r="J190" s="64">
        <f t="shared" ca="1" si="194"/>
        <v>8329072.4422203517</v>
      </c>
      <c r="K190" s="64">
        <f t="shared" ca="1" si="194"/>
        <v>8329072.4422203517</v>
      </c>
      <c r="L190" s="64">
        <f t="shared" ca="1" si="194"/>
        <v>8329072.4422203517</v>
      </c>
      <c r="M190" s="64">
        <f t="shared" ca="1" si="194"/>
        <v>8329072.4422203517</v>
      </c>
      <c r="N190" s="64">
        <f t="shared" ca="1" si="194"/>
        <v>8329072.4422203517</v>
      </c>
      <c r="O190" s="64">
        <f t="shared" ca="1" si="194"/>
        <v>8329072.4422203517</v>
      </c>
      <c r="P190" s="64">
        <f t="shared" ca="1" si="194"/>
        <v>8329072.4422203517</v>
      </c>
      <c r="Q190" s="64">
        <f t="shared" ca="1" si="194"/>
        <v>8329072.4422203517</v>
      </c>
      <c r="R190" s="64">
        <f t="shared" ca="1" si="194"/>
        <v>8329072.4422203517</v>
      </c>
      <c r="S190" s="64">
        <f t="shared" ca="1" si="194"/>
        <v>8329072.4422203517</v>
      </c>
      <c r="T190" s="64">
        <f t="shared" ca="1" si="194"/>
        <v>8329072.4422203517</v>
      </c>
      <c r="U190" s="64">
        <f t="shared" ca="1" si="194"/>
        <v>8329072.4422203517</v>
      </c>
      <c r="V190" s="64">
        <f t="shared" ca="1" si="194"/>
        <v>8329072.4422203517</v>
      </c>
      <c r="W190" s="64">
        <f t="shared" ca="1" si="194"/>
        <v>8342996.5916995658</v>
      </c>
      <c r="X190" s="64">
        <f t="shared" ca="1" si="194"/>
        <v>8357675.1718846178</v>
      </c>
      <c r="Y190" s="64">
        <f t="shared" ca="1" si="194"/>
        <v>8373024.9487512652</v>
      </c>
      <c r="Z190" s="64">
        <f t="shared" ca="1" si="194"/>
        <v>8373024.9487512652</v>
      </c>
      <c r="AA190" s="64">
        <f t="shared" ca="1" si="194"/>
        <v>8373024.9487512652</v>
      </c>
      <c r="AB190" s="64">
        <f t="shared" ca="1" si="194"/>
        <v>8373024.9487512652</v>
      </c>
      <c r="AC190" s="64">
        <f t="shared" ca="1" si="194"/>
        <v>8373024.9487512652</v>
      </c>
      <c r="AD190" s="64">
        <f t="shared" ca="1" si="194"/>
        <v>8373024.9487512652</v>
      </c>
      <c r="AE190" s="64">
        <f t="shared" ca="1" si="194"/>
        <v>8373024.9487512652</v>
      </c>
      <c r="AF190" s="64">
        <f t="shared" ca="1" si="194"/>
        <v>8373024.9487512652</v>
      </c>
      <c r="AG190" s="64">
        <f t="shared" ca="1" si="194"/>
        <v>8373024.9487512652</v>
      </c>
      <c r="AH190" s="64"/>
      <c r="AI190" s="64">
        <f ca="1">NPV(Lookups!$E$17,G190:AG190)</f>
        <v>186213687.0959326</v>
      </c>
      <c r="AJ190" s="64"/>
      <c r="AM190" s="71">
        <f ca="1">AM179-AM184</f>
        <v>8357111.635060735</v>
      </c>
      <c r="AN190" s="71">
        <f t="shared" ref="AN190:BM190" ca="1" si="195">AN179-AN184</f>
        <v>8340336.114849247</v>
      </c>
      <c r="AO190" s="71">
        <f t="shared" ca="1" si="195"/>
        <v>8322793.5127159357</v>
      </c>
      <c r="AP190" s="71">
        <f t="shared" ca="1" si="195"/>
        <v>8322793.5127159357</v>
      </c>
      <c r="AQ190" s="71">
        <f t="shared" ca="1" si="195"/>
        <v>8322793.5127159357</v>
      </c>
      <c r="AR190" s="71">
        <f t="shared" ca="1" si="195"/>
        <v>8322793.5127159357</v>
      </c>
      <c r="AS190" s="71">
        <f t="shared" ca="1" si="195"/>
        <v>8322793.5127159357</v>
      </c>
      <c r="AT190" s="71">
        <f t="shared" ca="1" si="195"/>
        <v>8322793.5127159357</v>
      </c>
      <c r="AU190" s="71">
        <f t="shared" ca="1" si="195"/>
        <v>8322793.5127159357</v>
      </c>
      <c r="AV190" s="71">
        <f t="shared" ca="1" si="195"/>
        <v>8322793.5127159357</v>
      </c>
      <c r="AW190" s="71">
        <f t="shared" ca="1" si="195"/>
        <v>8322793.5127159357</v>
      </c>
      <c r="AX190" s="71">
        <f t="shared" ca="1" si="195"/>
        <v>8322793.5127159357</v>
      </c>
      <c r="AY190" s="71">
        <f t="shared" ca="1" si="195"/>
        <v>8322793.5127159357</v>
      </c>
      <c r="AZ190" s="71">
        <f t="shared" ca="1" si="195"/>
        <v>8322793.5127159357</v>
      </c>
      <c r="BA190" s="71">
        <f t="shared" ca="1" si="195"/>
        <v>8322793.5127159357</v>
      </c>
      <c r="BB190" s="71">
        <f t="shared" ca="1" si="195"/>
        <v>8322793.5127159357</v>
      </c>
      <c r="BC190" s="71">
        <f t="shared" ca="1" si="195"/>
        <v>8338706.8264064649</v>
      </c>
      <c r="BD190" s="71">
        <f t="shared" ca="1" si="195"/>
        <v>8355482.3466179539</v>
      </c>
      <c r="BE190" s="71">
        <f t="shared" ca="1" si="195"/>
        <v>8373024.9487512652</v>
      </c>
      <c r="BF190" s="71">
        <f t="shared" ca="1" si="195"/>
        <v>8373024.9487512652</v>
      </c>
      <c r="BG190" s="71">
        <f t="shared" ca="1" si="195"/>
        <v>8373024.9487512652</v>
      </c>
      <c r="BH190" s="71">
        <f t="shared" ca="1" si="195"/>
        <v>8373024.9487512652</v>
      </c>
      <c r="BI190" s="71">
        <f t="shared" ca="1" si="195"/>
        <v>8373024.9487512652</v>
      </c>
      <c r="BJ190" s="71">
        <f t="shared" ca="1" si="195"/>
        <v>8373024.9487512652</v>
      </c>
      <c r="BK190" s="71">
        <f t="shared" ca="1" si="195"/>
        <v>8373024.9487512652</v>
      </c>
      <c r="BL190" s="71">
        <f t="shared" ca="1" si="195"/>
        <v>8373024.9487512652</v>
      </c>
      <c r="BM190" s="71">
        <f t="shared" ca="1" si="195"/>
        <v>8373024.9487512652</v>
      </c>
      <c r="BN190" s="71"/>
      <c r="BO190" s="71">
        <f ca="1">NPV(Lookups!$E$17,AM190:BM190)</f>
        <v>186125622.84163061</v>
      </c>
      <c r="BP190" s="71"/>
      <c r="BS190" s="84" t="s">
        <v>229</v>
      </c>
      <c r="BT190" s="51" t="s">
        <v>17</v>
      </c>
    </row>
    <row r="191" spans="1:72" x14ac:dyDescent="0.25">
      <c r="A191" s="1"/>
      <c r="B191" s="243" t="str">
        <f t="shared" si="193"/>
        <v>Small C&amp;I</v>
      </c>
      <c r="C191" s="243" t="str">
        <f t="shared" si="193"/>
        <v>Revenue Requirements</v>
      </c>
      <c r="D191" s="244" t="str">
        <f>D190</f>
        <v>Revenue Requirement after DSM Scenario</v>
      </c>
      <c r="E191" s="84" t="s">
        <v>407</v>
      </c>
      <c r="F191" s="84" t="s">
        <v>32</v>
      </c>
      <c r="G191" s="64">
        <f>G180</f>
        <v>111038.85441192142</v>
      </c>
      <c r="H191" s="64">
        <f t="shared" ref="H191:AG191" si="196">H180</f>
        <v>111038.85441192142</v>
      </c>
      <c r="I191" s="64">
        <f t="shared" si="196"/>
        <v>111038.85441192142</v>
      </c>
      <c r="J191" s="64">
        <f t="shared" si="196"/>
        <v>111038.85441192142</v>
      </c>
      <c r="K191" s="64">
        <f t="shared" si="196"/>
        <v>111038.85441192142</v>
      </c>
      <c r="L191" s="64">
        <f t="shared" si="196"/>
        <v>111038.85441192142</v>
      </c>
      <c r="M191" s="64">
        <f t="shared" si="196"/>
        <v>111038.85441192142</v>
      </c>
      <c r="N191" s="64">
        <f t="shared" si="196"/>
        <v>111038.85441192142</v>
      </c>
      <c r="O191" s="64">
        <f t="shared" si="196"/>
        <v>111038.85441192142</v>
      </c>
      <c r="P191" s="64">
        <f t="shared" si="196"/>
        <v>111038.85441192142</v>
      </c>
      <c r="Q191" s="64">
        <f t="shared" si="196"/>
        <v>111038.85441192142</v>
      </c>
      <c r="R191" s="64">
        <f t="shared" si="196"/>
        <v>111038.85441192142</v>
      </c>
      <c r="S191" s="64">
        <f t="shared" si="196"/>
        <v>111038.85441192142</v>
      </c>
      <c r="T191" s="64">
        <f t="shared" si="196"/>
        <v>111038.85441192142</v>
      </c>
      <c r="U191" s="64">
        <f t="shared" si="196"/>
        <v>111038.85441192142</v>
      </c>
      <c r="V191" s="64">
        <f t="shared" si="196"/>
        <v>111038.85441192142</v>
      </c>
      <c r="W191" s="64">
        <f t="shared" si="196"/>
        <v>111038.85441192142</v>
      </c>
      <c r="X191" s="64">
        <f t="shared" si="196"/>
        <v>111038.85441192142</v>
      </c>
      <c r="Y191" s="64">
        <f t="shared" si="196"/>
        <v>111038.85441192142</v>
      </c>
      <c r="Z191" s="64">
        <f t="shared" si="196"/>
        <v>111038.85441192142</v>
      </c>
      <c r="AA191" s="64">
        <f t="shared" si="196"/>
        <v>111038.85441192142</v>
      </c>
      <c r="AB191" s="64">
        <f t="shared" si="196"/>
        <v>111038.85441192142</v>
      </c>
      <c r="AC191" s="64">
        <f t="shared" si="196"/>
        <v>111038.85441192142</v>
      </c>
      <c r="AD191" s="64">
        <f t="shared" si="196"/>
        <v>111038.85441192142</v>
      </c>
      <c r="AE191" s="64">
        <f t="shared" si="196"/>
        <v>111038.85441192142</v>
      </c>
      <c r="AF191" s="64">
        <f t="shared" si="196"/>
        <v>111038.85441192142</v>
      </c>
      <c r="AG191" s="64">
        <f t="shared" si="196"/>
        <v>111038.85441192142</v>
      </c>
      <c r="AH191" s="64"/>
      <c r="AI191" s="64">
        <f>NPV(Lookups!$E$17,G191:AG191)</f>
        <v>2477647.5043744599</v>
      </c>
      <c r="AJ191" s="64"/>
      <c r="AM191" s="71">
        <f>AM180</f>
        <v>111038.85441192142</v>
      </c>
      <c r="AN191" s="71">
        <f t="shared" ref="AN191:BM191" si="197">AN180</f>
        <v>111038.85441192142</v>
      </c>
      <c r="AO191" s="71">
        <f t="shared" si="197"/>
        <v>111038.85441192142</v>
      </c>
      <c r="AP191" s="71">
        <f t="shared" si="197"/>
        <v>111038.85441192142</v>
      </c>
      <c r="AQ191" s="71">
        <f t="shared" si="197"/>
        <v>111038.85441192142</v>
      </c>
      <c r="AR191" s="71">
        <f t="shared" si="197"/>
        <v>111038.85441192142</v>
      </c>
      <c r="AS191" s="71">
        <f t="shared" si="197"/>
        <v>111038.85441192142</v>
      </c>
      <c r="AT191" s="71">
        <f t="shared" si="197"/>
        <v>111038.85441192142</v>
      </c>
      <c r="AU191" s="71">
        <f t="shared" si="197"/>
        <v>111038.85441192142</v>
      </c>
      <c r="AV191" s="71">
        <f t="shared" si="197"/>
        <v>111038.85441192142</v>
      </c>
      <c r="AW191" s="71">
        <f t="shared" si="197"/>
        <v>111038.85441192142</v>
      </c>
      <c r="AX191" s="71">
        <f t="shared" si="197"/>
        <v>111038.85441192142</v>
      </c>
      <c r="AY191" s="71">
        <f t="shared" si="197"/>
        <v>111038.85441192142</v>
      </c>
      <c r="AZ191" s="71">
        <f t="shared" si="197"/>
        <v>111038.85441192142</v>
      </c>
      <c r="BA191" s="71">
        <f t="shared" si="197"/>
        <v>111038.85441192142</v>
      </c>
      <c r="BB191" s="71">
        <f t="shared" si="197"/>
        <v>111038.85441192142</v>
      </c>
      <c r="BC191" s="71">
        <f t="shared" si="197"/>
        <v>111038.85441192142</v>
      </c>
      <c r="BD191" s="71">
        <f t="shared" si="197"/>
        <v>111038.85441192142</v>
      </c>
      <c r="BE191" s="71">
        <f t="shared" si="197"/>
        <v>111038.85441192142</v>
      </c>
      <c r="BF191" s="71">
        <f t="shared" si="197"/>
        <v>111038.85441192142</v>
      </c>
      <c r="BG191" s="71">
        <f t="shared" si="197"/>
        <v>111038.85441192142</v>
      </c>
      <c r="BH191" s="71">
        <f t="shared" si="197"/>
        <v>111038.85441192142</v>
      </c>
      <c r="BI191" s="71">
        <f t="shared" si="197"/>
        <v>111038.85441192142</v>
      </c>
      <c r="BJ191" s="71">
        <f t="shared" si="197"/>
        <v>111038.85441192142</v>
      </c>
      <c r="BK191" s="71">
        <f t="shared" si="197"/>
        <v>111038.85441192142</v>
      </c>
      <c r="BL191" s="71">
        <f t="shared" si="197"/>
        <v>111038.85441192142</v>
      </c>
      <c r="BM191" s="71">
        <f t="shared" si="197"/>
        <v>111038.85441192142</v>
      </c>
      <c r="BN191" s="71"/>
      <c r="BO191" s="71">
        <f>NPV(Lookups!$E$17,AM191:BM191)</f>
        <v>2477647.5043744599</v>
      </c>
      <c r="BP191" s="71"/>
      <c r="BS191" s="84" t="s">
        <v>230</v>
      </c>
      <c r="BT191" s="51" t="s">
        <v>17</v>
      </c>
    </row>
    <row r="192" spans="1:72" x14ac:dyDescent="0.25">
      <c r="A192" s="1"/>
      <c r="B192" s="243" t="str">
        <f>B190</f>
        <v>Small C&amp;I</v>
      </c>
      <c r="C192" s="243" t="str">
        <f>C190</f>
        <v>Revenue Requirements</v>
      </c>
      <c r="D192" s="244" t="str">
        <f>D190</f>
        <v>Revenue Requirement after DSM Scenario</v>
      </c>
      <c r="E192" s="84" t="s">
        <v>197</v>
      </c>
      <c r="F192" s="84" t="s">
        <v>32</v>
      </c>
      <c r="G192" s="64">
        <f ca="1">G181-G183-G185</f>
        <v>13005498.457459513</v>
      </c>
      <c r="H192" s="64">
        <f t="shared" ref="H192:AG192" ca="1" si="198">H181-H183-H185</f>
        <v>12781594.574195599</v>
      </c>
      <c r="I192" s="64">
        <f t="shared" ca="1" si="198"/>
        <v>12547464.056725273</v>
      </c>
      <c r="J192" s="64">
        <f t="shared" ca="1" si="198"/>
        <v>12547464.056725273</v>
      </c>
      <c r="K192" s="64">
        <f t="shared" ca="1" si="198"/>
        <v>12547464.056725273</v>
      </c>
      <c r="L192" s="64">
        <f t="shared" ca="1" si="198"/>
        <v>12547464.056725273</v>
      </c>
      <c r="M192" s="64">
        <f t="shared" ca="1" si="198"/>
        <v>12547464.056725273</v>
      </c>
      <c r="N192" s="64">
        <f t="shared" ca="1" si="198"/>
        <v>12547464.056725273</v>
      </c>
      <c r="O192" s="64">
        <f t="shared" ca="1" si="198"/>
        <v>12547464.056725273</v>
      </c>
      <c r="P192" s="64">
        <f t="shared" ca="1" si="198"/>
        <v>12547464.056725273</v>
      </c>
      <c r="Q192" s="64">
        <f t="shared" ca="1" si="198"/>
        <v>12547464.056725273</v>
      </c>
      <c r="R192" s="64">
        <f t="shared" ca="1" si="198"/>
        <v>12547464.056725273</v>
      </c>
      <c r="S192" s="64">
        <f t="shared" ca="1" si="198"/>
        <v>12547464.056725273</v>
      </c>
      <c r="T192" s="64">
        <f t="shared" ca="1" si="198"/>
        <v>12547464.056725273</v>
      </c>
      <c r="U192" s="64">
        <f t="shared" ca="1" si="198"/>
        <v>12547464.056725273</v>
      </c>
      <c r="V192" s="64">
        <f t="shared" ca="1" si="198"/>
        <v>12547464.056725273</v>
      </c>
      <c r="W192" s="64">
        <f t="shared" ca="1" si="198"/>
        <v>12759859.99945409</v>
      </c>
      <c r="X192" s="64">
        <f t="shared" ca="1" si="198"/>
        <v>12983763.882718004</v>
      </c>
      <c r="Y192" s="64">
        <f t="shared" ca="1" si="198"/>
        <v>13217894.400188331</v>
      </c>
      <c r="Z192" s="64">
        <f t="shared" ca="1" si="198"/>
        <v>13217894.400188331</v>
      </c>
      <c r="AA192" s="64">
        <f t="shared" ca="1" si="198"/>
        <v>13217894.400188331</v>
      </c>
      <c r="AB192" s="64">
        <f t="shared" ca="1" si="198"/>
        <v>13217894.400188331</v>
      </c>
      <c r="AC192" s="64">
        <f t="shared" ca="1" si="198"/>
        <v>13217894.400188331</v>
      </c>
      <c r="AD192" s="64">
        <f t="shared" ca="1" si="198"/>
        <v>13217894.400188331</v>
      </c>
      <c r="AE192" s="64">
        <f t="shared" ca="1" si="198"/>
        <v>13217894.400188331</v>
      </c>
      <c r="AF192" s="64">
        <f t="shared" ca="1" si="198"/>
        <v>13217894.400188331</v>
      </c>
      <c r="AG192" s="64">
        <f t="shared" ca="1" si="198"/>
        <v>13217894.400188331</v>
      </c>
      <c r="AH192" s="64"/>
      <c r="AI192" s="64">
        <f ca="1">NPV(Lookups!$E$17,G192:AG192)</f>
        <v>285532317.20994127</v>
      </c>
      <c r="AJ192" s="64"/>
      <c r="AM192" s="71">
        <f ca="1">AM181-AM183-AM185</f>
        <v>12975156.179926824</v>
      </c>
      <c r="AN192" s="71">
        <f t="shared" ref="AN192:BM192" ca="1" si="199">AN181-AN183-AN185</f>
        <v>12719266.027625211</v>
      </c>
      <c r="AO192" s="71">
        <f t="shared" ca="1" si="199"/>
        <v>12451688.293373408</v>
      </c>
      <c r="AP192" s="71">
        <f t="shared" ca="1" si="199"/>
        <v>12451688.293373408</v>
      </c>
      <c r="AQ192" s="71">
        <f t="shared" ca="1" si="199"/>
        <v>12451688.293373408</v>
      </c>
      <c r="AR192" s="71">
        <f t="shared" ca="1" si="199"/>
        <v>12451688.293373408</v>
      </c>
      <c r="AS192" s="71">
        <f t="shared" ca="1" si="199"/>
        <v>12451688.293373408</v>
      </c>
      <c r="AT192" s="71">
        <f t="shared" ca="1" si="199"/>
        <v>12451688.293373408</v>
      </c>
      <c r="AU192" s="71">
        <f t="shared" ca="1" si="199"/>
        <v>12451688.293373408</v>
      </c>
      <c r="AV192" s="71">
        <f t="shared" ca="1" si="199"/>
        <v>12451688.293373408</v>
      </c>
      <c r="AW192" s="71">
        <f t="shared" ca="1" si="199"/>
        <v>12451688.293373408</v>
      </c>
      <c r="AX192" s="71">
        <f t="shared" ca="1" si="199"/>
        <v>12451688.293373408</v>
      </c>
      <c r="AY192" s="71">
        <f t="shared" ca="1" si="199"/>
        <v>12451688.293373408</v>
      </c>
      <c r="AZ192" s="71">
        <f t="shared" ca="1" si="199"/>
        <v>12451688.293373408</v>
      </c>
      <c r="BA192" s="71">
        <f t="shared" ca="1" si="199"/>
        <v>12451688.293373408</v>
      </c>
      <c r="BB192" s="71">
        <f t="shared" ca="1" si="199"/>
        <v>12451688.293373408</v>
      </c>
      <c r="BC192" s="71">
        <f t="shared" ca="1" si="199"/>
        <v>12694426.513634913</v>
      </c>
      <c r="BD192" s="71">
        <f t="shared" ca="1" si="199"/>
        <v>12950316.66593653</v>
      </c>
      <c r="BE192" s="71">
        <f t="shared" ca="1" si="199"/>
        <v>13217894.400188331</v>
      </c>
      <c r="BF192" s="71">
        <f t="shared" ca="1" si="199"/>
        <v>13217894.400188331</v>
      </c>
      <c r="BG192" s="71">
        <f t="shared" ca="1" si="199"/>
        <v>13217894.400188331</v>
      </c>
      <c r="BH192" s="71">
        <f t="shared" ca="1" si="199"/>
        <v>13217894.400188331</v>
      </c>
      <c r="BI192" s="71">
        <f t="shared" ca="1" si="199"/>
        <v>13217894.400188331</v>
      </c>
      <c r="BJ192" s="71">
        <f t="shared" ca="1" si="199"/>
        <v>13217894.400188331</v>
      </c>
      <c r="BK192" s="71">
        <f t="shared" ca="1" si="199"/>
        <v>13217894.400188331</v>
      </c>
      <c r="BL192" s="71">
        <f t="shared" ca="1" si="199"/>
        <v>13217894.400188331</v>
      </c>
      <c r="BM192" s="71">
        <f t="shared" ca="1" si="199"/>
        <v>13217894.400188331</v>
      </c>
      <c r="BN192" s="71"/>
      <c r="BO192" s="71">
        <f ca="1">NPV(Lookups!$E$17,AM192:BM192)</f>
        <v>284189027.21774083</v>
      </c>
      <c r="BP192" s="71"/>
      <c r="BS192" s="84" t="s">
        <v>231</v>
      </c>
      <c r="BT192" s="51" t="s">
        <v>17</v>
      </c>
    </row>
    <row r="193" spans="1:72" x14ac:dyDescent="0.25">
      <c r="B193" s="243" t="str">
        <f t="shared" ref="B193:C197" si="200">B192</f>
        <v>Small C&amp;I</v>
      </c>
      <c r="C193" s="243" t="str">
        <f t="shared" si="200"/>
        <v>Revenue Requirements</v>
      </c>
      <c r="D193" s="244"/>
      <c r="E193" s="84" t="s">
        <v>17</v>
      </c>
      <c r="F193" s="84"/>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S193" s="84"/>
      <c r="BT193" s="51" t="s">
        <v>17</v>
      </c>
    </row>
    <row r="194" spans="1:72" s="5" customFormat="1" ht="15.75" x14ac:dyDescent="0.25">
      <c r="A194" s="52"/>
      <c r="B194" s="241" t="str">
        <f t="shared" si="200"/>
        <v>Small C&amp;I</v>
      </c>
      <c r="C194" s="63" t="s">
        <v>30</v>
      </c>
      <c r="D194" s="61"/>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2"/>
      <c r="BO194" s="62"/>
      <c r="BP194" s="62"/>
      <c r="BS194" s="62"/>
      <c r="BT194" s="51" t="s">
        <v>17</v>
      </c>
    </row>
    <row r="195" spans="1:72" x14ac:dyDescent="0.25">
      <c r="B195" s="243" t="str">
        <f t="shared" si="200"/>
        <v>Small C&amp;I</v>
      </c>
      <c r="C195" s="243" t="str">
        <f t="shared" si="200"/>
        <v>Rates</v>
      </c>
      <c r="D195" s="114" t="str">
        <f>"Rates before DSM ("&amp;Lookups!$D$22&amp;" Scenario)"</f>
        <v>Rates before DSM (No EE Scenario)</v>
      </c>
      <c r="E195" s="84"/>
      <c r="F195" s="84"/>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S195" s="84"/>
      <c r="BT195" s="51" t="s">
        <v>17</v>
      </c>
    </row>
    <row r="196" spans="1:72" x14ac:dyDescent="0.25">
      <c r="B196" s="243" t="str">
        <f t="shared" si="200"/>
        <v>Small C&amp;I</v>
      </c>
      <c r="C196" s="243" t="str">
        <f t="shared" si="200"/>
        <v>Rates</v>
      </c>
      <c r="D196" s="244" t="str">
        <f>D195</f>
        <v>Rates before DSM (No EE Scenario)</v>
      </c>
      <c r="E196" s="84" t="s">
        <v>26</v>
      </c>
      <c r="F196" s="84" t="s">
        <v>182</v>
      </c>
      <c r="G196" s="506">
        <f>IF(G$8=0,0,INDEX('R&amp;B Inputs'!$I$78:$V$78,MATCH($B196,'R&amp;B Inputs'!$I$4:$V$4,0))*(1+INDEX('R&amp;B Inputs'!$I$48:$V$48,MATCH($B196,'R&amp;B Inputs'!$I$4:$V$4,0)))^(G$7-Year1))</f>
        <v>0.39211256243681192</v>
      </c>
      <c r="H196" s="506">
        <f>IF(H$8=0,0,INDEX('R&amp;B Inputs'!$I$78:$V$78,MATCH($B196,'R&amp;B Inputs'!$I$4:$V$4,0))*(1+INDEX('R&amp;B Inputs'!$I$48:$V$48,MATCH($B196,'R&amp;B Inputs'!$I$4:$V$4,0)))^(H$7-Year1))</f>
        <v>0.39211256243681192</v>
      </c>
      <c r="I196" s="506">
        <f>IF(I$8=0,0,INDEX('R&amp;B Inputs'!$I$78:$V$78,MATCH($B196,'R&amp;B Inputs'!$I$4:$V$4,0))*(1+INDEX('R&amp;B Inputs'!$I$48:$V$48,MATCH($B196,'R&amp;B Inputs'!$I$4:$V$4,0)))^(I$7-Year1))</f>
        <v>0.39211256243681192</v>
      </c>
      <c r="J196" s="506">
        <f>IF(J$8=0,0,INDEX('R&amp;B Inputs'!$I$78:$V$78,MATCH($B196,'R&amp;B Inputs'!$I$4:$V$4,0))*(1+INDEX('R&amp;B Inputs'!$I$48:$V$48,MATCH($B196,'R&amp;B Inputs'!$I$4:$V$4,0)))^(J$7-Year1))</f>
        <v>0.39211256243681192</v>
      </c>
      <c r="K196" s="506">
        <f>IF(K$8=0,0,INDEX('R&amp;B Inputs'!$I$78:$V$78,MATCH($B196,'R&amp;B Inputs'!$I$4:$V$4,0))*(1+INDEX('R&amp;B Inputs'!$I$48:$V$48,MATCH($B196,'R&amp;B Inputs'!$I$4:$V$4,0)))^(K$7-Year1))</f>
        <v>0.39211256243681192</v>
      </c>
      <c r="L196" s="506">
        <f>IF(L$8=0,0,INDEX('R&amp;B Inputs'!$I$78:$V$78,MATCH($B196,'R&amp;B Inputs'!$I$4:$V$4,0))*(1+INDEX('R&amp;B Inputs'!$I$48:$V$48,MATCH($B196,'R&amp;B Inputs'!$I$4:$V$4,0)))^(L$7-Year1))</f>
        <v>0.39211256243681192</v>
      </c>
      <c r="M196" s="506">
        <f>IF(M$8=0,0,INDEX('R&amp;B Inputs'!$I$78:$V$78,MATCH($B196,'R&amp;B Inputs'!$I$4:$V$4,0))*(1+INDEX('R&amp;B Inputs'!$I$48:$V$48,MATCH($B196,'R&amp;B Inputs'!$I$4:$V$4,0)))^(M$7-Year1))</f>
        <v>0.39211256243681192</v>
      </c>
      <c r="N196" s="506">
        <f>IF(N$8=0,0,INDEX('R&amp;B Inputs'!$I$78:$V$78,MATCH($B196,'R&amp;B Inputs'!$I$4:$V$4,0))*(1+INDEX('R&amp;B Inputs'!$I$48:$V$48,MATCH($B196,'R&amp;B Inputs'!$I$4:$V$4,0)))^(N$7-Year1))</f>
        <v>0.39211256243681192</v>
      </c>
      <c r="O196" s="506">
        <f>IF(O$8=0,0,INDEX('R&amp;B Inputs'!$I$78:$V$78,MATCH($B196,'R&amp;B Inputs'!$I$4:$V$4,0))*(1+INDEX('R&amp;B Inputs'!$I$48:$V$48,MATCH($B196,'R&amp;B Inputs'!$I$4:$V$4,0)))^(O$7-Year1))</f>
        <v>0.39211256243681192</v>
      </c>
      <c r="P196" s="506">
        <f>IF(P$8=0,0,INDEX('R&amp;B Inputs'!$I$78:$V$78,MATCH($B196,'R&amp;B Inputs'!$I$4:$V$4,0))*(1+INDEX('R&amp;B Inputs'!$I$48:$V$48,MATCH($B196,'R&amp;B Inputs'!$I$4:$V$4,0)))^(P$7-Year1))</f>
        <v>0.39211256243681192</v>
      </c>
      <c r="Q196" s="506">
        <f>IF(Q$8=0,0,INDEX('R&amp;B Inputs'!$I$78:$V$78,MATCH($B196,'R&amp;B Inputs'!$I$4:$V$4,0))*(1+INDEX('R&amp;B Inputs'!$I$48:$V$48,MATCH($B196,'R&amp;B Inputs'!$I$4:$V$4,0)))^(Q$7-Year1))</f>
        <v>0.39211256243681192</v>
      </c>
      <c r="R196" s="506">
        <f>IF(R$8=0,0,INDEX('R&amp;B Inputs'!$I$78:$V$78,MATCH($B196,'R&amp;B Inputs'!$I$4:$V$4,0))*(1+INDEX('R&amp;B Inputs'!$I$48:$V$48,MATCH($B196,'R&amp;B Inputs'!$I$4:$V$4,0)))^(R$7-Year1))</f>
        <v>0.39211256243681192</v>
      </c>
      <c r="S196" s="506">
        <f>IF(S$8=0,0,INDEX('R&amp;B Inputs'!$I$78:$V$78,MATCH($B196,'R&amp;B Inputs'!$I$4:$V$4,0))*(1+INDEX('R&amp;B Inputs'!$I$48:$V$48,MATCH($B196,'R&amp;B Inputs'!$I$4:$V$4,0)))^(S$7-Year1))</f>
        <v>0.39211256243681192</v>
      </c>
      <c r="T196" s="506">
        <f>IF(T$8=0,0,INDEX('R&amp;B Inputs'!$I$78:$V$78,MATCH($B196,'R&amp;B Inputs'!$I$4:$V$4,0))*(1+INDEX('R&amp;B Inputs'!$I$48:$V$48,MATCH($B196,'R&amp;B Inputs'!$I$4:$V$4,0)))^(T$7-Year1))</f>
        <v>0.39211256243681192</v>
      </c>
      <c r="U196" s="506">
        <f>IF(U$8=0,0,INDEX('R&amp;B Inputs'!$I$78:$V$78,MATCH($B196,'R&amp;B Inputs'!$I$4:$V$4,0))*(1+INDEX('R&amp;B Inputs'!$I$48:$V$48,MATCH($B196,'R&amp;B Inputs'!$I$4:$V$4,0)))^(U$7-Year1))</f>
        <v>0.39211256243681192</v>
      </c>
      <c r="V196" s="506">
        <f>IF(V$8=0,0,INDEX('R&amp;B Inputs'!$I$78:$V$78,MATCH($B196,'R&amp;B Inputs'!$I$4:$V$4,0))*(1+INDEX('R&amp;B Inputs'!$I$48:$V$48,MATCH($B196,'R&amp;B Inputs'!$I$4:$V$4,0)))^(V$7-Year1))</f>
        <v>0.39211256243681192</v>
      </c>
      <c r="W196" s="506">
        <f>IF(W$8=0,0,INDEX('R&amp;B Inputs'!$I$78:$V$78,MATCH($B196,'R&amp;B Inputs'!$I$4:$V$4,0))*(1+INDEX('R&amp;B Inputs'!$I$48:$V$48,MATCH($B196,'R&amp;B Inputs'!$I$4:$V$4,0)))^(W$7-Year1))</f>
        <v>0.39211256243681192</v>
      </c>
      <c r="X196" s="506">
        <f>IF(X$8=0,0,INDEX('R&amp;B Inputs'!$I$78:$V$78,MATCH($B196,'R&amp;B Inputs'!$I$4:$V$4,0))*(1+INDEX('R&amp;B Inputs'!$I$48:$V$48,MATCH($B196,'R&amp;B Inputs'!$I$4:$V$4,0)))^(X$7-Year1))</f>
        <v>0.39211256243681192</v>
      </c>
      <c r="Y196" s="506">
        <f>IF(Y$8=0,0,INDEX('R&amp;B Inputs'!$I$78:$V$78,MATCH($B196,'R&amp;B Inputs'!$I$4:$V$4,0))*(1+INDEX('R&amp;B Inputs'!$I$48:$V$48,MATCH($B196,'R&amp;B Inputs'!$I$4:$V$4,0)))^(Y$7-Year1))</f>
        <v>0.39211256243681192</v>
      </c>
      <c r="Z196" s="506">
        <f>IF(Z$8=0,0,INDEX('R&amp;B Inputs'!$I$78:$V$78,MATCH($B196,'R&amp;B Inputs'!$I$4:$V$4,0))*(1+INDEX('R&amp;B Inputs'!$I$48:$V$48,MATCH($B196,'R&amp;B Inputs'!$I$4:$V$4,0)))^(Z$7-Year1))</f>
        <v>0.39211256243681192</v>
      </c>
      <c r="AA196" s="506">
        <f>IF(AA$8=0,0,INDEX('R&amp;B Inputs'!$I$78:$V$78,MATCH($B196,'R&amp;B Inputs'!$I$4:$V$4,0))*(1+INDEX('R&amp;B Inputs'!$I$48:$V$48,MATCH($B196,'R&amp;B Inputs'!$I$4:$V$4,0)))^(AA$7-Year1))</f>
        <v>0.39211256243681192</v>
      </c>
      <c r="AB196" s="506">
        <f>IF(AB$8=0,0,INDEX('R&amp;B Inputs'!$I$78:$V$78,MATCH($B196,'R&amp;B Inputs'!$I$4:$V$4,0))*(1+INDEX('R&amp;B Inputs'!$I$48:$V$48,MATCH($B196,'R&amp;B Inputs'!$I$4:$V$4,0)))^(AB$7-Year1))</f>
        <v>0.39211256243681192</v>
      </c>
      <c r="AC196" s="506">
        <f>IF(AC$8=0,0,INDEX('R&amp;B Inputs'!$I$78:$V$78,MATCH($B196,'R&amp;B Inputs'!$I$4:$V$4,0))*(1+INDEX('R&amp;B Inputs'!$I$48:$V$48,MATCH($B196,'R&amp;B Inputs'!$I$4:$V$4,0)))^(AC$7-Year1))</f>
        <v>0.39211256243681192</v>
      </c>
      <c r="AD196" s="506">
        <f>IF(AD$8=0,0,INDEX('R&amp;B Inputs'!$I$78:$V$78,MATCH($B196,'R&amp;B Inputs'!$I$4:$V$4,0))*(1+INDEX('R&amp;B Inputs'!$I$48:$V$48,MATCH($B196,'R&amp;B Inputs'!$I$4:$V$4,0)))^(AD$7-Year1))</f>
        <v>0.39211256243681192</v>
      </c>
      <c r="AE196" s="506">
        <f>IF(AE$8=0,0,INDEX('R&amp;B Inputs'!$I$78:$V$78,MATCH($B196,'R&amp;B Inputs'!$I$4:$V$4,0))*(1+INDEX('R&amp;B Inputs'!$I$48:$V$48,MATCH($B196,'R&amp;B Inputs'!$I$4:$V$4,0)))^(AE$7-Year1))</f>
        <v>0.39211256243681192</v>
      </c>
      <c r="AF196" s="506">
        <f>IF(AF$8=0,0,INDEX('R&amp;B Inputs'!$I$78:$V$78,MATCH($B196,'R&amp;B Inputs'!$I$4:$V$4,0))*(1+INDEX('R&amp;B Inputs'!$I$48:$V$48,MATCH($B196,'R&amp;B Inputs'!$I$4:$V$4,0)))^(AF$7-Year1))</f>
        <v>0.39211256243681192</v>
      </c>
      <c r="AG196" s="506">
        <f>IF(AG$8=0,0,INDEX('R&amp;B Inputs'!$I$78:$V$78,MATCH($B196,'R&amp;B Inputs'!$I$4:$V$4,0))*(1+INDEX('R&amp;B Inputs'!$I$48:$V$48,MATCH($B196,'R&amp;B Inputs'!$I$4:$V$4,0)))^(AG$7-Year1))</f>
        <v>0.39211256243681192</v>
      </c>
      <c r="AH196" s="506"/>
      <c r="AI196" s="506"/>
      <c r="AJ196" s="506">
        <f>IF($C$4=Year1,-PMT(Lookups!$E$17,25,NPV(Lookups!$E$17,G196:AE196),0,1),IF($C$4=Year2,-PMT(Lookups!$F$17,25,NPV(Lookups!$F$17,H196:AF196),0,1),IF($C$4=Year3,-PMT(Lookups!$G$17,25,NPV(Lookups!$G$17,I196:AG196),0,1),-PMT(Lookups!$G$17,27,NPV(Lookups!$G$17,G196:AG196),0,1))))</f>
        <v>0.38664387391469074</v>
      </c>
      <c r="AK196" s="507"/>
      <c r="AL196" s="507"/>
      <c r="AM196" s="508">
        <f>IF(AM$8=0,0,INDEX('R&amp;B Inputs'!$I$78:$V$78,MATCH($B196,'R&amp;B Inputs'!$I$4:$V$4,0))*(1+INDEX('R&amp;B Inputs'!$I$48:$V$48,MATCH($B196,'R&amp;B Inputs'!$I$4:$V$4,0)))^(AM$7-Year1))</f>
        <v>0.39211256243681192</v>
      </c>
      <c r="AN196" s="508">
        <f>IF(AN$8=0,0,INDEX('R&amp;B Inputs'!$I$78:$V$78,MATCH($B196,'R&amp;B Inputs'!$I$4:$V$4,0))*(1+INDEX('R&amp;B Inputs'!$I$48:$V$48,MATCH($B196,'R&amp;B Inputs'!$I$4:$V$4,0)))^(AN$7-Year1))</f>
        <v>0.39211256243681192</v>
      </c>
      <c r="AO196" s="508">
        <f>IF(AO$8=0,0,INDEX('R&amp;B Inputs'!$I$78:$V$78,MATCH($B196,'R&amp;B Inputs'!$I$4:$V$4,0))*(1+INDEX('R&amp;B Inputs'!$I$48:$V$48,MATCH($B196,'R&amp;B Inputs'!$I$4:$V$4,0)))^(AO$7-Year1))</f>
        <v>0.39211256243681192</v>
      </c>
      <c r="AP196" s="508">
        <f>IF(AP$8=0,0,INDEX('R&amp;B Inputs'!$I$78:$V$78,MATCH($B196,'R&amp;B Inputs'!$I$4:$V$4,0))*(1+INDEX('R&amp;B Inputs'!$I$48:$V$48,MATCH($B196,'R&amp;B Inputs'!$I$4:$V$4,0)))^(AP$7-Year1))</f>
        <v>0.39211256243681192</v>
      </c>
      <c r="AQ196" s="508">
        <f>IF(AQ$8=0,0,INDEX('R&amp;B Inputs'!$I$78:$V$78,MATCH($B196,'R&amp;B Inputs'!$I$4:$V$4,0))*(1+INDEX('R&amp;B Inputs'!$I$48:$V$48,MATCH($B196,'R&amp;B Inputs'!$I$4:$V$4,0)))^(AQ$7-Year1))</f>
        <v>0.39211256243681192</v>
      </c>
      <c r="AR196" s="508">
        <f>IF(AR$8=0,0,INDEX('R&amp;B Inputs'!$I$78:$V$78,MATCH($B196,'R&amp;B Inputs'!$I$4:$V$4,0))*(1+INDEX('R&amp;B Inputs'!$I$48:$V$48,MATCH($B196,'R&amp;B Inputs'!$I$4:$V$4,0)))^(AR$7-Year1))</f>
        <v>0.39211256243681192</v>
      </c>
      <c r="AS196" s="508">
        <f>IF(AS$8=0,0,INDEX('R&amp;B Inputs'!$I$78:$V$78,MATCH($B196,'R&amp;B Inputs'!$I$4:$V$4,0))*(1+INDEX('R&amp;B Inputs'!$I$48:$V$48,MATCH($B196,'R&amp;B Inputs'!$I$4:$V$4,0)))^(AS$7-Year1))</f>
        <v>0.39211256243681192</v>
      </c>
      <c r="AT196" s="508">
        <f>IF(AT$8=0,0,INDEX('R&amp;B Inputs'!$I$78:$V$78,MATCH($B196,'R&amp;B Inputs'!$I$4:$V$4,0))*(1+INDEX('R&amp;B Inputs'!$I$48:$V$48,MATCH($B196,'R&amp;B Inputs'!$I$4:$V$4,0)))^(AT$7-Year1))</f>
        <v>0.39211256243681192</v>
      </c>
      <c r="AU196" s="508">
        <f>IF(AU$8=0,0,INDEX('R&amp;B Inputs'!$I$78:$V$78,MATCH($B196,'R&amp;B Inputs'!$I$4:$V$4,0))*(1+INDEX('R&amp;B Inputs'!$I$48:$V$48,MATCH($B196,'R&amp;B Inputs'!$I$4:$V$4,0)))^(AU$7-Year1))</f>
        <v>0.39211256243681192</v>
      </c>
      <c r="AV196" s="508">
        <f>IF(AV$8=0,0,INDEX('R&amp;B Inputs'!$I$78:$V$78,MATCH($B196,'R&amp;B Inputs'!$I$4:$V$4,0))*(1+INDEX('R&amp;B Inputs'!$I$48:$V$48,MATCH($B196,'R&amp;B Inputs'!$I$4:$V$4,0)))^(AV$7-Year1))</f>
        <v>0.39211256243681192</v>
      </c>
      <c r="AW196" s="508">
        <f>IF(AW$8=0,0,INDEX('R&amp;B Inputs'!$I$78:$V$78,MATCH($B196,'R&amp;B Inputs'!$I$4:$V$4,0))*(1+INDEX('R&amp;B Inputs'!$I$48:$V$48,MATCH($B196,'R&amp;B Inputs'!$I$4:$V$4,0)))^(AW$7-Year1))</f>
        <v>0.39211256243681192</v>
      </c>
      <c r="AX196" s="508">
        <f>IF(AX$8=0,0,INDEX('R&amp;B Inputs'!$I$78:$V$78,MATCH($B196,'R&amp;B Inputs'!$I$4:$V$4,0))*(1+INDEX('R&amp;B Inputs'!$I$48:$V$48,MATCH($B196,'R&amp;B Inputs'!$I$4:$V$4,0)))^(AX$7-Year1))</f>
        <v>0.39211256243681192</v>
      </c>
      <c r="AY196" s="508">
        <f>IF(AY$8=0,0,INDEX('R&amp;B Inputs'!$I$78:$V$78,MATCH($B196,'R&amp;B Inputs'!$I$4:$V$4,0))*(1+INDEX('R&amp;B Inputs'!$I$48:$V$48,MATCH($B196,'R&amp;B Inputs'!$I$4:$V$4,0)))^(AY$7-Year1))</f>
        <v>0.39211256243681192</v>
      </c>
      <c r="AZ196" s="508">
        <f>IF(AZ$8=0,0,INDEX('R&amp;B Inputs'!$I$78:$V$78,MATCH($B196,'R&amp;B Inputs'!$I$4:$V$4,0))*(1+INDEX('R&amp;B Inputs'!$I$48:$V$48,MATCH($B196,'R&amp;B Inputs'!$I$4:$V$4,0)))^(AZ$7-Year1))</f>
        <v>0.39211256243681192</v>
      </c>
      <c r="BA196" s="508">
        <f>IF(BA$8=0,0,INDEX('R&amp;B Inputs'!$I$78:$V$78,MATCH($B196,'R&amp;B Inputs'!$I$4:$V$4,0))*(1+INDEX('R&amp;B Inputs'!$I$48:$V$48,MATCH($B196,'R&amp;B Inputs'!$I$4:$V$4,0)))^(BA$7-Year1))</f>
        <v>0.39211256243681192</v>
      </c>
      <c r="BB196" s="508">
        <f>IF(BB$8=0,0,INDEX('R&amp;B Inputs'!$I$78:$V$78,MATCH($B196,'R&amp;B Inputs'!$I$4:$V$4,0))*(1+INDEX('R&amp;B Inputs'!$I$48:$V$48,MATCH($B196,'R&amp;B Inputs'!$I$4:$V$4,0)))^(BB$7-Year1))</f>
        <v>0.39211256243681192</v>
      </c>
      <c r="BC196" s="508">
        <f>IF(BC$8=0,0,INDEX('R&amp;B Inputs'!$I$78:$V$78,MATCH($B196,'R&amp;B Inputs'!$I$4:$V$4,0))*(1+INDEX('R&amp;B Inputs'!$I$48:$V$48,MATCH($B196,'R&amp;B Inputs'!$I$4:$V$4,0)))^(BC$7-Year1))</f>
        <v>0.39211256243681192</v>
      </c>
      <c r="BD196" s="508">
        <f>IF(BD$8=0,0,INDEX('R&amp;B Inputs'!$I$78:$V$78,MATCH($B196,'R&amp;B Inputs'!$I$4:$V$4,0))*(1+INDEX('R&amp;B Inputs'!$I$48:$V$48,MATCH($B196,'R&amp;B Inputs'!$I$4:$V$4,0)))^(BD$7-Year1))</f>
        <v>0.39211256243681192</v>
      </c>
      <c r="BE196" s="508">
        <f>IF(BE$8=0,0,INDEX('R&amp;B Inputs'!$I$78:$V$78,MATCH($B196,'R&amp;B Inputs'!$I$4:$V$4,0))*(1+INDEX('R&amp;B Inputs'!$I$48:$V$48,MATCH($B196,'R&amp;B Inputs'!$I$4:$V$4,0)))^(BE$7-Year1))</f>
        <v>0.39211256243681192</v>
      </c>
      <c r="BF196" s="508">
        <f>IF(BF$8=0,0,INDEX('R&amp;B Inputs'!$I$78:$V$78,MATCH($B196,'R&amp;B Inputs'!$I$4:$V$4,0))*(1+INDEX('R&amp;B Inputs'!$I$48:$V$48,MATCH($B196,'R&amp;B Inputs'!$I$4:$V$4,0)))^(BF$7-Year1))</f>
        <v>0.39211256243681192</v>
      </c>
      <c r="BG196" s="508">
        <f>IF(BG$8=0,0,INDEX('R&amp;B Inputs'!$I$78:$V$78,MATCH($B196,'R&amp;B Inputs'!$I$4:$V$4,0))*(1+INDEX('R&amp;B Inputs'!$I$48:$V$48,MATCH($B196,'R&amp;B Inputs'!$I$4:$V$4,0)))^(BG$7-Year1))</f>
        <v>0.39211256243681192</v>
      </c>
      <c r="BH196" s="508">
        <f>IF(BH$8=0,0,INDEX('R&amp;B Inputs'!$I$78:$V$78,MATCH($B196,'R&amp;B Inputs'!$I$4:$V$4,0))*(1+INDEX('R&amp;B Inputs'!$I$48:$V$48,MATCH($B196,'R&amp;B Inputs'!$I$4:$V$4,0)))^(BH$7-Year1))</f>
        <v>0.39211256243681192</v>
      </c>
      <c r="BI196" s="508">
        <f>IF(BI$8=0,0,INDEX('R&amp;B Inputs'!$I$78:$V$78,MATCH($B196,'R&amp;B Inputs'!$I$4:$V$4,0))*(1+INDEX('R&amp;B Inputs'!$I$48:$V$48,MATCH($B196,'R&amp;B Inputs'!$I$4:$V$4,0)))^(BI$7-Year1))</f>
        <v>0.39211256243681192</v>
      </c>
      <c r="BJ196" s="508">
        <f>IF(BJ$8=0,0,INDEX('R&amp;B Inputs'!$I$78:$V$78,MATCH($B196,'R&amp;B Inputs'!$I$4:$V$4,0))*(1+INDEX('R&amp;B Inputs'!$I$48:$V$48,MATCH($B196,'R&amp;B Inputs'!$I$4:$V$4,0)))^(BJ$7-Year1))</f>
        <v>0.39211256243681192</v>
      </c>
      <c r="BK196" s="508">
        <f>IF(BK$8=0,0,INDEX('R&amp;B Inputs'!$I$78:$V$78,MATCH($B196,'R&amp;B Inputs'!$I$4:$V$4,0))*(1+INDEX('R&amp;B Inputs'!$I$48:$V$48,MATCH($B196,'R&amp;B Inputs'!$I$4:$V$4,0)))^(BK$7-Year1))</f>
        <v>0.39211256243681192</v>
      </c>
      <c r="BL196" s="508">
        <f>IF(BL$8=0,0,INDEX('R&amp;B Inputs'!$I$78:$V$78,MATCH($B196,'R&amp;B Inputs'!$I$4:$V$4,0))*(1+INDEX('R&amp;B Inputs'!$I$48:$V$48,MATCH($B196,'R&amp;B Inputs'!$I$4:$V$4,0)))^(BL$7-Year1))</f>
        <v>0.39211256243681192</v>
      </c>
      <c r="BM196" s="508">
        <f>IF(BM$8=0,0,INDEX('R&amp;B Inputs'!$I$78:$V$78,MATCH($B196,'R&amp;B Inputs'!$I$4:$V$4,0))*(1+INDEX('R&amp;B Inputs'!$I$48:$V$48,MATCH($B196,'R&amp;B Inputs'!$I$4:$V$4,0)))^(BM$7-Year1))</f>
        <v>0.39211256243681192</v>
      </c>
      <c r="BN196" s="508"/>
      <c r="BO196" s="508"/>
      <c r="BP196" s="508">
        <f>IF($C$4=Year1,-PMT(Lookups!$E$17,25,NPV(Lookups!$E$17,AM196:BK196),0,1),IF($C$4=Year2,-PMT(Lookups!$F$17,25,NPV(Lookups!$F$17,AN196:BL196),0,1),IF($C$4=Year3,-PMT(Lookups!$G$17,25,NPV(Lookups!$G$17,AO196:BM196),0,1),-PMT(Lookups!$G$17,27,NPV(Lookups!$G$17,AM196:BM196),0,1))))</f>
        <v>0.38664387391469074</v>
      </c>
      <c r="BS196" s="76" t="str">
        <f t="shared" ref="BS196:BS198" si="201">E196&amp;" charge from the R&amp;B Inputs tab, escalated annually by the growth rate included on the R&amp;B Inputs tab."</f>
        <v>Distribution charge from the R&amp;B Inputs tab, escalated annually by the growth rate included on the R&amp;B Inputs tab.</v>
      </c>
      <c r="BT196" s="51" t="s">
        <v>17</v>
      </c>
    </row>
    <row r="197" spans="1:72" x14ac:dyDescent="0.25">
      <c r="B197" s="243" t="str">
        <f t="shared" si="200"/>
        <v>Small C&amp;I</v>
      </c>
      <c r="C197" s="243" t="str">
        <f t="shared" si="200"/>
        <v>Rates</v>
      </c>
      <c r="D197" s="244" t="str">
        <f>D196</f>
        <v>Rates before DSM (No EE Scenario)</v>
      </c>
      <c r="E197" s="84" t="s">
        <v>407</v>
      </c>
      <c r="F197" s="84" t="s">
        <v>182</v>
      </c>
      <c r="G197" s="506">
        <f>IF(G$8=0,0,INDEX('R&amp;B Inputs'!$I$82:$V$82,MATCH($B197,'R&amp;B Inputs'!$I$4:$V$4,0))*(1+INDEX('R&amp;B Inputs'!$I$62:$V$62,MATCH($B197,'R&amp;B Inputs'!$I$4:$V$4,0)))^(G$7-Year1))</f>
        <v>5.2000000000000032E-3</v>
      </c>
      <c r="H197" s="506">
        <f>IF(H$8=0,0,INDEX('R&amp;B Inputs'!$I$82:$V$82,MATCH($B197,'R&amp;B Inputs'!$I$4:$V$4,0))*(1+INDEX('R&amp;B Inputs'!$I$62:$V$62,MATCH($B197,'R&amp;B Inputs'!$I$4:$V$4,0)))^(H$7-Year1))</f>
        <v>5.2000000000000032E-3</v>
      </c>
      <c r="I197" s="506">
        <f>IF(I$8=0,0,INDEX('R&amp;B Inputs'!$I$82:$V$82,MATCH($B197,'R&amp;B Inputs'!$I$4:$V$4,0))*(1+INDEX('R&amp;B Inputs'!$I$62:$V$62,MATCH($B197,'R&amp;B Inputs'!$I$4:$V$4,0)))^(I$7-Year1))</f>
        <v>5.2000000000000032E-3</v>
      </c>
      <c r="J197" s="506">
        <f>IF(J$8=0,0,INDEX('R&amp;B Inputs'!$I$82:$V$82,MATCH($B197,'R&amp;B Inputs'!$I$4:$V$4,0))*(1+INDEX('R&amp;B Inputs'!$I$62:$V$62,MATCH($B197,'R&amp;B Inputs'!$I$4:$V$4,0)))^(J$7-Year1))</f>
        <v>5.2000000000000032E-3</v>
      </c>
      <c r="K197" s="506">
        <f>IF(K$8=0,0,INDEX('R&amp;B Inputs'!$I$82:$V$82,MATCH($B197,'R&amp;B Inputs'!$I$4:$V$4,0))*(1+INDEX('R&amp;B Inputs'!$I$62:$V$62,MATCH($B197,'R&amp;B Inputs'!$I$4:$V$4,0)))^(K$7-Year1))</f>
        <v>5.2000000000000032E-3</v>
      </c>
      <c r="L197" s="506">
        <f>IF(L$8=0,0,INDEX('R&amp;B Inputs'!$I$82:$V$82,MATCH($B197,'R&amp;B Inputs'!$I$4:$V$4,0))*(1+INDEX('R&amp;B Inputs'!$I$62:$V$62,MATCH($B197,'R&amp;B Inputs'!$I$4:$V$4,0)))^(L$7-Year1))</f>
        <v>5.2000000000000032E-3</v>
      </c>
      <c r="M197" s="506">
        <f>IF(M$8=0,0,INDEX('R&amp;B Inputs'!$I$82:$V$82,MATCH($B197,'R&amp;B Inputs'!$I$4:$V$4,0))*(1+INDEX('R&amp;B Inputs'!$I$62:$V$62,MATCH($B197,'R&amp;B Inputs'!$I$4:$V$4,0)))^(M$7-Year1))</f>
        <v>5.2000000000000032E-3</v>
      </c>
      <c r="N197" s="506">
        <f>IF(N$8=0,0,INDEX('R&amp;B Inputs'!$I$82:$V$82,MATCH($B197,'R&amp;B Inputs'!$I$4:$V$4,0))*(1+INDEX('R&amp;B Inputs'!$I$62:$V$62,MATCH($B197,'R&amp;B Inputs'!$I$4:$V$4,0)))^(N$7-Year1))</f>
        <v>5.2000000000000032E-3</v>
      </c>
      <c r="O197" s="506">
        <f>IF(O$8=0,0,INDEX('R&amp;B Inputs'!$I$82:$V$82,MATCH($B197,'R&amp;B Inputs'!$I$4:$V$4,0))*(1+INDEX('R&amp;B Inputs'!$I$62:$V$62,MATCH($B197,'R&amp;B Inputs'!$I$4:$V$4,0)))^(O$7-Year1))</f>
        <v>5.2000000000000032E-3</v>
      </c>
      <c r="P197" s="506">
        <f>IF(P$8=0,0,INDEX('R&amp;B Inputs'!$I$82:$V$82,MATCH($B197,'R&amp;B Inputs'!$I$4:$V$4,0))*(1+INDEX('R&amp;B Inputs'!$I$62:$V$62,MATCH($B197,'R&amp;B Inputs'!$I$4:$V$4,0)))^(P$7-Year1))</f>
        <v>5.2000000000000032E-3</v>
      </c>
      <c r="Q197" s="506">
        <f>IF(Q$8=0,0,INDEX('R&amp;B Inputs'!$I$82:$V$82,MATCH($B197,'R&amp;B Inputs'!$I$4:$V$4,0))*(1+INDEX('R&amp;B Inputs'!$I$62:$V$62,MATCH($B197,'R&amp;B Inputs'!$I$4:$V$4,0)))^(Q$7-Year1))</f>
        <v>5.2000000000000032E-3</v>
      </c>
      <c r="R197" s="506">
        <f>IF(R$8=0,0,INDEX('R&amp;B Inputs'!$I$82:$V$82,MATCH($B197,'R&amp;B Inputs'!$I$4:$V$4,0))*(1+INDEX('R&amp;B Inputs'!$I$62:$V$62,MATCH($B197,'R&amp;B Inputs'!$I$4:$V$4,0)))^(R$7-Year1))</f>
        <v>5.2000000000000032E-3</v>
      </c>
      <c r="S197" s="506">
        <f>IF(S$8=0,0,INDEX('R&amp;B Inputs'!$I$82:$V$82,MATCH($B197,'R&amp;B Inputs'!$I$4:$V$4,0))*(1+INDEX('R&amp;B Inputs'!$I$62:$V$62,MATCH($B197,'R&amp;B Inputs'!$I$4:$V$4,0)))^(S$7-Year1))</f>
        <v>5.2000000000000032E-3</v>
      </c>
      <c r="T197" s="506">
        <f>IF(T$8=0,0,INDEX('R&amp;B Inputs'!$I$82:$V$82,MATCH($B197,'R&amp;B Inputs'!$I$4:$V$4,0))*(1+INDEX('R&amp;B Inputs'!$I$62:$V$62,MATCH($B197,'R&amp;B Inputs'!$I$4:$V$4,0)))^(T$7-Year1))</f>
        <v>5.2000000000000032E-3</v>
      </c>
      <c r="U197" s="506">
        <f>IF(U$8=0,0,INDEX('R&amp;B Inputs'!$I$82:$V$82,MATCH($B197,'R&amp;B Inputs'!$I$4:$V$4,0))*(1+INDEX('R&amp;B Inputs'!$I$62:$V$62,MATCH($B197,'R&amp;B Inputs'!$I$4:$V$4,0)))^(U$7-Year1))</f>
        <v>5.2000000000000032E-3</v>
      </c>
      <c r="V197" s="506">
        <f>IF(V$8=0,0,INDEX('R&amp;B Inputs'!$I$82:$V$82,MATCH($B197,'R&amp;B Inputs'!$I$4:$V$4,0))*(1+INDEX('R&amp;B Inputs'!$I$62:$V$62,MATCH($B197,'R&amp;B Inputs'!$I$4:$V$4,0)))^(V$7-Year1))</f>
        <v>5.2000000000000032E-3</v>
      </c>
      <c r="W197" s="506">
        <f>IF(W$8=0,0,INDEX('R&amp;B Inputs'!$I$82:$V$82,MATCH($B197,'R&amp;B Inputs'!$I$4:$V$4,0))*(1+INDEX('R&amp;B Inputs'!$I$62:$V$62,MATCH($B197,'R&amp;B Inputs'!$I$4:$V$4,0)))^(W$7-Year1))</f>
        <v>5.2000000000000032E-3</v>
      </c>
      <c r="X197" s="506">
        <f>IF(X$8=0,0,INDEX('R&amp;B Inputs'!$I$82:$V$82,MATCH($B197,'R&amp;B Inputs'!$I$4:$V$4,0))*(1+INDEX('R&amp;B Inputs'!$I$62:$V$62,MATCH($B197,'R&amp;B Inputs'!$I$4:$V$4,0)))^(X$7-Year1))</f>
        <v>5.2000000000000032E-3</v>
      </c>
      <c r="Y197" s="506">
        <f>IF(Y$8=0,0,INDEX('R&amp;B Inputs'!$I$82:$V$82,MATCH($B197,'R&amp;B Inputs'!$I$4:$V$4,0))*(1+INDEX('R&amp;B Inputs'!$I$62:$V$62,MATCH($B197,'R&amp;B Inputs'!$I$4:$V$4,0)))^(Y$7-Year1))</f>
        <v>5.2000000000000032E-3</v>
      </c>
      <c r="Z197" s="506">
        <f>IF(Z$8=0,0,INDEX('R&amp;B Inputs'!$I$82:$V$82,MATCH($B197,'R&amp;B Inputs'!$I$4:$V$4,0))*(1+INDEX('R&amp;B Inputs'!$I$62:$V$62,MATCH($B197,'R&amp;B Inputs'!$I$4:$V$4,0)))^(Z$7-Year1))</f>
        <v>5.2000000000000032E-3</v>
      </c>
      <c r="AA197" s="506">
        <f>IF(AA$8=0,0,INDEX('R&amp;B Inputs'!$I$82:$V$82,MATCH($B197,'R&amp;B Inputs'!$I$4:$V$4,0))*(1+INDEX('R&amp;B Inputs'!$I$62:$V$62,MATCH($B197,'R&amp;B Inputs'!$I$4:$V$4,0)))^(AA$7-Year1))</f>
        <v>5.2000000000000032E-3</v>
      </c>
      <c r="AB197" s="506">
        <f>IF(AB$8=0,0,INDEX('R&amp;B Inputs'!$I$82:$V$82,MATCH($B197,'R&amp;B Inputs'!$I$4:$V$4,0))*(1+INDEX('R&amp;B Inputs'!$I$62:$V$62,MATCH($B197,'R&amp;B Inputs'!$I$4:$V$4,0)))^(AB$7-Year1))</f>
        <v>5.2000000000000032E-3</v>
      </c>
      <c r="AC197" s="506">
        <f>IF(AC$8=0,0,INDEX('R&amp;B Inputs'!$I$82:$V$82,MATCH($B197,'R&amp;B Inputs'!$I$4:$V$4,0))*(1+INDEX('R&amp;B Inputs'!$I$62:$V$62,MATCH($B197,'R&amp;B Inputs'!$I$4:$V$4,0)))^(AC$7-Year1))</f>
        <v>5.2000000000000032E-3</v>
      </c>
      <c r="AD197" s="506">
        <f>IF(AD$8=0,0,INDEX('R&amp;B Inputs'!$I$82:$V$82,MATCH($B197,'R&amp;B Inputs'!$I$4:$V$4,0))*(1+INDEX('R&amp;B Inputs'!$I$62:$V$62,MATCH($B197,'R&amp;B Inputs'!$I$4:$V$4,0)))^(AD$7-Year1))</f>
        <v>5.2000000000000032E-3</v>
      </c>
      <c r="AE197" s="506">
        <f>IF(AE$8=0,0,INDEX('R&amp;B Inputs'!$I$82:$V$82,MATCH($B197,'R&amp;B Inputs'!$I$4:$V$4,0))*(1+INDEX('R&amp;B Inputs'!$I$62:$V$62,MATCH($B197,'R&amp;B Inputs'!$I$4:$V$4,0)))^(AE$7-Year1))</f>
        <v>5.2000000000000032E-3</v>
      </c>
      <c r="AF197" s="506">
        <f>IF(AF$8=0,0,INDEX('R&amp;B Inputs'!$I$82:$V$82,MATCH($B197,'R&amp;B Inputs'!$I$4:$V$4,0))*(1+INDEX('R&amp;B Inputs'!$I$62:$V$62,MATCH($B197,'R&amp;B Inputs'!$I$4:$V$4,0)))^(AF$7-Year1))</f>
        <v>5.2000000000000032E-3</v>
      </c>
      <c r="AG197" s="506">
        <f>IF(AG$8=0,0,INDEX('R&amp;B Inputs'!$I$82:$V$82,MATCH($B197,'R&amp;B Inputs'!$I$4:$V$4,0))*(1+INDEX('R&amp;B Inputs'!$I$62:$V$62,MATCH($B197,'R&amp;B Inputs'!$I$4:$V$4,0)))^(AG$7-Year1))</f>
        <v>5.2000000000000032E-3</v>
      </c>
      <c r="AH197" s="506"/>
      <c r="AI197" s="506"/>
      <c r="AJ197" s="506">
        <f>IF($C$4=Year1,-PMT(Lookups!$E$17,25,NPV(Lookups!$E$17,G197:AE197),0,1),IF($C$4=Year2,-PMT(Lookups!$F$17,25,NPV(Lookups!$F$17,H197:AF197),0,1),IF($C$4=Year3,-PMT(Lookups!$G$17,25,NPV(Lookups!$G$17,I197:AG197),0,1),-PMT(Lookups!$G$17,27,NPV(Lookups!$G$17,G197:AG197),0,1))))</f>
        <v>5.1274769975786939E-3</v>
      </c>
      <c r="AK197" s="507"/>
      <c r="AL197" s="507"/>
      <c r="AM197" s="508">
        <f>IF(AM$8=0,0,INDEX('R&amp;B Inputs'!$I$82:$V$82,MATCH($B197,'R&amp;B Inputs'!$I$4:$V$4,0))*(1+INDEX('R&amp;B Inputs'!$I$62:$V$62,MATCH($B197,'R&amp;B Inputs'!$I$4:$V$4,0)))^(AM$7-Year1))</f>
        <v>5.2000000000000032E-3</v>
      </c>
      <c r="AN197" s="508">
        <f>IF(AN$8=0,0,INDEX('R&amp;B Inputs'!$I$82:$V$82,MATCH($B197,'R&amp;B Inputs'!$I$4:$V$4,0))*(1+INDEX('R&amp;B Inputs'!$I$62:$V$62,MATCH($B197,'R&amp;B Inputs'!$I$4:$V$4,0)))^(AN$7-Year1))</f>
        <v>5.2000000000000032E-3</v>
      </c>
      <c r="AO197" s="508">
        <f>IF(AO$8=0,0,INDEX('R&amp;B Inputs'!$I$82:$V$82,MATCH($B197,'R&amp;B Inputs'!$I$4:$V$4,0))*(1+INDEX('R&amp;B Inputs'!$I$62:$V$62,MATCH($B197,'R&amp;B Inputs'!$I$4:$V$4,0)))^(AO$7-Year1))</f>
        <v>5.2000000000000032E-3</v>
      </c>
      <c r="AP197" s="508">
        <f>IF(AP$8=0,0,INDEX('R&amp;B Inputs'!$I$82:$V$82,MATCH($B197,'R&amp;B Inputs'!$I$4:$V$4,0))*(1+INDEX('R&amp;B Inputs'!$I$62:$V$62,MATCH($B197,'R&amp;B Inputs'!$I$4:$V$4,0)))^(AP$7-Year1))</f>
        <v>5.2000000000000032E-3</v>
      </c>
      <c r="AQ197" s="508">
        <f>IF(AQ$8=0,0,INDEX('R&amp;B Inputs'!$I$82:$V$82,MATCH($B197,'R&amp;B Inputs'!$I$4:$V$4,0))*(1+INDEX('R&amp;B Inputs'!$I$62:$V$62,MATCH($B197,'R&amp;B Inputs'!$I$4:$V$4,0)))^(AQ$7-Year1))</f>
        <v>5.2000000000000032E-3</v>
      </c>
      <c r="AR197" s="508">
        <f>IF(AR$8=0,0,INDEX('R&amp;B Inputs'!$I$82:$V$82,MATCH($B197,'R&amp;B Inputs'!$I$4:$V$4,0))*(1+INDEX('R&amp;B Inputs'!$I$62:$V$62,MATCH($B197,'R&amp;B Inputs'!$I$4:$V$4,0)))^(AR$7-Year1))</f>
        <v>5.2000000000000032E-3</v>
      </c>
      <c r="AS197" s="508">
        <f>IF(AS$8=0,0,INDEX('R&amp;B Inputs'!$I$82:$V$82,MATCH($B197,'R&amp;B Inputs'!$I$4:$V$4,0))*(1+INDEX('R&amp;B Inputs'!$I$62:$V$62,MATCH($B197,'R&amp;B Inputs'!$I$4:$V$4,0)))^(AS$7-Year1))</f>
        <v>5.2000000000000032E-3</v>
      </c>
      <c r="AT197" s="508">
        <f>IF(AT$8=0,0,INDEX('R&amp;B Inputs'!$I$82:$V$82,MATCH($B197,'R&amp;B Inputs'!$I$4:$V$4,0))*(1+INDEX('R&amp;B Inputs'!$I$62:$V$62,MATCH($B197,'R&amp;B Inputs'!$I$4:$V$4,0)))^(AT$7-Year1))</f>
        <v>5.2000000000000032E-3</v>
      </c>
      <c r="AU197" s="508">
        <f>IF(AU$8=0,0,INDEX('R&amp;B Inputs'!$I$82:$V$82,MATCH($B197,'R&amp;B Inputs'!$I$4:$V$4,0))*(1+INDEX('R&amp;B Inputs'!$I$62:$V$62,MATCH($B197,'R&amp;B Inputs'!$I$4:$V$4,0)))^(AU$7-Year1))</f>
        <v>5.2000000000000032E-3</v>
      </c>
      <c r="AV197" s="508">
        <f>IF(AV$8=0,0,INDEX('R&amp;B Inputs'!$I$82:$V$82,MATCH($B197,'R&amp;B Inputs'!$I$4:$V$4,0))*(1+INDEX('R&amp;B Inputs'!$I$62:$V$62,MATCH($B197,'R&amp;B Inputs'!$I$4:$V$4,0)))^(AV$7-Year1))</f>
        <v>5.2000000000000032E-3</v>
      </c>
      <c r="AW197" s="508">
        <f>IF(AW$8=0,0,INDEX('R&amp;B Inputs'!$I$82:$V$82,MATCH($B197,'R&amp;B Inputs'!$I$4:$V$4,0))*(1+INDEX('R&amp;B Inputs'!$I$62:$V$62,MATCH($B197,'R&amp;B Inputs'!$I$4:$V$4,0)))^(AW$7-Year1))</f>
        <v>5.2000000000000032E-3</v>
      </c>
      <c r="AX197" s="508">
        <f>IF(AX$8=0,0,INDEX('R&amp;B Inputs'!$I$82:$V$82,MATCH($B197,'R&amp;B Inputs'!$I$4:$V$4,0))*(1+INDEX('R&amp;B Inputs'!$I$62:$V$62,MATCH($B197,'R&amp;B Inputs'!$I$4:$V$4,0)))^(AX$7-Year1))</f>
        <v>5.2000000000000032E-3</v>
      </c>
      <c r="AY197" s="508">
        <f>IF(AY$8=0,0,INDEX('R&amp;B Inputs'!$I$82:$V$82,MATCH($B197,'R&amp;B Inputs'!$I$4:$V$4,0))*(1+INDEX('R&amp;B Inputs'!$I$62:$V$62,MATCH($B197,'R&amp;B Inputs'!$I$4:$V$4,0)))^(AY$7-Year1))</f>
        <v>5.2000000000000032E-3</v>
      </c>
      <c r="AZ197" s="508">
        <f>IF(AZ$8=0,0,INDEX('R&amp;B Inputs'!$I$82:$V$82,MATCH($B197,'R&amp;B Inputs'!$I$4:$V$4,0))*(1+INDEX('R&amp;B Inputs'!$I$62:$V$62,MATCH($B197,'R&amp;B Inputs'!$I$4:$V$4,0)))^(AZ$7-Year1))</f>
        <v>5.2000000000000032E-3</v>
      </c>
      <c r="BA197" s="508">
        <f>IF(BA$8=0,0,INDEX('R&amp;B Inputs'!$I$82:$V$82,MATCH($B197,'R&amp;B Inputs'!$I$4:$V$4,0))*(1+INDEX('R&amp;B Inputs'!$I$62:$V$62,MATCH($B197,'R&amp;B Inputs'!$I$4:$V$4,0)))^(BA$7-Year1))</f>
        <v>5.2000000000000032E-3</v>
      </c>
      <c r="BB197" s="508">
        <f>IF(BB$8=0,0,INDEX('R&amp;B Inputs'!$I$82:$V$82,MATCH($B197,'R&amp;B Inputs'!$I$4:$V$4,0))*(1+INDEX('R&amp;B Inputs'!$I$62:$V$62,MATCH($B197,'R&amp;B Inputs'!$I$4:$V$4,0)))^(BB$7-Year1))</f>
        <v>5.2000000000000032E-3</v>
      </c>
      <c r="BC197" s="508">
        <f>IF(BC$8=0,0,INDEX('R&amp;B Inputs'!$I$82:$V$82,MATCH($B197,'R&amp;B Inputs'!$I$4:$V$4,0))*(1+INDEX('R&amp;B Inputs'!$I$62:$V$62,MATCH($B197,'R&amp;B Inputs'!$I$4:$V$4,0)))^(BC$7-Year1))</f>
        <v>5.2000000000000032E-3</v>
      </c>
      <c r="BD197" s="508">
        <f>IF(BD$8=0,0,INDEX('R&amp;B Inputs'!$I$82:$V$82,MATCH($B197,'R&amp;B Inputs'!$I$4:$V$4,0))*(1+INDEX('R&amp;B Inputs'!$I$62:$V$62,MATCH($B197,'R&amp;B Inputs'!$I$4:$V$4,0)))^(BD$7-Year1))</f>
        <v>5.2000000000000032E-3</v>
      </c>
      <c r="BE197" s="508">
        <f>IF(BE$8=0,0,INDEX('R&amp;B Inputs'!$I$82:$V$82,MATCH($B197,'R&amp;B Inputs'!$I$4:$V$4,0))*(1+INDEX('R&amp;B Inputs'!$I$62:$V$62,MATCH($B197,'R&amp;B Inputs'!$I$4:$V$4,0)))^(BE$7-Year1))</f>
        <v>5.2000000000000032E-3</v>
      </c>
      <c r="BF197" s="508">
        <f>IF(BF$8=0,0,INDEX('R&amp;B Inputs'!$I$82:$V$82,MATCH($B197,'R&amp;B Inputs'!$I$4:$V$4,0))*(1+INDEX('R&amp;B Inputs'!$I$62:$V$62,MATCH($B197,'R&amp;B Inputs'!$I$4:$V$4,0)))^(BF$7-Year1))</f>
        <v>5.2000000000000032E-3</v>
      </c>
      <c r="BG197" s="508">
        <f>IF(BG$8=0,0,INDEX('R&amp;B Inputs'!$I$82:$V$82,MATCH($B197,'R&amp;B Inputs'!$I$4:$V$4,0))*(1+INDEX('R&amp;B Inputs'!$I$62:$V$62,MATCH($B197,'R&amp;B Inputs'!$I$4:$V$4,0)))^(BG$7-Year1))</f>
        <v>5.2000000000000032E-3</v>
      </c>
      <c r="BH197" s="508">
        <f>IF(BH$8=0,0,INDEX('R&amp;B Inputs'!$I$82:$V$82,MATCH($B197,'R&amp;B Inputs'!$I$4:$V$4,0))*(1+INDEX('R&amp;B Inputs'!$I$62:$V$62,MATCH($B197,'R&amp;B Inputs'!$I$4:$V$4,0)))^(BH$7-Year1))</f>
        <v>5.2000000000000032E-3</v>
      </c>
      <c r="BI197" s="508">
        <f>IF(BI$8=0,0,INDEX('R&amp;B Inputs'!$I$82:$V$82,MATCH($B197,'R&amp;B Inputs'!$I$4:$V$4,0))*(1+INDEX('R&amp;B Inputs'!$I$62:$V$62,MATCH($B197,'R&amp;B Inputs'!$I$4:$V$4,0)))^(BI$7-Year1))</f>
        <v>5.2000000000000032E-3</v>
      </c>
      <c r="BJ197" s="508">
        <f>IF(BJ$8=0,0,INDEX('R&amp;B Inputs'!$I$82:$V$82,MATCH($B197,'R&amp;B Inputs'!$I$4:$V$4,0))*(1+INDEX('R&amp;B Inputs'!$I$62:$V$62,MATCH($B197,'R&amp;B Inputs'!$I$4:$V$4,0)))^(BJ$7-Year1))</f>
        <v>5.2000000000000032E-3</v>
      </c>
      <c r="BK197" s="508">
        <f>IF(BK$8=0,0,INDEX('R&amp;B Inputs'!$I$82:$V$82,MATCH($B197,'R&amp;B Inputs'!$I$4:$V$4,0))*(1+INDEX('R&amp;B Inputs'!$I$62:$V$62,MATCH($B197,'R&amp;B Inputs'!$I$4:$V$4,0)))^(BK$7-Year1))</f>
        <v>5.2000000000000032E-3</v>
      </c>
      <c r="BL197" s="508">
        <f>IF(BL$8=0,0,INDEX('R&amp;B Inputs'!$I$82:$V$82,MATCH($B197,'R&amp;B Inputs'!$I$4:$V$4,0))*(1+INDEX('R&amp;B Inputs'!$I$62:$V$62,MATCH($B197,'R&amp;B Inputs'!$I$4:$V$4,0)))^(BL$7-Year1))</f>
        <v>5.2000000000000032E-3</v>
      </c>
      <c r="BM197" s="508">
        <f>IF(BM$8=0,0,INDEX('R&amp;B Inputs'!$I$82:$V$82,MATCH($B197,'R&amp;B Inputs'!$I$4:$V$4,0))*(1+INDEX('R&amp;B Inputs'!$I$62:$V$62,MATCH($B197,'R&amp;B Inputs'!$I$4:$V$4,0)))^(BM$7-Year1))</f>
        <v>5.2000000000000032E-3</v>
      </c>
      <c r="BN197" s="508"/>
      <c r="BO197" s="508"/>
      <c r="BP197" s="508">
        <f>IF($C$4=Year1,-PMT(Lookups!$E$17,25,NPV(Lookups!$E$17,AM197:BK197),0,1),IF($C$4=Year2,-PMT(Lookups!$F$17,25,NPV(Lookups!$F$17,AN197:BL197),0,1),IF($C$4=Year3,-PMT(Lookups!$G$17,25,NPV(Lookups!$G$17,AO197:BM197),0,1),-PMT(Lookups!$G$17,27,NPV(Lookups!$G$17,AM197:BM197),0,1))))</f>
        <v>5.1274769975786939E-3</v>
      </c>
      <c r="BS197" s="76" t="str">
        <f t="shared" si="201"/>
        <v>LDAC, Non-EE charge from the R&amp;B Inputs tab, escalated annually by the growth rate included on the R&amp;B Inputs tab.</v>
      </c>
      <c r="BT197" s="51" t="s">
        <v>17</v>
      </c>
    </row>
    <row r="198" spans="1:72" x14ac:dyDescent="0.25">
      <c r="B198" s="243" t="str">
        <f>B196</f>
        <v>Small C&amp;I</v>
      </c>
      <c r="C198" s="243" t="str">
        <f>C196</f>
        <v>Rates</v>
      </c>
      <c r="D198" s="244" t="str">
        <f>D196</f>
        <v>Rates before DSM (No EE Scenario)</v>
      </c>
      <c r="E198" s="84" t="s">
        <v>197</v>
      </c>
      <c r="F198" s="84" t="s">
        <v>182</v>
      </c>
      <c r="G198" s="506">
        <f>IF(G$8=0,0,INDEX('R&amp;B Inputs'!$I$86:$V$86,MATCH($B198,'R&amp;B Inputs'!$I$4:$V$4,0))*(1+INDEX('R&amp;B Inputs'!$I$66:$V$66,MATCH($B198,'R&amp;B Inputs'!$I$4:$V$4,0)))^(G$7-Year1))</f>
        <v>0.61899999999999999</v>
      </c>
      <c r="H198" s="506">
        <f>IF(H$8=0,0,INDEX('R&amp;B Inputs'!$I$86:$V$86,MATCH($B198,'R&amp;B Inputs'!$I$4:$V$4,0))*(1+INDEX('R&amp;B Inputs'!$I$66:$V$66,MATCH($B198,'R&amp;B Inputs'!$I$4:$V$4,0)))^(H$7-Year1))</f>
        <v>0.61899999999999999</v>
      </c>
      <c r="I198" s="506">
        <f>IF(I$8=0,0,INDEX('R&amp;B Inputs'!$I$86:$V$86,MATCH($B198,'R&amp;B Inputs'!$I$4:$V$4,0))*(1+INDEX('R&amp;B Inputs'!$I$66:$V$66,MATCH($B198,'R&amp;B Inputs'!$I$4:$V$4,0)))^(I$7-Year1))</f>
        <v>0.61899999999999999</v>
      </c>
      <c r="J198" s="506">
        <f>IF(J$8=0,0,INDEX('R&amp;B Inputs'!$I$86:$V$86,MATCH($B198,'R&amp;B Inputs'!$I$4:$V$4,0))*(1+INDEX('R&amp;B Inputs'!$I$66:$V$66,MATCH($B198,'R&amp;B Inputs'!$I$4:$V$4,0)))^(J$7-Year1))</f>
        <v>0.61899999999999999</v>
      </c>
      <c r="K198" s="506">
        <f>IF(K$8=0,0,INDEX('R&amp;B Inputs'!$I$86:$V$86,MATCH($B198,'R&amp;B Inputs'!$I$4:$V$4,0))*(1+INDEX('R&amp;B Inputs'!$I$66:$V$66,MATCH($B198,'R&amp;B Inputs'!$I$4:$V$4,0)))^(K$7-Year1))</f>
        <v>0.61899999999999999</v>
      </c>
      <c r="L198" s="506">
        <f>IF(L$8=0,0,INDEX('R&amp;B Inputs'!$I$86:$V$86,MATCH($B198,'R&amp;B Inputs'!$I$4:$V$4,0))*(1+INDEX('R&amp;B Inputs'!$I$66:$V$66,MATCH($B198,'R&amp;B Inputs'!$I$4:$V$4,0)))^(L$7-Year1))</f>
        <v>0.61899999999999999</v>
      </c>
      <c r="M198" s="506">
        <f>IF(M$8=0,0,INDEX('R&amp;B Inputs'!$I$86:$V$86,MATCH($B198,'R&amp;B Inputs'!$I$4:$V$4,0))*(1+INDEX('R&amp;B Inputs'!$I$66:$V$66,MATCH($B198,'R&amp;B Inputs'!$I$4:$V$4,0)))^(M$7-Year1))</f>
        <v>0.61899999999999999</v>
      </c>
      <c r="N198" s="506">
        <f>IF(N$8=0,0,INDEX('R&amp;B Inputs'!$I$86:$V$86,MATCH($B198,'R&amp;B Inputs'!$I$4:$V$4,0))*(1+INDEX('R&amp;B Inputs'!$I$66:$V$66,MATCH($B198,'R&amp;B Inputs'!$I$4:$V$4,0)))^(N$7-Year1))</f>
        <v>0.61899999999999999</v>
      </c>
      <c r="O198" s="506">
        <f>IF(O$8=0,0,INDEX('R&amp;B Inputs'!$I$86:$V$86,MATCH($B198,'R&amp;B Inputs'!$I$4:$V$4,0))*(1+INDEX('R&amp;B Inputs'!$I$66:$V$66,MATCH($B198,'R&amp;B Inputs'!$I$4:$V$4,0)))^(O$7-Year1))</f>
        <v>0.61899999999999999</v>
      </c>
      <c r="P198" s="506">
        <f>IF(P$8=0,0,INDEX('R&amp;B Inputs'!$I$86:$V$86,MATCH($B198,'R&amp;B Inputs'!$I$4:$V$4,0))*(1+INDEX('R&amp;B Inputs'!$I$66:$V$66,MATCH($B198,'R&amp;B Inputs'!$I$4:$V$4,0)))^(P$7-Year1))</f>
        <v>0.61899999999999999</v>
      </c>
      <c r="Q198" s="506">
        <f>IF(Q$8=0,0,INDEX('R&amp;B Inputs'!$I$86:$V$86,MATCH($B198,'R&amp;B Inputs'!$I$4:$V$4,0))*(1+INDEX('R&amp;B Inputs'!$I$66:$V$66,MATCH($B198,'R&amp;B Inputs'!$I$4:$V$4,0)))^(Q$7-Year1))</f>
        <v>0.61899999999999999</v>
      </c>
      <c r="R198" s="506">
        <f>IF(R$8=0,0,INDEX('R&amp;B Inputs'!$I$86:$V$86,MATCH($B198,'R&amp;B Inputs'!$I$4:$V$4,0))*(1+INDEX('R&amp;B Inputs'!$I$66:$V$66,MATCH($B198,'R&amp;B Inputs'!$I$4:$V$4,0)))^(R$7-Year1))</f>
        <v>0.61899999999999999</v>
      </c>
      <c r="S198" s="506">
        <f>IF(S$8=0,0,INDEX('R&amp;B Inputs'!$I$86:$V$86,MATCH($B198,'R&amp;B Inputs'!$I$4:$V$4,0))*(1+INDEX('R&amp;B Inputs'!$I$66:$V$66,MATCH($B198,'R&amp;B Inputs'!$I$4:$V$4,0)))^(S$7-Year1))</f>
        <v>0.61899999999999999</v>
      </c>
      <c r="T198" s="506">
        <f>IF(T$8=0,0,INDEX('R&amp;B Inputs'!$I$86:$V$86,MATCH($B198,'R&amp;B Inputs'!$I$4:$V$4,0))*(1+INDEX('R&amp;B Inputs'!$I$66:$V$66,MATCH($B198,'R&amp;B Inputs'!$I$4:$V$4,0)))^(T$7-Year1))</f>
        <v>0.61899999999999999</v>
      </c>
      <c r="U198" s="506">
        <f>IF(U$8=0,0,INDEX('R&amp;B Inputs'!$I$86:$V$86,MATCH($B198,'R&amp;B Inputs'!$I$4:$V$4,0))*(1+INDEX('R&amp;B Inputs'!$I$66:$V$66,MATCH($B198,'R&amp;B Inputs'!$I$4:$V$4,0)))^(U$7-Year1))</f>
        <v>0.61899999999999999</v>
      </c>
      <c r="V198" s="506">
        <f>IF(V$8=0,0,INDEX('R&amp;B Inputs'!$I$86:$V$86,MATCH($B198,'R&amp;B Inputs'!$I$4:$V$4,0))*(1+INDEX('R&amp;B Inputs'!$I$66:$V$66,MATCH($B198,'R&amp;B Inputs'!$I$4:$V$4,0)))^(V$7-Year1))</f>
        <v>0.61899999999999999</v>
      </c>
      <c r="W198" s="506">
        <f>IF(W$8=0,0,INDEX('R&amp;B Inputs'!$I$86:$V$86,MATCH($B198,'R&amp;B Inputs'!$I$4:$V$4,0))*(1+INDEX('R&amp;B Inputs'!$I$66:$V$66,MATCH($B198,'R&amp;B Inputs'!$I$4:$V$4,0)))^(W$7-Year1))</f>
        <v>0.61899999999999999</v>
      </c>
      <c r="X198" s="506">
        <f>IF(X$8=0,0,INDEX('R&amp;B Inputs'!$I$86:$V$86,MATCH($B198,'R&amp;B Inputs'!$I$4:$V$4,0))*(1+INDEX('R&amp;B Inputs'!$I$66:$V$66,MATCH($B198,'R&amp;B Inputs'!$I$4:$V$4,0)))^(X$7-Year1))</f>
        <v>0.61899999999999999</v>
      </c>
      <c r="Y198" s="506">
        <f>IF(Y$8=0,0,INDEX('R&amp;B Inputs'!$I$86:$V$86,MATCH($B198,'R&amp;B Inputs'!$I$4:$V$4,0))*(1+INDEX('R&amp;B Inputs'!$I$66:$V$66,MATCH($B198,'R&amp;B Inputs'!$I$4:$V$4,0)))^(Y$7-Year1))</f>
        <v>0.61899999999999999</v>
      </c>
      <c r="Z198" s="506">
        <f>IF(Z$8=0,0,INDEX('R&amp;B Inputs'!$I$86:$V$86,MATCH($B198,'R&amp;B Inputs'!$I$4:$V$4,0))*(1+INDEX('R&amp;B Inputs'!$I$66:$V$66,MATCH($B198,'R&amp;B Inputs'!$I$4:$V$4,0)))^(Z$7-Year1))</f>
        <v>0.61899999999999999</v>
      </c>
      <c r="AA198" s="506">
        <f>IF(AA$8=0,0,INDEX('R&amp;B Inputs'!$I$86:$V$86,MATCH($B198,'R&amp;B Inputs'!$I$4:$V$4,0))*(1+INDEX('R&amp;B Inputs'!$I$66:$V$66,MATCH($B198,'R&amp;B Inputs'!$I$4:$V$4,0)))^(AA$7-Year1))</f>
        <v>0.61899999999999999</v>
      </c>
      <c r="AB198" s="506">
        <f>IF(AB$8=0,0,INDEX('R&amp;B Inputs'!$I$86:$V$86,MATCH($B198,'R&amp;B Inputs'!$I$4:$V$4,0))*(1+INDEX('R&amp;B Inputs'!$I$66:$V$66,MATCH($B198,'R&amp;B Inputs'!$I$4:$V$4,0)))^(AB$7-Year1))</f>
        <v>0.61899999999999999</v>
      </c>
      <c r="AC198" s="506">
        <f>IF(AC$8=0,0,INDEX('R&amp;B Inputs'!$I$86:$V$86,MATCH($B198,'R&amp;B Inputs'!$I$4:$V$4,0))*(1+INDEX('R&amp;B Inputs'!$I$66:$V$66,MATCH($B198,'R&amp;B Inputs'!$I$4:$V$4,0)))^(AC$7-Year1))</f>
        <v>0.61899999999999999</v>
      </c>
      <c r="AD198" s="506">
        <f>IF(AD$8=0,0,INDEX('R&amp;B Inputs'!$I$86:$V$86,MATCH($B198,'R&amp;B Inputs'!$I$4:$V$4,0))*(1+INDEX('R&amp;B Inputs'!$I$66:$V$66,MATCH($B198,'R&amp;B Inputs'!$I$4:$V$4,0)))^(AD$7-Year1))</f>
        <v>0.61899999999999999</v>
      </c>
      <c r="AE198" s="506">
        <f>IF(AE$8=0,0,INDEX('R&amp;B Inputs'!$I$86:$V$86,MATCH($B198,'R&amp;B Inputs'!$I$4:$V$4,0))*(1+INDEX('R&amp;B Inputs'!$I$66:$V$66,MATCH($B198,'R&amp;B Inputs'!$I$4:$V$4,0)))^(AE$7-Year1))</f>
        <v>0.61899999999999999</v>
      </c>
      <c r="AF198" s="506">
        <f>IF(AF$8=0,0,INDEX('R&amp;B Inputs'!$I$86:$V$86,MATCH($B198,'R&amp;B Inputs'!$I$4:$V$4,0))*(1+INDEX('R&amp;B Inputs'!$I$66:$V$66,MATCH($B198,'R&amp;B Inputs'!$I$4:$V$4,0)))^(AF$7-Year1))</f>
        <v>0.61899999999999999</v>
      </c>
      <c r="AG198" s="506">
        <f>IF(AG$8=0,0,INDEX('R&amp;B Inputs'!$I$86:$V$86,MATCH($B198,'R&amp;B Inputs'!$I$4:$V$4,0))*(1+INDEX('R&amp;B Inputs'!$I$66:$V$66,MATCH($B198,'R&amp;B Inputs'!$I$4:$V$4,0)))^(AG$7-Year1))</f>
        <v>0.61899999999999999</v>
      </c>
      <c r="AH198" s="506"/>
      <c r="AI198" s="506"/>
      <c r="AJ198" s="506">
        <f>IF($C$4=Year1,-PMT(Lookups!$E$17,25,NPV(Lookups!$E$17,G198:AE198),0,1),IF($C$4=Year2,-PMT(Lookups!$F$17,25,NPV(Lookups!$F$17,H198:AF198),0,1),IF($C$4=Year3,-PMT(Lookups!$G$17,25,NPV(Lookups!$G$17,I198:AG198),0,1),-PMT(Lookups!$G$17,27,NPV(Lookups!$G$17,G198:AG198),0,1))))</f>
        <v>0.61036697336561752</v>
      </c>
      <c r="AK198" s="507"/>
      <c r="AL198" s="507"/>
      <c r="AM198" s="508">
        <f>IF(AM$8=0,0,INDEX('R&amp;B Inputs'!$I$86:$V$86,MATCH($B198,'R&amp;B Inputs'!$I$4:$V$4,0))*(1+INDEX('R&amp;B Inputs'!$I$66:$V$66,MATCH($B198,'R&amp;B Inputs'!$I$4:$V$4,0)))^(AM$7-Year1))</f>
        <v>0.61899999999999999</v>
      </c>
      <c r="AN198" s="508">
        <f>IF(AN$8=0,0,INDEX('R&amp;B Inputs'!$I$86:$V$86,MATCH($B198,'R&amp;B Inputs'!$I$4:$V$4,0))*(1+INDEX('R&amp;B Inputs'!$I$66:$V$66,MATCH($B198,'R&amp;B Inputs'!$I$4:$V$4,0)))^(AN$7-Year1))</f>
        <v>0.61899999999999999</v>
      </c>
      <c r="AO198" s="508">
        <f>IF(AO$8=0,0,INDEX('R&amp;B Inputs'!$I$86:$V$86,MATCH($B198,'R&amp;B Inputs'!$I$4:$V$4,0))*(1+INDEX('R&amp;B Inputs'!$I$66:$V$66,MATCH($B198,'R&amp;B Inputs'!$I$4:$V$4,0)))^(AO$7-Year1))</f>
        <v>0.61899999999999999</v>
      </c>
      <c r="AP198" s="508">
        <f>IF(AP$8=0,0,INDEX('R&amp;B Inputs'!$I$86:$V$86,MATCH($B198,'R&amp;B Inputs'!$I$4:$V$4,0))*(1+INDEX('R&amp;B Inputs'!$I$66:$V$66,MATCH($B198,'R&amp;B Inputs'!$I$4:$V$4,0)))^(AP$7-Year1))</f>
        <v>0.61899999999999999</v>
      </c>
      <c r="AQ198" s="508">
        <f>IF(AQ$8=0,0,INDEX('R&amp;B Inputs'!$I$86:$V$86,MATCH($B198,'R&amp;B Inputs'!$I$4:$V$4,0))*(1+INDEX('R&amp;B Inputs'!$I$66:$V$66,MATCH($B198,'R&amp;B Inputs'!$I$4:$V$4,0)))^(AQ$7-Year1))</f>
        <v>0.61899999999999999</v>
      </c>
      <c r="AR198" s="508">
        <f>IF(AR$8=0,0,INDEX('R&amp;B Inputs'!$I$86:$V$86,MATCH($B198,'R&amp;B Inputs'!$I$4:$V$4,0))*(1+INDEX('R&amp;B Inputs'!$I$66:$V$66,MATCH($B198,'R&amp;B Inputs'!$I$4:$V$4,0)))^(AR$7-Year1))</f>
        <v>0.61899999999999999</v>
      </c>
      <c r="AS198" s="508">
        <f>IF(AS$8=0,0,INDEX('R&amp;B Inputs'!$I$86:$V$86,MATCH($B198,'R&amp;B Inputs'!$I$4:$V$4,0))*(1+INDEX('R&amp;B Inputs'!$I$66:$V$66,MATCH($B198,'R&amp;B Inputs'!$I$4:$V$4,0)))^(AS$7-Year1))</f>
        <v>0.61899999999999999</v>
      </c>
      <c r="AT198" s="508">
        <f>IF(AT$8=0,0,INDEX('R&amp;B Inputs'!$I$86:$V$86,MATCH($B198,'R&amp;B Inputs'!$I$4:$V$4,0))*(1+INDEX('R&amp;B Inputs'!$I$66:$V$66,MATCH($B198,'R&amp;B Inputs'!$I$4:$V$4,0)))^(AT$7-Year1))</f>
        <v>0.61899999999999999</v>
      </c>
      <c r="AU198" s="508">
        <f>IF(AU$8=0,0,INDEX('R&amp;B Inputs'!$I$86:$V$86,MATCH($B198,'R&amp;B Inputs'!$I$4:$V$4,0))*(1+INDEX('R&amp;B Inputs'!$I$66:$V$66,MATCH($B198,'R&amp;B Inputs'!$I$4:$V$4,0)))^(AU$7-Year1))</f>
        <v>0.61899999999999999</v>
      </c>
      <c r="AV198" s="508">
        <f>IF(AV$8=0,0,INDEX('R&amp;B Inputs'!$I$86:$V$86,MATCH($B198,'R&amp;B Inputs'!$I$4:$V$4,0))*(1+INDEX('R&amp;B Inputs'!$I$66:$V$66,MATCH($B198,'R&amp;B Inputs'!$I$4:$V$4,0)))^(AV$7-Year1))</f>
        <v>0.61899999999999999</v>
      </c>
      <c r="AW198" s="508">
        <f>IF(AW$8=0,0,INDEX('R&amp;B Inputs'!$I$86:$V$86,MATCH($B198,'R&amp;B Inputs'!$I$4:$V$4,0))*(1+INDEX('R&amp;B Inputs'!$I$66:$V$66,MATCH($B198,'R&amp;B Inputs'!$I$4:$V$4,0)))^(AW$7-Year1))</f>
        <v>0.61899999999999999</v>
      </c>
      <c r="AX198" s="508">
        <f>IF(AX$8=0,0,INDEX('R&amp;B Inputs'!$I$86:$V$86,MATCH($B198,'R&amp;B Inputs'!$I$4:$V$4,0))*(1+INDEX('R&amp;B Inputs'!$I$66:$V$66,MATCH($B198,'R&amp;B Inputs'!$I$4:$V$4,0)))^(AX$7-Year1))</f>
        <v>0.61899999999999999</v>
      </c>
      <c r="AY198" s="508">
        <f>IF(AY$8=0,0,INDEX('R&amp;B Inputs'!$I$86:$V$86,MATCH($B198,'R&amp;B Inputs'!$I$4:$V$4,0))*(1+INDEX('R&amp;B Inputs'!$I$66:$V$66,MATCH($B198,'R&amp;B Inputs'!$I$4:$V$4,0)))^(AY$7-Year1))</f>
        <v>0.61899999999999999</v>
      </c>
      <c r="AZ198" s="508">
        <f>IF(AZ$8=0,0,INDEX('R&amp;B Inputs'!$I$86:$V$86,MATCH($B198,'R&amp;B Inputs'!$I$4:$V$4,0))*(1+INDEX('R&amp;B Inputs'!$I$66:$V$66,MATCH($B198,'R&amp;B Inputs'!$I$4:$V$4,0)))^(AZ$7-Year1))</f>
        <v>0.61899999999999999</v>
      </c>
      <c r="BA198" s="508">
        <f>IF(BA$8=0,0,INDEX('R&amp;B Inputs'!$I$86:$V$86,MATCH($B198,'R&amp;B Inputs'!$I$4:$V$4,0))*(1+INDEX('R&amp;B Inputs'!$I$66:$V$66,MATCH($B198,'R&amp;B Inputs'!$I$4:$V$4,0)))^(BA$7-Year1))</f>
        <v>0.61899999999999999</v>
      </c>
      <c r="BB198" s="508">
        <f>IF(BB$8=0,0,INDEX('R&amp;B Inputs'!$I$86:$V$86,MATCH($B198,'R&amp;B Inputs'!$I$4:$V$4,0))*(1+INDEX('R&amp;B Inputs'!$I$66:$V$66,MATCH($B198,'R&amp;B Inputs'!$I$4:$V$4,0)))^(BB$7-Year1))</f>
        <v>0.61899999999999999</v>
      </c>
      <c r="BC198" s="508">
        <f>IF(BC$8=0,0,INDEX('R&amp;B Inputs'!$I$86:$V$86,MATCH($B198,'R&amp;B Inputs'!$I$4:$V$4,0))*(1+INDEX('R&amp;B Inputs'!$I$66:$V$66,MATCH($B198,'R&amp;B Inputs'!$I$4:$V$4,0)))^(BC$7-Year1))</f>
        <v>0.61899999999999999</v>
      </c>
      <c r="BD198" s="508">
        <f>IF(BD$8=0,0,INDEX('R&amp;B Inputs'!$I$86:$V$86,MATCH($B198,'R&amp;B Inputs'!$I$4:$V$4,0))*(1+INDEX('R&amp;B Inputs'!$I$66:$V$66,MATCH($B198,'R&amp;B Inputs'!$I$4:$V$4,0)))^(BD$7-Year1))</f>
        <v>0.61899999999999999</v>
      </c>
      <c r="BE198" s="508">
        <f>IF(BE$8=0,0,INDEX('R&amp;B Inputs'!$I$86:$V$86,MATCH($B198,'R&amp;B Inputs'!$I$4:$V$4,0))*(1+INDEX('R&amp;B Inputs'!$I$66:$V$66,MATCH($B198,'R&amp;B Inputs'!$I$4:$V$4,0)))^(BE$7-Year1))</f>
        <v>0.61899999999999999</v>
      </c>
      <c r="BF198" s="508">
        <f>IF(BF$8=0,0,INDEX('R&amp;B Inputs'!$I$86:$V$86,MATCH($B198,'R&amp;B Inputs'!$I$4:$V$4,0))*(1+INDEX('R&amp;B Inputs'!$I$66:$V$66,MATCH($B198,'R&amp;B Inputs'!$I$4:$V$4,0)))^(BF$7-Year1))</f>
        <v>0.61899999999999999</v>
      </c>
      <c r="BG198" s="508">
        <f>IF(BG$8=0,0,INDEX('R&amp;B Inputs'!$I$86:$V$86,MATCH($B198,'R&amp;B Inputs'!$I$4:$V$4,0))*(1+INDEX('R&amp;B Inputs'!$I$66:$V$66,MATCH($B198,'R&amp;B Inputs'!$I$4:$V$4,0)))^(BG$7-Year1))</f>
        <v>0.61899999999999999</v>
      </c>
      <c r="BH198" s="508">
        <f>IF(BH$8=0,0,INDEX('R&amp;B Inputs'!$I$86:$V$86,MATCH($B198,'R&amp;B Inputs'!$I$4:$V$4,0))*(1+INDEX('R&amp;B Inputs'!$I$66:$V$66,MATCH($B198,'R&amp;B Inputs'!$I$4:$V$4,0)))^(BH$7-Year1))</f>
        <v>0.61899999999999999</v>
      </c>
      <c r="BI198" s="508">
        <f>IF(BI$8=0,0,INDEX('R&amp;B Inputs'!$I$86:$V$86,MATCH($B198,'R&amp;B Inputs'!$I$4:$V$4,0))*(1+INDEX('R&amp;B Inputs'!$I$66:$V$66,MATCH($B198,'R&amp;B Inputs'!$I$4:$V$4,0)))^(BI$7-Year1))</f>
        <v>0.61899999999999999</v>
      </c>
      <c r="BJ198" s="508">
        <f>IF(BJ$8=0,0,INDEX('R&amp;B Inputs'!$I$86:$V$86,MATCH($B198,'R&amp;B Inputs'!$I$4:$V$4,0))*(1+INDEX('R&amp;B Inputs'!$I$66:$V$66,MATCH($B198,'R&amp;B Inputs'!$I$4:$V$4,0)))^(BJ$7-Year1))</f>
        <v>0.61899999999999999</v>
      </c>
      <c r="BK198" s="508">
        <f>IF(BK$8=0,0,INDEX('R&amp;B Inputs'!$I$86:$V$86,MATCH($B198,'R&amp;B Inputs'!$I$4:$V$4,0))*(1+INDEX('R&amp;B Inputs'!$I$66:$V$66,MATCH($B198,'R&amp;B Inputs'!$I$4:$V$4,0)))^(BK$7-Year1))</f>
        <v>0.61899999999999999</v>
      </c>
      <c r="BL198" s="508">
        <f>IF(BL$8=0,0,INDEX('R&amp;B Inputs'!$I$86:$V$86,MATCH($B198,'R&amp;B Inputs'!$I$4:$V$4,0))*(1+INDEX('R&amp;B Inputs'!$I$66:$V$66,MATCH($B198,'R&amp;B Inputs'!$I$4:$V$4,0)))^(BL$7-Year1))</f>
        <v>0.61899999999999999</v>
      </c>
      <c r="BM198" s="508">
        <f>IF(BM$8=0,0,INDEX('R&amp;B Inputs'!$I$86:$V$86,MATCH($B198,'R&amp;B Inputs'!$I$4:$V$4,0))*(1+INDEX('R&amp;B Inputs'!$I$66:$V$66,MATCH($B198,'R&amp;B Inputs'!$I$4:$V$4,0)))^(BM$7-Year1))</f>
        <v>0.61899999999999999</v>
      </c>
      <c r="BN198" s="508"/>
      <c r="BO198" s="508"/>
      <c r="BP198" s="508">
        <f>IF($C$4=Year1,-PMT(Lookups!$E$17,25,NPV(Lookups!$E$17,AM198:BK198),0,1),IF($C$4=Year2,-PMT(Lookups!$F$17,25,NPV(Lookups!$F$17,AN198:BL198),0,1),IF($C$4=Year3,-PMT(Lookups!$G$17,25,NPV(Lookups!$G$17,AO198:BM198),0,1),-PMT(Lookups!$G$17,27,NPV(Lookups!$G$17,AM198:BM198),0,1))))</f>
        <v>0.61036697336561752</v>
      </c>
      <c r="BS198" s="76" t="str">
        <f t="shared" si="201"/>
        <v>Cost of Gas charge from the R&amp;B Inputs tab, escalated annually by the growth rate included on the R&amp;B Inputs tab.</v>
      </c>
      <c r="BT198" s="51" t="s">
        <v>17</v>
      </c>
    </row>
    <row r="199" spans="1:72" x14ac:dyDescent="0.25">
      <c r="B199" s="243" t="str">
        <f>B200</f>
        <v>Small C&amp;I</v>
      </c>
      <c r="C199" s="243" t="str">
        <f>C200</f>
        <v>Rates</v>
      </c>
      <c r="D199" s="244" t="str">
        <f>D200</f>
        <v>Rates before DSM (No EE Scenario)</v>
      </c>
      <c r="E199" s="86" t="s">
        <v>75</v>
      </c>
      <c r="F199" s="84" t="s">
        <v>182</v>
      </c>
      <c r="G199" s="506">
        <f>IF(G$8=0,0,INDEX('R&amp;B Inputs'!$H$73:$U$73,MATCH($B198,'R&amp;B Inputs'!$H$4:$U$4,0))*(1+INDEX('R&amp;B Inputs'!$H$46:$U$46,MATCH($B198,'R&amp;B Inputs'!$H$4:$U$4,0)))^(G$7-Year1))</f>
        <v>0.28453457229491286</v>
      </c>
      <c r="H199" s="506">
        <f>IF(H$8=0,0,INDEX('R&amp;B Inputs'!$H$73:$U$73,MATCH($B198,'R&amp;B Inputs'!$H$4:$U$4,0))*(1+INDEX('R&amp;B Inputs'!$H$46:$U$46,MATCH($B198,'R&amp;B Inputs'!$H$4:$U$4,0)))^(H$7-Year1))</f>
        <v>0.28453457229491286</v>
      </c>
      <c r="I199" s="506">
        <f>IF(I$8=0,0,INDEX('R&amp;B Inputs'!$H$73:$U$73,MATCH($B198,'R&amp;B Inputs'!$H$4:$U$4,0))*(1+INDEX('R&amp;B Inputs'!$H$46:$U$46,MATCH($B198,'R&amp;B Inputs'!$H$4:$U$4,0)))^(I$7-Year1))</f>
        <v>0.28453457229491286</v>
      </c>
      <c r="J199" s="506">
        <f>IF(J$8=0,0,INDEX('R&amp;B Inputs'!$H$73:$U$73,MATCH($B198,'R&amp;B Inputs'!$H$4:$U$4,0))*(1+INDEX('R&amp;B Inputs'!$H$46:$U$46,MATCH($B198,'R&amp;B Inputs'!$H$4:$U$4,0)))^(J$7-Year1))</f>
        <v>0.28453457229491286</v>
      </c>
      <c r="K199" s="506">
        <f>IF(K$8=0,0,INDEX('R&amp;B Inputs'!$H$73:$U$73,MATCH($B198,'R&amp;B Inputs'!$H$4:$U$4,0))*(1+INDEX('R&amp;B Inputs'!$H$46:$U$46,MATCH($B198,'R&amp;B Inputs'!$H$4:$U$4,0)))^(K$7-Year1))</f>
        <v>0.28453457229491286</v>
      </c>
      <c r="L199" s="506">
        <f>IF(L$8=0,0,INDEX('R&amp;B Inputs'!$H$73:$U$73,MATCH($B198,'R&amp;B Inputs'!$H$4:$U$4,0))*(1+INDEX('R&amp;B Inputs'!$H$46:$U$46,MATCH($B198,'R&amp;B Inputs'!$H$4:$U$4,0)))^(L$7-Year1))</f>
        <v>0.28453457229491286</v>
      </c>
      <c r="M199" s="506">
        <f>IF(M$8=0,0,INDEX('R&amp;B Inputs'!$H$73:$U$73,MATCH($B198,'R&amp;B Inputs'!$H$4:$U$4,0))*(1+INDEX('R&amp;B Inputs'!$H$46:$U$46,MATCH($B198,'R&amp;B Inputs'!$H$4:$U$4,0)))^(M$7-Year1))</f>
        <v>0.28453457229491286</v>
      </c>
      <c r="N199" s="506">
        <f>IF(N$8=0,0,INDEX('R&amp;B Inputs'!$H$73:$U$73,MATCH($B198,'R&amp;B Inputs'!$H$4:$U$4,0))*(1+INDEX('R&amp;B Inputs'!$H$46:$U$46,MATCH($B198,'R&amp;B Inputs'!$H$4:$U$4,0)))^(N$7-Year1))</f>
        <v>0.28453457229491286</v>
      </c>
      <c r="O199" s="506">
        <f>IF(O$8=0,0,INDEX('R&amp;B Inputs'!$H$73:$U$73,MATCH($B198,'R&amp;B Inputs'!$H$4:$U$4,0))*(1+INDEX('R&amp;B Inputs'!$H$46:$U$46,MATCH($B198,'R&amp;B Inputs'!$H$4:$U$4,0)))^(O$7-Year1))</f>
        <v>0.28453457229491286</v>
      </c>
      <c r="P199" s="506">
        <f>IF(P$8=0,0,INDEX('R&amp;B Inputs'!$H$73:$U$73,MATCH($B198,'R&amp;B Inputs'!$H$4:$U$4,0))*(1+INDEX('R&amp;B Inputs'!$H$46:$U$46,MATCH($B198,'R&amp;B Inputs'!$H$4:$U$4,0)))^(P$7-Year1))</f>
        <v>0.28453457229491286</v>
      </c>
      <c r="Q199" s="506">
        <f>IF(Q$8=0,0,INDEX('R&amp;B Inputs'!$H$73:$U$73,MATCH($B198,'R&amp;B Inputs'!$H$4:$U$4,0))*(1+INDEX('R&amp;B Inputs'!$H$46:$U$46,MATCH($B198,'R&amp;B Inputs'!$H$4:$U$4,0)))^(Q$7-Year1))</f>
        <v>0.28453457229491286</v>
      </c>
      <c r="R199" s="506">
        <f>IF(R$8=0,0,INDEX('R&amp;B Inputs'!$H$73:$U$73,MATCH($B198,'R&amp;B Inputs'!$H$4:$U$4,0))*(1+INDEX('R&amp;B Inputs'!$H$46:$U$46,MATCH($B198,'R&amp;B Inputs'!$H$4:$U$4,0)))^(R$7-Year1))</f>
        <v>0.28453457229491286</v>
      </c>
      <c r="S199" s="506">
        <f>IF(S$8=0,0,INDEX('R&amp;B Inputs'!$H$73:$U$73,MATCH($B198,'R&amp;B Inputs'!$H$4:$U$4,0))*(1+INDEX('R&amp;B Inputs'!$H$46:$U$46,MATCH($B198,'R&amp;B Inputs'!$H$4:$U$4,0)))^(S$7-Year1))</f>
        <v>0.28453457229491286</v>
      </c>
      <c r="T199" s="506">
        <f>IF(T$8=0,0,INDEX('R&amp;B Inputs'!$H$73:$U$73,MATCH($B198,'R&amp;B Inputs'!$H$4:$U$4,0))*(1+INDEX('R&amp;B Inputs'!$H$46:$U$46,MATCH($B198,'R&amp;B Inputs'!$H$4:$U$4,0)))^(T$7-Year1))</f>
        <v>0.28453457229491286</v>
      </c>
      <c r="U199" s="506">
        <f>IF(U$8=0,0,INDEX('R&amp;B Inputs'!$H$73:$U$73,MATCH($B198,'R&amp;B Inputs'!$H$4:$U$4,0))*(1+INDEX('R&amp;B Inputs'!$H$46:$U$46,MATCH($B198,'R&amp;B Inputs'!$H$4:$U$4,0)))^(U$7-Year1))</f>
        <v>0.28453457229491286</v>
      </c>
      <c r="V199" s="506">
        <f>IF(V$8=0,0,INDEX('R&amp;B Inputs'!$H$73:$U$73,MATCH($B198,'R&amp;B Inputs'!$H$4:$U$4,0))*(1+INDEX('R&amp;B Inputs'!$H$46:$U$46,MATCH($B198,'R&amp;B Inputs'!$H$4:$U$4,0)))^(V$7-Year1))</f>
        <v>0.28453457229491286</v>
      </c>
      <c r="W199" s="506">
        <f>IF(W$8=0,0,INDEX('R&amp;B Inputs'!$H$73:$U$73,MATCH($B198,'R&amp;B Inputs'!$H$4:$U$4,0))*(1+INDEX('R&amp;B Inputs'!$H$46:$U$46,MATCH($B198,'R&amp;B Inputs'!$H$4:$U$4,0)))^(W$7-Year1))</f>
        <v>0.28453457229491286</v>
      </c>
      <c r="X199" s="506">
        <f>IF(X$8=0,0,INDEX('R&amp;B Inputs'!$H$73:$U$73,MATCH($B198,'R&amp;B Inputs'!$H$4:$U$4,0))*(1+INDEX('R&amp;B Inputs'!$H$46:$U$46,MATCH($B198,'R&amp;B Inputs'!$H$4:$U$4,0)))^(X$7-Year1))</f>
        <v>0.28453457229491286</v>
      </c>
      <c r="Y199" s="506">
        <f>IF(Y$8=0,0,INDEX('R&amp;B Inputs'!$H$73:$U$73,MATCH($B198,'R&amp;B Inputs'!$H$4:$U$4,0))*(1+INDEX('R&amp;B Inputs'!$H$46:$U$46,MATCH($B198,'R&amp;B Inputs'!$H$4:$U$4,0)))^(Y$7-Year1))</f>
        <v>0.28453457229491286</v>
      </c>
      <c r="Z199" s="506">
        <f>IF(Z$8=0,0,INDEX('R&amp;B Inputs'!$H$73:$U$73,MATCH($B198,'R&amp;B Inputs'!$H$4:$U$4,0))*(1+INDEX('R&amp;B Inputs'!$H$46:$U$46,MATCH($B198,'R&amp;B Inputs'!$H$4:$U$4,0)))^(Z$7-Year1))</f>
        <v>0.28453457229491286</v>
      </c>
      <c r="AA199" s="506">
        <f>IF(AA$8=0,0,INDEX('R&amp;B Inputs'!$H$73:$U$73,MATCH($B198,'R&amp;B Inputs'!$H$4:$U$4,0))*(1+INDEX('R&amp;B Inputs'!$H$46:$U$46,MATCH($B198,'R&amp;B Inputs'!$H$4:$U$4,0)))^(AA$7-Year1))</f>
        <v>0.28453457229491286</v>
      </c>
      <c r="AB199" s="506">
        <f>IF(AB$8=0,0,INDEX('R&amp;B Inputs'!$H$73:$U$73,MATCH($B198,'R&amp;B Inputs'!$H$4:$U$4,0))*(1+INDEX('R&amp;B Inputs'!$H$46:$U$46,MATCH($B198,'R&amp;B Inputs'!$H$4:$U$4,0)))^(AB$7-Year1))</f>
        <v>0.28453457229491286</v>
      </c>
      <c r="AC199" s="506">
        <f>IF(AC$8=0,0,INDEX('R&amp;B Inputs'!$H$73:$U$73,MATCH($B198,'R&amp;B Inputs'!$H$4:$U$4,0))*(1+INDEX('R&amp;B Inputs'!$H$46:$U$46,MATCH($B198,'R&amp;B Inputs'!$H$4:$U$4,0)))^(AC$7-Year1))</f>
        <v>0.28453457229491286</v>
      </c>
      <c r="AD199" s="506">
        <f>IF(AD$8=0,0,INDEX('R&amp;B Inputs'!$H$73:$U$73,MATCH($B198,'R&amp;B Inputs'!$H$4:$U$4,0))*(1+INDEX('R&amp;B Inputs'!$H$46:$U$46,MATCH($B198,'R&amp;B Inputs'!$H$4:$U$4,0)))^(AD$7-Year1))</f>
        <v>0.28453457229491286</v>
      </c>
      <c r="AE199" s="506">
        <f>IF(AE$8=0,0,INDEX('R&amp;B Inputs'!$H$73:$U$73,MATCH($B198,'R&amp;B Inputs'!$H$4:$U$4,0))*(1+INDEX('R&amp;B Inputs'!$H$46:$U$46,MATCH($B198,'R&amp;B Inputs'!$H$4:$U$4,0)))^(AE$7-Year1))</f>
        <v>0.28453457229491286</v>
      </c>
      <c r="AF199" s="506">
        <f>IF(AF$8=0,0,INDEX('R&amp;B Inputs'!$H$73:$U$73,MATCH($B198,'R&amp;B Inputs'!$H$4:$U$4,0))*(1+INDEX('R&amp;B Inputs'!$H$46:$U$46,MATCH($B198,'R&amp;B Inputs'!$H$4:$U$4,0)))^(AF$7-Year1))</f>
        <v>0.28453457229491286</v>
      </c>
      <c r="AG199" s="506">
        <f>IF(AG$8=0,0,INDEX('R&amp;B Inputs'!$H$73:$U$73,MATCH($B198,'R&amp;B Inputs'!$H$4:$U$4,0))*(1+INDEX('R&amp;B Inputs'!$H$46:$U$46,MATCH($B198,'R&amp;B Inputs'!$H$4:$U$4,0)))^(AG$7-Year1))</f>
        <v>0.28453457229491286</v>
      </c>
      <c r="AH199" s="506"/>
      <c r="AI199" s="506"/>
      <c r="AJ199" s="506">
        <f>IF($C$4=Year1,-PMT(Lookups!$E$17,25,NPV(Lookups!$E$17,G199:AE199),0,1),IF($C$4=Year2,-PMT(Lookups!$F$17,25,NPV(Lookups!$F$17,H199:AF199),0,1),IF($C$4=Year3,-PMT(Lookups!$G$17,25,NPV(Lookups!$G$17,I199:AG199),0,1),-PMT(Lookups!$G$17,27,NPV(Lookups!$G$17,G199:AG199),0,1))))</f>
        <v>0.28056624508808786</v>
      </c>
      <c r="AK199" s="507"/>
      <c r="AL199" s="507"/>
      <c r="AM199" s="508">
        <f>IF(AM$8=0,0,INDEX('R&amp;B Inputs'!$H$73:$U$73,MATCH($B198,'R&amp;B Inputs'!$H$4:$U$4,0))*(1+INDEX('R&amp;B Inputs'!$H$46:$U$46,MATCH($B198,'R&amp;B Inputs'!$H$4:$U$4,0)))^(AM$7-Year1))</f>
        <v>0.28453457229491286</v>
      </c>
      <c r="AN199" s="508">
        <f>IF(AN$8=0,0,INDEX('R&amp;B Inputs'!$H$73:$U$73,MATCH($B198,'R&amp;B Inputs'!$H$4:$U$4,0))*(1+INDEX('R&amp;B Inputs'!$H$46:$U$46,MATCH($B198,'R&amp;B Inputs'!$H$4:$U$4,0)))^(AN$7-Year1))</f>
        <v>0.28453457229491286</v>
      </c>
      <c r="AO199" s="508">
        <f>IF(AO$8=0,0,INDEX('R&amp;B Inputs'!$H$73:$U$73,MATCH($B198,'R&amp;B Inputs'!$H$4:$U$4,0))*(1+INDEX('R&amp;B Inputs'!$H$46:$U$46,MATCH($B198,'R&amp;B Inputs'!$H$4:$U$4,0)))^(AO$7-Year1))</f>
        <v>0.28453457229491286</v>
      </c>
      <c r="AP199" s="508">
        <f>IF(AP$8=0,0,INDEX('R&amp;B Inputs'!$H$73:$U$73,MATCH($B198,'R&amp;B Inputs'!$H$4:$U$4,0))*(1+INDEX('R&amp;B Inputs'!$H$46:$U$46,MATCH($B198,'R&amp;B Inputs'!$H$4:$U$4,0)))^(AP$7-Year1))</f>
        <v>0.28453457229491286</v>
      </c>
      <c r="AQ199" s="508">
        <f>IF(AQ$8=0,0,INDEX('R&amp;B Inputs'!$H$73:$U$73,MATCH($B198,'R&amp;B Inputs'!$H$4:$U$4,0))*(1+INDEX('R&amp;B Inputs'!$H$46:$U$46,MATCH($B198,'R&amp;B Inputs'!$H$4:$U$4,0)))^(AQ$7-Year1))</f>
        <v>0.28453457229491286</v>
      </c>
      <c r="AR199" s="508">
        <f>IF(AR$8=0,0,INDEX('R&amp;B Inputs'!$H$73:$U$73,MATCH($B198,'R&amp;B Inputs'!$H$4:$U$4,0))*(1+INDEX('R&amp;B Inputs'!$H$46:$U$46,MATCH($B198,'R&amp;B Inputs'!$H$4:$U$4,0)))^(AR$7-Year1))</f>
        <v>0.28453457229491286</v>
      </c>
      <c r="AS199" s="508">
        <f>IF(AS$8=0,0,INDEX('R&amp;B Inputs'!$H$73:$U$73,MATCH($B198,'R&amp;B Inputs'!$H$4:$U$4,0))*(1+INDEX('R&amp;B Inputs'!$H$46:$U$46,MATCH($B198,'R&amp;B Inputs'!$H$4:$U$4,0)))^(AS$7-Year1))</f>
        <v>0.28453457229491286</v>
      </c>
      <c r="AT199" s="508">
        <f>IF(AT$8=0,0,INDEX('R&amp;B Inputs'!$H$73:$U$73,MATCH($B198,'R&amp;B Inputs'!$H$4:$U$4,0))*(1+INDEX('R&amp;B Inputs'!$H$46:$U$46,MATCH($B198,'R&amp;B Inputs'!$H$4:$U$4,0)))^(AT$7-Year1))</f>
        <v>0.28453457229491286</v>
      </c>
      <c r="AU199" s="508">
        <f>IF(AU$8=0,0,INDEX('R&amp;B Inputs'!$H$73:$U$73,MATCH($B198,'R&amp;B Inputs'!$H$4:$U$4,0))*(1+INDEX('R&amp;B Inputs'!$H$46:$U$46,MATCH($B198,'R&amp;B Inputs'!$H$4:$U$4,0)))^(AU$7-Year1))</f>
        <v>0.28453457229491286</v>
      </c>
      <c r="AV199" s="508">
        <f>IF(AV$8=0,0,INDEX('R&amp;B Inputs'!$H$73:$U$73,MATCH($B198,'R&amp;B Inputs'!$H$4:$U$4,0))*(1+INDEX('R&amp;B Inputs'!$H$46:$U$46,MATCH($B198,'R&amp;B Inputs'!$H$4:$U$4,0)))^(AV$7-Year1))</f>
        <v>0.28453457229491286</v>
      </c>
      <c r="AW199" s="508">
        <f>IF(AW$8=0,0,INDEX('R&amp;B Inputs'!$H$73:$U$73,MATCH($B198,'R&amp;B Inputs'!$H$4:$U$4,0))*(1+INDEX('R&amp;B Inputs'!$H$46:$U$46,MATCH($B198,'R&amp;B Inputs'!$H$4:$U$4,0)))^(AW$7-Year1))</f>
        <v>0.28453457229491286</v>
      </c>
      <c r="AX199" s="508">
        <f>IF(AX$8=0,0,INDEX('R&amp;B Inputs'!$H$73:$U$73,MATCH($B198,'R&amp;B Inputs'!$H$4:$U$4,0))*(1+INDEX('R&amp;B Inputs'!$H$46:$U$46,MATCH($B198,'R&amp;B Inputs'!$H$4:$U$4,0)))^(AX$7-Year1))</f>
        <v>0.28453457229491286</v>
      </c>
      <c r="AY199" s="508">
        <f>IF(AY$8=0,0,INDEX('R&amp;B Inputs'!$H$73:$U$73,MATCH($B198,'R&amp;B Inputs'!$H$4:$U$4,0))*(1+INDEX('R&amp;B Inputs'!$H$46:$U$46,MATCH($B198,'R&amp;B Inputs'!$H$4:$U$4,0)))^(AY$7-Year1))</f>
        <v>0.28453457229491286</v>
      </c>
      <c r="AZ199" s="508">
        <f>IF(AZ$8=0,0,INDEX('R&amp;B Inputs'!$H$73:$U$73,MATCH($B198,'R&amp;B Inputs'!$H$4:$U$4,0))*(1+INDEX('R&amp;B Inputs'!$H$46:$U$46,MATCH($B198,'R&amp;B Inputs'!$H$4:$U$4,0)))^(AZ$7-Year1))</f>
        <v>0.28453457229491286</v>
      </c>
      <c r="BA199" s="508">
        <f>IF(BA$8=0,0,INDEX('R&amp;B Inputs'!$H$73:$U$73,MATCH($B198,'R&amp;B Inputs'!$H$4:$U$4,0))*(1+INDEX('R&amp;B Inputs'!$H$46:$U$46,MATCH($B198,'R&amp;B Inputs'!$H$4:$U$4,0)))^(BA$7-Year1))</f>
        <v>0.28453457229491286</v>
      </c>
      <c r="BB199" s="508">
        <f>IF(BB$8=0,0,INDEX('R&amp;B Inputs'!$H$73:$U$73,MATCH($B198,'R&amp;B Inputs'!$H$4:$U$4,0))*(1+INDEX('R&amp;B Inputs'!$H$46:$U$46,MATCH($B198,'R&amp;B Inputs'!$H$4:$U$4,0)))^(BB$7-Year1))</f>
        <v>0.28453457229491286</v>
      </c>
      <c r="BC199" s="508">
        <f>IF(BC$8=0,0,INDEX('R&amp;B Inputs'!$H$73:$U$73,MATCH($B198,'R&amp;B Inputs'!$H$4:$U$4,0))*(1+INDEX('R&amp;B Inputs'!$H$46:$U$46,MATCH($B198,'R&amp;B Inputs'!$H$4:$U$4,0)))^(BC$7-Year1))</f>
        <v>0.28453457229491286</v>
      </c>
      <c r="BD199" s="508">
        <f>IF(BD$8=0,0,INDEX('R&amp;B Inputs'!$H$73:$U$73,MATCH($B198,'R&amp;B Inputs'!$H$4:$U$4,0))*(1+INDEX('R&amp;B Inputs'!$H$46:$U$46,MATCH($B198,'R&amp;B Inputs'!$H$4:$U$4,0)))^(BD$7-Year1))</f>
        <v>0.28453457229491286</v>
      </c>
      <c r="BE199" s="508">
        <f>IF(BE$8=0,0,INDEX('R&amp;B Inputs'!$H$73:$U$73,MATCH($B198,'R&amp;B Inputs'!$H$4:$U$4,0))*(1+INDEX('R&amp;B Inputs'!$H$46:$U$46,MATCH($B198,'R&amp;B Inputs'!$H$4:$U$4,0)))^(BE$7-Year1))</f>
        <v>0.28453457229491286</v>
      </c>
      <c r="BF199" s="508">
        <f>IF(BF$8=0,0,INDEX('R&amp;B Inputs'!$H$73:$U$73,MATCH($B198,'R&amp;B Inputs'!$H$4:$U$4,0))*(1+INDEX('R&amp;B Inputs'!$H$46:$U$46,MATCH($B198,'R&amp;B Inputs'!$H$4:$U$4,0)))^(BF$7-Year1))</f>
        <v>0.28453457229491286</v>
      </c>
      <c r="BG199" s="508">
        <f>IF(BG$8=0,0,INDEX('R&amp;B Inputs'!$H$73:$U$73,MATCH($B198,'R&amp;B Inputs'!$H$4:$U$4,0))*(1+INDEX('R&amp;B Inputs'!$H$46:$U$46,MATCH($B198,'R&amp;B Inputs'!$H$4:$U$4,0)))^(BG$7-Year1))</f>
        <v>0.28453457229491286</v>
      </c>
      <c r="BH199" s="508">
        <f>IF(BH$8=0,0,INDEX('R&amp;B Inputs'!$H$73:$U$73,MATCH($B198,'R&amp;B Inputs'!$H$4:$U$4,0))*(1+INDEX('R&amp;B Inputs'!$H$46:$U$46,MATCH($B198,'R&amp;B Inputs'!$H$4:$U$4,0)))^(BH$7-Year1))</f>
        <v>0.28453457229491286</v>
      </c>
      <c r="BI199" s="508">
        <f>IF(BI$8=0,0,INDEX('R&amp;B Inputs'!$H$73:$U$73,MATCH($B198,'R&amp;B Inputs'!$H$4:$U$4,0))*(1+INDEX('R&amp;B Inputs'!$H$46:$U$46,MATCH($B198,'R&amp;B Inputs'!$H$4:$U$4,0)))^(BI$7-Year1))</f>
        <v>0.28453457229491286</v>
      </c>
      <c r="BJ199" s="508">
        <f>IF(BJ$8=0,0,INDEX('R&amp;B Inputs'!$H$73:$U$73,MATCH($B198,'R&amp;B Inputs'!$H$4:$U$4,0))*(1+INDEX('R&amp;B Inputs'!$H$46:$U$46,MATCH($B198,'R&amp;B Inputs'!$H$4:$U$4,0)))^(BJ$7-Year1))</f>
        <v>0.28453457229491286</v>
      </c>
      <c r="BK199" s="508">
        <f>IF(BK$8=0,0,INDEX('R&amp;B Inputs'!$H$73:$U$73,MATCH($B198,'R&amp;B Inputs'!$H$4:$U$4,0))*(1+INDEX('R&amp;B Inputs'!$H$46:$U$46,MATCH($B198,'R&amp;B Inputs'!$H$4:$U$4,0)))^(BK$7-Year1))</f>
        <v>0.28453457229491286</v>
      </c>
      <c r="BL199" s="508">
        <f>IF(BL$8=0,0,INDEX('R&amp;B Inputs'!$H$73:$U$73,MATCH($B198,'R&amp;B Inputs'!$H$4:$U$4,0))*(1+INDEX('R&amp;B Inputs'!$H$46:$U$46,MATCH($B198,'R&amp;B Inputs'!$H$4:$U$4,0)))^(BL$7-Year1))</f>
        <v>0.28453457229491286</v>
      </c>
      <c r="BM199" s="508">
        <f>IF(BM$8=0,0,INDEX('R&amp;B Inputs'!$H$73:$U$73,MATCH($B198,'R&amp;B Inputs'!$H$4:$U$4,0))*(1+INDEX('R&amp;B Inputs'!$H$46:$U$46,MATCH($B198,'R&amp;B Inputs'!$H$4:$U$4,0)))^(BM$7-Year1))</f>
        <v>0.28453457229491286</v>
      </c>
      <c r="BN199" s="508"/>
      <c r="BO199" s="508"/>
      <c r="BP199" s="508">
        <f>IF($C$4=Year1,-PMT(Lookups!$E$17,25,NPV(Lookups!$E$17,AM199:BK199),0,1),IF($C$4=Year2,-PMT(Lookups!$F$17,25,NPV(Lookups!$F$17,AN199:BL199),0,1),IF($C$4=Year3,-PMT(Lookups!$G$17,25,NPV(Lookups!$G$17,AO199:BM199),0,1),-PMT(Lookups!$G$17,27,NPV(Lookups!$G$17,AM199:BM199),0,1))))</f>
        <v>0.28056624508808786</v>
      </c>
      <c r="BS199" s="84" t="str">
        <f>E199&amp;" charge from the R&amp;B Inputs tab, escalated annually by the growth rate included on the R&amp;B Inputs tab."</f>
        <v>Customer Charge charge from the R&amp;B Inputs tab, escalated annually by the growth rate included on the R&amp;B Inputs tab.</v>
      </c>
      <c r="BT199" s="51" t="s">
        <v>17</v>
      </c>
    </row>
    <row r="200" spans="1:72" x14ac:dyDescent="0.25">
      <c r="B200" s="243" t="str">
        <f>B198</f>
        <v>Small C&amp;I</v>
      </c>
      <c r="C200" s="243" t="str">
        <f>C198</f>
        <v>Rates</v>
      </c>
      <c r="D200" s="244" t="str">
        <f>D198</f>
        <v>Rates before DSM (No EE Scenario)</v>
      </c>
      <c r="E200" s="84" t="s">
        <v>76</v>
      </c>
      <c r="F200" s="84" t="s">
        <v>182</v>
      </c>
      <c r="G200" s="506">
        <f>SUM(G196:G199)</f>
        <v>1.3008471347317248</v>
      </c>
      <c r="H200" s="506">
        <f t="shared" ref="H200:AG200" si="202">SUM(H196:H199)</f>
        <v>1.3008471347317248</v>
      </c>
      <c r="I200" s="506">
        <f t="shared" si="202"/>
        <v>1.3008471347317248</v>
      </c>
      <c r="J200" s="506">
        <f t="shared" si="202"/>
        <v>1.3008471347317248</v>
      </c>
      <c r="K200" s="506">
        <f t="shared" si="202"/>
        <v>1.3008471347317248</v>
      </c>
      <c r="L200" s="506">
        <f t="shared" si="202"/>
        <v>1.3008471347317248</v>
      </c>
      <c r="M200" s="506">
        <f t="shared" si="202"/>
        <v>1.3008471347317248</v>
      </c>
      <c r="N200" s="506">
        <f t="shared" si="202"/>
        <v>1.3008471347317248</v>
      </c>
      <c r="O200" s="506">
        <f t="shared" si="202"/>
        <v>1.3008471347317248</v>
      </c>
      <c r="P200" s="506">
        <f t="shared" si="202"/>
        <v>1.3008471347317248</v>
      </c>
      <c r="Q200" s="506">
        <f t="shared" si="202"/>
        <v>1.3008471347317248</v>
      </c>
      <c r="R200" s="506">
        <f t="shared" si="202"/>
        <v>1.3008471347317248</v>
      </c>
      <c r="S200" s="506">
        <f t="shared" si="202"/>
        <v>1.3008471347317248</v>
      </c>
      <c r="T200" s="506">
        <f t="shared" si="202"/>
        <v>1.3008471347317248</v>
      </c>
      <c r="U200" s="506">
        <f t="shared" si="202"/>
        <v>1.3008471347317248</v>
      </c>
      <c r="V200" s="506">
        <f t="shared" si="202"/>
        <v>1.3008471347317248</v>
      </c>
      <c r="W200" s="506">
        <f t="shared" si="202"/>
        <v>1.3008471347317248</v>
      </c>
      <c r="X200" s="506">
        <f t="shared" si="202"/>
        <v>1.3008471347317248</v>
      </c>
      <c r="Y200" s="506">
        <f t="shared" si="202"/>
        <v>1.3008471347317248</v>
      </c>
      <c r="Z200" s="506">
        <f t="shared" si="202"/>
        <v>1.3008471347317248</v>
      </c>
      <c r="AA200" s="506">
        <f t="shared" si="202"/>
        <v>1.3008471347317248</v>
      </c>
      <c r="AB200" s="506">
        <f t="shared" si="202"/>
        <v>1.3008471347317248</v>
      </c>
      <c r="AC200" s="506">
        <f t="shared" si="202"/>
        <v>1.3008471347317248</v>
      </c>
      <c r="AD200" s="506">
        <f t="shared" si="202"/>
        <v>1.3008471347317248</v>
      </c>
      <c r="AE200" s="506">
        <f t="shared" si="202"/>
        <v>1.3008471347317248</v>
      </c>
      <c r="AF200" s="506">
        <f t="shared" si="202"/>
        <v>1.3008471347317248</v>
      </c>
      <c r="AG200" s="506">
        <f t="shared" si="202"/>
        <v>1.3008471347317248</v>
      </c>
      <c r="AH200" s="506"/>
      <c r="AI200" s="506"/>
      <c r="AJ200" s="506">
        <f>IF($C$4=Year1,-PMT(Lookups!$E$17,25,NPV(Lookups!$E$17,G200:AE200),0,1),IF($C$4=Year2,-PMT(Lookups!$F$17,25,NPV(Lookups!$F$17,H200:AF200),0,1),IF($C$4=Year3,-PMT(Lookups!$G$17,25,NPV(Lookups!$G$17,I200:AG200),0,1),-PMT(Lookups!$G$17,27,NPV(Lookups!$G$17,G200:AG200),0,1))))</f>
        <v>1.2827045693659744</v>
      </c>
      <c r="AK200" s="507"/>
      <c r="AL200" s="507"/>
      <c r="AM200" s="508">
        <f>SUM(AM196:AM199)</f>
        <v>1.3008471347317248</v>
      </c>
      <c r="AN200" s="508">
        <f t="shared" ref="AN200:BM200" si="203">SUM(AN196:AN199)</f>
        <v>1.3008471347317248</v>
      </c>
      <c r="AO200" s="508">
        <f t="shared" si="203"/>
        <v>1.3008471347317248</v>
      </c>
      <c r="AP200" s="508">
        <f t="shared" si="203"/>
        <v>1.3008471347317248</v>
      </c>
      <c r="AQ200" s="508">
        <f t="shared" si="203"/>
        <v>1.3008471347317248</v>
      </c>
      <c r="AR200" s="508">
        <f t="shared" si="203"/>
        <v>1.3008471347317248</v>
      </c>
      <c r="AS200" s="508">
        <f t="shared" si="203"/>
        <v>1.3008471347317248</v>
      </c>
      <c r="AT200" s="508">
        <f t="shared" si="203"/>
        <v>1.3008471347317248</v>
      </c>
      <c r="AU200" s="508">
        <f t="shared" si="203"/>
        <v>1.3008471347317248</v>
      </c>
      <c r="AV200" s="508">
        <f t="shared" si="203"/>
        <v>1.3008471347317248</v>
      </c>
      <c r="AW200" s="508">
        <f t="shared" si="203"/>
        <v>1.3008471347317248</v>
      </c>
      <c r="AX200" s="508">
        <f t="shared" si="203"/>
        <v>1.3008471347317248</v>
      </c>
      <c r="AY200" s="508">
        <f t="shared" si="203"/>
        <v>1.3008471347317248</v>
      </c>
      <c r="AZ200" s="508">
        <f t="shared" si="203"/>
        <v>1.3008471347317248</v>
      </c>
      <c r="BA200" s="508">
        <f t="shared" si="203"/>
        <v>1.3008471347317248</v>
      </c>
      <c r="BB200" s="508">
        <f t="shared" si="203"/>
        <v>1.3008471347317248</v>
      </c>
      <c r="BC200" s="508">
        <f t="shared" si="203"/>
        <v>1.3008471347317248</v>
      </c>
      <c r="BD200" s="508">
        <f t="shared" si="203"/>
        <v>1.3008471347317248</v>
      </c>
      <c r="BE200" s="508">
        <f t="shared" si="203"/>
        <v>1.3008471347317248</v>
      </c>
      <c r="BF200" s="508">
        <f t="shared" si="203"/>
        <v>1.3008471347317248</v>
      </c>
      <c r="BG200" s="508">
        <f t="shared" si="203"/>
        <v>1.3008471347317248</v>
      </c>
      <c r="BH200" s="508">
        <f t="shared" si="203"/>
        <v>1.3008471347317248</v>
      </c>
      <c r="BI200" s="508">
        <f t="shared" si="203"/>
        <v>1.3008471347317248</v>
      </c>
      <c r="BJ200" s="508">
        <f t="shared" si="203"/>
        <v>1.3008471347317248</v>
      </c>
      <c r="BK200" s="508">
        <f t="shared" si="203"/>
        <v>1.3008471347317248</v>
      </c>
      <c r="BL200" s="508">
        <f t="shared" si="203"/>
        <v>1.3008471347317248</v>
      </c>
      <c r="BM200" s="508">
        <f t="shared" si="203"/>
        <v>1.3008471347317248</v>
      </c>
      <c r="BN200" s="508"/>
      <c r="BO200" s="508"/>
      <c r="BP200" s="508">
        <f>IF($C$4=Year1,-PMT(Lookups!$E$17,25,NPV(Lookups!$E$17,AM200:BK200),0,1),IF($C$4=Year2,-PMT(Lookups!$F$17,25,NPV(Lookups!$F$17,AN200:BL200),0,1),IF($C$4=Year3,-PMT(Lookups!$G$17,25,NPV(Lookups!$G$17,AO200:BM200),0,1),-PMT(Lookups!$G$17,27,NPV(Lookups!$G$17,AM200:BM200),0,1))))</f>
        <v>1.2827045693659744</v>
      </c>
      <c r="BS200" s="84" t="s">
        <v>94</v>
      </c>
      <c r="BT200" s="51" t="s">
        <v>17</v>
      </c>
    </row>
    <row r="201" spans="1:72" x14ac:dyDescent="0.25">
      <c r="B201" s="243" t="str">
        <f>B199</f>
        <v>Small C&amp;I</v>
      </c>
      <c r="C201" s="243" t="str">
        <f>C199</f>
        <v>Rates</v>
      </c>
      <c r="D201" s="114" t="s">
        <v>24</v>
      </c>
      <c r="E201" s="86"/>
      <c r="F201" s="8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89"/>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S201" s="84"/>
      <c r="BT201" s="51" t="s">
        <v>17</v>
      </c>
    </row>
    <row r="202" spans="1:72" x14ac:dyDescent="0.25">
      <c r="B202" s="243" t="str">
        <f t="shared" ref="B202:D203" si="204">B201</f>
        <v>Small C&amp;I</v>
      </c>
      <c r="C202" s="243" t="str">
        <f t="shared" si="204"/>
        <v>Rates</v>
      </c>
      <c r="D202" s="244" t="str">
        <f t="shared" si="204"/>
        <v>Avoided Costs</v>
      </c>
      <c r="E202" s="84" t="s">
        <v>45</v>
      </c>
      <c r="F202" s="84" t="s">
        <v>182</v>
      </c>
      <c r="G202" s="506">
        <f ca="1">IFERROR(-G183/G175,0)</f>
        <v>-9.7200858102576039E-3</v>
      </c>
      <c r="H202" s="506">
        <f t="shared" ref="H202:AG202" ca="1" si="205">IFERROR(-H183/H175,0)</f>
        <v>-2.0316875873444572E-2</v>
      </c>
      <c r="I202" s="506">
        <f t="shared" ca="1" si="205"/>
        <v>-3.1803216396335696E-2</v>
      </c>
      <c r="J202" s="506">
        <f t="shared" ca="1" si="205"/>
        <v>-3.1803216396335696E-2</v>
      </c>
      <c r="K202" s="506">
        <f t="shared" ca="1" si="205"/>
        <v>-3.1803216396335696E-2</v>
      </c>
      <c r="L202" s="506">
        <f t="shared" ca="1" si="205"/>
        <v>-3.1803216396335696E-2</v>
      </c>
      <c r="M202" s="506">
        <f t="shared" ca="1" si="205"/>
        <v>-3.1803216396335696E-2</v>
      </c>
      <c r="N202" s="506">
        <f t="shared" ca="1" si="205"/>
        <v>-3.1803216396335696E-2</v>
      </c>
      <c r="O202" s="506">
        <f t="shared" ca="1" si="205"/>
        <v>-3.1803216396335696E-2</v>
      </c>
      <c r="P202" s="506">
        <f t="shared" ca="1" si="205"/>
        <v>-3.1803216396335696E-2</v>
      </c>
      <c r="Q202" s="506">
        <f t="shared" ca="1" si="205"/>
        <v>-3.1803216396335696E-2</v>
      </c>
      <c r="R202" s="506">
        <f t="shared" ca="1" si="205"/>
        <v>-3.1803216396335696E-2</v>
      </c>
      <c r="S202" s="506">
        <f t="shared" ca="1" si="205"/>
        <v>-3.1803216396335696E-2</v>
      </c>
      <c r="T202" s="506">
        <f t="shared" ca="1" si="205"/>
        <v>-3.1803216396335696E-2</v>
      </c>
      <c r="U202" s="506">
        <f t="shared" ca="1" si="205"/>
        <v>-3.1803216396335696E-2</v>
      </c>
      <c r="V202" s="506">
        <f t="shared" ca="1" si="205"/>
        <v>-3.1803216396335696E-2</v>
      </c>
      <c r="W202" s="506">
        <f t="shared" ca="1" si="205"/>
        <v>-2.1365949089400506E-2</v>
      </c>
      <c r="X202" s="506">
        <f t="shared" ca="1" si="205"/>
        <v>-1.0733265690352848E-2</v>
      </c>
      <c r="Y202" s="506">
        <f t="shared" ca="1" si="205"/>
        <v>0</v>
      </c>
      <c r="Z202" s="506">
        <f t="shared" ca="1" si="205"/>
        <v>0</v>
      </c>
      <c r="AA202" s="506">
        <f t="shared" ca="1" si="205"/>
        <v>0</v>
      </c>
      <c r="AB202" s="506">
        <f t="shared" ca="1" si="205"/>
        <v>0</v>
      </c>
      <c r="AC202" s="506">
        <f t="shared" ca="1" si="205"/>
        <v>0</v>
      </c>
      <c r="AD202" s="506">
        <f t="shared" ca="1" si="205"/>
        <v>0</v>
      </c>
      <c r="AE202" s="506">
        <f t="shared" ca="1" si="205"/>
        <v>0</v>
      </c>
      <c r="AF202" s="506">
        <f t="shared" ca="1" si="205"/>
        <v>0</v>
      </c>
      <c r="AG202" s="506">
        <f t="shared" ca="1" si="205"/>
        <v>0</v>
      </c>
      <c r="AH202" s="506"/>
      <c r="AI202" s="506"/>
      <c r="AJ202" s="506">
        <f ca="1">IF($C$4=Year1,-PMT(Lookups!$E$17,25,NPV(Lookups!$E$17,G202:AE202),0,1),IF($C$4=Year2,-PMT(Lookups!$F$17,25,NPV(Lookups!$F$17,H202:AF202),0,1),IF($C$4=Year3,-PMT(Lookups!$G$17,25,NPV(Lookups!$G$17,I202:AG202),0,1),-PMT(Lookups!$G$17,27,NPV(Lookups!$G$17,G202:AG202),0,1))))</f>
        <v>-1.9654353431164357E-2</v>
      </c>
      <c r="AK202" s="507"/>
      <c r="AL202" s="507"/>
      <c r="AM202" s="508">
        <f ca="1">IFERROR(-AM183/AM175,0)</f>
        <v>-1.1134670718837149E-2</v>
      </c>
      <c r="AN202" s="508">
        <f t="shared" ref="AN202:BM202" ca="1" si="206">IFERROR(-AN183/AN175,0)</f>
        <v>-2.3333167788579644E-2</v>
      </c>
      <c r="AO202" s="508">
        <f t="shared" ca="1" si="206"/>
        <v>-3.6626375147026699E-2</v>
      </c>
      <c r="AP202" s="508">
        <f t="shared" ca="1" si="206"/>
        <v>-3.6626375147026699E-2</v>
      </c>
      <c r="AQ202" s="508">
        <f t="shared" ca="1" si="206"/>
        <v>-3.6626375147026699E-2</v>
      </c>
      <c r="AR202" s="508">
        <f t="shared" ca="1" si="206"/>
        <v>-3.6626375147026699E-2</v>
      </c>
      <c r="AS202" s="508">
        <f t="shared" ca="1" si="206"/>
        <v>-3.6626375147026699E-2</v>
      </c>
      <c r="AT202" s="508">
        <f t="shared" ca="1" si="206"/>
        <v>-3.6626375147026699E-2</v>
      </c>
      <c r="AU202" s="508">
        <f t="shared" ca="1" si="206"/>
        <v>-3.6626375147026699E-2</v>
      </c>
      <c r="AV202" s="508">
        <f t="shared" ca="1" si="206"/>
        <v>-3.6626375147026699E-2</v>
      </c>
      <c r="AW202" s="508">
        <f t="shared" ca="1" si="206"/>
        <v>-3.6626375147026699E-2</v>
      </c>
      <c r="AX202" s="508">
        <f t="shared" ca="1" si="206"/>
        <v>-3.6626375147026699E-2</v>
      </c>
      <c r="AY202" s="508">
        <f t="shared" ca="1" si="206"/>
        <v>-3.6626375147026699E-2</v>
      </c>
      <c r="AZ202" s="508">
        <f t="shared" ca="1" si="206"/>
        <v>-3.6626375147026699E-2</v>
      </c>
      <c r="BA202" s="508">
        <f t="shared" ca="1" si="206"/>
        <v>-3.6626375147026699E-2</v>
      </c>
      <c r="BB202" s="508">
        <f t="shared" ca="1" si="206"/>
        <v>-3.6626375147026699E-2</v>
      </c>
      <c r="BC202" s="508">
        <f t="shared" ca="1" si="206"/>
        <v>-2.4544212939946915E-2</v>
      </c>
      <c r="BD202" s="508">
        <f t="shared" ca="1" si="206"/>
        <v>-1.2298305175384792E-2</v>
      </c>
      <c r="BE202" s="508">
        <f t="shared" ca="1" si="206"/>
        <v>0</v>
      </c>
      <c r="BF202" s="508">
        <f t="shared" ca="1" si="206"/>
        <v>0</v>
      </c>
      <c r="BG202" s="508">
        <f t="shared" ca="1" si="206"/>
        <v>0</v>
      </c>
      <c r="BH202" s="508">
        <f t="shared" ca="1" si="206"/>
        <v>0</v>
      </c>
      <c r="BI202" s="508">
        <f t="shared" ca="1" si="206"/>
        <v>0</v>
      </c>
      <c r="BJ202" s="508">
        <f t="shared" ca="1" si="206"/>
        <v>0</v>
      </c>
      <c r="BK202" s="508">
        <f t="shared" ca="1" si="206"/>
        <v>0</v>
      </c>
      <c r="BL202" s="508">
        <f t="shared" ca="1" si="206"/>
        <v>0</v>
      </c>
      <c r="BM202" s="508">
        <f t="shared" ca="1" si="206"/>
        <v>0</v>
      </c>
      <c r="BN202" s="508"/>
      <c r="BO202" s="508"/>
      <c r="BP202" s="508">
        <f ca="1">IF($C$4=Year1,-PMT(Lookups!$E$17,25,NPV(Lookups!$E$17,AM202:BK202),0,1),IF($C$4=Year2,-PMT(Lookups!$F$17,25,NPV(Lookups!$F$17,AN202:BL202),0,1),IF($C$4=Year3,-PMT(Lookups!$G$17,25,NPV(Lookups!$G$17,AO202:BM202),0,1),-PMT(Lookups!$G$17,27,NPV(Lookups!$G$17,AM202:BM202),0,1))))</f>
        <v>-2.2625366941146918E-2</v>
      </c>
      <c r="BS202" s="84" t="str">
        <f t="shared" ref="BS202:BS204" si="207">"Avoided "&amp;E202&amp;" avoided costs divided by After Scenario sales."</f>
        <v>Avoided Gas avoided costs divided by After Scenario sales.</v>
      </c>
      <c r="BT202" s="51" t="s">
        <v>17</v>
      </c>
    </row>
    <row r="203" spans="1:72" x14ac:dyDescent="0.25">
      <c r="B203" s="243" t="str">
        <f t="shared" si="204"/>
        <v>Small C&amp;I</v>
      </c>
      <c r="C203" s="243" t="str">
        <f t="shared" si="204"/>
        <v>Rates</v>
      </c>
      <c r="D203" s="244" t="str">
        <f t="shared" si="204"/>
        <v>Avoided Costs</v>
      </c>
      <c r="E203" s="86" t="s">
        <v>412</v>
      </c>
      <c r="F203" s="84" t="s">
        <v>182</v>
      </c>
      <c r="G203" s="506">
        <f ca="1">IFERROR(-G184/G175,0)</f>
        <v>-6.6273312342665484E-4</v>
      </c>
      <c r="H203" s="506">
        <f t="shared" ref="H203:AG203" ca="1" si="208">IFERROR(-H184/H175,0)</f>
        <v>-1.3852415368257663E-3</v>
      </c>
      <c r="I203" s="506">
        <f t="shared" ca="1" si="208"/>
        <v>-2.1684011179319788E-3</v>
      </c>
      <c r="J203" s="506">
        <f t="shared" ca="1" si="208"/>
        <v>-2.1684011179319788E-3</v>
      </c>
      <c r="K203" s="506">
        <f t="shared" ca="1" si="208"/>
        <v>-2.1684011179319788E-3</v>
      </c>
      <c r="L203" s="506">
        <f t="shared" ca="1" si="208"/>
        <v>-2.1684011179319788E-3</v>
      </c>
      <c r="M203" s="506">
        <f t="shared" ca="1" si="208"/>
        <v>-2.1684011179319788E-3</v>
      </c>
      <c r="N203" s="506">
        <f t="shared" ca="1" si="208"/>
        <v>-2.1684011179319788E-3</v>
      </c>
      <c r="O203" s="506">
        <f t="shared" ca="1" si="208"/>
        <v>-2.1684011179319788E-3</v>
      </c>
      <c r="P203" s="506">
        <f t="shared" ca="1" si="208"/>
        <v>-2.1684011179319788E-3</v>
      </c>
      <c r="Q203" s="506">
        <f t="shared" ca="1" si="208"/>
        <v>-2.1684011179319788E-3</v>
      </c>
      <c r="R203" s="506">
        <f t="shared" ca="1" si="208"/>
        <v>-2.1684011179319788E-3</v>
      </c>
      <c r="S203" s="506">
        <f t="shared" ca="1" si="208"/>
        <v>-2.1684011179319788E-3</v>
      </c>
      <c r="T203" s="506">
        <f t="shared" ca="1" si="208"/>
        <v>-2.1684011179319788E-3</v>
      </c>
      <c r="U203" s="506">
        <f t="shared" ca="1" si="208"/>
        <v>-2.1684011179319788E-3</v>
      </c>
      <c r="V203" s="506">
        <f t="shared" ca="1" si="208"/>
        <v>-2.1684011179319788E-3</v>
      </c>
      <c r="W203" s="506">
        <f t="shared" ca="1" si="208"/>
        <v>-1.4567692560954889E-3</v>
      </c>
      <c r="X203" s="506">
        <f t="shared" ca="1" si="208"/>
        <v>-7.3181356979678516E-4</v>
      </c>
      <c r="Y203" s="506">
        <f t="shared" ca="1" si="208"/>
        <v>0</v>
      </c>
      <c r="Z203" s="506">
        <f t="shared" ca="1" si="208"/>
        <v>0</v>
      </c>
      <c r="AA203" s="506">
        <f t="shared" ca="1" si="208"/>
        <v>0</v>
      </c>
      <c r="AB203" s="506">
        <f t="shared" ca="1" si="208"/>
        <v>0</v>
      </c>
      <c r="AC203" s="506">
        <f t="shared" ca="1" si="208"/>
        <v>0</v>
      </c>
      <c r="AD203" s="506">
        <f t="shared" ca="1" si="208"/>
        <v>0</v>
      </c>
      <c r="AE203" s="506">
        <f t="shared" ca="1" si="208"/>
        <v>0</v>
      </c>
      <c r="AF203" s="506">
        <f t="shared" ca="1" si="208"/>
        <v>0</v>
      </c>
      <c r="AG203" s="506">
        <f t="shared" ca="1" si="208"/>
        <v>0</v>
      </c>
      <c r="AH203" s="506"/>
      <c r="AI203" s="506"/>
      <c r="AJ203" s="506">
        <f ca="1">IF($C$4=Year1,-PMT(Lookups!$E$17,25,NPV(Lookups!$E$17,G203:AE203),0,1),IF($C$4=Year2,-PMT(Lookups!$F$17,25,NPV(Lookups!$F$17,H203:AF203),0,1),IF($C$4=Year3,-PMT(Lookups!$G$17,25,NPV(Lookups!$G$17,I203:AG203),0,1),-PMT(Lookups!$G$17,27,NPV(Lookups!$G$17,G203:AG203),0,1))))</f>
        <v>-1.3400695521248423E-3</v>
      </c>
      <c r="AK203" s="507"/>
      <c r="AL203" s="507"/>
      <c r="AM203" s="508">
        <f ca="1">IFERROR(-AM184/AM175,0)</f>
        <v>-7.5918209446616922E-4</v>
      </c>
      <c r="AN203" s="508">
        <f t="shared" ref="AN203:BM203" ca="1" si="209">IFERROR(-AN184/AN175,0)</f>
        <v>-1.5908978037667935E-3</v>
      </c>
      <c r="AO203" s="508">
        <f t="shared" ca="1" si="209"/>
        <v>-2.4972528509336388E-3</v>
      </c>
      <c r="AP203" s="508">
        <f t="shared" ca="1" si="209"/>
        <v>-2.4972528509336388E-3</v>
      </c>
      <c r="AQ203" s="508">
        <f t="shared" ca="1" si="209"/>
        <v>-2.4972528509336388E-3</v>
      </c>
      <c r="AR203" s="508">
        <f t="shared" ca="1" si="209"/>
        <v>-2.4972528509336388E-3</v>
      </c>
      <c r="AS203" s="508">
        <f t="shared" ca="1" si="209"/>
        <v>-2.4972528509336388E-3</v>
      </c>
      <c r="AT203" s="508">
        <f t="shared" ca="1" si="209"/>
        <v>-2.4972528509336388E-3</v>
      </c>
      <c r="AU203" s="508">
        <f t="shared" ca="1" si="209"/>
        <v>-2.4972528509336388E-3</v>
      </c>
      <c r="AV203" s="508">
        <f t="shared" ca="1" si="209"/>
        <v>-2.4972528509336388E-3</v>
      </c>
      <c r="AW203" s="508">
        <f t="shared" ca="1" si="209"/>
        <v>-2.4972528509336388E-3</v>
      </c>
      <c r="AX203" s="508">
        <f t="shared" ca="1" si="209"/>
        <v>-2.4972528509336388E-3</v>
      </c>
      <c r="AY203" s="508">
        <f t="shared" ca="1" si="209"/>
        <v>-2.4972528509336388E-3</v>
      </c>
      <c r="AZ203" s="508">
        <f t="shared" ca="1" si="209"/>
        <v>-2.4972528509336388E-3</v>
      </c>
      <c r="BA203" s="508">
        <f t="shared" ca="1" si="209"/>
        <v>-2.4972528509336388E-3</v>
      </c>
      <c r="BB203" s="508">
        <f t="shared" ca="1" si="209"/>
        <v>-2.4972528509336388E-3</v>
      </c>
      <c r="BC203" s="508">
        <f t="shared" ca="1" si="209"/>
        <v>-1.6734690640872892E-3</v>
      </c>
      <c r="BD203" s="508">
        <f t="shared" ca="1" si="209"/>
        <v>-8.385208074125995E-4</v>
      </c>
      <c r="BE203" s="508">
        <f t="shared" ca="1" si="209"/>
        <v>0</v>
      </c>
      <c r="BF203" s="508">
        <f t="shared" ca="1" si="209"/>
        <v>0</v>
      </c>
      <c r="BG203" s="508">
        <f t="shared" ca="1" si="209"/>
        <v>0</v>
      </c>
      <c r="BH203" s="508">
        <f t="shared" ca="1" si="209"/>
        <v>0</v>
      </c>
      <c r="BI203" s="508">
        <f t="shared" ca="1" si="209"/>
        <v>0</v>
      </c>
      <c r="BJ203" s="508">
        <f t="shared" ca="1" si="209"/>
        <v>0</v>
      </c>
      <c r="BK203" s="508">
        <f t="shared" ca="1" si="209"/>
        <v>0</v>
      </c>
      <c r="BL203" s="508">
        <f t="shared" ca="1" si="209"/>
        <v>0</v>
      </c>
      <c r="BM203" s="508">
        <f t="shared" ca="1" si="209"/>
        <v>0</v>
      </c>
      <c r="BN203" s="508"/>
      <c r="BO203" s="508"/>
      <c r="BP203" s="508">
        <f ca="1">IF($C$4=Year1,-PMT(Lookups!$E$17,25,NPV(Lookups!$E$17,AM203:BK203),0,1),IF($C$4=Year2,-PMT(Lookups!$F$17,25,NPV(Lookups!$F$17,AN203:BL203),0,1),IF($C$4=Year3,-PMT(Lookups!$G$17,25,NPV(Lookups!$G$17,AO203:BM203),0,1),-PMT(Lookups!$G$17,27,NPV(Lookups!$G$17,AM203:BM203),0,1))))</f>
        <v>-1.542638655078199E-3</v>
      </c>
      <c r="BS203" s="84" t="str">
        <f t="shared" si="207"/>
        <v>Avoided Gas, Retail Margin avoided costs divided by After Scenario sales.</v>
      </c>
      <c r="BT203" s="51"/>
    </row>
    <row r="204" spans="1:72" x14ac:dyDescent="0.25">
      <c r="B204" s="243" t="str">
        <f t="shared" ref="B204:D204" si="210">B202</f>
        <v>Small C&amp;I</v>
      </c>
      <c r="C204" s="243" t="str">
        <f t="shared" si="210"/>
        <v>Rates</v>
      </c>
      <c r="D204" s="244" t="str">
        <f t="shared" si="210"/>
        <v>Avoided Costs</v>
      </c>
      <c r="E204" s="86" t="s">
        <v>175</v>
      </c>
      <c r="F204" s="84" t="s">
        <v>182</v>
      </c>
      <c r="G204" s="506">
        <f ca="1">IFERROR(-G185/G175,0)</f>
        <v>-3.8910087564747215E-4</v>
      </c>
      <c r="H204" s="506">
        <f t="shared" ref="H204:AG204" ca="1" si="211">IFERROR(-H185/H175,0)</f>
        <v>-8.1329766485403895E-4</v>
      </c>
      <c r="I204" s="506">
        <f t="shared" ca="1" si="211"/>
        <v>-1.2725287887160089E-3</v>
      </c>
      <c r="J204" s="506">
        <f t="shared" ca="1" si="211"/>
        <v>-1.2725287887160089E-3</v>
      </c>
      <c r="K204" s="506">
        <f t="shared" ca="1" si="211"/>
        <v>-1.2725287887160089E-3</v>
      </c>
      <c r="L204" s="506">
        <f t="shared" ca="1" si="211"/>
        <v>-1.2725287887160089E-3</v>
      </c>
      <c r="M204" s="506">
        <f t="shared" ca="1" si="211"/>
        <v>-1.2725287887160089E-3</v>
      </c>
      <c r="N204" s="506">
        <f t="shared" ca="1" si="211"/>
        <v>-1.2725287887160089E-3</v>
      </c>
      <c r="O204" s="506">
        <f t="shared" ca="1" si="211"/>
        <v>-1.2725287887160089E-3</v>
      </c>
      <c r="P204" s="506">
        <f t="shared" ca="1" si="211"/>
        <v>-1.2725287887160089E-3</v>
      </c>
      <c r="Q204" s="506">
        <f t="shared" ca="1" si="211"/>
        <v>-1.2725287887160089E-3</v>
      </c>
      <c r="R204" s="506">
        <f t="shared" ca="1" si="211"/>
        <v>-1.2725287887160089E-3</v>
      </c>
      <c r="S204" s="506">
        <f t="shared" ca="1" si="211"/>
        <v>-1.2725287887160089E-3</v>
      </c>
      <c r="T204" s="506">
        <f t="shared" ca="1" si="211"/>
        <v>-1.2725287887160089E-3</v>
      </c>
      <c r="U204" s="506">
        <f t="shared" ca="1" si="211"/>
        <v>-1.2725287887160089E-3</v>
      </c>
      <c r="V204" s="506">
        <f t="shared" ca="1" si="211"/>
        <v>-1.2725287887160089E-3</v>
      </c>
      <c r="W204" s="506">
        <f t="shared" ca="1" si="211"/>
        <v>-8.5472825484965171E-4</v>
      </c>
      <c r="X204" s="506">
        <f t="shared" ca="1" si="211"/>
        <v>-4.2910437384157519E-4</v>
      </c>
      <c r="Y204" s="506">
        <f t="shared" ca="1" si="211"/>
        <v>0</v>
      </c>
      <c r="Z204" s="506">
        <f t="shared" ca="1" si="211"/>
        <v>0</v>
      </c>
      <c r="AA204" s="506">
        <f t="shared" ca="1" si="211"/>
        <v>0</v>
      </c>
      <c r="AB204" s="506">
        <f t="shared" ca="1" si="211"/>
        <v>0</v>
      </c>
      <c r="AC204" s="506">
        <f t="shared" ca="1" si="211"/>
        <v>0</v>
      </c>
      <c r="AD204" s="506">
        <f t="shared" ca="1" si="211"/>
        <v>0</v>
      </c>
      <c r="AE204" s="506">
        <f t="shared" ca="1" si="211"/>
        <v>0</v>
      </c>
      <c r="AF204" s="506">
        <f t="shared" ca="1" si="211"/>
        <v>0</v>
      </c>
      <c r="AG204" s="506">
        <f t="shared" ca="1" si="211"/>
        <v>0</v>
      </c>
      <c r="AH204" s="506"/>
      <c r="AI204" s="506"/>
      <c r="AJ204" s="506">
        <f ca="1">IF($C$4=Year1,-PMT(Lookups!$E$17,25,NPV(Lookups!$E$17,G204:AE204),0,1),IF($C$4=Year2,-PMT(Lookups!$F$17,25,NPV(Lookups!$F$17,H204:AF204),0,1),IF($C$4=Year3,-PMT(Lookups!$G$17,25,NPV(Lookups!$G$17,I204:AG204),0,1),-PMT(Lookups!$G$17,27,NPV(Lookups!$G$17,G204:AG204),0,1))))</f>
        <v>-7.8642620748079297E-4</v>
      </c>
      <c r="AK204" s="507"/>
      <c r="AL204" s="507"/>
      <c r="AM204" s="508">
        <f ca="1">IFERROR(-AM185/AM175,0)</f>
        <v>-4.4572755954208816E-4</v>
      </c>
      <c r="AN204" s="508">
        <f t="shared" ref="AN204:BM204" ca="1" si="212">IFERROR(-AN185/AN175,0)</f>
        <v>-9.340417785838411E-4</v>
      </c>
      <c r="AO204" s="508">
        <f t="shared" ca="1" si="212"/>
        <v>-1.4655158214209468E-3</v>
      </c>
      <c r="AP204" s="508">
        <f t="shared" ca="1" si="212"/>
        <v>-1.4655158214209468E-3</v>
      </c>
      <c r="AQ204" s="508">
        <f t="shared" ca="1" si="212"/>
        <v>-1.4655158214209468E-3</v>
      </c>
      <c r="AR204" s="508">
        <f t="shared" ca="1" si="212"/>
        <v>-1.4655158214209468E-3</v>
      </c>
      <c r="AS204" s="508">
        <f t="shared" ca="1" si="212"/>
        <v>-1.4655158214209468E-3</v>
      </c>
      <c r="AT204" s="508">
        <f t="shared" ca="1" si="212"/>
        <v>-1.4655158214209468E-3</v>
      </c>
      <c r="AU204" s="508">
        <f t="shared" ca="1" si="212"/>
        <v>-1.4655158214209468E-3</v>
      </c>
      <c r="AV204" s="508">
        <f t="shared" ca="1" si="212"/>
        <v>-1.4655158214209468E-3</v>
      </c>
      <c r="AW204" s="508">
        <f t="shared" ca="1" si="212"/>
        <v>-1.4655158214209468E-3</v>
      </c>
      <c r="AX204" s="508">
        <f t="shared" ca="1" si="212"/>
        <v>-1.4655158214209468E-3</v>
      </c>
      <c r="AY204" s="508">
        <f t="shared" ca="1" si="212"/>
        <v>-1.4655158214209468E-3</v>
      </c>
      <c r="AZ204" s="508">
        <f t="shared" ca="1" si="212"/>
        <v>-1.4655158214209468E-3</v>
      </c>
      <c r="BA204" s="508">
        <f t="shared" ca="1" si="212"/>
        <v>-1.4655158214209468E-3</v>
      </c>
      <c r="BB204" s="508">
        <f t="shared" ca="1" si="212"/>
        <v>-1.4655158214209468E-3</v>
      </c>
      <c r="BC204" s="508">
        <f t="shared" ca="1" si="212"/>
        <v>-9.8187224003198686E-4</v>
      </c>
      <c r="BD204" s="508">
        <f t="shared" ca="1" si="212"/>
        <v>-4.9167296271621585E-4</v>
      </c>
      <c r="BE204" s="508">
        <f t="shared" ca="1" si="212"/>
        <v>0</v>
      </c>
      <c r="BF204" s="508">
        <f t="shared" ca="1" si="212"/>
        <v>0</v>
      </c>
      <c r="BG204" s="508">
        <f t="shared" ca="1" si="212"/>
        <v>0</v>
      </c>
      <c r="BH204" s="508">
        <f t="shared" ca="1" si="212"/>
        <v>0</v>
      </c>
      <c r="BI204" s="508">
        <f t="shared" ca="1" si="212"/>
        <v>0</v>
      </c>
      <c r="BJ204" s="508">
        <f t="shared" ca="1" si="212"/>
        <v>0</v>
      </c>
      <c r="BK204" s="508">
        <f t="shared" ca="1" si="212"/>
        <v>0</v>
      </c>
      <c r="BL204" s="508">
        <f t="shared" ca="1" si="212"/>
        <v>0</v>
      </c>
      <c r="BM204" s="508">
        <f t="shared" ca="1" si="212"/>
        <v>0</v>
      </c>
      <c r="BN204" s="508"/>
      <c r="BO204" s="508"/>
      <c r="BP204" s="508">
        <f ca="1">IF($C$4=Year1,-PMT(Lookups!$E$17,25,NPV(Lookups!$E$17,AM204:BK204),0,1),IF($C$4=Year2,-PMT(Lookups!$F$17,25,NPV(Lookups!$F$17,AN204:BL204),0,1),IF($C$4=Year3,-PMT(Lookups!$G$17,25,NPV(Lookups!$G$17,AO204:BM204),0,1),-PMT(Lookups!$G$17,27,NPV(Lookups!$G$17,AM204:BM204),0,1))))</f>
        <v>-9.0530484736089099E-4</v>
      </c>
      <c r="BS204" s="84" t="str">
        <f t="shared" si="207"/>
        <v>Avoided Gas DRIPE avoided costs divided by After Scenario sales.</v>
      </c>
      <c r="BT204" s="51" t="s">
        <v>17</v>
      </c>
    </row>
    <row r="205" spans="1:72" x14ac:dyDescent="0.25">
      <c r="B205" s="243" t="str">
        <f t="shared" ref="B205:D213" si="213">B204</f>
        <v>Small C&amp;I</v>
      </c>
      <c r="C205" s="243" t="str">
        <f t="shared" si="213"/>
        <v>Rates</v>
      </c>
      <c r="D205" s="244" t="str">
        <f t="shared" si="213"/>
        <v>Avoided Costs</v>
      </c>
      <c r="E205" s="86" t="s">
        <v>76</v>
      </c>
      <c r="F205" s="84" t="s">
        <v>182</v>
      </c>
      <c r="G205" s="506">
        <f ca="1">SUM(G202:G204)</f>
        <v>-1.0771919809331731E-2</v>
      </c>
      <c r="H205" s="506">
        <f t="shared" ref="H205:AG205" ca="1" si="214">SUM(H202:H204)</f>
        <v>-2.2515415075124376E-2</v>
      </c>
      <c r="I205" s="506">
        <f t="shared" ca="1" si="214"/>
        <v>-3.5244146302983684E-2</v>
      </c>
      <c r="J205" s="506">
        <f t="shared" ca="1" si="214"/>
        <v>-3.5244146302983684E-2</v>
      </c>
      <c r="K205" s="506">
        <f t="shared" ca="1" si="214"/>
        <v>-3.5244146302983684E-2</v>
      </c>
      <c r="L205" s="506">
        <f t="shared" ca="1" si="214"/>
        <v>-3.5244146302983684E-2</v>
      </c>
      <c r="M205" s="506">
        <f t="shared" ca="1" si="214"/>
        <v>-3.5244146302983684E-2</v>
      </c>
      <c r="N205" s="506">
        <f t="shared" ca="1" si="214"/>
        <v>-3.5244146302983684E-2</v>
      </c>
      <c r="O205" s="506">
        <f t="shared" ca="1" si="214"/>
        <v>-3.5244146302983684E-2</v>
      </c>
      <c r="P205" s="506">
        <f t="shared" ca="1" si="214"/>
        <v>-3.5244146302983684E-2</v>
      </c>
      <c r="Q205" s="506">
        <f t="shared" ca="1" si="214"/>
        <v>-3.5244146302983684E-2</v>
      </c>
      <c r="R205" s="506">
        <f t="shared" ca="1" si="214"/>
        <v>-3.5244146302983684E-2</v>
      </c>
      <c r="S205" s="506">
        <f t="shared" ca="1" si="214"/>
        <v>-3.5244146302983684E-2</v>
      </c>
      <c r="T205" s="506">
        <f t="shared" ca="1" si="214"/>
        <v>-3.5244146302983684E-2</v>
      </c>
      <c r="U205" s="506">
        <f t="shared" ca="1" si="214"/>
        <v>-3.5244146302983684E-2</v>
      </c>
      <c r="V205" s="506">
        <f t="shared" ca="1" si="214"/>
        <v>-3.5244146302983684E-2</v>
      </c>
      <c r="W205" s="506">
        <f t="shared" ca="1" si="214"/>
        <v>-2.3677446600345646E-2</v>
      </c>
      <c r="X205" s="506">
        <f t="shared" ca="1" si="214"/>
        <v>-1.1894183633991209E-2</v>
      </c>
      <c r="Y205" s="506">
        <f t="shared" ca="1" si="214"/>
        <v>0</v>
      </c>
      <c r="Z205" s="506">
        <f t="shared" ca="1" si="214"/>
        <v>0</v>
      </c>
      <c r="AA205" s="506">
        <f t="shared" ca="1" si="214"/>
        <v>0</v>
      </c>
      <c r="AB205" s="506">
        <f t="shared" ca="1" si="214"/>
        <v>0</v>
      </c>
      <c r="AC205" s="506">
        <f t="shared" ca="1" si="214"/>
        <v>0</v>
      </c>
      <c r="AD205" s="506">
        <f t="shared" ca="1" si="214"/>
        <v>0</v>
      </c>
      <c r="AE205" s="506">
        <f t="shared" ca="1" si="214"/>
        <v>0</v>
      </c>
      <c r="AF205" s="506">
        <f t="shared" ca="1" si="214"/>
        <v>0</v>
      </c>
      <c r="AG205" s="506">
        <f t="shared" ca="1" si="214"/>
        <v>0</v>
      </c>
      <c r="AH205" s="506"/>
      <c r="AI205" s="506"/>
      <c r="AJ205" s="506">
        <f ca="1">IF($C$4=Year1,-PMT(Lookups!$E$17,25,NPV(Lookups!$E$17,G205:AE205),0,1),IF($C$4=Year2,-PMT(Lookups!$F$17,25,NPV(Lookups!$F$17,H205:AF205),0,1),IF($C$4=Year3,-PMT(Lookups!$G$17,25,NPV(Lookups!$G$17,I205:AG205),0,1),-PMT(Lookups!$G$17,27,NPV(Lookups!$G$17,G205:AG205),0,1))))</f>
        <v>-2.1780849190769992E-2</v>
      </c>
      <c r="AK205" s="507"/>
      <c r="AL205" s="507"/>
      <c r="AM205" s="508">
        <f ca="1">SUM(AM202:AM204)</f>
        <v>-1.2339580372845407E-2</v>
      </c>
      <c r="AN205" s="508">
        <f t="shared" ref="AN205:BM205" ca="1" si="215">SUM(AN202:AN204)</f>
        <v>-2.5858107370930278E-2</v>
      </c>
      <c r="AO205" s="508">
        <f t="shared" ca="1" si="215"/>
        <v>-4.0589143819381286E-2</v>
      </c>
      <c r="AP205" s="508">
        <f t="shared" ca="1" si="215"/>
        <v>-4.0589143819381286E-2</v>
      </c>
      <c r="AQ205" s="508">
        <f t="shared" ca="1" si="215"/>
        <v>-4.0589143819381286E-2</v>
      </c>
      <c r="AR205" s="508">
        <f t="shared" ca="1" si="215"/>
        <v>-4.0589143819381286E-2</v>
      </c>
      <c r="AS205" s="508">
        <f t="shared" ca="1" si="215"/>
        <v>-4.0589143819381286E-2</v>
      </c>
      <c r="AT205" s="508">
        <f t="shared" ca="1" si="215"/>
        <v>-4.0589143819381286E-2</v>
      </c>
      <c r="AU205" s="508">
        <f t="shared" ca="1" si="215"/>
        <v>-4.0589143819381286E-2</v>
      </c>
      <c r="AV205" s="508">
        <f t="shared" ca="1" si="215"/>
        <v>-4.0589143819381286E-2</v>
      </c>
      <c r="AW205" s="508">
        <f t="shared" ca="1" si="215"/>
        <v>-4.0589143819381286E-2</v>
      </c>
      <c r="AX205" s="508">
        <f t="shared" ca="1" si="215"/>
        <v>-4.0589143819381286E-2</v>
      </c>
      <c r="AY205" s="508">
        <f t="shared" ca="1" si="215"/>
        <v>-4.0589143819381286E-2</v>
      </c>
      <c r="AZ205" s="508">
        <f t="shared" ca="1" si="215"/>
        <v>-4.0589143819381286E-2</v>
      </c>
      <c r="BA205" s="508">
        <f t="shared" ca="1" si="215"/>
        <v>-4.0589143819381286E-2</v>
      </c>
      <c r="BB205" s="508">
        <f t="shared" ca="1" si="215"/>
        <v>-4.0589143819381286E-2</v>
      </c>
      <c r="BC205" s="508">
        <f t="shared" ca="1" si="215"/>
        <v>-2.7199554244066188E-2</v>
      </c>
      <c r="BD205" s="508">
        <f t="shared" ca="1" si="215"/>
        <v>-1.3628498945513608E-2</v>
      </c>
      <c r="BE205" s="508">
        <f t="shared" ca="1" si="215"/>
        <v>0</v>
      </c>
      <c r="BF205" s="508">
        <f t="shared" ca="1" si="215"/>
        <v>0</v>
      </c>
      <c r="BG205" s="508">
        <f t="shared" ca="1" si="215"/>
        <v>0</v>
      </c>
      <c r="BH205" s="508">
        <f t="shared" ca="1" si="215"/>
        <v>0</v>
      </c>
      <c r="BI205" s="508">
        <f t="shared" ca="1" si="215"/>
        <v>0</v>
      </c>
      <c r="BJ205" s="508">
        <f t="shared" ca="1" si="215"/>
        <v>0</v>
      </c>
      <c r="BK205" s="508">
        <f t="shared" ca="1" si="215"/>
        <v>0</v>
      </c>
      <c r="BL205" s="508">
        <f t="shared" ca="1" si="215"/>
        <v>0</v>
      </c>
      <c r="BM205" s="508">
        <f t="shared" ca="1" si="215"/>
        <v>0</v>
      </c>
      <c r="BN205" s="508"/>
      <c r="BO205" s="508"/>
      <c r="BP205" s="508">
        <f ca="1">IF($C$4=Year1,-PMT(Lookups!$E$17,25,NPV(Lookups!$E$17,AM205:BK205),0,1),IF($C$4=Year2,-PMT(Lookups!$F$17,25,NPV(Lookups!$F$17,AN205:BL205),0,1),IF($C$4=Year3,-PMT(Lookups!$G$17,25,NPV(Lookups!$G$17,AO205:BM205),0,1),-PMT(Lookups!$G$17,27,NPV(Lookups!$G$17,AM205:BM205),0,1))))</f>
        <v>-2.5073310443586013E-2</v>
      </c>
      <c r="BS205" s="84" t="s">
        <v>232</v>
      </c>
      <c r="BT205" s="51" t="s">
        <v>17</v>
      </c>
    </row>
    <row r="206" spans="1:72" x14ac:dyDescent="0.25">
      <c r="B206" s="243" t="str">
        <f t="shared" si="213"/>
        <v>Small C&amp;I</v>
      </c>
      <c r="C206" s="243" t="str">
        <f t="shared" si="213"/>
        <v>Rates</v>
      </c>
      <c r="D206" s="114" t="s">
        <v>165</v>
      </c>
      <c r="E206" s="86"/>
      <c r="F206" s="86"/>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S206" s="84"/>
      <c r="BT206" s="51" t="s">
        <v>17</v>
      </c>
    </row>
    <row r="207" spans="1:72" x14ac:dyDescent="0.25">
      <c r="A207" s="246"/>
      <c r="B207" s="243" t="str">
        <f t="shared" si="213"/>
        <v>Small C&amp;I</v>
      </c>
      <c r="C207" s="243" t="str">
        <f t="shared" si="213"/>
        <v>Rates</v>
      </c>
      <c r="D207" s="244" t="str">
        <f t="shared" si="213"/>
        <v>Increased Costs and Cost Shifting</v>
      </c>
      <c r="E207" s="84" t="s">
        <v>406</v>
      </c>
      <c r="F207" s="84" t="s">
        <v>182</v>
      </c>
      <c r="G207" s="509">
        <f ca="1">IF($C$4=Lookups!$D$40,SUM(INDIRECT("'Yr1'!"&amp;ADDRESS(ROW(G207),COLUMN(G207))),INDIRECT("'Yr2'!"&amp;ADDRESS(ROW(G207),COLUMN(G207))),INDIRECT("'Yr3'!"&amp;ADDRESS(ROW(G207),COLUMN(G207)))),
IF($C$4=G$7,SUMIFS('EE Inputs'!$L$9:$L$32,'EE Inputs'!$C$9:$C$32,$G$6,'EE Inputs'!$D$9:$D$32,$C$4,'EE Inputs'!$E$9:$E$32,$B207),0))</f>
        <v>0.14245258051119242</v>
      </c>
      <c r="H207" s="509">
        <f ca="1">IF($C$4=Lookups!$D$40,SUM(INDIRECT("'Yr1'!"&amp;ADDRESS(ROW(H207),COLUMN(H207))),INDIRECT("'Yr2'!"&amp;ADDRESS(ROW(H207),COLUMN(H207))),INDIRECT("'Yr3'!"&amp;ADDRESS(ROW(H207),COLUMN(H207)))),
IF($C$4=H$7,SUMIFS('EE Inputs'!$L$9:$L$32,'EE Inputs'!$C$9:$C$32,$G$6,'EE Inputs'!$D$9:$D$32,$C$4,'EE Inputs'!$E$9:$E$32,$B207),0))</f>
        <v>0.14926911562058559</v>
      </c>
      <c r="I207" s="509">
        <f ca="1">IF($C$4=Lookups!$D$40,SUM(INDIRECT("'Yr1'!"&amp;ADDRESS(ROW(I207),COLUMN(I207))),INDIRECT("'Yr2'!"&amp;ADDRESS(ROW(I207),COLUMN(I207))),INDIRECT("'Yr3'!"&amp;ADDRESS(ROW(I207),COLUMN(I207)))),
IF($C$4=I$7,SUMIFS('EE Inputs'!$L$9:$L$32,'EE Inputs'!$C$9:$C$32,$G$6,'EE Inputs'!$D$9:$D$32,$C$4,'EE Inputs'!$E$9:$E$32,$B207),0))</f>
        <v>0.15875101082198512</v>
      </c>
      <c r="J207" s="509">
        <f ca="1">IF($C$4=Lookups!$D$40,SUM(INDIRECT("'Yr1'!"&amp;ADDRESS(ROW(J207),COLUMN(J207))),INDIRECT("'Yr2'!"&amp;ADDRESS(ROW(J207),COLUMN(J207))),INDIRECT("'Yr3'!"&amp;ADDRESS(ROW(J207),COLUMN(J207)))),
IF($C$4=J$7,SUMIFS('EE Inputs'!$L$9:$L$32,'EE Inputs'!$C$9:$C$32,$G$6,'EE Inputs'!$D$9:$D$32,$C$4,'EE Inputs'!$E$9:$E$32,$B207),0))</f>
        <v>0</v>
      </c>
      <c r="K207" s="509">
        <f ca="1">IF($C$4=Lookups!$D$40,SUM(INDIRECT("'Yr1'!"&amp;ADDRESS(ROW(K207),COLUMN(K207))),INDIRECT("'Yr2'!"&amp;ADDRESS(ROW(K207),COLUMN(K207))),INDIRECT("'Yr3'!"&amp;ADDRESS(ROW(K207),COLUMN(K207)))),
IF($C$4=K$7,SUMIFS('EE Inputs'!$L$9:$L$32,'EE Inputs'!$C$9:$C$32,$G$6,'EE Inputs'!$D$9:$D$32,$C$4,'EE Inputs'!$E$9:$E$32,$B207),0))</f>
        <v>0</v>
      </c>
      <c r="L207" s="509">
        <f ca="1">IF($C$4=Lookups!$D$40,SUM(INDIRECT("'Yr1'!"&amp;ADDRESS(ROW(L207),COLUMN(L207))),INDIRECT("'Yr2'!"&amp;ADDRESS(ROW(L207),COLUMN(L207))),INDIRECT("'Yr3'!"&amp;ADDRESS(ROW(L207),COLUMN(L207)))),
IF($C$4=L$7,SUMIFS('EE Inputs'!$L$9:$L$32,'EE Inputs'!$C$9:$C$32,$G$6,'EE Inputs'!$D$9:$D$32,$C$4,'EE Inputs'!$E$9:$E$32,$B207),0))</f>
        <v>0</v>
      </c>
      <c r="M207" s="509">
        <f ca="1">IF($C$4=Lookups!$D$40,SUM(INDIRECT("'Yr1'!"&amp;ADDRESS(ROW(M207),COLUMN(M207))),INDIRECT("'Yr2'!"&amp;ADDRESS(ROW(M207),COLUMN(M207))),INDIRECT("'Yr3'!"&amp;ADDRESS(ROW(M207),COLUMN(M207)))),
IF($C$4=M$7,SUMIFS('EE Inputs'!$L$9:$L$32,'EE Inputs'!$C$9:$C$32,$G$6,'EE Inputs'!$D$9:$D$32,$C$4,'EE Inputs'!$E$9:$E$32,$B207),0))</f>
        <v>0</v>
      </c>
      <c r="N207" s="509">
        <f ca="1">IF($C$4=Lookups!$D$40,SUM(INDIRECT("'Yr1'!"&amp;ADDRESS(ROW(N207),COLUMN(N207))),INDIRECT("'Yr2'!"&amp;ADDRESS(ROW(N207),COLUMN(N207))),INDIRECT("'Yr3'!"&amp;ADDRESS(ROW(N207),COLUMN(N207)))),
IF($C$4=N$7,SUMIFS('EE Inputs'!$L$9:$L$32,'EE Inputs'!$C$9:$C$32,$G$6,'EE Inputs'!$D$9:$D$32,$C$4,'EE Inputs'!$E$9:$E$32,$B207),0))</f>
        <v>0</v>
      </c>
      <c r="O207" s="509">
        <f ca="1">IF($C$4=Lookups!$D$40,SUM(INDIRECT("'Yr1'!"&amp;ADDRESS(ROW(O207),COLUMN(O207))),INDIRECT("'Yr2'!"&amp;ADDRESS(ROW(O207),COLUMN(O207))),INDIRECT("'Yr3'!"&amp;ADDRESS(ROW(O207),COLUMN(O207)))),
IF($C$4=O$7,SUMIFS('EE Inputs'!$L$9:$L$32,'EE Inputs'!$C$9:$C$32,$G$6,'EE Inputs'!$D$9:$D$32,$C$4,'EE Inputs'!$E$9:$E$32,$B207),0))</f>
        <v>0</v>
      </c>
      <c r="P207" s="509">
        <f ca="1">IF($C$4=Lookups!$D$40,SUM(INDIRECT("'Yr1'!"&amp;ADDRESS(ROW(P207),COLUMN(P207))),INDIRECT("'Yr2'!"&amp;ADDRESS(ROW(P207),COLUMN(P207))),INDIRECT("'Yr3'!"&amp;ADDRESS(ROW(P207),COLUMN(P207)))),
IF($C$4=P$7,SUMIFS('EE Inputs'!$L$9:$L$32,'EE Inputs'!$C$9:$C$32,$G$6,'EE Inputs'!$D$9:$D$32,$C$4,'EE Inputs'!$E$9:$E$32,$B207),0))</f>
        <v>0</v>
      </c>
      <c r="Q207" s="509">
        <f ca="1">IF($C$4=Lookups!$D$40,SUM(INDIRECT("'Yr1'!"&amp;ADDRESS(ROW(Q207),COLUMN(Q207))),INDIRECT("'Yr2'!"&amp;ADDRESS(ROW(Q207),COLUMN(Q207))),INDIRECT("'Yr3'!"&amp;ADDRESS(ROW(Q207),COLUMN(Q207)))),
IF($C$4=Q$7,SUMIFS('EE Inputs'!$L$9:$L$32,'EE Inputs'!$C$9:$C$32,$G$6,'EE Inputs'!$D$9:$D$32,$C$4,'EE Inputs'!$E$9:$E$32,$B207),0))</f>
        <v>0</v>
      </c>
      <c r="R207" s="509">
        <f ca="1">IF($C$4=Lookups!$D$40,SUM(INDIRECT("'Yr1'!"&amp;ADDRESS(ROW(R207),COLUMN(R207))),INDIRECT("'Yr2'!"&amp;ADDRESS(ROW(R207),COLUMN(R207))),INDIRECT("'Yr3'!"&amp;ADDRESS(ROW(R207),COLUMN(R207)))),
IF($C$4=R$7,SUMIFS('EE Inputs'!$L$9:$L$32,'EE Inputs'!$C$9:$C$32,$G$6,'EE Inputs'!$D$9:$D$32,$C$4,'EE Inputs'!$E$9:$E$32,$B207),0))</f>
        <v>0</v>
      </c>
      <c r="S207" s="509">
        <f ca="1">IF($C$4=Lookups!$D$40,SUM(INDIRECT("'Yr1'!"&amp;ADDRESS(ROW(S207),COLUMN(S207))),INDIRECT("'Yr2'!"&amp;ADDRESS(ROW(S207),COLUMN(S207))),INDIRECT("'Yr3'!"&amp;ADDRESS(ROW(S207),COLUMN(S207)))),
IF($C$4=S$7,SUMIFS('EE Inputs'!$L$9:$L$32,'EE Inputs'!$C$9:$C$32,$G$6,'EE Inputs'!$D$9:$D$32,$C$4,'EE Inputs'!$E$9:$E$32,$B207),0))</f>
        <v>0</v>
      </c>
      <c r="T207" s="509">
        <f ca="1">IF($C$4=Lookups!$D$40,SUM(INDIRECT("'Yr1'!"&amp;ADDRESS(ROW(T207),COLUMN(T207))),INDIRECT("'Yr2'!"&amp;ADDRESS(ROW(T207),COLUMN(T207))),INDIRECT("'Yr3'!"&amp;ADDRESS(ROW(T207),COLUMN(T207)))),
IF($C$4=T$7,SUMIFS('EE Inputs'!$L$9:$L$32,'EE Inputs'!$C$9:$C$32,$G$6,'EE Inputs'!$D$9:$D$32,$C$4,'EE Inputs'!$E$9:$E$32,$B207),0))</f>
        <v>0</v>
      </c>
      <c r="U207" s="509">
        <f ca="1">IF($C$4=Lookups!$D$40,SUM(INDIRECT("'Yr1'!"&amp;ADDRESS(ROW(U207),COLUMN(U207))),INDIRECT("'Yr2'!"&amp;ADDRESS(ROW(U207),COLUMN(U207))),INDIRECT("'Yr3'!"&amp;ADDRESS(ROW(U207),COLUMN(U207)))),
IF($C$4=U$7,SUMIFS('EE Inputs'!$L$9:$L$32,'EE Inputs'!$C$9:$C$32,$G$6,'EE Inputs'!$D$9:$D$32,$C$4,'EE Inputs'!$E$9:$E$32,$B207),0))</f>
        <v>0</v>
      </c>
      <c r="V207" s="509">
        <f ca="1">IF($C$4=Lookups!$D$40,SUM(INDIRECT("'Yr1'!"&amp;ADDRESS(ROW(V207),COLUMN(V207))),INDIRECT("'Yr2'!"&amp;ADDRESS(ROW(V207),COLUMN(V207))),INDIRECT("'Yr3'!"&amp;ADDRESS(ROW(V207),COLUMN(V207)))),
IF($C$4=V$7,SUMIFS('EE Inputs'!$L$9:$L$32,'EE Inputs'!$C$9:$C$32,$G$6,'EE Inputs'!$D$9:$D$32,$C$4,'EE Inputs'!$E$9:$E$32,$B207),0))</f>
        <v>0</v>
      </c>
      <c r="W207" s="509">
        <f ca="1">IF($C$4=Lookups!$D$40,SUM(INDIRECT("'Yr1'!"&amp;ADDRESS(ROW(W207),COLUMN(W207))),INDIRECT("'Yr2'!"&amp;ADDRESS(ROW(W207),COLUMN(W207))),INDIRECT("'Yr3'!"&amp;ADDRESS(ROW(W207),COLUMN(W207)))),
IF($C$4=W$7,SUMIFS('EE Inputs'!$L$9:$L$32,'EE Inputs'!$C$9:$C$32,$G$6,'EE Inputs'!$D$9:$D$32,$C$4,'EE Inputs'!$E$9:$E$32,$B207),0))</f>
        <v>0</v>
      </c>
      <c r="X207" s="509">
        <f ca="1">IF($C$4=Lookups!$D$40,SUM(INDIRECT("'Yr1'!"&amp;ADDRESS(ROW(X207),COLUMN(X207))),INDIRECT("'Yr2'!"&amp;ADDRESS(ROW(X207),COLUMN(X207))),INDIRECT("'Yr3'!"&amp;ADDRESS(ROW(X207),COLUMN(X207)))),
IF($C$4=X$7,SUMIFS('EE Inputs'!$L$9:$L$32,'EE Inputs'!$C$9:$C$32,$G$6,'EE Inputs'!$D$9:$D$32,$C$4,'EE Inputs'!$E$9:$E$32,$B207),0))</f>
        <v>0</v>
      </c>
      <c r="Y207" s="509">
        <f ca="1">IF($C$4=Lookups!$D$40,SUM(INDIRECT("'Yr1'!"&amp;ADDRESS(ROW(Y207),COLUMN(Y207))),INDIRECT("'Yr2'!"&amp;ADDRESS(ROW(Y207),COLUMN(Y207))),INDIRECT("'Yr3'!"&amp;ADDRESS(ROW(Y207),COLUMN(Y207)))),
IF($C$4=Y$7,SUMIFS('EE Inputs'!$L$9:$L$32,'EE Inputs'!$C$9:$C$32,$G$6,'EE Inputs'!$D$9:$D$32,$C$4,'EE Inputs'!$E$9:$E$32,$B207),0))</f>
        <v>0</v>
      </c>
      <c r="Z207" s="509">
        <f ca="1">IF($C$4=Lookups!$D$40,SUM(INDIRECT("'Yr1'!"&amp;ADDRESS(ROW(Z207),COLUMN(Z207))),INDIRECT("'Yr2'!"&amp;ADDRESS(ROW(Z207),COLUMN(Z207))),INDIRECT("'Yr3'!"&amp;ADDRESS(ROW(Z207),COLUMN(Z207)))),
IF($C$4=Z$7,SUMIFS('EE Inputs'!$L$9:$L$32,'EE Inputs'!$C$9:$C$32,$G$6,'EE Inputs'!$D$9:$D$32,$C$4,'EE Inputs'!$E$9:$E$32,$B207),0))</f>
        <v>0</v>
      </c>
      <c r="AA207" s="509">
        <f ca="1">IF($C$4=Lookups!$D$40,SUM(INDIRECT("'Yr1'!"&amp;ADDRESS(ROW(AA207),COLUMN(AA207))),INDIRECT("'Yr2'!"&amp;ADDRESS(ROW(AA207),COLUMN(AA207))),INDIRECT("'Yr3'!"&amp;ADDRESS(ROW(AA207),COLUMN(AA207)))),
IF($C$4=AA$7,SUMIFS('EE Inputs'!$L$9:$L$32,'EE Inputs'!$C$9:$C$32,$G$6,'EE Inputs'!$D$9:$D$32,$C$4,'EE Inputs'!$E$9:$E$32,$B207),0))</f>
        <v>0</v>
      </c>
      <c r="AB207" s="509">
        <f ca="1">IF($C$4=Lookups!$D$40,SUM(INDIRECT("'Yr1'!"&amp;ADDRESS(ROW(AB207),COLUMN(AB207))),INDIRECT("'Yr2'!"&amp;ADDRESS(ROW(AB207),COLUMN(AB207))),INDIRECT("'Yr3'!"&amp;ADDRESS(ROW(AB207),COLUMN(AB207)))),
IF($C$4=AB$7,SUMIFS('EE Inputs'!$L$9:$L$32,'EE Inputs'!$C$9:$C$32,$G$6,'EE Inputs'!$D$9:$D$32,$C$4,'EE Inputs'!$E$9:$E$32,$B207),0))</f>
        <v>0</v>
      </c>
      <c r="AC207" s="509">
        <f ca="1">IF($C$4=Lookups!$D$40,SUM(INDIRECT("'Yr1'!"&amp;ADDRESS(ROW(AC207),COLUMN(AC207))),INDIRECT("'Yr2'!"&amp;ADDRESS(ROW(AC207),COLUMN(AC207))),INDIRECT("'Yr3'!"&amp;ADDRESS(ROW(AC207),COLUMN(AC207)))),
IF($C$4=AC$7,SUMIFS('EE Inputs'!$L$9:$L$32,'EE Inputs'!$C$9:$C$32,$G$6,'EE Inputs'!$D$9:$D$32,$C$4,'EE Inputs'!$E$9:$E$32,$B207),0))</f>
        <v>0</v>
      </c>
      <c r="AD207" s="509">
        <f ca="1">IF($C$4=Lookups!$D$40,SUM(INDIRECT("'Yr1'!"&amp;ADDRESS(ROW(AD207),COLUMN(AD207))),INDIRECT("'Yr2'!"&amp;ADDRESS(ROW(AD207),COLUMN(AD207))),INDIRECT("'Yr3'!"&amp;ADDRESS(ROW(AD207),COLUMN(AD207)))),
IF($C$4=AD$7,SUMIFS('EE Inputs'!$L$9:$L$32,'EE Inputs'!$C$9:$C$32,$G$6,'EE Inputs'!$D$9:$D$32,$C$4,'EE Inputs'!$E$9:$E$32,$B207),0))</f>
        <v>0</v>
      </c>
      <c r="AE207" s="509">
        <f ca="1">IF($C$4=Lookups!$D$40,SUM(INDIRECT("'Yr1'!"&amp;ADDRESS(ROW(AE207),COLUMN(AE207))),INDIRECT("'Yr2'!"&amp;ADDRESS(ROW(AE207),COLUMN(AE207))),INDIRECT("'Yr3'!"&amp;ADDRESS(ROW(AE207),COLUMN(AE207)))),
IF($C$4=AE$7,SUMIFS('EE Inputs'!$L$9:$L$32,'EE Inputs'!$C$9:$C$32,$G$6,'EE Inputs'!$D$9:$D$32,$C$4,'EE Inputs'!$E$9:$E$32,$B207),0))</f>
        <v>0</v>
      </c>
      <c r="AF207" s="509">
        <f ca="1">IF($C$4=Lookups!$D$40,SUM(INDIRECT("'Yr1'!"&amp;ADDRESS(ROW(AF207),COLUMN(AF207))),INDIRECT("'Yr2'!"&amp;ADDRESS(ROW(AF207),COLUMN(AF207))),INDIRECT("'Yr3'!"&amp;ADDRESS(ROW(AF207),COLUMN(AF207)))),
IF($C$4=AF$7,SUMIFS('EE Inputs'!$L$9:$L$32,'EE Inputs'!$C$9:$C$32,$G$6,'EE Inputs'!$D$9:$D$32,$C$4,'EE Inputs'!$E$9:$E$32,$B207),0))</f>
        <v>0</v>
      </c>
      <c r="AG207" s="509">
        <f ca="1">IF($C$4=Lookups!$D$40,SUM(INDIRECT("'Yr1'!"&amp;ADDRESS(ROW(AG207),COLUMN(AG207))),INDIRECT("'Yr2'!"&amp;ADDRESS(ROW(AG207),COLUMN(AG207))),INDIRECT("'Yr3'!"&amp;ADDRESS(ROW(AG207),COLUMN(AG207)))),
IF($C$4=AG$7,SUMIFS('EE Inputs'!$L$9:$L$32,'EE Inputs'!$C$9:$C$32,$G$6,'EE Inputs'!$D$9:$D$32,$C$4,'EE Inputs'!$E$9:$E$32,$B207),0))</f>
        <v>0</v>
      </c>
      <c r="AH207" s="509"/>
      <c r="AI207" s="509"/>
      <c r="AJ207" s="509">
        <f ca="1">IF($C$4=Year1,-PMT(Lookups!$E$17,25,NPV(Lookups!$E$17,G207:AE207),0,1),IF($C$4=Year2,-PMT(Lookups!$F$17,25,NPV(Lookups!$F$17,H207:AF207),0,1),IF($C$4=Year3,-PMT(Lookups!$G$17,25,NPV(Lookups!$G$17,I207:AG207),0,1),-PMT(Lookups!$G$17,27,NPV(Lookups!$G$17,G207:AG207),0,1))))</f>
        <v>1.9346970547807745E-2</v>
      </c>
      <c r="AK207" s="507"/>
      <c r="AL207" s="507"/>
      <c r="AM207" s="508">
        <f ca="1">IF($C$4=Lookups!$D$40,SUM(INDIRECT("'Yr1'!"&amp;ADDRESS(ROW(AM207),COLUMN(AM207))),INDIRECT("'Yr2'!"&amp;ADDRESS(ROW(AM207),COLUMN(AM207))),INDIRECT("'Yr3'!"&amp;ADDRESS(ROW(AM207),COLUMN(AM207)))),
IF($C$4=AM$7,SUMIFS('EE Inputs'!$L$9:$L$32,'EE Inputs'!$C$9:$C$32,$AM$6,'EE Inputs'!$D$9:$D$32,$C$4,'EE Inputs'!$E$9:$E$32,$B207),0))</f>
        <v>0.17094309661343091</v>
      </c>
      <c r="AN207" s="508">
        <f ca="1">IF($C$4=Lookups!$D$40,SUM(INDIRECT("'Yr1'!"&amp;ADDRESS(ROW(AN207),COLUMN(AN207))),INDIRECT("'Yr2'!"&amp;ADDRESS(ROW(AN207),COLUMN(AN207))),INDIRECT("'Yr3'!"&amp;ADDRESS(ROW(AN207),COLUMN(AN207)))),
IF($C$4=AN$7,SUMIFS('EE Inputs'!$L$9:$L$32,'EE Inputs'!$C$9:$C$32,$AM$6,'EE Inputs'!$D$9:$D$32,$C$4,'EE Inputs'!$E$9:$E$32,$B207),0))</f>
        <v>0.1791229387447027</v>
      </c>
      <c r="AO207" s="508">
        <f ca="1">IF($C$4=Lookups!$D$40,SUM(INDIRECT("'Yr1'!"&amp;ADDRESS(ROW(AO207),COLUMN(AO207))),INDIRECT("'Yr2'!"&amp;ADDRESS(ROW(AO207),COLUMN(AO207))),INDIRECT("'Yr3'!"&amp;ADDRESS(ROW(AO207),COLUMN(AO207)))),
IF($C$4=AO$7,SUMIFS('EE Inputs'!$L$9:$L$32,'EE Inputs'!$C$9:$C$32,$AM$6,'EE Inputs'!$D$9:$D$32,$C$4,'EE Inputs'!$E$9:$E$32,$B207),0))</f>
        <v>0.19050121298638215</v>
      </c>
      <c r="AP207" s="508">
        <f ca="1">IF($C$4=Lookups!$D$40,SUM(INDIRECT("'Yr1'!"&amp;ADDRESS(ROW(AP207),COLUMN(AP207))),INDIRECT("'Yr2'!"&amp;ADDRESS(ROW(AP207),COLUMN(AP207))),INDIRECT("'Yr3'!"&amp;ADDRESS(ROW(AP207),COLUMN(AP207)))),
IF($C$4=AP$7,SUMIFS('EE Inputs'!$L$9:$L$32,'EE Inputs'!$C$9:$C$32,$AM$6,'EE Inputs'!$D$9:$D$32,$C$4,'EE Inputs'!$E$9:$E$32,$B207),0))</f>
        <v>0</v>
      </c>
      <c r="AQ207" s="508">
        <f ca="1">IF($C$4=Lookups!$D$40,SUM(INDIRECT("'Yr1'!"&amp;ADDRESS(ROW(AQ207),COLUMN(AQ207))),INDIRECT("'Yr2'!"&amp;ADDRESS(ROW(AQ207),COLUMN(AQ207))),INDIRECT("'Yr3'!"&amp;ADDRESS(ROW(AQ207),COLUMN(AQ207)))),
IF($C$4=AQ$7,SUMIFS('EE Inputs'!$L$9:$L$32,'EE Inputs'!$C$9:$C$32,$AM$6,'EE Inputs'!$D$9:$D$32,$C$4,'EE Inputs'!$E$9:$E$32,$B207),0))</f>
        <v>0</v>
      </c>
      <c r="AR207" s="508">
        <f ca="1">IF($C$4=Lookups!$D$40,SUM(INDIRECT("'Yr1'!"&amp;ADDRESS(ROW(AR207),COLUMN(AR207))),INDIRECT("'Yr2'!"&amp;ADDRESS(ROW(AR207),COLUMN(AR207))),INDIRECT("'Yr3'!"&amp;ADDRESS(ROW(AR207),COLUMN(AR207)))),
IF($C$4=AR$7,SUMIFS('EE Inputs'!$L$9:$L$32,'EE Inputs'!$C$9:$C$32,$AM$6,'EE Inputs'!$D$9:$D$32,$C$4,'EE Inputs'!$E$9:$E$32,$B207),0))</f>
        <v>0</v>
      </c>
      <c r="AS207" s="508">
        <f ca="1">IF($C$4=Lookups!$D$40,SUM(INDIRECT("'Yr1'!"&amp;ADDRESS(ROW(AS207),COLUMN(AS207))),INDIRECT("'Yr2'!"&amp;ADDRESS(ROW(AS207),COLUMN(AS207))),INDIRECT("'Yr3'!"&amp;ADDRESS(ROW(AS207),COLUMN(AS207)))),
IF($C$4=AS$7,SUMIFS('EE Inputs'!$L$9:$L$32,'EE Inputs'!$C$9:$C$32,$AM$6,'EE Inputs'!$D$9:$D$32,$C$4,'EE Inputs'!$E$9:$E$32,$B207),0))</f>
        <v>0</v>
      </c>
      <c r="AT207" s="508">
        <f ca="1">IF($C$4=Lookups!$D$40,SUM(INDIRECT("'Yr1'!"&amp;ADDRESS(ROW(AT207),COLUMN(AT207))),INDIRECT("'Yr2'!"&amp;ADDRESS(ROW(AT207),COLUMN(AT207))),INDIRECT("'Yr3'!"&amp;ADDRESS(ROW(AT207),COLUMN(AT207)))),
IF($C$4=AT$7,SUMIFS('EE Inputs'!$L$9:$L$32,'EE Inputs'!$C$9:$C$32,$AM$6,'EE Inputs'!$D$9:$D$32,$C$4,'EE Inputs'!$E$9:$E$32,$B207),0))</f>
        <v>0</v>
      </c>
      <c r="AU207" s="508">
        <f ca="1">IF($C$4=Lookups!$D$40,SUM(INDIRECT("'Yr1'!"&amp;ADDRESS(ROW(AU207),COLUMN(AU207))),INDIRECT("'Yr2'!"&amp;ADDRESS(ROW(AU207),COLUMN(AU207))),INDIRECT("'Yr3'!"&amp;ADDRESS(ROW(AU207),COLUMN(AU207)))),
IF($C$4=AU$7,SUMIFS('EE Inputs'!$L$9:$L$32,'EE Inputs'!$C$9:$C$32,$AM$6,'EE Inputs'!$D$9:$D$32,$C$4,'EE Inputs'!$E$9:$E$32,$B207),0))</f>
        <v>0</v>
      </c>
      <c r="AV207" s="508">
        <f ca="1">IF($C$4=Lookups!$D$40,SUM(INDIRECT("'Yr1'!"&amp;ADDRESS(ROW(AV207),COLUMN(AV207))),INDIRECT("'Yr2'!"&amp;ADDRESS(ROW(AV207),COLUMN(AV207))),INDIRECT("'Yr3'!"&amp;ADDRESS(ROW(AV207),COLUMN(AV207)))),
IF($C$4=AV$7,SUMIFS('EE Inputs'!$L$9:$L$32,'EE Inputs'!$C$9:$C$32,$AM$6,'EE Inputs'!$D$9:$D$32,$C$4,'EE Inputs'!$E$9:$E$32,$B207),0))</f>
        <v>0</v>
      </c>
      <c r="AW207" s="508">
        <f ca="1">IF($C$4=Lookups!$D$40,SUM(INDIRECT("'Yr1'!"&amp;ADDRESS(ROW(AW207),COLUMN(AW207))),INDIRECT("'Yr2'!"&amp;ADDRESS(ROW(AW207),COLUMN(AW207))),INDIRECT("'Yr3'!"&amp;ADDRESS(ROW(AW207),COLUMN(AW207)))),
IF($C$4=AW$7,SUMIFS('EE Inputs'!$L$9:$L$32,'EE Inputs'!$C$9:$C$32,$AM$6,'EE Inputs'!$D$9:$D$32,$C$4,'EE Inputs'!$E$9:$E$32,$B207),0))</f>
        <v>0</v>
      </c>
      <c r="AX207" s="508">
        <f ca="1">IF($C$4=Lookups!$D$40,SUM(INDIRECT("'Yr1'!"&amp;ADDRESS(ROW(AX207),COLUMN(AX207))),INDIRECT("'Yr2'!"&amp;ADDRESS(ROW(AX207),COLUMN(AX207))),INDIRECT("'Yr3'!"&amp;ADDRESS(ROW(AX207),COLUMN(AX207)))),
IF($C$4=AX$7,SUMIFS('EE Inputs'!$L$9:$L$32,'EE Inputs'!$C$9:$C$32,$AM$6,'EE Inputs'!$D$9:$D$32,$C$4,'EE Inputs'!$E$9:$E$32,$B207),0))</f>
        <v>0</v>
      </c>
      <c r="AY207" s="508">
        <f ca="1">IF($C$4=Lookups!$D$40,SUM(INDIRECT("'Yr1'!"&amp;ADDRESS(ROW(AY207),COLUMN(AY207))),INDIRECT("'Yr2'!"&amp;ADDRESS(ROW(AY207),COLUMN(AY207))),INDIRECT("'Yr3'!"&amp;ADDRESS(ROW(AY207),COLUMN(AY207)))),
IF($C$4=AY$7,SUMIFS('EE Inputs'!$L$9:$L$32,'EE Inputs'!$C$9:$C$32,$AM$6,'EE Inputs'!$D$9:$D$32,$C$4,'EE Inputs'!$E$9:$E$32,$B207),0))</f>
        <v>0</v>
      </c>
      <c r="AZ207" s="508">
        <f ca="1">IF($C$4=Lookups!$D$40,SUM(INDIRECT("'Yr1'!"&amp;ADDRESS(ROW(AZ207),COLUMN(AZ207))),INDIRECT("'Yr2'!"&amp;ADDRESS(ROW(AZ207),COLUMN(AZ207))),INDIRECT("'Yr3'!"&amp;ADDRESS(ROW(AZ207),COLUMN(AZ207)))),
IF($C$4=AZ$7,SUMIFS('EE Inputs'!$L$9:$L$32,'EE Inputs'!$C$9:$C$32,$AM$6,'EE Inputs'!$D$9:$D$32,$C$4,'EE Inputs'!$E$9:$E$32,$B207),0))</f>
        <v>0</v>
      </c>
      <c r="BA207" s="508">
        <f ca="1">IF($C$4=Lookups!$D$40,SUM(INDIRECT("'Yr1'!"&amp;ADDRESS(ROW(BA207),COLUMN(BA207))),INDIRECT("'Yr2'!"&amp;ADDRESS(ROW(BA207),COLUMN(BA207))),INDIRECT("'Yr3'!"&amp;ADDRESS(ROW(BA207),COLUMN(BA207)))),
IF($C$4=BA$7,SUMIFS('EE Inputs'!$L$9:$L$32,'EE Inputs'!$C$9:$C$32,$AM$6,'EE Inputs'!$D$9:$D$32,$C$4,'EE Inputs'!$E$9:$E$32,$B207),0))</f>
        <v>0</v>
      </c>
      <c r="BB207" s="508">
        <f ca="1">IF($C$4=Lookups!$D$40,SUM(INDIRECT("'Yr1'!"&amp;ADDRESS(ROW(BB207),COLUMN(BB207))),INDIRECT("'Yr2'!"&amp;ADDRESS(ROW(BB207),COLUMN(BB207))),INDIRECT("'Yr3'!"&amp;ADDRESS(ROW(BB207),COLUMN(BB207)))),
IF($C$4=BB$7,SUMIFS('EE Inputs'!$L$9:$L$32,'EE Inputs'!$C$9:$C$32,$AM$6,'EE Inputs'!$D$9:$D$32,$C$4,'EE Inputs'!$E$9:$E$32,$B207),0))</f>
        <v>0</v>
      </c>
      <c r="BC207" s="508">
        <f ca="1">IF($C$4=Lookups!$D$40,SUM(INDIRECT("'Yr1'!"&amp;ADDRESS(ROW(BC207),COLUMN(BC207))),INDIRECT("'Yr2'!"&amp;ADDRESS(ROW(BC207),COLUMN(BC207))),INDIRECT("'Yr3'!"&amp;ADDRESS(ROW(BC207),COLUMN(BC207)))),
IF($C$4=BC$7,SUMIFS('EE Inputs'!$L$9:$L$32,'EE Inputs'!$C$9:$C$32,$AM$6,'EE Inputs'!$D$9:$D$32,$C$4,'EE Inputs'!$E$9:$E$32,$B207),0))</f>
        <v>0</v>
      </c>
      <c r="BD207" s="508">
        <f ca="1">IF($C$4=Lookups!$D$40,SUM(INDIRECT("'Yr1'!"&amp;ADDRESS(ROW(BD207),COLUMN(BD207))),INDIRECT("'Yr2'!"&amp;ADDRESS(ROW(BD207),COLUMN(BD207))),INDIRECT("'Yr3'!"&amp;ADDRESS(ROW(BD207),COLUMN(BD207)))),
IF($C$4=BD$7,SUMIFS('EE Inputs'!$L$9:$L$32,'EE Inputs'!$C$9:$C$32,$AM$6,'EE Inputs'!$D$9:$D$32,$C$4,'EE Inputs'!$E$9:$E$32,$B207),0))</f>
        <v>0</v>
      </c>
      <c r="BE207" s="508">
        <f ca="1">IF($C$4=Lookups!$D$40,SUM(INDIRECT("'Yr1'!"&amp;ADDRESS(ROW(BE207),COLUMN(BE207))),INDIRECT("'Yr2'!"&amp;ADDRESS(ROW(BE207),COLUMN(BE207))),INDIRECT("'Yr3'!"&amp;ADDRESS(ROW(BE207),COLUMN(BE207)))),
IF($C$4=BE$7,SUMIFS('EE Inputs'!$L$9:$L$32,'EE Inputs'!$C$9:$C$32,$AM$6,'EE Inputs'!$D$9:$D$32,$C$4,'EE Inputs'!$E$9:$E$32,$B207),0))</f>
        <v>0</v>
      </c>
      <c r="BF207" s="508">
        <f ca="1">IF($C$4=Lookups!$D$40,SUM(INDIRECT("'Yr1'!"&amp;ADDRESS(ROW(BF207),COLUMN(BF207))),INDIRECT("'Yr2'!"&amp;ADDRESS(ROW(BF207),COLUMN(BF207))),INDIRECT("'Yr3'!"&amp;ADDRESS(ROW(BF207),COLUMN(BF207)))),
IF($C$4=BF$7,SUMIFS('EE Inputs'!$L$9:$L$32,'EE Inputs'!$C$9:$C$32,$AM$6,'EE Inputs'!$D$9:$D$32,$C$4,'EE Inputs'!$E$9:$E$32,$B207),0))</f>
        <v>0</v>
      </c>
      <c r="BG207" s="508">
        <f ca="1">IF($C$4=Lookups!$D$40,SUM(INDIRECT("'Yr1'!"&amp;ADDRESS(ROW(BG207),COLUMN(BG207))),INDIRECT("'Yr2'!"&amp;ADDRESS(ROW(BG207),COLUMN(BG207))),INDIRECT("'Yr3'!"&amp;ADDRESS(ROW(BG207),COLUMN(BG207)))),
IF($C$4=BG$7,SUMIFS('EE Inputs'!$L$9:$L$32,'EE Inputs'!$C$9:$C$32,$AM$6,'EE Inputs'!$D$9:$D$32,$C$4,'EE Inputs'!$E$9:$E$32,$B207),0))</f>
        <v>0</v>
      </c>
      <c r="BH207" s="508">
        <f ca="1">IF($C$4=Lookups!$D$40,SUM(INDIRECT("'Yr1'!"&amp;ADDRESS(ROW(BH207),COLUMN(BH207))),INDIRECT("'Yr2'!"&amp;ADDRESS(ROW(BH207),COLUMN(BH207))),INDIRECT("'Yr3'!"&amp;ADDRESS(ROW(BH207),COLUMN(BH207)))),
IF($C$4=BH$7,SUMIFS('EE Inputs'!$L$9:$L$32,'EE Inputs'!$C$9:$C$32,$AM$6,'EE Inputs'!$D$9:$D$32,$C$4,'EE Inputs'!$E$9:$E$32,$B207),0))</f>
        <v>0</v>
      </c>
      <c r="BI207" s="508">
        <f ca="1">IF($C$4=Lookups!$D$40,SUM(INDIRECT("'Yr1'!"&amp;ADDRESS(ROW(BI207),COLUMN(BI207))),INDIRECT("'Yr2'!"&amp;ADDRESS(ROW(BI207),COLUMN(BI207))),INDIRECT("'Yr3'!"&amp;ADDRESS(ROW(BI207),COLUMN(BI207)))),
IF($C$4=BI$7,SUMIFS('EE Inputs'!$L$9:$L$32,'EE Inputs'!$C$9:$C$32,$AM$6,'EE Inputs'!$D$9:$D$32,$C$4,'EE Inputs'!$E$9:$E$32,$B207),0))</f>
        <v>0</v>
      </c>
      <c r="BJ207" s="508">
        <f ca="1">IF($C$4=Lookups!$D$40,SUM(INDIRECT("'Yr1'!"&amp;ADDRESS(ROW(BJ207),COLUMN(BJ207))),INDIRECT("'Yr2'!"&amp;ADDRESS(ROW(BJ207),COLUMN(BJ207))),INDIRECT("'Yr3'!"&amp;ADDRESS(ROW(BJ207),COLUMN(BJ207)))),
IF($C$4=BJ$7,SUMIFS('EE Inputs'!$L$9:$L$32,'EE Inputs'!$C$9:$C$32,$AM$6,'EE Inputs'!$D$9:$D$32,$C$4,'EE Inputs'!$E$9:$E$32,$B207),0))</f>
        <v>0</v>
      </c>
      <c r="BK207" s="508">
        <f ca="1">IF($C$4=Lookups!$D$40,SUM(INDIRECT("'Yr1'!"&amp;ADDRESS(ROW(BK207),COLUMN(BK207))),INDIRECT("'Yr2'!"&amp;ADDRESS(ROW(BK207),COLUMN(BK207))),INDIRECT("'Yr3'!"&amp;ADDRESS(ROW(BK207),COLUMN(BK207)))),
IF($C$4=BK$7,SUMIFS('EE Inputs'!$L$9:$L$32,'EE Inputs'!$C$9:$C$32,$AM$6,'EE Inputs'!$D$9:$D$32,$C$4,'EE Inputs'!$E$9:$E$32,$B207),0))</f>
        <v>0</v>
      </c>
      <c r="BL207" s="508">
        <f ca="1">IF($C$4=Lookups!$D$40,SUM(INDIRECT("'Yr1'!"&amp;ADDRESS(ROW(BL207),COLUMN(BL207))),INDIRECT("'Yr2'!"&amp;ADDRESS(ROW(BL207),COLUMN(BL207))),INDIRECT("'Yr3'!"&amp;ADDRESS(ROW(BL207),COLUMN(BL207)))),
IF($C$4=BL$7,SUMIFS('EE Inputs'!$L$9:$L$32,'EE Inputs'!$C$9:$C$32,$AM$6,'EE Inputs'!$D$9:$D$32,$C$4,'EE Inputs'!$E$9:$E$32,$B207),0))</f>
        <v>0</v>
      </c>
      <c r="BM207" s="508">
        <f ca="1">IF($C$4=Lookups!$D$40,SUM(INDIRECT("'Yr1'!"&amp;ADDRESS(ROW(BM207),COLUMN(BM207))),INDIRECT("'Yr2'!"&amp;ADDRESS(ROW(BM207),COLUMN(BM207))),INDIRECT("'Yr3'!"&amp;ADDRESS(ROW(BM207),COLUMN(BM207)))),
IF($C$4=BM$7,SUMIFS('EE Inputs'!$L$9:$L$32,'EE Inputs'!$C$9:$C$32,$AM$6,'EE Inputs'!$D$9:$D$32,$C$4,'EE Inputs'!$E$9:$E$32,$B207),0))</f>
        <v>0</v>
      </c>
      <c r="BN207" s="508"/>
      <c r="BO207" s="508"/>
      <c r="BP207" s="508">
        <f ca="1">IF($C$4=Year1,-PMT(Lookups!$E$17,25,NPV(Lookups!$E$17,AM207:BK207),0,1),IF($C$4=Year2,-PMT(Lookups!$F$17,25,NPV(Lookups!$F$17,AN207:BL207),0,1),IF($C$4=Year3,-PMT(Lookups!$G$17,25,NPV(Lookups!$G$17,AO207:BM207),0,1),-PMT(Lookups!$G$17,27,NPV(Lookups!$G$17,AM207:BM207),0,1))))</f>
        <v>2.3216364657369294E-2</v>
      </c>
      <c r="BS207" s="86" t="s">
        <v>402</v>
      </c>
      <c r="BT207" s="51" t="s">
        <v>17</v>
      </c>
    </row>
    <row r="208" spans="1:72" x14ac:dyDescent="0.25">
      <c r="A208" s="246"/>
      <c r="B208" s="243" t="str">
        <f t="shared" si="213"/>
        <v>Small C&amp;I</v>
      </c>
      <c r="C208" s="243" t="str">
        <f t="shared" si="213"/>
        <v>Rates</v>
      </c>
      <c r="D208" s="244" t="str">
        <f t="shared" si="213"/>
        <v>Increased Costs and Cost Shifting</v>
      </c>
      <c r="E208" s="86" t="s">
        <v>198</v>
      </c>
      <c r="F208" s="84" t="s">
        <v>182</v>
      </c>
      <c r="G208" s="506">
        <f ca="1">IFERROR((G190/G175)-(G190/G173),0)</f>
        <v>6.3988561097471086E-3</v>
      </c>
      <c r="H208" s="506">
        <f t="shared" ref="H208:AG208" ca="1" si="216">IFERROR((H190/H175)-(H190/H173),0)</f>
        <v>1.3350592497900937E-2</v>
      </c>
      <c r="I208" s="506">
        <f t="shared" ca="1" si="216"/>
        <v>2.0861339816160007E-2</v>
      </c>
      <c r="J208" s="506">
        <f t="shared" ca="1" si="216"/>
        <v>2.0861339816160007E-2</v>
      </c>
      <c r="K208" s="506">
        <f t="shared" ca="1" si="216"/>
        <v>2.0861339816160007E-2</v>
      </c>
      <c r="L208" s="506">
        <f t="shared" ca="1" si="216"/>
        <v>2.0861339816160007E-2</v>
      </c>
      <c r="M208" s="506">
        <f t="shared" ca="1" si="216"/>
        <v>2.0861339816160007E-2</v>
      </c>
      <c r="N208" s="506">
        <f t="shared" ca="1" si="216"/>
        <v>2.0861339816160007E-2</v>
      </c>
      <c r="O208" s="506">
        <f t="shared" ca="1" si="216"/>
        <v>2.0861339816160007E-2</v>
      </c>
      <c r="P208" s="506">
        <f t="shared" ca="1" si="216"/>
        <v>2.0861339816160007E-2</v>
      </c>
      <c r="Q208" s="506">
        <f t="shared" ca="1" si="216"/>
        <v>2.0861339816160007E-2</v>
      </c>
      <c r="R208" s="506">
        <f t="shared" ca="1" si="216"/>
        <v>2.0861339816160007E-2</v>
      </c>
      <c r="S208" s="506">
        <f t="shared" ca="1" si="216"/>
        <v>2.0861339816160007E-2</v>
      </c>
      <c r="T208" s="506">
        <f t="shared" ca="1" si="216"/>
        <v>2.0861339816160007E-2</v>
      </c>
      <c r="U208" s="506">
        <f t="shared" ca="1" si="216"/>
        <v>2.0861339816160007E-2</v>
      </c>
      <c r="V208" s="506">
        <f t="shared" ca="1" si="216"/>
        <v>2.0861339816160007E-2</v>
      </c>
      <c r="W208" s="506">
        <f t="shared" ca="1" si="216"/>
        <v>1.4038464822772156E-2</v>
      </c>
      <c r="X208" s="506">
        <f t="shared" ca="1" si="216"/>
        <v>7.0654936287243286E-3</v>
      </c>
      <c r="Y208" s="506">
        <f t="shared" ca="1" si="216"/>
        <v>0</v>
      </c>
      <c r="Z208" s="506">
        <f t="shared" ca="1" si="216"/>
        <v>0</v>
      </c>
      <c r="AA208" s="506">
        <f t="shared" ca="1" si="216"/>
        <v>0</v>
      </c>
      <c r="AB208" s="506">
        <f t="shared" ca="1" si="216"/>
        <v>0</v>
      </c>
      <c r="AC208" s="506">
        <f t="shared" ca="1" si="216"/>
        <v>0</v>
      </c>
      <c r="AD208" s="506">
        <f t="shared" ca="1" si="216"/>
        <v>0</v>
      </c>
      <c r="AE208" s="506">
        <f t="shared" ca="1" si="216"/>
        <v>0</v>
      </c>
      <c r="AF208" s="506">
        <f t="shared" ca="1" si="216"/>
        <v>0</v>
      </c>
      <c r="AG208" s="506">
        <f t="shared" ca="1" si="216"/>
        <v>0</v>
      </c>
      <c r="AH208" s="506"/>
      <c r="AI208" s="506"/>
      <c r="AJ208" s="506">
        <f ca="1">IF($C$4=Year1,-PMT(Lookups!$E$17,25,NPV(Lookups!$E$17,G208:AE208),0,1),IF($C$4=Year2,-PMT(Lookups!$F$17,25,NPV(Lookups!$F$17,H208:AF208),0,1),IF($C$4=Year3,-PMT(Lookups!$G$17,25,NPV(Lookups!$G$17,I208:AG208),0,1),-PMT(Lookups!$G$17,27,NPV(Lookups!$G$17,G208:AG208),0,1))))</f>
        <v>1.2895979825045379E-2</v>
      </c>
      <c r="AK208" s="507"/>
      <c r="AL208" s="507"/>
      <c r="AM208" s="508">
        <f ca="1">IFERROR((AM190/AM175)-(AM190/AM173),0)</f>
        <v>7.3283510478104885E-3</v>
      </c>
      <c r="AN208" s="508">
        <f t="shared" ref="AN208:BM208" ca="1" si="217">IFERROR((AN190/AN175)-(AN190/AN173),0)</f>
        <v>1.5325145237878701E-2</v>
      </c>
      <c r="AO208" s="508">
        <f t="shared" ca="1" si="217"/>
        <v>2.4006982349993433E-2</v>
      </c>
      <c r="AP208" s="508">
        <f t="shared" ca="1" si="217"/>
        <v>2.4006982349993433E-2</v>
      </c>
      <c r="AQ208" s="508">
        <f t="shared" ca="1" si="217"/>
        <v>2.4006982349993433E-2</v>
      </c>
      <c r="AR208" s="508">
        <f t="shared" ca="1" si="217"/>
        <v>2.4006982349993433E-2</v>
      </c>
      <c r="AS208" s="508">
        <f t="shared" ca="1" si="217"/>
        <v>2.4006982349993433E-2</v>
      </c>
      <c r="AT208" s="508">
        <f t="shared" ca="1" si="217"/>
        <v>2.4006982349993433E-2</v>
      </c>
      <c r="AU208" s="508">
        <f t="shared" ca="1" si="217"/>
        <v>2.4006982349993433E-2</v>
      </c>
      <c r="AV208" s="508">
        <f t="shared" ca="1" si="217"/>
        <v>2.4006982349993433E-2</v>
      </c>
      <c r="AW208" s="508">
        <f t="shared" ca="1" si="217"/>
        <v>2.4006982349993433E-2</v>
      </c>
      <c r="AX208" s="508">
        <f t="shared" ca="1" si="217"/>
        <v>2.4006982349993433E-2</v>
      </c>
      <c r="AY208" s="508">
        <f t="shared" ca="1" si="217"/>
        <v>2.4006982349993433E-2</v>
      </c>
      <c r="AZ208" s="508">
        <f t="shared" ca="1" si="217"/>
        <v>2.4006982349993433E-2</v>
      </c>
      <c r="BA208" s="508">
        <f t="shared" ca="1" si="217"/>
        <v>2.4006982349993433E-2</v>
      </c>
      <c r="BB208" s="508">
        <f t="shared" ca="1" si="217"/>
        <v>2.4006982349993433E-2</v>
      </c>
      <c r="BC208" s="508">
        <f t="shared" ca="1" si="217"/>
        <v>1.6118446346344462E-2</v>
      </c>
      <c r="BD208" s="508">
        <f t="shared" ca="1" si="217"/>
        <v>8.093603649148351E-3</v>
      </c>
      <c r="BE208" s="508">
        <f t="shared" ca="1" si="217"/>
        <v>0</v>
      </c>
      <c r="BF208" s="508">
        <f t="shared" ca="1" si="217"/>
        <v>0</v>
      </c>
      <c r="BG208" s="508">
        <f t="shared" ca="1" si="217"/>
        <v>0</v>
      </c>
      <c r="BH208" s="508">
        <f t="shared" ca="1" si="217"/>
        <v>0</v>
      </c>
      <c r="BI208" s="508">
        <f t="shared" ca="1" si="217"/>
        <v>0</v>
      </c>
      <c r="BJ208" s="508">
        <f t="shared" ca="1" si="217"/>
        <v>0</v>
      </c>
      <c r="BK208" s="508">
        <f t="shared" ca="1" si="217"/>
        <v>0</v>
      </c>
      <c r="BL208" s="508">
        <f t="shared" ca="1" si="217"/>
        <v>0</v>
      </c>
      <c r="BM208" s="508">
        <f t="shared" ca="1" si="217"/>
        <v>0</v>
      </c>
      <c r="BN208" s="508"/>
      <c r="BO208" s="508"/>
      <c r="BP208" s="508">
        <f ca="1">IF($C$4=Year1,-PMT(Lookups!$E$17,25,NPV(Lookups!$E$17,AM208:BK208),0,1),IF($C$4=Year2,-PMT(Lookups!$F$17,25,NPV(Lookups!$F$17,AN208:BL208),0,1),IF($C$4=Year3,-PMT(Lookups!$G$17,25,NPV(Lookups!$G$17,AO208:BM208),0,1),-PMT(Lookups!$G$17,27,NPV(Lookups!$G$17,AM208:BM208),0,1))))</f>
        <v>1.4834780133361217E-2</v>
      </c>
      <c r="BS208" s="84" t="s">
        <v>103</v>
      </c>
      <c r="BT208" s="51" t="s">
        <v>17</v>
      </c>
    </row>
    <row r="209" spans="1:72" x14ac:dyDescent="0.25">
      <c r="B209" s="243" t="str">
        <f t="shared" si="213"/>
        <v>Small C&amp;I</v>
      </c>
      <c r="C209" s="243" t="str">
        <f t="shared" si="213"/>
        <v>Rates</v>
      </c>
      <c r="D209" s="114" t="s">
        <v>110</v>
      </c>
      <c r="E209" s="86"/>
      <c r="F209" s="86"/>
      <c r="G209" s="238"/>
      <c r="H209" s="238"/>
      <c r="I209" s="238"/>
      <c r="J209" s="238"/>
      <c r="K209" s="238"/>
      <c r="L209" s="238"/>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49"/>
      <c r="AI209" s="238"/>
      <c r="AJ209" s="49"/>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S209" s="84"/>
      <c r="BT209" s="51" t="s">
        <v>17</v>
      </c>
    </row>
    <row r="210" spans="1:72" x14ac:dyDescent="0.25">
      <c r="B210" s="243" t="str">
        <f t="shared" si="213"/>
        <v>Small C&amp;I</v>
      </c>
      <c r="C210" s="243" t="str">
        <f t="shared" si="213"/>
        <v>Rates</v>
      </c>
      <c r="D210" s="244" t="str">
        <f>D209</f>
        <v>Rates after DSM Scenario</v>
      </c>
      <c r="E210" s="86" t="s">
        <v>26</v>
      </c>
      <c r="F210" s="84" t="s">
        <v>182</v>
      </c>
      <c r="G210" s="506">
        <f ca="1">IFERROR(G190/G175,0)</f>
        <v>0.39785934430033792</v>
      </c>
      <c r="H210" s="506">
        <f t="shared" ref="H210:AG210" ca="1" si="218">IFERROR(H190/H175,0)</f>
        <v>0.40412367610955835</v>
      </c>
      <c r="I210" s="506">
        <f t="shared" ca="1" si="218"/>
        <v>0.41091558640334253</v>
      </c>
      <c r="J210" s="506">
        <f t="shared" ca="1" si="218"/>
        <v>0.41091558640334253</v>
      </c>
      <c r="K210" s="506">
        <f t="shared" ca="1" si="218"/>
        <v>0.41091558640334253</v>
      </c>
      <c r="L210" s="506">
        <f t="shared" ca="1" si="218"/>
        <v>0.41091558640334253</v>
      </c>
      <c r="M210" s="506">
        <f t="shared" ca="1" si="218"/>
        <v>0.41091558640334253</v>
      </c>
      <c r="N210" s="506">
        <f t="shared" ca="1" si="218"/>
        <v>0.41091558640334253</v>
      </c>
      <c r="O210" s="506">
        <f t="shared" ca="1" si="218"/>
        <v>0.41091558640334253</v>
      </c>
      <c r="P210" s="506">
        <f t="shared" ca="1" si="218"/>
        <v>0.41091558640334253</v>
      </c>
      <c r="Q210" s="506">
        <f t="shared" ca="1" si="218"/>
        <v>0.41091558640334253</v>
      </c>
      <c r="R210" s="506">
        <f t="shared" ca="1" si="218"/>
        <v>0.41091558640334253</v>
      </c>
      <c r="S210" s="506">
        <f t="shared" ca="1" si="218"/>
        <v>0.41091558640334253</v>
      </c>
      <c r="T210" s="506">
        <f t="shared" ca="1" si="218"/>
        <v>0.41091558640334253</v>
      </c>
      <c r="U210" s="506">
        <f t="shared" ca="1" si="218"/>
        <v>0.41091558640334253</v>
      </c>
      <c r="V210" s="506">
        <f t="shared" ca="1" si="218"/>
        <v>0.41091558640334253</v>
      </c>
      <c r="W210" s="506">
        <f t="shared" ca="1" si="218"/>
        <v>0.40474478565617583</v>
      </c>
      <c r="X210" s="506">
        <f t="shared" ca="1" si="218"/>
        <v>0.39845921904106135</v>
      </c>
      <c r="Y210" s="506">
        <f t="shared" ca="1" si="218"/>
        <v>0.39211256243681192</v>
      </c>
      <c r="Z210" s="506">
        <f t="shared" ca="1" si="218"/>
        <v>0.39211256243681192</v>
      </c>
      <c r="AA210" s="506">
        <f t="shared" ca="1" si="218"/>
        <v>0.39211256243681192</v>
      </c>
      <c r="AB210" s="506">
        <f t="shared" ca="1" si="218"/>
        <v>0.39211256243681192</v>
      </c>
      <c r="AC210" s="506">
        <f t="shared" ca="1" si="218"/>
        <v>0.39211256243681192</v>
      </c>
      <c r="AD210" s="506">
        <f t="shared" ca="1" si="218"/>
        <v>0.39211256243681192</v>
      </c>
      <c r="AE210" s="506">
        <f t="shared" ca="1" si="218"/>
        <v>0.39211256243681192</v>
      </c>
      <c r="AF210" s="506">
        <f t="shared" ca="1" si="218"/>
        <v>0.39211256243681192</v>
      </c>
      <c r="AG210" s="506">
        <f t="shared" ca="1" si="218"/>
        <v>0.39211256243681192</v>
      </c>
      <c r="AH210" s="509"/>
      <c r="AI210" s="506"/>
      <c r="AJ210" s="509">
        <f ca="1">IF($C$4=Year1,-PMT(Lookups!$E$17,25,NPV(Lookups!$E$17,G210:AE210),0,1),IF($C$4=Year2,-PMT(Lookups!$F$17,25,NPV(Lookups!$F$17,H210:AF210),0,1),IF($C$4=Year3,-PMT(Lookups!$G$17,25,NPV(Lookups!$G$17,I210:AG210),0,1),-PMT(Lookups!$G$17,27,NPV(Lookups!$G$17,G210:AG210),0,1))))</f>
        <v>0.39826411453062144</v>
      </c>
      <c r="AK210" s="507"/>
      <c r="AL210" s="507"/>
      <c r="AM210" s="508">
        <f ca="1">IFERROR(AM190/AM175,0)</f>
        <v>0.39869568577465536</v>
      </c>
      <c r="AN210" s="508">
        <f t="shared" ref="AN210:BM210" ca="1" si="219">IFERROR(AN190/AN175,0)</f>
        <v>0.40590687473165687</v>
      </c>
      <c r="AO210" s="508">
        <f t="shared" ca="1" si="219"/>
        <v>0.4137671838158003</v>
      </c>
      <c r="AP210" s="508">
        <f t="shared" ca="1" si="219"/>
        <v>0.4137671838158003</v>
      </c>
      <c r="AQ210" s="508">
        <f t="shared" ca="1" si="219"/>
        <v>0.4137671838158003</v>
      </c>
      <c r="AR210" s="508">
        <f t="shared" ca="1" si="219"/>
        <v>0.4137671838158003</v>
      </c>
      <c r="AS210" s="508">
        <f t="shared" ca="1" si="219"/>
        <v>0.4137671838158003</v>
      </c>
      <c r="AT210" s="508">
        <f t="shared" ca="1" si="219"/>
        <v>0.4137671838158003</v>
      </c>
      <c r="AU210" s="508">
        <f t="shared" ca="1" si="219"/>
        <v>0.4137671838158003</v>
      </c>
      <c r="AV210" s="508">
        <f t="shared" ca="1" si="219"/>
        <v>0.4137671838158003</v>
      </c>
      <c r="AW210" s="508">
        <f t="shared" ca="1" si="219"/>
        <v>0.4137671838158003</v>
      </c>
      <c r="AX210" s="508">
        <f t="shared" ca="1" si="219"/>
        <v>0.4137671838158003</v>
      </c>
      <c r="AY210" s="508">
        <f t="shared" ca="1" si="219"/>
        <v>0.4137671838158003</v>
      </c>
      <c r="AZ210" s="508">
        <f t="shared" ca="1" si="219"/>
        <v>0.4137671838158003</v>
      </c>
      <c r="BA210" s="508">
        <f t="shared" ca="1" si="219"/>
        <v>0.4137671838158003</v>
      </c>
      <c r="BB210" s="508">
        <f t="shared" ca="1" si="219"/>
        <v>0.4137671838158003</v>
      </c>
      <c r="BC210" s="508">
        <f t="shared" ca="1" si="219"/>
        <v>0.40662387552211832</v>
      </c>
      <c r="BD210" s="508">
        <f t="shared" ca="1" si="219"/>
        <v>0.39938463805798896</v>
      </c>
      <c r="BE210" s="508">
        <f t="shared" ca="1" si="219"/>
        <v>0.39211256243681192</v>
      </c>
      <c r="BF210" s="508">
        <f t="shared" ca="1" si="219"/>
        <v>0.39211256243681192</v>
      </c>
      <c r="BG210" s="508">
        <f t="shared" ca="1" si="219"/>
        <v>0.39211256243681192</v>
      </c>
      <c r="BH210" s="508">
        <f t="shared" ca="1" si="219"/>
        <v>0.39211256243681192</v>
      </c>
      <c r="BI210" s="508">
        <f t="shared" ca="1" si="219"/>
        <v>0.39211256243681192</v>
      </c>
      <c r="BJ210" s="508">
        <f t="shared" ca="1" si="219"/>
        <v>0.39211256243681192</v>
      </c>
      <c r="BK210" s="508">
        <f t="shared" ca="1" si="219"/>
        <v>0.39211256243681192</v>
      </c>
      <c r="BL210" s="508">
        <f t="shared" ca="1" si="219"/>
        <v>0.39211256243681192</v>
      </c>
      <c r="BM210" s="508">
        <f t="shared" ca="1" si="219"/>
        <v>0.39211256243681192</v>
      </c>
      <c r="BN210" s="508"/>
      <c r="BO210" s="508"/>
      <c r="BP210" s="508">
        <f ca="1">IF($C$4=Year1,-PMT(Lookups!$E$17,25,NPV(Lookups!$E$17,AM210:BK210),0,1),IF($C$4=Year2,-PMT(Lookups!$F$17,25,NPV(Lookups!$F$17,AN210:BL210),0,1),IF($C$4=Year3,-PMT(Lookups!$G$17,25,NPV(Lookups!$G$17,AO210:BM210),0,1),-PMT(Lookups!$G$17,27,NPV(Lookups!$G$17,AM210:BM210),0,1))))</f>
        <v>0.40002066638049227</v>
      </c>
      <c r="BS210" s="84" t="s">
        <v>238</v>
      </c>
      <c r="BT210" s="51" t="s">
        <v>17</v>
      </c>
    </row>
    <row r="211" spans="1:72" x14ac:dyDescent="0.25">
      <c r="B211" s="243" t="str">
        <f t="shared" si="213"/>
        <v>Small C&amp;I</v>
      </c>
      <c r="C211" s="243" t="str">
        <f t="shared" si="213"/>
        <v>Rates</v>
      </c>
      <c r="D211" s="244" t="str">
        <f>D210</f>
        <v>Rates after DSM Scenario</v>
      </c>
      <c r="E211" s="84" t="s">
        <v>407</v>
      </c>
      <c r="F211" s="84" t="s">
        <v>182</v>
      </c>
      <c r="G211" s="506">
        <f ca="1">IFERROR(G191/G175,0)</f>
        <v>5.2849997707929237E-3</v>
      </c>
      <c r="H211" s="506">
        <f t="shared" ref="H211:AG211" ca="1" si="220">IFERROR(H191/H175,0)</f>
        <v>5.377655739099158E-3</v>
      </c>
      <c r="I211" s="506">
        <f t="shared" ca="1" si="220"/>
        <v>5.4781125138187335E-3</v>
      </c>
      <c r="J211" s="506">
        <f t="shared" ca="1" si="220"/>
        <v>5.4781125138187335E-3</v>
      </c>
      <c r="K211" s="506">
        <f t="shared" ca="1" si="220"/>
        <v>5.4781125138187335E-3</v>
      </c>
      <c r="L211" s="506">
        <f t="shared" ca="1" si="220"/>
        <v>5.4781125138187335E-3</v>
      </c>
      <c r="M211" s="506">
        <f t="shared" ca="1" si="220"/>
        <v>5.4781125138187335E-3</v>
      </c>
      <c r="N211" s="506">
        <f t="shared" ca="1" si="220"/>
        <v>5.4781125138187335E-3</v>
      </c>
      <c r="O211" s="506">
        <f t="shared" ca="1" si="220"/>
        <v>5.4781125138187335E-3</v>
      </c>
      <c r="P211" s="506">
        <f t="shared" ca="1" si="220"/>
        <v>5.4781125138187335E-3</v>
      </c>
      <c r="Q211" s="506">
        <f t="shared" ca="1" si="220"/>
        <v>5.4781125138187335E-3</v>
      </c>
      <c r="R211" s="506">
        <f t="shared" ca="1" si="220"/>
        <v>5.4781125138187335E-3</v>
      </c>
      <c r="S211" s="506">
        <f t="shared" ca="1" si="220"/>
        <v>5.4781125138187335E-3</v>
      </c>
      <c r="T211" s="506">
        <f t="shared" ca="1" si="220"/>
        <v>5.4781125138187335E-3</v>
      </c>
      <c r="U211" s="506">
        <f t="shared" ca="1" si="220"/>
        <v>5.4781125138187335E-3</v>
      </c>
      <c r="V211" s="506">
        <f t="shared" ca="1" si="220"/>
        <v>5.4781125138187335E-3</v>
      </c>
      <c r="W211" s="506">
        <f t="shared" ca="1" si="220"/>
        <v>5.3868411468816334E-3</v>
      </c>
      <c r="X211" s="506">
        <f t="shared" ca="1" si="220"/>
        <v>5.2938711187325788E-3</v>
      </c>
      <c r="Y211" s="506">
        <f t="shared" ca="1" si="220"/>
        <v>5.2000000000000032E-3</v>
      </c>
      <c r="Z211" s="506">
        <f t="shared" ca="1" si="220"/>
        <v>5.2000000000000032E-3</v>
      </c>
      <c r="AA211" s="506">
        <f t="shared" ca="1" si="220"/>
        <v>5.2000000000000032E-3</v>
      </c>
      <c r="AB211" s="506">
        <f t="shared" ca="1" si="220"/>
        <v>5.2000000000000032E-3</v>
      </c>
      <c r="AC211" s="506">
        <f t="shared" ca="1" si="220"/>
        <v>5.2000000000000032E-3</v>
      </c>
      <c r="AD211" s="506">
        <f t="shared" ca="1" si="220"/>
        <v>5.2000000000000032E-3</v>
      </c>
      <c r="AE211" s="506">
        <f t="shared" ca="1" si="220"/>
        <v>5.2000000000000032E-3</v>
      </c>
      <c r="AF211" s="506">
        <f t="shared" ca="1" si="220"/>
        <v>5.2000000000000032E-3</v>
      </c>
      <c r="AG211" s="506">
        <f t="shared" ca="1" si="220"/>
        <v>5.2000000000000032E-3</v>
      </c>
      <c r="AH211" s="509"/>
      <c r="AI211" s="506"/>
      <c r="AJ211" s="509">
        <f ca="1">IF($C$4=Year1,-PMT(Lookups!$E$17,25,NPV(Lookups!$E$17,G211:AE211),0,1),IF($C$4=Year2,-PMT(Lookups!$F$17,25,NPV(Lookups!$F$17,H211:AF211),0,1),IF($C$4=Year3,-PMT(Lookups!$G$17,25,NPV(Lookups!$G$17,I211:AG211),0,1),-PMT(Lookups!$G$17,27,NPV(Lookups!$G$17,G211:AG211),0,1))))</f>
        <v>5.2993501261902002E-3</v>
      </c>
      <c r="AK211" s="507"/>
      <c r="AL211" s="507"/>
      <c r="AM211" s="508">
        <f ca="1">IFERROR(AM191/AM175,0)</f>
        <v>5.2973699695075798E-3</v>
      </c>
      <c r="AN211" s="508">
        <f t="shared" ref="AN211:BM211" ca="1" si="221">IFERROR(AN191/AN175,0)</f>
        <v>5.4040309344224966E-3</v>
      </c>
      <c r="AO211" s="508">
        <f t="shared" ca="1" si="221"/>
        <v>5.5202900341042608E-3</v>
      </c>
      <c r="AP211" s="508">
        <f t="shared" ca="1" si="221"/>
        <v>5.5202900341042608E-3</v>
      </c>
      <c r="AQ211" s="508">
        <f t="shared" ca="1" si="221"/>
        <v>5.5202900341042608E-3</v>
      </c>
      <c r="AR211" s="508">
        <f t="shared" ca="1" si="221"/>
        <v>5.5202900341042608E-3</v>
      </c>
      <c r="AS211" s="508">
        <f t="shared" ca="1" si="221"/>
        <v>5.5202900341042608E-3</v>
      </c>
      <c r="AT211" s="508">
        <f t="shared" ca="1" si="221"/>
        <v>5.5202900341042608E-3</v>
      </c>
      <c r="AU211" s="508">
        <f t="shared" ca="1" si="221"/>
        <v>5.5202900341042608E-3</v>
      </c>
      <c r="AV211" s="508">
        <f t="shared" ca="1" si="221"/>
        <v>5.5202900341042608E-3</v>
      </c>
      <c r="AW211" s="508">
        <f t="shared" ca="1" si="221"/>
        <v>5.5202900341042608E-3</v>
      </c>
      <c r="AX211" s="508">
        <f t="shared" ca="1" si="221"/>
        <v>5.5202900341042608E-3</v>
      </c>
      <c r="AY211" s="508">
        <f t="shared" ca="1" si="221"/>
        <v>5.5202900341042608E-3</v>
      </c>
      <c r="AZ211" s="508">
        <f t="shared" ca="1" si="221"/>
        <v>5.5202900341042608E-3</v>
      </c>
      <c r="BA211" s="508">
        <f t="shared" ca="1" si="221"/>
        <v>5.5202900341042608E-3</v>
      </c>
      <c r="BB211" s="508">
        <f t="shared" ca="1" si="221"/>
        <v>5.5202900341042608E-3</v>
      </c>
      <c r="BC211" s="508">
        <f t="shared" ca="1" si="221"/>
        <v>5.4146344576512032E-3</v>
      </c>
      <c r="BD211" s="508">
        <f t="shared" ca="1" si="221"/>
        <v>5.3075586590915812E-3</v>
      </c>
      <c r="BE211" s="508">
        <f t="shared" ca="1" si="221"/>
        <v>5.2000000000000032E-3</v>
      </c>
      <c r="BF211" s="508">
        <f t="shared" ca="1" si="221"/>
        <v>5.2000000000000032E-3</v>
      </c>
      <c r="BG211" s="508">
        <f t="shared" ca="1" si="221"/>
        <v>5.2000000000000032E-3</v>
      </c>
      <c r="BH211" s="508">
        <f t="shared" ca="1" si="221"/>
        <v>5.2000000000000032E-3</v>
      </c>
      <c r="BI211" s="508">
        <f t="shared" ca="1" si="221"/>
        <v>5.2000000000000032E-3</v>
      </c>
      <c r="BJ211" s="508">
        <f t="shared" ca="1" si="221"/>
        <v>5.2000000000000032E-3</v>
      </c>
      <c r="BK211" s="508">
        <f t="shared" ca="1" si="221"/>
        <v>5.2000000000000032E-3</v>
      </c>
      <c r="BL211" s="508">
        <f t="shared" ca="1" si="221"/>
        <v>5.2000000000000032E-3</v>
      </c>
      <c r="BM211" s="508">
        <f t="shared" ca="1" si="221"/>
        <v>5.2000000000000032E-3</v>
      </c>
      <c r="BN211" s="508"/>
      <c r="BO211" s="508"/>
      <c r="BP211" s="508">
        <f ca="1">IF($C$4=Year1,-PMT(Lookups!$E$17,25,NPV(Lookups!$E$17,AM211:BK211),0,1),IF($C$4=Year2,-PMT(Lookups!$F$17,25,NPV(Lookups!$F$17,AN211:BL211),0,1),IF($C$4=Year3,-PMT(Lookups!$G$17,25,NPV(Lookups!$G$17,AO211:BM211),0,1),-PMT(Lookups!$G$17,27,NPV(Lookups!$G$17,AM211:BM211),0,1))))</f>
        <v>5.3253310049750438E-3</v>
      </c>
      <c r="BS211" s="84" t="s">
        <v>237</v>
      </c>
      <c r="BT211" s="51" t="s">
        <v>17</v>
      </c>
    </row>
    <row r="212" spans="1:72" x14ac:dyDescent="0.25">
      <c r="B212" s="243" t="str">
        <f t="shared" si="213"/>
        <v>Small C&amp;I</v>
      </c>
      <c r="C212" s="243" t="str">
        <f t="shared" si="213"/>
        <v>Rates</v>
      </c>
      <c r="D212" s="244" t="str">
        <f t="shared" si="213"/>
        <v>Rates after DSM Scenario</v>
      </c>
      <c r="E212" s="84" t="s">
        <v>197</v>
      </c>
      <c r="F212" s="84" t="s">
        <v>182</v>
      </c>
      <c r="G212" s="506">
        <f ca="1">IFERROR(G198+G204,0)</f>
        <v>0.61861089912435252</v>
      </c>
      <c r="H212" s="506">
        <f t="shared" ref="H212:AG212" ca="1" si="222">IFERROR(H198+H204,0)</f>
        <v>0.61818670233514594</v>
      </c>
      <c r="I212" s="506">
        <f t="shared" ca="1" si="222"/>
        <v>0.61772747121128402</v>
      </c>
      <c r="J212" s="506">
        <f t="shared" ca="1" si="222"/>
        <v>0.61772747121128402</v>
      </c>
      <c r="K212" s="506">
        <f t="shared" ca="1" si="222"/>
        <v>0.61772747121128402</v>
      </c>
      <c r="L212" s="506">
        <f t="shared" ca="1" si="222"/>
        <v>0.61772747121128402</v>
      </c>
      <c r="M212" s="506">
        <f t="shared" ca="1" si="222"/>
        <v>0.61772747121128402</v>
      </c>
      <c r="N212" s="506">
        <f t="shared" ca="1" si="222"/>
        <v>0.61772747121128402</v>
      </c>
      <c r="O212" s="506">
        <f t="shared" ca="1" si="222"/>
        <v>0.61772747121128402</v>
      </c>
      <c r="P212" s="506">
        <f t="shared" ca="1" si="222"/>
        <v>0.61772747121128402</v>
      </c>
      <c r="Q212" s="506">
        <f t="shared" ca="1" si="222"/>
        <v>0.61772747121128402</v>
      </c>
      <c r="R212" s="506">
        <f t="shared" ca="1" si="222"/>
        <v>0.61772747121128402</v>
      </c>
      <c r="S212" s="506">
        <f t="shared" ca="1" si="222"/>
        <v>0.61772747121128402</v>
      </c>
      <c r="T212" s="506">
        <f t="shared" ca="1" si="222"/>
        <v>0.61772747121128402</v>
      </c>
      <c r="U212" s="506">
        <f t="shared" ca="1" si="222"/>
        <v>0.61772747121128402</v>
      </c>
      <c r="V212" s="506">
        <f t="shared" ca="1" si="222"/>
        <v>0.61772747121128402</v>
      </c>
      <c r="W212" s="506">
        <f t="shared" ca="1" si="222"/>
        <v>0.61814527174515033</v>
      </c>
      <c r="X212" s="506">
        <f t="shared" ca="1" si="222"/>
        <v>0.61857089562615841</v>
      </c>
      <c r="Y212" s="506">
        <f t="shared" ca="1" si="222"/>
        <v>0.61899999999999999</v>
      </c>
      <c r="Z212" s="506">
        <f t="shared" ca="1" si="222"/>
        <v>0.61899999999999999</v>
      </c>
      <c r="AA212" s="506">
        <f t="shared" ca="1" si="222"/>
        <v>0.61899999999999999</v>
      </c>
      <c r="AB212" s="506">
        <f t="shared" ca="1" si="222"/>
        <v>0.61899999999999999</v>
      </c>
      <c r="AC212" s="506">
        <f t="shared" ca="1" si="222"/>
        <v>0.61899999999999999</v>
      </c>
      <c r="AD212" s="506">
        <f t="shared" ca="1" si="222"/>
        <v>0.61899999999999999</v>
      </c>
      <c r="AE212" s="506">
        <f t="shared" ca="1" si="222"/>
        <v>0.61899999999999999</v>
      </c>
      <c r="AF212" s="506">
        <f t="shared" ca="1" si="222"/>
        <v>0.61899999999999999</v>
      </c>
      <c r="AG212" s="506">
        <f t="shared" ca="1" si="222"/>
        <v>0.61899999999999999</v>
      </c>
      <c r="AH212" s="509"/>
      <c r="AI212" s="506"/>
      <c r="AJ212" s="509">
        <f ca="1">IF($C$4=Year1,-PMT(Lookups!$E$17,25,NPV(Lookups!$E$17,G212:AE212),0,1),IF($C$4=Year2,-PMT(Lookups!$F$17,25,NPV(Lookups!$F$17,H212:AF212),0,1),IF($C$4=Year3,-PMT(Lookups!$G$17,25,NPV(Lookups!$G$17,I212:AG212),0,1),-PMT(Lookups!$G$17,27,NPV(Lookups!$G$17,G212:AG212),0,1))))</f>
        <v>0.6095805471581367</v>
      </c>
      <c r="AK212" s="507"/>
      <c r="AL212" s="507"/>
      <c r="AM212" s="508">
        <f ca="1">IFERROR(AM198+AM204,0)</f>
        <v>0.61855427244045791</v>
      </c>
      <c r="AN212" s="508">
        <f t="shared" ref="AN212:BM212" ca="1" si="223">IFERROR(AN198+AN204,0)</f>
        <v>0.61806595822141619</v>
      </c>
      <c r="AO212" s="508">
        <f t="shared" ca="1" si="223"/>
        <v>0.61753448417857904</v>
      </c>
      <c r="AP212" s="508">
        <f t="shared" ca="1" si="223"/>
        <v>0.61753448417857904</v>
      </c>
      <c r="AQ212" s="508">
        <f t="shared" ca="1" si="223"/>
        <v>0.61753448417857904</v>
      </c>
      <c r="AR212" s="508">
        <f t="shared" ca="1" si="223"/>
        <v>0.61753448417857904</v>
      </c>
      <c r="AS212" s="508">
        <f t="shared" ca="1" si="223"/>
        <v>0.61753448417857904</v>
      </c>
      <c r="AT212" s="508">
        <f t="shared" ca="1" si="223"/>
        <v>0.61753448417857904</v>
      </c>
      <c r="AU212" s="508">
        <f t="shared" ca="1" si="223"/>
        <v>0.61753448417857904</v>
      </c>
      <c r="AV212" s="508">
        <f t="shared" ca="1" si="223"/>
        <v>0.61753448417857904</v>
      </c>
      <c r="AW212" s="508">
        <f t="shared" ca="1" si="223"/>
        <v>0.61753448417857904</v>
      </c>
      <c r="AX212" s="508">
        <f t="shared" ca="1" si="223"/>
        <v>0.61753448417857904</v>
      </c>
      <c r="AY212" s="508">
        <f t="shared" ca="1" si="223"/>
        <v>0.61753448417857904</v>
      </c>
      <c r="AZ212" s="508">
        <f t="shared" ca="1" si="223"/>
        <v>0.61753448417857904</v>
      </c>
      <c r="BA212" s="508">
        <f t="shared" ca="1" si="223"/>
        <v>0.61753448417857904</v>
      </c>
      <c r="BB212" s="508">
        <f t="shared" ca="1" si="223"/>
        <v>0.61753448417857904</v>
      </c>
      <c r="BC212" s="508">
        <f t="shared" ca="1" si="223"/>
        <v>0.61801812775996801</v>
      </c>
      <c r="BD212" s="508">
        <f t="shared" ca="1" si="223"/>
        <v>0.61850832703728376</v>
      </c>
      <c r="BE212" s="508">
        <f t="shared" ca="1" si="223"/>
        <v>0.61899999999999999</v>
      </c>
      <c r="BF212" s="508">
        <f t="shared" ca="1" si="223"/>
        <v>0.61899999999999999</v>
      </c>
      <c r="BG212" s="508">
        <f t="shared" ca="1" si="223"/>
        <v>0.61899999999999999</v>
      </c>
      <c r="BH212" s="508">
        <f t="shared" ca="1" si="223"/>
        <v>0.61899999999999999</v>
      </c>
      <c r="BI212" s="508">
        <f t="shared" ca="1" si="223"/>
        <v>0.61899999999999999</v>
      </c>
      <c r="BJ212" s="508">
        <f t="shared" ca="1" si="223"/>
        <v>0.61899999999999999</v>
      </c>
      <c r="BK212" s="508">
        <f t="shared" ca="1" si="223"/>
        <v>0.61899999999999999</v>
      </c>
      <c r="BL212" s="508">
        <f t="shared" ca="1" si="223"/>
        <v>0.61899999999999999</v>
      </c>
      <c r="BM212" s="508">
        <f t="shared" ca="1" si="223"/>
        <v>0.61899999999999999</v>
      </c>
      <c r="BN212" s="508"/>
      <c r="BO212" s="508"/>
      <c r="BP212" s="508">
        <f ca="1">IF($C$4=Year1,-PMT(Lookups!$E$17,25,NPV(Lookups!$E$17,AM212:BK212),0,1),IF($C$4=Year2,-PMT(Lookups!$F$17,25,NPV(Lookups!$F$17,AN212:BL212),0,1),IF($C$4=Year3,-PMT(Lookups!$G$17,25,NPV(Lookups!$G$17,AO212:BM212),0,1),-PMT(Lookups!$G$17,27,NPV(Lookups!$G$17,AM212:BM212),0,1))))</f>
        <v>0.60946166851825667</v>
      </c>
      <c r="BS212" s="86" t="s">
        <v>236</v>
      </c>
      <c r="BT212" s="51" t="s">
        <v>17</v>
      </c>
    </row>
    <row r="213" spans="1:72" x14ac:dyDescent="0.25">
      <c r="B213" s="243" t="str">
        <f t="shared" si="213"/>
        <v>Small C&amp;I</v>
      </c>
      <c r="C213" s="243" t="str">
        <f t="shared" si="213"/>
        <v>Rates</v>
      </c>
      <c r="D213" s="244" t="str">
        <f t="shared" si="213"/>
        <v>Rates after DSM Scenario</v>
      </c>
      <c r="E213" s="84" t="s">
        <v>406</v>
      </c>
      <c r="F213" s="84" t="s">
        <v>182</v>
      </c>
      <c r="G213" s="509">
        <f ca="1">G207</f>
        <v>0.14245258051119242</v>
      </c>
      <c r="H213" s="509">
        <f t="shared" ref="H213:AG213" ca="1" si="224">H207</f>
        <v>0.14926911562058559</v>
      </c>
      <c r="I213" s="509">
        <f t="shared" ca="1" si="224"/>
        <v>0.15875101082198512</v>
      </c>
      <c r="J213" s="509">
        <f t="shared" ca="1" si="224"/>
        <v>0</v>
      </c>
      <c r="K213" s="509">
        <f t="shared" ca="1" si="224"/>
        <v>0</v>
      </c>
      <c r="L213" s="509">
        <f t="shared" ca="1" si="224"/>
        <v>0</v>
      </c>
      <c r="M213" s="509">
        <f t="shared" ca="1" si="224"/>
        <v>0</v>
      </c>
      <c r="N213" s="509">
        <f t="shared" ca="1" si="224"/>
        <v>0</v>
      </c>
      <c r="O213" s="509">
        <f t="shared" ca="1" si="224"/>
        <v>0</v>
      </c>
      <c r="P213" s="509">
        <f t="shared" ca="1" si="224"/>
        <v>0</v>
      </c>
      <c r="Q213" s="509">
        <f t="shared" ca="1" si="224"/>
        <v>0</v>
      </c>
      <c r="R213" s="509">
        <f t="shared" ca="1" si="224"/>
        <v>0</v>
      </c>
      <c r="S213" s="509">
        <f t="shared" ca="1" si="224"/>
        <v>0</v>
      </c>
      <c r="T213" s="509">
        <f t="shared" ca="1" si="224"/>
        <v>0</v>
      </c>
      <c r="U213" s="509">
        <f t="shared" ca="1" si="224"/>
        <v>0</v>
      </c>
      <c r="V213" s="509">
        <f t="shared" ca="1" si="224"/>
        <v>0</v>
      </c>
      <c r="W213" s="509">
        <f t="shared" ca="1" si="224"/>
        <v>0</v>
      </c>
      <c r="X213" s="509">
        <f t="shared" ca="1" si="224"/>
        <v>0</v>
      </c>
      <c r="Y213" s="509">
        <f t="shared" ca="1" si="224"/>
        <v>0</v>
      </c>
      <c r="Z213" s="509">
        <f t="shared" ca="1" si="224"/>
        <v>0</v>
      </c>
      <c r="AA213" s="509">
        <f t="shared" ca="1" si="224"/>
        <v>0</v>
      </c>
      <c r="AB213" s="509">
        <f t="shared" ca="1" si="224"/>
        <v>0</v>
      </c>
      <c r="AC213" s="509">
        <f t="shared" ca="1" si="224"/>
        <v>0</v>
      </c>
      <c r="AD213" s="509">
        <f t="shared" ca="1" si="224"/>
        <v>0</v>
      </c>
      <c r="AE213" s="509">
        <f t="shared" ca="1" si="224"/>
        <v>0</v>
      </c>
      <c r="AF213" s="509">
        <f t="shared" ca="1" si="224"/>
        <v>0</v>
      </c>
      <c r="AG213" s="509">
        <f t="shared" ca="1" si="224"/>
        <v>0</v>
      </c>
      <c r="AH213" s="509"/>
      <c r="AI213" s="509"/>
      <c r="AJ213" s="509">
        <f ca="1">IF($C$4=Year1,-PMT(Lookups!$E$17,25,NPV(Lookups!$E$17,G213:AE213),0,1),IF($C$4=Year2,-PMT(Lookups!$F$17,25,NPV(Lookups!$F$17,H213:AF213),0,1),IF($C$4=Year3,-PMT(Lookups!$G$17,25,NPV(Lookups!$G$17,I213:AG213),0,1),-PMT(Lookups!$G$17,27,NPV(Lookups!$G$17,G213:AG213),0,1))))</f>
        <v>1.9346970547807745E-2</v>
      </c>
      <c r="AK213" s="507"/>
      <c r="AL213" s="507"/>
      <c r="AM213" s="508">
        <f ca="1">AM207</f>
        <v>0.17094309661343091</v>
      </c>
      <c r="AN213" s="508">
        <f t="shared" ref="AN213:BM213" ca="1" si="225">AN207</f>
        <v>0.1791229387447027</v>
      </c>
      <c r="AO213" s="508">
        <f t="shared" ca="1" si="225"/>
        <v>0.19050121298638215</v>
      </c>
      <c r="AP213" s="508">
        <f t="shared" ca="1" si="225"/>
        <v>0</v>
      </c>
      <c r="AQ213" s="508">
        <f t="shared" ca="1" si="225"/>
        <v>0</v>
      </c>
      <c r="AR213" s="508">
        <f t="shared" ca="1" si="225"/>
        <v>0</v>
      </c>
      <c r="AS213" s="508">
        <f t="shared" ca="1" si="225"/>
        <v>0</v>
      </c>
      <c r="AT213" s="508">
        <f t="shared" ca="1" si="225"/>
        <v>0</v>
      </c>
      <c r="AU213" s="508">
        <f t="shared" ca="1" si="225"/>
        <v>0</v>
      </c>
      <c r="AV213" s="508">
        <f t="shared" ca="1" si="225"/>
        <v>0</v>
      </c>
      <c r="AW213" s="508">
        <f t="shared" ca="1" si="225"/>
        <v>0</v>
      </c>
      <c r="AX213" s="508">
        <f t="shared" ca="1" si="225"/>
        <v>0</v>
      </c>
      <c r="AY213" s="508">
        <f t="shared" ca="1" si="225"/>
        <v>0</v>
      </c>
      <c r="AZ213" s="508">
        <f t="shared" ca="1" si="225"/>
        <v>0</v>
      </c>
      <c r="BA213" s="508">
        <f t="shared" ca="1" si="225"/>
        <v>0</v>
      </c>
      <c r="BB213" s="508">
        <f t="shared" ca="1" si="225"/>
        <v>0</v>
      </c>
      <c r="BC213" s="508">
        <f t="shared" ca="1" si="225"/>
        <v>0</v>
      </c>
      <c r="BD213" s="508">
        <f t="shared" ca="1" si="225"/>
        <v>0</v>
      </c>
      <c r="BE213" s="508">
        <f t="shared" ca="1" si="225"/>
        <v>0</v>
      </c>
      <c r="BF213" s="508">
        <f t="shared" ca="1" si="225"/>
        <v>0</v>
      </c>
      <c r="BG213" s="508">
        <f t="shared" ca="1" si="225"/>
        <v>0</v>
      </c>
      <c r="BH213" s="508">
        <f t="shared" ca="1" si="225"/>
        <v>0</v>
      </c>
      <c r="BI213" s="508">
        <f t="shared" ca="1" si="225"/>
        <v>0</v>
      </c>
      <c r="BJ213" s="508">
        <f t="shared" ca="1" si="225"/>
        <v>0</v>
      </c>
      <c r="BK213" s="508">
        <f t="shared" ca="1" si="225"/>
        <v>0</v>
      </c>
      <c r="BL213" s="508">
        <f t="shared" ca="1" si="225"/>
        <v>0</v>
      </c>
      <c r="BM213" s="508">
        <f t="shared" ca="1" si="225"/>
        <v>0</v>
      </c>
      <c r="BN213" s="508"/>
      <c r="BO213" s="508"/>
      <c r="BP213" s="508">
        <f ca="1">IF($C$4=Year1,-PMT(Lookups!$E$17,25,NPV(Lookups!$E$17,AM213:BK213),0,1),IF($C$4=Year2,-PMT(Lookups!$F$17,25,NPV(Lookups!$F$17,AN213:BL213),0,1),IF($C$4=Year3,-PMT(Lookups!$G$17,25,NPV(Lookups!$G$17,AO213:BM213),0,1),-PMT(Lookups!$G$17,27,NPV(Lookups!$G$17,AM213:BM213),0,1))))</f>
        <v>2.3216364657369294E-2</v>
      </c>
      <c r="BS213" s="84" t="s">
        <v>403</v>
      </c>
      <c r="BT213" s="51" t="s">
        <v>17</v>
      </c>
    </row>
    <row r="214" spans="1:72" x14ac:dyDescent="0.25">
      <c r="B214" s="243" t="str">
        <f>B215</f>
        <v>Small C&amp;I</v>
      </c>
      <c r="C214" s="243" t="str">
        <f>C215</f>
        <v>Rates</v>
      </c>
      <c r="D214" s="244" t="str">
        <f>D215</f>
        <v>Rates after DSM Scenario</v>
      </c>
      <c r="E214" s="86" t="s">
        <v>75</v>
      </c>
      <c r="F214" s="84" t="s">
        <v>182</v>
      </c>
      <c r="G214" s="506">
        <f>G199</f>
        <v>0.28453457229491286</v>
      </c>
      <c r="H214" s="506">
        <f t="shared" ref="H214:AG214" si="226">H199</f>
        <v>0.28453457229491286</v>
      </c>
      <c r="I214" s="506">
        <f t="shared" si="226"/>
        <v>0.28453457229491286</v>
      </c>
      <c r="J214" s="506">
        <f t="shared" si="226"/>
        <v>0.28453457229491286</v>
      </c>
      <c r="K214" s="506">
        <f t="shared" si="226"/>
        <v>0.28453457229491286</v>
      </c>
      <c r="L214" s="506">
        <f t="shared" si="226"/>
        <v>0.28453457229491286</v>
      </c>
      <c r="M214" s="506">
        <f t="shared" si="226"/>
        <v>0.28453457229491286</v>
      </c>
      <c r="N214" s="506">
        <f t="shared" si="226"/>
        <v>0.28453457229491286</v>
      </c>
      <c r="O214" s="506">
        <f t="shared" si="226"/>
        <v>0.28453457229491286</v>
      </c>
      <c r="P214" s="506">
        <f t="shared" si="226"/>
        <v>0.28453457229491286</v>
      </c>
      <c r="Q214" s="506">
        <f t="shared" si="226"/>
        <v>0.28453457229491286</v>
      </c>
      <c r="R214" s="506">
        <f t="shared" si="226"/>
        <v>0.28453457229491286</v>
      </c>
      <c r="S214" s="506">
        <f t="shared" si="226"/>
        <v>0.28453457229491286</v>
      </c>
      <c r="T214" s="506">
        <f t="shared" si="226"/>
        <v>0.28453457229491286</v>
      </c>
      <c r="U214" s="506">
        <f t="shared" si="226"/>
        <v>0.28453457229491286</v>
      </c>
      <c r="V214" s="506">
        <f t="shared" si="226"/>
        <v>0.28453457229491286</v>
      </c>
      <c r="W214" s="506">
        <f t="shared" si="226"/>
        <v>0.28453457229491286</v>
      </c>
      <c r="X214" s="506">
        <f t="shared" si="226"/>
        <v>0.28453457229491286</v>
      </c>
      <c r="Y214" s="506">
        <f t="shared" si="226"/>
        <v>0.28453457229491286</v>
      </c>
      <c r="Z214" s="506">
        <f t="shared" si="226"/>
        <v>0.28453457229491286</v>
      </c>
      <c r="AA214" s="506">
        <f t="shared" si="226"/>
        <v>0.28453457229491286</v>
      </c>
      <c r="AB214" s="506">
        <f t="shared" si="226"/>
        <v>0.28453457229491286</v>
      </c>
      <c r="AC214" s="506">
        <f t="shared" si="226"/>
        <v>0.28453457229491286</v>
      </c>
      <c r="AD214" s="506">
        <f t="shared" si="226"/>
        <v>0.28453457229491286</v>
      </c>
      <c r="AE214" s="506">
        <f t="shared" si="226"/>
        <v>0.28453457229491286</v>
      </c>
      <c r="AF214" s="506">
        <f t="shared" si="226"/>
        <v>0.28453457229491286</v>
      </c>
      <c r="AG214" s="506">
        <f t="shared" si="226"/>
        <v>0.28453457229491286</v>
      </c>
      <c r="AH214" s="506"/>
      <c r="AI214" s="506"/>
      <c r="AJ214" s="506">
        <f>IF($C$4=Year1,-PMT(Lookups!$E$17,25,NPV(Lookups!$E$17,G214:AE214),0,1),IF($C$4=Year2,-PMT(Lookups!$F$17,25,NPV(Lookups!$F$17,H214:AF214),0,1),IF($C$4=Year3,-PMT(Lookups!$G$17,25,NPV(Lookups!$G$17,I214:AG214),0,1),-PMT(Lookups!$G$17,27,NPV(Lookups!$G$17,G214:AG214),0,1))))</f>
        <v>0.28056624508808786</v>
      </c>
      <c r="AK214" s="507"/>
      <c r="AL214" s="507"/>
      <c r="AM214" s="508">
        <f>AM199</f>
        <v>0.28453457229491286</v>
      </c>
      <c r="AN214" s="508">
        <f t="shared" ref="AN214:BM214" si="227">AN199</f>
        <v>0.28453457229491286</v>
      </c>
      <c r="AO214" s="508">
        <f t="shared" si="227"/>
        <v>0.28453457229491286</v>
      </c>
      <c r="AP214" s="508">
        <f t="shared" si="227"/>
        <v>0.28453457229491286</v>
      </c>
      <c r="AQ214" s="508">
        <f t="shared" si="227"/>
        <v>0.28453457229491286</v>
      </c>
      <c r="AR214" s="508">
        <f t="shared" si="227"/>
        <v>0.28453457229491286</v>
      </c>
      <c r="AS214" s="508">
        <f t="shared" si="227"/>
        <v>0.28453457229491286</v>
      </c>
      <c r="AT214" s="508">
        <f t="shared" si="227"/>
        <v>0.28453457229491286</v>
      </c>
      <c r="AU214" s="508">
        <f t="shared" si="227"/>
        <v>0.28453457229491286</v>
      </c>
      <c r="AV214" s="508">
        <f t="shared" si="227"/>
        <v>0.28453457229491286</v>
      </c>
      <c r="AW214" s="508">
        <f t="shared" si="227"/>
        <v>0.28453457229491286</v>
      </c>
      <c r="AX214" s="508">
        <f t="shared" si="227"/>
        <v>0.28453457229491286</v>
      </c>
      <c r="AY214" s="508">
        <f t="shared" si="227"/>
        <v>0.28453457229491286</v>
      </c>
      <c r="AZ214" s="508">
        <f t="shared" si="227"/>
        <v>0.28453457229491286</v>
      </c>
      <c r="BA214" s="508">
        <f t="shared" si="227"/>
        <v>0.28453457229491286</v>
      </c>
      <c r="BB214" s="508">
        <f t="shared" si="227"/>
        <v>0.28453457229491286</v>
      </c>
      <c r="BC214" s="508">
        <f t="shared" si="227"/>
        <v>0.28453457229491286</v>
      </c>
      <c r="BD214" s="508">
        <f t="shared" si="227"/>
        <v>0.28453457229491286</v>
      </c>
      <c r="BE214" s="508">
        <f t="shared" si="227"/>
        <v>0.28453457229491286</v>
      </c>
      <c r="BF214" s="508">
        <f t="shared" si="227"/>
        <v>0.28453457229491286</v>
      </c>
      <c r="BG214" s="508">
        <f t="shared" si="227"/>
        <v>0.28453457229491286</v>
      </c>
      <c r="BH214" s="508">
        <f t="shared" si="227"/>
        <v>0.28453457229491286</v>
      </c>
      <c r="BI214" s="508">
        <f t="shared" si="227"/>
        <v>0.28453457229491286</v>
      </c>
      <c r="BJ214" s="508">
        <f t="shared" si="227"/>
        <v>0.28453457229491286</v>
      </c>
      <c r="BK214" s="508">
        <f t="shared" si="227"/>
        <v>0.28453457229491286</v>
      </c>
      <c r="BL214" s="508">
        <f t="shared" si="227"/>
        <v>0.28453457229491286</v>
      </c>
      <c r="BM214" s="508">
        <f t="shared" si="227"/>
        <v>0.28453457229491286</v>
      </c>
      <c r="BN214" s="508"/>
      <c r="BO214" s="508"/>
      <c r="BP214" s="508">
        <f>IF($C$4=Year1,-PMT(Lookups!$E$17,25,NPV(Lookups!$E$17,AM214:BK214),0,1),IF($C$4=Year2,-PMT(Lookups!$F$17,25,NPV(Lookups!$F$17,AN214:BL214),0,1),IF($C$4=Year3,-PMT(Lookups!$G$17,25,NPV(Lookups!$G$17,AO214:BM214),0,1),-PMT(Lookups!$G$17,27,NPV(Lookups!$G$17,AM214:BM214),0,1))))</f>
        <v>0.28056624508808786</v>
      </c>
      <c r="BS214" s="84" t="s">
        <v>171</v>
      </c>
      <c r="BT214" s="51" t="s">
        <v>17</v>
      </c>
    </row>
    <row r="215" spans="1:72" x14ac:dyDescent="0.25">
      <c r="B215" s="243" t="str">
        <f>B213</f>
        <v>Small C&amp;I</v>
      </c>
      <c r="C215" s="243" t="str">
        <f>C213</f>
        <v>Rates</v>
      </c>
      <c r="D215" s="244" t="str">
        <f>D213</f>
        <v>Rates after DSM Scenario</v>
      </c>
      <c r="E215" s="84" t="s">
        <v>76</v>
      </c>
      <c r="F215" s="84" t="s">
        <v>182</v>
      </c>
      <c r="G215" s="506">
        <f ca="1">SUM(G210:G214)</f>
        <v>1.4487423960015888</v>
      </c>
      <c r="H215" s="506">
        <f t="shared" ref="H215:AG215" ca="1" si="228">SUM(H210:H214)</f>
        <v>1.461491722099302</v>
      </c>
      <c r="I215" s="506">
        <f t="shared" ca="1" si="228"/>
        <v>1.4774067532453434</v>
      </c>
      <c r="J215" s="506">
        <f t="shared" ca="1" si="228"/>
        <v>1.3186557424233583</v>
      </c>
      <c r="K215" s="506">
        <f t="shared" ca="1" si="228"/>
        <v>1.3186557424233583</v>
      </c>
      <c r="L215" s="506">
        <f t="shared" ca="1" si="228"/>
        <v>1.3186557424233583</v>
      </c>
      <c r="M215" s="506">
        <f t="shared" ca="1" si="228"/>
        <v>1.3186557424233583</v>
      </c>
      <c r="N215" s="506">
        <f t="shared" ca="1" si="228"/>
        <v>1.3186557424233583</v>
      </c>
      <c r="O215" s="506">
        <f t="shared" ca="1" si="228"/>
        <v>1.3186557424233583</v>
      </c>
      <c r="P215" s="506">
        <f t="shared" ca="1" si="228"/>
        <v>1.3186557424233583</v>
      </c>
      <c r="Q215" s="506">
        <f t="shared" ca="1" si="228"/>
        <v>1.3186557424233583</v>
      </c>
      <c r="R215" s="506">
        <f t="shared" ca="1" si="228"/>
        <v>1.3186557424233583</v>
      </c>
      <c r="S215" s="506">
        <f t="shared" ca="1" si="228"/>
        <v>1.3186557424233583</v>
      </c>
      <c r="T215" s="506">
        <f t="shared" ca="1" si="228"/>
        <v>1.3186557424233583</v>
      </c>
      <c r="U215" s="506">
        <f t="shared" ca="1" si="228"/>
        <v>1.3186557424233583</v>
      </c>
      <c r="V215" s="506">
        <f t="shared" ca="1" si="228"/>
        <v>1.3186557424233583</v>
      </c>
      <c r="W215" s="506">
        <f t="shared" ca="1" si="228"/>
        <v>1.3128114708431207</v>
      </c>
      <c r="X215" s="506">
        <f t="shared" ca="1" si="228"/>
        <v>1.3068585580808652</v>
      </c>
      <c r="Y215" s="506">
        <f t="shared" ca="1" si="228"/>
        <v>1.3008471347317248</v>
      </c>
      <c r="Z215" s="506">
        <f t="shared" ca="1" si="228"/>
        <v>1.3008471347317248</v>
      </c>
      <c r="AA215" s="506">
        <f t="shared" ca="1" si="228"/>
        <v>1.3008471347317248</v>
      </c>
      <c r="AB215" s="506">
        <f t="shared" ca="1" si="228"/>
        <v>1.3008471347317248</v>
      </c>
      <c r="AC215" s="506">
        <f t="shared" ca="1" si="228"/>
        <v>1.3008471347317248</v>
      </c>
      <c r="AD215" s="506">
        <f t="shared" ca="1" si="228"/>
        <v>1.3008471347317248</v>
      </c>
      <c r="AE215" s="506">
        <f t="shared" ca="1" si="228"/>
        <v>1.3008471347317248</v>
      </c>
      <c r="AF215" s="506">
        <f t="shared" ca="1" si="228"/>
        <v>1.3008471347317248</v>
      </c>
      <c r="AG215" s="506">
        <f t="shared" ca="1" si="228"/>
        <v>1.3008471347317248</v>
      </c>
      <c r="AH215" s="506"/>
      <c r="AI215" s="506"/>
      <c r="AJ215" s="506">
        <f ca="1">IF($C$4=Year1,-PMT(Lookups!$E$17,25,NPV(Lookups!$E$17,G215:AE215),0,1),IF($C$4=Year2,-PMT(Lookups!$F$17,25,NPV(Lookups!$F$17,H215:AF215),0,1),IF($C$4=Year3,-PMT(Lookups!$G$17,25,NPV(Lookups!$G$17,I215:AG215),0,1),-PMT(Lookups!$G$17,27,NPV(Lookups!$G$17,G215:AG215),0,1))))</f>
        <v>1.3130572274508436</v>
      </c>
      <c r="AK215" s="507"/>
      <c r="AL215" s="507"/>
      <c r="AM215" s="508">
        <f ca="1">SUM(AM210:AM214)</f>
        <v>1.4780249970929646</v>
      </c>
      <c r="AN215" s="508">
        <f t="shared" ref="AN215:BM215" ca="1" si="229">SUM(AN210:AN214)</f>
        <v>1.4930343749271111</v>
      </c>
      <c r="AO215" s="508">
        <f t="shared" ca="1" si="229"/>
        <v>1.5118577433097786</v>
      </c>
      <c r="AP215" s="508">
        <f t="shared" ca="1" si="229"/>
        <v>1.3213565303233965</v>
      </c>
      <c r="AQ215" s="508">
        <f t="shared" ca="1" si="229"/>
        <v>1.3213565303233965</v>
      </c>
      <c r="AR215" s="508">
        <f t="shared" ca="1" si="229"/>
        <v>1.3213565303233965</v>
      </c>
      <c r="AS215" s="508">
        <f t="shared" ca="1" si="229"/>
        <v>1.3213565303233965</v>
      </c>
      <c r="AT215" s="508">
        <f t="shared" ca="1" si="229"/>
        <v>1.3213565303233965</v>
      </c>
      <c r="AU215" s="508">
        <f t="shared" ca="1" si="229"/>
        <v>1.3213565303233965</v>
      </c>
      <c r="AV215" s="508">
        <f t="shared" ca="1" si="229"/>
        <v>1.3213565303233965</v>
      </c>
      <c r="AW215" s="508">
        <f t="shared" ca="1" si="229"/>
        <v>1.3213565303233965</v>
      </c>
      <c r="AX215" s="508">
        <f t="shared" ca="1" si="229"/>
        <v>1.3213565303233965</v>
      </c>
      <c r="AY215" s="508">
        <f t="shared" ca="1" si="229"/>
        <v>1.3213565303233965</v>
      </c>
      <c r="AZ215" s="508">
        <f t="shared" ca="1" si="229"/>
        <v>1.3213565303233965</v>
      </c>
      <c r="BA215" s="508">
        <f t="shared" ca="1" si="229"/>
        <v>1.3213565303233965</v>
      </c>
      <c r="BB215" s="508">
        <f t="shared" ca="1" si="229"/>
        <v>1.3213565303233965</v>
      </c>
      <c r="BC215" s="508">
        <f t="shared" ca="1" si="229"/>
        <v>1.3145912100346504</v>
      </c>
      <c r="BD215" s="508">
        <f t="shared" ca="1" si="229"/>
        <v>1.3077350960492773</v>
      </c>
      <c r="BE215" s="508">
        <f t="shared" ca="1" si="229"/>
        <v>1.3008471347317248</v>
      </c>
      <c r="BF215" s="508">
        <f t="shared" ca="1" si="229"/>
        <v>1.3008471347317248</v>
      </c>
      <c r="BG215" s="508">
        <f t="shared" ca="1" si="229"/>
        <v>1.3008471347317248</v>
      </c>
      <c r="BH215" s="508">
        <f t="shared" ca="1" si="229"/>
        <v>1.3008471347317248</v>
      </c>
      <c r="BI215" s="508">
        <f t="shared" ca="1" si="229"/>
        <v>1.3008471347317248</v>
      </c>
      <c r="BJ215" s="508">
        <f t="shared" ca="1" si="229"/>
        <v>1.3008471347317248</v>
      </c>
      <c r="BK215" s="508">
        <f t="shared" ca="1" si="229"/>
        <v>1.3008471347317248</v>
      </c>
      <c r="BL215" s="508">
        <f t="shared" ca="1" si="229"/>
        <v>1.3008471347317248</v>
      </c>
      <c r="BM215" s="508">
        <f t="shared" ca="1" si="229"/>
        <v>1.3008471347317248</v>
      </c>
      <c r="BN215" s="508"/>
      <c r="BO215" s="508"/>
      <c r="BP215" s="508">
        <f ca="1">IF($C$4=Year1,-PMT(Lookups!$E$17,25,NPV(Lookups!$E$17,AM215:BK215),0,1),IF($C$4=Year2,-PMT(Lookups!$F$17,25,NPV(Lookups!$F$17,AN215:BL215),0,1),IF($C$4=Year3,-PMT(Lookups!$G$17,25,NPV(Lookups!$G$17,AO215:BM215),0,1),-PMT(Lookups!$G$17,27,NPV(Lookups!$G$17,AM215:BM215),0,1))))</f>
        <v>1.3185902756491807</v>
      </c>
      <c r="BS215" s="84" t="s">
        <v>235</v>
      </c>
      <c r="BT215" s="51" t="s">
        <v>17</v>
      </c>
    </row>
    <row r="216" spans="1:72" x14ac:dyDescent="0.25">
      <c r="B216" s="243" t="str">
        <f>B214</f>
        <v>Small C&amp;I</v>
      </c>
      <c r="C216" s="243" t="str">
        <f>C214</f>
        <v>Rates</v>
      </c>
      <c r="D216" s="114" t="s">
        <v>114</v>
      </c>
      <c r="E216" s="84"/>
      <c r="F216" s="84"/>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49"/>
      <c r="AI216" s="109"/>
      <c r="AJ216" s="49"/>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S216" s="84"/>
      <c r="BT216" s="51" t="s">
        <v>17</v>
      </c>
    </row>
    <row r="217" spans="1:72" x14ac:dyDescent="0.25">
      <c r="B217" s="243" t="str">
        <f t="shared" ref="B217:D232" si="230">B216</f>
        <v>Small C&amp;I</v>
      </c>
      <c r="C217" s="243" t="str">
        <f t="shared" si="230"/>
        <v>Rates</v>
      </c>
      <c r="D217" s="244" t="str">
        <f t="shared" si="230"/>
        <v>Change in Rates after DSM Scenario</v>
      </c>
      <c r="E217" s="84" t="s">
        <v>76</v>
      </c>
      <c r="F217" s="84" t="s">
        <v>182</v>
      </c>
      <c r="G217" s="510">
        <f ca="1">G215-G200</f>
        <v>0.14789526126986408</v>
      </c>
      <c r="H217" s="510">
        <f t="shared" ref="H217:AG217" ca="1" si="231">H215-H200</f>
        <v>0.16064458736757725</v>
      </c>
      <c r="I217" s="510">
        <f t="shared" ca="1" si="231"/>
        <v>0.17655961851361868</v>
      </c>
      <c r="J217" s="510">
        <f t="shared" ca="1" si="231"/>
        <v>1.7808607691633505E-2</v>
      </c>
      <c r="K217" s="510">
        <f t="shared" ca="1" si="231"/>
        <v>1.7808607691633505E-2</v>
      </c>
      <c r="L217" s="510">
        <f t="shared" ca="1" si="231"/>
        <v>1.7808607691633505E-2</v>
      </c>
      <c r="M217" s="510">
        <f t="shared" ca="1" si="231"/>
        <v>1.7808607691633505E-2</v>
      </c>
      <c r="N217" s="510">
        <f t="shared" ca="1" si="231"/>
        <v>1.7808607691633505E-2</v>
      </c>
      <c r="O217" s="510">
        <f t="shared" ca="1" si="231"/>
        <v>1.7808607691633505E-2</v>
      </c>
      <c r="P217" s="510">
        <f t="shared" ca="1" si="231"/>
        <v>1.7808607691633505E-2</v>
      </c>
      <c r="Q217" s="510">
        <f t="shared" ca="1" si="231"/>
        <v>1.7808607691633505E-2</v>
      </c>
      <c r="R217" s="510">
        <f t="shared" ca="1" si="231"/>
        <v>1.7808607691633505E-2</v>
      </c>
      <c r="S217" s="510">
        <f t="shared" ca="1" si="231"/>
        <v>1.7808607691633505E-2</v>
      </c>
      <c r="T217" s="510">
        <f t="shared" ca="1" si="231"/>
        <v>1.7808607691633505E-2</v>
      </c>
      <c r="U217" s="510">
        <f t="shared" ca="1" si="231"/>
        <v>1.7808607691633505E-2</v>
      </c>
      <c r="V217" s="510">
        <f t="shared" ca="1" si="231"/>
        <v>1.7808607691633505E-2</v>
      </c>
      <c r="W217" s="510">
        <f t="shared" ca="1" si="231"/>
        <v>1.1964336111395912E-2</v>
      </c>
      <c r="X217" s="510">
        <f t="shared" ca="1" si="231"/>
        <v>6.011423349140399E-3</v>
      </c>
      <c r="Y217" s="510">
        <f t="shared" ca="1" si="231"/>
        <v>0</v>
      </c>
      <c r="Z217" s="510">
        <f t="shared" ca="1" si="231"/>
        <v>0</v>
      </c>
      <c r="AA217" s="510">
        <f t="shared" ca="1" si="231"/>
        <v>0</v>
      </c>
      <c r="AB217" s="510">
        <f t="shared" ca="1" si="231"/>
        <v>0</v>
      </c>
      <c r="AC217" s="510">
        <f t="shared" ca="1" si="231"/>
        <v>0</v>
      </c>
      <c r="AD217" s="510">
        <f t="shared" ca="1" si="231"/>
        <v>0</v>
      </c>
      <c r="AE217" s="510">
        <f t="shared" ca="1" si="231"/>
        <v>0</v>
      </c>
      <c r="AF217" s="510">
        <f t="shared" ca="1" si="231"/>
        <v>0</v>
      </c>
      <c r="AG217" s="510">
        <f t="shared" ca="1" si="231"/>
        <v>0</v>
      </c>
      <c r="AH217" s="510"/>
      <c r="AI217" s="510"/>
      <c r="AJ217" s="510">
        <f ca="1">IF($C$4=Year1,-PMT(Lookups!$E$17,25,NPV(Lookups!$E$17,G217:AE217),0,1),IF($C$4=Year2,-PMT(Lookups!$F$17,25,NPV(Lookups!$F$17,H217:AF217),0,1),IF($C$4=Year3,-PMT(Lookups!$G$17,25,NPV(Lookups!$G$17,I217:AG217),0,1),-PMT(Lookups!$G$17,27,NPV(Lookups!$G$17,G217:AG217),0,1))))</f>
        <v>3.0352658084869175E-2</v>
      </c>
      <c r="AK217" s="507"/>
      <c r="AL217" s="507"/>
      <c r="AM217" s="508">
        <f ca="1">AM215-AM200</f>
        <v>0.17717786236123989</v>
      </c>
      <c r="AN217" s="508">
        <f t="shared" ref="AN217:BM217" ca="1" si="232">AN215-AN200</f>
        <v>0.19218724019538636</v>
      </c>
      <c r="AO217" s="508">
        <f t="shared" ca="1" si="232"/>
        <v>0.21101060857805387</v>
      </c>
      <c r="AP217" s="508">
        <f t="shared" ca="1" si="232"/>
        <v>2.0509395591671753E-2</v>
      </c>
      <c r="AQ217" s="508">
        <f t="shared" ca="1" si="232"/>
        <v>2.0509395591671753E-2</v>
      </c>
      <c r="AR217" s="508">
        <f t="shared" ca="1" si="232"/>
        <v>2.0509395591671753E-2</v>
      </c>
      <c r="AS217" s="508">
        <f t="shared" ca="1" si="232"/>
        <v>2.0509395591671753E-2</v>
      </c>
      <c r="AT217" s="508">
        <f t="shared" ca="1" si="232"/>
        <v>2.0509395591671753E-2</v>
      </c>
      <c r="AU217" s="508">
        <f t="shared" ca="1" si="232"/>
        <v>2.0509395591671753E-2</v>
      </c>
      <c r="AV217" s="508">
        <f t="shared" ca="1" si="232"/>
        <v>2.0509395591671753E-2</v>
      </c>
      <c r="AW217" s="508">
        <f t="shared" ca="1" si="232"/>
        <v>2.0509395591671753E-2</v>
      </c>
      <c r="AX217" s="508">
        <f t="shared" ca="1" si="232"/>
        <v>2.0509395591671753E-2</v>
      </c>
      <c r="AY217" s="508">
        <f t="shared" ca="1" si="232"/>
        <v>2.0509395591671753E-2</v>
      </c>
      <c r="AZ217" s="508">
        <f t="shared" ca="1" si="232"/>
        <v>2.0509395591671753E-2</v>
      </c>
      <c r="BA217" s="508">
        <f t="shared" ca="1" si="232"/>
        <v>2.0509395591671753E-2</v>
      </c>
      <c r="BB217" s="508">
        <f t="shared" ca="1" si="232"/>
        <v>2.0509395591671753E-2</v>
      </c>
      <c r="BC217" s="508">
        <f t="shared" ca="1" si="232"/>
        <v>1.3744075302925651E-2</v>
      </c>
      <c r="BD217" s="508">
        <f t="shared" ca="1" si="232"/>
        <v>6.8879613175525378E-3</v>
      </c>
      <c r="BE217" s="508">
        <f t="shared" ca="1" si="232"/>
        <v>0</v>
      </c>
      <c r="BF217" s="508">
        <f t="shared" ca="1" si="232"/>
        <v>0</v>
      </c>
      <c r="BG217" s="508">
        <f t="shared" ca="1" si="232"/>
        <v>0</v>
      </c>
      <c r="BH217" s="508">
        <f t="shared" ca="1" si="232"/>
        <v>0</v>
      </c>
      <c r="BI217" s="508">
        <f t="shared" ca="1" si="232"/>
        <v>0</v>
      </c>
      <c r="BJ217" s="508">
        <f t="shared" ca="1" si="232"/>
        <v>0</v>
      </c>
      <c r="BK217" s="508">
        <f t="shared" ca="1" si="232"/>
        <v>0</v>
      </c>
      <c r="BL217" s="508">
        <f t="shared" ca="1" si="232"/>
        <v>0</v>
      </c>
      <c r="BM217" s="508">
        <f t="shared" ca="1" si="232"/>
        <v>0</v>
      </c>
      <c r="BN217" s="508"/>
      <c r="BO217" s="508"/>
      <c r="BP217" s="508">
        <f ca="1">IF($C$4=Year1,-PMT(Lookups!$E$17,25,NPV(Lookups!$E$17,AM217:BK217),0,1),IF($C$4=Year2,-PMT(Lookups!$F$17,25,NPV(Lookups!$F$17,AN217:BL217),0,1),IF($C$4=Year3,-PMT(Lookups!$G$17,25,NPV(Lookups!$G$17,AO217:BM217),0,1),-PMT(Lookups!$G$17,27,NPV(Lookups!$G$17,AM217:BM217),0,1))))</f>
        <v>3.5885706283206247E-2</v>
      </c>
      <c r="BS217" s="84" t="s">
        <v>233</v>
      </c>
      <c r="BT217" s="51" t="s">
        <v>17</v>
      </c>
    </row>
    <row r="218" spans="1:72" x14ac:dyDescent="0.25">
      <c r="B218" s="243" t="str">
        <f t="shared" si="230"/>
        <v>Small C&amp;I</v>
      </c>
      <c r="C218" s="243" t="str">
        <f t="shared" si="230"/>
        <v>Rates</v>
      </c>
      <c r="D218" s="244" t="str">
        <f t="shared" si="230"/>
        <v>Change in Rates after DSM Scenario</v>
      </c>
      <c r="E218" s="84" t="s">
        <v>76</v>
      </c>
      <c r="F218" s="84" t="s">
        <v>16</v>
      </c>
      <c r="G218" s="224">
        <f ca="1">IFERROR(G215/G200-1,0)</f>
        <v>0.11369149942461498</v>
      </c>
      <c r="H218" s="224">
        <f t="shared" ref="H218:AG218" ca="1" si="233">IFERROR(H215/H200-1,0)</f>
        <v>0.12349228674029189</v>
      </c>
      <c r="I218" s="224">
        <f t="shared" ca="1" si="233"/>
        <v>0.1357266459675377</v>
      </c>
      <c r="J218" s="224">
        <f t="shared" ca="1" si="233"/>
        <v>1.3690008007978705E-2</v>
      </c>
      <c r="K218" s="224">
        <f t="shared" ca="1" si="233"/>
        <v>1.3690008007978705E-2</v>
      </c>
      <c r="L218" s="224">
        <f t="shared" ca="1" si="233"/>
        <v>1.3690008007978705E-2</v>
      </c>
      <c r="M218" s="224">
        <f t="shared" ca="1" si="233"/>
        <v>1.3690008007978705E-2</v>
      </c>
      <c r="N218" s="224">
        <f t="shared" ca="1" si="233"/>
        <v>1.3690008007978705E-2</v>
      </c>
      <c r="O218" s="224">
        <f t="shared" ca="1" si="233"/>
        <v>1.3690008007978705E-2</v>
      </c>
      <c r="P218" s="224">
        <f t="shared" ca="1" si="233"/>
        <v>1.3690008007978705E-2</v>
      </c>
      <c r="Q218" s="224">
        <f t="shared" ca="1" si="233"/>
        <v>1.3690008007978705E-2</v>
      </c>
      <c r="R218" s="224">
        <f t="shared" ca="1" si="233"/>
        <v>1.3690008007978705E-2</v>
      </c>
      <c r="S218" s="224">
        <f t="shared" ca="1" si="233"/>
        <v>1.3690008007978705E-2</v>
      </c>
      <c r="T218" s="224">
        <f t="shared" ca="1" si="233"/>
        <v>1.3690008007978705E-2</v>
      </c>
      <c r="U218" s="224">
        <f t="shared" ca="1" si="233"/>
        <v>1.3690008007978705E-2</v>
      </c>
      <c r="V218" s="224">
        <f t="shared" ca="1" si="233"/>
        <v>1.3690008007978705E-2</v>
      </c>
      <c r="W218" s="224">
        <f t="shared" ca="1" si="233"/>
        <v>9.1973420949751361E-3</v>
      </c>
      <c r="X218" s="224">
        <f t="shared" ca="1" si="233"/>
        <v>4.621160464315599E-3</v>
      </c>
      <c r="Y218" s="224">
        <f t="shared" ca="1" si="233"/>
        <v>0</v>
      </c>
      <c r="Z218" s="224">
        <f t="shared" ca="1" si="233"/>
        <v>0</v>
      </c>
      <c r="AA218" s="224">
        <f t="shared" ca="1" si="233"/>
        <v>0</v>
      </c>
      <c r="AB218" s="224">
        <f t="shared" ca="1" si="233"/>
        <v>0</v>
      </c>
      <c r="AC218" s="224">
        <f t="shared" ca="1" si="233"/>
        <v>0</v>
      </c>
      <c r="AD218" s="224">
        <f t="shared" ca="1" si="233"/>
        <v>0</v>
      </c>
      <c r="AE218" s="224">
        <f t="shared" ca="1" si="233"/>
        <v>0</v>
      </c>
      <c r="AF218" s="224">
        <f t="shared" ca="1" si="233"/>
        <v>0</v>
      </c>
      <c r="AG218" s="224">
        <f t="shared" ca="1" si="233"/>
        <v>0</v>
      </c>
      <c r="AH218" s="224"/>
      <c r="AI218" s="224"/>
      <c r="AJ218" s="224">
        <f ca="1">IFERROR(AJ215/AJ200-1,0)</f>
        <v>2.3663015482880967E-2</v>
      </c>
      <c r="AK218" s="212"/>
      <c r="AL218" s="212"/>
      <c r="AM218" s="504">
        <f ca="1">IFERROR(AM215/AM200-1,0)</f>
        <v>0.13620190845696833</v>
      </c>
      <c r="AN218" s="504">
        <f t="shared" ref="AN218:BM218" ca="1" si="234">IFERROR(AN215/AN200-1,0)</f>
        <v>0.14774006496545145</v>
      </c>
      <c r="AO218" s="504">
        <f t="shared" ca="1" si="234"/>
        <v>0.16221014978948389</v>
      </c>
      <c r="AP218" s="504">
        <f t="shared" ca="1" si="234"/>
        <v>1.5766184238013015E-2</v>
      </c>
      <c r="AQ218" s="504">
        <f t="shared" ca="1" si="234"/>
        <v>1.5766184238013015E-2</v>
      </c>
      <c r="AR218" s="504">
        <f t="shared" ca="1" si="234"/>
        <v>1.5766184238013015E-2</v>
      </c>
      <c r="AS218" s="504">
        <f t="shared" ca="1" si="234"/>
        <v>1.5766184238013015E-2</v>
      </c>
      <c r="AT218" s="504">
        <f t="shared" ca="1" si="234"/>
        <v>1.5766184238013015E-2</v>
      </c>
      <c r="AU218" s="504">
        <f t="shared" ca="1" si="234"/>
        <v>1.5766184238013015E-2</v>
      </c>
      <c r="AV218" s="504">
        <f t="shared" ca="1" si="234"/>
        <v>1.5766184238013015E-2</v>
      </c>
      <c r="AW218" s="504">
        <f t="shared" ca="1" si="234"/>
        <v>1.5766184238013015E-2</v>
      </c>
      <c r="AX218" s="504">
        <f t="shared" ca="1" si="234"/>
        <v>1.5766184238013015E-2</v>
      </c>
      <c r="AY218" s="504">
        <f t="shared" ca="1" si="234"/>
        <v>1.5766184238013015E-2</v>
      </c>
      <c r="AZ218" s="504">
        <f t="shared" ca="1" si="234"/>
        <v>1.5766184238013015E-2</v>
      </c>
      <c r="BA218" s="504">
        <f t="shared" ca="1" si="234"/>
        <v>1.5766184238013015E-2</v>
      </c>
      <c r="BB218" s="504">
        <f t="shared" ca="1" si="234"/>
        <v>1.5766184238013015E-2</v>
      </c>
      <c r="BC218" s="504">
        <f t="shared" ca="1" si="234"/>
        <v>1.0565480705586605E-2</v>
      </c>
      <c r="BD218" s="504">
        <f t="shared" ca="1" si="234"/>
        <v>5.2949813499594267E-3</v>
      </c>
      <c r="BE218" s="504">
        <f t="shared" ca="1" si="234"/>
        <v>0</v>
      </c>
      <c r="BF218" s="504">
        <f t="shared" ca="1" si="234"/>
        <v>0</v>
      </c>
      <c r="BG218" s="504">
        <f t="shared" ca="1" si="234"/>
        <v>0</v>
      </c>
      <c r="BH218" s="504">
        <f t="shared" ca="1" si="234"/>
        <v>0</v>
      </c>
      <c r="BI218" s="504">
        <f t="shared" ca="1" si="234"/>
        <v>0</v>
      </c>
      <c r="BJ218" s="504">
        <f t="shared" ca="1" si="234"/>
        <v>0</v>
      </c>
      <c r="BK218" s="504">
        <f t="shared" ca="1" si="234"/>
        <v>0</v>
      </c>
      <c r="BL218" s="504">
        <f t="shared" ca="1" si="234"/>
        <v>0</v>
      </c>
      <c r="BM218" s="504">
        <f t="shared" ca="1" si="234"/>
        <v>0</v>
      </c>
      <c r="BN218" s="504"/>
      <c r="BO218" s="504"/>
      <c r="BP218" s="504">
        <f ca="1">IFERROR(BP215/BP200-1,0)</f>
        <v>2.797659503227945E-2</v>
      </c>
      <c r="BS218" s="84" t="s">
        <v>234</v>
      </c>
      <c r="BT218" s="51" t="s">
        <v>17</v>
      </c>
    </row>
    <row r="219" spans="1:72" x14ac:dyDescent="0.25">
      <c r="B219" s="243" t="str">
        <f t="shared" si="230"/>
        <v>Small C&amp;I</v>
      </c>
      <c r="C219" s="243" t="str">
        <f t="shared" si="230"/>
        <v>Rates</v>
      </c>
      <c r="D219" s="85"/>
      <c r="E219" s="84" t="s">
        <v>17</v>
      </c>
      <c r="F219" s="84"/>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S219" s="84"/>
      <c r="BT219" s="51" t="s">
        <v>17</v>
      </c>
    </row>
    <row r="220" spans="1:72" s="5" customFormat="1" ht="15.75" x14ac:dyDescent="0.25">
      <c r="A220" s="52"/>
      <c r="B220" s="241" t="str">
        <f t="shared" si="230"/>
        <v>Small C&amp;I</v>
      </c>
      <c r="C220" s="63" t="s">
        <v>51</v>
      </c>
      <c r="D220" s="61"/>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2"/>
      <c r="BO220" s="62"/>
      <c r="BP220" s="62"/>
      <c r="BS220" s="62"/>
      <c r="BT220" s="51" t="s">
        <v>17</v>
      </c>
    </row>
    <row r="221" spans="1:72" x14ac:dyDescent="0.25">
      <c r="B221" s="243" t="str">
        <f t="shared" si="230"/>
        <v>Small C&amp;I</v>
      </c>
      <c r="C221" s="243" t="str">
        <f>C220</f>
        <v>Bills</v>
      </c>
      <c r="D221" s="114" t="str">
        <f>"Bills before DSM ("&amp;Lookups!$D$22&amp;" Scenario, Non-Participant)"</f>
        <v>Bills before DSM (No EE Scenario, Non-Participant)</v>
      </c>
      <c r="E221" s="86"/>
      <c r="F221" s="84"/>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S221" s="84"/>
      <c r="BT221" s="51" t="s">
        <v>17</v>
      </c>
    </row>
    <row r="222" spans="1:72" x14ac:dyDescent="0.25">
      <c r="B222" s="243" t="str">
        <f t="shared" si="230"/>
        <v>Small C&amp;I</v>
      </c>
      <c r="C222" s="243" t="str">
        <f t="shared" si="230"/>
        <v>Bills</v>
      </c>
      <c r="D222" s="244" t="str">
        <f>D221</f>
        <v>Bills before DSM (No EE Scenario, Non-Participant)</v>
      </c>
      <c r="E222" s="86" t="s">
        <v>75</v>
      </c>
      <c r="F222" s="84" t="s">
        <v>31</v>
      </c>
      <c r="G222" s="659">
        <f>IF(G$8=0,0,INDEX('R&amp;B Inputs'!$H$45:$U$45,MATCH($B222,'R&amp;B Inputs'!$H$4:$U$4,0))*(1+INDEX('R&amp;B Inputs'!$H$46:$U$46,MATCH($B222,'R&amp;B Inputs'!$H$4:$U$4,0)))^(G$7-Year1)*12)</f>
        <v>676.31999999999994</v>
      </c>
      <c r="H222" s="659">
        <f>IF(H$8=0,0,INDEX('R&amp;B Inputs'!$H$45:$U$45,MATCH($B222,'R&amp;B Inputs'!$H$4:$U$4,0))*(1+INDEX('R&amp;B Inputs'!$H$46:$U$46,MATCH($B222,'R&amp;B Inputs'!$H$4:$U$4,0)))^(H$7-Year1)*12)</f>
        <v>676.31999999999994</v>
      </c>
      <c r="I222" s="659">
        <f>IF(I$8=0,0,INDEX('R&amp;B Inputs'!$H$45:$U$45,MATCH($B222,'R&amp;B Inputs'!$H$4:$U$4,0))*(1+INDEX('R&amp;B Inputs'!$H$46:$U$46,MATCH($B222,'R&amp;B Inputs'!$H$4:$U$4,0)))^(I$7-Year1)*12)</f>
        <v>676.31999999999994</v>
      </c>
      <c r="J222" s="659">
        <f>IF(J$8=0,0,INDEX('R&amp;B Inputs'!$H$45:$U$45,MATCH($B222,'R&amp;B Inputs'!$H$4:$U$4,0))*(1+INDEX('R&amp;B Inputs'!$H$46:$U$46,MATCH($B222,'R&amp;B Inputs'!$H$4:$U$4,0)))^(J$7-Year1)*12)</f>
        <v>676.31999999999994</v>
      </c>
      <c r="K222" s="659">
        <f>IF(K$8=0,0,INDEX('R&amp;B Inputs'!$H$45:$U$45,MATCH($B222,'R&amp;B Inputs'!$H$4:$U$4,0))*(1+INDEX('R&amp;B Inputs'!$H$46:$U$46,MATCH($B222,'R&amp;B Inputs'!$H$4:$U$4,0)))^(K$7-Year1)*12)</f>
        <v>676.31999999999994</v>
      </c>
      <c r="L222" s="659">
        <f>IF(L$8=0,0,INDEX('R&amp;B Inputs'!$H$45:$U$45,MATCH($B222,'R&amp;B Inputs'!$H$4:$U$4,0))*(1+INDEX('R&amp;B Inputs'!$H$46:$U$46,MATCH($B222,'R&amp;B Inputs'!$H$4:$U$4,0)))^(L$7-Year1)*12)</f>
        <v>676.31999999999994</v>
      </c>
      <c r="M222" s="659">
        <f>IF(M$8=0,0,INDEX('R&amp;B Inputs'!$H$45:$U$45,MATCH($B222,'R&amp;B Inputs'!$H$4:$U$4,0))*(1+INDEX('R&amp;B Inputs'!$H$46:$U$46,MATCH($B222,'R&amp;B Inputs'!$H$4:$U$4,0)))^(M$7-Year1)*12)</f>
        <v>676.31999999999994</v>
      </c>
      <c r="N222" s="659">
        <f>IF(N$8=0,0,INDEX('R&amp;B Inputs'!$H$45:$U$45,MATCH($B222,'R&amp;B Inputs'!$H$4:$U$4,0))*(1+INDEX('R&amp;B Inputs'!$H$46:$U$46,MATCH($B222,'R&amp;B Inputs'!$H$4:$U$4,0)))^(N$7-Year1)*12)</f>
        <v>676.31999999999994</v>
      </c>
      <c r="O222" s="659">
        <f>IF(O$8=0,0,INDEX('R&amp;B Inputs'!$H$45:$U$45,MATCH($B222,'R&amp;B Inputs'!$H$4:$U$4,0))*(1+INDEX('R&amp;B Inputs'!$H$46:$U$46,MATCH($B222,'R&amp;B Inputs'!$H$4:$U$4,0)))^(O$7-Year1)*12)</f>
        <v>676.31999999999994</v>
      </c>
      <c r="P222" s="659">
        <f>IF(P$8=0,0,INDEX('R&amp;B Inputs'!$H$45:$U$45,MATCH($B222,'R&amp;B Inputs'!$H$4:$U$4,0))*(1+INDEX('R&amp;B Inputs'!$H$46:$U$46,MATCH($B222,'R&amp;B Inputs'!$H$4:$U$4,0)))^(P$7-Year1)*12)</f>
        <v>676.31999999999994</v>
      </c>
      <c r="Q222" s="659">
        <f>IF(Q$8=0,0,INDEX('R&amp;B Inputs'!$H$45:$U$45,MATCH($B222,'R&amp;B Inputs'!$H$4:$U$4,0))*(1+INDEX('R&amp;B Inputs'!$H$46:$U$46,MATCH($B222,'R&amp;B Inputs'!$H$4:$U$4,0)))^(Q$7-Year1)*12)</f>
        <v>676.31999999999994</v>
      </c>
      <c r="R222" s="659">
        <f>IF(R$8=0,0,INDEX('R&amp;B Inputs'!$H$45:$U$45,MATCH($B222,'R&amp;B Inputs'!$H$4:$U$4,0))*(1+INDEX('R&amp;B Inputs'!$H$46:$U$46,MATCH($B222,'R&amp;B Inputs'!$H$4:$U$4,0)))^(R$7-Year1)*12)</f>
        <v>676.31999999999994</v>
      </c>
      <c r="S222" s="659">
        <f>IF(S$8=0,0,INDEX('R&amp;B Inputs'!$H$45:$U$45,MATCH($B222,'R&amp;B Inputs'!$H$4:$U$4,0))*(1+INDEX('R&amp;B Inputs'!$H$46:$U$46,MATCH($B222,'R&amp;B Inputs'!$H$4:$U$4,0)))^(S$7-Year1)*12)</f>
        <v>676.31999999999994</v>
      </c>
      <c r="T222" s="659">
        <f>IF(T$8=0,0,INDEX('R&amp;B Inputs'!$H$45:$U$45,MATCH($B222,'R&amp;B Inputs'!$H$4:$U$4,0))*(1+INDEX('R&amp;B Inputs'!$H$46:$U$46,MATCH($B222,'R&amp;B Inputs'!$H$4:$U$4,0)))^(T$7-Year1)*12)</f>
        <v>676.31999999999994</v>
      </c>
      <c r="U222" s="659">
        <f>IF(U$8=0,0,INDEX('R&amp;B Inputs'!$H$45:$U$45,MATCH($B222,'R&amp;B Inputs'!$H$4:$U$4,0))*(1+INDEX('R&amp;B Inputs'!$H$46:$U$46,MATCH($B222,'R&amp;B Inputs'!$H$4:$U$4,0)))^(U$7-Year1)*12)</f>
        <v>676.31999999999994</v>
      </c>
      <c r="V222" s="659">
        <f>IF(V$8=0,0,INDEX('R&amp;B Inputs'!$H$45:$U$45,MATCH($B222,'R&amp;B Inputs'!$H$4:$U$4,0))*(1+INDEX('R&amp;B Inputs'!$H$46:$U$46,MATCH($B222,'R&amp;B Inputs'!$H$4:$U$4,0)))^(V$7-Year1)*12)</f>
        <v>676.31999999999994</v>
      </c>
      <c r="W222" s="659">
        <f>IF(W$8=0,0,INDEX('R&amp;B Inputs'!$H$45:$U$45,MATCH($B222,'R&amp;B Inputs'!$H$4:$U$4,0))*(1+INDEX('R&amp;B Inputs'!$H$46:$U$46,MATCH($B222,'R&amp;B Inputs'!$H$4:$U$4,0)))^(W$7-Year1)*12)</f>
        <v>676.31999999999994</v>
      </c>
      <c r="X222" s="659">
        <f>IF(X$8=0,0,INDEX('R&amp;B Inputs'!$H$45:$U$45,MATCH($B222,'R&amp;B Inputs'!$H$4:$U$4,0))*(1+INDEX('R&amp;B Inputs'!$H$46:$U$46,MATCH($B222,'R&amp;B Inputs'!$H$4:$U$4,0)))^(X$7-Year1)*12)</f>
        <v>676.31999999999994</v>
      </c>
      <c r="Y222" s="659">
        <f>IF(Y$8=0,0,INDEX('R&amp;B Inputs'!$H$45:$U$45,MATCH($B222,'R&amp;B Inputs'!$H$4:$U$4,0))*(1+INDEX('R&amp;B Inputs'!$H$46:$U$46,MATCH($B222,'R&amp;B Inputs'!$H$4:$U$4,0)))^(Y$7-Year1)*12)</f>
        <v>676.31999999999994</v>
      </c>
      <c r="Z222" s="659">
        <f>IF(Z$8=0,0,INDEX('R&amp;B Inputs'!$H$45:$U$45,MATCH($B222,'R&amp;B Inputs'!$H$4:$U$4,0))*(1+INDEX('R&amp;B Inputs'!$H$46:$U$46,MATCH($B222,'R&amp;B Inputs'!$H$4:$U$4,0)))^(Z$7-Year1)*12)</f>
        <v>676.31999999999994</v>
      </c>
      <c r="AA222" s="659">
        <f>IF(AA$8=0,0,INDEX('R&amp;B Inputs'!$H$45:$U$45,MATCH($B222,'R&amp;B Inputs'!$H$4:$U$4,0))*(1+INDEX('R&amp;B Inputs'!$H$46:$U$46,MATCH($B222,'R&amp;B Inputs'!$H$4:$U$4,0)))^(AA$7-Year1)*12)</f>
        <v>676.31999999999994</v>
      </c>
      <c r="AB222" s="659">
        <f>IF(AB$8=0,0,INDEX('R&amp;B Inputs'!$H$45:$U$45,MATCH($B222,'R&amp;B Inputs'!$H$4:$U$4,0))*(1+INDEX('R&amp;B Inputs'!$H$46:$U$46,MATCH($B222,'R&amp;B Inputs'!$H$4:$U$4,0)))^(AB$7-Year1)*12)</f>
        <v>676.31999999999994</v>
      </c>
      <c r="AC222" s="659">
        <f>IF(AC$8=0,0,INDEX('R&amp;B Inputs'!$H$45:$U$45,MATCH($B222,'R&amp;B Inputs'!$H$4:$U$4,0))*(1+INDEX('R&amp;B Inputs'!$H$46:$U$46,MATCH($B222,'R&amp;B Inputs'!$H$4:$U$4,0)))^(AC$7-Year1)*12)</f>
        <v>676.31999999999994</v>
      </c>
      <c r="AD222" s="659">
        <f>IF(AD$8=0,0,INDEX('R&amp;B Inputs'!$H$45:$U$45,MATCH($B222,'R&amp;B Inputs'!$H$4:$U$4,0))*(1+INDEX('R&amp;B Inputs'!$H$46:$U$46,MATCH($B222,'R&amp;B Inputs'!$H$4:$U$4,0)))^(AD$7-Year1)*12)</f>
        <v>676.31999999999994</v>
      </c>
      <c r="AE222" s="659">
        <f>IF(AE$8=0,0,INDEX('R&amp;B Inputs'!$H$45:$U$45,MATCH($B222,'R&amp;B Inputs'!$H$4:$U$4,0))*(1+INDEX('R&amp;B Inputs'!$H$46:$U$46,MATCH($B222,'R&amp;B Inputs'!$H$4:$U$4,0)))^(AE$7-Year1)*12)</f>
        <v>676.31999999999994</v>
      </c>
      <c r="AF222" s="659">
        <f>IF(AF$8=0,0,INDEX('R&amp;B Inputs'!$H$45:$U$45,MATCH($B222,'R&amp;B Inputs'!$H$4:$U$4,0))*(1+INDEX('R&amp;B Inputs'!$H$46:$U$46,MATCH($B222,'R&amp;B Inputs'!$H$4:$U$4,0)))^(AF$7-Year1)*12)</f>
        <v>676.31999999999994</v>
      </c>
      <c r="AG222" s="659">
        <f>IF(AG$8=0,0,INDEX('R&amp;B Inputs'!$H$45:$U$45,MATCH($B222,'R&amp;B Inputs'!$H$4:$U$4,0))*(1+INDEX('R&amp;B Inputs'!$H$46:$U$46,MATCH($B222,'R&amp;B Inputs'!$H$4:$U$4,0)))^(AG$7-Year1)*12)</f>
        <v>676.31999999999994</v>
      </c>
      <c r="AH222" s="49"/>
      <c r="AI222" s="49"/>
      <c r="AJ222" s="103">
        <f>IF($C$4=Year1,-PMT(Lookups!$E$17,25,NPV(Lookups!$E$17,G222:AE222),0,1),IF($C$4=Year2,-PMT(Lookups!$F$17,25,NPV(Lookups!$F$17,H222:AF222),0,1),IF($C$4=Year3,-PMT(Lookups!$G$17,25,NPV(Lookups!$G$17,I222:AG222),0,1),-PMT(Lookups!$G$17,27,NPV(Lookups!$G$17,G222:AG222),0,1))))</f>
        <v>666.88754673123469</v>
      </c>
      <c r="AM222" s="705">
        <f>IF(AM$8=0,0,INDEX('R&amp;B Inputs'!$H$45:$U$45,MATCH($B222,'R&amp;B Inputs'!$H$4:$U$4,0))*(1+INDEX('R&amp;B Inputs'!$H$46:$U$46,MATCH($B222,'R&amp;B Inputs'!$H$4:$U$4,0)))^(AM$7-Year1)*12)</f>
        <v>676.31999999999994</v>
      </c>
      <c r="AN222" s="705">
        <f>IF(AN$8=0,0,INDEX('R&amp;B Inputs'!$H$45:$U$45,MATCH($B222,'R&amp;B Inputs'!$H$4:$U$4,0))*(1+INDEX('R&amp;B Inputs'!$H$46:$U$46,MATCH($B222,'R&amp;B Inputs'!$H$4:$U$4,0)))^(AN$7-Year1)*12)</f>
        <v>676.31999999999994</v>
      </c>
      <c r="AO222" s="705">
        <f>IF(AO$8=0,0,INDEX('R&amp;B Inputs'!$H$45:$U$45,MATCH($B222,'R&amp;B Inputs'!$H$4:$U$4,0))*(1+INDEX('R&amp;B Inputs'!$H$46:$U$46,MATCH($B222,'R&amp;B Inputs'!$H$4:$U$4,0)))^(AO$7-Year1)*12)</f>
        <v>676.31999999999994</v>
      </c>
      <c r="AP222" s="705">
        <f>IF(AP$8=0,0,INDEX('R&amp;B Inputs'!$H$45:$U$45,MATCH($B222,'R&amp;B Inputs'!$H$4:$U$4,0))*(1+INDEX('R&amp;B Inputs'!$H$46:$U$46,MATCH($B222,'R&amp;B Inputs'!$H$4:$U$4,0)))^(AP$7-Year1)*12)</f>
        <v>676.31999999999994</v>
      </c>
      <c r="AQ222" s="705">
        <f>IF(AQ$8=0,0,INDEX('R&amp;B Inputs'!$H$45:$U$45,MATCH($B222,'R&amp;B Inputs'!$H$4:$U$4,0))*(1+INDEX('R&amp;B Inputs'!$H$46:$U$46,MATCH($B222,'R&amp;B Inputs'!$H$4:$U$4,0)))^(AQ$7-Year1)*12)</f>
        <v>676.31999999999994</v>
      </c>
      <c r="AR222" s="705">
        <f>IF(AR$8=0,0,INDEX('R&amp;B Inputs'!$H$45:$U$45,MATCH($B222,'R&amp;B Inputs'!$H$4:$U$4,0))*(1+INDEX('R&amp;B Inputs'!$H$46:$U$46,MATCH($B222,'R&amp;B Inputs'!$H$4:$U$4,0)))^(AR$7-Year1)*12)</f>
        <v>676.31999999999994</v>
      </c>
      <c r="AS222" s="705">
        <f>IF(AS$8=0,0,INDEX('R&amp;B Inputs'!$H$45:$U$45,MATCH($B222,'R&amp;B Inputs'!$H$4:$U$4,0))*(1+INDEX('R&amp;B Inputs'!$H$46:$U$46,MATCH($B222,'R&amp;B Inputs'!$H$4:$U$4,0)))^(AS$7-Year1)*12)</f>
        <v>676.31999999999994</v>
      </c>
      <c r="AT222" s="705">
        <f>IF(AT$8=0,0,INDEX('R&amp;B Inputs'!$H$45:$U$45,MATCH($B222,'R&amp;B Inputs'!$H$4:$U$4,0))*(1+INDEX('R&amp;B Inputs'!$H$46:$U$46,MATCH($B222,'R&amp;B Inputs'!$H$4:$U$4,0)))^(AT$7-Year1)*12)</f>
        <v>676.31999999999994</v>
      </c>
      <c r="AU222" s="705">
        <f>IF(AU$8=0,0,INDEX('R&amp;B Inputs'!$H$45:$U$45,MATCH($B222,'R&amp;B Inputs'!$H$4:$U$4,0))*(1+INDEX('R&amp;B Inputs'!$H$46:$U$46,MATCH($B222,'R&amp;B Inputs'!$H$4:$U$4,0)))^(AU$7-Year1)*12)</f>
        <v>676.31999999999994</v>
      </c>
      <c r="AV222" s="705">
        <f>IF(AV$8=0,0,INDEX('R&amp;B Inputs'!$H$45:$U$45,MATCH($B222,'R&amp;B Inputs'!$H$4:$U$4,0))*(1+INDEX('R&amp;B Inputs'!$H$46:$U$46,MATCH($B222,'R&amp;B Inputs'!$H$4:$U$4,0)))^(AV$7-Year1)*12)</f>
        <v>676.31999999999994</v>
      </c>
      <c r="AW222" s="705">
        <f>IF(AW$8=0,0,INDEX('R&amp;B Inputs'!$H$45:$U$45,MATCH($B222,'R&amp;B Inputs'!$H$4:$U$4,0))*(1+INDEX('R&amp;B Inputs'!$H$46:$U$46,MATCH($B222,'R&amp;B Inputs'!$H$4:$U$4,0)))^(AW$7-Year1)*12)</f>
        <v>676.31999999999994</v>
      </c>
      <c r="AX222" s="705">
        <f>IF(AX$8=0,0,INDEX('R&amp;B Inputs'!$H$45:$U$45,MATCH($B222,'R&amp;B Inputs'!$H$4:$U$4,0))*(1+INDEX('R&amp;B Inputs'!$H$46:$U$46,MATCH($B222,'R&amp;B Inputs'!$H$4:$U$4,0)))^(AX$7-Year1)*12)</f>
        <v>676.31999999999994</v>
      </c>
      <c r="AY222" s="705">
        <f>IF(AY$8=0,0,INDEX('R&amp;B Inputs'!$H$45:$U$45,MATCH($B222,'R&amp;B Inputs'!$H$4:$U$4,0))*(1+INDEX('R&amp;B Inputs'!$H$46:$U$46,MATCH($B222,'R&amp;B Inputs'!$H$4:$U$4,0)))^(AY$7-Year1)*12)</f>
        <v>676.31999999999994</v>
      </c>
      <c r="AZ222" s="705">
        <f>IF(AZ$8=0,0,INDEX('R&amp;B Inputs'!$H$45:$U$45,MATCH($B222,'R&amp;B Inputs'!$H$4:$U$4,0))*(1+INDEX('R&amp;B Inputs'!$H$46:$U$46,MATCH($B222,'R&amp;B Inputs'!$H$4:$U$4,0)))^(AZ$7-Year1)*12)</f>
        <v>676.31999999999994</v>
      </c>
      <c r="BA222" s="705">
        <f>IF(BA$8=0,0,INDEX('R&amp;B Inputs'!$H$45:$U$45,MATCH($B222,'R&amp;B Inputs'!$H$4:$U$4,0))*(1+INDEX('R&amp;B Inputs'!$H$46:$U$46,MATCH($B222,'R&amp;B Inputs'!$H$4:$U$4,0)))^(BA$7-Year1)*12)</f>
        <v>676.31999999999994</v>
      </c>
      <c r="BB222" s="705">
        <f>IF(BB$8=0,0,INDEX('R&amp;B Inputs'!$H$45:$U$45,MATCH($B222,'R&amp;B Inputs'!$H$4:$U$4,0))*(1+INDEX('R&amp;B Inputs'!$H$46:$U$46,MATCH($B222,'R&amp;B Inputs'!$H$4:$U$4,0)))^(BB$7-Year1)*12)</f>
        <v>676.31999999999994</v>
      </c>
      <c r="BC222" s="705">
        <f>IF(BC$8=0,0,INDEX('R&amp;B Inputs'!$H$45:$U$45,MATCH($B222,'R&amp;B Inputs'!$H$4:$U$4,0))*(1+INDEX('R&amp;B Inputs'!$H$46:$U$46,MATCH($B222,'R&amp;B Inputs'!$H$4:$U$4,0)))^(BC$7-Year1)*12)</f>
        <v>676.31999999999994</v>
      </c>
      <c r="BD222" s="705">
        <f>IF(BD$8=0,0,INDEX('R&amp;B Inputs'!$H$45:$U$45,MATCH($B222,'R&amp;B Inputs'!$H$4:$U$4,0))*(1+INDEX('R&amp;B Inputs'!$H$46:$U$46,MATCH($B222,'R&amp;B Inputs'!$H$4:$U$4,0)))^(BD$7-Year1)*12)</f>
        <v>676.31999999999994</v>
      </c>
      <c r="BE222" s="705">
        <f>IF(BE$8=0,0,INDEX('R&amp;B Inputs'!$H$45:$U$45,MATCH($B222,'R&amp;B Inputs'!$H$4:$U$4,0))*(1+INDEX('R&amp;B Inputs'!$H$46:$U$46,MATCH($B222,'R&amp;B Inputs'!$H$4:$U$4,0)))^(BE$7-Year1)*12)</f>
        <v>676.31999999999994</v>
      </c>
      <c r="BF222" s="705">
        <f>IF(BF$8=0,0,INDEX('R&amp;B Inputs'!$H$45:$U$45,MATCH($B222,'R&amp;B Inputs'!$H$4:$U$4,0))*(1+INDEX('R&amp;B Inputs'!$H$46:$U$46,MATCH($B222,'R&amp;B Inputs'!$H$4:$U$4,0)))^(BF$7-Year1)*12)</f>
        <v>676.31999999999994</v>
      </c>
      <c r="BG222" s="705">
        <f>IF(BG$8=0,0,INDEX('R&amp;B Inputs'!$H$45:$U$45,MATCH($B222,'R&amp;B Inputs'!$H$4:$U$4,0))*(1+INDEX('R&amp;B Inputs'!$H$46:$U$46,MATCH($B222,'R&amp;B Inputs'!$H$4:$U$4,0)))^(BG$7-Year1)*12)</f>
        <v>676.31999999999994</v>
      </c>
      <c r="BH222" s="705">
        <f>IF(BH$8=0,0,INDEX('R&amp;B Inputs'!$H$45:$U$45,MATCH($B222,'R&amp;B Inputs'!$H$4:$U$4,0))*(1+INDEX('R&amp;B Inputs'!$H$46:$U$46,MATCH($B222,'R&amp;B Inputs'!$H$4:$U$4,0)))^(BH$7-Year1)*12)</f>
        <v>676.31999999999994</v>
      </c>
      <c r="BI222" s="705">
        <f>IF(BI$8=0,0,INDEX('R&amp;B Inputs'!$H$45:$U$45,MATCH($B222,'R&amp;B Inputs'!$H$4:$U$4,0))*(1+INDEX('R&amp;B Inputs'!$H$46:$U$46,MATCH($B222,'R&amp;B Inputs'!$H$4:$U$4,0)))^(BI$7-Year1)*12)</f>
        <v>676.31999999999994</v>
      </c>
      <c r="BJ222" s="705">
        <f>IF(BJ$8=0,0,INDEX('R&amp;B Inputs'!$H$45:$U$45,MATCH($B222,'R&amp;B Inputs'!$H$4:$U$4,0))*(1+INDEX('R&amp;B Inputs'!$H$46:$U$46,MATCH($B222,'R&amp;B Inputs'!$H$4:$U$4,0)))^(BJ$7-Year1)*12)</f>
        <v>676.31999999999994</v>
      </c>
      <c r="BK222" s="705">
        <f>IF(BK$8=0,0,INDEX('R&amp;B Inputs'!$H$45:$U$45,MATCH($B222,'R&amp;B Inputs'!$H$4:$U$4,0))*(1+INDEX('R&amp;B Inputs'!$H$46:$U$46,MATCH($B222,'R&amp;B Inputs'!$H$4:$U$4,0)))^(BK$7-Year1)*12)</f>
        <v>676.31999999999994</v>
      </c>
      <c r="BL222" s="705">
        <f>IF(BL$8=0,0,INDEX('R&amp;B Inputs'!$H$45:$U$45,MATCH($B222,'R&amp;B Inputs'!$H$4:$U$4,0))*(1+INDEX('R&amp;B Inputs'!$H$46:$U$46,MATCH($B222,'R&amp;B Inputs'!$H$4:$U$4,0)))^(BL$7-Year1)*12)</f>
        <v>676.31999999999994</v>
      </c>
      <c r="BM222" s="705">
        <f>IF(BM$8=0,0,INDEX('R&amp;B Inputs'!$H$45:$U$45,MATCH($B222,'R&amp;B Inputs'!$H$4:$U$4,0))*(1+INDEX('R&amp;B Inputs'!$H$46:$U$46,MATCH($B222,'R&amp;B Inputs'!$H$4:$U$4,0)))^(BM$7-Year1)*12)</f>
        <v>676.31999999999994</v>
      </c>
      <c r="BN222" s="74"/>
      <c r="BO222" s="74"/>
      <c r="BP222" s="149">
        <f>IF($C$4=Year1,-PMT(Lookups!$E$17,25,NPV(Lookups!$E$17,AM222:BK222),0,1),IF($C$4=Year2,-PMT(Lookups!$F$17,25,NPV(Lookups!$F$17,AN222:BL222),0,1),IF($C$4=Year3,-PMT(Lookups!$G$17,25,NPV(Lookups!$G$17,AO222:BM222),0,1),-PMT(Lookups!$G$17,27,NPV(Lookups!$G$17,AM222:BM222),0,1))))</f>
        <v>666.88754673123469</v>
      </c>
      <c r="BS222" s="84" t="str">
        <f t="shared" ref="BS222" si="235">E222&amp;" charge from the R&amp;B Inputs tab, escalated annually by the growth rate included on the R&amp;B Inputs tab."</f>
        <v>Customer Charge charge from the R&amp;B Inputs tab, escalated annually by the growth rate included on the R&amp;B Inputs tab.</v>
      </c>
      <c r="BT222" s="51" t="s">
        <v>17</v>
      </c>
    </row>
    <row r="223" spans="1:72" x14ac:dyDescent="0.25">
      <c r="B223" s="243" t="str">
        <f t="shared" si="230"/>
        <v>Small C&amp;I</v>
      </c>
      <c r="C223" s="243" t="str">
        <f t="shared" si="230"/>
        <v>Bills</v>
      </c>
      <c r="D223" s="244" t="str">
        <f>D222</f>
        <v>Bills before DSM (No EE Scenario, Non-Participant)</v>
      </c>
      <c r="E223" s="84" t="s">
        <v>309</v>
      </c>
      <c r="F223" s="84" t="s">
        <v>195</v>
      </c>
      <c r="G223" s="64">
        <f>IF(G$8=0,0,INDEX('R&amp;B Inputs'!$I$27:$V$27,MATCH($B223,'R&amp;B Inputs'!$I$4:$V$4,0))+INDEX('R&amp;B Inputs'!$I$28:$V$28,MATCH($B223,'R&amp;B Inputs'!$I$4:$V$4,0)))</f>
        <v>1953.9570000000001</v>
      </c>
      <c r="H223" s="64">
        <f>IF(H$8=0,0,INDEX('R&amp;B Inputs'!$I$27:$V$27,MATCH($B223,'R&amp;B Inputs'!$I$4:$V$4,0))+INDEX('R&amp;B Inputs'!$I$28:$V$28,MATCH($B223,'R&amp;B Inputs'!$I$4:$V$4,0)))</f>
        <v>1953.9570000000001</v>
      </c>
      <c r="I223" s="64">
        <f>IF(I$8=0,0,INDEX('R&amp;B Inputs'!$I$27:$V$27,MATCH($B223,'R&amp;B Inputs'!$I$4:$V$4,0))+INDEX('R&amp;B Inputs'!$I$28:$V$28,MATCH($B223,'R&amp;B Inputs'!$I$4:$V$4,0)))</f>
        <v>1953.9570000000001</v>
      </c>
      <c r="J223" s="64">
        <f>IF(J$8=0,0,INDEX('R&amp;B Inputs'!$I$27:$V$27,MATCH($B223,'R&amp;B Inputs'!$I$4:$V$4,0))+INDEX('R&amp;B Inputs'!$I$28:$V$28,MATCH($B223,'R&amp;B Inputs'!$I$4:$V$4,0)))</f>
        <v>1953.9570000000001</v>
      </c>
      <c r="K223" s="64">
        <f>IF(K$8=0,0,INDEX('R&amp;B Inputs'!$I$27:$V$27,MATCH($B223,'R&amp;B Inputs'!$I$4:$V$4,0))+INDEX('R&amp;B Inputs'!$I$28:$V$28,MATCH($B223,'R&amp;B Inputs'!$I$4:$V$4,0)))</f>
        <v>1953.9570000000001</v>
      </c>
      <c r="L223" s="64">
        <f>IF(L$8=0,0,INDEX('R&amp;B Inputs'!$I$27:$V$27,MATCH($B223,'R&amp;B Inputs'!$I$4:$V$4,0))+INDEX('R&amp;B Inputs'!$I$28:$V$28,MATCH($B223,'R&amp;B Inputs'!$I$4:$V$4,0)))</f>
        <v>1953.9570000000001</v>
      </c>
      <c r="M223" s="64">
        <f>IF(M$8=0,0,INDEX('R&amp;B Inputs'!$I$27:$V$27,MATCH($B223,'R&amp;B Inputs'!$I$4:$V$4,0))+INDEX('R&amp;B Inputs'!$I$28:$V$28,MATCH($B223,'R&amp;B Inputs'!$I$4:$V$4,0)))</f>
        <v>1953.9570000000001</v>
      </c>
      <c r="N223" s="64">
        <f>IF(N$8=0,0,INDEX('R&amp;B Inputs'!$I$27:$V$27,MATCH($B223,'R&amp;B Inputs'!$I$4:$V$4,0))+INDEX('R&amp;B Inputs'!$I$28:$V$28,MATCH($B223,'R&amp;B Inputs'!$I$4:$V$4,0)))</f>
        <v>1953.9570000000001</v>
      </c>
      <c r="O223" s="64">
        <f>IF(O$8=0,0,INDEX('R&amp;B Inputs'!$I$27:$V$27,MATCH($B223,'R&amp;B Inputs'!$I$4:$V$4,0))+INDEX('R&amp;B Inputs'!$I$28:$V$28,MATCH($B223,'R&amp;B Inputs'!$I$4:$V$4,0)))</f>
        <v>1953.9570000000001</v>
      </c>
      <c r="P223" s="64">
        <f>IF(P$8=0,0,INDEX('R&amp;B Inputs'!$I$27:$V$27,MATCH($B223,'R&amp;B Inputs'!$I$4:$V$4,0))+INDEX('R&amp;B Inputs'!$I$28:$V$28,MATCH($B223,'R&amp;B Inputs'!$I$4:$V$4,0)))</f>
        <v>1953.9570000000001</v>
      </c>
      <c r="Q223" s="64">
        <f>IF(Q$8=0,0,INDEX('R&amp;B Inputs'!$I$27:$V$27,MATCH($B223,'R&amp;B Inputs'!$I$4:$V$4,0))+INDEX('R&amp;B Inputs'!$I$28:$V$28,MATCH($B223,'R&amp;B Inputs'!$I$4:$V$4,0)))</f>
        <v>1953.9570000000001</v>
      </c>
      <c r="R223" s="64">
        <f>IF(R$8=0,0,INDEX('R&amp;B Inputs'!$I$27:$V$27,MATCH($B223,'R&amp;B Inputs'!$I$4:$V$4,0))+INDEX('R&amp;B Inputs'!$I$28:$V$28,MATCH($B223,'R&amp;B Inputs'!$I$4:$V$4,0)))</f>
        <v>1953.9570000000001</v>
      </c>
      <c r="S223" s="64">
        <f>IF(S$8=0,0,INDEX('R&amp;B Inputs'!$I$27:$V$27,MATCH($B223,'R&amp;B Inputs'!$I$4:$V$4,0))+INDEX('R&amp;B Inputs'!$I$28:$V$28,MATCH($B223,'R&amp;B Inputs'!$I$4:$V$4,0)))</f>
        <v>1953.9570000000001</v>
      </c>
      <c r="T223" s="64">
        <f>IF(T$8=0,0,INDEX('R&amp;B Inputs'!$I$27:$V$27,MATCH($B223,'R&amp;B Inputs'!$I$4:$V$4,0))+INDEX('R&amp;B Inputs'!$I$28:$V$28,MATCH($B223,'R&amp;B Inputs'!$I$4:$V$4,0)))</f>
        <v>1953.9570000000001</v>
      </c>
      <c r="U223" s="64">
        <f>IF(U$8=0,0,INDEX('R&amp;B Inputs'!$I$27:$V$27,MATCH($B223,'R&amp;B Inputs'!$I$4:$V$4,0))+INDEX('R&amp;B Inputs'!$I$28:$V$28,MATCH($B223,'R&amp;B Inputs'!$I$4:$V$4,0)))</f>
        <v>1953.9570000000001</v>
      </c>
      <c r="V223" s="64">
        <f>IF(V$8=0,0,INDEX('R&amp;B Inputs'!$I$27:$V$27,MATCH($B223,'R&amp;B Inputs'!$I$4:$V$4,0))+INDEX('R&amp;B Inputs'!$I$28:$V$28,MATCH($B223,'R&amp;B Inputs'!$I$4:$V$4,0)))</f>
        <v>1953.9570000000001</v>
      </c>
      <c r="W223" s="64">
        <f>IF(W$8=0,0,INDEX('R&amp;B Inputs'!$I$27:$V$27,MATCH($B223,'R&amp;B Inputs'!$I$4:$V$4,0))+INDEX('R&amp;B Inputs'!$I$28:$V$28,MATCH($B223,'R&amp;B Inputs'!$I$4:$V$4,0)))</f>
        <v>1953.9570000000001</v>
      </c>
      <c r="X223" s="64">
        <f>IF(X$8=0,0,INDEX('R&amp;B Inputs'!$I$27:$V$27,MATCH($B223,'R&amp;B Inputs'!$I$4:$V$4,0))+INDEX('R&amp;B Inputs'!$I$28:$V$28,MATCH($B223,'R&amp;B Inputs'!$I$4:$V$4,0)))</f>
        <v>1953.9570000000001</v>
      </c>
      <c r="Y223" s="64">
        <f>IF(Y$8=0,0,INDEX('R&amp;B Inputs'!$I$27:$V$27,MATCH($B223,'R&amp;B Inputs'!$I$4:$V$4,0))+INDEX('R&amp;B Inputs'!$I$28:$V$28,MATCH($B223,'R&amp;B Inputs'!$I$4:$V$4,0)))</f>
        <v>1953.9570000000001</v>
      </c>
      <c r="Z223" s="64">
        <f>IF(Z$8=0,0,INDEX('R&amp;B Inputs'!$I$27:$V$27,MATCH($B223,'R&amp;B Inputs'!$I$4:$V$4,0))+INDEX('R&amp;B Inputs'!$I$28:$V$28,MATCH($B223,'R&amp;B Inputs'!$I$4:$V$4,0)))</f>
        <v>1953.9570000000001</v>
      </c>
      <c r="AA223" s="64">
        <f>IF(AA$8=0,0,INDEX('R&amp;B Inputs'!$I$27:$V$27,MATCH($B223,'R&amp;B Inputs'!$I$4:$V$4,0))+INDEX('R&amp;B Inputs'!$I$28:$V$28,MATCH($B223,'R&amp;B Inputs'!$I$4:$V$4,0)))</f>
        <v>1953.9570000000001</v>
      </c>
      <c r="AB223" s="64">
        <f>IF(AB$8=0,0,INDEX('R&amp;B Inputs'!$I$27:$V$27,MATCH($B223,'R&amp;B Inputs'!$I$4:$V$4,0))+INDEX('R&amp;B Inputs'!$I$28:$V$28,MATCH($B223,'R&amp;B Inputs'!$I$4:$V$4,0)))</f>
        <v>1953.9570000000001</v>
      </c>
      <c r="AC223" s="64">
        <f>IF(AC$8=0,0,INDEX('R&amp;B Inputs'!$I$27:$V$27,MATCH($B223,'R&amp;B Inputs'!$I$4:$V$4,0))+INDEX('R&amp;B Inputs'!$I$28:$V$28,MATCH($B223,'R&amp;B Inputs'!$I$4:$V$4,0)))</f>
        <v>1953.9570000000001</v>
      </c>
      <c r="AD223" s="64">
        <f>IF(AD$8=0,0,INDEX('R&amp;B Inputs'!$I$27:$V$27,MATCH($B223,'R&amp;B Inputs'!$I$4:$V$4,0))+INDEX('R&amp;B Inputs'!$I$28:$V$28,MATCH($B223,'R&amp;B Inputs'!$I$4:$V$4,0)))</f>
        <v>1953.9570000000001</v>
      </c>
      <c r="AE223" s="64">
        <f>IF(AE$8=0,0,INDEX('R&amp;B Inputs'!$I$27:$V$27,MATCH($B223,'R&amp;B Inputs'!$I$4:$V$4,0))+INDEX('R&amp;B Inputs'!$I$28:$V$28,MATCH($B223,'R&amp;B Inputs'!$I$4:$V$4,0)))</f>
        <v>1953.9570000000001</v>
      </c>
      <c r="AF223" s="64">
        <f>IF(AF$8=0,0,INDEX('R&amp;B Inputs'!$I$27:$V$27,MATCH($B223,'R&amp;B Inputs'!$I$4:$V$4,0))+INDEX('R&amp;B Inputs'!$I$28:$V$28,MATCH($B223,'R&amp;B Inputs'!$I$4:$V$4,0)))</f>
        <v>1953.9570000000001</v>
      </c>
      <c r="AG223" s="64">
        <f>IF(AG$8=0,0,INDEX('R&amp;B Inputs'!$I$27:$V$27,MATCH($B223,'R&amp;B Inputs'!$I$4:$V$4,0))+INDEX('R&amp;B Inputs'!$I$28:$V$28,MATCH($B223,'R&amp;B Inputs'!$I$4:$V$4,0)))</f>
        <v>1953.9570000000001</v>
      </c>
      <c r="AH223" s="64"/>
      <c r="AI223" s="64"/>
      <c r="AJ223" s="103"/>
      <c r="AM223" s="71">
        <f>IF(AM$8=0,0,INDEX('R&amp;B Inputs'!$I$27:$V$27,MATCH($B223,'R&amp;B Inputs'!$I$4:$V$4,0))+INDEX('R&amp;B Inputs'!$I$28:$V$28,MATCH($B223,'R&amp;B Inputs'!$I$4:$V$4,0)))</f>
        <v>1953.9570000000001</v>
      </c>
      <c r="AN223" s="71">
        <f>IF(AN$8=0,0,INDEX('R&amp;B Inputs'!$I$27:$V$27,MATCH($B223,'R&amp;B Inputs'!$I$4:$V$4,0))+INDEX('R&amp;B Inputs'!$I$28:$V$28,MATCH($B223,'R&amp;B Inputs'!$I$4:$V$4,0)))</f>
        <v>1953.9570000000001</v>
      </c>
      <c r="AO223" s="71">
        <f>IF(AO$8=0,0,INDEX('R&amp;B Inputs'!$I$27:$V$27,MATCH($B223,'R&amp;B Inputs'!$I$4:$V$4,0))+INDEX('R&amp;B Inputs'!$I$28:$V$28,MATCH($B223,'R&amp;B Inputs'!$I$4:$V$4,0)))</f>
        <v>1953.9570000000001</v>
      </c>
      <c r="AP223" s="71">
        <f>IF(AP$8=0,0,INDEX('R&amp;B Inputs'!$I$27:$V$27,MATCH($B223,'R&amp;B Inputs'!$I$4:$V$4,0))+INDEX('R&amp;B Inputs'!$I$28:$V$28,MATCH($B223,'R&amp;B Inputs'!$I$4:$V$4,0)))</f>
        <v>1953.9570000000001</v>
      </c>
      <c r="AQ223" s="71">
        <f>IF(AQ$8=0,0,INDEX('R&amp;B Inputs'!$I$27:$V$27,MATCH($B223,'R&amp;B Inputs'!$I$4:$V$4,0))+INDEX('R&amp;B Inputs'!$I$28:$V$28,MATCH($B223,'R&amp;B Inputs'!$I$4:$V$4,0)))</f>
        <v>1953.9570000000001</v>
      </c>
      <c r="AR223" s="71">
        <f>IF(AR$8=0,0,INDEX('R&amp;B Inputs'!$I$27:$V$27,MATCH($B223,'R&amp;B Inputs'!$I$4:$V$4,0))+INDEX('R&amp;B Inputs'!$I$28:$V$28,MATCH($B223,'R&amp;B Inputs'!$I$4:$V$4,0)))</f>
        <v>1953.9570000000001</v>
      </c>
      <c r="AS223" s="71">
        <f>IF(AS$8=0,0,INDEX('R&amp;B Inputs'!$I$27:$V$27,MATCH($B223,'R&amp;B Inputs'!$I$4:$V$4,0))+INDEX('R&amp;B Inputs'!$I$28:$V$28,MATCH($B223,'R&amp;B Inputs'!$I$4:$V$4,0)))</f>
        <v>1953.9570000000001</v>
      </c>
      <c r="AT223" s="71">
        <f>IF(AT$8=0,0,INDEX('R&amp;B Inputs'!$I$27:$V$27,MATCH($B223,'R&amp;B Inputs'!$I$4:$V$4,0))+INDEX('R&amp;B Inputs'!$I$28:$V$28,MATCH($B223,'R&amp;B Inputs'!$I$4:$V$4,0)))</f>
        <v>1953.9570000000001</v>
      </c>
      <c r="AU223" s="71">
        <f>IF(AU$8=0,0,INDEX('R&amp;B Inputs'!$I$27:$V$27,MATCH($B223,'R&amp;B Inputs'!$I$4:$V$4,0))+INDEX('R&amp;B Inputs'!$I$28:$V$28,MATCH($B223,'R&amp;B Inputs'!$I$4:$V$4,0)))</f>
        <v>1953.9570000000001</v>
      </c>
      <c r="AV223" s="71">
        <f>IF(AV$8=0,0,INDEX('R&amp;B Inputs'!$I$27:$V$27,MATCH($B223,'R&amp;B Inputs'!$I$4:$V$4,0))+INDEX('R&amp;B Inputs'!$I$28:$V$28,MATCH($B223,'R&amp;B Inputs'!$I$4:$V$4,0)))</f>
        <v>1953.9570000000001</v>
      </c>
      <c r="AW223" s="71">
        <f>IF(AW$8=0,0,INDEX('R&amp;B Inputs'!$I$27:$V$27,MATCH($B223,'R&amp;B Inputs'!$I$4:$V$4,0))+INDEX('R&amp;B Inputs'!$I$28:$V$28,MATCH($B223,'R&amp;B Inputs'!$I$4:$V$4,0)))</f>
        <v>1953.9570000000001</v>
      </c>
      <c r="AX223" s="71">
        <f>IF(AX$8=0,0,INDEX('R&amp;B Inputs'!$I$27:$V$27,MATCH($B223,'R&amp;B Inputs'!$I$4:$V$4,0))+INDEX('R&amp;B Inputs'!$I$28:$V$28,MATCH($B223,'R&amp;B Inputs'!$I$4:$V$4,0)))</f>
        <v>1953.9570000000001</v>
      </c>
      <c r="AY223" s="71">
        <f>IF(AY$8=0,0,INDEX('R&amp;B Inputs'!$I$27:$V$27,MATCH($B223,'R&amp;B Inputs'!$I$4:$V$4,0))+INDEX('R&amp;B Inputs'!$I$28:$V$28,MATCH($B223,'R&amp;B Inputs'!$I$4:$V$4,0)))</f>
        <v>1953.9570000000001</v>
      </c>
      <c r="AZ223" s="71">
        <f>IF(AZ$8=0,0,INDEX('R&amp;B Inputs'!$I$27:$V$27,MATCH($B223,'R&amp;B Inputs'!$I$4:$V$4,0))+INDEX('R&amp;B Inputs'!$I$28:$V$28,MATCH($B223,'R&amp;B Inputs'!$I$4:$V$4,0)))</f>
        <v>1953.9570000000001</v>
      </c>
      <c r="BA223" s="71">
        <f>IF(BA$8=0,0,INDEX('R&amp;B Inputs'!$I$27:$V$27,MATCH($B223,'R&amp;B Inputs'!$I$4:$V$4,0))+INDEX('R&amp;B Inputs'!$I$28:$V$28,MATCH($B223,'R&amp;B Inputs'!$I$4:$V$4,0)))</f>
        <v>1953.9570000000001</v>
      </c>
      <c r="BB223" s="71">
        <f>IF(BB$8=0,0,INDEX('R&amp;B Inputs'!$I$27:$V$27,MATCH($B223,'R&amp;B Inputs'!$I$4:$V$4,0))+INDEX('R&amp;B Inputs'!$I$28:$V$28,MATCH($B223,'R&amp;B Inputs'!$I$4:$V$4,0)))</f>
        <v>1953.9570000000001</v>
      </c>
      <c r="BC223" s="71">
        <f>IF(BC$8=0,0,INDEX('R&amp;B Inputs'!$I$27:$V$27,MATCH($B223,'R&amp;B Inputs'!$I$4:$V$4,0))+INDEX('R&amp;B Inputs'!$I$28:$V$28,MATCH($B223,'R&amp;B Inputs'!$I$4:$V$4,0)))</f>
        <v>1953.9570000000001</v>
      </c>
      <c r="BD223" s="71">
        <f>IF(BD$8=0,0,INDEX('R&amp;B Inputs'!$I$27:$V$27,MATCH($B223,'R&amp;B Inputs'!$I$4:$V$4,0))+INDEX('R&amp;B Inputs'!$I$28:$V$28,MATCH($B223,'R&amp;B Inputs'!$I$4:$V$4,0)))</f>
        <v>1953.9570000000001</v>
      </c>
      <c r="BE223" s="71">
        <f>IF(BE$8=0,0,INDEX('R&amp;B Inputs'!$I$27:$V$27,MATCH($B223,'R&amp;B Inputs'!$I$4:$V$4,0))+INDEX('R&amp;B Inputs'!$I$28:$V$28,MATCH($B223,'R&amp;B Inputs'!$I$4:$V$4,0)))</f>
        <v>1953.9570000000001</v>
      </c>
      <c r="BF223" s="71">
        <f>IF(BF$8=0,0,INDEX('R&amp;B Inputs'!$I$27:$V$27,MATCH($B223,'R&amp;B Inputs'!$I$4:$V$4,0))+INDEX('R&amp;B Inputs'!$I$28:$V$28,MATCH($B223,'R&amp;B Inputs'!$I$4:$V$4,0)))</f>
        <v>1953.9570000000001</v>
      </c>
      <c r="BG223" s="71">
        <f>IF(BG$8=0,0,INDEX('R&amp;B Inputs'!$I$27:$V$27,MATCH($B223,'R&amp;B Inputs'!$I$4:$V$4,0))+INDEX('R&amp;B Inputs'!$I$28:$V$28,MATCH($B223,'R&amp;B Inputs'!$I$4:$V$4,0)))</f>
        <v>1953.9570000000001</v>
      </c>
      <c r="BH223" s="71">
        <f>IF(BH$8=0,0,INDEX('R&amp;B Inputs'!$I$27:$V$27,MATCH($B223,'R&amp;B Inputs'!$I$4:$V$4,0))+INDEX('R&amp;B Inputs'!$I$28:$V$28,MATCH($B223,'R&amp;B Inputs'!$I$4:$V$4,0)))</f>
        <v>1953.9570000000001</v>
      </c>
      <c r="BI223" s="71">
        <f>IF(BI$8=0,0,INDEX('R&amp;B Inputs'!$I$27:$V$27,MATCH($B223,'R&amp;B Inputs'!$I$4:$V$4,0))+INDEX('R&amp;B Inputs'!$I$28:$V$28,MATCH($B223,'R&amp;B Inputs'!$I$4:$V$4,0)))</f>
        <v>1953.9570000000001</v>
      </c>
      <c r="BJ223" s="71">
        <f>IF(BJ$8=0,0,INDEX('R&amp;B Inputs'!$I$27:$V$27,MATCH($B223,'R&amp;B Inputs'!$I$4:$V$4,0))+INDEX('R&amp;B Inputs'!$I$28:$V$28,MATCH($B223,'R&amp;B Inputs'!$I$4:$V$4,0)))</f>
        <v>1953.9570000000001</v>
      </c>
      <c r="BK223" s="71">
        <f>IF(BK$8=0,0,INDEX('R&amp;B Inputs'!$I$27:$V$27,MATCH($B223,'R&amp;B Inputs'!$I$4:$V$4,0))+INDEX('R&amp;B Inputs'!$I$28:$V$28,MATCH($B223,'R&amp;B Inputs'!$I$4:$V$4,0)))</f>
        <v>1953.9570000000001</v>
      </c>
      <c r="BL223" s="71">
        <f>IF(BL$8=0,0,INDEX('R&amp;B Inputs'!$I$27:$V$27,MATCH($B223,'R&amp;B Inputs'!$I$4:$V$4,0))+INDEX('R&amp;B Inputs'!$I$28:$V$28,MATCH($B223,'R&amp;B Inputs'!$I$4:$V$4,0)))</f>
        <v>1953.9570000000001</v>
      </c>
      <c r="BM223" s="71">
        <f>IF(BM$8=0,0,INDEX('R&amp;B Inputs'!$I$27:$V$27,MATCH($B223,'R&amp;B Inputs'!$I$4:$V$4,0))+INDEX('R&amp;B Inputs'!$I$28:$V$28,MATCH($B223,'R&amp;B Inputs'!$I$4:$V$4,0)))</f>
        <v>1953.9570000000001</v>
      </c>
      <c r="BN223" s="71"/>
      <c r="BO223" s="71"/>
      <c r="BP223" s="149"/>
      <c r="BS223" s="76" t="s">
        <v>96</v>
      </c>
      <c r="BT223" s="51" t="s">
        <v>17</v>
      </c>
    </row>
    <row r="224" spans="1:72" x14ac:dyDescent="0.25">
      <c r="B224" s="243" t="str">
        <f t="shared" si="230"/>
        <v>Small C&amp;I</v>
      </c>
      <c r="C224" s="243" t="str">
        <f t="shared" si="230"/>
        <v>Bills</v>
      </c>
      <c r="D224" s="244" t="str">
        <f>D223</f>
        <v>Bills before DSM (No EE Scenario, Non-Participant)</v>
      </c>
      <c r="E224" s="84" t="s">
        <v>77</v>
      </c>
      <c r="F224" s="84" t="s">
        <v>32</v>
      </c>
      <c r="G224" s="103">
        <f>G222+G223*(G200-G199)</f>
        <v>2662.1510455613457</v>
      </c>
      <c r="H224" s="103">
        <f>H222+H223*(H200-H199)</f>
        <v>2662.1510455613457</v>
      </c>
      <c r="I224" s="103">
        <f t="shared" ref="I224:AG224" si="236">I222+I223*(I200-I199)</f>
        <v>2662.1510455613457</v>
      </c>
      <c r="J224" s="103">
        <f t="shared" si="236"/>
        <v>2662.1510455613457</v>
      </c>
      <c r="K224" s="103">
        <f t="shared" si="236"/>
        <v>2662.1510455613457</v>
      </c>
      <c r="L224" s="103">
        <f t="shared" si="236"/>
        <v>2662.1510455613457</v>
      </c>
      <c r="M224" s="103">
        <f t="shared" si="236"/>
        <v>2662.1510455613457</v>
      </c>
      <c r="N224" s="103">
        <f t="shared" si="236"/>
        <v>2662.1510455613457</v>
      </c>
      <c r="O224" s="103">
        <f t="shared" si="236"/>
        <v>2662.1510455613457</v>
      </c>
      <c r="P224" s="103">
        <f t="shared" si="236"/>
        <v>2662.1510455613457</v>
      </c>
      <c r="Q224" s="103">
        <f t="shared" si="236"/>
        <v>2662.1510455613457</v>
      </c>
      <c r="R224" s="103">
        <f t="shared" si="236"/>
        <v>2662.1510455613457</v>
      </c>
      <c r="S224" s="103">
        <f t="shared" si="236"/>
        <v>2662.1510455613457</v>
      </c>
      <c r="T224" s="103">
        <f t="shared" si="236"/>
        <v>2662.1510455613457</v>
      </c>
      <c r="U224" s="103">
        <f t="shared" si="236"/>
        <v>2662.1510455613457</v>
      </c>
      <c r="V224" s="103">
        <f t="shared" si="236"/>
        <v>2662.1510455613457</v>
      </c>
      <c r="W224" s="103">
        <f t="shared" si="236"/>
        <v>2662.1510455613457</v>
      </c>
      <c r="X224" s="103">
        <f t="shared" si="236"/>
        <v>2662.1510455613457</v>
      </c>
      <c r="Y224" s="103">
        <f t="shared" si="236"/>
        <v>2662.1510455613457</v>
      </c>
      <c r="Z224" s="103">
        <f t="shared" si="236"/>
        <v>2662.1510455613457</v>
      </c>
      <c r="AA224" s="103">
        <f t="shared" si="236"/>
        <v>2662.1510455613457</v>
      </c>
      <c r="AB224" s="103">
        <f t="shared" si="236"/>
        <v>2662.1510455613457</v>
      </c>
      <c r="AC224" s="103">
        <f t="shared" si="236"/>
        <v>2662.1510455613457</v>
      </c>
      <c r="AD224" s="103">
        <f t="shared" si="236"/>
        <v>2662.1510455613457</v>
      </c>
      <c r="AE224" s="103">
        <f t="shared" si="236"/>
        <v>2662.1510455613457</v>
      </c>
      <c r="AF224" s="103">
        <f t="shared" si="236"/>
        <v>2662.1510455613457</v>
      </c>
      <c r="AG224" s="103">
        <f t="shared" si="236"/>
        <v>2662.1510455613457</v>
      </c>
      <c r="AH224" s="103"/>
      <c r="AI224" s="103"/>
      <c r="AJ224" s="103">
        <f>IF($C$4=Year1,-PMT(Lookups!$E$17,25,NPV(Lookups!$E$17,G224:AE224),0,1),IF($C$4=Year2,-PMT(Lookups!$F$17,25,NPV(Lookups!$F$17,H224:AF224),0,1),IF($C$4=Year3,-PMT(Lookups!$G$17,25,NPV(Lookups!$G$17,I224:AG224),0,1),-PMT(Lookups!$G$17,27,NPV(Lookups!$G$17,G224:AG224),0,1))))</f>
        <v>2625.0227404222824</v>
      </c>
      <c r="AM224" s="149">
        <f>AM222+AM223*(AM200-AM199)</f>
        <v>2662.1510455613457</v>
      </c>
      <c r="AN224" s="149">
        <f t="shared" ref="AN224:BM224" si="237">AN222+AN223*(AN200-AN199)</f>
        <v>2662.1510455613457</v>
      </c>
      <c r="AO224" s="149">
        <f t="shared" si="237"/>
        <v>2662.1510455613457</v>
      </c>
      <c r="AP224" s="149">
        <f t="shared" si="237"/>
        <v>2662.1510455613457</v>
      </c>
      <c r="AQ224" s="149">
        <f t="shared" si="237"/>
        <v>2662.1510455613457</v>
      </c>
      <c r="AR224" s="149">
        <f t="shared" si="237"/>
        <v>2662.1510455613457</v>
      </c>
      <c r="AS224" s="149">
        <f t="shared" si="237"/>
        <v>2662.1510455613457</v>
      </c>
      <c r="AT224" s="149">
        <f t="shared" si="237"/>
        <v>2662.1510455613457</v>
      </c>
      <c r="AU224" s="149">
        <f t="shared" si="237"/>
        <v>2662.1510455613457</v>
      </c>
      <c r="AV224" s="149">
        <f t="shared" si="237"/>
        <v>2662.1510455613457</v>
      </c>
      <c r="AW224" s="149">
        <f t="shared" si="237"/>
        <v>2662.1510455613457</v>
      </c>
      <c r="AX224" s="149">
        <f t="shared" si="237"/>
        <v>2662.1510455613457</v>
      </c>
      <c r="AY224" s="149">
        <f t="shared" si="237"/>
        <v>2662.1510455613457</v>
      </c>
      <c r="AZ224" s="149">
        <f t="shared" si="237"/>
        <v>2662.1510455613457</v>
      </c>
      <c r="BA224" s="149">
        <f t="shared" si="237"/>
        <v>2662.1510455613457</v>
      </c>
      <c r="BB224" s="149">
        <f t="shared" si="237"/>
        <v>2662.1510455613457</v>
      </c>
      <c r="BC224" s="149">
        <f t="shared" si="237"/>
        <v>2662.1510455613457</v>
      </c>
      <c r="BD224" s="149">
        <f t="shared" si="237"/>
        <v>2662.1510455613457</v>
      </c>
      <c r="BE224" s="149">
        <f t="shared" si="237"/>
        <v>2662.1510455613457</v>
      </c>
      <c r="BF224" s="149">
        <f t="shared" si="237"/>
        <v>2662.1510455613457</v>
      </c>
      <c r="BG224" s="149">
        <f t="shared" si="237"/>
        <v>2662.1510455613457</v>
      </c>
      <c r="BH224" s="149">
        <f t="shared" si="237"/>
        <v>2662.1510455613457</v>
      </c>
      <c r="BI224" s="149">
        <f t="shared" si="237"/>
        <v>2662.1510455613457</v>
      </c>
      <c r="BJ224" s="149">
        <f t="shared" si="237"/>
        <v>2662.1510455613457</v>
      </c>
      <c r="BK224" s="149">
        <f t="shared" si="237"/>
        <v>2662.1510455613457</v>
      </c>
      <c r="BL224" s="149">
        <f t="shared" si="237"/>
        <v>2662.1510455613457</v>
      </c>
      <c r="BM224" s="149">
        <f t="shared" si="237"/>
        <v>2662.1510455613457</v>
      </c>
      <c r="BN224" s="149"/>
      <c r="BO224" s="149"/>
      <c r="BP224" s="149">
        <f>IF($C$4=Year1,-PMT(Lookups!$E$17,25,NPV(Lookups!$E$17,AM224:BK224),0,1),IF($C$4=Year2,-PMT(Lookups!$F$17,25,NPV(Lookups!$F$17,AN224:BL224),0,1),IF($C$4=Year3,-PMT(Lookups!$G$17,25,NPV(Lookups!$G$17,AO224:BM224),0,1),-PMT(Lookups!$G$17,27,NPV(Lookups!$G$17,AM224:BM224),0,1))))</f>
        <v>2625.0227404222824</v>
      </c>
      <c r="BS224" s="84" t="s">
        <v>97</v>
      </c>
      <c r="BT224" s="51" t="s">
        <v>17</v>
      </c>
    </row>
    <row r="225" spans="1:72" x14ac:dyDescent="0.25">
      <c r="B225" s="243" t="str">
        <f t="shared" si="230"/>
        <v>Small C&amp;I</v>
      </c>
      <c r="C225" s="243" t="str">
        <f t="shared" si="230"/>
        <v>Bills</v>
      </c>
      <c r="D225" s="114" t="s">
        <v>347</v>
      </c>
      <c r="E225" s="84"/>
      <c r="F225" s="84"/>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S225" s="84"/>
      <c r="BT225" s="51" t="s">
        <v>17</v>
      </c>
    </row>
    <row r="226" spans="1:72" x14ac:dyDescent="0.25">
      <c r="B226" s="243" t="str">
        <f t="shared" si="230"/>
        <v>Small C&amp;I</v>
      </c>
      <c r="C226" s="243" t="str">
        <f t="shared" si="230"/>
        <v>Bills</v>
      </c>
      <c r="D226" s="244" t="str">
        <f>D225</f>
        <v>Annual Savings from DSM Scenario</v>
      </c>
      <c r="E226" s="84" t="s">
        <v>78</v>
      </c>
      <c r="F226" s="84" t="s">
        <v>195</v>
      </c>
      <c r="G226" s="65">
        <f t="shared" ref="G226:AG226" ca="1" si="238">IFERROR(G174/G169,0)</f>
        <v>38.22873871434382</v>
      </c>
      <c r="H226" s="65">
        <f t="shared" ca="1" si="238"/>
        <v>78.524184155538848</v>
      </c>
      <c r="I226" s="65">
        <f t="shared" ca="1" si="238"/>
        <v>120.67207216212789</v>
      </c>
      <c r="J226" s="65">
        <f t="shared" ca="1" si="238"/>
        <v>120.67207216212789</v>
      </c>
      <c r="K226" s="65">
        <f t="shared" ca="1" si="238"/>
        <v>120.67207216212789</v>
      </c>
      <c r="L226" s="65">
        <f t="shared" ca="1" si="238"/>
        <v>120.67207216212789</v>
      </c>
      <c r="M226" s="65">
        <f t="shared" ca="1" si="238"/>
        <v>120.67207216212789</v>
      </c>
      <c r="N226" s="65">
        <f t="shared" ca="1" si="238"/>
        <v>120.67207216212789</v>
      </c>
      <c r="O226" s="65">
        <f t="shared" ca="1" si="238"/>
        <v>120.67207216212789</v>
      </c>
      <c r="P226" s="65">
        <f t="shared" ca="1" si="238"/>
        <v>120.67207216212789</v>
      </c>
      <c r="Q226" s="65">
        <f t="shared" ca="1" si="238"/>
        <v>120.67207216212789</v>
      </c>
      <c r="R226" s="65">
        <f t="shared" ca="1" si="238"/>
        <v>120.67207216212789</v>
      </c>
      <c r="S226" s="65">
        <f t="shared" ca="1" si="238"/>
        <v>120.67207216212789</v>
      </c>
      <c r="T226" s="65">
        <f t="shared" ca="1" si="238"/>
        <v>120.67207216212789</v>
      </c>
      <c r="U226" s="65">
        <f t="shared" ca="1" si="238"/>
        <v>120.67207216212789</v>
      </c>
      <c r="V226" s="65">
        <f t="shared" ca="1" si="238"/>
        <v>120.67207216212789</v>
      </c>
      <c r="W226" s="65">
        <f t="shared" ca="1" si="238"/>
        <v>82.443333447784084</v>
      </c>
      <c r="X226" s="65">
        <f t="shared" ca="1" si="238"/>
        <v>42.147888006589049</v>
      </c>
      <c r="Y226" s="65">
        <f t="shared" ca="1" si="238"/>
        <v>0</v>
      </c>
      <c r="Z226" s="65">
        <f t="shared" ca="1" si="238"/>
        <v>0</v>
      </c>
      <c r="AA226" s="65">
        <f t="shared" ca="1" si="238"/>
        <v>0</v>
      </c>
      <c r="AB226" s="65">
        <f t="shared" ca="1" si="238"/>
        <v>0</v>
      </c>
      <c r="AC226" s="65">
        <f t="shared" ca="1" si="238"/>
        <v>0</v>
      </c>
      <c r="AD226" s="65">
        <f t="shared" ca="1" si="238"/>
        <v>0</v>
      </c>
      <c r="AE226" s="65">
        <f t="shared" ca="1" si="238"/>
        <v>0</v>
      </c>
      <c r="AF226" s="65">
        <f t="shared" ca="1" si="238"/>
        <v>0</v>
      </c>
      <c r="AG226" s="65">
        <f t="shared" ca="1" si="238"/>
        <v>0</v>
      </c>
      <c r="AH226" s="65"/>
      <c r="AI226" s="65"/>
      <c r="AJ226" s="65"/>
      <c r="AM226" s="645">
        <f ca="1">IFERROR(AM174/AM169,0)</f>
        <v>43.689987102107224</v>
      </c>
      <c r="AN226" s="645">
        <f t="shared" ref="AN226:BM226" ca="1" si="239">IFERROR(AN174/AN169,0)</f>
        <v>89.741924749187262</v>
      </c>
      <c r="AO226" s="645">
        <f t="shared" ca="1" si="239"/>
        <v>137.91093961386045</v>
      </c>
      <c r="AP226" s="645">
        <f t="shared" ca="1" si="239"/>
        <v>137.91093961386045</v>
      </c>
      <c r="AQ226" s="645">
        <f t="shared" ca="1" si="239"/>
        <v>137.91093961386045</v>
      </c>
      <c r="AR226" s="645">
        <f t="shared" ca="1" si="239"/>
        <v>137.91093961386045</v>
      </c>
      <c r="AS226" s="645">
        <f t="shared" ca="1" si="239"/>
        <v>137.91093961386045</v>
      </c>
      <c r="AT226" s="645">
        <f t="shared" ca="1" si="239"/>
        <v>137.91093961386045</v>
      </c>
      <c r="AU226" s="645">
        <f t="shared" ca="1" si="239"/>
        <v>137.91093961386045</v>
      </c>
      <c r="AV226" s="645">
        <f t="shared" ca="1" si="239"/>
        <v>137.91093961386045</v>
      </c>
      <c r="AW226" s="645">
        <f t="shared" ca="1" si="239"/>
        <v>137.91093961386045</v>
      </c>
      <c r="AX226" s="645">
        <f t="shared" ca="1" si="239"/>
        <v>137.91093961386045</v>
      </c>
      <c r="AY226" s="645">
        <f t="shared" ca="1" si="239"/>
        <v>137.91093961386045</v>
      </c>
      <c r="AZ226" s="645">
        <f t="shared" ca="1" si="239"/>
        <v>137.91093961386045</v>
      </c>
      <c r="BA226" s="645">
        <f t="shared" ca="1" si="239"/>
        <v>137.91093961386045</v>
      </c>
      <c r="BB226" s="645">
        <f t="shared" ca="1" si="239"/>
        <v>137.91093961386045</v>
      </c>
      <c r="BC226" s="645">
        <f t="shared" ca="1" si="239"/>
        <v>94.220952511753239</v>
      </c>
      <c r="BD226" s="645">
        <f t="shared" ca="1" si="239"/>
        <v>48.169014864673194</v>
      </c>
      <c r="BE226" s="645">
        <f t="shared" ca="1" si="239"/>
        <v>0</v>
      </c>
      <c r="BF226" s="645">
        <f t="shared" ca="1" si="239"/>
        <v>0</v>
      </c>
      <c r="BG226" s="645">
        <f t="shared" ca="1" si="239"/>
        <v>0</v>
      </c>
      <c r="BH226" s="645">
        <f t="shared" ca="1" si="239"/>
        <v>0</v>
      </c>
      <c r="BI226" s="645">
        <f t="shared" ca="1" si="239"/>
        <v>0</v>
      </c>
      <c r="BJ226" s="645">
        <f t="shared" ca="1" si="239"/>
        <v>0</v>
      </c>
      <c r="BK226" s="645">
        <f t="shared" ca="1" si="239"/>
        <v>0</v>
      </c>
      <c r="BL226" s="645">
        <f t="shared" ca="1" si="239"/>
        <v>0</v>
      </c>
      <c r="BM226" s="645">
        <f t="shared" ca="1" si="239"/>
        <v>0</v>
      </c>
      <c r="BN226" s="71"/>
      <c r="BO226" s="71"/>
      <c r="BP226" s="71"/>
      <c r="BS226" s="84" t="s">
        <v>104</v>
      </c>
      <c r="BT226" s="51" t="s">
        <v>17</v>
      </c>
    </row>
    <row r="227" spans="1:72" x14ac:dyDescent="0.25">
      <c r="A227" s="246"/>
      <c r="B227" s="243" t="str">
        <f t="shared" si="230"/>
        <v>Small C&amp;I</v>
      </c>
      <c r="C227" s="243" t="str">
        <f t="shared" si="230"/>
        <v>Bills</v>
      </c>
      <c r="D227" s="244" t="str">
        <f>D226</f>
        <v>Annual Savings from DSM Scenario</v>
      </c>
      <c r="E227" s="84" t="str">
        <f>'EE Inputs'!$N$15&amp;" Participant"</f>
        <v>Low Savings Participant</v>
      </c>
      <c r="F227" s="84" t="s">
        <v>195</v>
      </c>
      <c r="G227" s="64" cm="1">
        <f t="array" aca="1" ref="G227" ca="1">IF($C$4=Lookups!$D$40,INDIRECT("'Yr1'!"&amp;ADDRESS(ROW(G227),COLUMN(G227))),
IF(G170=0,0,SUMIFS('EE Inputs'!$S$9:$S$32,'EE Inputs'!$C$9:$C$32,$G$6,'EE Inputs'!$D$9:$D$32,$C$4,'EE Inputs'!$E$9:$E$32,$B227)))</f>
        <v>97.697850000000017</v>
      </c>
      <c r="H227" s="64" cm="1">
        <f t="array" aca="1" ref="H227" ca="1">IF($C$4=Lookups!$D$40,INDIRECT("'Yr1'!"&amp;ADDRESS(ROW(H227),COLUMN(H227))),
IF(H170=0,0,SUMIFS('EE Inputs'!$S$9:$S$32,'EE Inputs'!$C$9:$C$32,$G$6,'EE Inputs'!$D$9:$D$32,$C$4,'EE Inputs'!$E$9:$E$32,$B227)))</f>
        <v>97.697850000000017</v>
      </c>
      <c r="I227" s="64" cm="1">
        <f t="array" aca="1" ref="I227" ca="1">IF($C$4=Lookups!$D$40,INDIRECT("'Yr1'!"&amp;ADDRESS(ROW(I227),COLUMN(I227))),
IF(I170=0,0,SUMIFS('EE Inputs'!$S$9:$S$32,'EE Inputs'!$C$9:$C$32,$G$6,'EE Inputs'!$D$9:$D$32,$C$4,'EE Inputs'!$E$9:$E$32,$B227)))</f>
        <v>97.697850000000017</v>
      </c>
      <c r="J227" s="64" cm="1">
        <f t="array" aca="1" ref="J227" ca="1">IF($C$4=Lookups!$D$40,INDIRECT("'Yr1'!"&amp;ADDRESS(ROW(J227),COLUMN(J227))),
IF(J170=0,0,SUMIFS('EE Inputs'!$S$9:$S$32,'EE Inputs'!$C$9:$C$32,$G$6,'EE Inputs'!$D$9:$D$32,$C$4,'EE Inputs'!$E$9:$E$32,$B227)))</f>
        <v>97.697850000000017</v>
      </c>
      <c r="K227" s="64" cm="1">
        <f t="array" aca="1" ref="K227" ca="1">IF($C$4=Lookups!$D$40,INDIRECT("'Yr1'!"&amp;ADDRESS(ROW(K227),COLUMN(K227))),
IF(K170=0,0,SUMIFS('EE Inputs'!$S$9:$S$32,'EE Inputs'!$C$9:$C$32,$G$6,'EE Inputs'!$D$9:$D$32,$C$4,'EE Inputs'!$E$9:$E$32,$B227)))</f>
        <v>97.697850000000017</v>
      </c>
      <c r="L227" s="64" cm="1">
        <f t="array" aca="1" ref="L227" ca="1">IF($C$4=Lookups!$D$40,INDIRECT("'Yr1'!"&amp;ADDRESS(ROW(L227),COLUMN(L227))),
IF(L170=0,0,SUMIFS('EE Inputs'!$S$9:$S$32,'EE Inputs'!$C$9:$C$32,$G$6,'EE Inputs'!$D$9:$D$32,$C$4,'EE Inputs'!$E$9:$E$32,$B227)))</f>
        <v>97.697850000000017</v>
      </c>
      <c r="M227" s="64" cm="1">
        <f t="array" aca="1" ref="M227" ca="1">IF($C$4=Lookups!$D$40,INDIRECT("'Yr1'!"&amp;ADDRESS(ROW(M227),COLUMN(M227))),
IF(M170=0,0,SUMIFS('EE Inputs'!$S$9:$S$32,'EE Inputs'!$C$9:$C$32,$G$6,'EE Inputs'!$D$9:$D$32,$C$4,'EE Inputs'!$E$9:$E$32,$B227)))</f>
        <v>97.697850000000017</v>
      </c>
      <c r="N227" s="64" cm="1">
        <f t="array" aca="1" ref="N227" ca="1">IF($C$4=Lookups!$D$40,INDIRECT("'Yr1'!"&amp;ADDRESS(ROW(N227),COLUMN(N227))),
IF(N170=0,0,SUMIFS('EE Inputs'!$S$9:$S$32,'EE Inputs'!$C$9:$C$32,$G$6,'EE Inputs'!$D$9:$D$32,$C$4,'EE Inputs'!$E$9:$E$32,$B227)))</f>
        <v>97.697850000000017</v>
      </c>
      <c r="O227" s="64" cm="1">
        <f t="array" aca="1" ref="O227" ca="1">IF($C$4=Lookups!$D$40,INDIRECT("'Yr1'!"&amp;ADDRESS(ROW(O227),COLUMN(O227))),
IF(O170=0,0,SUMIFS('EE Inputs'!$S$9:$S$32,'EE Inputs'!$C$9:$C$32,$G$6,'EE Inputs'!$D$9:$D$32,$C$4,'EE Inputs'!$E$9:$E$32,$B227)))</f>
        <v>97.697850000000017</v>
      </c>
      <c r="P227" s="64" cm="1">
        <f t="array" aca="1" ref="P227" ca="1">IF($C$4=Lookups!$D$40,INDIRECT("'Yr1'!"&amp;ADDRESS(ROW(P227),COLUMN(P227))),
IF(P170=0,0,SUMIFS('EE Inputs'!$S$9:$S$32,'EE Inputs'!$C$9:$C$32,$G$6,'EE Inputs'!$D$9:$D$32,$C$4,'EE Inputs'!$E$9:$E$32,$B227)))</f>
        <v>97.697850000000017</v>
      </c>
      <c r="Q227" s="64" cm="1">
        <f t="array" aca="1" ref="Q227" ca="1">IF($C$4=Lookups!$D$40,INDIRECT("'Yr1'!"&amp;ADDRESS(ROW(Q227),COLUMN(Q227))),
IF(Q170=0,0,SUMIFS('EE Inputs'!$S$9:$S$32,'EE Inputs'!$C$9:$C$32,$G$6,'EE Inputs'!$D$9:$D$32,$C$4,'EE Inputs'!$E$9:$E$32,$B227)))</f>
        <v>97.697850000000017</v>
      </c>
      <c r="R227" s="64" cm="1">
        <f t="array" aca="1" ref="R227" ca="1">IF($C$4=Lookups!$D$40,INDIRECT("'Yr1'!"&amp;ADDRESS(ROW(R227),COLUMN(R227))),
IF(R170=0,0,SUMIFS('EE Inputs'!$S$9:$S$32,'EE Inputs'!$C$9:$C$32,$G$6,'EE Inputs'!$D$9:$D$32,$C$4,'EE Inputs'!$E$9:$E$32,$B227)))</f>
        <v>97.697850000000017</v>
      </c>
      <c r="S227" s="64" cm="1">
        <f t="array" aca="1" ref="S227" ca="1">IF($C$4=Lookups!$D$40,INDIRECT("'Yr1'!"&amp;ADDRESS(ROW(S227),COLUMN(S227))),
IF(S170=0,0,SUMIFS('EE Inputs'!$S$9:$S$32,'EE Inputs'!$C$9:$C$32,$G$6,'EE Inputs'!$D$9:$D$32,$C$4,'EE Inputs'!$E$9:$E$32,$B227)))</f>
        <v>97.697850000000017</v>
      </c>
      <c r="T227" s="64" cm="1">
        <f t="array" aca="1" ref="T227" ca="1">IF($C$4=Lookups!$D$40,INDIRECT("'Yr1'!"&amp;ADDRESS(ROW(T227),COLUMN(T227))),
IF(T170=0,0,SUMIFS('EE Inputs'!$S$9:$S$32,'EE Inputs'!$C$9:$C$32,$G$6,'EE Inputs'!$D$9:$D$32,$C$4,'EE Inputs'!$E$9:$E$32,$B227)))</f>
        <v>97.697850000000017</v>
      </c>
      <c r="U227" s="64" cm="1">
        <f t="array" aca="1" ref="U227" ca="1">IF($C$4=Lookups!$D$40,INDIRECT("'Yr1'!"&amp;ADDRESS(ROW(U227),COLUMN(U227))),
IF(U170=0,0,SUMIFS('EE Inputs'!$S$9:$S$32,'EE Inputs'!$C$9:$C$32,$G$6,'EE Inputs'!$D$9:$D$32,$C$4,'EE Inputs'!$E$9:$E$32,$B227)))</f>
        <v>97.697850000000017</v>
      </c>
      <c r="V227" s="64" cm="1">
        <f t="array" aca="1" ref="V227" ca="1">IF($C$4=Lookups!$D$40,INDIRECT("'Yr1'!"&amp;ADDRESS(ROW(V227),COLUMN(V227))),
IF(V170=0,0,SUMIFS('EE Inputs'!$S$9:$S$32,'EE Inputs'!$C$9:$C$32,$G$6,'EE Inputs'!$D$9:$D$32,$C$4,'EE Inputs'!$E$9:$E$32,$B227)))</f>
        <v>97.697850000000017</v>
      </c>
      <c r="W227" s="64" cm="1">
        <f t="array" aca="1" ref="W227" ca="1">IF($C$4=Lookups!$D$40,INDIRECT("'Yr1'!"&amp;ADDRESS(ROW(W227),COLUMN(W227))),
IF(W170=0,0,SUMIFS('EE Inputs'!$S$9:$S$32,'EE Inputs'!$C$9:$C$32,$G$6,'EE Inputs'!$D$9:$D$32,$C$4,'EE Inputs'!$E$9:$E$32,$B227)))</f>
        <v>0</v>
      </c>
      <c r="X227" s="64" cm="1">
        <f t="array" aca="1" ref="X227" ca="1">IF($C$4=Lookups!$D$40,INDIRECT("'Yr1'!"&amp;ADDRESS(ROW(X227),COLUMN(X227))),
IF(X170=0,0,SUMIFS('EE Inputs'!$S$9:$S$32,'EE Inputs'!$C$9:$C$32,$G$6,'EE Inputs'!$D$9:$D$32,$C$4,'EE Inputs'!$E$9:$E$32,$B227)))</f>
        <v>0</v>
      </c>
      <c r="Y227" s="64" cm="1">
        <f t="array" aca="1" ref="Y227" ca="1">IF($C$4=Lookups!$D$40,INDIRECT("'Yr1'!"&amp;ADDRESS(ROW(Y227),COLUMN(Y227))),
IF(Y170=0,0,SUMIFS('EE Inputs'!$S$9:$S$32,'EE Inputs'!$C$9:$C$32,$G$6,'EE Inputs'!$D$9:$D$32,$C$4,'EE Inputs'!$E$9:$E$32,$B227)))</f>
        <v>0</v>
      </c>
      <c r="Z227" s="64" cm="1">
        <f t="array" aca="1" ref="Z227" ca="1">IF($C$4=Lookups!$D$40,INDIRECT("'Yr1'!"&amp;ADDRESS(ROW(Z227),COLUMN(Z227))),
IF(Z170=0,0,SUMIFS('EE Inputs'!$S$9:$S$32,'EE Inputs'!$C$9:$C$32,$G$6,'EE Inputs'!$D$9:$D$32,$C$4,'EE Inputs'!$E$9:$E$32,$B227)))</f>
        <v>0</v>
      </c>
      <c r="AA227" s="64" cm="1">
        <f t="array" aca="1" ref="AA227" ca="1">IF($C$4=Lookups!$D$40,INDIRECT("'Yr1'!"&amp;ADDRESS(ROW(AA227),COLUMN(AA227))),
IF(AA170=0,0,SUMIFS('EE Inputs'!$S$9:$S$32,'EE Inputs'!$C$9:$C$32,$G$6,'EE Inputs'!$D$9:$D$32,$C$4,'EE Inputs'!$E$9:$E$32,$B227)))</f>
        <v>0</v>
      </c>
      <c r="AB227" s="64" cm="1">
        <f t="array" aca="1" ref="AB227" ca="1">IF($C$4=Lookups!$D$40,INDIRECT("'Yr1'!"&amp;ADDRESS(ROW(AB227),COLUMN(AB227))),
IF(AB170=0,0,SUMIFS('EE Inputs'!$S$9:$S$32,'EE Inputs'!$C$9:$C$32,$G$6,'EE Inputs'!$D$9:$D$32,$C$4,'EE Inputs'!$E$9:$E$32,$B227)))</f>
        <v>0</v>
      </c>
      <c r="AC227" s="64" cm="1">
        <f t="array" aca="1" ref="AC227" ca="1">IF($C$4=Lookups!$D$40,INDIRECT("'Yr1'!"&amp;ADDRESS(ROW(AC227),COLUMN(AC227))),
IF(AC170=0,0,SUMIFS('EE Inputs'!$S$9:$S$32,'EE Inputs'!$C$9:$C$32,$G$6,'EE Inputs'!$D$9:$D$32,$C$4,'EE Inputs'!$E$9:$E$32,$B227)))</f>
        <v>0</v>
      </c>
      <c r="AD227" s="64" cm="1">
        <f t="array" aca="1" ref="AD227" ca="1">IF($C$4=Lookups!$D$40,INDIRECT("'Yr1'!"&amp;ADDRESS(ROW(AD227),COLUMN(AD227))),
IF(AD170=0,0,SUMIFS('EE Inputs'!$S$9:$S$32,'EE Inputs'!$C$9:$C$32,$G$6,'EE Inputs'!$D$9:$D$32,$C$4,'EE Inputs'!$E$9:$E$32,$B227)))</f>
        <v>0</v>
      </c>
      <c r="AE227" s="64" cm="1">
        <f t="array" aca="1" ref="AE227" ca="1">IF($C$4=Lookups!$D$40,INDIRECT("'Yr1'!"&amp;ADDRESS(ROW(AE227),COLUMN(AE227))),
IF(AE170=0,0,SUMIFS('EE Inputs'!$S$9:$S$32,'EE Inputs'!$C$9:$C$32,$G$6,'EE Inputs'!$D$9:$D$32,$C$4,'EE Inputs'!$E$9:$E$32,$B227)))</f>
        <v>0</v>
      </c>
      <c r="AF227" s="64" cm="1">
        <f t="array" aca="1" ref="AF227" ca="1">IF($C$4=Lookups!$D$40,INDIRECT("'Yr1'!"&amp;ADDRESS(ROW(AF227),COLUMN(AF227))),
IF(AF170=0,0,SUMIFS('EE Inputs'!$S$9:$S$32,'EE Inputs'!$C$9:$C$32,$G$6,'EE Inputs'!$D$9:$D$32,$C$4,'EE Inputs'!$E$9:$E$32,$B227)))</f>
        <v>0</v>
      </c>
      <c r="AG227" s="64" cm="1">
        <f t="array" aca="1" ref="AG227" ca="1">IF($C$4=Lookups!$D$40,INDIRECT("'Yr1'!"&amp;ADDRESS(ROW(AG227),COLUMN(AG227))),
IF(AG170=0,0,SUMIFS('EE Inputs'!$S$9:$S$32,'EE Inputs'!$C$9:$C$32,$G$6,'EE Inputs'!$D$9:$D$32,$C$4,'EE Inputs'!$E$9:$E$32,$B227)))</f>
        <v>0</v>
      </c>
      <c r="AH227" s="64"/>
      <c r="AI227" s="64"/>
      <c r="AJ227" s="64"/>
      <c r="AM227" s="645" cm="1">
        <f t="array" aca="1" ref="AM227" ca="1">IF($C$4=Lookups!$D$40,INDIRECT("'Yr1'!"&amp;ADDRESS(ROW(AM227),COLUMN(AM227))),
IF(AM170=0,0,SUMIFS('EE Inputs'!$S$9:$S$32,'EE Inputs'!$C$9:$C$32,$AM$6,'EE Inputs'!$D$9:$D$32,$C$4,'EE Inputs'!$E$9:$E$32,$B227)))</f>
        <v>117.23742</v>
      </c>
      <c r="AN227" s="645" cm="1">
        <f t="array" aca="1" ref="AN227" ca="1">IF($C$4=Lookups!$D$40,INDIRECT("'Yr1'!"&amp;ADDRESS(ROW(AN227),COLUMN(AN227))),
IF(AN170=0,0,SUMIFS('EE Inputs'!$S$9:$S$32,'EE Inputs'!$C$9:$C$32,$AM$6,'EE Inputs'!$D$9:$D$32,$C$4,'EE Inputs'!$E$9:$E$32,$B227)))</f>
        <v>117.23742</v>
      </c>
      <c r="AO227" s="645" cm="1">
        <f t="array" aca="1" ref="AO227" ca="1">IF($C$4=Lookups!$D$40,INDIRECT("'Yr1'!"&amp;ADDRESS(ROW(AO227),COLUMN(AO227))),
IF(AO170=0,0,SUMIFS('EE Inputs'!$S$9:$S$32,'EE Inputs'!$C$9:$C$32,$AM$6,'EE Inputs'!$D$9:$D$32,$C$4,'EE Inputs'!$E$9:$E$32,$B227)))</f>
        <v>117.23742</v>
      </c>
      <c r="AP227" s="645" cm="1">
        <f t="array" aca="1" ref="AP227" ca="1">IF($C$4=Lookups!$D$40,INDIRECT("'Yr1'!"&amp;ADDRESS(ROW(AP227),COLUMN(AP227))),
IF(AP170=0,0,SUMIFS('EE Inputs'!$S$9:$S$32,'EE Inputs'!$C$9:$C$32,$AM$6,'EE Inputs'!$D$9:$D$32,$C$4,'EE Inputs'!$E$9:$E$32,$B227)))</f>
        <v>117.23742</v>
      </c>
      <c r="AQ227" s="645" cm="1">
        <f t="array" aca="1" ref="AQ227" ca="1">IF($C$4=Lookups!$D$40,INDIRECT("'Yr1'!"&amp;ADDRESS(ROW(AQ227),COLUMN(AQ227))),
IF(AQ170=0,0,SUMIFS('EE Inputs'!$S$9:$S$32,'EE Inputs'!$C$9:$C$32,$AM$6,'EE Inputs'!$D$9:$D$32,$C$4,'EE Inputs'!$E$9:$E$32,$B227)))</f>
        <v>117.23742</v>
      </c>
      <c r="AR227" s="645" cm="1">
        <f t="array" aca="1" ref="AR227" ca="1">IF($C$4=Lookups!$D$40,INDIRECT("'Yr1'!"&amp;ADDRESS(ROW(AR227),COLUMN(AR227))),
IF(AR170=0,0,SUMIFS('EE Inputs'!$S$9:$S$32,'EE Inputs'!$C$9:$C$32,$AM$6,'EE Inputs'!$D$9:$D$32,$C$4,'EE Inputs'!$E$9:$E$32,$B227)))</f>
        <v>117.23742</v>
      </c>
      <c r="AS227" s="645" cm="1">
        <f t="array" aca="1" ref="AS227" ca="1">IF($C$4=Lookups!$D$40,INDIRECT("'Yr1'!"&amp;ADDRESS(ROW(AS227),COLUMN(AS227))),
IF(AS170=0,0,SUMIFS('EE Inputs'!$S$9:$S$32,'EE Inputs'!$C$9:$C$32,$AM$6,'EE Inputs'!$D$9:$D$32,$C$4,'EE Inputs'!$E$9:$E$32,$B227)))</f>
        <v>117.23742</v>
      </c>
      <c r="AT227" s="645" cm="1">
        <f t="array" aca="1" ref="AT227" ca="1">IF($C$4=Lookups!$D$40,INDIRECT("'Yr1'!"&amp;ADDRESS(ROW(AT227),COLUMN(AT227))),
IF(AT170=0,0,SUMIFS('EE Inputs'!$S$9:$S$32,'EE Inputs'!$C$9:$C$32,$AM$6,'EE Inputs'!$D$9:$D$32,$C$4,'EE Inputs'!$E$9:$E$32,$B227)))</f>
        <v>117.23742</v>
      </c>
      <c r="AU227" s="645" cm="1">
        <f t="array" aca="1" ref="AU227" ca="1">IF($C$4=Lookups!$D$40,INDIRECT("'Yr1'!"&amp;ADDRESS(ROW(AU227),COLUMN(AU227))),
IF(AU170=0,0,SUMIFS('EE Inputs'!$S$9:$S$32,'EE Inputs'!$C$9:$C$32,$AM$6,'EE Inputs'!$D$9:$D$32,$C$4,'EE Inputs'!$E$9:$E$32,$B227)))</f>
        <v>117.23742</v>
      </c>
      <c r="AV227" s="645" cm="1">
        <f t="array" aca="1" ref="AV227" ca="1">IF($C$4=Lookups!$D$40,INDIRECT("'Yr1'!"&amp;ADDRESS(ROW(AV227),COLUMN(AV227))),
IF(AV170=0,0,SUMIFS('EE Inputs'!$S$9:$S$32,'EE Inputs'!$C$9:$C$32,$AM$6,'EE Inputs'!$D$9:$D$32,$C$4,'EE Inputs'!$E$9:$E$32,$B227)))</f>
        <v>117.23742</v>
      </c>
      <c r="AW227" s="645" cm="1">
        <f t="array" aca="1" ref="AW227" ca="1">IF($C$4=Lookups!$D$40,INDIRECT("'Yr1'!"&amp;ADDRESS(ROW(AW227),COLUMN(AW227))),
IF(AW170=0,0,SUMIFS('EE Inputs'!$S$9:$S$32,'EE Inputs'!$C$9:$C$32,$AM$6,'EE Inputs'!$D$9:$D$32,$C$4,'EE Inputs'!$E$9:$E$32,$B227)))</f>
        <v>117.23742</v>
      </c>
      <c r="AX227" s="645" cm="1">
        <f t="array" aca="1" ref="AX227" ca="1">IF($C$4=Lookups!$D$40,INDIRECT("'Yr1'!"&amp;ADDRESS(ROW(AX227),COLUMN(AX227))),
IF(AX170=0,0,SUMIFS('EE Inputs'!$S$9:$S$32,'EE Inputs'!$C$9:$C$32,$AM$6,'EE Inputs'!$D$9:$D$32,$C$4,'EE Inputs'!$E$9:$E$32,$B227)))</f>
        <v>117.23742</v>
      </c>
      <c r="AY227" s="645" cm="1">
        <f t="array" aca="1" ref="AY227" ca="1">IF($C$4=Lookups!$D$40,INDIRECT("'Yr1'!"&amp;ADDRESS(ROW(AY227),COLUMN(AY227))),
IF(AY170=0,0,SUMIFS('EE Inputs'!$S$9:$S$32,'EE Inputs'!$C$9:$C$32,$AM$6,'EE Inputs'!$D$9:$D$32,$C$4,'EE Inputs'!$E$9:$E$32,$B227)))</f>
        <v>117.23742</v>
      </c>
      <c r="AZ227" s="645" cm="1">
        <f t="array" aca="1" ref="AZ227" ca="1">IF($C$4=Lookups!$D$40,INDIRECT("'Yr1'!"&amp;ADDRESS(ROW(AZ227),COLUMN(AZ227))),
IF(AZ170=0,0,SUMIFS('EE Inputs'!$S$9:$S$32,'EE Inputs'!$C$9:$C$32,$AM$6,'EE Inputs'!$D$9:$D$32,$C$4,'EE Inputs'!$E$9:$E$32,$B227)))</f>
        <v>117.23742</v>
      </c>
      <c r="BA227" s="645" cm="1">
        <f t="array" aca="1" ref="BA227" ca="1">IF($C$4=Lookups!$D$40,INDIRECT("'Yr1'!"&amp;ADDRESS(ROW(BA227),COLUMN(BA227))),
IF(BA170=0,0,SUMIFS('EE Inputs'!$S$9:$S$32,'EE Inputs'!$C$9:$C$32,$AM$6,'EE Inputs'!$D$9:$D$32,$C$4,'EE Inputs'!$E$9:$E$32,$B227)))</f>
        <v>117.23742</v>
      </c>
      <c r="BB227" s="645" cm="1">
        <f t="array" aca="1" ref="BB227" ca="1">IF($C$4=Lookups!$D$40,INDIRECT("'Yr1'!"&amp;ADDRESS(ROW(BB227),COLUMN(BB227))),
IF(BB170=0,0,SUMIFS('EE Inputs'!$S$9:$S$32,'EE Inputs'!$C$9:$C$32,$AM$6,'EE Inputs'!$D$9:$D$32,$C$4,'EE Inputs'!$E$9:$E$32,$B227)))</f>
        <v>117.23742</v>
      </c>
      <c r="BC227" s="645" cm="1">
        <f t="array" aca="1" ref="BC227" ca="1">IF($C$4=Lookups!$D$40,INDIRECT("'Yr1'!"&amp;ADDRESS(ROW(BC227),COLUMN(BC227))),
IF(BC170=0,0,SUMIFS('EE Inputs'!$S$9:$S$32,'EE Inputs'!$C$9:$C$32,$AM$6,'EE Inputs'!$D$9:$D$32,$C$4,'EE Inputs'!$E$9:$E$32,$B227)))</f>
        <v>0</v>
      </c>
      <c r="BD227" s="645" cm="1">
        <f t="array" aca="1" ref="BD227" ca="1">IF($C$4=Lookups!$D$40,INDIRECT("'Yr1'!"&amp;ADDRESS(ROW(BD227),COLUMN(BD227))),
IF(BD170=0,0,SUMIFS('EE Inputs'!$S$9:$S$32,'EE Inputs'!$C$9:$C$32,$AM$6,'EE Inputs'!$D$9:$D$32,$C$4,'EE Inputs'!$E$9:$E$32,$B227)))</f>
        <v>0</v>
      </c>
      <c r="BE227" s="645" cm="1">
        <f t="array" aca="1" ref="BE227" ca="1">IF($C$4=Lookups!$D$40,INDIRECT("'Yr1'!"&amp;ADDRESS(ROW(BE227),COLUMN(BE227))),
IF(BE170=0,0,SUMIFS('EE Inputs'!$S$9:$S$32,'EE Inputs'!$C$9:$C$32,$AM$6,'EE Inputs'!$D$9:$D$32,$C$4,'EE Inputs'!$E$9:$E$32,$B227)))</f>
        <v>0</v>
      </c>
      <c r="BF227" s="645" cm="1">
        <f t="array" aca="1" ref="BF227" ca="1">IF($C$4=Lookups!$D$40,INDIRECT("'Yr1'!"&amp;ADDRESS(ROW(BF227),COLUMN(BF227))),
IF(BF170=0,0,SUMIFS('EE Inputs'!$S$9:$S$32,'EE Inputs'!$C$9:$C$32,$AM$6,'EE Inputs'!$D$9:$D$32,$C$4,'EE Inputs'!$E$9:$E$32,$B227)))</f>
        <v>0</v>
      </c>
      <c r="BG227" s="645" cm="1">
        <f t="array" aca="1" ref="BG227" ca="1">IF($C$4=Lookups!$D$40,INDIRECT("'Yr1'!"&amp;ADDRESS(ROW(BG227),COLUMN(BG227))),
IF(BG170=0,0,SUMIFS('EE Inputs'!$S$9:$S$32,'EE Inputs'!$C$9:$C$32,$AM$6,'EE Inputs'!$D$9:$D$32,$C$4,'EE Inputs'!$E$9:$E$32,$B227)))</f>
        <v>0</v>
      </c>
      <c r="BH227" s="645" cm="1">
        <f t="array" aca="1" ref="BH227" ca="1">IF($C$4=Lookups!$D$40,INDIRECT("'Yr1'!"&amp;ADDRESS(ROW(BH227),COLUMN(BH227))),
IF(BH170=0,0,SUMIFS('EE Inputs'!$S$9:$S$32,'EE Inputs'!$C$9:$C$32,$AM$6,'EE Inputs'!$D$9:$D$32,$C$4,'EE Inputs'!$E$9:$E$32,$B227)))</f>
        <v>0</v>
      </c>
      <c r="BI227" s="645" cm="1">
        <f t="array" aca="1" ref="BI227" ca="1">IF($C$4=Lookups!$D$40,INDIRECT("'Yr1'!"&amp;ADDRESS(ROW(BI227),COLUMN(BI227))),
IF(BI170=0,0,SUMIFS('EE Inputs'!$S$9:$S$32,'EE Inputs'!$C$9:$C$32,$AM$6,'EE Inputs'!$D$9:$D$32,$C$4,'EE Inputs'!$E$9:$E$32,$B227)))</f>
        <v>0</v>
      </c>
      <c r="BJ227" s="645" cm="1">
        <f t="array" aca="1" ref="BJ227" ca="1">IF($C$4=Lookups!$D$40,INDIRECT("'Yr1'!"&amp;ADDRESS(ROW(BJ227),COLUMN(BJ227))),
IF(BJ170=0,0,SUMIFS('EE Inputs'!$S$9:$S$32,'EE Inputs'!$C$9:$C$32,$AM$6,'EE Inputs'!$D$9:$D$32,$C$4,'EE Inputs'!$E$9:$E$32,$B227)))</f>
        <v>0</v>
      </c>
      <c r="BK227" s="645" cm="1">
        <f t="array" aca="1" ref="BK227" ca="1">IF($C$4=Lookups!$D$40,INDIRECT("'Yr1'!"&amp;ADDRESS(ROW(BK227),COLUMN(BK227))),
IF(BK170=0,0,SUMIFS('EE Inputs'!$S$9:$S$32,'EE Inputs'!$C$9:$C$32,$AM$6,'EE Inputs'!$D$9:$D$32,$C$4,'EE Inputs'!$E$9:$E$32,$B227)))</f>
        <v>0</v>
      </c>
      <c r="BL227" s="645" cm="1">
        <f t="array" aca="1" ref="BL227" ca="1">IF($C$4=Lookups!$D$40,INDIRECT("'Yr1'!"&amp;ADDRESS(ROW(BL227),COLUMN(BL227))),
IF(BL170=0,0,SUMIFS('EE Inputs'!$S$9:$S$32,'EE Inputs'!$C$9:$C$32,$AM$6,'EE Inputs'!$D$9:$D$32,$C$4,'EE Inputs'!$E$9:$E$32,$B227)))</f>
        <v>0</v>
      </c>
      <c r="BM227" s="645" cm="1">
        <f t="array" aca="1" ref="BM227" ca="1">IF($C$4=Lookups!$D$40,INDIRECT("'Yr1'!"&amp;ADDRESS(ROW(BM227),COLUMN(BM227))),
IF(BM170=0,0,SUMIFS('EE Inputs'!$S$9:$S$32,'EE Inputs'!$C$9:$C$32,$AM$6,'EE Inputs'!$D$9:$D$32,$C$4,'EE Inputs'!$E$9:$E$32,$B227)))</f>
        <v>0</v>
      </c>
      <c r="BN227" s="71"/>
      <c r="BO227" s="71"/>
      <c r="BP227" s="71"/>
      <c r="BS227" s="76" t="s">
        <v>96</v>
      </c>
      <c r="BT227" s="51" t="s">
        <v>17</v>
      </c>
    </row>
    <row r="228" spans="1:72" x14ac:dyDescent="0.25">
      <c r="A228" s="246"/>
      <c r="B228" s="243" t="str">
        <f t="shared" si="230"/>
        <v>Small C&amp;I</v>
      </c>
      <c r="C228" s="243" t="str">
        <f t="shared" si="230"/>
        <v>Bills</v>
      </c>
      <c r="D228" s="244" t="str">
        <f t="shared" si="230"/>
        <v>Annual Savings from DSM Scenario</v>
      </c>
      <c r="E228" s="84" t="str">
        <f>'EE Inputs'!$N$16&amp;" Participant"</f>
        <v>High Savings Participant</v>
      </c>
      <c r="F228" s="84" t="s">
        <v>195</v>
      </c>
      <c r="G228" s="704" cm="1">
        <f t="array" aca="1" ref="G228" ca="1">IF($C$4=Lookups!$D$40,INDIRECT("'Yr1'!"&amp;ADDRESS(ROW(G228),COLUMN(G228))),
IF(G170=0,0,SUMIFS('EE Inputs'!$T$9:$T$32,'EE Inputs'!$C$9:$C$32,$G$6,'EE Inputs'!$D$9:$D$32,$C$4,'EE Inputs'!$E$9:$E$32,$B228)))</f>
        <v>195.39570000000003</v>
      </c>
      <c r="H228" s="704" cm="1">
        <f t="array" aca="1" ref="H228" ca="1">IF($C$4=Lookups!$D$40,INDIRECT("'Yr1'!"&amp;ADDRESS(ROW(H228),COLUMN(H228))),
IF(H170=0,0,SUMIFS('EE Inputs'!$T$9:$T$32,'EE Inputs'!$C$9:$C$32,$G$6,'EE Inputs'!$D$9:$D$32,$C$4,'EE Inputs'!$E$9:$E$32,$B228)))</f>
        <v>195.39570000000003</v>
      </c>
      <c r="I228" s="704" cm="1">
        <f t="array" aca="1" ref="I228" ca="1">IF($C$4=Lookups!$D$40,INDIRECT("'Yr1'!"&amp;ADDRESS(ROW(I228),COLUMN(I228))),
IF(I170=0,0,SUMIFS('EE Inputs'!$T$9:$T$32,'EE Inputs'!$C$9:$C$32,$G$6,'EE Inputs'!$D$9:$D$32,$C$4,'EE Inputs'!$E$9:$E$32,$B228)))</f>
        <v>195.39570000000003</v>
      </c>
      <c r="J228" s="704" cm="1">
        <f t="array" aca="1" ref="J228" ca="1">IF($C$4=Lookups!$D$40,INDIRECT("'Yr1'!"&amp;ADDRESS(ROW(J228),COLUMN(J228))),
IF(J170=0,0,SUMIFS('EE Inputs'!$T$9:$T$32,'EE Inputs'!$C$9:$C$32,$G$6,'EE Inputs'!$D$9:$D$32,$C$4,'EE Inputs'!$E$9:$E$32,$B228)))</f>
        <v>195.39570000000003</v>
      </c>
      <c r="K228" s="704" cm="1">
        <f t="array" aca="1" ref="K228" ca="1">IF($C$4=Lookups!$D$40,INDIRECT("'Yr1'!"&amp;ADDRESS(ROW(K228),COLUMN(K228))),
IF(K170=0,0,SUMIFS('EE Inputs'!$T$9:$T$32,'EE Inputs'!$C$9:$C$32,$G$6,'EE Inputs'!$D$9:$D$32,$C$4,'EE Inputs'!$E$9:$E$32,$B228)))</f>
        <v>195.39570000000003</v>
      </c>
      <c r="L228" s="704" cm="1">
        <f t="array" aca="1" ref="L228" ca="1">IF($C$4=Lookups!$D$40,INDIRECT("'Yr1'!"&amp;ADDRESS(ROW(L228),COLUMN(L228))),
IF(L170=0,0,SUMIFS('EE Inputs'!$T$9:$T$32,'EE Inputs'!$C$9:$C$32,$G$6,'EE Inputs'!$D$9:$D$32,$C$4,'EE Inputs'!$E$9:$E$32,$B228)))</f>
        <v>195.39570000000003</v>
      </c>
      <c r="M228" s="704" cm="1">
        <f t="array" aca="1" ref="M228" ca="1">IF($C$4=Lookups!$D$40,INDIRECT("'Yr1'!"&amp;ADDRESS(ROW(M228),COLUMN(M228))),
IF(M170=0,0,SUMIFS('EE Inputs'!$T$9:$T$32,'EE Inputs'!$C$9:$C$32,$G$6,'EE Inputs'!$D$9:$D$32,$C$4,'EE Inputs'!$E$9:$E$32,$B228)))</f>
        <v>195.39570000000003</v>
      </c>
      <c r="N228" s="704" cm="1">
        <f t="array" aca="1" ref="N228" ca="1">IF($C$4=Lookups!$D$40,INDIRECT("'Yr1'!"&amp;ADDRESS(ROW(N228),COLUMN(N228))),
IF(N170=0,0,SUMIFS('EE Inputs'!$T$9:$T$32,'EE Inputs'!$C$9:$C$32,$G$6,'EE Inputs'!$D$9:$D$32,$C$4,'EE Inputs'!$E$9:$E$32,$B228)))</f>
        <v>195.39570000000003</v>
      </c>
      <c r="O228" s="704" cm="1">
        <f t="array" aca="1" ref="O228" ca="1">IF($C$4=Lookups!$D$40,INDIRECT("'Yr1'!"&amp;ADDRESS(ROW(O228),COLUMN(O228))),
IF(O170=0,0,SUMIFS('EE Inputs'!$T$9:$T$32,'EE Inputs'!$C$9:$C$32,$G$6,'EE Inputs'!$D$9:$D$32,$C$4,'EE Inputs'!$E$9:$E$32,$B228)))</f>
        <v>195.39570000000003</v>
      </c>
      <c r="P228" s="704" cm="1">
        <f t="array" aca="1" ref="P228" ca="1">IF($C$4=Lookups!$D$40,INDIRECT("'Yr1'!"&amp;ADDRESS(ROW(P228),COLUMN(P228))),
IF(P170=0,0,SUMIFS('EE Inputs'!$T$9:$T$32,'EE Inputs'!$C$9:$C$32,$G$6,'EE Inputs'!$D$9:$D$32,$C$4,'EE Inputs'!$E$9:$E$32,$B228)))</f>
        <v>195.39570000000003</v>
      </c>
      <c r="Q228" s="704" cm="1">
        <f t="array" aca="1" ref="Q228" ca="1">IF($C$4=Lookups!$D$40,INDIRECT("'Yr1'!"&amp;ADDRESS(ROW(Q228),COLUMN(Q228))),
IF(Q170=0,0,SUMIFS('EE Inputs'!$T$9:$T$32,'EE Inputs'!$C$9:$C$32,$G$6,'EE Inputs'!$D$9:$D$32,$C$4,'EE Inputs'!$E$9:$E$32,$B228)))</f>
        <v>195.39570000000003</v>
      </c>
      <c r="R228" s="704" cm="1">
        <f t="array" aca="1" ref="R228" ca="1">IF($C$4=Lookups!$D$40,INDIRECT("'Yr1'!"&amp;ADDRESS(ROW(R228),COLUMN(R228))),
IF(R170=0,0,SUMIFS('EE Inputs'!$T$9:$T$32,'EE Inputs'!$C$9:$C$32,$G$6,'EE Inputs'!$D$9:$D$32,$C$4,'EE Inputs'!$E$9:$E$32,$B228)))</f>
        <v>195.39570000000003</v>
      </c>
      <c r="S228" s="704" cm="1">
        <f t="array" aca="1" ref="S228" ca="1">IF($C$4=Lookups!$D$40,INDIRECT("'Yr1'!"&amp;ADDRESS(ROW(S228),COLUMN(S228))),
IF(S170=0,0,SUMIFS('EE Inputs'!$T$9:$T$32,'EE Inputs'!$C$9:$C$32,$G$6,'EE Inputs'!$D$9:$D$32,$C$4,'EE Inputs'!$E$9:$E$32,$B228)))</f>
        <v>195.39570000000003</v>
      </c>
      <c r="T228" s="704" cm="1">
        <f t="array" aca="1" ref="T228" ca="1">IF($C$4=Lookups!$D$40,INDIRECT("'Yr1'!"&amp;ADDRESS(ROW(T228),COLUMN(T228))),
IF(T170=0,0,SUMIFS('EE Inputs'!$T$9:$T$32,'EE Inputs'!$C$9:$C$32,$G$6,'EE Inputs'!$D$9:$D$32,$C$4,'EE Inputs'!$E$9:$E$32,$B228)))</f>
        <v>195.39570000000003</v>
      </c>
      <c r="U228" s="704" cm="1">
        <f t="array" aca="1" ref="U228" ca="1">IF($C$4=Lookups!$D$40,INDIRECT("'Yr1'!"&amp;ADDRESS(ROW(U228),COLUMN(U228))),
IF(U170=0,0,SUMIFS('EE Inputs'!$T$9:$T$32,'EE Inputs'!$C$9:$C$32,$G$6,'EE Inputs'!$D$9:$D$32,$C$4,'EE Inputs'!$E$9:$E$32,$B228)))</f>
        <v>195.39570000000003</v>
      </c>
      <c r="V228" s="704" cm="1">
        <f t="array" aca="1" ref="V228" ca="1">IF($C$4=Lookups!$D$40,INDIRECT("'Yr1'!"&amp;ADDRESS(ROW(V228),COLUMN(V228))),
IF(V170=0,0,SUMIFS('EE Inputs'!$T$9:$T$32,'EE Inputs'!$C$9:$C$32,$G$6,'EE Inputs'!$D$9:$D$32,$C$4,'EE Inputs'!$E$9:$E$32,$B228)))</f>
        <v>195.39570000000003</v>
      </c>
      <c r="W228" s="704" cm="1">
        <f t="array" aca="1" ref="W228" ca="1">IF($C$4=Lookups!$D$40,INDIRECT("'Yr1'!"&amp;ADDRESS(ROW(W228),COLUMN(W228))),
IF(W170=0,0,SUMIFS('EE Inputs'!$T$9:$T$32,'EE Inputs'!$C$9:$C$32,$G$6,'EE Inputs'!$D$9:$D$32,$C$4,'EE Inputs'!$E$9:$E$32,$B228)))</f>
        <v>0</v>
      </c>
      <c r="X228" s="704" cm="1">
        <f t="array" aca="1" ref="X228" ca="1">IF($C$4=Lookups!$D$40,INDIRECT("'Yr1'!"&amp;ADDRESS(ROW(X228),COLUMN(X228))),
IF(X170=0,0,SUMIFS('EE Inputs'!$T$9:$T$32,'EE Inputs'!$C$9:$C$32,$G$6,'EE Inputs'!$D$9:$D$32,$C$4,'EE Inputs'!$E$9:$E$32,$B228)))</f>
        <v>0</v>
      </c>
      <c r="Y228" s="704" cm="1">
        <f t="array" aca="1" ref="Y228" ca="1">IF($C$4=Lookups!$D$40,INDIRECT("'Yr1'!"&amp;ADDRESS(ROW(Y228),COLUMN(Y228))),
IF(Y170=0,0,SUMIFS('EE Inputs'!$T$9:$T$32,'EE Inputs'!$C$9:$C$32,$G$6,'EE Inputs'!$D$9:$D$32,$C$4,'EE Inputs'!$E$9:$E$32,$B228)))</f>
        <v>0</v>
      </c>
      <c r="Z228" s="704" cm="1">
        <f t="array" aca="1" ref="Z228" ca="1">IF($C$4=Lookups!$D$40,INDIRECT("'Yr1'!"&amp;ADDRESS(ROW(Z228),COLUMN(Z228))),
IF(Z170=0,0,SUMIFS('EE Inputs'!$T$9:$T$32,'EE Inputs'!$C$9:$C$32,$G$6,'EE Inputs'!$D$9:$D$32,$C$4,'EE Inputs'!$E$9:$E$32,$B228)))</f>
        <v>0</v>
      </c>
      <c r="AA228" s="704" cm="1">
        <f t="array" aca="1" ref="AA228" ca="1">IF($C$4=Lookups!$D$40,INDIRECT("'Yr1'!"&amp;ADDRESS(ROW(AA228),COLUMN(AA228))),
IF(AA170=0,0,SUMIFS('EE Inputs'!$T$9:$T$32,'EE Inputs'!$C$9:$C$32,$G$6,'EE Inputs'!$D$9:$D$32,$C$4,'EE Inputs'!$E$9:$E$32,$B228)))</f>
        <v>0</v>
      </c>
      <c r="AB228" s="704" cm="1">
        <f t="array" aca="1" ref="AB228" ca="1">IF($C$4=Lookups!$D$40,INDIRECT("'Yr1'!"&amp;ADDRESS(ROW(AB228),COLUMN(AB228))),
IF(AB170=0,0,SUMIFS('EE Inputs'!$T$9:$T$32,'EE Inputs'!$C$9:$C$32,$G$6,'EE Inputs'!$D$9:$D$32,$C$4,'EE Inputs'!$E$9:$E$32,$B228)))</f>
        <v>0</v>
      </c>
      <c r="AC228" s="704" cm="1">
        <f t="array" aca="1" ref="AC228" ca="1">IF($C$4=Lookups!$D$40,INDIRECT("'Yr1'!"&amp;ADDRESS(ROW(AC228),COLUMN(AC228))),
IF(AC170=0,0,SUMIFS('EE Inputs'!$T$9:$T$32,'EE Inputs'!$C$9:$C$32,$G$6,'EE Inputs'!$D$9:$D$32,$C$4,'EE Inputs'!$E$9:$E$32,$B228)))</f>
        <v>0</v>
      </c>
      <c r="AD228" s="704" cm="1">
        <f t="array" aca="1" ref="AD228" ca="1">IF($C$4=Lookups!$D$40,INDIRECT("'Yr1'!"&amp;ADDRESS(ROW(AD228),COLUMN(AD228))),
IF(AD170=0,0,SUMIFS('EE Inputs'!$T$9:$T$32,'EE Inputs'!$C$9:$C$32,$G$6,'EE Inputs'!$D$9:$D$32,$C$4,'EE Inputs'!$E$9:$E$32,$B228)))</f>
        <v>0</v>
      </c>
      <c r="AE228" s="704" cm="1">
        <f t="array" aca="1" ref="AE228" ca="1">IF($C$4=Lookups!$D$40,INDIRECT("'Yr1'!"&amp;ADDRESS(ROW(AE228),COLUMN(AE228))),
IF(AE170=0,0,SUMIFS('EE Inputs'!$T$9:$T$32,'EE Inputs'!$C$9:$C$32,$G$6,'EE Inputs'!$D$9:$D$32,$C$4,'EE Inputs'!$E$9:$E$32,$B228)))</f>
        <v>0</v>
      </c>
      <c r="AF228" s="704" cm="1">
        <f t="array" aca="1" ref="AF228" ca="1">IF($C$4=Lookups!$D$40,INDIRECT("'Yr1'!"&amp;ADDRESS(ROW(AF228),COLUMN(AF228))),
IF(AF170=0,0,SUMIFS('EE Inputs'!$T$9:$T$32,'EE Inputs'!$C$9:$C$32,$G$6,'EE Inputs'!$D$9:$D$32,$C$4,'EE Inputs'!$E$9:$E$32,$B228)))</f>
        <v>0</v>
      </c>
      <c r="AG228" s="704" cm="1">
        <f t="array" aca="1" ref="AG228" ca="1">IF($C$4=Lookups!$D$40,INDIRECT("'Yr1'!"&amp;ADDRESS(ROW(AG228),COLUMN(AG228))),
IF(AG170=0,0,SUMIFS('EE Inputs'!$T$9:$T$32,'EE Inputs'!$C$9:$C$32,$G$6,'EE Inputs'!$D$9:$D$32,$C$4,'EE Inputs'!$E$9:$E$32,$B228)))</f>
        <v>0</v>
      </c>
      <c r="AH228" s="64"/>
      <c r="AI228" s="64"/>
      <c r="AJ228" s="64"/>
      <c r="AM228" s="645" cm="1">
        <f t="array" aca="1" ref="AM228" ca="1">IF($C$4=Lookups!$D$40,INDIRECT("'Yr1'!"&amp;ADDRESS(ROW(AM228),COLUMN(AM228))),
IF(AM170=0,0,SUMIFS('EE Inputs'!$T$9:$T$32,'EE Inputs'!$C$9:$C$32,$AM$6,'EE Inputs'!$D$9:$D$32,$C$4,'EE Inputs'!$E$9:$E$32,$B228)))</f>
        <v>234.47484</v>
      </c>
      <c r="AN228" s="645" cm="1">
        <f t="array" aca="1" ref="AN228" ca="1">IF($C$4=Lookups!$D$40,INDIRECT("'Yr1'!"&amp;ADDRESS(ROW(AN228),COLUMN(AN228))),
IF(AN170=0,0,SUMIFS('EE Inputs'!$T$9:$T$32,'EE Inputs'!$C$9:$C$32,$AM$6,'EE Inputs'!$D$9:$D$32,$C$4,'EE Inputs'!$E$9:$E$32,$B228)))</f>
        <v>234.47484</v>
      </c>
      <c r="AO228" s="645" cm="1">
        <f t="array" aca="1" ref="AO228" ca="1">IF($C$4=Lookups!$D$40,INDIRECT("'Yr1'!"&amp;ADDRESS(ROW(AO228),COLUMN(AO228))),
IF(AO170=0,0,SUMIFS('EE Inputs'!$T$9:$T$32,'EE Inputs'!$C$9:$C$32,$AM$6,'EE Inputs'!$D$9:$D$32,$C$4,'EE Inputs'!$E$9:$E$32,$B228)))</f>
        <v>234.47484</v>
      </c>
      <c r="AP228" s="645" cm="1">
        <f t="array" aca="1" ref="AP228" ca="1">IF($C$4=Lookups!$D$40,INDIRECT("'Yr1'!"&amp;ADDRESS(ROW(AP228),COLUMN(AP228))),
IF(AP170=0,0,SUMIFS('EE Inputs'!$T$9:$T$32,'EE Inputs'!$C$9:$C$32,$AM$6,'EE Inputs'!$D$9:$D$32,$C$4,'EE Inputs'!$E$9:$E$32,$B228)))</f>
        <v>234.47484</v>
      </c>
      <c r="AQ228" s="645" cm="1">
        <f t="array" aca="1" ref="AQ228" ca="1">IF($C$4=Lookups!$D$40,INDIRECT("'Yr1'!"&amp;ADDRESS(ROW(AQ228),COLUMN(AQ228))),
IF(AQ170=0,0,SUMIFS('EE Inputs'!$T$9:$T$32,'EE Inputs'!$C$9:$C$32,$AM$6,'EE Inputs'!$D$9:$D$32,$C$4,'EE Inputs'!$E$9:$E$32,$B228)))</f>
        <v>234.47484</v>
      </c>
      <c r="AR228" s="645" cm="1">
        <f t="array" aca="1" ref="AR228" ca="1">IF($C$4=Lookups!$D$40,INDIRECT("'Yr1'!"&amp;ADDRESS(ROW(AR228),COLUMN(AR228))),
IF(AR170=0,0,SUMIFS('EE Inputs'!$T$9:$T$32,'EE Inputs'!$C$9:$C$32,$AM$6,'EE Inputs'!$D$9:$D$32,$C$4,'EE Inputs'!$E$9:$E$32,$B228)))</f>
        <v>234.47484</v>
      </c>
      <c r="AS228" s="645" cm="1">
        <f t="array" aca="1" ref="AS228" ca="1">IF($C$4=Lookups!$D$40,INDIRECT("'Yr1'!"&amp;ADDRESS(ROW(AS228),COLUMN(AS228))),
IF(AS170=0,0,SUMIFS('EE Inputs'!$T$9:$T$32,'EE Inputs'!$C$9:$C$32,$AM$6,'EE Inputs'!$D$9:$D$32,$C$4,'EE Inputs'!$E$9:$E$32,$B228)))</f>
        <v>234.47484</v>
      </c>
      <c r="AT228" s="645" cm="1">
        <f t="array" aca="1" ref="AT228" ca="1">IF($C$4=Lookups!$D$40,INDIRECT("'Yr1'!"&amp;ADDRESS(ROW(AT228),COLUMN(AT228))),
IF(AT170=0,0,SUMIFS('EE Inputs'!$T$9:$T$32,'EE Inputs'!$C$9:$C$32,$AM$6,'EE Inputs'!$D$9:$D$32,$C$4,'EE Inputs'!$E$9:$E$32,$B228)))</f>
        <v>234.47484</v>
      </c>
      <c r="AU228" s="645" cm="1">
        <f t="array" aca="1" ref="AU228" ca="1">IF($C$4=Lookups!$D$40,INDIRECT("'Yr1'!"&amp;ADDRESS(ROW(AU228),COLUMN(AU228))),
IF(AU170=0,0,SUMIFS('EE Inputs'!$T$9:$T$32,'EE Inputs'!$C$9:$C$32,$AM$6,'EE Inputs'!$D$9:$D$32,$C$4,'EE Inputs'!$E$9:$E$32,$B228)))</f>
        <v>234.47484</v>
      </c>
      <c r="AV228" s="645" cm="1">
        <f t="array" aca="1" ref="AV228" ca="1">IF($C$4=Lookups!$D$40,INDIRECT("'Yr1'!"&amp;ADDRESS(ROW(AV228),COLUMN(AV228))),
IF(AV170=0,0,SUMIFS('EE Inputs'!$T$9:$T$32,'EE Inputs'!$C$9:$C$32,$AM$6,'EE Inputs'!$D$9:$D$32,$C$4,'EE Inputs'!$E$9:$E$32,$B228)))</f>
        <v>234.47484</v>
      </c>
      <c r="AW228" s="645" cm="1">
        <f t="array" aca="1" ref="AW228" ca="1">IF($C$4=Lookups!$D$40,INDIRECT("'Yr1'!"&amp;ADDRESS(ROW(AW228),COLUMN(AW228))),
IF(AW170=0,0,SUMIFS('EE Inputs'!$T$9:$T$32,'EE Inputs'!$C$9:$C$32,$AM$6,'EE Inputs'!$D$9:$D$32,$C$4,'EE Inputs'!$E$9:$E$32,$B228)))</f>
        <v>234.47484</v>
      </c>
      <c r="AX228" s="645" cm="1">
        <f t="array" aca="1" ref="AX228" ca="1">IF($C$4=Lookups!$D$40,INDIRECT("'Yr1'!"&amp;ADDRESS(ROW(AX228),COLUMN(AX228))),
IF(AX170=0,0,SUMIFS('EE Inputs'!$T$9:$T$32,'EE Inputs'!$C$9:$C$32,$AM$6,'EE Inputs'!$D$9:$D$32,$C$4,'EE Inputs'!$E$9:$E$32,$B228)))</f>
        <v>234.47484</v>
      </c>
      <c r="AY228" s="645" cm="1">
        <f t="array" aca="1" ref="AY228" ca="1">IF($C$4=Lookups!$D$40,INDIRECT("'Yr1'!"&amp;ADDRESS(ROW(AY228),COLUMN(AY228))),
IF(AY170=0,0,SUMIFS('EE Inputs'!$T$9:$T$32,'EE Inputs'!$C$9:$C$32,$AM$6,'EE Inputs'!$D$9:$D$32,$C$4,'EE Inputs'!$E$9:$E$32,$B228)))</f>
        <v>234.47484</v>
      </c>
      <c r="AZ228" s="645" cm="1">
        <f t="array" aca="1" ref="AZ228" ca="1">IF($C$4=Lookups!$D$40,INDIRECT("'Yr1'!"&amp;ADDRESS(ROW(AZ228),COLUMN(AZ228))),
IF(AZ170=0,0,SUMIFS('EE Inputs'!$T$9:$T$32,'EE Inputs'!$C$9:$C$32,$AM$6,'EE Inputs'!$D$9:$D$32,$C$4,'EE Inputs'!$E$9:$E$32,$B228)))</f>
        <v>234.47484</v>
      </c>
      <c r="BA228" s="645" cm="1">
        <f t="array" aca="1" ref="BA228" ca="1">IF($C$4=Lookups!$D$40,INDIRECT("'Yr1'!"&amp;ADDRESS(ROW(BA228),COLUMN(BA228))),
IF(BA170=0,0,SUMIFS('EE Inputs'!$T$9:$T$32,'EE Inputs'!$C$9:$C$32,$AM$6,'EE Inputs'!$D$9:$D$32,$C$4,'EE Inputs'!$E$9:$E$32,$B228)))</f>
        <v>234.47484</v>
      </c>
      <c r="BB228" s="645" cm="1">
        <f t="array" aca="1" ref="BB228" ca="1">IF($C$4=Lookups!$D$40,INDIRECT("'Yr1'!"&amp;ADDRESS(ROW(BB228),COLUMN(BB228))),
IF(BB170=0,0,SUMIFS('EE Inputs'!$T$9:$T$32,'EE Inputs'!$C$9:$C$32,$AM$6,'EE Inputs'!$D$9:$D$32,$C$4,'EE Inputs'!$E$9:$E$32,$B228)))</f>
        <v>234.47484</v>
      </c>
      <c r="BC228" s="645" cm="1">
        <f t="array" aca="1" ref="BC228" ca="1">IF($C$4=Lookups!$D$40,INDIRECT("'Yr1'!"&amp;ADDRESS(ROW(BC228),COLUMN(BC228))),
IF(BC170=0,0,SUMIFS('EE Inputs'!$T$9:$T$32,'EE Inputs'!$C$9:$C$32,$AM$6,'EE Inputs'!$D$9:$D$32,$C$4,'EE Inputs'!$E$9:$E$32,$B228)))</f>
        <v>0</v>
      </c>
      <c r="BD228" s="645" cm="1">
        <f t="array" aca="1" ref="BD228" ca="1">IF($C$4=Lookups!$D$40,INDIRECT("'Yr1'!"&amp;ADDRESS(ROW(BD228),COLUMN(BD228))),
IF(BD170=0,0,SUMIFS('EE Inputs'!$T$9:$T$32,'EE Inputs'!$C$9:$C$32,$AM$6,'EE Inputs'!$D$9:$D$32,$C$4,'EE Inputs'!$E$9:$E$32,$B228)))</f>
        <v>0</v>
      </c>
      <c r="BE228" s="645" cm="1">
        <f t="array" aca="1" ref="BE228" ca="1">IF($C$4=Lookups!$D$40,INDIRECT("'Yr1'!"&amp;ADDRESS(ROW(BE228),COLUMN(BE228))),
IF(BE170=0,0,SUMIFS('EE Inputs'!$T$9:$T$32,'EE Inputs'!$C$9:$C$32,$AM$6,'EE Inputs'!$D$9:$D$32,$C$4,'EE Inputs'!$E$9:$E$32,$B228)))</f>
        <v>0</v>
      </c>
      <c r="BF228" s="645" cm="1">
        <f t="array" aca="1" ref="BF228" ca="1">IF($C$4=Lookups!$D$40,INDIRECT("'Yr1'!"&amp;ADDRESS(ROW(BF228),COLUMN(BF228))),
IF(BF170=0,0,SUMIFS('EE Inputs'!$T$9:$T$32,'EE Inputs'!$C$9:$C$32,$AM$6,'EE Inputs'!$D$9:$D$32,$C$4,'EE Inputs'!$E$9:$E$32,$B228)))</f>
        <v>0</v>
      </c>
      <c r="BG228" s="645" cm="1">
        <f t="array" aca="1" ref="BG228" ca="1">IF($C$4=Lookups!$D$40,INDIRECT("'Yr1'!"&amp;ADDRESS(ROW(BG228),COLUMN(BG228))),
IF(BG170=0,0,SUMIFS('EE Inputs'!$T$9:$T$32,'EE Inputs'!$C$9:$C$32,$AM$6,'EE Inputs'!$D$9:$D$32,$C$4,'EE Inputs'!$E$9:$E$32,$B228)))</f>
        <v>0</v>
      </c>
      <c r="BH228" s="645" cm="1">
        <f t="array" aca="1" ref="BH228" ca="1">IF($C$4=Lookups!$D$40,INDIRECT("'Yr1'!"&amp;ADDRESS(ROW(BH228),COLUMN(BH228))),
IF(BH170=0,0,SUMIFS('EE Inputs'!$T$9:$T$32,'EE Inputs'!$C$9:$C$32,$AM$6,'EE Inputs'!$D$9:$D$32,$C$4,'EE Inputs'!$E$9:$E$32,$B228)))</f>
        <v>0</v>
      </c>
      <c r="BI228" s="645" cm="1">
        <f t="array" aca="1" ref="BI228" ca="1">IF($C$4=Lookups!$D$40,INDIRECT("'Yr1'!"&amp;ADDRESS(ROW(BI228),COLUMN(BI228))),
IF(BI170=0,0,SUMIFS('EE Inputs'!$T$9:$T$32,'EE Inputs'!$C$9:$C$32,$AM$6,'EE Inputs'!$D$9:$D$32,$C$4,'EE Inputs'!$E$9:$E$32,$B228)))</f>
        <v>0</v>
      </c>
      <c r="BJ228" s="645" cm="1">
        <f t="array" aca="1" ref="BJ228" ca="1">IF($C$4=Lookups!$D$40,INDIRECT("'Yr1'!"&amp;ADDRESS(ROW(BJ228),COLUMN(BJ228))),
IF(BJ170=0,0,SUMIFS('EE Inputs'!$T$9:$T$32,'EE Inputs'!$C$9:$C$32,$AM$6,'EE Inputs'!$D$9:$D$32,$C$4,'EE Inputs'!$E$9:$E$32,$B228)))</f>
        <v>0</v>
      </c>
      <c r="BK228" s="645" cm="1">
        <f t="array" aca="1" ref="BK228" ca="1">IF($C$4=Lookups!$D$40,INDIRECT("'Yr1'!"&amp;ADDRESS(ROW(BK228),COLUMN(BK228))),
IF(BK170=0,0,SUMIFS('EE Inputs'!$T$9:$T$32,'EE Inputs'!$C$9:$C$32,$AM$6,'EE Inputs'!$D$9:$D$32,$C$4,'EE Inputs'!$E$9:$E$32,$B228)))</f>
        <v>0</v>
      </c>
      <c r="BL228" s="645" cm="1">
        <f t="array" aca="1" ref="BL228" ca="1">IF($C$4=Lookups!$D$40,INDIRECT("'Yr1'!"&amp;ADDRESS(ROW(BL228),COLUMN(BL228))),
IF(BL170=0,0,SUMIFS('EE Inputs'!$T$9:$T$32,'EE Inputs'!$C$9:$C$32,$AM$6,'EE Inputs'!$D$9:$D$32,$C$4,'EE Inputs'!$E$9:$E$32,$B228)))</f>
        <v>0</v>
      </c>
      <c r="BM228" s="645" cm="1">
        <f t="array" aca="1" ref="BM228" ca="1">IF($C$4=Lookups!$D$40,INDIRECT("'Yr1'!"&amp;ADDRESS(ROW(BM228),COLUMN(BM228))),
IF(BM170=0,0,SUMIFS('EE Inputs'!$T$9:$T$32,'EE Inputs'!$C$9:$C$32,$AM$6,'EE Inputs'!$D$9:$D$32,$C$4,'EE Inputs'!$E$9:$E$32,$B228)))</f>
        <v>0</v>
      </c>
      <c r="BN228" s="71"/>
      <c r="BO228" s="71"/>
      <c r="BP228" s="71"/>
      <c r="BS228" s="76" t="s">
        <v>96</v>
      </c>
      <c r="BT228" s="51" t="s">
        <v>17</v>
      </c>
    </row>
    <row r="229" spans="1:72" x14ac:dyDescent="0.25">
      <c r="B229" s="243" t="str">
        <f t="shared" si="230"/>
        <v>Small C&amp;I</v>
      </c>
      <c r="C229" s="243" t="str">
        <f t="shared" si="230"/>
        <v>Bills</v>
      </c>
      <c r="D229" s="114" t="s">
        <v>111</v>
      </c>
      <c r="E229" s="84"/>
      <c r="F229" s="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49"/>
      <c r="AI229" s="184"/>
      <c r="AJ229" s="49"/>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S229" s="84"/>
      <c r="BT229" s="51" t="s">
        <v>17</v>
      </c>
    </row>
    <row r="230" spans="1:72" x14ac:dyDescent="0.25">
      <c r="B230" s="243" t="str">
        <f t="shared" si="230"/>
        <v>Small C&amp;I</v>
      </c>
      <c r="C230" s="243" t="str">
        <f t="shared" si="230"/>
        <v>Bills</v>
      </c>
      <c r="D230" s="244" t="str">
        <f t="shared" si="230"/>
        <v>Bills after DSM Scenario</v>
      </c>
      <c r="E230" s="84" t="s">
        <v>348</v>
      </c>
      <c r="F230" s="84" t="s">
        <v>32</v>
      </c>
      <c r="G230" s="103">
        <f ca="1">G222+G223*(G215-G214)</f>
        <v>2951.1320265864251</v>
      </c>
      <c r="H230" s="103">
        <f ca="1">H222+H223*(H215-H214)</f>
        <v>2976.0436615603348</v>
      </c>
      <c r="I230" s="103">
        <f t="shared" ref="I230:AG230" ca="1" si="240">I222+I223*(I215-I214)</f>
        <v>3007.140948073361</v>
      </c>
      <c r="J230" s="103">
        <f t="shared" ca="1" si="240"/>
        <v>2696.9482992206667</v>
      </c>
      <c r="K230" s="103">
        <f t="shared" ca="1" si="240"/>
        <v>2696.9482992206667</v>
      </c>
      <c r="L230" s="103">
        <f t="shared" ca="1" si="240"/>
        <v>2696.9482992206667</v>
      </c>
      <c r="M230" s="103">
        <f t="shared" ca="1" si="240"/>
        <v>2696.9482992206667</v>
      </c>
      <c r="N230" s="103">
        <f t="shared" ca="1" si="240"/>
        <v>2696.9482992206667</v>
      </c>
      <c r="O230" s="103">
        <f t="shared" ca="1" si="240"/>
        <v>2696.9482992206667</v>
      </c>
      <c r="P230" s="103">
        <f t="shared" ca="1" si="240"/>
        <v>2696.9482992206667</v>
      </c>
      <c r="Q230" s="103">
        <f t="shared" ca="1" si="240"/>
        <v>2696.9482992206667</v>
      </c>
      <c r="R230" s="103">
        <f t="shared" ca="1" si="240"/>
        <v>2696.9482992206667</v>
      </c>
      <c r="S230" s="103">
        <f t="shared" ca="1" si="240"/>
        <v>2696.9482992206667</v>
      </c>
      <c r="T230" s="103">
        <f t="shared" ca="1" si="240"/>
        <v>2696.9482992206667</v>
      </c>
      <c r="U230" s="103">
        <f t="shared" ca="1" si="240"/>
        <v>2696.9482992206667</v>
      </c>
      <c r="V230" s="103">
        <f t="shared" ca="1" si="240"/>
        <v>2696.9482992206667</v>
      </c>
      <c r="W230" s="103">
        <f t="shared" ca="1" si="240"/>
        <v>2685.5288438565603</v>
      </c>
      <c r="X230" s="103">
        <f t="shared" ca="1" si="240"/>
        <v>2673.8971082943617</v>
      </c>
      <c r="Y230" s="103">
        <f t="shared" ca="1" si="240"/>
        <v>2662.1510455613457</v>
      </c>
      <c r="Z230" s="103">
        <f t="shared" ca="1" si="240"/>
        <v>2662.1510455613457</v>
      </c>
      <c r="AA230" s="103">
        <f t="shared" ca="1" si="240"/>
        <v>2662.1510455613457</v>
      </c>
      <c r="AB230" s="103">
        <f t="shared" ca="1" si="240"/>
        <v>2662.1510455613457</v>
      </c>
      <c r="AC230" s="103">
        <f t="shared" ca="1" si="240"/>
        <v>2662.1510455613457</v>
      </c>
      <c r="AD230" s="103">
        <f t="shared" ca="1" si="240"/>
        <v>2662.1510455613457</v>
      </c>
      <c r="AE230" s="103">
        <f t="shared" ca="1" si="240"/>
        <v>2662.1510455613457</v>
      </c>
      <c r="AF230" s="103">
        <f t="shared" ca="1" si="240"/>
        <v>2662.1510455613457</v>
      </c>
      <c r="AG230" s="103">
        <f t="shared" ca="1" si="240"/>
        <v>2662.1510455613457</v>
      </c>
      <c r="AH230" s="103"/>
      <c r="AI230" s="103"/>
      <c r="AJ230" s="103">
        <f ca="1">IF($C$4=Year1,-PMT(Lookups!$E$17,25,NPV(Lookups!$E$17,G230:AE230),0,1),IF($C$4=Year2,-PMT(Lookups!$F$17,25,NPV(Lookups!$F$17,H230:AF230),0,1),IF($C$4=Year3,-PMT(Lookups!$G$17,25,NPV(Lookups!$G$17,I230:AG230),0,1),-PMT(Lookups!$G$17,27,NPV(Lookups!$G$17,G230:AG230),0,1))))</f>
        <v>2684.330529155819</v>
      </c>
      <c r="AM230" s="149">
        <f ca="1">AM222+AM223*(AM215-AM214)</f>
        <v>3008.3489699671272</v>
      </c>
      <c r="AN230" s="149">
        <f t="shared" ref="AN230:BM230" ca="1" si="241">AN222+AN223*(AN215-AN214)</f>
        <v>3037.6766488518024</v>
      </c>
      <c r="AO230" s="149">
        <f t="shared" ca="1" si="241"/>
        <v>3074.4567012666939</v>
      </c>
      <c r="AP230" s="149">
        <f t="shared" ca="1" si="241"/>
        <v>2702.2255226434618</v>
      </c>
      <c r="AQ230" s="149">
        <f t="shared" ca="1" si="241"/>
        <v>2702.2255226434618</v>
      </c>
      <c r="AR230" s="149">
        <f t="shared" ca="1" si="241"/>
        <v>2702.2255226434618</v>
      </c>
      <c r="AS230" s="149">
        <f t="shared" ca="1" si="241"/>
        <v>2702.2255226434618</v>
      </c>
      <c r="AT230" s="149">
        <f t="shared" ca="1" si="241"/>
        <v>2702.2255226434618</v>
      </c>
      <c r="AU230" s="149">
        <f t="shared" ca="1" si="241"/>
        <v>2702.2255226434618</v>
      </c>
      <c r="AV230" s="149">
        <f t="shared" ca="1" si="241"/>
        <v>2702.2255226434618</v>
      </c>
      <c r="AW230" s="149">
        <f t="shared" ca="1" si="241"/>
        <v>2702.2255226434618</v>
      </c>
      <c r="AX230" s="149">
        <f t="shared" ca="1" si="241"/>
        <v>2702.2255226434618</v>
      </c>
      <c r="AY230" s="149">
        <f t="shared" ca="1" si="241"/>
        <v>2702.2255226434618</v>
      </c>
      <c r="AZ230" s="149">
        <f t="shared" ca="1" si="241"/>
        <v>2702.2255226434618</v>
      </c>
      <c r="BA230" s="149">
        <f t="shared" ca="1" si="241"/>
        <v>2702.2255226434618</v>
      </c>
      <c r="BB230" s="149">
        <f t="shared" ca="1" si="241"/>
        <v>2702.2255226434618</v>
      </c>
      <c r="BC230" s="149">
        <f t="shared" ca="1" si="241"/>
        <v>2689.0063777080245</v>
      </c>
      <c r="BD230" s="149">
        <f t="shared" ca="1" si="241"/>
        <v>2675.6098257935064</v>
      </c>
      <c r="BE230" s="149">
        <f t="shared" ca="1" si="241"/>
        <v>2662.1510455613457</v>
      </c>
      <c r="BF230" s="149">
        <f t="shared" ca="1" si="241"/>
        <v>2662.1510455613457</v>
      </c>
      <c r="BG230" s="149">
        <f t="shared" ca="1" si="241"/>
        <v>2662.1510455613457</v>
      </c>
      <c r="BH230" s="149">
        <f t="shared" ca="1" si="241"/>
        <v>2662.1510455613457</v>
      </c>
      <c r="BI230" s="149">
        <f t="shared" ca="1" si="241"/>
        <v>2662.1510455613457</v>
      </c>
      <c r="BJ230" s="149">
        <f t="shared" ca="1" si="241"/>
        <v>2662.1510455613457</v>
      </c>
      <c r="BK230" s="149">
        <f t="shared" ca="1" si="241"/>
        <v>2662.1510455613457</v>
      </c>
      <c r="BL230" s="149">
        <f t="shared" ca="1" si="241"/>
        <v>2662.1510455613457</v>
      </c>
      <c r="BM230" s="149">
        <f t="shared" ca="1" si="241"/>
        <v>2662.1510455613457</v>
      </c>
      <c r="BN230" s="149"/>
      <c r="BO230" s="149"/>
      <c r="BP230" s="149">
        <f ca="1">IF($C$4=Year1,-PMT(Lookups!$E$17,25,NPV(Lookups!$E$17,AM230:BK230),0,1),IF($C$4=Year2,-PMT(Lookups!$F$17,25,NPV(Lookups!$F$17,AN230:BL230),0,1),IF($C$4=Year3,-PMT(Lookups!$G$17,25,NPV(Lookups!$G$17,AO230:BM230),0,1),-PMT(Lookups!$G$17,27,NPV(Lookups!$G$17,AM230:BM230),0,1))))</f>
        <v>2695.1418674142969</v>
      </c>
      <c r="BS230" s="84" t="s">
        <v>239</v>
      </c>
      <c r="BT230" s="51" t="s">
        <v>17</v>
      </c>
    </row>
    <row r="231" spans="1:72" x14ac:dyDescent="0.25">
      <c r="B231" s="243" t="str">
        <f t="shared" si="230"/>
        <v>Small C&amp;I</v>
      </c>
      <c r="C231" s="243" t="str">
        <f t="shared" si="230"/>
        <v>Bills</v>
      </c>
      <c r="D231" s="244" t="str">
        <f t="shared" si="230"/>
        <v>Bills after DSM Scenario</v>
      </c>
      <c r="E231" s="84" t="s">
        <v>349</v>
      </c>
      <c r="F231" s="84" t="s">
        <v>32</v>
      </c>
      <c r="G231" s="103">
        <f ca="1">G222+(G223-G226)*(G215-G214)</f>
        <v>2906.6258298847479</v>
      </c>
      <c r="H231" s="103">
        <f ca="1">H222+(H223-H226)*(H215-H214)</f>
        <v>2883.6240615859169</v>
      </c>
      <c r="I231" s="103">
        <f t="shared" ref="I231:AG231" ca="1" si="242">I222+(I223-I226)*(I215-I214)</f>
        <v>2863.1945901735153</v>
      </c>
      <c r="J231" s="103">
        <f t="shared" ca="1" si="242"/>
        <v>2572.1587547545428</v>
      </c>
      <c r="K231" s="103">
        <f t="shared" ca="1" si="242"/>
        <v>2572.1587547545428</v>
      </c>
      <c r="L231" s="103">
        <f t="shared" ca="1" si="242"/>
        <v>2572.1587547545428</v>
      </c>
      <c r="M231" s="103">
        <f t="shared" ca="1" si="242"/>
        <v>2572.1587547545428</v>
      </c>
      <c r="N231" s="103">
        <f t="shared" ca="1" si="242"/>
        <v>2572.1587547545428</v>
      </c>
      <c r="O231" s="103">
        <f t="shared" ca="1" si="242"/>
        <v>2572.1587547545428</v>
      </c>
      <c r="P231" s="103">
        <f t="shared" ca="1" si="242"/>
        <v>2572.1587547545428</v>
      </c>
      <c r="Q231" s="103">
        <f t="shared" ca="1" si="242"/>
        <v>2572.1587547545428</v>
      </c>
      <c r="R231" s="103">
        <f t="shared" ca="1" si="242"/>
        <v>2572.1587547545428</v>
      </c>
      <c r="S231" s="103">
        <f t="shared" ca="1" si="242"/>
        <v>2572.1587547545428</v>
      </c>
      <c r="T231" s="103">
        <f t="shared" ca="1" si="242"/>
        <v>2572.1587547545428</v>
      </c>
      <c r="U231" s="103">
        <f t="shared" ca="1" si="242"/>
        <v>2572.1587547545428</v>
      </c>
      <c r="V231" s="103">
        <f t="shared" ca="1" si="242"/>
        <v>2572.1587547545428</v>
      </c>
      <c r="W231" s="103">
        <f t="shared" ca="1" si="242"/>
        <v>2600.754268632897</v>
      </c>
      <c r="X231" s="103">
        <f t="shared" ca="1" si="242"/>
        <v>2630.8083114350061</v>
      </c>
      <c r="Y231" s="103">
        <f t="shared" ca="1" si="242"/>
        <v>2662.1510455613457</v>
      </c>
      <c r="Z231" s="103">
        <f t="shared" ca="1" si="242"/>
        <v>2662.1510455613457</v>
      </c>
      <c r="AA231" s="103">
        <f t="shared" ca="1" si="242"/>
        <v>2662.1510455613457</v>
      </c>
      <c r="AB231" s="103">
        <f t="shared" ca="1" si="242"/>
        <v>2662.1510455613457</v>
      </c>
      <c r="AC231" s="103">
        <f t="shared" ca="1" si="242"/>
        <v>2662.1510455613457</v>
      </c>
      <c r="AD231" s="103">
        <f t="shared" ca="1" si="242"/>
        <v>2662.1510455613457</v>
      </c>
      <c r="AE231" s="103">
        <f t="shared" ca="1" si="242"/>
        <v>2662.1510455613457</v>
      </c>
      <c r="AF231" s="103">
        <f t="shared" ca="1" si="242"/>
        <v>2662.1510455613457</v>
      </c>
      <c r="AG231" s="103">
        <f t="shared" ca="1" si="242"/>
        <v>2662.1510455613457</v>
      </c>
      <c r="AH231" s="103"/>
      <c r="AI231" s="103"/>
      <c r="AJ231" s="103">
        <f ca="1">IF($C$4=Year1,-PMT(Lookups!$E$17,25,NPV(Lookups!$E$17,G231:AE231),0,1),IF($C$4=Year2,-PMT(Lookups!$F$17,25,NPV(Lookups!$F$17,H231:AF231),0,1),IF($C$4=Year3,-PMT(Lookups!$G$17,25,NPV(Lookups!$G$17,I231:AG231),0,1),-PMT(Lookups!$G$17,27,NPV(Lookups!$G$17,G231:AG231),0,1))))</f>
        <v>2605.509892723544</v>
      </c>
      <c r="AM231" s="149">
        <f ca="1">AM222+(AM223-AM226)*(AM215-AM214)</f>
        <v>2956.2053887012116</v>
      </c>
      <c r="AN231" s="149">
        <f t="shared" ref="AN231:BM231" ca="1" si="243">AN222+(AN223-AN226)*(AN215-AN214)</f>
        <v>2929.2235505045755</v>
      </c>
      <c r="AO231" s="149">
        <f t="shared" ca="1" si="243"/>
        <v>2905.1954095421715</v>
      </c>
      <c r="AP231" s="149">
        <f t="shared" ca="1" si="243"/>
        <v>2559.236432199471</v>
      </c>
      <c r="AQ231" s="149">
        <f t="shared" ca="1" si="243"/>
        <v>2559.236432199471</v>
      </c>
      <c r="AR231" s="149">
        <f t="shared" ca="1" si="243"/>
        <v>2559.236432199471</v>
      </c>
      <c r="AS231" s="149">
        <f t="shared" ca="1" si="243"/>
        <v>2559.236432199471</v>
      </c>
      <c r="AT231" s="149">
        <f t="shared" ca="1" si="243"/>
        <v>2559.236432199471</v>
      </c>
      <c r="AU231" s="149">
        <f t="shared" ca="1" si="243"/>
        <v>2559.236432199471</v>
      </c>
      <c r="AV231" s="149">
        <f t="shared" ca="1" si="243"/>
        <v>2559.236432199471</v>
      </c>
      <c r="AW231" s="149">
        <f t="shared" ca="1" si="243"/>
        <v>2559.236432199471</v>
      </c>
      <c r="AX231" s="149">
        <f t="shared" ca="1" si="243"/>
        <v>2559.236432199471</v>
      </c>
      <c r="AY231" s="149">
        <f t="shared" ca="1" si="243"/>
        <v>2559.236432199471</v>
      </c>
      <c r="AZ231" s="149">
        <f t="shared" ca="1" si="243"/>
        <v>2559.236432199471</v>
      </c>
      <c r="BA231" s="149">
        <f t="shared" ca="1" si="243"/>
        <v>2559.236432199471</v>
      </c>
      <c r="BB231" s="149">
        <f t="shared" ca="1" si="243"/>
        <v>2559.236432199471</v>
      </c>
      <c r="BC231" s="149">
        <f t="shared" ca="1" si="243"/>
        <v>2591.9534601591322</v>
      </c>
      <c r="BD231" s="149">
        <f t="shared" ca="1" si="243"/>
        <v>2626.3232645552412</v>
      </c>
      <c r="BE231" s="149">
        <f t="shared" ca="1" si="243"/>
        <v>2662.1510455613457</v>
      </c>
      <c r="BF231" s="149">
        <f t="shared" ca="1" si="243"/>
        <v>2662.1510455613457</v>
      </c>
      <c r="BG231" s="149">
        <f t="shared" ca="1" si="243"/>
        <v>2662.1510455613457</v>
      </c>
      <c r="BH231" s="149">
        <f t="shared" ca="1" si="243"/>
        <v>2662.1510455613457</v>
      </c>
      <c r="BI231" s="149">
        <f t="shared" ca="1" si="243"/>
        <v>2662.1510455613457</v>
      </c>
      <c r="BJ231" s="149">
        <f t="shared" ca="1" si="243"/>
        <v>2662.1510455613457</v>
      </c>
      <c r="BK231" s="149">
        <f t="shared" ca="1" si="243"/>
        <v>2662.1510455613457</v>
      </c>
      <c r="BL231" s="149">
        <f t="shared" ca="1" si="243"/>
        <v>2662.1510455613457</v>
      </c>
      <c r="BM231" s="149">
        <f t="shared" ca="1" si="243"/>
        <v>2662.1510455613457</v>
      </c>
      <c r="BN231" s="149"/>
      <c r="BO231" s="149"/>
      <c r="BP231" s="149">
        <f ca="1">IF($C$4=Year1,-PMT(Lookups!$E$17,25,NPV(Lookups!$E$17,AM231:BK231),0,1),IF($C$4=Year2,-PMT(Lookups!$F$17,25,NPV(Lookups!$F$17,AN231:BL231),0,1),IF($C$4=Year3,-PMT(Lookups!$G$17,25,NPV(Lookups!$G$17,AO231:BM231),0,1),-PMT(Lookups!$G$17,27,NPV(Lookups!$G$17,AM231:BM231),0,1))))</f>
        <v>2604.4889861459019</v>
      </c>
      <c r="BS231" s="84" t="s">
        <v>240</v>
      </c>
      <c r="BT231" s="51" t="s">
        <v>17</v>
      </c>
    </row>
    <row r="232" spans="1:72" x14ac:dyDescent="0.25">
      <c r="B232" s="243" t="str">
        <f t="shared" si="230"/>
        <v>Small C&amp;I</v>
      </c>
      <c r="C232" s="243" t="str">
        <f t="shared" si="230"/>
        <v>Bills</v>
      </c>
      <c r="D232" s="244" t="str">
        <f t="shared" si="230"/>
        <v>Bills after DSM Scenario</v>
      </c>
      <c r="E232" s="84" t="str">
        <f>'EE Inputs'!$N$15&amp;" Participant Annual Bill"</f>
        <v>Low Savings Participant Annual Bill</v>
      </c>
      <c r="F232" s="84" t="s">
        <v>32</v>
      </c>
      <c r="G232" s="103">
        <f ca="1">G222+(G223-G227)*(G215-G214)</f>
        <v>2837.3914252571039</v>
      </c>
      <c r="H232" s="103">
        <f ca="1">H222+(H223-H227)*(H215-H214)</f>
        <v>2861.0574784823184</v>
      </c>
      <c r="I232" s="103">
        <f t="shared" ref="I232:AG232" ca="1" si="244">I222+(I223-I227)*(I215-I214)</f>
        <v>2890.5999006696929</v>
      </c>
      <c r="J232" s="103">
        <f t="shared" ca="1" si="244"/>
        <v>2595.9168842596337</v>
      </c>
      <c r="K232" s="103">
        <f t="shared" ca="1" si="244"/>
        <v>2595.9168842596337</v>
      </c>
      <c r="L232" s="103">
        <f t="shared" ca="1" si="244"/>
        <v>2595.9168842596337</v>
      </c>
      <c r="M232" s="103">
        <f t="shared" ca="1" si="244"/>
        <v>2595.9168842596337</v>
      </c>
      <c r="N232" s="103">
        <f t="shared" ca="1" si="244"/>
        <v>2595.9168842596337</v>
      </c>
      <c r="O232" s="103">
        <f t="shared" ca="1" si="244"/>
        <v>2595.9168842596337</v>
      </c>
      <c r="P232" s="103">
        <f t="shared" ca="1" si="244"/>
        <v>2595.9168842596337</v>
      </c>
      <c r="Q232" s="103">
        <f t="shared" ca="1" si="244"/>
        <v>2595.9168842596337</v>
      </c>
      <c r="R232" s="103">
        <f t="shared" ca="1" si="244"/>
        <v>2595.9168842596337</v>
      </c>
      <c r="S232" s="103">
        <f t="shared" ca="1" si="244"/>
        <v>2595.9168842596337</v>
      </c>
      <c r="T232" s="103">
        <f t="shared" ca="1" si="244"/>
        <v>2595.9168842596337</v>
      </c>
      <c r="U232" s="103">
        <f t="shared" ca="1" si="244"/>
        <v>2595.9168842596337</v>
      </c>
      <c r="V232" s="103">
        <f t="shared" ca="1" si="244"/>
        <v>2595.9168842596337</v>
      </c>
      <c r="W232" s="103">
        <f t="shared" ca="1" si="244"/>
        <v>2685.5288438565603</v>
      </c>
      <c r="X232" s="103">
        <f t="shared" ca="1" si="244"/>
        <v>2673.8971082943617</v>
      </c>
      <c r="Y232" s="103">
        <f t="shared" ca="1" si="244"/>
        <v>2662.1510455613457</v>
      </c>
      <c r="Z232" s="103">
        <f t="shared" ca="1" si="244"/>
        <v>2662.1510455613457</v>
      </c>
      <c r="AA232" s="103">
        <f t="shared" ca="1" si="244"/>
        <v>2662.1510455613457</v>
      </c>
      <c r="AB232" s="103">
        <f t="shared" ca="1" si="244"/>
        <v>2662.1510455613457</v>
      </c>
      <c r="AC232" s="103">
        <f t="shared" ca="1" si="244"/>
        <v>2662.1510455613457</v>
      </c>
      <c r="AD232" s="103">
        <f t="shared" ca="1" si="244"/>
        <v>2662.1510455613457</v>
      </c>
      <c r="AE232" s="103">
        <f t="shared" ca="1" si="244"/>
        <v>2662.1510455613457</v>
      </c>
      <c r="AF232" s="103">
        <f t="shared" ca="1" si="244"/>
        <v>2662.1510455613457</v>
      </c>
      <c r="AG232" s="103">
        <f t="shared" ca="1" si="244"/>
        <v>2662.1510455613457</v>
      </c>
      <c r="AH232" s="103"/>
      <c r="AI232" s="103"/>
      <c r="AJ232" s="103">
        <f ca="1">IF($C$4=Year1,-PMT(Lookups!$E$17,25,NPV(Lookups!$E$17,G232:AE232),0,1),IF($C$4=Year2,-PMT(Lookups!$F$17,25,NPV(Lookups!$F$17,H232:AF232),0,1),IF($C$4=Year3,-PMT(Lookups!$G$17,25,NPV(Lookups!$G$17,I232:AG232),0,1),-PMT(Lookups!$G$17,27,NPV(Lookups!$G$17,G232:AG232),0,1))))</f>
        <v>2618.9905409104858</v>
      </c>
      <c r="AM232" s="149">
        <f ca="1">AM222+(AM223-AM227)*(AM215-AM214)</f>
        <v>2868.4272317690993</v>
      </c>
      <c r="AN232" s="149">
        <f t="shared" ref="AN232:BM232" ca="1" si="245">AN222+(AN223-AN227)*(AN215-AN214)</f>
        <v>2895.9952499206938</v>
      </c>
      <c r="AO232" s="149">
        <f t="shared" ca="1" si="245"/>
        <v>2930.5684991906928</v>
      </c>
      <c r="AP232" s="149">
        <f t="shared" ca="1" si="245"/>
        <v>2580.6711912848541</v>
      </c>
      <c r="AQ232" s="149">
        <f t="shared" ca="1" si="245"/>
        <v>2580.6711912848541</v>
      </c>
      <c r="AR232" s="149">
        <f t="shared" ca="1" si="245"/>
        <v>2580.6711912848541</v>
      </c>
      <c r="AS232" s="149">
        <f t="shared" ca="1" si="245"/>
        <v>2580.6711912848541</v>
      </c>
      <c r="AT232" s="149">
        <f t="shared" ca="1" si="245"/>
        <v>2580.6711912848541</v>
      </c>
      <c r="AU232" s="149">
        <f t="shared" ca="1" si="245"/>
        <v>2580.6711912848541</v>
      </c>
      <c r="AV232" s="149">
        <f t="shared" ca="1" si="245"/>
        <v>2580.6711912848541</v>
      </c>
      <c r="AW232" s="149">
        <f t="shared" ca="1" si="245"/>
        <v>2580.6711912848541</v>
      </c>
      <c r="AX232" s="149">
        <f t="shared" ca="1" si="245"/>
        <v>2580.6711912848541</v>
      </c>
      <c r="AY232" s="149">
        <f t="shared" ca="1" si="245"/>
        <v>2580.6711912848541</v>
      </c>
      <c r="AZ232" s="149">
        <f t="shared" ca="1" si="245"/>
        <v>2580.6711912848541</v>
      </c>
      <c r="BA232" s="149">
        <f t="shared" ca="1" si="245"/>
        <v>2580.6711912848541</v>
      </c>
      <c r="BB232" s="149">
        <f t="shared" ca="1" si="245"/>
        <v>2580.6711912848541</v>
      </c>
      <c r="BC232" s="149">
        <f t="shared" ca="1" si="245"/>
        <v>2689.0063777080245</v>
      </c>
      <c r="BD232" s="149">
        <f t="shared" ca="1" si="245"/>
        <v>2675.6098257935064</v>
      </c>
      <c r="BE232" s="149">
        <f t="shared" ca="1" si="245"/>
        <v>2662.1510455613457</v>
      </c>
      <c r="BF232" s="149">
        <f t="shared" ca="1" si="245"/>
        <v>2662.1510455613457</v>
      </c>
      <c r="BG232" s="149">
        <f t="shared" ca="1" si="245"/>
        <v>2662.1510455613457</v>
      </c>
      <c r="BH232" s="149">
        <f t="shared" ca="1" si="245"/>
        <v>2662.1510455613457</v>
      </c>
      <c r="BI232" s="149">
        <f t="shared" ca="1" si="245"/>
        <v>2662.1510455613457</v>
      </c>
      <c r="BJ232" s="149">
        <f t="shared" ca="1" si="245"/>
        <v>2662.1510455613457</v>
      </c>
      <c r="BK232" s="149">
        <f t="shared" ca="1" si="245"/>
        <v>2662.1510455613457</v>
      </c>
      <c r="BL232" s="149">
        <f t="shared" ca="1" si="245"/>
        <v>2662.1510455613457</v>
      </c>
      <c r="BM232" s="149">
        <f t="shared" ca="1" si="245"/>
        <v>2662.1510455613457</v>
      </c>
      <c r="BN232" s="149"/>
      <c r="BO232" s="149"/>
      <c r="BP232" s="149">
        <f ca="1">IF($C$4=Year1,-PMT(Lookups!$E$17,25,NPV(Lookups!$E$17,AM232:BK232),0,1),IF($C$4=Year2,-PMT(Lookups!$F$17,25,NPV(Lookups!$F$17,AN232:BL232),0,1),IF($C$4=Year3,-PMT(Lookups!$G$17,25,NPV(Lookups!$G$17,AO232:BM232),0,1),-PMT(Lookups!$G$17,27,NPV(Lookups!$G$17,AM232:BM232),0,1))))</f>
        <v>2616.0959901584451</v>
      </c>
      <c r="BS232" s="84" t="s">
        <v>240</v>
      </c>
      <c r="BT232" s="51" t="s">
        <v>17</v>
      </c>
    </row>
    <row r="233" spans="1:72" x14ac:dyDescent="0.25">
      <c r="B233" s="243" t="str">
        <f t="shared" ref="B233:D243" si="246">B232</f>
        <v>Small C&amp;I</v>
      </c>
      <c r="C233" s="243" t="str">
        <f t="shared" si="246"/>
        <v>Bills</v>
      </c>
      <c r="D233" s="244" t="str">
        <f t="shared" si="246"/>
        <v>Bills after DSM Scenario</v>
      </c>
      <c r="E233" s="84" t="str">
        <f>'EE Inputs'!$N$16&amp;" Participant Annual Bill"</f>
        <v>High Savings Participant Annual Bill</v>
      </c>
      <c r="F233" s="84" t="s">
        <v>32</v>
      </c>
      <c r="G233" s="103">
        <f ca="1">G222+(G223-G228)*(G215-G214)</f>
        <v>2723.6508239277828</v>
      </c>
      <c r="H233" s="103">
        <f ca="1">H222+(H223-H228)*(H215-H214)</f>
        <v>2746.0712954043011</v>
      </c>
      <c r="I233" s="103">
        <f t="shared" ref="I233:AG233" ca="1" si="247">I222+(I223-I228)*(I215-I214)</f>
        <v>2774.058853266024</v>
      </c>
      <c r="J233" s="103">
        <f t="shared" ca="1" si="247"/>
        <v>2494.8854692986001</v>
      </c>
      <c r="K233" s="103">
        <f t="shared" ca="1" si="247"/>
        <v>2494.8854692986001</v>
      </c>
      <c r="L233" s="103">
        <f t="shared" ca="1" si="247"/>
        <v>2494.8854692986001</v>
      </c>
      <c r="M233" s="103">
        <f t="shared" ca="1" si="247"/>
        <v>2494.8854692986001</v>
      </c>
      <c r="N233" s="103">
        <f t="shared" ca="1" si="247"/>
        <v>2494.8854692986001</v>
      </c>
      <c r="O233" s="103">
        <f t="shared" ca="1" si="247"/>
        <v>2494.8854692986001</v>
      </c>
      <c r="P233" s="103">
        <f t="shared" ca="1" si="247"/>
        <v>2494.8854692986001</v>
      </c>
      <c r="Q233" s="103">
        <f t="shared" ca="1" si="247"/>
        <v>2494.8854692986001</v>
      </c>
      <c r="R233" s="103">
        <f t="shared" ca="1" si="247"/>
        <v>2494.8854692986001</v>
      </c>
      <c r="S233" s="103">
        <f t="shared" ca="1" si="247"/>
        <v>2494.8854692986001</v>
      </c>
      <c r="T233" s="103">
        <f t="shared" ca="1" si="247"/>
        <v>2494.8854692986001</v>
      </c>
      <c r="U233" s="103">
        <f t="shared" ca="1" si="247"/>
        <v>2494.8854692986001</v>
      </c>
      <c r="V233" s="103">
        <f t="shared" ca="1" si="247"/>
        <v>2494.8854692986001</v>
      </c>
      <c r="W233" s="103">
        <f t="shared" ca="1" si="247"/>
        <v>2685.5288438565603</v>
      </c>
      <c r="X233" s="103">
        <f t="shared" ca="1" si="247"/>
        <v>2673.8971082943617</v>
      </c>
      <c r="Y233" s="103">
        <f t="shared" ca="1" si="247"/>
        <v>2662.1510455613457</v>
      </c>
      <c r="Z233" s="103">
        <f t="shared" ca="1" si="247"/>
        <v>2662.1510455613457</v>
      </c>
      <c r="AA233" s="103">
        <f t="shared" ca="1" si="247"/>
        <v>2662.1510455613457</v>
      </c>
      <c r="AB233" s="103">
        <f t="shared" ca="1" si="247"/>
        <v>2662.1510455613457</v>
      </c>
      <c r="AC233" s="103">
        <f t="shared" ca="1" si="247"/>
        <v>2662.1510455613457</v>
      </c>
      <c r="AD233" s="103">
        <f t="shared" ca="1" si="247"/>
        <v>2662.1510455613457</v>
      </c>
      <c r="AE233" s="103">
        <f t="shared" ca="1" si="247"/>
        <v>2662.1510455613457</v>
      </c>
      <c r="AF233" s="103">
        <f t="shared" ca="1" si="247"/>
        <v>2662.1510455613457</v>
      </c>
      <c r="AG233" s="103">
        <f t="shared" ca="1" si="247"/>
        <v>2662.1510455613457</v>
      </c>
      <c r="AH233" s="103"/>
      <c r="AI233" s="103"/>
      <c r="AJ233" s="103">
        <f ca="1">IF($C$4=Year1,-PMT(Lookups!$E$17,25,NPV(Lookups!$E$17,G233:AE233),0,1),IF($C$4=Year2,-PMT(Lookups!$F$17,25,NPV(Lookups!$F$17,H233:AF233),0,1),IF($C$4=Year3,-PMT(Lookups!$G$17,25,NPV(Lookups!$G$17,I233:AG233),0,1),-PMT(Lookups!$G$17,27,NPV(Lookups!$G$17,G233:AG233),0,1))))</f>
        <v>2553.6505526651526</v>
      </c>
      <c r="AM233" s="149">
        <f ca="1">AM222+(AM223-AM228)*(AM215-AM214)</f>
        <v>2728.5054935710714</v>
      </c>
      <c r="AN233" s="149">
        <f t="shared" ref="AN233:BM233" ca="1" si="248">AN222+(AN223-AN228)*(AN215-AN214)</f>
        <v>2754.3138509895862</v>
      </c>
      <c r="AO233" s="149">
        <f t="shared" ca="1" si="248"/>
        <v>2786.6802971146908</v>
      </c>
      <c r="AP233" s="149">
        <f t="shared" ca="1" si="248"/>
        <v>2459.1168599262464</v>
      </c>
      <c r="AQ233" s="149">
        <f t="shared" ca="1" si="248"/>
        <v>2459.1168599262464</v>
      </c>
      <c r="AR233" s="149">
        <f t="shared" ca="1" si="248"/>
        <v>2459.1168599262464</v>
      </c>
      <c r="AS233" s="149">
        <f t="shared" ca="1" si="248"/>
        <v>2459.1168599262464</v>
      </c>
      <c r="AT233" s="149">
        <f t="shared" ca="1" si="248"/>
        <v>2459.1168599262464</v>
      </c>
      <c r="AU233" s="149">
        <f t="shared" ca="1" si="248"/>
        <v>2459.1168599262464</v>
      </c>
      <c r="AV233" s="149">
        <f t="shared" ca="1" si="248"/>
        <v>2459.1168599262464</v>
      </c>
      <c r="AW233" s="149">
        <f t="shared" ca="1" si="248"/>
        <v>2459.1168599262464</v>
      </c>
      <c r="AX233" s="149">
        <f t="shared" ca="1" si="248"/>
        <v>2459.1168599262464</v>
      </c>
      <c r="AY233" s="149">
        <f t="shared" ca="1" si="248"/>
        <v>2459.1168599262464</v>
      </c>
      <c r="AZ233" s="149">
        <f t="shared" ca="1" si="248"/>
        <v>2459.1168599262464</v>
      </c>
      <c r="BA233" s="149">
        <f t="shared" ca="1" si="248"/>
        <v>2459.1168599262464</v>
      </c>
      <c r="BB233" s="149">
        <f t="shared" ca="1" si="248"/>
        <v>2459.1168599262464</v>
      </c>
      <c r="BC233" s="149">
        <f t="shared" ca="1" si="248"/>
        <v>2689.0063777080245</v>
      </c>
      <c r="BD233" s="149">
        <f t="shared" ca="1" si="248"/>
        <v>2675.6098257935064</v>
      </c>
      <c r="BE233" s="149">
        <f t="shared" ca="1" si="248"/>
        <v>2662.1510455613457</v>
      </c>
      <c r="BF233" s="149">
        <f t="shared" ca="1" si="248"/>
        <v>2662.1510455613457</v>
      </c>
      <c r="BG233" s="149">
        <f t="shared" ca="1" si="248"/>
        <v>2662.1510455613457</v>
      </c>
      <c r="BH233" s="149">
        <f t="shared" ca="1" si="248"/>
        <v>2662.1510455613457</v>
      </c>
      <c r="BI233" s="149">
        <f t="shared" ca="1" si="248"/>
        <v>2662.1510455613457</v>
      </c>
      <c r="BJ233" s="149">
        <f t="shared" ca="1" si="248"/>
        <v>2662.1510455613457</v>
      </c>
      <c r="BK233" s="149">
        <f t="shared" ca="1" si="248"/>
        <v>2662.1510455613457</v>
      </c>
      <c r="BL233" s="149">
        <f t="shared" ca="1" si="248"/>
        <v>2662.1510455613457</v>
      </c>
      <c r="BM233" s="149">
        <f t="shared" ca="1" si="248"/>
        <v>2662.1510455613457</v>
      </c>
      <c r="BN233" s="149"/>
      <c r="BO233" s="149"/>
      <c r="BP233" s="149">
        <f ca="1">IF($C$4=Year1,-PMT(Lookups!$E$17,25,NPV(Lookups!$E$17,AM233:BK233),0,1),IF($C$4=Year2,-PMT(Lookups!$F$17,25,NPV(Lookups!$F$17,AN233:BL233),0,1),IF($C$4=Year3,-PMT(Lookups!$G$17,25,NPV(Lookups!$G$17,AO233:BM233),0,1),-PMT(Lookups!$G$17,27,NPV(Lookups!$G$17,AM233:BM233),0,1))))</f>
        <v>2537.0501129025934</v>
      </c>
      <c r="BS233" s="84" t="s">
        <v>240</v>
      </c>
      <c r="BT233" s="51" t="s">
        <v>17</v>
      </c>
    </row>
    <row r="234" spans="1:72" x14ac:dyDescent="0.25">
      <c r="B234" s="243" t="str">
        <f t="shared" si="246"/>
        <v>Small C&amp;I</v>
      </c>
      <c r="C234" s="243" t="str">
        <f t="shared" si="246"/>
        <v>Bills</v>
      </c>
      <c r="D234" s="114" t="s">
        <v>115</v>
      </c>
      <c r="E234" s="84"/>
      <c r="F234" s="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49"/>
      <c r="AI234" s="184"/>
      <c r="AJ234" s="49"/>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S234" s="84"/>
      <c r="BT234" s="51" t="s">
        <v>17</v>
      </c>
    </row>
    <row r="235" spans="1:72" x14ac:dyDescent="0.25">
      <c r="B235" s="243" t="str">
        <f t="shared" si="246"/>
        <v>Small C&amp;I</v>
      </c>
      <c r="C235" s="243" t="str">
        <f t="shared" si="246"/>
        <v>Bills</v>
      </c>
      <c r="D235" s="244" t="str">
        <f t="shared" si="246"/>
        <v>Change in Bills</v>
      </c>
      <c r="E235" s="84" t="s">
        <v>348</v>
      </c>
      <c r="F235" s="84" t="s">
        <v>32</v>
      </c>
      <c r="G235" s="103">
        <f ca="1">G230-G224</f>
        <v>288.98098102507947</v>
      </c>
      <c r="H235" s="103">
        <f t="shared" ref="H235:AG235" ca="1" si="249">H230-H224</f>
        <v>313.89261599898919</v>
      </c>
      <c r="I235" s="103">
        <f t="shared" ca="1" si="249"/>
        <v>344.98990251201531</v>
      </c>
      <c r="J235" s="103">
        <f t="shared" ca="1" si="249"/>
        <v>34.797253659321086</v>
      </c>
      <c r="K235" s="103">
        <f t="shared" ca="1" si="249"/>
        <v>34.797253659321086</v>
      </c>
      <c r="L235" s="103">
        <f t="shared" ca="1" si="249"/>
        <v>34.797253659321086</v>
      </c>
      <c r="M235" s="103">
        <f t="shared" ca="1" si="249"/>
        <v>34.797253659321086</v>
      </c>
      <c r="N235" s="103">
        <f t="shared" ca="1" si="249"/>
        <v>34.797253659321086</v>
      </c>
      <c r="O235" s="103">
        <f t="shared" ca="1" si="249"/>
        <v>34.797253659321086</v>
      </c>
      <c r="P235" s="103">
        <f t="shared" ca="1" si="249"/>
        <v>34.797253659321086</v>
      </c>
      <c r="Q235" s="103">
        <f t="shared" ca="1" si="249"/>
        <v>34.797253659321086</v>
      </c>
      <c r="R235" s="103">
        <f t="shared" ca="1" si="249"/>
        <v>34.797253659321086</v>
      </c>
      <c r="S235" s="103">
        <f t="shared" ca="1" si="249"/>
        <v>34.797253659321086</v>
      </c>
      <c r="T235" s="103">
        <f t="shared" ca="1" si="249"/>
        <v>34.797253659321086</v>
      </c>
      <c r="U235" s="103">
        <f t="shared" ca="1" si="249"/>
        <v>34.797253659321086</v>
      </c>
      <c r="V235" s="103">
        <f t="shared" ca="1" si="249"/>
        <v>34.797253659321086</v>
      </c>
      <c r="W235" s="103">
        <f t="shared" ca="1" si="249"/>
        <v>23.377798295214689</v>
      </c>
      <c r="X235" s="103">
        <f t="shared" ca="1" si="249"/>
        <v>11.746062733016061</v>
      </c>
      <c r="Y235" s="103">
        <f t="shared" ca="1" si="249"/>
        <v>0</v>
      </c>
      <c r="Z235" s="103">
        <f t="shared" ca="1" si="249"/>
        <v>0</v>
      </c>
      <c r="AA235" s="103">
        <f t="shared" ca="1" si="249"/>
        <v>0</v>
      </c>
      <c r="AB235" s="103">
        <f t="shared" ca="1" si="249"/>
        <v>0</v>
      </c>
      <c r="AC235" s="103">
        <f t="shared" ca="1" si="249"/>
        <v>0</v>
      </c>
      <c r="AD235" s="103">
        <f t="shared" ca="1" si="249"/>
        <v>0</v>
      </c>
      <c r="AE235" s="103">
        <f t="shared" ca="1" si="249"/>
        <v>0</v>
      </c>
      <c r="AF235" s="103">
        <f t="shared" ca="1" si="249"/>
        <v>0</v>
      </c>
      <c r="AG235" s="103">
        <f t="shared" ca="1" si="249"/>
        <v>0</v>
      </c>
      <c r="AH235" s="103"/>
      <c r="AI235" s="103">
        <f ca="1">NPV(Lookups!$E$17,G235:AG235)</f>
        <v>1342.0722651005351</v>
      </c>
      <c r="AJ235" s="103">
        <f ca="1">IF($C$4=Year1,-PMT(Lookups!$E$17,25,NPV(Lookups!$E$17,G235:AE235),0,1),IF($C$4=Year2,-PMT(Lookups!$F$17,25,NPV(Lookups!$F$17,H235:AF235),0,1),IF($C$4=Year3,-PMT(Lookups!$G$17,25,NPV(Lookups!$G$17,I235:AG235),0,1),-PMT(Lookups!$G$17,27,NPV(Lookups!$G$17,G235:AG235),0,1))))</f>
        <v>59.30778873353669</v>
      </c>
      <c r="AM235" s="149">
        <f ca="1">AM230-AM224</f>
        <v>346.19792440578158</v>
      </c>
      <c r="AN235" s="149">
        <f t="shared" ref="AN235:BM235" ca="1" si="250">AN230-AN224</f>
        <v>375.52560329045673</v>
      </c>
      <c r="AO235" s="149">
        <f t="shared" ca="1" si="250"/>
        <v>412.30565570534827</v>
      </c>
      <c r="AP235" s="149">
        <f t="shared" ca="1" si="250"/>
        <v>40.074477082116118</v>
      </c>
      <c r="AQ235" s="149">
        <f t="shared" ca="1" si="250"/>
        <v>40.074477082116118</v>
      </c>
      <c r="AR235" s="149">
        <f t="shared" ca="1" si="250"/>
        <v>40.074477082116118</v>
      </c>
      <c r="AS235" s="149">
        <f t="shared" ca="1" si="250"/>
        <v>40.074477082116118</v>
      </c>
      <c r="AT235" s="149">
        <f t="shared" ca="1" si="250"/>
        <v>40.074477082116118</v>
      </c>
      <c r="AU235" s="149">
        <f t="shared" ca="1" si="250"/>
        <v>40.074477082116118</v>
      </c>
      <c r="AV235" s="149">
        <f t="shared" ca="1" si="250"/>
        <v>40.074477082116118</v>
      </c>
      <c r="AW235" s="149">
        <f t="shared" ca="1" si="250"/>
        <v>40.074477082116118</v>
      </c>
      <c r="AX235" s="149">
        <f t="shared" ca="1" si="250"/>
        <v>40.074477082116118</v>
      </c>
      <c r="AY235" s="149">
        <f t="shared" ca="1" si="250"/>
        <v>40.074477082116118</v>
      </c>
      <c r="AZ235" s="149">
        <f t="shared" ca="1" si="250"/>
        <v>40.074477082116118</v>
      </c>
      <c r="BA235" s="149">
        <f t="shared" ca="1" si="250"/>
        <v>40.074477082116118</v>
      </c>
      <c r="BB235" s="149">
        <f t="shared" ca="1" si="250"/>
        <v>40.074477082116118</v>
      </c>
      <c r="BC235" s="149">
        <f t="shared" ca="1" si="250"/>
        <v>26.855332146678847</v>
      </c>
      <c r="BD235" s="149">
        <f t="shared" ca="1" si="250"/>
        <v>13.458780232160734</v>
      </c>
      <c r="BE235" s="149">
        <f t="shared" ca="1" si="250"/>
        <v>0</v>
      </c>
      <c r="BF235" s="149">
        <f t="shared" ca="1" si="250"/>
        <v>0</v>
      </c>
      <c r="BG235" s="149">
        <f t="shared" ca="1" si="250"/>
        <v>0</v>
      </c>
      <c r="BH235" s="149">
        <f t="shared" ca="1" si="250"/>
        <v>0</v>
      </c>
      <c r="BI235" s="149">
        <f t="shared" ca="1" si="250"/>
        <v>0</v>
      </c>
      <c r="BJ235" s="149">
        <f t="shared" ca="1" si="250"/>
        <v>0</v>
      </c>
      <c r="BK235" s="149">
        <f t="shared" ca="1" si="250"/>
        <v>0</v>
      </c>
      <c r="BL235" s="149">
        <f t="shared" ca="1" si="250"/>
        <v>0</v>
      </c>
      <c r="BM235" s="149">
        <f t="shared" ca="1" si="250"/>
        <v>0</v>
      </c>
      <c r="BN235" s="149"/>
      <c r="BO235" s="726">
        <f ca="1">NPV(Lookups!$E$17,AM235:BM235)</f>
        <v>1586.7213665956831</v>
      </c>
      <c r="BP235" s="149">
        <f ca="1">IF($C$4=Year1,-PMT(Lookups!$E$17,25,NPV(Lookups!$E$17,AM235:BK235),0,1),IF($C$4=Year2,-PMT(Lookups!$F$17,25,NPV(Lookups!$F$17,AN235:BL235),0,1),IF($C$4=Year3,-PMT(Lookups!$G$17,25,NPV(Lookups!$G$17,AO235:BM235),0,1),-PMT(Lookups!$G$17,27,NPV(Lookups!$G$17,AM235:BM235),0,1))))</f>
        <v>70.119126992014813</v>
      </c>
      <c r="BS235" s="84" t="s">
        <v>241</v>
      </c>
      <c r="BT235" s="51" t="s">
        <v>17</v>
      </c>
    </row>
    <row r="236" spans="1:72" x14ac:dyDescent="0.25">
      <c r="B236" s="243" t="str">
        <f t="shared" si="246"/>
        <v>Small C&amp;I</v>
      </c>
      <c r="C236" s="243" t="str">
        <f t="shared" si="246"/>
        <v>Bills</v>
      </c>
      <c r="D236" s="244" t="str">
        <f t="shared" si="246"/>
        <v>Change in Bills</v>
      </c>
      <c r="E236" s="84" t="s">
        <v>348</v>
      </c>
      <c r="F236" s="84" t="s">
        <v>16</v>
      </c>
      <c r="G236" s="223">
        <f ca="1">IFERROR(G230/G224-1,0)</f>
        <v>0.10855168473888921</v>
      </c>
      <c r="H236" s="223">
        <f t="shared" ref="H236:AG236" ca="1" si="251">IFERROR(H230/H224-1,0)</f>
        <v>0.11790939380481369</v>
      </c>
      <c r="I236" s="223">
        <f t="shared" ca="1" si="251"/>
        <v>0.1295906568063534</v>
      </c>
      <c r="J236" s="223">
        <f t="shared" ca="1" si="251"/>
        <v>1.3071104179959825E-2</v>
      </c>
      <c r="K236" s="223">
        <f t="shared" ca="1" si="251"/>
        <v>1.3071104179959825E-2</v>
      </c>
      <c r="L236" s="223">
        <f t="shared" ca="1" si="251"/>
        <v>1.3071104179959825E-2</v>
      </c>
      <c r="M236" s="223">
        <f t="shared" ca="1" si="251"/>
        <v>1.3071104179959825E-2</v>
      </c>
      <c r="N236" s="223">
        <f t="shared" ca="1" si="251"/>
        <v>1.3071104179959825E-2</v>
      </c>
      <c r="O236" s="223">
        <f t="shared" ca="1" si="251"/>
        <v>1.3071104179959825E-2</v>
      </c>
      <c r="P236" s="223">
        <f t="shared" ca="1" si="251"/>
        <v>1.3071104179959825E-2</v>
      </c>
      <c r="Q236" s="223">
        <f t="shared" ca="1" si="251"/>
        <v>1.3071104179959825E-2</v>
      </c>
      <c r="R236" s="223">
        <f t="shared" ca="1" si="251"/>
        <v>1.3071104179959825E-2</v>
      </c>
      <c r="S236" s="224">
        <f t="shared" ca="1" si="251"/>
        <v>1.3071104179959825E-2</v>
      </c>
      <c r="T236" s="224">
        <f t="shared" ca="1" si="251"/>
        <v>1.3071104179959825E-2</v>
      </c>
      <c r="U236" s="224">
        <f t="shared" ca="1" si="251"/>
        <v>1.3071104179959825E-2</v>
      </c>
      <c r="V236" s="224">
        <f t="shared" ca="1" si="251"/>
        <v>1.3071104179959825E-2</v>
      </c>
      <c r="W236" s="224">
        <f t="shared" ca="1" si="251"/>
        <v>8.7815446588550561E-3</v>
      </c>
      <c r="X236" s="224">
        <f t="shared" ca="1" si="251"/>
        <v>4.412245034931539E-3</v>
      </c>
      <c r="Y236" s="224">
        <f t="shared" ca="1" si="251"/>
        <v>0</v>
      </c>
      <c r="Z236" s="224">
        <f t="shared" ca="1" si="251"/>
        <v>0</v>
      </c>
      <c r="AA236" s="224">
        <f t="shared" ca="1" si="251"/>
        <v>0</v>
      </c>
      <c r="AB236" s="224">
        <f t="shared" ca="1" si="251"/>
        <v>0</v>
      </c>
      <c r="AC236" s="224">
        <f t="shared" ca="1" si="251"/>
        <v>0</v>
      </c>
      <c r="AD236" s="224">
        <f t="shared" ca="1" si="251"/>
        <v>0</v>
      </c>
      <c r="AE236" s="224">
        <f t="shared" ca="1" si="251"/>
        <v>0</v>
      </c>
      <c r="AF236" s="224">
        <f t="shared" ca="1" si="251"/>
        <v>0</v>
      </c>
      <c r="AG236" s="224">
        <f t="shared" ca="1" si="251"/>
        <v>0</v>
      </c>
      <c r="AH236" s="224"/>
      <c r="AI236" s="224"/>
      <c r="AJ236" s="224">
        <f t="shared" ref="AJ236" ca="1" si="252">IFERROR(AJ230/AJ224-1,0)</f>
        <v>2.2593247601350619E-2</v>
      </c>
      <c r="AK236" s="212"/>
      <c r="AL236" s="212"/>
      <c r="AM236" s="504">
        <f ca="1">IFERROR(AM230/AM224-1,0)</f>
        <v>0.13004443342274064</v>
      </c>
      <c r="AN236" s="504">
        <f t="shared" ref="AN236:BM236" ca="1" si="253">IFERROR(AN230/AN224-1,0)</f>
        <v>0.14106096794040957</v>
      </c>
      <c r="AO236" s="504">
        <f t="shared" ca="1" si="253"/>
        <v>0.15487688288491119</v>
      </c>
      <c r="AP236" s="504">
        <f t="shared" ca="1" si="253"/>
        <v>1.5053419733239037E-2</v>
      </c>
      <c r="AQ236" s="504">
        <f t="shared" ca="1" si="253"/>
        <v>1.5053419733239037E-2</v>
      </c>
      <c r="AR236" s="504">
        <f t="shared" ca="1" si="253"/>
        <v>1.5053419733239037E-2</v>
      </c>
      <c r="AS236" s="504">
        <f t="shared" ca="1" si="253"/>
        <v>1.5053419733239037E-2</v>
      </c>
      <c r="AT236" s="504">
        <f t="shared" ca="1" si="253"/>
        <v>1.5053419733239037E-2</v>
      </c>
      <c r="AU236" s="504">
        <f t="shared" ca="1" si="253"/>
        <v>1.5053419733239037E-2</v>
      </c>
      <c r="AV236" s="504">
        <f t="shared" ca="1" si="253"/>
        <v>1.5053419733239037E-2</v>
      </c>
      <c r="AW236" s="504">
        <f t="shared" ca="1" si="253"/>
        <v>1.5053419733239037E-2</v>
      </c>
      <c r="AX236" s="504">
        <f t="shared" ca="1" si="253"/>
        <v>1.5053419733239037E-2</v>
      </c>
      <c r="AY236" s="504">
        <f t="shared" ca="1" si="253"/>
        <v>1.5053419733239037E-2</v>
      </c>
      <c r="AZ236" s="504">
        <f t="shared" ca="1" si="253"/>
        <v>1.5053419733239037E-2</v>
      </c>
      <c r="BA236" s="504">
        <f t="shared" ca="1" si="253"/>
        <v>1.5053419733239037E-2</v>
      </c>
      <c r="BB236" s="504">
        <f t="shared" ca="1" si="253"/>
        <v>1.5053419733239037E-2</v>
      </c>
      <c r="BC236" s="504">
        <f t="shared" ca="1" si="253"/>
        <v>1.0087831864933117E-2</v>
      </c>
      <c r="BD236" s="504">
        <f t="shared" ca="1" si="253"/>
        <v>5.0556035333160221E-3</v>
      </c>
      <c r="BE236" s="504">
        <f t="shared" ca="1" si="253"/>
        <v>0</v>
      </c>
      <c r="BF236" s="504">
        <f t="shared" ca="1" si="253"/>
        <v>0</v>
      </c>
      <c r="BG236" s="504">
        <f t="shared" ca="1" si="253"/>
        <v>0</v>
      </c>
      <c r="BH236" s="504">
        <f t="shared" ca="1" si="253"/>
        <v>0</v>
      </c>
      <c r="BI236" s="504">
        <f t="shared" ca="1" si="253"/>
        <v>0</v>
      </c>
      <c r="BJ236" s="504">
        <f t="shared" ca="1" si="253"/>
        <v>0</v>
      </c>
      <c r="BK236" s="504">
        <f t="shared" ca="1" si="253"/>
        <v>0</v>
      </c>
      <c r="BL236" s="504">
        <f t="shared" ca="1" si="253"/>
        <v>0</v>
      </c>
      <c r="BM236" s="504">
        <f t="shared" ca="1" si="253"/>
        <v>0</v>
      </c>
      <c r="BN236" s="504"/>
      <c r="BO236" s="504"/>
      <c r="BP236" s="504">
        <f t="shared" ref="BP236" ca="1" si="254">IFERROR(BP230/BP224-1,0)</f>
        <v>2.6711816972958768E-2</v>
      </c>
      <c r="BS236" s="84" t="s">
        <v>242</v>
      </c>
      <c r="BT236" s="51" t="s">
        <v>17</v>
      </c>
    </row>
    <row r="237" spans="1:72" x14ac:dyDescent="0.25">
      <c r="B237" s="243" t="str">
        <f t="shared" si="246"/>
        <v>Small C&amp;I</v>
      </c>
      <c r="C237" s="243" t="str">
        <f t="shared" si="246"/>
        <v>Bills</v>
      </c>
      <c r="D237" s="244" t="str">
        <f t="shared" si="246"/>
        <v>Change in Bills</v>
      </c>
      <c r="E237" s="84" t="s">
        <v>349</v>
      </c>
      <c r="F237" s="84" t="s">
        <v>32</v>
      </c>
      <c r="G237" s="103">
        <f ca="1">G231-G224</f>
        <v>244.47478432340222</v>
      </c>
      <c r="H237" s="103">
        <f t="shared" ref="H237:AG237" ca="1" si="255">H231-H224</f>
        <v>221.47301602457128</v>
      </c>
      <c r="I237" s="103">
        <f t="shared" ca="1" si="255"/>
        <v>201.04354461216963</v>
      </c>
      <c r="J237" s="103">
        <f t="shared" ca="1" si="255"/>
        <v>-89.992290806802885</v>
      </c>
      <c r="K237" s="103">
        <f t="shared" ca="1" si="255"/>
        <v>-89.992290806802885</v>
      </c>
      <c r="L237" s="103">
        <f t="shared" ca="1" si="255"/>
        <v>-89.992290806802885</v>
      </c>
      <c r="M237" s="103">
        <f t="shared" ca="1" si="255"/>
        <v>-89.992290806802885</v>
      </c>
      <c r="N237" s="103">
        <f t="shared" ca="1" si="255"/>
        <v>-89.992290806802885</v>
      </c>
      <c r="O237" s="103">
        <f t="shared" ca="1" si="255"/>
        <v>-89.992290806802885</v>
      </c>
      <c r="P237" s="103">
        <f t="shared" ca="1" si="255"/>
        <v>-89.992290806802885</v>
      </c>
      <c r="Q237" s="103">
        <f t="shared" ca="1" si="255"/>
        <v>-89.992290806802885</v>
      </c>
      <c r="R237" s="103">
        <f t="shared" ca="1" si="255"/>
        <v>-89.992290806802885</v>
      </c>
      <c r="S237" s="103">
        <f t="shared" ca="1" si="255"/>
        <v>-89.992290806802885</v>
      </c>
      <c r="T237" s="103">
        <f t="shared" ca="1" si="255"/>
        <v>-89.992290806802885</v>
      </c>
      <c r="U237" s="103">
        <f t="shared" ca="1" si="255"/>
        <v>-89.992290806802885</v>
      </c>
      <c r="V237" s="103">
        <f t="shared" ca="1" si="255"/>
        <v>-89.992290806802885</v>
      </c>
      <c r="W237" s="103">
        <f t="shared" ca="1" si="255"/>
        <v>-61.396776928448617</v>
      </c>
      <c r="X237" s="103">
        <f t="shared" ca="1" si="255"/>
        <v>-31.342734126339565</v>
      </c>
      <c r="Y237" s="103">
        <f t="shared" ca="1" si="255"/>
        <v>0</v>
      </c>
      <c r="Z237" s="103">
        <f t="shared" ca="1" si="255"/>
        <v>0</v>
      </c>
      <c r="AA237" s="103">
        <f t="shared" ca="1" si="255"/>
        <v>0</v>
      </c>
      <c r="AB237" s="103">
        <f t="shared" ca="1" si="255"/>
        <v>0</v>
      </c>
      <c r="AC237" s="103">
        <f t="shared" ca="1" si="255"/>
        <v>0</v>
      </c>
      <c r="AD237" s="103">
        <f t="shared" ca="1" si="255"/>
        <v>0</v>
      </c>
      <c r="AE237" s="103">
        <f t="shared" ca="1" si="255"/>
        <v>0</v>
      </c>
      <c r="AF237" s="103">
        <f t="shared" ca="1" si="255"/>
        <v>0</v>
      </c>
      <c r="AG237" s="103">
        <f t="shared" ca="1" si="255"/>
        <v>0</v>
      </c>
      <c r="AH237" s="103"/>
      <c r="AI237" s="103">
        <f ca="1">NPV(Lookups!$E$17,G237:AG237)</f>
        <v>-441.55501779481142</v>
      </c>
      <c r="AJ237" s="103">
        <f ca="1">IF($C$4=Year1,-PMT(Lookups!$E$17,25,NPV(Lookups!$E$17,G237:AE237),0,1),IF($C$4=Year2,-PMT(Lookups!$F$17,25,NPV(Lookups!$F$17,H237:AF237),0,1),IF($C$4=Year3,-PMT(Lookups!$G$17,25,NPV(Lookups!$G$17,I237:AG237),0,1),-PMT(Lookups!$G$17,27,NPV(Lookups!$G$17,G237:AG237),0,1))))</f>
        <v>-19.512847698738476</v>
      </c>
      <c r="AM237" s="149">
        <f ca="1">AM231-AM224</f>
        <v>294.05434313986598</v>
      </c>
      <c r="AN237" s="149">
        <f t="shared" ref="AN237:BM237" ca="1" si="256">AN231-AN224</f>
        <v>267.07250494322989</v>
      </c>
      <c r="AO237" s="149">
        <f t="shared" ca="1" si="256"/>
        <v>243.04436398082589</v>
      </c>
      <c r="AP237" s="149">
        <f t="shared" ca="1" si="256"/>
        <v>-102.91461336187467</v>
      </c>
      <c r="AQ237" s="149">
        <f t="shared" ca="1" si="256"/>
        <v>-102.91461336187467</v>
      </c>
      <c r="AR237" s="149">
        <f t="shared" ca="1" si="256"/>
        <v>-102.91461336187467</v>
      </c>
      <c r="AS237" s="149">
        <f t="shared" ca="1" si="256"/>
        <v>-102.91461336187467</v>
      </c>
      <c r="AT237" s="149">
        <f t="shared" ca="1" si="256"/>
        <v>-102.91461336187467</v>
      </c>
      <c r="AU237" s="149">
        <f t="shared" ca="1" si="256"/>
        <v>-102.91461336187467</v>
      </c>
      <c r="AV237" s="149">
        <f t="shared" ca="1" si="256"/>
        <v>-102.91461336187467</v>
      </c>
      <c r="AW237" s="149">
        <f t="shared" ca="1" si="256"/>
        <v>-102.91461336187467</v>
      </c>
      <c r="AX237" s="149">
        <f t="shared" ca="1" si="256"/>
        <v>-102.91461336187467</v>
      </c>
      <c r="AY237" s="149">
        <f t="shared" ca="1" si="256"/>
        <v>-102.91461336187467</v>
      </c>
      <c r="AZ237" s="149">
        <f t="shared" ca="1" si="256"/>
        <v>-102.91461336187467</v>
      </c>
      <c r="BA237" s="149">
        <f t="shared" ca="1" si="256"/>
        <v>-102.91461336187467</v>
      </c>
      <c r="BB237" s="149">
        <f t="shared" ca="1" si="256"/>
        <v>-102.91461336187467</v>
      </c>
      <c r="BC237" s="149">
        <f t="shared" ca="1" si="256"/>
        <v>-70.197585402213463</v>
      </c>
      <c r="BD237" s="149">
        <f t="shared" ca="1" si="256"/>
        <v>-35.827781006104487</v>
      </c>
      <c r="BE237" s="149">
        <f t="shared" ca="1" si="256"/>
        <v>0</v>
      </c>
      <c r="BF237" s="149">
        <f t="shared" ca="1" si="256"/>
        <v>0</v>
      </c>
      <c r="BG237" s="149">
        <f t="shared" ca="1" si="256"/>
        <v>0</v>
      </c>
      <c r="BH237" s="149">
        <f t="shared" ca="1" si="256"/>
        <v>0</v>
      </c>
      <c r="BI237" s="149">
        <f t="shared" ca="1" si="256"/>
        <v>0</v>
      </c>
      <c r="BJ237" s="149">
        <f t="shared" ca="1" si="256"/>
        <v>0</v>
      </c>
      <c r="BK237" s="149">
        <f t="shared" ca="1" si="256"/>
        <v>0</v>
      </c>
      <c r="BL237" s="149">
        <f t="shared" ca="1" si="256"/>
        <v>0</v>
      </c>
      <c r="BM237" s="149">
        <f t="shared" ca="1" si="256"/>
        <v>0</v>
      </c>
      <c r="BN237" s="149"/>
      <c r="BO237" s="149">
        <f ca="1">NPV(Lookups!$E$17,AM237:BM237)</f>
        <v>-464.65704928798692</v>
      </c>
      <c r="BP237" s="149">
        <f ca="1">IF($C$4=Year1,-PMT(Lookups!$E$17,25,NPV(Lookups!$E$17,AM237:BK237),0,1),IF($C$4=Year2,-PMT(Lookups!$F$17,25,NPV(Lookups!$F$17,AN237:BL237),0,1),IF($C$4=Year3,-PMT(Lookups!$G$17,25,NPV(Lookups!$G$17,AO237:BM237),0,1),-PMT(Lookups!$G$17,27,NPV(Lookups!$G$17,AM237:BM237),0,1))))</f>
        <v>-20.533754276381018</v>
      </c>
      <c r="BS237" s="84" t="s">
        <v>241</v>
      </c>
      <c r="BT237" s="51" t="s">
        <v>17</v>
      </c>
    </row>
    <row r="238" spans="1:72" x14ac:dyDescent="0.25">
      <c r="B238" s="243" t="str">
        <f t="shared" si="246"/>
        <v>Small C&amp;I</v>
      </c>
      <c r="C238" s="243" t="str">
        <f t="shared" si="246"/>
        <v>Bills</v>
      </c>
      <c r="D238" s="244" t="str">
        <f t="shared" si="246"/>
        <v>Change in Bills</v>
      </c>
      <c r="E238" s="84" t="s">
        <v>349</v>
      </c>
      <c r="F238" s="84" t="s">
        <v>16</v>
      </c>
      <c r="G238" s="223">
        <f ca="1">IFERROR(G231/G224-1,0)</f>
        <v>9.1833551192002982E-2</v>
      </c>
      <c r="H238" s="223">
        <f t="shared" ref="H238:AG238" ca="1" si="257">IFERROR(H231/H224-1,0)</f>
        <v>8.3193256969335883E-2</v>
      </c>
      <c r="I238" s="223">
        <f t="shared" ca="1" si="257"/>
        <v>7.5519210281991045E-2</v>
      </c>
      <c r="J238" s="223">
        <f t="shared" ca="1" si="257"/>
        <v>-3.3804351919418218E-2</v>
      </c>
      <c r="K238" s="223">
        <f t="shared" ca="1" si="257"/>
        <v>-3.3804351919418218E-2</v>
      </c>
      <c r="L238" s="223">
        <f t="shared" ca="1" si="257"/>
        <v>-3.3804351919418218E-2</v>
      </c>
      <c r="M238" s="223">
        <f t="shared" ca="1" si="257"/>
        <v>-3.3804351919418218E-2</v>
      </c>
      <c r="N238" s="223">
        <f t="shared" ca="1" si="257"/>
        <v>-3.3804351919418218E-2</v>
      </c>
      <c r="O238" s="223">
        <f t="shared" ca="1" si="257"/>
        <v>-3.3804351919418218E-2</v>
      </c>
      <c r="P238" s="223">
        <f t="shared" ca="1" si="257"/>
        <v>-3.3804351919418218E-2</v>
      </c>
      <c r="Q238" s="223">
        <f t="shared" ca="1" si="257"/>
        <v>-3.3804351919418218E-2</v>
      </c>
      <c r="R238" s="223">
        <f t="shared" ca="1" si="257"/>
        <v>-3.3804351919418218E-2</v>
      </c>
      <c r="S238" s="224">
        <f t="shared" ca="1" si="257"/>
        <v>-3.3804351919418218E-2</v>
      </c>
      <c r="T238" s="224">
        <f t="shared" ca="1" si="257"/>
        <v>-3.3804351919418218E-2</v>
      </c>
      <c r="U238" s="224">
        <f t="shared" ca="1" si="257"/>
        <v>-3.3804351919418218E-2</v>
      </c>
      <c r="V238" s="224">
        <f t="shared" ca="1" si="257"/>
        <v>-3.3804351919418218E-2</v>
      </c>
      <c r="W238" s="224">
        <f t="shared" ca="1" si="257"/>
        <v>-2.3062844999278576E-2</v>
      </c>
      <c r="X238" s="224">
        <f t="shared" ca="1" si="257"/>
        <v>-1.1773461982406253E-2</v>
      </c>
      <c r="Y238" s="224">
        <f t="shared" ca="1" si="257"/>
        <v>0</v>
      </c>
      <c r="Z238" s="224">
        <f t="shared" ca="1" si="257"/>
        <v>0</v>
      </c>
      <c r="AA238" s="224">
        <f t="shared" ca="1" si="257"/>
        <v>0</v>
      </c>
      <c r="AB238" s="224">
        <f t="shared" ca="1" si="257"/>
        <v>0</v>
      </c>
      <c r="AC238" s="224">
        <f t="shared" ca="1" si="257"/>
        <v>0</v>
      </c>
      <c r="AD238" s="224">
        <f t="shared" ca="1" si="257"/>
        <v>0</v>
      </c>
      <c r="AE238" s="224">
        <f t="shared" ca="1" si="257"/>
        <v>0</v>
      </c>
      <c r="AF238" s="224">
        <f t="shared" ca="1" si="257"/>
        <v>0</v>
      </c>
      <c r="AG238" s="224">
        <f t="shared" ca="1" si="257"/>
        <v>0</v>
      </c>
      <c r="AH238" s="224"/>
      <c r="AI238" s="224"/>
      <c r="AJ238" s="224">
        <f t="shared" ref="AJ238" ca="1" si="258">IFERROR(AJ231/AJ224-1,0)</f>
        <v>-7.4334013943053723E-3</v>
      </c>
      <c r="AK238" s="212"/>
      <c r="AL238" s="212"/>
      <c r="AM238" s="504">
        <f ca="1">IFERROR(AM231/AM224-1,0)</f>
        <v>0.11045742262827218</v>
      </c>
      <c r="AN238" s="504">
        <f t="shared" ref="AN238:BM238" ca="1" si="259">IFERROR(AN231/AN224-1,0)</f>
        <v>0.10032207052583475</v>
      </c>
      <c r="AO238" s="504">
        <f t="shared" ca="1" si="259"/>
        <v>9.1296233692696793E-2</v>
      </c>
      <c r="AP238" s="504">
        <f t="shared" ca="1" si="259"/>
        <v>-3.8658442590425612E-2</v>
      </c>
      <c r="AQ238" s="504">
        <f t="shared" ca="1" si="259"/>
        <v>-3.8658442590425612E-2</v>
      </c>
      <c r="AR238" s="504">
        <f t="shared" ca="1" si="259"/>
        <v>-3.8658442590425612E-2</v>
      </c>
      <c r="AS238" s="504">
        <f t="shared" ca="1" si="259"/>
        <v>-3.8658442590425612E-2</v>
      </c>
      <c r="AT238" s="504">
        <f t="shared" ca="1" si="259"/>
        <v>-3.8658442590425612E-2</v>
      </c>
      <c r="AU238" s="504">
        <f t="shared" ca="1" si="259"/>
        <v>-3.8658442590425612E-2</v>
      </c>
      <c r="AV238" s="504">
        <f t="shared" ca="1" si="259"/>
        <v>-3.8658442590425612E-2</v>
      </c>
      <c r="AW238" s="504">
        <f t="shared" ca="1" si="259"/>
        <v>-3.8658442590425612E-2</v>
      </c>
      <c r="AX238" s="504">
        <f t="shared" ca="1" si="259"/>
        <v>-3.8658442590425612E-2</v>
      </c>
      <c r="AY238" s="504">
        <f t="shared" ca="1" si="259"/>
        <v>-3.8658442590425612E-2</v>
      </c>
      <c r="AZ238" s="504">
        <f t="shared" ca="1" si="259"/>
        <v>-3.8658442590425612E-2</v>
      </c>
      <c r="BA238" s="504">
        <f t="shared" ca="1" si="259"/>
        <v>-3.8658442590425612E-2</v>
      </c>
      <c r="BB238" s="504">
        <f t="shared" ca="1" si="259"/>
        <v>-3.8658442590425612E-2</v>
      </c>
      <c r="BC238" s="504">
        <f t="shared" ca="1" si="259"/>
        <v>-2.6368746250989505E-2</v>
      </c>
      <c r="BD238" s="504">
        <f t="shared" ca="1" si="259"/>
        <v>-1.3458207439371539E-2</v>
      </c>
      <c r="BE238" s="504">
        <f t="shared" ca="1" si="259"/>
        <v>0</v>
      </c>
      <c r="BF238" s="504">
        <f t="shared" ca="1" si="259"/>
        <v>0</v>
      </c>
      <c r="BG238" s="504">
        <f t="shared" ca="1" si="259"/>
        <v>0</v>
      </c>
      <c r="BH238" s="504">
        <f t="shared" ca="1" si="259"/>
        <v>0</v>
      </c>
      <c r="BI238" s="504">
        <f t="shared" ca="1" si="259"/>
        <v>0</v>
      </c>
      <c r="BJ238" s="504">
        <f t="shared" ca="1" si="259"/>
        <v>0</v>
      </c>
      <c r="BK238" s="504">
        <f t="shared" ca="1" si="259"/>
        <v>0</v>
      </c>
      <c r="BL238" s="504">
        <f t="shared" ca="1" si="259"/>
        <v>0</v>
      </c>
      <c r="BM238" s="504">
        <f t="shared" ca="1" si="259"/>
        <v>0</v>
      </c>
      <c r="BN238" s="504"/>
      <c r="BO238" s="504"/>
      <c r="BP238" s="504">
        <f t="shared" ref="BP238" ca="1" si="260">IFERROR(BP231/BP224-1,0)</f>
        <v>-7.8223148166240986E-3</v>
      </c>
      <c r="BS238" s="84" t="s">
        <v>242</v>
      </c>
      <c r="BT238" s="51" t="s">
        <v>17</v>
      </c>
    </row>
    <row r="239" spans="1:72" x14ac:dyDescent="0.25">
      <c r="B239" s="243" t="str">
        <f t="shared" si="246"/>
        <v>Small C&amp;I</v>
      </c>
      <c r="C239" s="243" t="str">
        <f t="shared" si="246"/>
        <v>Bills</v>
      </c>
      <c r="D239" s="244" t="str">
        <f t="shared" si="246"/>
        <v>Change in Bills</v>
      </c>
      <c r="E239" s="84" t="str">
        <f>'EE Inputs'!$N$15&amp;" Participant Annual Bill"</f>
        <v>Low Savings Participant Annual Bill</v>
      </c>
      <c r="F239" s="84" t="s">
        <v>32</v>
      </c>
      <c r="G239" s="103">
        <f ca="1">G232-G224</f>
        <v>175.24037969575829</v>
      </c>
      <c r="H239" s="103">
        <f t="shared" ref="H239:AG239" ca="1" si="261">H232-H224</f>
        <v>198.90643292097275</v>
      </c>
      <c r="I239" s="103">
        <f t="shared" ca="1" si="261"/>
        <v>228.44885510834729</v>
      </c>
      <c r="J239" s="103">
        <f t="shared" ca="1" si="261"/>
        <v>-66.234161301711993</v>
      </c>
      <c r="K239" s="103">
        <f t="shared" ca="1" si="261"/>
        <v>-66.234161301711993</v>
      </c>
      <c r="L239" s="103">
        <f t="shared" ca="1" si="261"/>
        <v>-66.234161301711993</v>
      </c>
      <c r="M239" s="103">
        <f t="shared" ca="1" si="261"/>
        <v>-66.234161301711993</v>
      </c>
      <c r="N239" s="103">
        <f t="shared" ca="1" si="261"/>
        <v>-66.234161301711993</v>
      </c>
      <c r="O239" s="103">
        <f t="shared" ca="1" si="261"/>
        <v>-66.234161301711993</v>
      </c>
      <c r="P239" s="103">
        <f t="shared" ca="1" si="261"/>
        <v>-66.234161301711993</v>
      </c>
      <c r="Q239" s="103">
        <f t="shared" ca="1" si="261"/>
        <v>-66.234161301711993</v>
      </c>
      <c r="R239" s="103">
        <f t="shared" ca="1" si="261"/>
        <v>-66.234161301711993</v>
      </c>
      <c r="S239" s="103">
        <f t="shared" ca="1" si="261"/>
        <v>-66.234161301711993</v>
      </c>
      <c r="T239" s="103">
        <f t="shared" ca="1" si="261"/>
        <v>-66.234161301711993</v>
      </c>
      <c r="U239" s="103">
        <f t="shared" ca="1" si="261"/>
        <v>-66.234161301711993</v>
      </c>
      <c r="V239" s="103">
        <f t="shared" ca="1" si="261"/>
        <v>-66.234161301711993</v>
      </c>
      <c r="W239" s="103">
        <f t="shared" ca="1" si="261"/>
        <v>23.377798295214689</v>
      </c>
      <c r="X239" s="103">
        <f t="shared" ca="1" si="261"/>
        <v>11.746062733016061</v>
      </c>
      <c r="Y239" s="103">
        <f t="shared" ca="1" si="261"/>
        <v>0</v>
      </c>
      <c r="Z239" s="103">
        <f t="shared" ca="1" si="261"/>
        <v>0</v>
      </c>
      <c r="AA239" s="103">
        <f t="shared" ca="1" si="261"/>
        <v>0</v>
      </c>
      <c r="AB239" s="103">
        <f t="shared" ca="1" si="261"/>
        <v>0</v>
      </c>
      <c r="AC239" s="103">
        <f t="shared" ca="1" si="261"/>
        <v>0</v>
      </c>
      <c r="AD239" s="103">
        <f t="shared" ca="1" si="261"/>
        <v>0</v>
      </c>
      <c r="AE239" s="103">
        <f t="shared" ca="1" si="261"/>
        <v>0</v>
      </c>
      <c r="AF239" s="103">
        <f t="shared" ca="1" si="261"/>
        <v>0</v>
      </c>
      <c r="AG239" s="103">
        <f t="shared" ca="1" si="261"/>
        <v>0</v>
      </c>
      <c r="AH239" s="103"/>
      <c r="AI239" s="103">
        <f ca="1">NPV(Lookups!$E$17,G239:AG239)</f>
        <v>-136.50226783377911</v>
      </c>
      <c r="AJ239" s="103">
        <f ca="1">IF($C$4=Year1,-PMT(Lookups!$E$17,25,NPV(Lookups!$E$17,G239:AE239),0,1),IF($C$4=Year2,-PMT(Lookups!$F$17,25,NPV(Lookups!$F$17,H239:AF239),0,1),IF($C$4=Year3,-PMT(Lookups!$G$17,25,NPV(Lookups!$G$17,I239:AG239),0,1),-PMT(Lookups!$G$17,27,NPV(Lookups!$G$17,G239:AG239),0,1))))</f>
        <v>-6.0321995117960094</v>
      </c>
      <c r="AM239" s="149">
        <f ca="1">AM232-AM224</f>
        <v>206.27618620775365</v>
      </c>
      <c r="AN239" s="149">
        <f t="shared" ref="AN239:BM239" ca="1" si="262">AN232-AN224</f>
        <v>233.84420435934817</v>
      </c>
      <c r="AO239" s="149">
        <f t="shared" ca="1" si="262"/>
        <v>268.41745362934716</v>
      </c>
      <c r="AP239" s="149">
        <f t="shared" ca="1" si="262"/>
        <v>-81.479854276491551</v>
      </c>
      <c r="AQ239" s="149">
        <f t="shared" ca="1" si="262"/>
        <v>-81.479854276491551</v>
      </c>
      <c r="AR239" s="149">
        <f t="shared" ca="1" si="262"/>
        <v>-81.479854276491551</v>
      </c>
      <c r="AS239" s="149">
        <f t="shared" ca="1" si="262"/>
        <v>-81.479854276491551</v>
      </c>
      <c r="AT239" s="149">
        <f t="shared" ca="1" si="262"/>
        <v>-81.479854276491551</v>
      </c>
      <c r="AU239" s="149">
        <f t="shared" ca="1" si="262"/>
        <v>-81.479854276491551</v>
      </c>
      <c r="AV239" s="149">
        <f t="shared" ca="1" si="262"/>
        <v>-81.479854276491551</v>
      </c>
      <c r="AW239" s="149">
        <f t="shared" ca="1" si="262"/>
        <v>-81.479854276491551</v>
      </c>
      <c r="AX239" s="149">
        <f t="shared" ca="1" si="262"/>
        <v>-81.479854276491551</v>
      </c>
      <c r="AY239" s="149">
        <f t="shared" ca="1" si="262"/>
        <v>-81.479854276491551</v>
      </c>
      <c r="AZ239" s="149">
        <f t="shared" ca="1" si="262"/>
        <v>-81.479854276491551</v>
      </c>
      <c r="BA239" s="149">
        <f t="shared" ca="1" si="262"/>
        <v>-81.479854276491551</v>
      </c>
      <c r="BB239" s="149">
        <f t="shared" ca="1" si="262"/>
        <v>-81.479854276491551</v>
      </c>
      <c r="BC239" s="149">
        <f t="shared" ca="1" si="262"/>
        <v>26.855332146678847</v>
      </c>
      <c r="BD239" s="149">
        <f t="shared" ca="1" si="262"/>
        <v>13.458780232160734</v>
      </c>
      <c r="BE239" s="149">
        <f t="shared" ca="1" si="262"/>
        <v>0</v>
      </c>
      <c r="BF239" s="149">
        <f t="shared" ca="1" si="262"/>
        <v>0</v>
      </c>
      <c r="BG239" s="149">
        <f t="shared" ca="1" si="262"/>
        <v>0</v>
      </c>
      <c r="BH239" s="149">
        <f t="shared" ca="1" si="262"/>
        <v>0</v>
      </c>
      <c r="BI239" s="149">
        <f t="shared" ca="1" si="262"/>
        <v>0</v>
      </c>
      <c r="BJ239" s="149">
        <f t="shared" ca="1" si="262"/>
        <v>0</v>
      </c>
      <c r="BK239" s="149">
        <f t="shared" ca="1" si="262"/>
        <v>0</v>
      </c>
      <c r="BL239" s="149">
        <f t="shared" ca="1" si="262"/>
        <v>0</v>
      </c>
      <c r="BM239" s="149">
        <f t="shared" ca="1" si="262"/>
        <v>0</v>
      </c>
      <c r="BN239" s="149"/>
      <c r="BO239" s="149">
        <f ca="1">NPV(Lookups!$E$17,AM239:BM239)</f>
        <v>-202.00287689700988</v>
      </c>
      <c r="BP239" s="149">
        <f ca="1">IF($C$4=Year1,-PMT(Lookups!$E$17,25,NPV(Lookups!$E$17,AM239:BK239),0,1),IF($C$4=Year2,-PMT(Lookups!$F$17,25,NPV(Lookups!$F$17,AN239:BL239),0,1),IF($C$4=Year3,-PMT(Lookups!$G$17,25,NPV(Lookups!$G$17,AO239:BM239),0,1),-PMT(Lookups!$G$17,27,NPV(Lookups!$G$17,AM239:BM239),0,1))))</f>
        <v>-8.9267502638369702</v>
      </c>
      <c r="BS239" s="84" t="s">
        <v>241</v>
      </c>
      <c r="BT239" s="51" t="s">
        <v>17</v>
      </c>
    </row>
    <row r="240" spans="1:72" x14ac:dyDescent="0.25">
      <c r="B240" s="243" t="str">
        <f t="shared" si="246"/>
        <v>Small C&amp;I</v>
      </c>
      <c r="C240" s="243" t="str">
        <f t="shared" si="246"/>
        <v>Bills</v>
      </c>
      <c r="D240" s="244" t="str">
        <f t="shared" si="246"/>
        <v>Change in Bills</v>
      </c>
      <c r="E240" s="84" t="str">
        <f>'EE Inputs'!$N$15&amp;" Participant Annual Bill"</f>
        <v>Low Savings Participant Annual Bill</v>
      </c>
      <c r="F240" s="84" t="s">
        <v>16</v>
      </c>
      <c r="G240" s="223">
        <f ca="1">IFERROR(G232/G224-1,0)</f>
        <v>6.5826610397610619E-2</v>
      </c>
      <c r="H240" s="223">
        <f t="shared" ref="H240:AG240" ca="1" si="263">IFERROR(H232/H224-1,0)</f>
        <v>7.4716434010238864E-2</v>
      </c>
      <c r="I240" s="223">
        <f t="shared" ca="1" si="263"/>
        <v>8.5813633861701488E-2</v>
      </c>
      <c r="J240" s="223">
        <f t="shared" ca="1" si="263"/>
        <v>-2.487994113337233E-2</v>
      </c>
      <c r="K240" s="223">
        <f t="shared" ca="1" si="263"/>
        <v>-2.487994113337233E-2</v>
      </c>
      <c r="L240" s="223">
        <f t="shared" ca="1" si="263"/>
        <v>-2.487994113337233E-2</v>
      </c>
      <c r="M240" s="223">
        <f t="shared" ca="1" si="263"/>
        <v>-2.487994113337233E-2</v>
      </c>
      <c r="N240" s="223">
        <f t="shared" ca="1" si="263"/>
        <v>-2.487994113337233E-2</v>
      </c>
      <c r="O240" s="223">
        <f t="shared" ca="1" si="263"/>
        <v>-2.487994113337233E-2</v>
      </c>
      <c r="P240" s="223">
        <f t="shared" ca="1" si="263"/>
        <v>-2.487994113337233E-2</v>
      </c>
      <c r="Q240" s="223">
        <f t="shared" ca="1" si="263"/>
        <v>-2.487994113337233E-2</v>
      </c>
      <c r="R240" s="223">
        <f t="shared" ca="1" si="263"/>
        <v>-2.487994113337233E-2</v>
      </c>
      <c r="S240" s="224">
        <f t="shared" ca="1" si="263"/>
        <v>-2.487994113337233E-2</v>
      </c>
      <c r="T240" s="224">
        <f t="shared" ca="1" si="263"/>
        <v>-2.487994113337233E-2</v>
      </c>
      <c r="U240" s="224">
        <f t="shared" ca="1" si="263"/>
        <v>-2.487994113337233E-2</v>
      </c>
      <c r="V240" s="224">
        <f t="shared" ca="1" si="263"/>
        <v>-2.487994113337233E-2</v>
      </c>
      <c r="W240" s="224">
        <f t="shared" ca="1" si="263"/>
        <v>8.7815446588550561E-3</v>
      </c>
      <c r="X240" s="224">
        <f t="shared" ca="1" si="263"/>
        <v>4.412245034931539E-3</v>
      </c>
      <c r="Y240" s="224">
        <f t="shared" ca="1" si="263"/>
        <v>0</v>
      </c>
      <c r="Z240" s="224">
        <f t="shared" ca="1" si="263"/>
        <v>0</v>
      </c>
      <c r="AA240" s="224">
        <f t="shared" ca="1" si="263"/>
        <v>0</v>
      </c>
      <c r="AB240" s="224">
        <f t="shared" ca="1" si="263"/>
        <v>0</v>
      </c>
      <c r="AC240" s="224">
        <f t="shared" ca="1" si="263"/>
        <v>0</v>
      </c>
      <c r="AD240" s="224">
        <f t="shared" ca="1" si="263"/>
        <v>0</v>
      </c>
      <c r="AE240" s="224">
        <f t="shared" ca="1" si="263"/>
        <v>0</v>
      </c>
      <c r="AF240" s="224">
        <f t="shared" ca="1" si="263"/>
        <v>0</v>
      </c>
      <c r="AG240" s="224">
        <f t="shared" ca="1" si="263"/>
        <v>0</v>
      </c>
      <c r="AH240" s="224"/>
      <c r="AI240" s="224"/>
      <c r="AJ240" s="224">
        <f t="shared" ref="AJ240" ca="1" si="264">IFERROR(AJ232/AJ224-1,0)</f>
        <v>-2.2979608591223721E-3</v>
      </c>
      <c r="AK240" s="212"/>
      <c r="AL240" s="212"/>
      <c r="AM240" s="504">
        <f ca="1">IFERROR(AM232/AM224-1,0)</f>
        <v>7.7484779292174899E-2</v>
      </c>
      <c r="AN240" s="504">
        <f t="shared" ref="AN240:BM240" ca="1" si="265">IFERROR(AN232/AN224-1,0)</f>
        <v>8.7840321738783755E-2</v>
      </c>
      <c r="AO240" s="504">
        <f t="shared" ca="1" si="265"/>
        <v>0.1008272817866156</v>
      </c>
      <c r="AP240" s="504">
        <f t="shared" ca="1" si="265"/>
        <v>-3.0606773575956314E-2</v>
      </c>
      <c r="AQ240" s="504">
        <f t="shared" ca="1" si="265"/>
        <v>-3.0606773575956314E-2</v>
      </c>
      <c r="AR240" s="504">
        <f t="shared" ca="1" si="265"/>
        <v>-3.0606773575956314E-2</v>
      </c>
      <c r="AS240" s="504">
        <f t="shared" ca="1" si="265"/>
        <v>-3.0606773575956314E-2</v>
      </c>
      <c r="AT240" s="504">
        <f t="shared" ca="1" si="265"/>
        <v>-3.0606773575956314E-2</v>
      </c>
      <c r="AU240" s="504">
        <f t="shared" ca="1" si="265"/>
        <v>-3.0606773575956314E-2</v>
      </c>
      <c r="AV240" s="504">
        <f t="shared" ca="1" si="265"/>
        <v>-3.0606773575956314E-2</v>
      </c>
      <c r="AW240" s="504">
        <f t="shared" ca="1" si="265"/>
        <v>-3.0606773575956314E-2</v>
      </c>
      <c r="AX240" s="504">
        <f t="shared" ca="1" si="265"/>
        <v>-3.0606773575956314E-2</v>
      </c>
      <c r="AY240" s="504">
        <f t="shared" ca="1" si="265"/>
        <v>-3.0606773575956314E-2</v>
      </c>
      <c r="AZ240" s="504">
        <f t="shared" ca="1" si="265"/>
        <v>-3.0606773575956314E-2</v>
      </c>
      <c r="BA240" s="504">
        <f t="shared" ca="1" si="265"/>
        <v>-3.0606773575956314E-2</v>
      </c>
      <c r="BB240" s="504">
        <f t="shared" ca="1" si="265"/>
        <v>-3.0606773575956314E-2</v>
      </c>
      <c r="BC240" s="504">
        <f t="shared" ca="1" si="265"/>
        <v>1.0087831864933117E-2</v>
      </c>
      <c r="BD240" s="504">
        <f t="shared" ca="1" si="265"/>
        <v>5.0556035333160221E-3</v>
      </c>
      <c r="BE240" s="504">
        <f t="shared" ca="1" si="265"/>
        <v>0</v>
      </c>
      <c r="BF240" s="504">
        <f t="shared" ca="1" si="265"/>
        <v>0</v>
      </c>
      <c r="BG240" s="504">
        <f t="shared" ca="1" si="265"/>
        <v>0</v>
      </c>
      <c r="BH240" s="504">
        <f t="shared" ca="1" si="265"/>
        <v>0</v>
      </c>
      <c r="BI240" s="504">
        <f t="shared" ca="1" si="265"/>
        <v>0</v>
      </c>
      <c r="BJ240" s="504">
        <f t="shared" ca="1" si="265"/>
        <v>0</v>
      </c>
      <c r="BK240" s="504">
        <f t="shared" ca="1" si="265"/>
        <v>0</v>
      </c>
      <c r="BL240" s="504">
        <f t="shared" ca="1" si="265"/>
        <v>0</v>
      </c>
      <c r="BM240" s="504">
        <f t="shared" ca="1" si="265"/>
        <v>0</v>
      </c>
      <c r="BN240" s="504"/>
      <c r="BO240" s="504"/>
      <c r="BP240" s="504">
        <f t="shared" ref="BP240" ca="1" si="266">IFERROR(BP232/BP224-1,0)</f>
        <v>-3.4006373073938168E-3</v>
      </c>
      <c r="BS240" s="84" t="s">
        <v>242</v>
      </c>
      <c r="BT240" s="51" t="s">
        <v>17</v>
      </c>
    </row>
    <row r="241" spans="1:72" x14ac:dyDescent="0.25">
      <c r="B241" s="243" t="str">
        <f t="shared" si="246"/>
        <v>Small C&amp;I</v>
      </c>
      <c r="C241" s="243" t="str">
        <f t="shared" si="246"/>
        <v>Bills</v>
      </c>
      <c r="D241" s="244" t="str">
        <f t="shared" si="246"/>
        <v>Change in Bills</v>
      </c>
      <c r="E241" s="84" t="str">
        <f>'EE Inputs'!$N$16&amp;" Participant Annual Bill"</f>
        <v>High Savings Participant Annual Bill</v>
      </c>
      <c r="F241" s="84" t="s">
        <v>32</v>
      </c>
      <c r="G241" s="103">
        <f ca="1">G233-G224</f>
        <v>61.499778366437113</v>
      </c>
      <c r="H241" s="103">
        <f t="shared" ref="H241:AG241" ca="1" si="267">H233-H224</f>
        <v>83.9202498429554</v>
      </c>
      <c r="I241" s="103">
        <f t="shared" ca="1" si="267"/>
        <v>111.90780770467836</v>
      </c>
      <c r="J241" s="103">
        <f t="shared" ca="1" si="267"/>
        <v>-167.26557626274553</v>
      </c>
      <c r="K241" s="103">
        <f t="shared" ca="1" si="267"/>
        <v>-167.26557626274553</v>
      </c>
      <c r="L241" s="103">
        <f t="shared" ca="1" si="267"/>
        <v>-167.26557626274553</v>
      </c>
      <c r="M241" s="103">
        <f t="shared" ca="1" si="267"/>
        <v>-167.26557626274553</v>
      </c>
      <c r="N241" s="103">
        <f t="shared" ca="1" si="267"/>
        <v>-167.26557626274553</v>
      </c>
      <c r="O241" s="103">
        <f t="shared" ca="1" si="267"/>
        <v>-167.26557626274553</v>
      </c>
      <c r="P241" s="103">
        <f t="shared" ca="1" si="267"/>
        <v>-167.26557626274553</v>
      </c>
      <c r="Q241" s="103">
        <f t="shared" ca="1" si="267"/>
        <v>-167.26557626274553</v>
      </c>
      <c r="R241" s="103">
        <f t="shared" ca="1" si="267"/>
        <v>-167.26557626274553</v>
      </c>
      <c r="S241" s="103">
        <f t="shared" ca="1" si="267"/>
        <v>-167.26557626274553</v>
      </c>
      <c r="T241" s="103">
        <f t="shared" ca="1" si="267"/>
        <v>-167.26557626274553</v>
      </c>
      <c r="U241" s="103">
        <f t="shared" ca="1" si="267"/>
        <v>-167.26557626274553</v>
      </c>
      <c r="V241" s="103">
        <f t="shared" ca="1" si="267"/>
        <v>-167.26557626274553</v>
      </c>
      <c r="W241" s="103">
        <f t="shared" ca="1" si="267"/>
        <v>23.377798295214689</v>
      </c>
      <c r="X241" s="103">
        <f t="shared" ca="1" si="267"/>
        <v>11.746062733016061</v>
      </c>
      <c r="Y241" s="103">
        <f t="shared" ca="1" si="267"/>
        <v>0</v>
      </c>
      <c r="Z241" s="103">
        <f t="shared" ca="1" si="267"/>
        <v>0</v>
      </c>
      <c r="AA241" s="103">
        <f t="shared" ca="1" si="267"/>
        <v>0</v>
      </c>
      <c r="AB241" s="103">
        <f t="shared" ca="1" si="267"/>
        <v>0</v>
      </c>
      <c r="AC241" s="103">
        <f t="shared" ca="1" si="267"/>
        <v>0</v>
      </c>
      <c r="AD241" s="103">
        <f t="shared" ca="1" si="267"/>
        <v>0</v>
      </c>
      <c r="AE241" s="103">
        <f t="shared" ca="1" si="267"/>
        <v>0</v>
      </c>
      <c r="AF241" s="103">
        <f t="shared" ca="1" si="267"/>
        <v>0</v>
      </c>
      <c r="AG241" s="103">
        <f t="shared" ca="1" si="267"/>
        <v>0</v>
      </c>
      <c r="AH241" s="103"/>
      <c r="AI241" s="103">
        <f ca="1">NPV(Lookups!$E$17,G241:AG241)</f>
        <v>-1615.0768007681004</v>
      </c>
      <c r="AJ241" s="103">
        <f ca="1">IF($C$4=Year1,-PMT(Lookups!$E$17,25,NPV(Lookups!$E$17,G241:AE241),0,1),IF($C$4=Year2,-PMT(Lookups!$F$17,25,NPV(Lookups!$F$17,H241:AF241),0,1),IF($C$4=Year3,-PMT(Lookups!$G$17,25,NPV(Lookups!$G$17,I241:AG241),0,1),-PMT(Lookups!$G$17,27,NPV(Lookups!$G$17,G241:AG241),0,1))))</f>
        <v>-71.372187757129026</v>
      </c>
      <c r="AM241" s="149">
        <f ca="1">AM233-AM224</f>
        <v>66.354448009725729</v>
      </c>
      <c r="AN241" s="149">
        <f t="shared" ref="AN241:BM241" ca="1" si="268">AN233-AN224</f>
        <v>92.162805428240517</v>
      </c>
      <c r="AO241" s="149">
        <f t="shared" ca="1" si="268"/>
        <v>124.52925155334515</v>
      </c>
      <c r="AP241" s="149">
        <f t="shared" ca="1" si="268"/>
        <v>-203.03418563509922</v>
      </c>
      <c r="AQ241" s="149">
        <f t="shared" ca="1" si="268"/>
        <v>-203.03418563509922</v>
      </c>
      <c r="AR241" s="149">
        <f t="shared" ca="1" si="268"/>
        <v>-203.03418563509922</v>
      </c>
      <c r="AS241" s="149">
        <f t="shared" ca="1" si="268"/>
        <v>-203.03418563509922</v>
      </c>
      <c r="AT241" s="149">
        <f t="shared" ca="1" si="268"/>
        <v>-203.03418563509922</v>
      </c>
      <c r="AU241" s="149">
        <f t="shared" ca="1" si="268"/>
        <v>-203.03418563509922</v>
      </c>
      <c r="AV241" s="149">
        <f t="shared" ca="1" si="268"/>
        <v>-203.03418563509922</v>
      </c>
      <c r="AW241" s="149">
        <f t="shared" ca="1" si="268"/>
        <v>-203.03418563509922</v>
      </c>
      <c r="AX241" s="149">
        <f t="shared" ca="1" si="268"/>
        <v>-203.03418563509922</v>
      </c>
      <c r="AY241" s="149">
        <f t="shared" ca="1" si="268"/>
        <v>-203.03418563509922</v>
      </c>
      <c r="AZ241" s="149">
        <f t="shared" ca="1" si="268"/>
        <v>-203.03418563509922</v>
      </c>
      <c r="BA241" s="149">
        <f t="shared" ca="1" si="268"/>
        <v>-203.03418563509922</v>
      </c>
      <c r="BB241" s="149">
        <f t="shared" ca="1" si="268"/>
        <v>-203.03418563509922</v>
      </c>
      <c r="BC241" s="149">
        <f t="shared" ca="1" si="268"/>
        <v>26.855332146678847</v>
      </c>
      <c r="BD241" s="149">
        <f t="shared" ca="1" si="268"/>
        <v>13.458780232160734</v>
      </c>
      <c r="BE241" s="149">
        <f t="shared" ca="1" si="268"/>
        <v>0</v>
      </c>
      <c r="BF241" s="149">
        <f t="shared" ca="1" si="268"/>
        <v>0</v>
      </c>
      <c r="BG241" s="149">
        <f t="shared" ca="1" si="268"/>
        <v>0</v>
      </c>
      <c r="BH241" s="149">
        <f t="shared" ca="1" si="268"/>
        <v>0</v>
      </c>
      <c r="BI241" s="149">
        <f t="shared" ca="1" si="268"/>
        <v>0</v>
      </c>
      <c r="BJ241" s="149">
        <f t="shared" ca="1" si="268"/>
        <v>0</v>
      </c>
      <c r="BK241" s="149">
        <f t="shared" ca="1" si="268"/>
        <v>0</v>
      </c>
      <c r="BL241" s="149">
        <f t="shared" ca="1" si="268"/>
        <v>0</v>
      </c>
      <c r="BM241" s="149">
        <f t="shared" ca="1" si="268"/>
        <v>0</v>
      </c>
      <c r="BN241" s="149"/>
      <c r="BO241" s="149">
        <f ca="1">NPV(Lookups!$E$17,AM241:BM241)</f>
        <v>-1990.7271203897028</v>
      </c>
      <c r="BP241" s="149">
        <f ca="1">IF($C$4=Year1,-PMT(Lookups!$E$17,25,NPV(Lookups!$E$17,AM241:BK241),0,1),IF($C$4=Year2,-PMT(Lookups!$F$17,25,NPV(Lookups!$F$17,AN241:BL241),0,1),IF($C$4=Year3,-PMT(Lookups!$G$17,25,NPV(Lookups!$G$17,AO241:BM241),0,1),-PMT(Lookups!$G$17,27,NPV(Lookups!$G$17,AM241:BM241),0,1))))</f>
        <v>-87.972627519688743</v>
      </c>
      <c r="BS241" s="84" t="s">
        <v>241</v>
      </c>
      <c r="BT241" s="51" t="s">
        <v>17</v>
      </c>
    </row>
    <row r="242" spans="1:72" x14ac:dyDescent="0.25">
      <c r="B242" s="243" t="str">
        <f t="shared" si="246"/>
        <v>Small C&amp;I</v>
      </c>
      <c r="C242" s="243" t="str">
        <f t="shared" si="246"/>
        <v>Bills</v>
      </c>
      <c r="D242" s="244" t="str">
        <f t="shared" si="246"/>
        <v>Change in Bills</v>
      </c>
      <c r="E242" s="84" t="str">
        <f>'EE Inputs'!$N$16&amp;" Participant Annual Bill"</f>
        <v>High Savings Participant Annual Bill</v>
      </c>
      <c r="F242" s="84" t="s">
        <v>16</v>
      </c>
      <c r="G242" s="223">
        <f ca="1">IFERROR(G233/G224-1,0)</f>
        <v>2.3101536056331806E-2</v>
      </c>
      <c r="H242" s="223">
        <f t="shared" ref="H242:AG242" ca="1" si="269">IFERROR(H233/H224-1,0)</f>
        <v>3.1523474215663816E-2</v>
      </c>
      <c r="I242" s="223">
        <f t="shared" ca="1" si="269"/>
        <v>4.2036610917049355E-2</v>
      </c>
      <c r="J242" s="223">
        <f t="shared" ca="1" si="269"/>
        <v>-6.2830986446704706E-2</v>
      </c>
      <c r="K242" s="223">
        <f t="shared" ca="1" si="269"/>
        <v>-6.2830986446704706E-2</v>
      </c>
      <c r="L242" s="223">
        <f t="shared" ca="1" si="269"/>
        <v>-6.2830986446704706E-2</v>
      </c>
      <c r="M242" s="223">
        <f t="shared" ca="1" si="269"/>
        <v>-6.2830986446704706E-2</v>
      </c>
      <c r="N242" s="223">
        <f t="shared" ca="1" si="269"/>
        <v>-6.2830986446704706E-2</v>
      </c>
      <c r="O242" s="223">
        <f t="shared" ca="1" si="269"/>
        <v>-6.2830986446704706E-2</v>
      </c>
      <c r="P242" s="223">
        <f t="shared" ca="1" si="269"/>
        <v>-6.2830986446704706E-2</v>
      </c>
      <c r="Q242" s="223">
        <f t="shared" ca="1" si="269"/>
        <v>-6.2830986446704706E-2</v>
      </c>
      <c r="R242" s="223">
        <f t="shared" ca="1" si="269"/>
        <v>-6.2830986446704706E-2</v>
      </c>
      <c r="S242" s="224">
        <f t="shared" ca="1" si="269"/>
        <v>-6.2830986446704706E-2</v>
      </c>
      <c r="T242" s="224">
        <f t="shared" ca="1" si="269"/>
        <v>-6.2830986446704706E-2</v>
      </c>
      <c r="U242" s="224">
        <f t="shared" ca="1" si="269"/>
        <v>-6.2830986446704706E-2</v>
      </c>
      <c r="V242" s="224">
        <f t="shared" ca="1" si="269"/>
        <v>-6.2830986446704706E-2</v>
      </c>
      <c r="W242" s="224">
        <f t="shared" ca="1" si="269"/>
        <v>8.7815446588550561E-3</v>
      </c>
      <c r="X242" s="224">
        <f t="shared" ca="1" si="269"/>
        <v>4.412245034931539E-3</v>
      </c>
      <c r="Y242" s="224">
        <f t="shared" ca="1" si="269"/>
        <v>0</v>
      </c>
      <c r="Z242" s="224">
        <f t="shared" ca="1" si="269"/>
        <v>0</v>
      </c>
      <c r="AA242" s="224">
        <f t="shared" ca="1" si="269"/>
        <v>0</v>
      </c>
      <c r="AB242" s="224">
        <f t="shared" ca="1" si="269"/>
        <v>0</v>
      </c>
      <c r="AC242" s="224">
        <f t="shared" ca="1" si="269"/>
        <v>0</v>
      </c>
      <c r="AD242" s="224">
        <f t="shared" ca="1" si="269"/>
        <v>0</v>
      </c>
      <c r="AE242" s="224">
        <f t="shared" ca="1" si="269"/>
        <v>0</v>
      </c>
      <c r="AF242" s="224">
        <f t="shared" ca="1" si="269"/>
        <v>0</v>
      </c>
      <c r="AG242" s="224">
        <f t="shared" ca="1" si="269"/>
        <v>0</v>
      </c>
      <c r="AH242" s="224"/>
      <c r="AI242" s="224"/>
      <c r="AJ242" s="224">
        <f t="shared" ref="AJ242" ca="1" si="270">IFERROR(AJ233/AJ224-1,0)</f>
        <v>-2.7189169319595363E-2</v>
      </c>
      <c r="AK242" s="212"/>
      <c r="AL242" s="212"/>
      <c r="AM242" s="504">
        <f ca="1">IFERROR(AM233/AM224-1,0)</f>
        <v>2.4925125161609385E-2</v>
      </c>
      <c r="AN242" s="504">
        <f t="shared" ref="AN242:BM242" ca="1" si="271">IFERROR(AN233/AN224-1,0)</f>
        <v>3.461967553715839E-2</v>
      </c>
      <c r="AO242" s="504">
        <f t="shared" ca="1" si="271"/>
        <v>4.6777680688319778E-2</v>
      </c>
      <c r="AP242" s="504">
        <f t="shared" ca="1" si="271"/>
        <v>-7.6266966885151777E-2</v>
      </c>
      <c r="AQ242" s="504">
        <f t="shared" ca="1" si="271"/>
        <v>-7.6266966885151777E-2</v>
      </c>
      <c r="AR242" s="504">
        <f t="shared" ca="1" si="271"/>
        <v>-7.6266966885151777E-2</v>
      </c>
      <c r="AS242" s="504">
        <f t="shared" ca="1" si="271"/>
        <v>-7.6266966885151777E-2</v>
      </c>
      <c r="AT242" s="504">
        <f t="shared" ca="1" si="271"/>
        <v>-7.6266966885151777E-2</v>
      </c>
      <c r="AU242" s="504">
        <f t="shared" ca="1" si="271"/>
        <v>-7.6266966885151777E-2</v>
      </c>
      <c r="AV242" s="504">
        <f t="shared" ca="1" si="271"/>
        <v>-7.6266966885151777E-2</v>
      </c>
      <c r="AW242" s="504">
        <f t="shared" ca="1" si="271"/>
        <v>-7.6266966885151777E-2</v>
      </c>
      <c r="AX242" s="504">
        <f t="shared" ca="1" si="271"/>
        <v>-7.6266966885151777E-2</v>
      </c>
      <c r="AY242" s="504">
        <f t="shared" ca="1" si="271"/>
        <v>-7.6266966885151777E-2</v>
      </c>
      <c r="AZ242" s="504">
        <f t="shared" ca="1" si="271"/>
        <v>-7.6266966885151777E-2</v>
      </c>
      <c r="BA242" s="504">
        <f t="shared" ca="1" si="271"/>
        <v>-7.6266966885151777E-2</v>
      </c>
      <c r="BB242" s="504">
        <f t="shared" ca="1" si="271"/>
        <v>-7.6266966885151777E-2</v>
      </c>
      <c r="BC242" s="504">
        <f t="shared" ca="1" si="271"/>
        <v>1.0087831864933117E-2</v>
      </c>
      <c r="BD242" s="504">
        <f t="shared" ca="1" si="271"/>
        <v>5.0556035333160221E-3</v>
      </c>
      <c r="BE242" s="504">
        <f t="shared" ca="1" si="271"/>
        <v>0</v>
      </c>
      <c r="BF242" s="504">
        <f t="shared" ca="1" si="271"/>
        <v>0</v>
      </c>
      <c r="BG242" s="504">
        <f t="shared" ca="1" si="271"/>
        <v>0</v>
      </c>
      <c r="BH242" s="504">
        <f t="shared" ca="1" si="271"/>
        <v>0</v>
      </c>
      <c r="BI242" s="504">
        <f t="shared" ca="1" si="271"/>
        <v>0</v>
      </c>
      <c r="BJ242" s="504">
        <f t="shared" ca="1" si="271"/>
        <v>0</v>
      </c>
      <c r="BK242" s="504">
        <f t="shared" ca="1" si="271"/>
        <v>0</v>
      </c>
      <c r="BL242" s="504">
        <f t="shared" ca="1" si="271"/>
        <v>0</v>
      </c>
      <c r="BM242" s="504">
        <f t="shared" ca="1" si="271"/>
        <v>0</v>
      </c>
      <c r="BN242" s="504"/>
      <c r="BO242" s="504"/>
      <c r="BP242" s="504">
        <f t="shared" ref="BP242" ca="1" si="272">IFERROR(BP233/BP224-1,0)</f>
        <v>-3.3513091587746402E-2</v>
      </c>
      <c r="BS242" s="84" t="s">
        <v>242</v>
      </c>
      <c r="BT242" s="51" t="s">
        <v>17</v>
      </c>
    </row>
    <row r="243" spans="1:72" x14ac:dyDescent="0.25">
      <c r="B243" s="243" t="str">
        <f t="shared" si="246"/>
        <v>Small C&amp;I</v>
      </c>
      <c r="C243" s="243" t="str">
        <f t="shared" si="246"/>
        <v>Bills</v>
      </c>
      <c r="D243" s="244" t="str">
        <f t="shared" si="246"/>
        <v>Change in Bills</v>
      </c>
      <c r="E243" s="84" t="s">
        <v>17</v>
      </c>
      <c r="F243" s="84"/>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S243" s="84"/>
      <c r="BT243" s="51" t="s">
        <v>17</v>
      </c>
    </row>
    <row r="244" spans="1:72" x14ac:dyDescent="0.25">
      <c r="B244" t="s">
        <v>17</v>
      </c>
      <c r="BT244" s="51" t="s">
        <v>17</v>
      </c>
    </row>
    <row r="245" spans="1:72" x14ac:dyDescent="0.25">
      <c r="B245" t="s">
        <v>17</v>
      </c>
      <c r="BT245" s="51" t="s">
        <v>17</v>
      </c>
    </row>
    <row r="246" spans="1:72" s="51" customFormat="1" ht="23.25" x14ac:dyDescent="0.25">
      <c r="A246" s="52"/>
      <c r="B246" s="195" t="str">
        <f>Lookups!$D$29</f>
        <v>Large C&amp;I</v>
      </c>
      <c r="C246" s="196"/>
      <c r="D246" s="196"/>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51" t="s">
        <v>17</v>
      </c>
    </row>
    <row r="247" spans="1:72" s="5" customFormat="1" ht="15.75" x14ac:dyDescent="0.25">
      <c r="A247" s="52"/>
      <c r="B247" s="241" t="str">
        <f>B246</f>
        <v>Large C&amp;I</v>
      </c>
      <c r="C247" s="63" t="s">
        <v>3</v>
      </c>
      <c r="D247" s="61"/>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M247" s="63"/>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S247" s="62"/>
      <c r="BT247" s="51" t="s">
        <v>17</v>
      </c>
    </row>
    <row r="248" spans="1:72" s="5" customFormat="1" x14ac:dyDescent="0.25">
      <c r="A248" s="52"/>
      <c r="B248" s="242" t="str">
        <f t="shared" ref="B248:C259" si="273">B247</f>
        <v>Large C&amp;I</v>
      </c>
      <c r="C248" s="242" t="str">
        <f>C247</f>
        <v>Customers</v>
      </c>
      <c r="D248" s="244" t="s">
        <v>3</v>
      </c>
      <c r="E248" s="77" t="s">
        <v>3</v>
      </c>
      <c r="F248" s="76" t="s">
        <v>48</v>
      </c>
      <c r="G248" s="64">
        <f>IF(G$8=0,0,INDEX('Multi-Year Inputs'!$E$12:$AE$15,MATCH($B248,'Multi-Year Inputs'!$D$12:$D$15,0),MATCH(G$7,'Multi-Year Inputs'!$E$4:$AE$4,0)))</f>
        <v>55.255527025440614</v>
      </c>
      <c r="H248" s="64">
        <f>IF(H$8=0,0,INDEX('Multi-Year Inputs'!$E$12:$AE$15,MATCH($B248,'Multi-Year Inputs'!$D$12:$D$15,0),MATCH(H$7,'Multi-Year Inputs'!$E$4:$AE$4,0)))</f>
        <v>55.255527025440614</v>
      </c>
      <c r="I248" s="64">
        <f>IF(I$8=0,0,INDEX('Multi-Year Inputs'!$E$12:$AE$15,MATCH($B248,'Multi-Year Inputs'!$D$12:$D$15,0),MATCH(I$7,'Multi-Year Inputs'!$E$4:$AE$4,0)))</f>
        <v>55.255527025440614</v>
      </c>
      <c r="J248" s="64">
        <f>IF(J$8=0,0,INDEX('Multi-Year Inputs'!$E$12:$AE$15,MATCH($B248,'Multi-Year Inputs'!$D$12:$D$15,0),MATCH(J$7,'Multi-Year Inputs'!$E$4:$AE$4,0)))</f>
        <v>55.255527025440614</v>
      </c>
      <c r="K248" s="64">
        <f>IF(K$8=0,0,INDEX('Multi-Year Inputs'!$E$12:$AE$15,MATCH($B248,'Multi-Year Inputs'!$D$12:$D$15,0),MATCH(K$7,'Multi-Year Inputs'!$E$4:$AE$4,0)))</f>
        <v>55.255527025440614</v>
      </c>
      <c r="L248" s="64">
        <f>IF(L$8=0,0,INDEX('Multi-Year Inputs'!$E$12:$AE$15,MATCH($B248,'Multi-Year Inputs'!$D$12:$D$15,0),MATCH(L$7,'Multi-Year Inputs'!$E$4:$AE$4,0)))</f>
        <v>55.255527025440614</v>
      </c>
      <c r="M248" s="64">
        <f>IF(M$8=0,0,INDEX('Multi-Year Inputs'!$E$12:$AE$15,MATCH($B248,'Multi-Year Inputs'!$D$12:$D$15,0),MATCH(M$7,'Multi-Year Inputs'!$E$4:$AE$4,0)))</f>
        <v>55.255527025440614</v>
      </c>
      <c r="N248" s="64">
        <f>IF(N$8=0,0,INDEX('Multi-Year Inputs'!$E$12:$AE$15,MATCH($B248,'Multi-Year Inputs'!$D$12:$D$15,0),MATCH(N$7,'Multi-Year Inputs'!$E$4:$AE$4,0)))</f>
        <v>55.255527025440614</v>
      </c>
      <c r="O248" s="64">
        <f>IF(O$8=0,0,INDEX('Multi-Year Inputs'!$E$12:$AE$15,MATCH($B248,'Multi-Year Inputs'!$D$12:$D$15,0),MATCH(O$7,'Multi-Year Inputs'!$E$4:$AE$4,0)))</f>
        <v>55.255527025440614</v>
      </c>
      <c r="P248" s="64">
        <f>IF(P$8=0,0,INDEX('Multi-Year Inputs'!$E$12:$AE$15,MATCH($B248,'Multi-Year Inputs'!$D$12:$D$15,0),MATCH(P$7,'Multi-Year Inputs'!$E$4:$AE$4,0)))</f>
        <v>55.255527025440614</v>
      </c>
      <c r="Q248" s="64">
        <f>IF(Q$8=0,0,INDEX('Multi-Year Inputs'!$E$12:$AE$15,MATCH($B248,'Multi-Year Inputs'!$D$12:$D$15,0),MATCH(Q$7,'Multi-Year Inputs'!$E$4:$AE$4,0)))</f>
        <v>55.255527025440614</v>
      </c>
      <c r="R248" s="64">
        <f>IF(R$8=0,0,INDEX('Multi-Year Inputs'!$E$12:$AE$15,MATCH($B248,'Multi-Year Inputs'!$D$12:$D$15,0),MATCH(R$7,'Multi-Year Inputs'!$E$4:$AE$4,0)))</f>
        <v>55.255527025440614</v>
      </c>
      <c r="S248" s="64">
        <f>IF(S$8=0,0,INDEX('Multi-Year Inputs'!$E$12:$AE$15,MATCH($B248,'Multi-Year Inputs'!$D$12:$D$15,0),MATCH(S$7,'Multi-Year Inputs'!$E$4:$AE$4,0)))</f>
        <v>55.255527025440614</v>
      </c>
      <c r="T248" s="64">
        <f>IF(T$8=0,0,INDEX('Multi-Year Inputs'!$E$12:$AE$15,MATCH($B248,'Multi-Year Inputs'!$D$12:$D$15,0),MATCH(T$7,'Multi-Year Inputs'!$E$4:$AE$4,0)))</f>
        <v>55.255527025440614</v>
      </c>
      <c r="U248" s="64">
        <f>IF(U$8=0,0,INDEX('Multi-Year Inputs'!$E$12:$AE$15,MATCH($B248,'Multi-Year Inputs'!$D$12:$D$15,0),MATCH(U$7,'Multi-Year Inputs'!$E$4:$AE$4,0)))</f>
        <v>55.255527025440614</v>
      </c>
      <c r="V248" s="64">
        <f>IF(V$8=0,0,INDEX('Multi-Year Inputs'!$E$12:$AE$15,MATCH($B248,'Multi-Year Inputs'!$D$12:$D$15,0),MATCH(V$7,'Multi-Year Inputs'!$E$4:$AE$4,0)))</f>
        <v>55.255527025440614</v>
      </c>
      <c r="W248" s="64">
        <f>IF(W$8=0,0,INDEX('Multi-Year Inputs'!$E$12:$AE$15,MATCH($B248,'Multi-Year Inputs'!$D$12:$D$15,0),MATCH(W$7,'Multi-Year Inputs'!$E$4:$AE$4,0)))</f>
        <v>55.255527025440614</v>
      </c>
      <c r="X248" s="64">
        <f>IF(X$8=0,0,INDEX('Multi-Year Inputs'!$E$12:$AE$15,MATCH($B248,'Multi-Year Inputs'!$D$12:$D$15,0),MATCH(X$7,'Multi-Year Inputs'!$E$4:$AE$4,0)))</f>
        <v>55.255527025440614</v>
      </c>
      <c r="Y248" s="64">
        <f>IF(Y$8=0,0,INDEX('Multi-Year Inputs'!$E$12:$AE$15,MATCH($B248,'Multi-Year Inputs'!$D$12:$D$15,0),MATCH(Y$7,'Multi-Year Inputs'!$E$4:$AE$4,0)))</f>
        <v>55.255527025440614</v>
      </c>
      <c r="Z248" s="64">
        <f>IF(Z$8=0,0,INDEX('Multi-Year Inputs'!$E$12:$AE$15,MATCH($B248,'Multi-Year Inputs'!$D$12:$D$15,0),MATCH(Z$7,'Multi-Year Inputs'!$E$4:$AE$4,0)))</f>
        <v>55.255527025440614</v>
      </c>
      <c r="AA248" s="64">
        <f>IF(AA$8=0,0,INDEX('Multi-Year Inputs'!$E$12:$AE$15,MATCH($B248,'Multi-Year Inputs'!$D$12:$D$15,0),MATCH(AA$7,'Multi-Year Inputs'!$E$4:$AE$4,0)))</f>
        <v>55.255527025440614</v>
      </c>
      <c r="AB248" s="64">
        <f>IF(AB$8=0,0,INDEX('Multi-Year Inputs'!$E$12:$AE$15,MATCH($B248,'Multi-Year Inputs'!$D$12:$D$15,0),MATCH(AB$7,'Multi-Year Inputs'!$E$4:$AE$4,0)))</f>
        <v>55.255527025440614</v>
      </c>
      <c r="AC248" s="64">
        <f>IF(AC$8=0,0,INDEX('Multi-Year Inputs'!$E$12:$AE$15,MATCH($B248,'Multi-Year Inputs'!$D$12:$D$15,0),MATCH(AC$7,'Multi-Year Inputs'!$E$4:$AE$4,0)))</f>
        <v>55.255527025440614</v>
      </c>
      <c r="AD248" s="64">
        <f>IF(AD$8=0,0,INDEX('Multi-Year Inputs'!$E$12:$AE$15,MATCH($B248,'Multi-Year Inputs'!$D$12:$D$15,0),MATCH(AD$7,'Multi-Year Inputs'!$E$4:$AE$4,0)))</f>
        <v>55.255527025440614</v>
      </c>
      <c r="AE248" s="64">
        <f>IF(AE$8=0,0,INDEX('Multi-Year Inputs'!$E$12:$AE$15,MATCH($B248,'Multi-Year Inputs'!$D$12:$D$15,0),MATCH(AE$7,'Multi-Year Inputs'!$E$4:$AE$4,0)))</f>
        <v>55.255527025440614</v>
      </c>
      <c r="AF248" s="64">
        <f>IF(AF$8=0,0,INDEX('Multi-Year Inputs'!$E$12:$AE$15,MATCH($B248,'Multi-Year Inputs'!$D$12:$D$15,0),MATCH(AF$7,'Multi-Year Inputs'!$E$4:$AE$4,0)))</f>
        <v>55.255527025440614</v>
      </c>
      <c r="AG248" s="64">
        <f>IF(AG$8=0,0,INDEX('Multi-Year Inputs'!$E$12:$AE$15,MATCH($B248,'Multi-Year Inputs'!$D$12:$D$15,0),MATCH(AG$7,'Multi-Year Inputs'!$E$4:$AE$4,0)))</f>
        <v>55.255527025440614</v>
      </c>
      <c r="AH248" s="64"/>
      <c r="AI248" s="64"/>
      <c r="AJ248" s="64"/>
      <c r="AM248" s="71">
        <f>IF(AM$8=0,0,INDEX('Multi-Year Inputs'!$E$12:$AE$15,MATCH($B248,'Multi-Year Inputs'!$D$12:$D$15,0),MATCH(AM$7,'Multi-Year Inputs'!$E$4:$AE$4,0)))</f>
        <v>55.255527025440614</v>
      </c>
      <c r="AN248" s="71">
        <f>IF(AN$8=0,0,INDEX('Multi-Year Inputs'!$E$12:$AE$15,MATCH($B248,'Multi-Year Inputs'!$D$12:$D$15,0),MATCH(AN$7,'Multi-Year Inputs'!$E$4:$AE$4,0)))</f>
        <v>55.255527025440614</v>
      </c>
      <c r="AO248" s="71">
        <f>IF(AO$8=0,0,INDEX('Multi-Year Inputs'!$E$12:$AE$15,MATCH($B248,'Multi-Year Inputs'!$D$12:$D$15,0),MATCH(AO$7,'Multi-Year Inputs'!$E$4:$AE$4,0)))</f>
        <v>55.255527025440614</v>
      </c>
      <c r="AP248" s="71">
        <f>IF(AP$8=0,0,INDEX('Multi-Year Inputs'!$E$12:$AE$15,MATCH($B248,'Multi-Year Inputs'!$D$12:$D$15,0),MATCH(AP$7,'Multi-Year Inputs'!$E$4:$AE$4,0)))</f>
        <v>55.255527025440614</v>
      </c>
      <c r="AQ248" s="71">
        <f>IF(AQ$8=0,0,INDEX('Multi-Year Inputs'!$E$12:$AE$15,MATCH($B248,'Multi-Year Inputs'!$D$12:$D$15,0),MATCH(AQ$7,'Multi-Year Inputs'!$E$4:$AE$4,0)))</f>
        <v>55.255527025440614</v>
      </c>
      <c r="AR248" s="71">
        <f>IF(AR$8=0,0,INDEX('Multi-Year Inputs'!$E$12:$AE$15,MATCH($B248,'Multi-Year Inputs'!$D$12:$D$15,0),MATCH(AR$7,'Multi-Year Inputs'!$E$4:$AE$4,0)))</f>
        <v>55.255527025440614</v>
      </c>
      <c r="AS248" s="71">
        <f>IF(AS$8=0,0,INDEX('Multi-Year Inputs'!$E$12:$AE$15,MATCH($B248,'Multi-Year Inputs'!$D$12:$D$15,0),MATCH(AS$7,'Multi-Year Inputs'!$E$4:$AE$4,0)))</f>
        <v>55.255527025440614</v>
      </c>
      <c r="AT248" s="71">
        <f>IF(AT$8=0,0,INDEX('Multi-Year Inputs'!$E$12:$AE$15,MATCH($B248,'Multi-Year Inputs'!$D$12:$D$15,0),MATCH(AT$7,'Multi-Year Inputs'!$E$4:$AE$4,0)))</f>
        <v>55.255527025440614</v>
      </c>
      <c r="AU248" s="71">
        <f>IF(AU$8=0,0,INDEX('Multi-Year Inputs'!$E$12:$AE$15,MATCH($B248,'Multi-Year Inputs'!$D$12:$D$15,0),MATCH(AU$7,'Multi-Year Inputs'!$E$4:$AE$4,0)))</f>
        <v>55.255527025440614</v>
      </c>
      <c r="AV248" s="71">
        <f>IF(AV$8=0,0,INDEX('Multi-Year Inputs'!$E$12:$AE$15,MATCH($B248,'Multi-Year Inputs'!$D$12:$D$15,0),MATCH(AV$7,'Multi-Year Inputs'!$E$4:$AE$4,0)))</f>
        <v>55.255527025440614</v>
      </c>
      <c r="AW248" s="71">
        <f>IF(AW$8=0,0,INDEX('Multi-Year Inputs'!$E$12:$AE$15,MATCH($B248,'Multi-Year Inputs'!$D$12:$D$15,0),MATCH(AW$7,'Multi-Year Inputs'!$E$4:$AE$4,0)))</f>
        <v>55.255527025440614</v>
      </c>
      <c r="AX248" s="71">
        <f>IF(AX$8=0,0,INDEX('Multi-Year Inputs'!$E$12:$AE$15,MATCH($B248,'Multi-Year Inputs'!$D$12:$D$15,0),MATCH(AX$7,'Multi-Year Inputs'!$E$4:$AE$4,0)))</f>
        <v>55.255527025440614</v>
      </c>
      <c r="AY248" s="71">
        <f>IF(AY$8=0,0,INDEX('Multi-Year Inputs'!$E$12:$AE$15,MATCH($B248,'Multi-Year Inputs'!$D$12:$D$15,0),MATCH(AY$7,'Multi-Year Inputs'!$E$4:$AE$4,0)))</f>
        <v>55.255527025440614</v>
      </c>
      <c r="AZ248" s="71">
        <f>IF(AZ$8=0,0,INDEX('Multi-Year Inputs'!$E$12:$AE$15,MATCH($B248,'Multi-Year Inputs'!$D$12:$D$15,0),MATCH(AZ$7,'Multi-Year Inputs'!$E$4:$AE$4,0)))</f>
        <v>55.255527025440614</v>
      </c>
      <c r="BA248" s="71">
        <f>IF(BA$8=0,0,INDEX('Multi-Year Inputs'!$E$12:$AE$15,MATCH($B248,'Multi-Year Inputs'!$D$12:$D$15,0),MATCH(BA$7,'Multi-Year Inputs'!$E$4:$AE$4,0)))</f>
        <v>55.255527025440614</v>
      </c>
      <c r="BB248" s="71">
        <f>IF(BB$8=0,0,INDEX('Multi-Year Inputs'!$E$12:$AE$15,MATCH($B248,'Multi-Year Inputs'!$D$12:$D$15,0),MATCH(BB$7,'Multi-Year Inputs'!$E$4:$AE$4,0)))</f>
        <v>55.255527025440614</v>
      </c>
      <c r="BC248" s="71">
        <f>IF(BC$8=0,0,INDEX('Multi-Year Inputs'!$E$12:$AE$15,MATCH($B248,'Multi-Year Inputs'!$D$12:$D$15,0),MATCH(BC$7,'Multi-Year Inputs'!$E$4:$AE$4,0)))</f>
        <v>55.255527025440614</v>
      </c>
      <c r="BD248" s="71">
        <f>IF(BD$8=0,0,INDEX('Multi-Year Inputs'!$E$12:$AE$15,MATCH($B248,'Multi-Year Inputs'!$D$12:$D$15,0),MATCH(BD$7,'Multi-Year Inputs'!$E$4:$AE$4,0)))</f>
        <v>55.255527025440614</v>
      </c>
      <c r="BE248" s="71">
        <f>IF(BE$8=0,0,INDEX('Multi-Year Inputs'!$E$12:$AE$15,MATCH($B248,'Multi-Year Inputs'!$D$12:$D$15,0),MATCH(BE$7,'Multi-Year Inputs'!$E$4:$AE$4,0)))</f>
        <v>55.255527025440614</v>
      </c>
      <c r="BF248" s="71">
        <f>IF(BF$8=0,0,INDEX('Multi-Year Inputs'!$E$12:$AE$15,MATCH($B248,'Multi-Year Inputs'!$D$12:$D$15,0),MATCH(BF$7,'Multi-Year Inputs'!$E$4:$AE$4,0)))</f>
        <v>55.255527025440614</v>
      </c>
      <c r="BG248" s="71">
        <f>IF(BG$8=0,0,INDEX('Multi-Year Inputs'!$E$12:$AE$15,MATCH($B248,'Multi-Year Inputs'!$D$12:$D$15,0),MATCH(BG$7,'Multi-Year Inputs'!$E$4:$AE$4,0)))</f>
        <v>55.255527025440614</v>
      </c>
      <c r="BH248" s="71">
        <f>IF(BH$8=0,0,INDEX('Multi-Year Inputs'!$E$12:$AE$15,MATCH($B248,'Multi-Year Inputs'!$D$12:$D$15,0),MATCH(BH$7,'Multi-Year Inputs'!$E$4:$AE$4,0)))</f>
        <v>55.255527025440614</v>
      </c>
      <c r="BI248" s="71">
        <f>IF(BI$8=0,0,INDEX('Multi-Year Inputs'!$E$12:$AE$15,MATCH($B248,'Multi-Year Inputs'!$D$12:$D$15,0),MATCH(BI$7,'Multi-Year Inputs'!$E$4:$AE$4,0)))</f>
        <v>55.255527025440614</v>
      </c>
      <c r="BJ248" s="71">
        <f>IF(BJ$8=0,0,INDEX('Multi-Year Inputs'!$E$12:$AE$15,MATCH($B248,'Multi-Year Inputs'!$D$12:$D$15,0),MATCH(BJ$7,'Multi-Year Inputs'!$E$4:$AE$4,0)))</f>
        <v>55.255527025440614</v>
      </c>
      <c r="BK248" s="71">
        <f>IF(BK$8=0,0,INDEX('Multi-Year Inputs'!$E$12:$AE$15,MATCH($B248,'Multi-Year Inputs'!$D$12:$D$15,0),MATCH(BK$7,'Multi-Year Inputs'!$E$4:$AE$4,0)))</f>
        <v>55.255527025440614</v>
      </c>
      <c r="BL248" s="71">
        <f>IF(BL$8=0,0,INDEX('Multi-Year Inputs'!$E$12:$AE$15,MATCH($B248,'Multi-Year Inputs'!$D$12:$D$15,0),MATCH(BL$7,'Multi-Year Inputs'!$E$4:$AE$4,0)))</f>
        <v>55.255527025440614</v>
      </c>
      <c r="BM248" s="71">
        <f>IF(BM$8=0,0,INDEX('Multi-Year Inputs'!$E$12:$AE$15,MATCH($B248,'Multi-Year Inputs'!$D$12:$D$15,0),MATCH(BM$7,'Multi-Year Inputs'!$E$4:$AE$4,0)))</f>
        <v>55.255527025440614</v>
      </c>
      <c r="BN248" s="72"/>
      <c r="BO248" s="72"/>
      <c r="BP248" s="72"/>
      <c r="BS248" s="76" t="s">
        <v>89</v>
      </c>
      <c r="BT248" s="51" t="s">
        <v>17</v>
      </c>
    </row>
    <row r="249" spans="1:72" s="5" customFormat="1" x14ac:dyDescent="0.25">
      <c r="A249" s="52"/>
      <c r="B249" s="242" t="str">
        <f t="shared" si="273"/>
        <v>Large C&amp;I</v>
      </c>
      <c r="C249" s="242" t="str">
        <f>C248</f>
        <v>Customers</v>
      </c>
      <c r="D249" s="244" t="s">
        <v>40</v>
      </c>
      <c r="E249" s="77" t="s">
        <v>40</v>
      </c>
      <c r="F249" s="76" t="s">
        <v>2</v>
      </c>
      <c r="G249" s="65" t="str">
        <f ca="1">IF($C$4=Lookups!$D$40,IF(SUM(INDIRECT("'Yr1'!"&amp;ADDRESS(ROW(G249),COLUMN(G249))),INDIRECT("'Yr2'!"&amp;ADDRESS(ROW(G249),COLUMN(G249))),INDIRECT("'Yr3'!"&amp;ADDRESS(ROW(G249),COLUMN(G249))))&gt;0,"3 Yr. total",0),
IF(G$7&lt;$C$4,0,IF(G$8&lt;=SUMIFS('EE Inputs'!$V$9:$V$32,'EE Inputs'!$C$9:$C$32,$G$6,'EE Inputs'!$D$9:$D$32,$C$4,'EE Inputs'!$E$9:$E$32,$B249),SUMIFS('EE Inputs'!$V$9:$V$32,'EE Inputs'!$C$9:$C$32,$G$6,'EE Inputs'!$D$9:$D$32,$C$4,'EE Inputs'!$E$9:$E$32,$B249),0)))</f>
        <v>3 Yr. total</v>
      </c>
      <c r="H249" s="65" t="str">
        <f ca="1">IF($C$4=Lookups!$D$40,IF(SUM(INDIRECT("'Yr1'!"&amp;ADDRESS(ROW(H249),COLUMN(H249))),INDIRECT("'Yr2'!"&amp;ADDRESS(ROW(H249),COLUMN(H249))),INDIRECT("'Yr3'!"&amp;ADDRESS(ROW(H249),COLUMN(H249))))&gt;0,"3 Yr. total",0),
IF(H$7&lt;$C$4,0,IF(H$8&lt;=SUMIFS('EE Inputs'!$V$9:$V$32,'EE Inputs'!$C$9:$C$32,$G$6,'EE Inputs'!$D$9:$D$32,$C$4,'EE Inputs'!$E$9:$E$32,$B249),SUMIFS('EE Inputs'!$V$9:$V$32,'EE Inputs'!$C$9:$C$32,$G$6,'EE Inputs'!$D$9:$D$32,$C$4,'EE Inputs'!$E$9:$E$32,$B249),0)))</f>
        <v>3 Yr. total</v>
      </c>
      <c r="I249" s="65" t="str">
        <f ca="1">IF($C$4=Lookups!$D$40,IF(SUM(INDIRECT("'Yr1'!"&amp;ADDRESS(ROW(I249),COLUMN(I249))),INDIRECT("'Yr2'!"&amp;ADDRESS(ROW(I249),COLUMN(I249))),INDIRECT("'Yr3'!"&amp;ADDRESS(ROW(I249),COLUMN(I249))))&gt;0,"3 Yr. total",0),
IF(I$7&lt;$C$4,0,IF(I$8&lt;=SUMIFS('EE Inputs'!$V$9:$V$32,'EE Inputs'!$C$9:$C$32,$G$6,'EE Inputs'!$D$9:$D$32,$C$4,'EE Inputs'!$E$9:$E$32,$B249),SUMIFS('EE Inputs'!$V$9:$V$32,'EE Inputs'!$C$9:$C$32,$G$6,'EE Inputs'!$D$9:$D$32,$C$4,'EE Inputs'!$E$9:$E$32,$B249),0)))</f>
        <v>3 Yr. total</v>
      </c>
      <c r="J249" s="65" t="str">
        <f ca="1">IF($C$4=Lookups!$D$40,IF(SUM(INDIRECT("'Yr1'!"&amp;ADDRESS(ROW(J249),COLUMN(J249))),INDIRECT("'Yr2'!"&amp;ADDRESS(ROW(J249),COLUMN(J249))),INDIRECT("'Yr3'!"&amp;ADDRESS(ROW(J249),COLUMN(J249))))&gt;0,"3 Yr. total",0),
IF(J$7&lt;$C$4,0,IF(J$8&lt;=SUMIFS('EE Inputs'!$V$9:$V$32,'EE Inputs'!$C$9:$C$32,$G$6,'EE Inputs'!$D$9:$D$32,$C$4,'EE Inputs'!$E$9:$E$32,$B249),SUMIFS('EE Inputs'!$V$9:$V$32,'EE Inputs'!$C$9:$C$32,$G$6,'EE Inputs'!$D$9:$D$32,$C$4,'EE Inputs'!$E$9:$E$32,$B249),0)))</f>
        <v>3 Yr. total</v>
      </c>
      <c r="K249" s="65" t="str">
        <f ca="1">IF($C$4=Lookups!$D$40,IF(SUM(INDIRECT("'Yr1'!"&amp;ADDRESS(ROW(K249),COLUMN(K249))),INDIRECT("'Yr2'!"&amp;ADDRESS(ROW(K249),COLUMN(K249))),INDIRECT("'Yr3'!"&amp;ADDRESS(ROW(K249),COLUMN(K249))))&gt;0,"3 Yr. total",0),
IF(K$7&lt;$C$4,0,IF(K$8&lt;=SUMIFS('EE Inputs'!$V$9:$V$32,'EE Inputs'!$C$9:$C$32,$G$6,'EE Inputs'!$D$9:$D$32,$C$4,'EE Inputs'!$E$9:$E$32,$B249),SUMIFS('EE Inputs'!$V$9:$V$32,'EE Inputs'!$C$9:$C$32,$G$6,'EE Inputs'!$D$9:$D$32,$C$4,'EE Inputs'!$E$9:$E$32,$B249),0)))</f>
        <v>3 Yr. total</v>
      </c>
      <c r="L249" s="65" t="str">
        <f ca="1">IF($C$4=Lookups!$D$40,IF(SUM(INDIRECT("'Yr1'!"&amp;ADDRESS(ROW(L249),COLUMN(L249))),INDIRECT("'Yr2'!"&amp;ADDRESS(ROW(L249),COLUMN(L249))),INDIRECT("'Yr3'!"&amp;ADDRESS(ROW(L249),COLUMN(L249))))&gt;0,"3 Yr. total",0),
IF(L$7&lt;$C$4,0,IF(L$8&lt;=SUMIFS('EE Inputs'!$V$9:$V$32,'EE Inputs'!$C$9:$C$32,$G$6,'EE Inputs'!$D$9:$D$32,$C$4,'EE Inputs'!$E$9:$E$32,$B249),SUMIFS('EE Inputs'!$V$9:$V$32,'EE Inputs'!$C$9:$C$32,$G$6,'EE Inputs'!$D$9:$D$32,$C$4,'EE Inputs'!$E$9:$E$32,$B249),0)))</f>
        <v>3 Yr. total</v>
      </c>
      <c r="M249" s="65" t="str">
        <f ca="1">IF($C$4=Lookups!$D$40,IF(SUM(INDIRECT("'Yr1'!"&amp;ADDRESS(ROW(M249),COLUMN(M249))),INDIRECT("'Yr2'!"&amp;ADDRESS(ROW(M249),COLUMN(M249))),INDIRECT("'Yr3'!"&amp;ADDRESS(ROW(M249),COLUMN(M249))))&gt;0,"3 Yr. total",0),
IF(M$7&lt;$C$4,0,IF(M$8&lt;=SUMIFS('EE Inputs'!$V$9:$V$32,'EE Inputs'!$C$9:$C$32,$G$6,'EE Inputs'!$D$9:$D$32,$C$4,'EE Inputs'!$E$9:$E$32,$B249),SUMIFS('EE Inputs'!$V$9:$V$32,'EE Inputs'!$C$9:$C$32,$G$6,'EE Inputs'!$D$9:$D$32,$C$4,'EE Inputs'!$E$9:$E$32,$B249),0)))</f>
        <v>3 Yr. total</v>
      </c>
      <c r="N249" s="65" t="str">
        <f ca="1">IF($C$4=Lookups!$D$40,IF(SUM(INDIRECT("'Yr1'!"&amp;ADDRESS(ROW(N249),COLUMN(N249))),INDIRECT("'Yr2'!"&amp;ADDRESS(ROW(N249),COLUMN(N249))),INDIRECT("'Yr3'!"&amp;ADDRESS(ROW(N249),COLUMN(N249))))&gt;0,"3 Yr. total",0),
IF(N$7&lt;$C$4,0,IF(N$8&lt;=SUMIFS('EE Inputs'!$V$9:$V$32,'EE Inputs'!$C$9:$C$32,$G$6,'EE Inputs'!$D$9:$D$32,$C$4,'EE Inputs'!$E$9:$E$32,$B249),SUMIFS('EE Inputs'!$V$9:$V$32,'EE Inputs'!$C$9:$C$32,$G$6,'EE Inputs'!$D$9:$D$32,$C$4,'EE Inputs'!$E$9:$E$32,$B249),0)))</f>
        <v>3 Yr. total</v>
      </c>
      <c r="O249" s="65" t="str">
        <f ca="1">IF($C$4=Lookups!$D$40,IF(SUM(INDIRECT("'Yr1'!"&amp;ADDRESS(ROW(O249),COLUMN(O249))),INDIRECT("'Yr2'!"&amp;ADDRESS(ROW(O249),COLUMN(O249))),INDIRECT("'Yr3'!"&amp;ADDRESS(ROW(O249),COLUMN(O249))))&gt;0,"3 Yr. total",0),
IF(O$7&lt;$C$4,0,IF(O$8&lt;=SUMIFS('EE Inputs'!$V$9:$V$32,'EE Inputs'!$C$9:$C$32,$G$6,'EE Inputs'!$D$9:$D$32,$C$4,'EE Inputs'!$E$9:$E$32,$B249),SUMIFS('EE Inputs'!$V$9:$V$32,'EE Inputs'!$C$9:$C$32,$G$6,'EE Inputs'!$D$9:$D$32,$C$4,'EE Inputs'!$E$9:$E$32,$B249),0)))</f>
        <v>3 Yr. total</v>
      </c>
      <c r="P249" s="65" t="str">
        <f ca="1">IF($C$4=Lookups!$D$40,IF(SUM(INDIRECT("'Yr1'!"&amp;ADDRESS(ROW(P249),COLUMN(P249))),INDIRECT("'Yr2'!"&amp;ADDRESS(ROW(P249),COLUMN(P249))),INDIRECT("'Yr3'!"&amp;ADDRESS(ROW(P249),COLUMN(P249))))&gt;0,"3 Yr. total",0),
IF(P$7&lt;$C$4,0,IF(P$8&lt;=SUMIFS('EE Inputs'!$V$9:$V$32,'EE Inputs'!$C$9:$C$32,$G$6,'EE Inputs'!$D$9:$D$32,$C$4,'EE Inputs'!$E$9:$E$32,$B249),SUMIFS('EE Inputs'!$V$9:$V$32,'EE Inputs'!$C$9:$C$32,$G$6,'EE Inputs'!$D$9:$D$32,$C$4,'EE Inputs'!$E$9:$E$32,$B249),0)))</f>
        <v>3 Yr. total</v>
      </c>
      <c r="Q249" s="65" t="str">
        <f ca="1">IF($C$4=Lookups!$D$40,IF(SUM(INDIRECT("'Yr1'!"&amp;ADDRESS(ROW(Q249),COLUMN(Q249))),INDIRECT("'Yr2'!"&amp;ADDRESS(ROW(Q249),COLUMN(Q249))),INDIRECT("'Yr3'!"&amp;ADDRESS(ROW(Q249),COLUMN(Q249))))&gt;0,"3 Yr. total",0),
IF(Q$7&lt;$C$4,0,IF(Q$8&lt;=SUMIFS('EE Inputs'!$V$9:$V$32,'EE Inputs'!$C$9:$C$32,$G$6,'EE Inputs'!$D$9:$D$32,$C$4,'EE Inputs'!$E$9:$E$32,$B249),SUMIFS('EE Inputs'!$V$9:$V$32,'EE Inputs'!$C$9:$C$32,$G$6,'EE Inputs'!$D$9:$D$32,$C$4,'EE Inputs'!$E$9:$E$32,$B249),0)))</f>
        <v>3 Yr. total</v>
      </c>
      <c r="R249" s="65" t="str">
        <f ca="1">IF($C$4=Lookups!$D$40,IF(SUM(INDIRECT("'Yr1'!"&amp;ADDRESS(ROW(R249),COLUMN(R249))),INDIRECT("'Yr2'!"&amp;ADDRESS(ROW(R249),COLUMN(R249))),INDIRECT("'Yr3'!"&amp;ADDRESS(ROW(R249),COLUMN(R249))))&gt;0,"3 Yr. total",0),
IF(R$7&lt;$C$4,0,IF(R$8&lt;=SUMIFS('EE Inputs'!$V$9:$V$32,'EE Inputs'!$C$9:$C$32,$G$6,'EE Inputs'!$D$9:$D$32,$C$4,'EE Inputs'!$E$9:$E$32,$B249),SUMIFS('EE Inputs'!$V$9:$V$32,'EE Inputs'!$C$9:$C$32,$G$6,'EE Inputs'!$D$9:$D$32,$C$4,'EE Inputs'!$E$9:$E$32,$B249),0)))</f>
        <v>3 Yr. total</v>
      </c>
      <c r="S249" s="65" t="str">
        <f ca="1">IF($C$4=Lookups!$D$40,IF(SUM(INDIRECT("'Yr1'!"&amp;ADDRESS(ROW(S249),COLUMN(S249))),INDIRECT("'Yr2'!"&amp;ADDRESS(ROW(S249),COLUMN(S249))),INDIRECT("'Yr3'!"&amp;ADDRESS(ROW(S249),COLUMN(S249))))&gt;0,"3 Yr. total",0),
IF(S$7&lt;$C$4,0,IF(S$8&lt;=SUMIFS('EE Inputs'!$V$9:$V$32,'EE Inputs'!$C$9:$C$32,$G$6,'EE Inputs'!$D$9:$D$32,$C$4,'EE Inputs'!$E$9:$E$32,$B249),SUMIFS('EE Inputs'!$V$9:$V$32,'EE Inputs'!$C$9:$C$32,$G$6,'EE Inputs'!$D$9:$D$32,$C$4,'EE Inputs'!$E$9:$E$32,$B249),0)))</f>
        <v>3 Yr. total</v>
      </c>
      <c r="T249" s="65" t="str">
        <f ca="1">IF($C$4=Lookups!$D$40,IF(SUM(INDIRECT("'Yr1'!"&amp;ADDRESS(ROW(T249),COLUMN(T249))),INDIRECT("'Yr2'!"&amp;ADDRESS(ROW(T249),COLUMN(T249))),INDIRECT("'Yr3'!"&amp;ADDRESS(ROW(T249),COLUMN(T249))))&gt;0,"3 Yr. total",0),
IF(T$7&lt;$C$4,0,IF(T$8&lt;=SUMIFS('EE Inputs'!$V$9:$V$32,'EE Inputs'!$C$9:$C$32,$G$6,'EE Inputs'!$D$9:$D$32,$C$4,'EE Inputs'!$E$9:$E$32,$B249),SUMIFS('EE Inputs'!$V$9:$V$32,'EE Inputs'!$C$9:$C$32,$G$6,'EE Inputs'!$D$9:$D$32,$C$4,'EE Inputs'!$E$9:$E$32,$B249),0)))</f>
        <v>3 Yr. total</v>
      </c>
      <c r="U249" s="65" t="str">
        <f ca="1">IF($C$4=Lookups!$D$40,IF(SUM(INDIRECT("'Yr1'!"&amp;ADDRESS(ROW(U249),COLUMN(U249))),INDIRECT("'Yr2'!"&amp;ADDRESS(ROW(U249),COLUMN(U249))),INDIRECT("'Yr3'!"&amp;ADDRESS(ROW(U249),COLUMN(U249))))&gt;0,"3 Yr. total",0),
IF(U$7&lt;$C$4,0,IF(U$8&lt;=SUMIFS('EE Inputs'!$V$9:$V$32,'EE Inputs'!$C$9:$C$32,$G$6,'EE Inputs'!$D$9:$D$32,$C$4,'EE Inputs'!$E$9:$E$32,$B249),SUMIFS('EE Inputs'!$V$9:$V$32,'EE Inputs'!$C$9:$C$32,$G$6,'EE Inputs'!$D$9:$D$32,$C$4,'EE Inputs'!$E$9:$E$32,$B249),0)))</f>
        <v>3 Yr. total</v>
      </c>
      <c r="V249" s="65">
        <f ca="1">IF($C$4=Lookups!$D$40,IF(SUM(INDIRECT("'Yr1'!"&amp;ADDRESS(ROW(V249),COLUMN(V249))),INDIRECT("'Yr2'!"&amp;ADDRESS(ROW(V249),COLUMN(V249))),INDIRECT("'Yr3'!"&amp;ADDRESS(ROW(V249),COLUMN(V249))))&gt;0,"3 Yr. total",0),
IF(V$7&lt;$C$4,0,IF(V$8&lt;=SUMIFS('EE Inputs'!$V$9:$V$32,'EE Inputs'!$C$9:$C$32,$G$6,'EE Inputs'!$D$9:$D$32,$C$4,'EE Inputs'!$E$9:$E$32,$B249),SUMIFS('EE Inputs'!$V$9:$V$32,'EE Inputs'!$C$9:$C$32,$G$6,'EE Inputs'!$D$9:$D$32,$C$4,'EE Inputs'!$E$9:$E$32,$B249),0)))</f>
        <v>0</v>
      </c>
      <c r="W249" s="65">
        <f ca="1">IF($C$4=Lookups!$D$40,IF(SUM(INDIRECT("'Yr1'!"&amp;ADDRESS(ROW(W249),COLUMN(W249))),INDIRECT("'Yr2'!"&amp;ADDRESS(ROW(W249),COLUMN(W249))),INDIRECT("'Yr3'!"&amp;ADDRESS(ROW(W249),COLUMN(W249))))&gt;0,"3 Yr. total",0),
IF(W$7&lt;$C$4,0,IF(W$8&lt;=SUMIFS('EE Inputs'!$V$9:$V$32,'EE Inputs'!$C$9:$C$32,$G$6,'EE Inputs'!$D$9:$D$32,$C$4,'EE Inputs'!$E$9:$E$32,$B249),SUMIFS('EE Inputs'!$V$9:$V$32,'EE Inputs'!$C$9:$C$32,$G$6,'EE Inputs'!$D$9:$D$32,$C$4,'EE Inputs'!$E$9:$E$32,$B249),0)))</f>
        <v>0</v>
      </c>
      <c r="X249" s="65">
        <f ca="1">IF($C$4=Lookups!$D$40,IF(SUM(INDIRECT("'Yr1'!"&amp;ADDRESS(ROW(X249),COLUMN(X249))),INDIRECT("'Yr2'!"&amp;ADDRESS(ROW(X249),COLUMN(X249))),INDIRECT("'Yr3'!"&amp;ADDRESS(ROW(X249),COLUMN(X249))))&gt;0,"3 Yr. total",0),
IF(X$7&lt;$C$4,0,IF(X$8&lt;=SUMIFS('EE Inputs'!$V$9:$V$32,'EE Inputs'!$C$9:$C$32,$G$6,'EE Inputs'!$D$9:$D$32,$C$4,'EE Inputs'!$E$9:$E$32,$B249),SUMIFS('EE Inputs'!$V$9:$V$32,'EE Inputs'!$C$9:$C$32,$G$6,'EE Inputs'!$D$9:$D$32,$C$4,'EE Inputs'!$E$9:$E$32,$B249),0)))</f>
        <v>0</v>
      </c>
      <c r="Y249" s="65">
        <f ca="1">IF($C$4=Lookups!$D$40,IF(SUM(INDIRECT("'Yr1'!"&amp;ADDRESS(ROW(Y249),COLUMN(Y249))),INDIRECT("'Yr2'!"&amp;ADDRESS(ROW(Y249),COLUMN(Y249))),INDIRECT("'Yr3'!"&amp;ADDRESS(ROW(Y249),COLUMN(Y249))))&gt;0,"3 Yr. total",0),
IF(Y$7&lt;$C$4,0,IF(Y$8&lt;=SUMIFS('EE Inputs'!$V$9:$V$32,'EE Inputs'!$C$9:$C$32,$G$6,'EE Inputs'!$D$9:$D$32,$C$4,'EE Inputs'!$E$9:$E$32,$B249),SUMIFS('EE Inputs'!$V$9:$V$32,'EE Inputs'!$C$9:$C$32,$G$6,'EE Inputs'!$D$9:$D$32,$C$4,'EE Inputs'!$E$9:$E$32,$B249),0)))</f>
        <v>0</v>
      </c>
      <c r="Z249" s="65">
        <f ca="1">IF($C$4=Lookups!$D$40,IF(SUM(INDIRECT("'Yr1'!"&amp;ADDRESS(ROW(Z249),COLUMN(Z249))),INDIRECT("'Yr2'!"&amp;ADDRESS(ROW(Z249),COLUMN(Z249))),INDIRECT("'Yr3'!"&amp;ADDRESS(ROW(Z249),COLUMN(Z249))))&gt;0,"3 Yr. total",0),
IF(Z$7&lt;$C$4,0,IF(Z$8&lt;=SUMIFS('EE Inputs'!$V$9:$V$32,'EE Inputs'!$C$9:$C$32,$G$6,'EE Inputs'!$D$9:$D$32,$C$4,'EE Inputs'!$E$9:$E$32,$B249),SUMIFS('EE Inputs'!$V$9:$V$32,'EE Inputs'!$C$9:$C$32,$G$6,'EE Inputs'!$D$9:$D$32,$C$4,'EE Inputs'!$E$9:$E$32,$B249),0)))</f>
        <v>0</v>
      </c>
      <c r="AA249" s="65">
        <f ca="1">IF($C$4=Lookups!$D$40,IF(SUM(INDIRECT("'Yr1'!"&amp;ADDRESS(ROW(AA249),COLUMN(AA249))),INDIRECT("'Yr2'!"&amp;ADDRESS(ROW(AA249),COLUMN(AA249))),INDIRECT("'Yr3'!"&amp;ADDRESS(ROW(AA249),COLUMN(AA249))))&gt;0,"3 Yr. total",0),
IF(AA$7&lt;$C$4,0,IF(AA$8&lt;=SUMIFS('EE Inputs'!$V$9:$V$32,'EE Inputs'!$C$9:$C$32,$G$6,'EE Inputs'!$D$9:$D$32,$C$4,'EE Inputs'!$E$9:$E$32,$B249),SUMIFS('EE Inputs'!$V$9:$V$32,'EE Inputs'!$C$9:$C$32,$G$6,'EE Inputs'!$D$9:$D$32,$C$4,'EE Inputs'!$E$9:$E$32,$B249),0)))</f>
        <v>0</v>
      </c>
      <c r="AB249" s="65">
        <f ca="1">IF($C$4=Lookups!$D$40,IF(SUM(INDIRECT("'Yr1'!"&amp;ADDRESS(ROW(AB249),COLUMN(AB249))),INDIRECT("'Yr2'!"&amp;ADDRESS(ROW(AB249),COLUMN(AB249))),INDIRECT("'Yr3'!"&amp;ADDRESS(ROW(AB249),COLUMN(AB249))))&gt;0,"3 Yr. total",0),
IF(AB$7&lt;$C$4,0,IF(AB$8&lt;=SUMIFS('EE Inputs'!$V$9:$V$32,'EE Inputs'!$C$9:$C$32,$G$6,'EE Inputs'!$D$9:$D$32,$C$4,'EE Inputs'!$E$9:$E$32,$B249),SUMIFS('EE Inputs'!$V$9:$V$32,'EE Inputs'!$C$9:$C$32,$G$6,'EE Inputs'!$D$9:$D$32,$C$4,'EE Inputs'!$E$9:$E$32,$B249),0)))</f>
        <v>0</v>
      </c>
      <c r="AC249" s="65">
        <f ca="1">IF($C$4=Lookups!$D$40,IF(SUM(INDIRECT("'Yr1'!"&amp;ADDRESS(ROW(AC249),COLUMN(AC249))),INDIRECT("'Yr2'!"&amp;ADDRESS(ROW(AC249),COLUMN(AC249))),INDIRECT("'Yr3'!"&amp;ADDRESS(ROW(AC249),COLUMN(AC249))))&gt;0,"3 Yr. total",0),
IF(AC$7&lt;$C$4,0,IF(AC$8&lt;=SUMIFS('EE Inputs'!$V$9:$V$32,'EE Inputs'!$C$9:$C$32,$G$6,'EE Inputs'!$D$9:$D$32,$C$4,'EE Inputs'!$E$9:$E$32,$B249),SUMIFS('EE Inputs'!$V$9:$V$32,'EE Inputs'!$C$9:$C$32,$G$6,'EE Inputs'!$D$9:$D$32,$C$4,'EE Inputs'!$E$9:$E$32,$B249),0)))</f>
        <v>0</v>
      </c>
      <c r="AD249" s="65">
        <f ca="1">IF($C$4=Lookups!$D$40,IF(SUM(INDIRECT("'Yr1'!"&amp;ADDRESS(ROW(AD249),COLUMN(AD249))),INDIRECT("'Yr2'!"&amp;ADDRESS(ROW(AD249),COLUMN(AD249))),INDIRECT("'Yr3'!"&amp;ADDRESS(ROW(AD249),COLUMN(AD249))))&gt;0,"3 Yr. total",0),
IF(AD$7&lt;$C$4,0,IF(AD$8&lt;=SUMIFS('EE Inputs'!$V$9:$V$32,'EE Inputs'!$C$9:$C$32,$G$6,'EE Inputs'!$D$9:$D$32,$C$4,'EE Inputs'!$E$9:$E$32,$B249),SUMIFS('EE Inputs'!$V$9:$V$32,'EE Inputs'!$C$9:$C$32,$G$6,'EE Inputs'!$D$9:$D$32,$C$4,'EE Inputs'!$E$9:$E$32,$B249),0)))</f>
        <v>0</v>
      </c>
      <c r="AE249" s="65">
        <f ca="1">IF($C$4=Lookups!$D$40,IF(SUM(INDIRECT("'Yr1'!"&amp;ADDRESS(ROW(AE249),COLUMN(AE249))),INDIRECT("'Yr2'!"&amp;ADDRESS(ROW(AE249),COLUMN(AE249))),INDIRECT("'Yr3'!"&amp;ADDRESS(ROW(AE249),COLUMN(AE249))))&gt;0,"3 Yr. total",0),
IF(AE$7&lt;$C$4,0,IF(AE$8&lt;=SUMIFS('EE Inputs'!$V$9:$V$32,'EE Inputs'!$C$9:$C$32,$G$6,'EE Inputs'!$D$9:$D$32,$C$4,'EE Inputs'!$E$9:$E$32,$B249),SUMIFS('EE Inputs'!$V$9:$V$32,'EE Inputs'!$C$9:$C$32,$G$6,'EE Inputs'!$D$9:$D$32,$C$4,'EE Inputs'!$E$9:$E$32,$B249),0)))</f>
        <v>0</v>
      </c>
      <c r="AF249" s="65">
        <f ca="1">IF($C$4=Lookups!$D$40,IF(SUM(INDIRECT("'Yr1'!"&amp;ADDRESS(ROW(AF249),COLUMN(AF249))),INDIRECT("'Yr2'!"&amp;ADDRESS(ROW(AF249),COLUMN(AF249))),INDIRECT("'Yr3'!"&amp;ADDRESS(ROW(AF249),COLUMN(AF249))))&gt;0,"3 Yr. total",0),
IF(AF$7&lt;$C$4,0,IF(AF$8&lt;=SUMIFS('EE Inputs'!$V$9:$V$32,'EE Inputs'!$C$9:$C$32,$G$6,'EE Inputs'!$D$9:$D$32,$C$4,'EE Inputs'!$E$9:$E$32,$B249),SUMIFS('EE Inputs'!$V$9:$V$32,'EE Inputs'!$C$9:$C$32,$G$6,'EE Inputs'!$D$9:$D$32,$C$4,'EE Inputs'!$E$9:$E$32,$B249),0)))</f>
        <v>0</v>
      </c>
      <c r="AG249" s="65">
        <f ca="1">IF($C$4=Lookups!$D$40,IF(SUM(INDIRECT("'Yr1'!"&amp;ADDRESS(ROW(AG249),COLUMN(AG249))),INDIRECT("'Yr2'!"&amp;ADDRESS(ROW(AG249),COLUMN(AG249))),INDIRECT("'Yr3'!"&amp;ADDRESS(ROW(AG249),COLUMN(AG249))))&gt;0,"3 Yr. total",0),
IF(AG$7&lt;$C$4,0,IF(AG$8&lt;=SUMIFS('EE Inputs'!$V$9:$V$32,'EE Inputs'!$C$9:$C$32,$G$6,'EE Inputs'!$D$9:$D$32,$C$4,'EE Inputs'!$E$9:$E$32,$B249),SUMIFS('EE Inputs'!$V$9:$V$32,'EE Inputs'!$C$9:$C$32,$G$6,'EE Inputs'!$D$9:$D$32,$C$4,'EE Inputs'!$E$9:$E$32,$B249),0)))</f>
        <v>0</v>
      </c>
      <c r="AH249" s="65"/>
      <c r="AI249" s="65"/>
      <c r="AJ249" s="65"/>
      <c r="AM249" s="72" t="str">
        <f ca="1">IF($C$4=Lookups!$D$40,IF(SUM(INDIRECT("'Yr1'!"&amp;ADDRESS(ROW(AM249),COLUMN(AM249))),INDIRECT("'Yr2'!"&amp;ADDRESS(ROW(AM249),COLUMN(AM249))),INDIRECT("'Yr3'!"&amp;ADDRESS(ROW(AM249),COLUMN(AM249))))&gt;0,"3 Yr. total",0),
IF(AM$7&lt;$C$4,0,IF(AM$8&lt;=SUMIFS('EE Inputs'!$V$9:$V$32,'EE Inputs'!$C$9:$C$32,$AM$6,'EE Inputs'!$D$9:$D$32,$C$4,'EE Inputs'!$E$9:$E$32,$B249),SUMIFS('EE Inputs'!$V$9:$V$32,'EE Inputs'!$C$9:$C$32,$AM$6,'EE Inputs'!$D$9:$D$32,$C$4,'EE Inputs'!$E$9:$E$32,$B249),0)))</f>
        <v>3 Yr. total</v>
      </c>
      <c r="AN249" s="72" t="str">
        <f ca="1">IF($C$4=Lookups!$D$40,IF(SUM(INDIRECT("'Yr1'!"&amp;ADDRESS(ROW(AN249),COLUMN(AN249))),INDIRECT("'Yr2'!"&amp;ADDRESS(ROW(AN249),COLUMN(AN249))),INDIRECT("'Yr3'!"&amp;ADDRESS(ROW(AN249),COLUMN(AN249))))&gt;0,"3 Yr. total",0),
IF(AN$7&lt;$C$4,0,IF(AN$8&lt;=SUMIFS('EE Inputs'!$V$9:$V$32,'EE Inputs'!$C$9:$C$32,$AM$6,'EE Inputs'!$D$9:$D$32,$C$4,'EE Inputs'!$E$9:$E$32,$B249),SUMIFS('EE Inputs'!$V$9:$V$32,'EE Inputs'!$C$9:$C$32,$AM$6,'EE Inputs'!$D$9:$D$32,$C$4,'EE Inputs'!$E$9:$E$32,$B249),0)))</f>
        <v>3 Yr. total</v>
      </c>
      <c r="AO249" s="72" t="str">
        <f ca="1">IF($C$4=Lookups!$D$40,IF(SUM(INDIRECT("'Yr1'!"&amp;ADDRESS(ROW(AO249),COLUMN(AO249))),INDIRECT("'Yr2'!"&amp;ADDRESS(ROW(AO249),COLUMN(AO249))),INDIRECT("'Yr3'!"&amp;ADDRESS(ROW(AO249),COLUMN(AO249))))&gt;0,"3 Yr. total",0),
IF(AO$7&lt;$C$4,0,IF(AO$8&lt;=SUMIFS('EE Inputs'!$V$9:$V$32,'EE Inputs'!$C$9:$C$32,$AM$6,'EE Inputs'!$D$9:$D$32,$C$4,'EE Inputs'!$E$9:$E$32,$B249),SUMIFS('EE Inputs'!$V$9:$V$32,'EE Inputs'!$C$9:$C$32,$AM$6,'EE Inputs'!$D$9:$D$32,$C$4,'EE Inputs'!$E$9:$E$32,$B249),0)))</f>
        <v>3 Yr. total</v>
      </c>
      <c r="AP249" s="72" t="str">
        <f ca="1">IF($C$4=Lookups!$D$40,IF(SUM(INDIRECT("'Yr1'!"&amp;ADDRESS(ROW(AP249),COLUMN(AP249))),INDIRECT("'Yr2'!"&amp;ADDRESS(ROW(AP249),COLUMN(AP249))),INDIRECT("'Yr3'!"&amp;ADDRESS(ROW(AP249),COLUMN(AP249))))&gt;0,"3 Yr. total",0),
IF(AP$7&lt;$C$4,0,IF(AP$8&lt;=SUMIFS('EE Inputs'!$V$9:$V$32,'EE Inputs'!$C$9:$C$32,$AM$6,'EE Inputs'!$D$9:$D$32,$C$4,'EE Inputs'!$E$9:$E$32,$B249),SUMIFS('EE Inputs'!$V$9:$V$32,'EE Inputs'!$C$9:$C$32,$AM$6,'EE Inputs'!$D$9:$D$32,$C$4,'EE Inputs'!$E$9:$E$32,$B249),0)))</f>
        <v>3 Yr. total</v>
      </c>
      <c r="AQ249" s="72" t="str">
        <f ca="1">IF($C$4=Lookups!$D$40,IF(SUM(INDIRECT("'Yr1'!"&amp;ADDRESS(ROW(AQ249),COLUMN(AQ249))),INDIRECT("'Yr2'!"&amp;ADDRESS(ROW(AQ249),COLUMN(AQ249))),INDIRECT("'Yr3'!"&amp;ADDRESS(ROW(AQ249),COLUMN(AQ249))))&gt;0,"3 Yr. total",0),
IF(AQ$7&lt;$C$4,0,IF(AQ$8&lt;=SUMIFS('EE Inputs'!$V$9:$V$32,'EE Inputs'!$C$9:$C$32,$AM$6,'EE Inputs'!$D$9:$D$32,$C$4,'EE Inputs'!$E$9:$E$32,$B249),SUMIFS('EE Inputs'!$V$9:$V$32,'EE Inputs'!$C$9:$C$32,$AM$6,'EE Inputs'!$D$9:$D$32,$C$4,'EE Inputs'!$E$9:$E$32,$B249),0)))</f>
        <v>3 Yr. total</v>
      </c>
      <c r="AR249" s="72" t="str">
        <f ca="1">IF($C$4=Lookups!$D$40,IF(SUM(INDIRECT("'Yr1'!"&amp;ADDRESS(ROW(AR249),COLUMN(AR249))),INDIRECT("'Yr2'!"&amp;ADDRESS(ROW(AR249),COLUMN(AR249))),INDIRECT("'Yr3'!"&amp;ADDRESS(ROW(AR249),COLUMN(AR249))))&gt;0,"3 Yr. total",0),
IF(AR$7&lt;$C$4,0,IF(AR$8&lt;=SUMIFS('EE Inputs'!$V$9:$V$32,'EE Inputs'!$C$9:$C$32,$AM$6,'EE Inputs'!$D$9:$D$32,$C$4,'EE Inputs'!$E$9:$E$32,$B249),SUMIFS('EE Inputs'!$V$9:$V$32,'EE Inputs'!$C$9:$C$32,$AM$6,'EE Inputs'!$D$9:$D$32,$C$4,'EE Inputs'!$E$9:$E$32,$B249),0)))</f>
        <v>3 Yr. total</v>
      </c>
      <c r="AS249" s="72" t="str">
        <f ca="1">IF($C$4=Lookups!$D$40,IF(SUM(INDIRECT("'Yr1'!"&amp;ADDRESS(ROW(AS249),COLUMN(AS249))),INDIRECT("'Yr2'!"&amp;ADDRESS(ROW(AS249),COLUMN(AS249))),INDIRECT("'Yr3'!"&amp;ADDRESS(ROW(AS249),COLUMN(AS249))))&gt;0,"3 Yr. total",0),
IF(AS$7&lt;$C$4,0,IF(AS$8&lt;=SUMIFS('EE Inputs'!$V$9:$V$32,'EE Inputs'!$C$9:$C$32,$AM$6,'EE Inputs'!$D$9:$D$32,$C$4,'EE Inputs'!$E$9:$E$32,$B249),SUMIFS('EE Inputs'!$V$9:$V$32,'EE Inputs'!$C$9:$C$32,$AM$6,'EE Inputs'!$D$9:$D$32,$C$4,'EE Inputs'!$E$9:$E$32,$B249),0)))</f>
        <v>3 Yr. total</v>
      </c>
      <c r="AT249" s="72" t="str">
        <f ca="1">IF($C$4=Lookups!$D$40,IF(SUM(INDIRECT("'Yr1'!"&amp;ADDRESS(ROW(AT249),COLUMN(AT249))),INDIRECT("'Yr2'!"&amp;ADDRESS(ROW(AT249),COLUMN(AT249))),INDIRECT("'Yr3'!"&amp;ADDRESS(ROW(AT249),COLUMN(AT249))))&gt;0,"3 Yr. total",0),
IF(AT$7&lt;$C$4,0,IF(AT$8&lt;=SUMIFS('EE Inputs'!$V$9:$V$32,'EE Inputs'!$C$9:$C$32,$AM$6,'EE Inputs'!$D$9:$D$32,$C$4,'EE Inputs'!$E$9:$E$32,$B249),SUMIFS('EE Inputs'!$V$9:$V$32,'EE Inputs'!$C$9:$C$32,$AM$6,'EE Inputs'!$D$9:$D$32,$C$4,'EE Inputs'!$E$9:$E$32,$B249),0)))</f>
        <v>3 Yr. total</v>
      </c>
      <c r="AU249" s="72" t="str">
        <f ca="1">IF($C$4=Lookups!$D$40,IF(SUM(INDIRECT("'Yr1'!"&amp;ADDRESS(ROW(AU249),COLUMN(AU249))),INDIRECT("'Yr2'!"&amp;ADDRESS(ROW(AU249),COLUMN(AU249))),INDIRECT("'Yr3'!"&amp;ADDRESS(ROW(AU249),COLUMN(AU249))))&gt;0,"3 Yr. total",0),
IF(AU$7&lt;$C$4,0,IF(AU$8&lt;=SUMIFS('EE Inputs'!$V$9:$V$32,'EE Inputs'!$C$9:$C$32,$AM$6,'EE Inputs'!$D$9:$D$32,$C$4,'EE Inputs'!$E$9:$E$32,$B249),SUMIFS('EE Inputs'!$V$9:$V$32,'EE Inputs'!$C$9:$C$32,$AM$6,'EE Inputs'!$D$9:$D$32,$C$4,'EE Inputs'!$E$9:$E$32,$B249),0)))</f>
        <v>3 Yr. total</v>
      </c>
      <c r="AV249" s="72" t="str">
        <f ca="1">IF($C$4=Lookups!$D$40,IF(SUM(INDIRECT("'Yr1'!"&amp;ADDRESS(ROW(AV249),COLUMN(AV249))),INDIRECT("'Yr2'!"&amp;ADDRESS(ROW(AV249),COLUMN(AV249))),INDIRECT("'Yr3'!"&amp;ADDRESS(ROW(AV249),COLUMN(AV249))))&gt;0,"3 Yr. total",0),
IF(AV$7&lt;$C$4,0,IF(AV$8&lt;=SUMIFS('EE Inputs'!$V$9:$V$32,'EE Inputs'!$C$9:$C$32,$AM$6,'EE Inputs'!$D$9:$D$32,$C$4,'EE Inputs'!$E$9:$E$32,$B249),SUMIFS('EE Inputs'!$V$9:$V$32,'EE Inputs'!$C$9:$C$32,$AM$6,'EE Inputs'!$D$9:$D$32,$C$4,'EE Inputs'!$E$9:$E$32,$B249),0)))</f>
        <v>3 Yr. total</v>
      </c>
      <c r="AW249" s="72" t="str">
        <f ca="1">IF($C$4=Lookups!$D$40,IF(SUM(INDIRECT("'Yr1'!"&amp;ADDRESS(ROW(AW249),COLUMN(AW249))),INDIRECT("'Yr2'!"&amp;ADDRESS(ROW(AW249),COLUMN(AW249))),INDIRECT("'Yr3'!"&amp;ADDRESS(ROW(AW249),COLUMN(AW249))))&gt;0,"3 Yr. total",0),
IF(AW$7&lt;$C$4,0,IF(AW$8&lt;=SUMIFS('EE Inputs'!$V$9:$V$32,'EE Inputs'!$C$9:$C$32,$AM$6,'EE Inputs'!$D$9:$D$32,$C$4,'EE Inputs'!$E$9:$E$32,$B249),SUMIFS('EE Inputs'!$V$9:$V$32,'EE Inputs'!$C$9:$C$32,$AM$6,'EE Inputs'!$D$9:$D$32,$C$4,'EE Inputs'!$E$9:$E$32,$B249),0)))</f>
        <v>3 Yr. total</v>
      </c>
      <c r="AX249" s="72" t="str">
        <f ca="1">IF($C$4=Lookups!$D$40,IF(SUM(INDIRECT("'Yr1'!"&amp;ADDRESS(ROW(AX249),COLUMN(AX249))),INDIRECT("'Yr2'!"&amp;ADDRESS(ROW(AX249),COLUMN(AX249))),INDIRECT("'Yr3'!"&amp;ADDRESS(ROW(AX249),COLUMN(AX249))))&gt;0,"3 Yr. total",0),
IF(AX$7&lt;$C$4,0,IF(AX$8&lt;=SUMIFS('EE Inputs'!$V$9:$V$32,'EE Inputs'!$C$9:$C$32,$AM$6,'EE Inputs'!$D$9:$D$32,$C$4,'EE Inputs'!$E$9:$E$32,$B249),SUMIFS('EE Inputs'!$V$9:$V$32,'EE Inputs'!$C$9:$C$32,$AM$6,'EE Inputs'!$D$9:$D$32,$C$4,'EE Inputs'!$E$9:$E$32,$B249),0)))</f>
        <v>3 Yr. total</v>
      </c>
      <c r="AY249" s="72" t="str">
        <f ca="1">IF($C$4=Lookups!$D$40,IF(SUM(INDIRECT("'Yr1'!"&amp;ADDRESS(ROW(AY249),COLUMN(AY249))),INDIRECT("'Yr2'!"&amp;ADDRESS(ROW(AY249),COLUMN(AY249))),INDIRECT("'Yr3'!"&amp;ADDRESS(ROW(AY249),COLUMN(AY249))))&gt;0,"3 Yr. total",0),
IF(AY$7&lt;$C$4,0,IF(AY$8&lt;=SUMIFS('EE Inputs'!$V$9:$V$32,'EE Inputs'!$C$9:$C$32,$AM$6,'EE Inputs'!$D$9:$D$32,$C$4,'EE Inputs'!$E$9:$E$32,$B249),SUMIFS('EE Inputs'!$V$9:$V$32,'EE Inputs'!$C$9:$C$32,$AM$6,'EE Inputs'!$D$9:$D$32,$C$4,'EE Inputs'!$E$9:$E$32,$B249),0)))</f>
        <v>3 Yr. total</v>
      </c>
      <c r="AZ249" s="72" t="str">
        <f ca="1">IF($C$4=Lookups!$D$40,IF(SUM(INDIRECT("'Yr1'!"&amp;ADDRESS(ROW(AZ249),COLUMN(AZ249))),INDIRECT("'Yr2'!"&amp;ADDRESS(ROW(AZ249),COLUMN(AZ249))),INDIRECT("'Yr3'!"&amp;ADDRESS(ROW(AZ249),COLUMN(AZ249))))&gt;0,"3 Yr. total",0),
IF(AZ$7&lt;$C$4,0,IF(AZ$8&lt;=SUMIFS('EE Inputs'!$V$9:$V$32,'EE Inputs'!$C$9:$C$32,$AM$6,'EE Inputs'!$D$9:$D$32,$C$4,'EE Inputs'!$E$9:$E$32,$B249),SUMIFS('EE Inputs'!$V$9:$V$32,'EE Inputs'!$C$9:$C$32,$AM$6,'EE Inputs'!$D$9:$D$32,$C$4,'EE Inputs'!$E$9:$E$32,$B249),0)))</f>
        <v>3 Yr. total</v>
      </c>
      <c r="BA249" s="72" t="str">
        <f ca="1">IF($C$4=Lookups!$D$40,IF(SUM(INDIRECT("'Yr1'!"&amp;ADDRESS(ROW(BA249),COLUMN(BA249))),INDIRECT("'Yr2'!"&amp;ADDRESS(ROW(BA249),COLUMN(BA249))),INDIRECT("'Yr3'!"&amp;ADDRESS(ROW(BA249),COLUMN(BA249))))&gt;0,"3 Yr. total",0),
IF(BA$7&lt;$C$4,0,IF(BA$8&lt;=SUMIFS('EE Inputs'!$V$9:$V$32,'EE Inputs'!$C$9:$C$32,$AM$6,'EE Inputs'!$D$9:$D$32,$C$4,'EE Inputs'!$E$9:$E$32,$B249),SUMIFS('EE Inputs'!$V$9:$V$32,'EE Inputs'!$C$9:$C$32,$AM$6,'EE Inputs'!$D$9:$D$32,$C$4,'EE Inputs'!$E$9:$E$32,$B249),0)))</f>
        <v>3 Yr. total</v>
      </c>
      <c r="BB249" s="72">
        <f ca="1">IF($C$4=Lookups!$D$40,IF(SUM(INDIRECT("'Yr1'!"&amp;ADDRESS(ROW(BB249),COLUMN(BB249))),INDIRECT("'Yr2'!"&amp;ADDRESS(ROW(BB249),COLUMN(BB249))),INDIRECT("'Yr3'!"&amp;ADDRESS(ROW(BB249),COLUMN(BB249))))&gt;0,"3 Yr. total",0),
IF(BB$7&lt;$C$4,0,IF(BB$8&lt;=SUMIFS('EE Inputs'!$V$9:$V$32,'EE Inputs'!$C$9:$C$32,$AM$6,'EE Inputs'!$D$9:$D$32,$C$4,'EE Inputs'!$E$9:$E$32,$B249),SUMIFS('EE Inputs'!$V$9:$V$32,'EE Inputs'!$C$9:$C$32,$AM$6,'EE Inputs'!$D$9:$D$32,$C$4,'EE Inputs'!$E$9:$E$32,$B249),0)))</f>
        <v>0</v>
      </c>
      <c r="BC249" s="72">
        <f ca="1">IF($C$4=Lookups!$D$40,IF(SUM(INDIRECT("'Yr1'!"&amp;ADDRESS(ROW(BC249),COLUMN(BC249))),INDIRECT("'Yr2'!"&amp;ADDRESS(ROW(BC249),COLUMN(BC249))),INDIRECT("'Yr3'!"&amp;ADDRESS(ROW(BC249),COLUMN(BC249))))&gt;0,"3 Yr. total",0),
IF(BC$7&lt;$C$4,0,IF(BC$8&lt;=SUMIFS('EE Inputs'!$V$9:$V$32,'EE Inputs'!$C$9:$C$32,$AM$6,'EE Inputs'!$D$9:$D$32,$C$4,'EE Inputs'!$E$9:$E$32,$B249),SUMIFS('EE Inputs'!$V$9:$V$32,'EE Inputs'!$C$9:$C$32,$AM$6,'EE Inputs'!$D$9:$D$32,$C$4,'EE Inputs'!$E$9:$E$32,$B249),0)))</f>
        <v>0</v>
      </c>
      <c r="BD249" s="72">
        <f ca="1">IF($C$4=Lookups!$D$40,IF(SUM(INDIRECT("'Yr1'!"&amp;ADDRESS(ROW(BD249),COLUMN(BD249))),INDIRECT("'Yr2'!"&amp;ADDRESS(ROW(BD249),COLUMN(BD249))),INDIRECT("'Yr3'!"&amp;ADDRESS(ROW(BD249),COLUMN(BD249))))&gt;0,"3 Yr. total",0),
IF(BD$7&lt;$C$4,0,IF(BD$8&lt;=SUMIFS('EE Inputs'!$V$9:$V$32,'EE Inputs'!$C$9:$C$32,$AM$6,'EE Inputs'!$D$9:$D$32,$C$4,'EE Inputs'!$E$9:$E$32,$B249),SUMIFS('EE Inputs'!$V$9:$V$32,'EE Inputs'!$C$9:$C$32,$AM$6,'EE Inputs'!$D$9:$D$32,$C$4,'EE Inputs'!$E$9:$E$32,$B249),0)))</f>
        <v>0</v>
      </c>
      <c r="BE249" s="72">
        <f ca="1">IF($C$4=Lookups!$D$40,IF(SUM(INDIRECT("'Yr1'!"&amp;ADDRESS(ROW(BE249),COLUMN(BE249))),INDIRECT("'Yr2'!"&amp;ADDRESS(ROW(BE249),COLUMN(BE249))),INDIRECT("'Yr3'!"&amp;ADDRESS(ROW(BE249),COLUMN(BE249))))&gt;0,"3 Yr. total",0),
IF(BE$7&lt;$C$4,0,IF(BE$8&lt;=SUMIFS('EE Inputs'!$V$9:$V$32,'EE Inputs'!$C$9:$C$32,$AM$6,'EE Inputs'!$D$9:$D$32,$C$4,'EE Inputs'!$E$9:$E$32,$B249),SUMIFS('EE Inputs'!$V$9:$V$32,'EE Inputs'!$C$9:$C$32,$AM$6,'EE Inputs'!$D$9:$D$32,$C$4,'EE Inputs'!$E$9:$E$32,$B249),0)))</f>
        <v>0</v>
      </c>
      <c r="BF249" s="72">
        <f ca="1">IF($C$4=Lookups!$D$40,IF(SUM(INDIRECT("'Yr1'!"&amp;ADDRESS(ROW(BF249),COLUMN(BF249))),INDIRECT("'Yr2'!"&amp;ADDRESS(ROW(BF249),COLUMN(BF249))),INDIRECT("'Yr3'!"&amp;ADDRESS(ROW(BF249),COLUMN(BF249))))&gt;0,"3 Yr. total",0),
IF(BF$7&lt;$C$4,0,IF(BF$8&lt;=SUMIFS('EE Inputs'!$V$9:$V$32,'EE Inputs'!$C$9:$C$32,$AM$6,'EE Inputs'!$D$9:$D$32,$C$4,'EE Inputs'!$E$9:$E$32,$B249),SUMIFS('EE Inputs'!$V$9:$V$32,'EE Inputs'!$C$9:$C$32,$AM$6,'EE Inputs'!$D$9:$D$32,$C$4,'EE Inputs'!$E$9:$E$32,$B249),0)))</f>
        <v>0</v>
      </c>
      <c r="BG249" s="72">
        <f ca="1">IF($C$4=Lookups!$D$40,IF(SUM(INDIRECT("'Yr1'!"&amp;ADDRESS(ROW(BG249),COLUMN(BG249))),INDIRECT("'Yr2'!"&amp;ADDRESS(ROW(BG249),COLUMN(BG249))),INDIRECT("'Yr3'!"&amp;ADDRESS(ROW(BG249),COLUMN(BG249))))&gt;0,"3 Yr. total",0),
IF(BG$7&lt;$C$4,0,IF(BG$8&lt;=SUMIFS('EE Inputs'!$V$9:$V$32,'EE Inputs'!$C$9:$C$32,$AM$6,'EE Inputs'!$D$9:$D$32,$C$4,'EE Inputs'!$E$9:$E$32,$B249),SUMIFS('EE Inputs'!$V$9:$V$32,'EE Inputs'!$C$9:$C$32,$AM$6,'EE Inputs'!$D$9:$D$32,$C$4,'EE Inputs'!$E$9:$E$32,$B249),0)))</f>
        <v>0</v>
      </c>
      <c r="BH249" s="72">
        <f ca="1">IF($C$4=Lookups!$D$40,IF(SUM(INDIRECT("'Yr1'!"&amp;ADDRESS(ROW(BH249),COLUMN(BH249))),INDIRECT("'Yr2'!"&amp;ADDRESS(ROW(BH249),COLUMN(BH249))),INDIRECT("'Yr3'!"&amp;ADDRESS(ROW(BH249),COLUMN(BH249))))&gt;0,"3 Yr. total",0),
IF(BH$7&lt;$C$4,0,IF(BH$8&lt;=SUMIFS('EE Inputs'!$V$9:$V$32,'EE Inputs'!$C$9:$C$32,$AM$6,'EE Inputs'!$D$9:$D$32,$C$4,'EE Inputs'!$E$9:$E$32,$B249),SUMIFS('EE Inputs'!$V$9:$V$32,'EE Inputs'!$C$9:$C$32,$AM$6,'EE Inputs'!$D$9:$D$32,$C$4,'EE Inputs'!$E$9:$E$32,$B249),0)))</f>
        <v>0</v>
      </c>
      <c r="BI249" s="72">
        <f ca="1">IF($C$4=Lookups!$D$40,IF(SUM(INDIRECT("'Yr1'!"&amp;ADDRESS(ROW(BI249),COLUMN(BI249))),INDIRECT("'Yr2'!"&amp;ADDRESS(ROW(BI249),COLUMN(BI249))),INDIRECT("'Yr3'!"&amp;ADDRESS(ROW(BI249),COLUMN(BI249))))&gt;0,"3 Yr. total",0),
IF(BI$7&lt;$C$4,0,IF(BI$8&lt;=SUMIFS('EE Inputs'!$V$9:$V$32,'EE Inputs'!$C$9:$C$32,$AM$6,'EE Inputs'!$D$9:$D$32,$C$4,'EE Inputs'!$E$9:$E$32,$B249),SUMIFS('EE Inputs'!$V$9:$V$32,'EE Inputs'!$C$9:$C$32,$AM$6,'EE Inputs'!$D$9:$D$32,$C$4,'EE Inputs'!$E$9:$E$32,$B249),0)))</f>
        <v>0</v>
      </c>
      <c r="BJ249" s="72">
        <f ca="1">IF($C$4=Lookups!$D$40,IF(SUM(INDIRECT("'Yr1'!"&amp;ADDRESS(ROW(BJ249),COLUMN(BJ249))),INDIRECT("'Yr2'!"&amp;ADDRESS(ROW(BJ249),COLUMN(BJ249))),INDIRECT("'Yr3'!"&amp;ADDRESS(ROW(BJ249),COLUMN(BJ249))))&gt;0,"3 Yr. total",0),
IF(BJ$7&lt;$C$4,0,IF(BJ$8&lt;=SUMIFS('EE Inputs'!$V$9:$V$32,'EE Inputs'!$C$9:$C$32,$AM$6,'EE Inputs'!$D$9:$D$32,$C$4,'EE Inputs'!$E$9:$E$32,$B249),SUMIFS('EE Inputs'!$V$9:$V$32,'EE Inputs'!$C$9:$C$32,$AM$6,'EE Inputs'!$D$9:$D$32,$C$4,'EE Inputs'!$E$9:$E$32,$B249),0)))</f>
        <v>0</v>
      </c>
      <c r="BK249" s="72">
        <f ca="1">IF($C$4=Lookups!$D$40,IF(SUM(INDIRECT("'Yr1'!"&amp;ADDRESS(ROW(BK249),COLUMN(BK249))),INDIRECT("'Yr2'!"&amp;ADDRESS(ROW(BK249),COLUMN(BK249))),INDIRECT("'Yr3'!"&amp;ADDRESS(ROW(BK249),COLUMN(BK249))))&gt;0,"3 Yr. total",0),
IF(BK$7&lt;$C$4,0,IF(BK$8&lt;=SUMIFS('EE Inputs'!$V$9:$V$32,'EE Inputs'!$C$9:$C$32,$AM$6,'EE Inputs'!$D$9:$D$32,$C$4,'EE Inputs'!$E$9:$E$32,$B249),SUMIFS('EE Inputs'!$V$9:$V$32,'EE Inputs'!$C$9:$C$32,$AM$6,'EE Inputs'!$D$9:$D$32,$C$4,'EE Inputs'!$E$9:$E$32,$B249),0)))</f>
        <v>0</v>
      </c>
      <c r="BL249" s="72">
        <f ca="1">IF($C$4=Lookups!$D$40,IF(SUM(INDIRECT("'Yr1'!"&amp;ADDRESS(ROW(BL249),COLUMN(BL249))),INDIRECT("'Yr2'!"&amp;ADDRESS(ROW(BL249),COLUMN(BL249))),INDIRECT("'Yr3'!"&amp;ADDRESS(ROW(BL249),COLUMN(BL249))))&gt;0,"3 Yr. total",0),
IF(BL$7&lt;$C$4,0,IF(BL$8&lt;=SUMIFS('EE Inputs'!$V$9:$V$32,'EE Inputs'!$C$9:$C$32,$AM$6,'EE Inputs'!$D$9:$D$32,$C$4,'EE Inputs'!$E$9:$E$32,$B249),SUMIFS('EE Inputs'!$V$9:$V$32,'EE Inputs'!$C$9:$C$32,$AM$6,'EE Inputs'!$D$9:$D$32,$C$4,'EE Inputs'!$E$9:$E$32,$B249),0)))</f>
        <v>0</v>
      </c>
      <c r="BM249" s="72">
        <f ca="1">IF($C$4=Lookups!$D$40,IF(SUM(INDIRECT("'Yr1'!"&amp;ADDRESS(ROW(BM249),COLUMN(BM249))),INDIRECT("'Yr2'!"&amp;ADDRESS(ROW(BM249),COLUMN(BM249))),INDIRECT("'Yr3'!"&amp;ADDRESS(ROW(BM249),COLUMN(BM249))))&gt;0,"3 Yr. total",0),
IF(BM$7&lt;$C$4,0,IF(BM$8&lt;=SUMIFS('EE Inputs'!$V$9:$V$32,'EE Inputs'!$C$9:$C$32,$AM$6,'EE Inputs'!$D$9:$D$32,$C$4,'EE Inputs'!$E$9:$E$32,$B249),SUMIFS('EE Inputs'!$V$9:$V$32,'EE Inputs'!$C$9:$C$32,$AM$6,'EE Inputs'!$D$9:$D$32,$C$4,'EE Inputs'!$E$9:$E$32,$B249),0)))</f>
        <v>0</v>
      </c>
      <c r="BN249" s="72"/>
      <c r="BO249" s="72"/>
      <c r="BP249" s="72"/>
      <c r="BS249" s="76" t="s">
        <v>90</v>
      </c>
      <c r="BT249" s="51" t="s">
        <v>17</v>
      </c>
    </row>
    <row r="250" spans="1:72" s="5" customFormat="1" x14ac:dyDescent="0.25">
      <c r="A250" s="52"/>
      <c r="B250" s="242" t="str">
        <f t="shared" si="273"/>
        <v>Large C&amp;I</v>
      </c>
      <c r="C250" s="242" t="str">
        <f>C249</f>
        <v>Customers</v>
      </c>
      <c r="D250" s="77" t="s">
        <v>17</v>
      </c>
      <c r="E250" s="76"/>
      <c r="F250" s="76"/>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S250" s="76"/>
      <c r="BT250" s="51" t="s">
        <v>17</v>
      </c>
    </row>
    <row r="251" spans="1:72" s="5" customFormat="1" ht="15.75" x14ac:dyDescent="0.25">
      <c r="A251" s="52"/>
      <c r="B251" s="241" t="str">
        <f t="shared" si="273"/>
        <v>Large C&amp;I</v>
      </c>
      <c r="C251" s="63" t="s">
        <v>4</v>
      </c>
      <c r="D251" s="61"/>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2"/>
      <c r="BO251" s="62"/>
      <c r="BP251" s="62"/>
      <c r="BS251" s="62"/>
      <c r="BT251" s="51" t="s">
        <v>17</v>
      </c>
    </row>
    <row r="252" spans="1:72" x14ac:dyDescent="0.25">
      <c r="B252" s="243" t="str">
        <f t="shared" si="273"/>
        <v>Large C&amp;I</v>
      </c>
      <c r="C252" s="243" t="str">
        <f>C251</f>
        <v>Sales</v>
      </c>
      <c r="D252" s="244" t="str">
        <f>"Sales before DSM ("&amp;Lookups!$D$22&amp;" Scenario)"</f>
        <v>Sales before DSM (No EE Scenario)</v>
      </c>
      <c r="E252" s="85" t="str">
        <f>"Sales before DSM ("&amp;Lookups!$D$22&amp;" Scenario)"</f>
        <v>Sales before DSM (No EE Scenario)</v>
      </c>
      <c r="F252" s="84" t="s">
        <v>195</v>
      </c>
      <c r="G252" s="64">
        <f>IF(G$8=0,0,INDEX('Multi-Year Inputs'!$E$41:$AE$44,MATCH($B252,'Multi-Year Inputs'!$D$41:$D$44,0),MATCH(G$7,'Multi-Year Inputs'!$E$4:$AE$4,0)))</f>
        <v>11263405.136430969</v>
      </c>
      <c r="H252" s="64">
        <f>IF(H$8=0,0,INDEX('Multi-Year Inputs'!$E$41:$AE$44,MATCH($B252,'Multi-Year Inputs'!$D$41:$D$44,0),MATCH(H$7,'Multi-Year Inputs'!$E$4:$AE$4,0)))</f>
        <v>11263405.136430969</v>
      </c>
      <c r="I252" s="64">
        <f>IF(I$8=0,0,INDEX('Multi-Year Inputs'!$E$41:$AE$44,MATCH($B252,'Multi-Year Inputs'!$D$41:$D$44,0),MATCH(I$7,'Multi-Year Inputs'!$E$4:$AE$4,0)))</f>
        <v>11263405.136430969</v>
      </c>
      <c r="J252" s="64">
        <f>IF(J$8=0,0,INDEX('Multi-Year Inputs'!$E$41:$AE$44,MATCH($B252,'Multi-Year Inputs'!$D$41:$D$44,0),MATCH(J$7,'Multi-Year Inputs'!$E$4:$AE$4,0)))</f>
        <v>11263405.136430969</v>
      </c>
      <c r="K252" s="64">
        <f>IF(K$8=0,0,INDEX('Multi-Year Inputs'!$E$41:$AE$44,MATCH($B252,'Multi-Year Inputs'!$D$41:$D$44,0),MATCH(K$7,'Multi-Year Inputs'!$E$4:$AE$4,0)))</f>
        <v>11263405.136430969</v>
      </c>
      <c r="L252" s="64">
        <f>IF(L$8=0,0,INDEX('Multi-Year Inputs'!$E$41:$AE$44,MATCH($B252,'Multi-Year Inputs'!$D$41:$D$44,0),MATCH(L$7,'Multi-Year Inputs'!$E$4:$AE$4,0)))</f>
        <v>11263405.136430969</v>
      </c>
      <c r="M252" s="64">
        <f>IF(M$8=0,0,INDEX('Multi-Year Inputs'!$E$41:$AE$44,MATCH($B252,'Multi-Year Inputs'!$D$41:$D$44,0),MATCH(M$7,'Multi-Year Inputs'!$E$4:$AE$4,0)))</f>
        <v>11263405.136430969</v>
      </c>
      <c r="N252" s="64">
        <f>IF(N$8=0,0,INDEX('Multi-Year Inputs'!$E$41:$AE$44,MATCH($B252,'Multi-Year Inputs'!$D$41:$D$44,0),MATCH(N$7,'Multi-Year Inputs'!$E$4:$AE$4,0)))</f>
        <v>11263405.136430969</v>
      </c>
      <c r="O252" s="64">
        <f>IF(O$8=0,0,INDEX('Multi-Year Inputs'!$E$41:$AE$44,MATCH($B252,'Multi-Year Inputs'!$D$41:$D$44,0),MATCH(O$7,'Multi-Year Inputs'!$E$4:$AE$4,0)))</f>
        <v>11263405.136430969</v>
      </c>
      <c r="P252" s="64">
        <f>IF(P$8=0,0,INDEX('Multi-Year Inputs'!$E$41:$AE$44,MATCH($B252,'Multi-Year Inputs'!$D$41:$D$44,0),MATCH(P$7,'Multi-Year Inputs'!$E$4:$AE$4,0)))</f>
        <v>11263405.136430969</v>
      </c>
      <c r="Q252" s="64">
        <f>IF(Q$8=0,0,INDEX('Multi-Year Inputs'!$E$41:$AE$44,MATCH($B252,'Multi-Year Inputs'!$D$41:$D$44,0),MATCH(Q$7,'Multi-Year Inputs'!$E$4:$AE$4,0)))</f>
        <v>11263405.136430969</v>
      </c>
      <c r="R252" s="64">
        <f>IF(R$8=0,0,INDEX('Multi-Year Inputs'!$E$41:$AE$44,MATCH($B252,'Multi-Year Inputs'!$D$41:$D$44,0),MATCH(R$7,'Multi-Year Inputs'!$E$4:$AE$4,0)))</f>
        <v>11263405.136430969</v>
      </c>
      <c r="S252" s="64">
        <f>IF(S$8=0,0,INDEX('Multi-Year Inputs'!$E$41:$AE$44,MATCH($B252,'Multi-Year Inputs'!$D$41:$D$44,0),MATCH(S$7,'Multi-Year Inputs'!$E$4:$AE$4,0)))</f>
        <v>11263405.136430969</v>
      </c>
      <c r="T252" s="64">
        <f>IF(T$8=0,0,INDEX('Multi-Year Inputs'!$E$41:$AE$44,MATCH($B252,'Multi-Year Inputs'!$D$41:$D$44,0),MATCH(T$7,'Multi-Year Inputs'!$E$4:$AE$4,0)))</f>
        <v>11263405.136430969</v>
      </c>
      <c r="U252" s="64">
        <f>IF(U$8=0,0,INDEX('Multi-Year Inputs'!$E$41:$AE$44,MATCH($B252,'Multi-Year Inputs'!$D$41:$D$44,0),MATCH(U$7,'Multi-Year Inputs'!$E$4:$AE$4,0)))</f>
        <v>11263405.136430969</v>
      </c>
      <c r="V252" s="64">
        <f>IF(V$8=0,0,INDEX('Multi-Year Inputs'!$E$41:$AE$44,MATCH($B252,'Multi-Year Inputs'!$D$41:$D$44,0),MATCH(V$7,'Multi-Year Inputs'!$E$4:$AE$4,0)))</f>
        <v>11263405.136430969</v>
      </c>
      <c r="W252" s="64">
        <f>IF(W$8=0,0,INDEX('Multi-Year Inputs'!$E$41:$AE$44,MATCH($B252,'Multi-Year Inputs'!$D$41:$D$44,0),MATCH(W$7,'Multi-Year Inputs'!$E$4:$AE$4,0)))</f>
        <v>11263405.136430969</v>
      </c>
      <c r="X252" s="64">
        <f>IF(X$8=0,0,INDEX('Multi-Year Inputs'!$E$41:$AE$44,MATCH($B252,'Multi-Year Inputs'!$D$41:$D$44,0),MATCH(X$7,'Multi-Year Inputs'!$E$4:$AE$4,0)))</f>
        <v>11263405.136430969</v>
      </c>
      <c r="Y252" s="64">
        <f>IF(Y$8=0,0,INDEX('Multi-Year Inputs'!$E$41:$AE$44,MATCH($B252,'Multi-Year Inputs'!$D$41:$D$44,0),MATCH(Y$7,'Multi-Year Inputs'!$E$4:$AE$4,0)))</f>
        <v>11263405.136430969</v>
      </c>
      <c r="Z252" s="64">
        <f>IF(Z$8=0,0,INDEX('Multi-Year Inputs'!$E$41:$AE$44,MATCH($B252,'Multi-Year Inputs'!$D$41:$D$44,0),MATCH(Z$7,'Multi-Year Inputs'!$E$4:$AE$4,0)))</f>
        <v>11263405.136430969</v>
      </c>
      <c r="AA252" s="64">
        <f>IF(AA$8=0,0,INDEX('Multi-Year Inputs'!$E$41:$AE$44,MATCH($B252,'Multi-Year Inputs'!$D$41:$D$44,0),MATCH(AA$7,'Multi-Year Inputs'!$E$4:$AE$4,0)))</f>
        <v>11263405.136430969</v>
      </c>
      <c r="AB252" s="64">
        <f>IF(AB$8=0,0,INDEX('Multi-Year Inputs'!$E$41:$AE$44,MATCH($B252,'Multi-Year Inputs'!$D$41:$D$44,0),MATCH(AB$7,'Multi-Year Inputs'!$E$4:$AE$4,0)))</f>
        <v>11263405.136430969</v>
      </c>
      <c r="AC252" s="64">
        <f>IF(AC$8=0,0,INDEX('Multi-Year Inputs'!$E$41:$AE$44,MATCH($B252,'Multi-Year Inputs'!$D$41:$D$44,0),MATCH(AC$7,'Multi-Year Inputs'!$E$4:$AE$4,0)))</f>
        <v>11263405.136430969</v>
      </c>
      <c r="AD252" s="64">
        <f>IF(AD$8=0,0,INDEX('Multi-Year Inputs'!$E$41:$AE$44,MATCH($B252,'Multi-Year Inputs'!$D$41:$D$44,0),MATCH(AD$7,'Multi-Year Inputs'!$E$4:$AE$4,0)))</f>
        <v>11263405.136430969</v>
      </c>
      <c r="AE252" s="64">
        <f>IF(AE$8=0,0,INDEX('Multi-Year Inputs'!$E$41:$AE$44,MATCH($B252,'Multi-Year Inputs'!$D$41:$D$44,0),MATCH(AE$7,'Multi-Year Inputs'!$E$4:$AE$4,0)))</f>
        <v>11263405.136430969</v>
      </c>
      <c r="AF252" s="64">
        <f>IF(AF$8=0,0,INDEX('Multi-Year Inputs'!$E$41:$AE$44,MATCH($B252,'Multi-Year Inputs'!$D$41:$D$44,0),MATCH(AF$7,'Multi-Year Inputs'!$E$4:$AE$4,0)))</f>
        <v>11263405.136430969</v>
      </c>
      <c r="AG252" s="64">
        <f>IF(AG$8=0,0,INDEX('Multi-Year Inputs'!$E$41:$AE$44,MATCH($B252,'Multi-Year Inputs'!$D$41:$D$44,0),MATCH(AG$7,'Multi-Year Inputs'!$E$4:$AE$4,0)))</f>
        <v>11263405.136430969</v>
      </c>
      <c r="AH252" s="64"/>
      <c r="AI252" s="64">
        <f t="shared" ref="AI252:AI254" si="274">SUM(G252:AG252)</f>
        <v>304111938.68363625</v>
      </c>
      <c r="AJ252" s="64"/>
      <c r="AM252" s="71">
        <f>IF(AM$8=0,0,INDEX('Multi-Year Inputs'!$E$41:$AE$44,MATCH($B252,'Multi-Year Inputs'!$D$41:$D$44,0),MATCH(AM$7,'Multi-Year Inputs'!$E$4:$AE$4,0)))</f>
        <v>11263405.136430969</v>
      </c>
      <c r="AN252" s="71">
        <f>IF(AN$8=0,0,INDEX('Multi-Year Inputs'!$E$41:$AE$44,MATCH($B252,'Multi-Year Inputs'!$D$41:$D$44,0),MATCH(AN$7,'Multi-Year Inputs'!$E$4:$AE$4,0)))</f>
        <v>11263405.136430969</v>
      </c>
      <c r="AO252" s="71">
        <f>IF(AO$8=0,0,INDEX('Multi-Year Inputs'!$E$41:$AE$44,MATCH($B252,'Multi-Year Inputs'!$D$41:$D$44,0),MATCH(AO$7,'Multi-Year Inputs'!$E$4:$AE$4,0)))</f>
        <v>11263405.136430969</v>
      </c>
      <c r="AP252" s="71">
        <f>IF(AP$8=0,0,INDEX('Multi-Year Inputs'!$E$41:$AE$44,MATCH($B252,'Multi-Year Inputs'!$D$41:$D$44,0),MATCH(AP$7,'Multi-Year Inputs'!$E$4:$AE$4,0)))</f>
        <v>11263405.136430969</v>
      </c>
      <c r="AQ252" s="71">
        <f>IF(AQ$8=0,0,INDEX('Multi-Year Inputs'!$E$41:$AE$44,MATCH($B252,'Multi-Year Inputs'!$D$41:$D$44,0),MATCH(AQ$7,'Multi-Year Inputs'!$E$4:$AE$4,0)))</f>
        <v>11263405.136430969</v>
      </c>
      <c r="AR252" s="71">
        <f>IF(AR$8=0,0,INDEX('Multi-Year Inputs'!$E$41:$AE$44,MATCH($B252,'Multi-Year Inputs'!$D$41:$D$44,0),MATCH(AR$7,'Multi-Year Inputs'!$E$4:$AE$4,0)))</f>
        <v>11263405.136430969</v>
      </c>
      <c r="AS252" s="71">
        <f>IF(AS$8=0,0,INDEX('Multi-Year Inputs'!$E$41:$AE$44,MATCH($B252,'Multi-Year Inputs'!$D$41:$D$44,0),MATCH(AS$7,'Multi-Year Inputs'!$E$4:$AE$4,0)))</f>
        <v>11263405.136430969</v>
      </c>
      <c r="AT252" s="71">
        <f>IF(AT$8=0,0,INDEX('Multi-Year Inputs'!$E$41:$AE$44,MATCH($B252,'Multi-Year Inputs'!$D$41:$D$44,0),MATCH(AT$7,'Multi-Year Inputs'!$E$4:$AE$4,0)))</f>
        <v>11263405.136430969</v>
      </c>
      <c r="AU252" s="71">
        <f>IF(AU$8=0,0,INDEX('Multi-Year Inputs'!$E$41:$AE$44,MATCH($B252,'Multi-Year Inputs'!$D$41:$D$44,0),MATCH(AU$7,'Multi-Year Inputs'!$E$4:$AE$4,0)))</f>
        <v>11263405.136430969</v>
      </c>
      <c r="AV252" s="71">
        <f>IF(AV$8=0,0,INDEX('Multi-Year Inputs'!$E$41:$AE$44,MATCH($B252,'Multi-Year Inputs'!$D$41:$D$44,0),MATCH(AV$7,'Multi-Year Inputs'!$E$4:$AE$4,0)))</f>
        <v>11263405.136430969</v>
      </c>
      <c r="AW252" s="71">
        <f>IF(AW$8=0,0,INDEX('Multi-Year Inputs'!$E$41:$AE$44,MATCH($B252,'Multi-Year Inputs'!$D$41:$D$44,0),MATCH(AW$7,'Multi-Year Inputs'!$E$4:$AE$4,0)))</f>
        <v>11263405.136430969</v>
      </c>
      <c r="AX252" s="71">
        <f>IF(AX$8=0,0,INDEX('Multi-Year Inputs'!$E$41:$AE$44,MATCH($B252,'Multi-Year Inputs'!$D$41:$D$44,0),MATCH(AX$7,'Multi-Year Inputs'!$E$4:$AE$4,0)))</f>
        <v>11263405.136430969</v>
      </c>
      <c r="AY252" s="71">
        <f>IF(AY$8=0,0,INDEX('Multi-Year Inputs'!$E$41:$AE$44,MATCH($B252,'Multi-Year Inputs'!$D$41:$D$44,0),MATCH(AY$7,'Multi-Year Inputs'!$E$4:$AE$4,0)))</f>
        <v>11263405.136430969</v>
      </c>
      <c r="AZ252" s="71">
        <f>IF(AZ$8=0,0,INDEX('Multi-Year Inputs'!$E$41:$AE$44,MATCH($B252,'Multi-Year Inputs'!$D$41:$D$44,0),MATCH(AZ$7,'Multi-Year Inputs'!$E$4:$AE$4,0)))</f>
        <v>11263405.136430969</v>
      </c>
      <c r="BA252" s="71">
        <f>IF(BA$8=0,0,INDEX('Multi-Year Inputs'!$E$41:$AE$44,MATCH($B252,'Multi-Year Inputs'!$D$41:$D$44,0),MATCH(BA$7,'Multi-Year Inputs'!$E$4:$AE$4,0)))</f>
        <v>11263405.136430969</v>
      </c>
      <c r="BB252" s="71">
        <f>IF(BB$8=0,0,INDEX('Multi-Year Inputs'!$E$41:$AE$44,MATCH($B252,'Multi-Year Inputs'!$D$41:$D$44,0),MATCH(BB$7,'Multi-Year Inputs'!$E$4:$AE$4,0)))</f>
        <v>11263405.136430969</v>
      </c>
      <c r="BC252" s="71">
        <f>IF(BC$8=0,0,INDEX('Multi-Year Inputs'!$E$41:$AE$44,MATCH($B252,'Multi-Year Inputs'!$D$41:$D$44,0),MATCH(BC$7,'Multi-Year Inputs'!$E$4:$AE$4,0)))</f>
        <v>11263405.136430969</v>
      </c>
      <c r="BD252" s="71">
        <f>IF(BD$8=0,0,INDEX('Multi-Year Inputs'!$E$41:$AE$44,MATCH($B252,'Multi-Year Inputs'!$D$41:$D$44,0),MATCH(BD$7,'Multi-Year Inputs'!$E$4:$AE$4,0)))</f>
        <v>11263405.136430969</v>
      </c>
      <c r="BE252" s="71">
        <f>IF(BE$8=0,0,INDEX('Multi-Year Inputs'!$E$41:$AE$44,MATCH($B252,'Multi-Year Inputs'!$D$41:$D$44,0),MATCH(BE$7,'Multi-Year Inputs'!$E$4:$AE$4,0)))</f>
        <v>11263405.136430969</v>
      </c>
      <c r="BF252" s="71">
        <f>IF(BF$8=0,0,INDEX('Multi-Year Inputs'!$E$41:$AE$44,MATCH($B252,'Multi-Year Inputs'!$D$41:$D$44,0),MATCH(BF$7,'Multi-Year Inputs'!$E$4:$AE$4,0)))</f>
        <v>11263405.136430969</v>
      </c>
      <c r="BG252" s="71">
        <f>IF(BG$8=0,0,INDEX('Multi-Year Inputs'!$E$41:$AE$44,MATCH($B252,'Multi-Year Inputs'!$D$41:$D$44,0),MATCH(BG$7,'Multi-Year Inputs'!$E$4:$AE$4,0)))</f>
        <v>11263405.136430969</v>
      </c>
      <c r="BH252" s="71">
        <f>IF(BH$8=0,0,INDEX('Multi-Year Inputs'!$E$41:$AE$44,MATCH($B252,'Multi-Year Inputs'!$D$41:$D$44,0),MATCH(BH$7,'Multi-Year Inputs'!$E$4:$AE$4,0)))</f>
        <v>11263405.136430969</v>
      </c>
      <c r="BI252" s="71">
        <f>IF(BI$8=0,0,INDEX('Multi-Year Inputs'!$E$41:$AE$44,MATCH($B252,'Multi-Year Inputs'!$D$41:$D$44,0),MATCH(BI$7,'Multi-Year Inputs'!$E$4:$AE$4,0)))</f>
        <v>11263405.136430969</v>
      </c>
      <c r="BJ252" s="71">
        <f>IF(BJ$8=0,0,INDEX('Multi-Year Inputs'!$E$41:$AE$44,MATCH($B252,'Multi-Year Inputs'!$D$41:$D$44,0),MATCH(BJ$7,'Multi-Year Inputs'!$E$4:$AE$4,0)))</f>
        <v>11263405.136430969</v>
      </c>
      <c r="BK252" s="71">
        <f>IF(BK$8=0,0,INDEX('Multi-Year Inputs'!$E$41:$AE$44,MATCH($B252,'Multi-Year Inputs'!$D$41:$D$44,0),MATCH(BK$7,'Multi-Year Inputs'!$E$4:$AE$4,0)))</f>
        <v>11263405.136430969</v>
      </c>
      <c r="BL252" s="71">
        <f>IF(BL$8=0,0,INDEX('Multi-Year Inputs'!$E$41:$AE$44,MATCH($B252,'Multi-Year Inputs'!$D$41:$D$44,0),MATCH(BL$7,'Multi-Year Inputs'!$E$4:$AE$4,0)))</f>
        <v>11263405.136430969</v>
      </c>
      <c r="BM252" s="71">
        <f>IF(BM$8=0,0,INDEX('Multi-Year Inputs'!$E$41:$AE$44,MATCH($B252,'Multi-Year Inputs'!$D$41:$D$44,0),MATCH(BM$7,'Multi-Year Inputs'!$E$4:$AE$4,0)))</f>
        <v>11263405.136430969</v>
      </c>
      <c r="BN252" s="72"/>
      <c r="BO252" s="72">
        <f t="shared" ref="BO252:BO254" si="275">SUM(AM252:BM252)</f>
        <v>304111938.68363625</v>
      </c>
      <c r="BP252" s="72"/>
      <c r="BS252" s="76" t="s">
        <v>91</v>
      </c>
      <c r="BT252" s="51" t="s">
        <v>17</v>
      </c>
    </row>
    <row r="253" spans="1:72" x14ac:dyDescent="0.25">
      <c r="A253" s="246"/>
      <c r="B253" s="243" t="str">
        <f t="shared" si="273"/>
        <v>Large C&amp;I</v>
      </c>
      <c r="C253" s="243" t="str">
        <f>C252</f>
        <v>Sales</v>
      </c>
      <c r="D253" s="244" t="s">
        <v>108</v>
      </c>
      <c r="E253" s="85" t="s">
        <v>108</v>
      </c>
      <c r="F253" s="84" t="s">
        <v>195</v>
      </c>
      <c r="G253" s="64">
        <f ca="1">IF($C$4=Lookups!$D$40,SUM(INDIRECT("'Yr1'!"&amp;ADDRESS(ROW(G253),COLUMN(G253))),INDIRECT("'Yr2'!"&amp;ADDRESS(ROW(G253),COLUMN(G253))),INDIRECT("'Yr3'!"&amp;ADDRESS(ROW(G253),COLUMN(G253)))),
IF(G249&gt;0,SUMIFS('EE Inputs'!$I$9:$I$32,'EE Inputs'!$C$9:$C$32,$G$6,'EE Inputs'!$D$9:$D$32,$C$4,'EE Inputs'!$E$9:$E$32,$B253)/SUMIFS('EE Inputs'!$V$9:$V$32,'EE Inputs'!$C$9:$C$32,$G$6,'EE Inputs'!$D$9:$D$32,$C$4,'EE Inputs'!$E$9:$E$32,$B253)*10,0))</f>
        <v>927754.23962318781</v>
      </c>
      <c r="H253" s="64">
        <f ca="1">IF($C$4=Lookups!$D$40,SUM(INDIRECT("'Yr1'!"&amp;ADDRESS(ROW(H253),COLUMN(H253))),INDIRECT("'Yr2'!"&amp;ADDRESS(ROW(H253),COLUMN(H253))),INDIRECT("'Yr3'!"&amp;ADDRESS(ROW(H253),COLUMN(H253)))),
IF(H249&gt;0,SUMIFS('EE Inputs'!$I$9:$I$32,'EE Inputs'!$C$9:$C$32,$G$6,'EE Inputs'!$D$9:$D$32,$C$4,'EE Inputs'!$E$9:$E$32,$B253)/SUMIFS('EE Inputs'!$V$9:$V$32,'EE Inputs'!$C$9:$C$32,$G$6,'EE Inputs'!$D$9:$D$32,$C$4,'EE Inputs'!$E$9:$E$32,$B253)*10,0))</f>
        <v>1900292.2705069385</v>
      </c>
      <c r="I253" s="64">
        <f ca="1">IF($C$4=Lookups!$D$40,SUM(INDIRECT("'Yr1'!"&amp;ADDRESS(ROW(I253),COLUMN(I253))),INDIRECT("'Yr2'!"&amp;ADDRESS(ROW(I253),COLUMN(I253))),INDIRECT("'Yr3'!"&amp;ADDRESS(ROW(I253),COLUMN(I253)))),
IF(I249&gt;0,SUMIFS('EE Inputs'!$I$9:$I$32,'EE Inputs'!$C$9:$C$32,$G$6,'EE Inputs'!$D$9:$D$32,$C$4,'EE Inputs'!$E$9:$E$32,$B253)/SUMIFS('EE Inputs'!$V$9:$V$32,'EE Inputs'!$C$9:$C$32,$G$6,'EE Inputs'!$D$9:$D$32,$C$4,'EE Inputs'!$E$9:$E$32,$B253)*10,0))</f>
        <v>2926153.1166975149</v>
      </c>
      <c r="J253" s="64">
        <f ca="1">IF($C$4=Lookups!$D$40,SUM(INDIRECT("'Yr1'!"&amp;ADDRESS(ROW(J253),COLUMN(J253))),INDIRECT("'Yr2'!"&amp;ADDRESS(ROW(J253),COLUMN(J253))),INDIRECT("'Yr3'!"&amp;ADDRESS(ROW(J253),COLUMN(J253)))),
IF(J249&gt;0,SUMIFS('EE Inputs'!$I$9:$I$32,'EE Inputs'!$C$9:$C$32,$G$6,'EE Inputs'!$D$9:$D$32,$C$4,'EE Inputs'!$E$9:$E$32,$B253)/SUMIFS('EE Inputs'!$V$9:$V$32,'EE Inputs'!$C$9:$C$32,$G$6,'EE Inputs'!$D$9:$D$32,$C$4,'EE Inputs'!$E$9:$E$32,$B253)*10,0))</f>
        <v>2926153.1166975149</v>
      </c>
      <c r="K253" s="64">
        <f ca="1">IF($C$4=Lookups!$D$40,SUM(INDIRECT("'Yr1'!"&amp;ADDRESS(ROW(K253),COLUMN(K253))),INDIRECT("'Yr2'!"&amp;ADDRESS(ROW(K253),COLUMN(K253))),INDIRECT("'Yr3'!"&amp;ADDRESS(ROW(K253),COLUMN(K253)))),
IF(K249&gt;0,SUMIFS('EE Inputs'!$I$9:$I$32,'EE Inputs'!$C$9:$C$32,$G$6,'EE Inputs'!$D$9:$D$32,$C$4,'EE Inputs'!$E$9:$E$32,$B253)/SUMIFS('EE Inputs'!$V$9:$V$32,'EE Inputs'!$C$9:$C$32,$G$6,'EE Inputs'!$D$9:$D$32,$C$4,'EE Inputs'!$E$9:$E$32,$B253)*10,0))</f>
        <v>2926153.1166975149</v>
      </c>
      <c r="L253" s="64">
        <f ca="1">IF($C$4=Lookups!$D$40,SUM(INDIRECT("'Yr1'!"&amp;ADDRESS(ROW(L253),COLUMN(L253))),INDIRECT("'Yr2'!"&amp;ADDRESS(ROW(L253),COLUMN(L253))),INDIRECT("'Yr3'!"&amp;ADDRESS(ROW(L253),COLUMN(L253)))),
IF(L249&gt;0,SUMIFS('EE Inputs'!$I$9:$I$32,'EE Inputs'!$C$9:$C$32,$G$6,'EE Inputs'!$D$9:$D$32,$C$4,'EE Inputs'!$E$9:$E$32,$B253)/SUMIFS('EE Inputs'!$V$9:$V$32,'EE Inputs'!$C$9:$C$32,$G$6,'EE Inputs'!$D$9:$D$32,$C$4,'EE Inputs'!$E$9:$E$32,$B253)*10,0))</f>
        <v>2926153.1166975149</v>
      </c>
      <c r="M253" s="64">
        <f ca="1">IF($C$4=Lookups!$D$40,SUM(INDIRECT("'Yr1'!"&amp;ADDRESS(ROW(M253),COLUMN(M253))),INDIRECT("'Yr2'!"&amp;ADDRESS(ROW(M253),COLUMN(M253))),INDIRECT("'Yr3'!"&amp;ADDRESS(ROW(M253),COLUMN(M253)))),
IF(M249&gt;0,SUMIFS('EE Inputs'!$I$9:$I$32,'EE Inputs'!$C$9:$C$32,$G$6,'EE Inputs'!$D$9:$D$32,$C$4,'EE Inputs'!$E$9:$E$32,$B253)/SUMIFS('EE Inputs'!$V$9:$V$32,'EE Inputs'!$C$9:$C$32,$G$6,'EE Inputs'!$D$9:$D$32,$C$4,'EE Inputs'!$E$9:$E$32,$B253)*10,0))</f>
        <v>2926153.1166975149</v>
      </c>
      <c r="N253" s="64">
        <f ca="1">IF($C$4=Lookups!$D$40,SUM(INDIRECT("'Yr1'!"&amp;ADDRESS(ROW(N253),COLUMN(N253))),INDIRECT("'Yr2'!"&amp;ADDRESS(ROW(N253),COLUMN(N253))),INDIRECT("'Yr3'!"&amp;ADDRESS(ROW(N253),COLUMN(N253)))),
IF(N249&gt;0,SUMIFS('EE Inputs'!$I$9:$I$32,'EE Inputs'!$C$9:$C$32,$G$6,'EE Inputs'!$D$9:$D$32,$C$4,'EE Inputs'!$E$9:$E$32,$B253)/SUMIFS('EE Inputs'!$V$9:$V$32,'EE Inputs'!$C$9:$C$32,$G$6,'EE Inputs'!$D$9:$D$32,$C$4,'EE Inputs'!$E$9:$E$32,$B253)*10,0))</f>
        <v>2926153.1166975149</v>
      </c>
      <c r="O253" s="64">
        <f ca="1">IF($C$4=Lookups!$D$40,SUM(INDIRECT("'Yr1'!"&amp;ADDRESS(ROW(O253),COLUMN(O253))),INDIRECT("'Yr2'!"&amp;ADDRESS(ROW(O253),COLUMN(O253))),INDIRECT("'Yr3'!"&amp;ADDRESS(ROW(O253),COLUMN(O253)))),
IF(O249&gt;0,SUMIFS('EE Inputs'!$I$9:$I$32,'EE Inputs'!$C$9:$C$32,$G$6,'EE Inputs'!$D$9:$D$32,$C$4,'EE Inputs'!$E$9:$E$32,$B253)/SUMIFS('EE Inputs'!$V$9:$V$32,'EE Inputs'!$C$9:$C$32,$G$6,'EE Inputs'!$D$9:$D$32,$C$4,'EE Inputs'!$E$9:$E$32,$B253)*10,0))</f>
        <v>2926153.1166975149</v>
      </c>
      <c r="P253" s="64">
        <f ca="1">IF($C$4=Lookups!$D$40,SUM(INDIRECT("'Yr1'!"&amp;ADDRESS(ROW(P253),COLUMN(P253))),INDIRECT("'Yr2'!"&amp;ADDRESS(ROW(P253),COLUMN(P253))),INDIRECT("'Yr3'!"&amp;ADDRESS(ROW(P253),COLUMN(P253)))),
IF(P249&gt;0,SUMIFS('EE Inputs'!$I$9:$I$32,'EE Inputs'!$C$9:$C$32,$G$6,'EE Inputs'!$D$9:$D$32,$C$4,'EE Inputs'!$E$9:$E$32,$B253)/SUMIFS('EE Inputs'!$V$9:$V$32,'EE Inputs'!$C$9:$C$32,$G$6,'EE Inputs'!$D$9:$D$32,$C$4,'EE Inputs'!$E$9:$E$32,$B253)*10,0))</f>
        <v>2926153.1166975149</v>
      </c>
      <c r="Q253" s="64">
        <f ca="1">IF($C$4=Lookups!$D$40,SUM(INDIRECT("'Yr1'!"&amp;ADDRESS(ROW(Q253),COLUMN(Q253))),INDIRECT("'Yr2'!"&amp;ADDRESS(ROW(Q253),COLUMN(Q253))),INDIRECT("'Yr3'!"&amp;ADDRESS(ROW(Q253),COLUMN(Q253)))),
IF(Q249&gt;0,SUMIFS('EE Inputs'!$I$9:$I$32,'EE Inputs'!$C$9:$C$32,$G$6,'EE Inputs'!$D$9:$D$32,$C$4,'EE Inputs'!$E$9:$E$32,$B253)/SUMIFS('EE Inputs'!$V$9:$V$32,'EE Inputs'!$C$9:$C$32,$G$6,'EE Inputs'!$D$9:$D$32,$C$4,'EE Inputs'!$E$9:$E$32,$B253)*10,0))</f>
        <v>2926153.1166975149</v>
      </c>
      <c r="R253" s="64">
        <f ca="1">IF($C$4=Lookups!$D$40,SUM(INDIRECT("'Yr1'!"&amp;ADDRESS(ROW(R253),COLUMN(R253))),INDIRECT("'Yr2'!"&amp;ADDRESS(ROW(R253),COLUMN(R253))),INDIRECT("'Yr3'!"&amp;ADDRESS(ROW(R253),COLUMN(R253)))),
IF(R249&gt;0,SUMIFS('EE Inputs'!$I$9:$I$32,'EE Inputs'!$C$9:$C$32,$G$6,'EE Inputs'!$D$9:$D$32,$C$4,'EE Inputs'!$E$9:$E$32,$B253)/SUMIFS('EE Inputs'!$V$9:$V$32,'EE Inputs'!$C$9:$C$32,$G$6,'EE Inputs'!$D$9:$D$32,$C$4,'EE Inputs'!$E$9:$E$32,$B253)*10,0))</f>
        <v>2926153.1166975149</v>
      </c>
      <c r="S253" s="64">
        <f ca="1">IF($C$4=Lookups!$D$40,SUM(INDIRECT("'Yr1'!"&amp;ADDRESS(ROW(S253),COLUMN(S253))),INDIRECT("'Yr2'!"&amp;ADDRESS(ROW(S253),COLUMN(S253))),INDIRECT("'Yr3'!"&amp;ADDRESS(ROW(S253),COLUMN(S253)))),
IF(S249&gt;0,SUMIFS('EE Inputs'!$I$9:$I$32,'EE Inputs'!$C$9:$C$32,$G$6,'EE Inputs'!$D$9:$D$32,$C$4,'EE Inputs'!$E$9:$E$32,$B253)/SUMIFS('EE Inputs'!$V$9:$V$32,'EE Inputs'!$C$9:$C$32,$G$6,'EE Inputs'!$D$9:$D$32,$C$4,'EE Inputs'!$E$9:$E$32,$B253)*10,0))</f>
        <v>2926153.1166975149</v>
      </c>
      <c r="T253" s="64">
        <f ca="1">IF($C$4=Lookups!$D$40,SUM(INDIRECT("'Yr1'!"&amp;ADDRESS(ROW(T253),COLUMN(T253))),INDIRECT("'Yr2'!"&amp;ADDRESS(ROW(T253),COLUMN(T253))),INDIRECT("'Yr3'!"&amp;ADDRESS(ROW(T253),COLUMN(T253)))),
IF(T249&gt;0,SUMIFS('EE Inputs'!$I$9:$I$32,'EE Inputs'!$C$9:$C$32,$G$6,'EE Inputs'!$D$9:$D$32,$C$4,'EE Inputs'!$E$9:$E$32,$B253)/SUMIFS('EE Inputs'!$V$9:$V$32,'EE Inputs'!$C$9:$C$32,$G$6,'EE Inputs'!$D$9:$D$32,$C$4,'EE Inputs'!$E$9:$E$32,$B253)*10,0))</f>
        <v>1998398.8770743273</v>
      </c>
      <c r="U253" s="64">
        <f ca="1">IF($C$4=Lookups!$D$40,SUM(INDIRECT("'Yr1'!"&amp;ADDRESS(ROW(U253),COLUMN(U253))),INDIRECT("'Yr2'!"&amp;ADDRESS(ROW(U253),COLUMN(U253))),INDIRECT("'Yr3'!"&amp;ADDRESS(ROW(U253),COLUMN(U253)))),
IF(U249&gt;0,SUMIFS('EE Inputs'!$I$9:$I$32,'EE Inputs'!$C$9:$C$32,$G$6,'EE Inputs'!$D$9:$D$32,$C$4,'EE Inputs'!$E$9:$E$32,$B253)/SUMIFS('EE Inputs'!$V$9:$V$32,'EE Inputs'!$C$9:$C$32,$G$6,'EE Inputs'!$D$9:$D$32,$C$4,'EE Inputs'!$E$9:$E$32,$B253)*10,0))</f>
        <v>1025860.8461905766</v>
      </c>
      <c r="V253" s="64">
        <f ca="1">IF($C$4=Lookups!$D$40,SUM(INDIRECT("'Yr1'!"&amp;ADDRESS(ROW(V253),COLUMN(V253))),INDIRECT("'Yr2'!"&amp;ADDRESS(ROW(V253),COLUMN(V253))),INDIRECT("'Yr3'!"&amp;ADDRESS(ROW(V253),COLUMN(V253)))),
IF(V249&gt;0,SUMIFS('EE Inputs'!$I$9:$I$32,'EE Inputs'!$C$9:$C$32,$G$6,'EE Inputs'!$D$9:$D$32,$C$4,'EE Inputs'!$E$9:$E$32,$B253)/SUMIFS('EE Inputs'!$V$9:$V$32,'EE Inputs'!$C$9:$C$32,$G$6,'EE Inputs'!$D$9:$D$32,$C$4,'EE Inputs'!$E$9:$E$32,$B253)*10,0))</f>
        <v>0</v>
      </c>
      <c r="W253" s="64">
        <f ca="1">IF($C$4=Lookups!$D$40,SUM(INDIRECT("'Yr1'!"&amp;ADDRESS(ROW(W253),COLUMN(W253))),INDIRECT("'Yr2'!"&amp;ADDRESS(ROW(W253),COLUMN(W253))),INDIRECT("'Yr3'!"&amp;ADDRESS(ROW(W253),COLUMN(W253)))),
IF(W249&gt;0,SUMIFS('EE Inputs'!$I$9:$I$32,'EE Inputs'!$C$9:$C$32,$G$6,'EE Inputs'!$D$9:$D$32,$C$4,'EE Inputs'!$E$9:$E$32,$B253)/SUMIFS('EE Inputs'!$V$9:$V$32,'EE Inputs'!$C$9:$C$32,$G$6,'EE Inputs'!$D$9:$D$32,$C$4,'EE Inputs'!$E$9:$E$32,$B253)*10,0))</f>
        <v>0</v>
      </c>
      <c r="X253" s="64">
        <f ca="1">IF($C$4=Lookups!$D$40,SUM(INDIRECT("'Yr1'!"&amp;ADDRESS(ROW(X253),COLUMN(X253))),INDIRECT("'Yr2'!"&amp;ADDRESS(ROW(X253),COLUMN(X253))),INDIRECT("'Yr3'!"&amp;ADDRESS(ROW(X253),COLUMN(X253)))),
IF(X249&gt;0,SUMIFS('EE Inputs'!$I$9:$I$32,'EE Inputs'!$C$9:$C$32,$G$6,'EE Inputs'!$D$9:$D$32,$C$4,'EE Inputs'!$E$9:$E$32,$B253)/SUMIFS('EE Inputs'!$V$9:$V$32,'EE Inputs'!$C$9:$C$32,$G$6,'EE Inputs'!$D$9:$D$32,$C$4,'EE Inputs'!$E$9:$E$32,$B253)*10,0))</f>
        <v>0</v>
      </c>
      <c r="Y253" s="64">
        <f ca="1">IF($C$4=Lookups!$D$40,SUM(INDIRECT("'Yr1'!"&amp;ADDRESS(ROW(Y253),COLUMN(Y253))),INDIRECT("'Yr2'!"&amp;ADDRESS(ROW(Y253),COLUMN(Y253))),INDIRECT("'Yr3'!"&amp;ADDRESS(ROW(Y253),COLUMN(Y253)))),
IF(Y249&gt;0,SUMIFS('EE Inputs'!$I$9:$I$32,'EE Inputs'!$C$9:$C$32,$G$6,'EE Inputs'!$D$9:$D$32,$C$4,'EE Inputs'!$E$9:$E$32,$B253)/SUMIFS('EE Inputs'!$V$9:$V$32,'EE Inputs'!$C$9:$C$32,$G$6,'EE Inputs'!$D$9:$D$32,$C$4,'EE Inputs'!$E$9:$E$32,$B253)*10,0))</f>
        <v>0</v>
      </c>
      <c r="Z253" s="64">
        <f ca="1">IF($C$4=Lookups!$D$40,SUM(INDIRECT("'Yr1'!"&amp;ADDRESS(ROW(Z253),COLUMN(Z253))),INDIRECT("'Yr2'!"&amp;ADDRESS(ROW(Z253),COLUMN(Z253))),INDIRECT("'Yr3'!"&amp;ADDRESS(ROW(Z253),COLUMN(Z253)))),
IF(Z249&gt;0,SUMIFS('EE Inputs'!$I$9:$I$32,'EE Inputs'!$C$9:$C$32,$G$6,'EE Inputs'!$D$9:$D$32,$C$4,'EE Inputs'!$E$9:$E$32,$B253)/SUMIFS('EE Inputs'!$V$9:$V$32,'EE Inputs'!$C$9:$C$32,$G$6,'EE Inputs'!$D$9:$D$32,$C$4,'EE Inputs'!$E$9:$E$32,$B253)*10,0))</f>
        <v>0</v>
      </c>
      <c r="AA253" s="64">
        <f ca="1">IF($C$4=Lookups!$D$40,SUM(INDIRECT("'Yr1'!"&amp;ADDRESS(ROW(AA253),COLUMN(AA253))),INDIRECT("'Yr2'!"&amp;ADDRESS(ROW(AA253),COLUMN(AA253))),INDIRECT("'Yr3'!"&amp;ADDRESS(ROW(AA253),COLUMN(AA253)))),
IF(AA249&gt;0,SUMIFS('EE Inputs'!$I$9:$I$32,'EE Inputs'!$C$9:$C$32,$G$6,'EE Inputs'!$D$9:$D$32,$C$4,'EE Inputs'!$E$9:$E$32,$B253)/SUMIFS('EE Inputs'!$V$9:$V$32,'EE Inputs'!$C$9:$C$32,$G$6,'EE Inputs'!$D$9:$D$32,$C$4,'EE Inputs'!$E$9:$E$32,$B253)*10,0))</f>
        <v>0</v>
      </c>
      <c r="AB253" s="64">
        <f ca="1">IF($C$4=Lookups!$D$40,SUM(INDIRECT("'Yr1'!"&amp;ADDRESS(ROW(AB253),COLUMN(AB253))),INDIRECT("'Yr2'!"&amp;ADDRESS(ROW(AB253),COLUMN(AB253))),INDIRECT("'Yr3'!"&amp;ADDRESS(ROW(AB253),COLUMN(AB253)))),
IF(AB249&gt;0,SUMIFS('EE Inputs'!$I$9:$I$32,'EE Inputs'!$C$9:$C$32,$G$6,'EE Inputs'!$D$9:$D$32,$C$4,'EE Inputs'!$E$9:$E$32,$B253)/SUMIFS('EE Inputs'!$V$9:$V$32,'EE Inputs'!$C$9:$C$32,$G$6,'EE Inputs'!$D$9:$D$32,$C$4,'EE Inputs'!$E$9:$E$32,$B253)*10,0))</f>
        <v>0</v>
      </c>
      <c r="AC253" s="64">
        <f ca="1">IF($C$4=Lookups!$D$40,SUM(INDIRECT("'Yr1'!"&amp;ADDRESS(ROW(AC253),COLUMN(AC253))),INDIRECT("'Yr2'!"&amp;ADDRESS(ROW(AC253),COLUMN(AC253))),INDIRECT("'Yr3'!"&amp;ADDRESS(ROW(AC253),COLUMN(AC253)))),
IF(AC249&gt;0,SUMIFS('EE Inputs'!$I$9:$I$32,'EE Inputs'!$C$9:$C$32,$G$6,'EE Inputs'!$D$9:$D$32,$C$4,'EE Inputs'!$E$9:$E$32,$B253)/SUMIFS('EE Inputs'!$V$9:$V$32,'EE Inputs'!$C$9:$C$32,$G$6,'EE Inputs'!$D$9:$D$32,$C$4,'EE Inputs'!$E$9:$E$32,$B253)*10,0))</f>
        <v>0</v>
      </c>
      <c r="AD253" s="64">
        <f ca="1">IF($C$4=Lookups!$D$40,SUM(INDIRECT("'Yr1'!"&amp;ADDRESS(ROW(AD253),COLUMN(AD253))),INDIRECT("'Yr2'!"&amp;ADDRESS(ROW(AD253),COLUMN(AD253))),INDIRECT("'Yr3'!"&amp;ADDRESS(ROW(AD253),COLUMN(AD253)))),
IF(AD249&gt;0,SUMIFS('EE Inputs'!$I$9:$I$32,'EE Inputs'!$C$9:$C$32,$G$6,'EE Inputs'!$D$9:$D$32,$C$4,'EE Inputs'!$E$9:$E$32,$B253)/SUMIFS('EE Inputs'!$V$9:$V$32,'EE Inputs'!$C$9:$C$32,$G$6,'EE Inputs'!$D$9:$D$32,$C$4,'EE Inputs'!$E$9:$E$32,$B253)*10,0))</f>
        <v>0</v>
      </c>
      <c r="AE253" s="64">
        <f ca="1">IF($C$4=Lookups!$D$40,SUM(INDIRECT("'Yr1'!"&amp;ADDRESS(ROW(AE253),COLUMN(AE253))),INDIRECT("'Yr2'!"&amp;ADDRESS(ROW(AE253),COLUMN(AE253))),INDIRECT("'Yr3'!"&amp;ADDRESS(ROW(AE253),COLUMN(AE253)))),
IF(AE249&gt;0,SUMIFS('EE Inputs'!$I$9:$I$32,'EE Inputs'!$C$9:$C$32,$G$6,'EE Inputs'!$D$9:$D$32,$C$4,'EE Inputs'!$E$9:$E$32,$B253)/SUMIFS('EE Inputs'!$V$9:$V$32,'EE Inputs'!$C$9:$C$32,$G$6,'EE Inputs'!$D$9:$D$32,$C$4,'EE Inputs'!$E$9:$E$32,$B253)*10,0))</f>
        <v>0</v>
      </c>
      <c r="AF253" s="64">
        <f ca="1">IF($C$4=Lookups!$D$40,SUM(INDIRECT("'Yr1'!"&amp;ADDRESS(ROW(AF253),COLUMN(AF253))),INDIRECT("'Yr2'!"&amp;ADDRESS(ROW(AF253),COLUMN(AF253))),INDIRECT("'Yr3'!"&amp;ADDRESS(ROW(AF253),COLUMN(AF253)))),
IF(AF249&gt;0,SUMIFS('EE Inputs'!$I$9:$I$32,'EE Inputs'!$C$9:$C$32,$G$6,'EE Inputs'!$D$9:$D$32,$C$4,'EE Inputs'!$E$9:$E$32,$B253)/SUMIFS('EE Inputs'!$V$9:$V$32,'EE Inputs'!$C$9:$C$32,$G$6,'EE Inputs'!$D$9:$D$32,$C$4,'EE Inputs'!$E$9:$E$32,$B253)*10,0))</f>
        <v>0</v>
      </c>
      <c r="AG253" s="64">
        <f ca="1">IF($C$4=Lookups!$D$40,SUM(INDIRECT("'Yr1'!"&amp;ADDRESS(ROW(AG253),COLUMN(AG253))),INDIRECT("'Yr2'!"&amp;ADDRESS(ROW(AG253),COLUMN(AG253))),INDIRECT("'Yr3'!"&amp;ADDRESS(ROW(AG253),COLUMN(AG253)))),
IF(AG249&gt;0,SUMIFS('EE Inputs'!$I$9:$I$32,'EE Inputs'!$C$9:$C$32,$G$6,'EE Inputs'!$D$9:$D$32,$C$4,'EE Inputs'!$E$9:$E$32,$B253)/SUMIFS('EE Inputs'!$V$9:$V$32,'EE Inputs'!$C$9:$C$32,$G$6,'EE Inputs'!$D$9:$D$32,$C$4,'EE Inputs'!$E$9:$E$32,$B253)*10,0))</f>
        <v>0</v>
      </c>
      <c r="AH253" s="64"/>
      <c r="AI253" s="64">
        <f t="shared" ca="1" si="274"/>
        <v>38039990.517067708</v>
      </c>
      <c r="AJ253" s="64"/>
      <c r="AM253" s="71">
        <f ca="1">IF($C$4=Lookups!$D$40,SUM(INDIRECT("'Yr1'!"&amp;ADDRESS(ROW(AM253),COLUMN(AM253))),INDIRECT("'Yr2'!"&amp;ADDRESS(ROW(AM253),COLUMN(AM253))),INDIRECT("'Yr3'!"&amp;ADDRESS(ROW(AM253),COLUMN(AM253)))),
IF(AM249&gt;0,SUMIFS('EE Inputs'!$I$9:$I$32,'EE Inputs'!$C$9:$C$32,$AM$6,'EE Inputs'!$D$9:$D$32,$C$4,'EE Inputs'!$E$9:$E$32,$B253)/SUMIFS('EE Inputs'!$V$9:$V$32,'EE Inputs'!$C$9:$C$32,$AM$6,'EE Inputs'!$D$9:$D$32,$C$4,'EE Inputs'!$E$9:$E$32,$B253)*10,0))</f>
        <v>1060290.5595693574</v>
      </c>
      <c r="AN253" s="71">
        <f ca="1">IF($C$4=Lookups!$D$40,SUM(INDIRECT("'Yr1'!"&amp;ADDRESS(ROW(AN253),COLUMN(AN253))),INDIRECT("'Yr2'!"&amp;ADDRESS(ROW(AN253),COLUMN(AN253))),INDIRECT("'Yr3'!"&amp;ADDRESS(ROW(AN253),COLUMN(AN253)))),
IF(AN249&gt;0,SUMIFS('EE Inputs'!$I$9:$I$32,'EE Inputs'!$C$9:$C$32,$AM$6,'EE Inputs'!$D$9:$D$32,$C$4,'EE Inputs'!$E$9:$E$32,$B253)/SUMIFS('EE Inputs'!$V$9:$V$32,'EE Inputs'!$C$9:$C$32,$AM$6,'EE Inputs'!$D$9:$D$32,$C$4,'EE Inputs'!$E$9:$E$32,$B253)*10,0))</f>
        <v>2171762.5948650721</v>
      </c>
      <c r="AO253" s="71">
        <f ca="1">IF($C$4=Lookups!$D$40,SUM(INDIRECT("'Yr1'!"&amp;ADDRESS(ROW(AO253),COLUMN(AO253))),INDIRECT("'Yr2'!"&amp;ADDRESS(ROW(AO253),COLUMN(AO253))),INDIRECT("'Yr3'!"&amp;ADDRESS(ROW(AO253),COLUMN(AO253)))),
IF(AO249&gt;0,SUMIFS('EE Inputs'!$I$9:$I$32,'EE Inputs'!$C$9:$C$32,$AM$6,'EE Inputs'!$D$9:$D$32,$C$4,'EE Inputs'!$E$9:$E$32,$B253)/SUMIFS('EE Inputs'!$V$9:$V$32,'EE Inputs'!$C$9:$C$32,$AM$6,'EE Inputs'!$D$9:$D$32,$C$4,'EE Inputs'!$E$9:$E$32,$B253)*10,0))</f>
        <v>3344174.9905114453</v>
      </c>
      <c r="AP253" s="71">
        <f ca="1">IF($C$4=Lookups!$D$40,SUM(INDIRECT("'Yr1'!"&amp;ADDRESS(ROW(AP253),COLUMN(AP253))),INDIRECT("'Yr2'!"&amp;ADDRESS(ROW(AP253),COLUMN(AP253))),INDIRECT("'Yr3'!"&amp;ADDRESS(ROW(AP253),COLUMN(AP253)))),
IF(AP249&gt;0,SUMIFS('EE Inputs'!$I$9:$I$32,'EE Inputs'!$C$9:$C$32,$AM$6,'EE Inputs'!$D$9:$D$32,$C$4,'EE Inputs'!$E$9:$E$32,$B253)/SUMIFS('EE Inputs'!$V$9:$V$32,'EE Inputs'!$C$9:$C$32,$AM$6,'EE Inputs'!$D$9:$D$32,$C$4,'EE Inputs'!$E$9:$E$32,$B253)*10,0))</f>
        <v>3344174.9905114453</v>
      </c>
      <c r="AQ253" s="71">
        <f ca="1">IF($C$4=Lookups!$D$40,SUM(INDIRECT("'Yr1'!"&amp;ADDRESS(ROW(AQ253),COLUMN(AQ253))),INDIRECT("'Yr2'!"&amp;ADDRESS(ROW(AQ253),COLUMN(AQ253))),INDIRECT("'Yr3'!"&amp;ADDRESS(ROW(AQ253),COLUMN(AQ253)))),
IF(AQ249&gt;0,SUMIFS('EE Inputs'!$I$9:$I$32,'EE Inputs'!$C$9:$C$32,$AM$6,'EE Inputs'!$D$9:$D$32,$C$4,'EE Inputs'!$E$9:$E$32,$B253)/SUMIFS('EE Inputs'!$V$9:$V$32,'EE Inputs'!$C$9:$C$32,$AM$6,'EE Inputs'!$D$9:$D$32,$C$4,'EE Inputs'!$E$9:$E$32,$B253)*10,0))</f>
        <v>3344174.9905114453</v>
      </c>
      <c r="AR253" s="71">
        <f ca="1">IF($C$4=Lookups!$D$40,SUM(INDIRECT("'Yr1'!"&amp;ADDRESS(ROW(AR253),COLUMN(AR253))),INDIRECT("'Yr2'!"&amp;ADDRESS(ROW(AR253),COLUMN(AR253))),INDIRECT("'Yr3'!"&amp;ADDRESS(ROW(AR253),COLUMN(AR253)))),
IF(AR249&gt;0,SUMIFS('EE Inputs'!$I$9:$I$32,'EE Inputs'!$C$9:$C$32,$AM$6,'EE Inputs'!$D$9:$D$32,$C$4,'EE Inputs'!$E$9:$E$32,$B253)/SUMIFS('EE Inputs'!$V$9:$V$32,'EE Inputs'!$C$9:$C$32,$AM$6,'EE Inputs'!$D$9:$D$32,$C$4,'EE Inputs'!$E$9:$E$32,$B253)*10,0))</f>
        <v>3344174.9905114453</v>
      </c>
      <c r="AS253" s="71">
        <f ca="1">IF($C$4=Lookups!$D$40,SUM(INDIRECT("'Yr1'!"&amp;ADDRESS(ROW(AS253),COLUMN(AS253))),INDIRECT("'Yr2'!"&amp;ADDRESS(ROW(AS253),COLUMN(AS253))),INDIRECT("'Yr3'!"&amp;ADDRESS(ROW(AS253),COLUMN(AS253)))),
IF(AS249&gt;0,SUMIFS('EE Inputs'!$I$9:$I$32,'EE Inputs'!$C$9:$C$32,$AM$6,'EE Inputs'!$D$9:$D$32,$C$4,'EE Inputs'!$E$9:$E$32,$B253)/SUMIFS('EE Inputs'!$V$9:$V$32,'EE Inputs'!$C$9:$C$32,$AM$6,'EE Inputs'!$D$9:$D$32,$C$4,'EE Inputs'!$E$9:$E$32,$B253)*10,0))</f>
        <v>3344174.9905114453</v>
      </c>
      <c r="AT253" s="71">
        <f ca="1">IF($C$4=Lookups!$D$40,SUM(INDIRECT("'Yr1'!"&amp;ADDRESS(ROW(AT253),COLUMN(AT253))),INDIRECT("'Yr2'!"&amp;ADDRESS(ROW(AT253),COLUMN(AT253))),INDIRECT("'Yr3'!"&amp;ADDRESS(ROW(AT253),COLUMN(AT253)))),
IF(AT249&gt;0,SUMIFS('EE Inputs'!$I$9:$I$32,'EE Inputs'!$C$9:$C$32,$AM$6,'EE Inputs'!$D$9:$D$32,$C$4,'EE Inputs'!$E$9:$E$32,$B253)/SUMIFS('EE Inputs'!$V$9:$V$32,'EE Inputs'!$C$9:$C$32,$AM$6,'EE Inputs'!$D$9:$D$32,$C$4,'EE Inputs'!$E$9:$E$32,$B253)*10,0))</f>
        <v>3344174.9905114453</v>
      </c>
      <c r="AU253" s="71">
        <f ca="1">IF($C$4=Lookups!$D$40,SUM(INDIRECT("'Yr1'!"&amp;ADDRESS(ROW(AU253),COLUMN(AU253))),INDIRECT("'Yr2'!"&amp;ADDRESS(ROW(AU253),COLUMN(AU253))),INDIRECT("'Yr3'!"&amp;ADDRESS(ROW(AU253),COLUMN(AU253)))),
IF(AU249&gt;0,SUMIFS('EE Inputs'!$I$9:$I$32,'EE Inputs'!$C$9:$C$32,$AM$6,'EE Inputs'!$D$9:$D$32,$C$4,'EE Inputs'!$E$9:$E$32,$B253)/SUMIFS('EE Inputs'!$V$9:$V$32,'EE Inputs'!$C$9:$C$32,$AM$6,'EE Inputs'!$D$9:$D$32,$C$4,'EE Inputs'!$E$9:$E$32,$B253)*10,0))</f>
        <v>3344174.9905114453</v>
      </c>
      <c r="AV253" s="71">
        <f ca="1">IF($C$4=Lookups!$D$40,SUM(INDIRECT("'Yr1'!"&amp;ADDRESS(ROW(AV253),COLUMN(AV253))),INDIRECT("'Yr2'!"&amp;ADDRESS(ROW(AV253),COLUMN(AV253))),INDIRECT("'Yr3'!"&amp;ADDRESS(ROW(AV253),COLUMN(AV253)))),
IF(AV249&gt;0,SUMIFS('EE Inputs'!$I$9:$I$32,'EE Inputs'!$C$9:$C$32,$AM$6,'EE Inputs'!$D$9:$D$32,$C$4,'EE Inputs'!$E$9:$E$32,$B253)/SUMIFS('EE Inputs'!$V$9:$V$32,'EE Inputs'!$C$9:$C$32,$AM$6,'EE Inputs'!$D$9:$D$32,$C$4,'EE Inputs'!$E$9:$E$32,$B253)*10,0))</f>
        <v>3344174.9905114453</v>
      </c>
      <c r="AW253" s="71">
        <f ca="1">IF($C$4=Lookups!$D$40,SUM(INDIRECT("'Yr1'!"&amp;ADDRESS(ROW(AW253),COLUMN(AW253))),INDIRECT("'Yr2'!"&amp;ADDRESS(ROW(AW253),COLUMN(AW253))),INDIRECT("'Yr3'!"&amp;ADDRESS(ROW(AW253),COLUMN(AW253)))),
IF(AW249&gt;0,SUMIFS('EE Inputs'!$I$9:$I$32,'EE Inputs'!$C$9:$C$32,$AM$6,'EE Inputs'!$D$9:$D$32,$C$4,'EE Inputs'!$E$9:$E$32,$B253)/SUMIFS('EE Inputs'!$V$9:$V$32,'EE Inputs'!$C$9:$C$32,$AM$6,'EE Inputs'!$D$9:$D$32,$C$4,'EE Inputs'!$E$9:$E$32,$B253)*10,0))</f>
        <v>3344174.9905114453</v>
      </c>
      <c r="AX253" s="71">
        <f ca="1">IF($C$4=Lookups!$D$40,SUM(INDIRECT("'Yr1'!"&amp;ADDRESS(ROW(AX253),COLUMN(AX253))),INDIRECT("'Yr2'!"&amp;ADDRESS(ROW(AX253),COLUMN(AX253))),INDIRECT("'Yr3'!"&amp;ADDRESS(ROW(AX253),COLUMN(AX253)))),
IF(AX249&gt;0,SUMIFS('EE Inputs'!$I$9:$I$32,'EE Inputs'!$C$9:$C$32,$AM$6,'EE Inputs'!$D$9:$D$32,$C$4,'EE Inputs'!$E$9:$E$32,$B253)/SUMIFS('EE Inputs'!$V$9:$V$32,'EE Inputs'!$C$9:$C$32,$AM$6,'EE Inputs'!$D$9:$D$32,$C$4,'EE Inputs'!$E$9:$E$32,$B253)*10,0))</f>
        <v>3344174.9905114453</v>
      </c>
      <c r="AY253" s="71">
        <f ca="1">IF($C$4=Lookups!$D$40,SUM(INDIRECT("'Yr1'!"&amp;ADDRESS(ROW(AY253),COLUMN(AY253))),INDIRECT("'Yr2'!"&amp;ADDRESS(ROW(AY253),COLUMN(AY253))),INDIRECT("'Yr3'!"&amp;ADDRESS(ROW(AY253),COLUMN(AY253)))),
IF(AY249&gt;0,SUMIFS('EE Inputs'!$I$9:$I$32,'EE Inputs'!$C$9:$C$32,$AM$6,'EE Inputs'!$D$9:$D$32,$C$4,'EE Inputs'!$E$9:$E$32,$B253)/SUMIFS('EE Inputs'!$V$9:$V$32,'EE Inputs'!$C$9:$C$32,$AM$6,'EE Inputs'!$D$9:$D$32,$C$4,'EE Inputs'!$E$9:$E$32,$B253)*10,0))</f>
        <v>3344174.9905114453</v>
      </c>
      <c r="AZ253" s="71">
        <f ca="1">IF($C$4=Lookups!$D$40,SUM(INDIRECT("'Yr1'!"&amp;ADDRESS(ROW(AZ253),COLUMN(AZ253))),INDIRECT("'Yr2'!"&amp;ADDRESS(ROW(AZ253),COLUMN(AZ253))),INDIRECT("'Yr3'!"&amp;ADDRESS(ROW(AZ253),COLUMN(AZ253)))),
IF(AZ249&gt;0,SUMIFS('EE Inputs'!$I$9:$I$32,'EE Inputs'!$C$9:$C$32,$AM$6,'EE Inputs'!$D$9:$D$32,$C$4,'EE Inputs'!$E$9:$E$32,$B253)/SUMIFS('EE Inputs'!$V$9:$V$32,'EE Inputs'!$C$9:$C$32,$AM$6,'EE Inputs'!$D$9:$D$32,$C$4,'EE Inputs'!$E$9:$E$32,$B253)*10,0))</f>
        <v>2283884.4309420879</v>
      </c>
      <c r="BA253" s="71">
        <f ca="1">IF($C$4=Lookups!$D$40,SUM(INDIRECT("'Yr1'!"&amp;ADDRESS(ROW(BA253),COLUMN(BA253))),INDIRECT("'Yr2'!"&amp;ADDRESS(ROW(BA253),COLUMN(BA253))),INDIRECT("'Yr3'!"&amp;ADDRESS(ROW(BA253),COLUMN(BA253)))),
IF(BA249&gt;0,SUMIFS('EE Inputs'!$I$9:$I$32,'EE Inputs'!$C$9:$C$32,$AM$6,'EE Inputs'!$D$9:$D$32,$C$4,'EE Inputs'!$E$9:$E$32,$B253)/SUMIFS('EE Inputs'!$V$9:$V$32,'EE Inputs'!$C$9:$C$32,$AM$6,'EE Inputs'!$D$9:$D$32,$C$4,'EE Inputs'!$E$9:$E$32,$B253)*10,0))</f>
        <v>1172412.3956463733</v>
      </c>
      <c r="BB253" s="71">
        <f ca="1">IF($C$4=Lookups!$D$40,SUM(INDIRECT("'Yr1'!"&amp;ADDRESS(ROW(BB253),COLUMN(BB253))),INDIRECT("'Yr2'!"&amp;ADDRESS(ROW(BB253),COLUMN(BB253))),INDIRECT("'Yr3'!"&amp;ADDRESS(ROW(BB253),COLUMN(BB253)))),
IF(BB249&gt;0,SUMIFS('EE Inputs'!$I$9:$I$32,'EE Inputs'!$C$9:$C$32,$AM$6,'EE Inputs'!$D$9:$D$32,$C$4,'EE Inputs'!$E$9:$E$32,$B253)/SUMIFS('EE Inputs'!$V$9:$V$32,'EE Inputs'!$C$9:$C$32,$AM$6,'EE Inputs'!$D$9:$D$32,$C$4,'EE Inputs'!$E$9:$E$32,$B253)*10,0))</f>
        <v>0</v>
      </c>
      <c r="BC253" s="71">
        <f ca="1">IF($C$4=Lookups!$D$40,SUM(INDIRECT("'Yr1'!"&amp;ADDRESS(ROW(BC253),COLUMN(BC253))),INDIRECT("'Yr2'!"&amp;ADDRESS(ROW(BC253),COLUMN(BC253))),INDIRECT("'Yr3'!"&amp;ADDRESS(ROW(BC253),COLUMN(BC253)))),
IF(BC249&gt;0,SUMIFS('EE Inputs'!$I$9:$I$32,'EE Inputs'!$C$9:$C$32,$AM$6,'EE Inputs'!$D$9:$D$32,$C$4,'EE Inputs'!$E$9:$E$32,$B253)/SUMIFS('EE Inputs'!$V$9:$V$32,'EE Inputs'!$C$9:$C$32,$AM$6,'EE Inputs'!$D$9:$D$32,$C$4,'EE Inputs'!$E$9:$E$32,$B253)*10,0))</f>
        <v>0</v>
      </c>
      <c r="BD253" s="71">
        <f ca="1">IF($C$4=Lookups!$D$40,SUM(INDIRECT("'Yr1'!"&amp;ADDRESS(ROW(BD253),COLUMN(BD253))),INDIRECT("'Yr2'!"&amp;ADDRESS(ROW(BD253),COLUMN(BD253))),INDIRECT("'Yr3'!"&amp;ADDRESS(ROW(BD253),COLUMN(BD253)))),
IF(BD249&gt;0,SUMIFS('EE Inputs'!$I$9:$I$32,'EE Inputs'!$C$9:$C$32,$AM$6,'EE Inputs'!$D$9:$D$32,$C$4,'EE Inputs'!$E$9:$E$32,$B253)/SUMIFS('EE Inputs'!$V$9:$V$32,'EE Inputs'!$C$9:$C$32,$AM$6,'EE Inputs'!$D$9:$D$32,$C$4,'EE Inputs'!$E$9:$E$32,$B253)*10,0))</f>
        <v>0</v>
      </c>
      <c r="BE253" s="71">
        <f ca="1">IF($C$4=Lookups!$D$40,SUM(INDIRECT("'Yr1'!"&amp;ADDRESS(ROW(BE253),COLUMN(BE253))),INDIRECT("'Yr2'!"&amp;ADDRESS(ROW(BE253),COLUMN(BE253))),INDIRECT("'Yr3'!"&amp;ADDRESS(ROW(BE253),COLUMN(BE253)))),
IF(BE249&gt;0,SUMIFS('EE Inputs'!$I$9:$I$32,'EE Inputs'!$C$9:$C$32,$AM$6,'EE Inputs'!$D$9:$D$32,$C$4,'EE Inputs'!$E$9:$E$32,$B253)/SUMIFS('EE Inputs'!$V$9:$V$32,'EE Inputs'!$C$9:$C$32,$AM$6,'EE Inputs'!$D$9:$D$32,$C$4,'EE Inputs'!$E$9:$E$32,$B253)*10,0))</f>
        <v>0</v>
      </c>
      <c r="BF253" s="71">
        <f ca="1">IF($C$4=Lookups!$D$40,SUM(INDIRECT("'Yr1'!"&amp;ADDRESS(ROW(BF253),COLUMN(BF253))),INDIRECT("'Yr2'!"&amp;ADDRESS(ROW(BF253),COLUMN(BF253))),INDIRECT("'Yr3'!"&amp;ADDRESS(ROW(BF253),COLUMN(BF253)))),
IF(BF249&gt;0,SUMIFS('EE Inputs'!$I$9:$I$32,'EE Inputs'!$C$9:$C$32,$AM$6,'EE Inputs'!$D$9:$D$32,$C$4,'EE Inputs'!$E$9:$E$32,$B253)/SUMIFS('EE Inputs'!$V$9:$V$32,'EE Inputs'!$C$9:$C$32,$AM$6,'EE Inputs'!$D$9:$D$32,$C$4,'EE Inputs'!$E$9:$E$32,$B253)*10,0))</f>
        <v>0</v>
      </c>
      <c r="BG253" s="71">
        <f ca="1">IF($C$4=Lookups!$D$40,SUM(INDIRECT("'Yr1'!"&amp;ADDRESS(ROW(BG253),COLUMN(BG253))),INDIRECT("'Yr2'!"&amp;ADDRESS(ROW(BG253),COLUMN(BG253))),INDIRECT("'Yr3'!"&amp;ADDRESS(ROW(BG253),COLUMN(BG253)))),
IF(BG249&gt;0,SUMIFS('EE Inputs'!$I$9:$I$32,'EE Inputs'!$C$9:$C$32,$AM$6,'EE Inputs'!$D$9:$D$32,$C$4,'EE Inputs'!$E$9:$E$32,$B253)/SUMIFS('EE Inputs'!$V$9:$V$32,'EE Inputs'!$C$9:$C$32,$AM$6,'EE Inputs'!$D$9:$D$32,$C$4,'EE Inputs'!$E$9:$E$32,$B253)*10,0))</f>
        <v>0</v>
      </c>
      <c r="BH253" s="71">
        <f ca="1">IF($C$4=Lookups!$D$40,SUM(INDIRECT("'Yr1'!"&amp;ADDRESS(ROW(BH253),COLUMN(BH253))),INDIRECT("'Yr2'!"&amp;ADDRESS(ROW(BH253),COLUMN(BH253))),INDIRECT("'Yr3'!"&amp;ADDRESS(ROW(BH253),COLUMN(BH253)))),
IF(BH249&gt;0,SUMIFS('EE Inputs'!$I$9:$I$32,'EE Inputs'!$C$9:$C$32,$AM$6,'EE Inputs'!$D$9:$D$32,$C$4,'EE Inputs'!$E$9:$E$32,$B253)/SUMIFS('EE Inputs'!$V$9:$V$32,'EE Inputs'!$C$9:$C$32,$AM$6,'EE Inputs'!$D$9:$D$32,$C$4,'EE Inputs'!$E$9:$E$32,$B253)*10,0))</f>
        <v>0</v>
      </c>
      <c r="BI253" s="71">
        <f ca="1">IF($C$4=Lookups!$D$40,SUM(INDIRECT("'Yr1'!"&amp;ADDRESS(ROW(BI253),COLUMN(BI253))),INDIRECT("'Yr2'!"&amp;ADDRESS(ROW(BI253),COLUMN(BI253))),INDIRECT("'Yr3'!"&amp;ADDRESS(ROW(BI253),COLUMN(BI253)))),
IF(BI249&gt;0,SUMIFS('EE Inputs'!$I$9:$I$32,'EE Inputs'!$C$9:$C$32,$AM$6,'EE Inputs'!$D$9:$D$32,$C$4,'EE Inputs'!$E$9:$E$32,$B253)/SUMIFS('EE Inputs'!$V$9:$V$32,'EE Inputs'!$C$9:$C$32,$AM$6,'EE Inputs'!$D$9:$D$32,$C$4,'EE Inputs'!$E$9:$E$32,$B253)*10,0))</f>
        <v>0</v>
      </c>
      <c r="BJ253" s="71">
        <f ca="1">IF($C$4=Lookups!$D$40,SUM(INDIRECT("'Yr1'!"&amp;ADDRESS(ROW(BJ253),COLUMN(BJ253))),INDIRECT("'Yr2'!"&amp;ADDRESS(ROW(BJ253),COLUMN(BJ253))),INDIRECT("'Yr3'!"&amp;ADDRESS(ROW(BJ253),COLUMN(BJ253)))),
IF(BJ249&gt;0,SUMIFS('EE Inputs'!$I$9:$I$32,'EE Inputs'!$C$9:$C$32,$AM$6,'EE Inputs'!$D$9:$D$32,$C$4,'EE Inputs'!$E$9:$E$32,$B253)/SUMIFS('EE Inputs'!$V$9:$V$32,'EE Inputs'!$C$9:$C$32,$AM$6,'EE Inputs'!$D$9:$D$32,$C$4,'EE Inputs'!$E$9:$E$32,$B253)*10,0))</f>
        <v>0</v>
      </c>
      <c r="BK253" s="71">
        <f ca="1">IF($C$4=Lookups!$D$40,SUM(INDIRECT("'Yr1'!"&amp;ADDRESS(ROW(BK253),COLUMN(BK253))),INDIRECT("'Yr2'!"&amp;ADDRESS(ROW(BK253),COLUMN(BK253))),INDIRECT("'Yr3'!"&amp;ADDRESS(ROW(BK253),COLUMN(BK253)))),
IF(BK249&gt;0,SUMIFS('EE Inputs'!$I$9:$I$32,'EE Inputs'!$C$9:$C$32,$AM$6,'EE Inputs'!$D$9:$D$32,$C$4,'EE Inputs'!$E$9:$E$32,$B253)/SUMIFS('EE Inputs'!$V$9:$V$32,'EE Inputs'!$C$9:$C$32,$AM$6,'EE Inputs'!$D$9:$D$32,$C$4,'EE Inputs'!$E$9:$E$32,$B253)*10,0))</f>
        <v>0</v>
      </c>
      <c r="BL253" s="71">
        <f ca="1">IF($C$4=Lookups!$D$40,SUM(INDIRECT("'Yr1'!"&amp;ADDRESS(ROW(BL253),COLUMN(BL253))),INDIRECT("'Yr2'!"&amp;ADDRESS(ROW(BL253),COLUMN(BL253))),INDIRECT("'Yr3'!"&amp;ADDRESS(ROW(BL253),COLUMN(BL253)))),
IF(BL249&gt;0,SUMIFS('EE Inputs'!$I$9:$I$32,'EE Inputs'!$C$9:$C$32,$AM$6,'EE Inputs'!$D$9:$D$32,$C$4,'EE Inputs'!$E$9:$E$32,$B253)/SUMIFS('EE Inputs'!$V$9:$V$32,'EE Inputs'!$C$9:$C$32,$AM$6,'EE Inputs'!$D$9:$D$32,$C$4,'EE Inputs'!$E$9:$E$32,$B253)*10,0))</f>
        <v>0</v>
      </c>
      <c r="BM253" s="71">
        <f ca="1">IF($C$4=Lookups!$D$40,SUM(INDIRECT("'Yr1'!"&amp;ADDRESS(ROW(BM253),COLUMN(BM253))),INDIRECT("'Yr2'!"&amp;ADDRESS(ROW(BM253),COLUMN(BM253))),INDIRECT("'Yr3'!"&amp;ADDRESS(ROW(BM253),COLUMN(BM253)))),
IF(BM249&gt;0,SUMIFS('EE Inputs'!$I$9:$I$32,'EE Inputs'!$C$9:$C$32,$AM$6,'EE Inputs'!$D$9:$D$32,$C$4,'EE Inputs'!$E$9:$E$32,$B253)/SUMIFS('EE Inputs'!$V$9:$V$32,'EE Inputs'!$C$9:$C$32,$AM$6,'EE Inputs'!$D$9:$D$32,$C$4,'EE Inputs'!$E$9:$E$32,$B253)*10,0))</f>
        <v>0</v>
      </c>
      <c r="BN253" s="71"/>
      <c r="BO253" s="71">
        <f t="shared" ca="1" si="275"/>
        <v>43474274.876648799</v>
      </c>
      <c r="BP253" s="71"/>
      <c r="BS253" s="84" t="s">
        <v>92</v>
      </c>
      <c r="BT253" s="51" t="s">
        <v>17</v>
      </c>
    </row>
    <row r="254" spans="1:72" x14ac:dyDescent="0.25">
      <c r="B254" s="243" t="str">
        <f t="shared" si="273"/>
        <v>Large C&amp;I</v>
      </c>
      <c r="C254" s="243" t="str">
        <f>C253</f>
        <v>Sales</v>
      </c>
      <c r="D254" s="244" t="s">
        <v>109</v>
      </c>
      <c r="E254" s="85" t="s">
        <v>109</v>
      </c>
      <c r="F254" s="84" t="s">
        <v>195</v>
      </c>
      <c r="G254" s="65">
        <f ca="1">G252-G253</f>
        <v>10335650.896807782</v>
      </c>
      <c r="H254" s="65">
        <f t="shared" ref="H254:AG254" ca="1" si="276">H252-H253</f>
        <v>9363112.8659240305</v>
      </c>
      <c r="I254" s="65">
        <f t="shared" ca="1" si="276"/>
        <v>8337252.019733455</v>
      </c>
      <c r="J254" s="65">
        <f t="shared" ca="1" si="276"/>
        <v>8337252.019733455</v>
      </c>
      <c r="K254" s="65">
        <f t="shared" ca="1" si="276"/>
        <v>8337252.019733455</v>
      </c>
      <c r="L254" s="65">
        <f t="shared" ca="1" si="276"/>
        <v>8337252.019733455</v>
      </c>
      <c r="M254" s="65">
        <f t="shared" ca="1" si="276"/>
        <v>8337252.019733455</v>
      </c>
      <c r="N254" s="65">
        <f t="shared" ca="1" si="276"/>
        <v>8337252.019733455</v>
      </c>
      <c r="O254" s="65">
        <f t="shared" ca="1" si="276"/>
        <v>8337252.019733455</v>
      </c>
      <c r="P254" s="65">
        <f t="shared" ca="1" si="276"/>
        <v>8337252.019733455</v>
      </c>
      <c r="Q254" s="65">
        <f t="shared" ca="1" si="276"/>
        <v>8337252.019733455</v>
      </c>
      <c r="R254" s="65">
        <f t="shared" ca="1" si="276"/>
        <v>8337252.019733455</v>
      </c>
      <c r="S254" s="65">
        <f t="shared" ca="1" si="276"/>
        <v>8337252.019733455</v>
      </c>
      <c r="T254" s="65">
        <f t="shared" ca="1" si="276"/>
        <v>9265006.2593566421</v>
      </c>
      <c r="U254" s="65">
        <f t="shared" ca="1" si="276"/>
        <v>10237544.290240392</v>
      </c>
      <c r="V254" s="65">
        <f t="shared" ca="1" si="276"/>
        <v>11263405.136430969</v>
      </c>
      <c r="W254" s="65">
        <f t="shared" ca="1" si="276"/>
        <v>11263405.136430969</v>
      </c>
      <c r="X254" s="65">
        <f t="shared" ca="1" si="276"/>
        <v>11263405.136430969</v>
      </c>
      <c r="Y254" s="65">
        <f t="shared" ca="1" si="276"/>
        <v>11263405.136430969</v>
      </c>
      <c r="Z254" s="65">
        <f t="shared" ca="1" si="276"/>
        <v>11263405.136430969</v>
      </c>
      <c r="AA254" s="65">
        <f t="shared" ca="1" si="276"/>
        <v>11263405.136430969</v>
      </c>
      <c r="AB254" s="65">
        <f t="shared" ca="1" si="276"/>
        <v>11263405.136430969</v>
      </c>
      <c r="AC254" s="65">
        <f t="shared" ca="1" si="276"/>
        <v>11263405.136430969</v>
      </c>
      <c r="AD254" s="65">
        <f t="shared" ca="1" si="276"/>
        <v>11263405.136430969</v>
      </c>
      <c r="AE254" s="65">
        <f t="shared" ca="1" si="276"/>
        <v>11263405.136430969</v>
      </c>
      <c r="AF254" s="65">
        <f t="shared" ca="1" si="276"/>
        <v>11263405.136430969</v>
      </c>
      <c r="AG254" s="65">
        <f t="shared" ca="1" si="276"/>
        <v>11263405.136430969</v>
      </c>
      <c r="AH254" s="65"/>
      <c r="AI254" s="65">
        <f t="shared" ca="1" si="274"/>
        <v>266071948.16656864</v>
      </c>
      <c r="AJ254" s="65"/>
      <c r="AM254" s="72">
        <f ca="1">AM252-AM253</f>
        <v>10203114.576861612</v>
      </c>
      <c r="AN254" s="72">
        <f t="shared" ref="AN254:BM254" ca="1" si="277">AN252-AN253</f>
        <v>9091642.5415658969</v>
      </c>
      <c r="AO254" s="72">
        <f t="shared" ca="1" si="277"/>
        <v>7919230.1459195241</v>
      </c>
      <c r="AP254" s="72">
        <f t="shared" ca="1" si="277"/>
        <v>7919230.1459195241</v>
      </c>
      <c r="AQ254" s="72">
        <f t="shared" ca="1" si="277"/>
        <v>7919230.1459195241</v>
      </c>
      <c r="AR254" s="72">
        <f t="shared" ca="1" si="277"/>
        <v>7919230.1459195241</v>
      </c>
      <c r="AS254" s="72">
        <f t="shared" ca="1" si="277"/>
        <v>7919230.1459195241</v>
      </c>
      <c r="AT254" s="72">
        <f t="shared" ca="1" si="277"/>
        <v>7919230.1459195241</v>
      </c>
      <c r="AU254" s="72">
        <f t="shared" ca="1" si="277"/>
        <v>7919230.1459195241</v>
      </c>
      <c r="AV254" s="72">
        <f t="shared" ca="1" si="277"/>
        <v>7919230.1459195241</v>
      </c>
      <c r="AW254" s="72">
        <f t="shared" ca="1" si="277"/>
        <v>7919230.1459195241</v>
      </c>
      <c r="AX254" s="72">
        <f t="shared" ca="1" si="277"/>
        <v>7919230.1459195241</v>
      </c>
      <c r="AY254" s="72">
        <f t="shared" ca="1" si="277"/>
        <v>7919230.1459195241</v>
      </c>
      <c r="AZ254" s="72">
        <f t="shared" ca="1" si="277"/>
        <v>8979520.7054888811</v>
      </c>
      <c r="BA254" s="72">
        <f t="shared" ca="1" si="277"/>
        <v>10090992.740784597</v>
      </c>
      <c r="BB254" s="72">
        <f t="shared" ca="1" si="277"/>
        <v>11263405.136430969</v>
      </c>
      <c r="BC254" s="72">
        <f t="shared" ca="1" si="277"/>
        <v>11263405.136430969</v>
      </c>
      <c r="BD254" s="72">
        <f t="shared" ca="1" si="277"/>
        <v>11263405.136430969</v>
      </c>
      <c r="BE254" s="72">
        <f t="shared" ca="1" si="277"/>
        <v>11263405.136430969</v>
      </c>
      <c r="BF254" s="72">
        <f t="shared" ca="1" si="277"/>
        <v>11263405.136430969</v>
      </c>
      <c r="BG254" s="72">
        <f t="shared" ca="1" si="277"/>
        <v>11263405.136430969</v>
      </c>
      <c r="BH254" s="72">
        <f t="shared" ca="1" si="277"/>
        <v>11263405.136430969</v>
      </c>
      <c r="BI254" s="72">
        <f t="shared" ca="1" si="277"/>
        <v>11263405.136430969</v>
      </c>
      <c r="BJ254" s="72">
        <f t="shared" ca="1" si="277"/>
        <v>11263405.136430969</v>
      </c>
      <c r="BK254" s="72">
        <f t="shared" ca="1" si="277"/>
        <v>11263405.136430969</v>
      </c>
      <c r="BL254" s="72">
        <f t="shared" ca="1" si="277"/>
        <v>11263405.136430969</v>
      </c>
      <c r="BM254" s="72">
        <f t="shared" ca="1" si="277"/>
        <v>11263405.136430969</v>
      </c>
      <c r="BN254" s="72"/>
      <c r="BO254" s="72">
        <f t="shared" ca="1" si="275"/>
        <v>260637663.80698752</v>
      </c>
      <c r="BP254" s="72"/>
      <c r="BS254" s="84" t="s">
        <v>93</v>
      </c>
      <c r="BT254" s="51" t="s">
        <v>17</v>
      </c>
    </row>
    <row r="255" spans="1:72" s="5" customFormat="1" x14ac:dyDescent="0.25">
      <c r="A255" s="52"/>
      <c r="B255" s="242" t="str">
        <f t="shared" si="273"/>
        <v>Large C&amp;I</v>
      </c>
      <c r="C255" s="243" t="str">
        <f>C254</f>
        <v>Sales</v>
      </c>
      <c r="D255" s="77" t="s">
        <v>17</v>
      </c>
      <c r="E255" s="76"/>
      <c r="F255" s="76"/>
      <c r="G255" s="468"/>
      <c r="H255" s="468"/>
      <c r="I255" s="468"/>
      <c r="J255" s="468"/>
      <c r="K255" s="468"/>
      <c r="L255" s="468"/>
      <c r="M255" s="468"/>
      <c r="N255" s="468"/>
      <c r="O255" s="468"/>
      <c r="P255" s="468"/>
      <c r="Q255" s="468"/>
      <c r="R255" s="468"/>
      <c r="S255" s="468"/>
      <c r="T255" s="468"/>
      <c r="U255" s="468"/>
      <c r="V255" s="468"/>
      <c r="W255" s="468"/>
      <c r="X255" s="468"/>
      <c r="Y255" s="468"/>
      <c r="Z255" s="468"/>
      <c r="AA255" s="468"/>
      <c r="AB255" s="468"/>
      <c r="AC255" s="468"/>
      <c r="AD255" s="468"/>
      <c r="AE255" s="468"/>
      <c r="AF255" s="468"/>
      <c r="AG255" s="468"/>
      <c r="AH255" s="48"/>
      <c r="AI255" s="235"/>
      <c r="AJ255" s="48"/>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S255" s="76"/>
      <c r="BT255" s="51" t="s">
        <v>17</v>
      </c>
    </row>
    <row r="256" spans="1:72" s="5" customFormat="1" ht="15.75" x14ac:dyDescent="0.25">
      <c r="A256" s="52"/>
      <c r="B256" s="241" t="str">
        <f t="shared" si="273"/>
        <v>Large C&amp;I</v>
      </c>
      <c r="C256" s="63" t="s">
        <v>124</v>
      </c>
      <c r="D256" s="61"/>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2"/>
      <c r="BO256" s="62"/>
      <c r="BP256" s="62"/>
      <c r="BS256" s="62"/>
      <c r="BT256" s="51" t="s">
        <v>17</v>
      </c>
    </row>
    <row r="257" spans="1:72" x14ac:dyDescent="0.25">
      <c r="B257" s="243" t="str">
        <f t="shared" si="273"/>
        <v>Large C&amp;I</v>
      </c>
      <c r="C257" s="243" t="str">
        <f t="shared" si="273"/>
        <v>Revenue Requirements</v>
      </c>
      <c r="D257" s="114" t="str">
        <f>"Revenue Requirement before DSM ("&amp;Lookups!$D$22&amp;" Scenario)"</f>
        <v>Revenue Requirement before DSM (No EE Scenario)</v>
      </c>
      <c r="E257" s="84"/>
      <c r="F257" s="84"/>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S257" s="84"/>
      <c r="BT257" s="51" t="s">
        <v>17</v>
      </c>
    </row>
    <row r="258" spans="1:72" x14ac:dyDescent="0.25">
      <c r="B258" s="243" t="str">
        <f t="shared" si="273"/>
        <v>Large C&amp;I</v>
      </c>
      <c r="C258" s="243" t="str">
        <f t="shared" si="273"/>
        <v>Revenue Requirements</v>
      </c>
      <c r="D258" s="244" t="str">
        <f>D257</f>
        <v>Revenue Requirement before DSM (No EE Scenario)</v>
      </c>
      <c r="E258" s="84" t="s">
        <v>26</v>
      </c>
      <c r="F258" s="84" t="s">
        <v>32</v>
      </c>
      <c r="G258" s="65">
        <f>G275*G252</f>
        <v>1330208.1466124975</v>
      </c>
      <c r="H258" s="65">
        <f t="shared" ref="H258:AG258" si="278">H275*H252</f>
        <v>1330208.1466124975</v>
      </c>
      <c r="I258" s="65">
        <f t="shared" si="278"/>
        <v>1330208.1466124975</v>
      </c>
      <c r="J258" s="65">
        <f t="shared" si="278"/>
        <v>1330208.1466124975</v>
      </c>
      <c r="K258" s="65">
        <f t="shared" si="278"/>
        <v>1330208.1466124975</v>
      </c>
      <c r="L258" s="65">
        <f t="shared" si="278"/>
        <v>1330208.1466124975</v>
      </c>
      <c r="M258" s="65">
        <f t="shared" si="278"/>
        <v>1330208.1466124975</v>
      </c>
      <c r="N258" s="65">
        <f t="shared" si="278"/>
        <v>1330208.1466124975</v>
      </c>
      <c r="O258" s="65">
        <f t="shared" si="278"/>
        <v>1330208.1466124975</v>
      </c>
      <c r="P258" s="65">
        <f t="shared" si="278"/>
        <v>1330208.1466124975</v>
      </c>
      <c r="Q258" s="65">
        <f t="shared" si="278"/>
        <v>1330208.1466124975</v>
      </c>
      <c r="R258" s="65">
        <f t="shared" si="278"/>
        <v>1330208.1466124975</v>
      </c>
      <c r="S258" s="65">
        <f t="shared" si="278"/>
        <v>1330208.1466124975</v>
      </c>
      <c r="T258" s="65">
        <f t="shared" si="278"/>
        <v>1330208.1466124975</v>
      </c>
      <c r="U258" s="65">
        <f t="shared" si="278"/>
        <v>1330208.1466124975</v>
      </c>
      <c r="V258" s="65">
        <f t="shared" si="278"/>
        <v>1330208.1466124975</v>
      </c>
      <c r="W258" s="65">
        <f t="shared" si="278"/>
        <v>1330208.1466124975</v>
      </c>
      <c r="X258" s="65">
        <f t="shared" si="278"/>
        <v>1330208.1466124975</v>
      </c>
      <c r="Y258" s="65">
        <f t="shared" si="278"/>
        <v>1330208.1466124975</v>
      </c>
      <c r="Z258" s="65">
        <f t="shared" si="278"/>
        <v>1330208.1466124975</v>
      </c>
      <c r="AA258" s="65">
        <f t="shared" si="278"/>
        <v>1330208.1466124975</v>
      </c>
      <c r="AB258" s="65">
        <f t="shared" si="278"/>
        <v>1330208.1466124975</v>
      </c>
      <c r="AC258" s="65">
        <f t="shared" si="278"/>
        <v>1330208.1466124975</v>
      </c>
      <c r="AD258" s="65">
        <f t="shared" si="278"/>
        <v>1330208.1466124975</v>
      </c>
      <c r="AE258" s="65">
        <f t="shared" si="278"/>
        <v>1330208.1466124975</v>
      </c>
      <c r="AF258" s="65">
        <f t="shared" si="278"/>
        <v>1330208.1466124975</v>
      </c>
      <c r="AG258" s="65">
        <f t="shared" si="278"/>
        <v>1330208.1466124975</v>
      </c>
      <c r="AH258" s="65"/>
      <c r="AI258" s="65">
        <f>NPV(Lookups!$E$17,G258:AG258)</f>
        <v>29681384.162399869</v>
      </c>
      <c r="AJ258" s="65"/>
      <c r="AM258" s="72">
        <f>AM275*AM252</f>
        <v>1330208.1466124975</v>
      </c>
      <c r="AN258" s="72">
        <f t="shared" ref="AN258:BM258" si="279">AN275*AN252</f>
        <v>1330208.1466124975</v>
      </c>
      <c r="AO258" s="72">
        <f t="shared" si="279"/>
        <v>1330208.1466124975</v>
      </c>
      <c r="AP258" s="72">
        <f t="shared" si="279"/>
        <v>1330208.1466124975</v>
      </c>
      <c r="AQ258" s="72">
        <f t="shared" si="279"/>
        <v>1330208.1466124975</v>
      </c>
      <c r="AR258" s="72">
        <f t="shared" si="279"/>
        <v>1330208.1466124975</v>
      </c>
      <c r="AS258" s="72">
        <f t="shared" si="279"/>
        <v>1330208.1466124975</v>
      </c>
      <c r="AT258" s="72">
        <f t="shared" si="279"/>
        <v>1330208.1466124975</v>
      </c>
      <c r="AU258" s="72">
        <f t="shared" si="279"/>
        <v>1330208.1466124975</v>
      </c>
      <c r="AV258" s="72">
        <f t="shared" si="279"/>
        <v>1330208.1466124975</v>
      </c>
      <c r="AW258" s="72">
        <f t="shared" si="279"/>
        <v>1330208.1466124975</v>
      </c>
      <c r="AX258" s="72">
        <f t="shared" si="279"/>
        <v>1330208.1466124975</v>
      </c>
      <c r="AY258" s="72">
        <f t="shared" si="279"/>
        <v>1330208.1466124975</v>
      </c>
      <c r="AZ258" s="72">
        <f t="shared" si="279"/>
        <v>1330208.1466124975</v>
      </c>
      <c r="BA258" s="72">
        <f t="shared" si="279"/>
        <v>1330208.1466124975</v>
      </c>
      <c r="BB258" s="72">
        <f t="shared" si="279"/>
        <v>1330208.1466124975</v>
      </c>
      <c r="BC258" s="72">
        <f t="shared" si="279"/>
        <v>1330208.1466124975</v>
      </c>
      <c r="BD258" s="72">
        <f t="shared" si="279"/>
        <v>1330208.1466124975</v>
      </c>
      <c r="BE258" s="72">
        <f t="shared" si="279"/>
        <v>1330208.1466124975</v>
      </c>
      <c r="BF258" s="72">
        <f t="shared" si="279"/>
        <v>1330208.1466124975</v>
      </c>
      <c r="BG258" s="72">
        <f t="shared" si="279"/>
        <v>1330208.1466124975</v>
      </c>
      <c r="BH258" s="72">
        <f t="shared" si="279"/>
        <v>1330208.1466124975</v>
      </c>
      <c r="BI258" s="72">
        <f t="shared" si="279"/>
        <v>1330208.1466124975</v>
      </c>
      <c r="BJ258" s="72">
        <f t="shared" si="279"/>
        <v>1330208.1466124975</v>
      </c>
      <c r="BK258" s="72">
        <f t="shared" si="279"/>
        <v>1330208.1466124975</v>
      </c>
      <c r="BL258" s="72">
        <f t="shared" si="279"/>
        <v>1330208.1466124975</v>
      </c>
      <c r="BM258" s="72">
        <f t="shared" si="279"/>
        <v>1330208.1466124975</v>
      </c>
      <c r="BN258" s="72"/>
      <c r="BO258" s="72">
        <f>NPV(Lookups!$E$17,AM258:BM258)</f>
        <v>29681384.162399869</v>
      </c>
      <c r="BP258" s="72"/>
      <c r="BS258" s="84" t="str">
        <f>"No EE Scenario "&amp;E258&amp;" rate multiplied by No EE Scenario sales."</f>
        <v>No EE Scenario Distribution rate multiplied by No EE Scenario sales.</v>
      </c>
      <c r="BT258" s="51" t="s">
        <v>17</v>
      </c>
    </row>
    <row r="259" spans="1:72" x14ac:dyDescent="0.25">
      <c r="B259" s="243" t="str">
        <f t="shared" si="273"/>
        <v>Large C&amp;I</v>
      </c>
      <c r="C259" s="243" t="str">
        <f t="shared" si="273"/>
        <v>Revenue Requirements</v>
      </c>
      <c r="D259" s="244" t="str">
        <f>D258</f>
        <v>Revenue Requirement before DSM (No EE Scenario)</v>
      </c>
      <c r="E259" s="84" t="s">
        <v>407</v>
      </c>
      <c r="F259" s="84" t="s">
        <v>32</v>
      </c>
      <c r="G259" s="65">
        <f>G276*G252</f>
        <v>58569.706709441074</v>
      </c>
      <c r="H259" s="65">
        <f t="shared" ref="H259:AG259" si="280">H276*H252</f>
        <v>58569.706709441074</v>
      </c>
      <c r="I259" s="65">
        <f t="shared" si="280"/>
        <v>58569.706709441074</v>
      </c>
      <c r="J259" s="65">
        <f t="shared" si="280"/>
        <v>58569.706709441074</v>
      </c>
      <c r="K259" s="65">
        <f t="shared" si="280"/>
        <v>58569.706709441074</v>
      </c>
      <c r="L259" s="65">
        <f t="shared" si="280"/>
        <v>58569.706709441074</v>
      </c>
      <c r="M259" s="65">
        <f t="shared" si="280"/>
        <v>58569.706709441074</v>
      </c>
      <c r="N259" s="65">
        <f t="shared" si="280"/>
        <v>58569.706709441074</v>
      </c>
      <c r="O259" s="65">
        <f t="shared" si="280"/>
        <v>58569.706709441074</v>
      </c>
      <c r="P259" s="65">
        <f t="shared" si="280"/>
        <v>58569.706709441074</v>
      </c>
      <c r="Q259" s="65">
        <f t="shared" si="280"/>
        <v>58569.706709441074</v>
      </c>
      <c r="R259" s="65">
        <f t="shared" si="280"/>
        <v>58569.706709441074</v>
      </c>
      <c r="S259" s="65">
        <f t="shared" si="280"/>
        <v>58569.706709441074</v>
      </c>
      <c r="T259" s="65">
        <f t="shared" si="280"/>
        <v>58569.706709441074</v>
      </c>
      <c r="U259" s="65">
        <f t="shared" si="280"/>
        <v>58569.706709441074</v>
      </c>
      <c r="V259" s="65">
        <f t="shared" si="280"/>
        <v>58569.706709441074</v>
      </c>
      <c r="W259" s="65">
        <f t="shared" si="280"/>
        <v>58569.706709441074</v>
      </c>
      <c r="X259" s="65">
        <f t="shared" si="280"/>
        <v>58569.706709441074</v>
      </c>
      <c r="Y259" s="65">
        <f t="shared" si="280"/>
        <v>58569.706709441074</v>
      </c>
      <c r="Z259" s="65">
        <f t="shared" si="280"/>
        <v>58569.706709441074</v>
      </c>
      <c r="AA259" s="65">
        <f t="shared" si="280"/>
        <v>58569.706709441074</v>
      </c>
      <c r="AB259" s="65">
        <f t="shared" si="280"/>
        <v>58569.706709441074</v>
      </c>
      <c r="AC259" s="65">
        <f t="shared" si="280"/>
        <v>58569.706709441074</v>
      </c>
      <c r="AD259" s="65">
        <f t="shared" si="280"/>
        <v>58569.706709441074</v>
      </c>
      <c r="AE259" s="65">
        <f t="shared" si="280"/>
        <v>58569.706709441074</v>
      </c>
      <c r="AF259" s="65">
        <f t="shared" si="280"/>
        <v>58569.706709441074</v>
      </c>
      <c r="AG259" s="65">
        <f t="shared" si="280"/>
        <v>58569.706709441074</v>
      </c>
      <c r="AH259" s="65"/>
      <c r="AI259" s="65">
        <f>NPV(Lookups!$E$17,G259:AG259)</f>
        <v>1306885.6701480052</v>
      </c>
      <c r="AJ259" s="65"/>
      <c r="AM259" s="72">
        <f>AM276*AM252</f>
        <v>58569.706709441074</v>
      </c>
      <c r="AN259" s="72">
        <f t="shared" ref="AN259:BM259" si="281">AN276*AN252</f>
        <v>58569.706709441074</v>
      </c>
      <c r="AO259" s="72">
        <f t="shared" si="281"/>
        <v>58569.706709441074</v>
      </c>
      <c r="AP259" s="72">
        <f t="shared" si="281"/>
        <v>58569.706709441074</v>
      </c>
      <c r="AQ259" s="72">
        <f t="shared" si="281"/>
        <v>58569.706709441074</v>
      </c>
      <c r="AR259" s="72">
        <f t="shared" si="281"/>
        <v>58569.706709441074</v>
      </c>
      <c r="AS259" s="72">
        <f t="shared" si="281"/>
        <v>58569.706709441074</v>
      </c>
      <c r="AT259" s="72">
        <f t="shared" si="281"/>
        <v>58569.706709441074</v>
      </c>
      <c r="AU259" s="72">
        <f t="shared" si="281"/>
        <v>58569.706709441074</v>
      </c>
      <c r="AV259" s="72">
        <f t="shared" si="281"/>
        <v>58569.706709441074</v>
      </c>
      <c r="AW259" s="72">
        <f t="shared" si="281"/>
        <v>58569.706709441074</v>
      </c>
      <c r="AX259" s="72">
        <f t="shared" si="281"/>
        <v>58569.706709441074</v>
      </c>
      <c r="AY259" s="72">
        <f t="shared" si="281"/>
        <v>58569.706709441074</v>
      </c>
      <c r="AZ259" s="72">
        <f t="shared" si="281"/>
        <v>58569.706709441074</v>
      </c>
      <c r="BA259" s="72">
        <f t="shared" si="281"/>
        <v>58569.706709441074</v>
      </c>
      <c r="BB259" s="72">
        <f t="shared" si="281"/>
        <v>58569.706709441074</v>
      </c>
      <c r="BC259" s="72">
        <f t="shared" si="281"/>
        <v>58569.706709441074</v>
      </c>
      <c r="BD259" s="72">
        <f t="shared" si="281"/>
        <v>58569.706709441074</v>
      </c>
      <c r="BE259" s="72">
        <f t="shared" si="281"/>
        <v>58569.706709441074</v>
      </c>
      <c r="BF259" s="72">
        <f t="shared" si="281"/>
        <v>58569.706709441074</v>
      </c>
      <c r="BG259" s="72">
        <f t="shared" si="281"/>
        <v>58569.706709441074</v>
      </c>
      <c r="BH259" s="72">
        <f t="shared" si="281"/>
        <v>58569.706709441074</v>
      </c>
      <c r="BI259" s="72">
        <f t="shared" si="281"/>
        <v>58569.706709441074</v>
      </c>
      <c r="BJ259" s="72">
        <f t="shared" si="281"/>
        <v>58569.706709441074</v>
      </c>
      <c r="BK259" s="72">
        <f t="shared" si="281"/>
        <v>58569.706709441074</v>
      </c>
      <c r="BL259" s="72">
        <f t="shared" si="281"/>
        <v>58569.706709441074</v>
      </c>
      <c r="BM259" s="72">
        <f t="shared" si="281"/>
        <v>58569.706709441074</v>
      </c>
      <c r="BN259" s="72"/>
      <c r="BO259" s="72">
        <f>NPV(Lookups!$E$17,AM259:BM259)</f>
        <v>1306885.6701480052</v>
      </c>
      <c r="BP259" s="72"/>
      <c r="BS259" s="84" t="str">
        <f>"No EE Scenario "&amp;E259&amp;" rate multiplied by No EE Scenario sales."</f>
        <v>No EE Scenario LDAC, Non-EE rate multiplied by No EE Scenario sales.</v>
      </c>
      <c r="BT259" s="51" t="s">
        <v>17</v>
      </c>
    </row>
    <row r="260" spans="1:72" x14ac:dyDescent="0.25">
      <c r="A260" s="1"/>
      <c r="B260" s="243" t="str">
        <f>B258</f>
        <v>Large C&amp;I</v>
      </c>
      <c r="C260" s="243" t="str">
        <f>C258</f>
        <v>Revenue Requirements</v>
      </c>
      <c r="D260" s="244" t="str">
        <f>D258</f>
        <v>Revenue Requirement before DSM (No EE Scenario)</v>
      </c>
      <c r="E260" s="84" t="s">
        <v>197</v>
      </c>
      <c r="F260" s="84" t="s">
        <v>32</v>
      </c>
      <c r="G260" s="65">
        <f>G277*G252</f>
        <v>6972047.7794507705</v>
      </c>
      <c r="H260" s="65">
        <f t="shared" ref="H260:AG260" si="282">H277*H252</f>
        <v>6972047.7794507705</v>
      </c>
      <c r="I260" s="65">
        <f t="shared" si="282"/>
        <v>6972047.7794507705</v>
      </c>
      <c r="J260" s="65">
        <f t="shared" si="282"/>
        <v>6972047.7794507705</v>
      </c>
      <c r="K260" s="65">
        <f t="shared" si="282"/>
        <v>6972047.7794507705</v>
      </c>
      <c r="L260" s="65">
        <f t="shared" si="282"/>
        <v>6972047.7794507705</v>
      </c>
      <c r="M260" s="65">
        <f t="shared" si="282"/>
        <v>6972047.7794507705</v>
      </c>
      <c r="N260" s="65">
        <f t="shared" si="282"/>
        <v>6972047.7794507705</v>
      </c>
      <c r="O260" s="65">
        <f t="shared" si="282"/>
        <v>6972047.7794507705</v>
      </c>
      <c r="P260" s="65">
        <f t="shared" si="282"/>
        <v>6972047.7794507705</v>
      </c>
      <c r="Q260" s="65">
        <f t="shared" si="282"/>
        <v>6972047.7794507705</v>
      </c>
      <c r="R260" s="65">
        <f t="shared" si="282"/>
        <v>6972047.7794507705</v>
      </c>
      <c r="S260" s="65">
        <f t="shared" si="282"/>
        <v>6972047.7794507705</v>
      </c>
      <c r="T260" s="65">
        <f t="shared" si="282"/>
        <v>6972047.7794507705</v>
      </c>
      <c r="U260" s="65">
        <f t="shared" si="282"/>
        <v>6972047.7794507705</v>
      </c>
      <c r="V260" s="65">
        <f t="shared" si="282"/>
        <v>6972047.7794507705</v>
      </c>
      <c r="W260" s="65">
        <f t="shared" si="282"/>
        <v>6972047.7794507705</v>
      </c>
      <c r="X260" s="65">
        <f t="shared" si="282"/>
        <v>6972047.7794507705</v>
      </c>
      <c r="Y260" s="65">
        <f t="shared" si="282"/>
        <v>6972047.7794507705</v>
      </c>
      <c r="Z260" s="65">
        <f t="shared" si="282"/>
        <v>6972047.7794507705</v>
      </c>
      <c r="AA260" s="65">
        <f t="shared" si="282"/>
        <v>6972047.7794507705</v>
      </c>
      <c r="AB260" s="65">
        <f t="shared" si="282"/>
        <v>6972047.7794507705</v>
      </c>
      <c r="AC260" s="65">
        <f t="shared" si="282"/>
        <v>6972047.7794507705</v>
      </c>
      <c r="AD260" s="65">
        <f t="shared" si="282"/>
        <v>6972047.7794507705</v>
      </c>
      <c r="AE260" s="65">
        <f t="shared" si="282"/>
        <v>6972047.7794507705</v>
      </c>
      <c r="AF260" s="65">
        <f t="shared" si="282"/>
        <v>6972047.7794507705</v>
      </c>
      <c r="AG260" s="65">
        <f t="shared" si="282"/>
        <v>6972047.7794507705</v>
      </c>
      <c r="AH260" s="65"/>
      <c r="AI260" s="65">
        <f>NPV(Lookups!$E$17,G260:AG260)</f>
        <v>155569659.58107981</v>
      </c>
      <c r="AJ260" s="65"/>
      <c r="AM260" s="72">
        <f>AM277*AM252</f>
        <v>6972047.7794507705</v>
      </c>
      <c r="AN260" s="72">
        <f t="shared" ref="AN260:BM260" si="283">AN277*AN252</f>
        <v>6972047.7794507705</v>
      </c>
      <c r="AO260" s="72">
        <f t="shared" si="283"/>
        <v>6972047.7794507705</v>
      </c>
      <c r="AP260" s="72">
        <f t="shared" si="283"/>
        <v>6972047.7794507705</v>
      </c>
      <c r="AQ260" s="72">
        <f t="shared" si="283"/>
        <v>6972047.7794507705</v>
      </c>
      <c r="AR260" s="72">
        <f t="shared" si="283"/>
        <v>6972047.7794507705</v>
      </c>
      <c r="AS260" s="72">
        <f t="shared" si="283"/>
        <v>6972047.7794507705</v>
      </c>
      <c r="AT260" s="72">
        <f t="shared" si="283"/>
        <v>6972047.7794507705</v>
      </c>
      <c r="AU260" s="72">
        <f t="shared" si="283"/>
        <v>6972047.7794507705</v>
      </c>
      <c r="AV260" s="72">
        <f t="shared" si="283"/>
        <v>6972047.7794507705</v>
      </c>
      <c r="AW260" s="72">
        <f t="shared" si="283"/>
        <v>6972047.7794507705</v>
      </c>
      <c r="AX260" s="72">
        <f t="shared" si="283"/>
        <v>6972047.7794507705</v>
      </c>
      <c r="AY260" s="72">
        <f t="shared" si="283"/>
        <v>6972047.7794507705</v>
      </c>
      <c r="AZ260" s="72">
        <f t="shared" si="283"/>
        <v>6972047.7794507705</v>
      </c>
      <c r="BA260" s="72">
        <f t="shared" si="283"/>
        <v>6972047.7794507705</v>
      </c>
      <c r="BB260" s="72">
        <f t="shared" si="283"/>
        <v>6972047.7794507705</v>
      </c>
      <c r="BC260" s="72">
        <f t="shared" si="283"/>
        <v>6972047.7794507705</v>
      </c>
      <c r="BD260" s="72">
        <f t="shared" si="283"/>
        <v>6972047.7794507705</v>
      </c>
      <c r="BE260" s="72">
        <f t="shared" si="283"/>
        <v>6972047.7794507705</v>
      </c>
      <c r="BF260" s="72">
        <f t="shared" si="283"/>
        <v>6972047.7794507705</v>
      </c>
      <c r="BG260" s="72">
        <f t="shared" si="283"/>
        <v>6972047.7794507705</v>
      </c>
      <c r="BH260" s="72">
        <f t="shared" si="283"/>
        <v>6972047.7794507705</v>
      </c>
      <c r="BI260" s="72">
        <f t="shared" si="283"/>
        <v>6972047.7794507705</v>
      </c>
      <c r="BJ260" s="72">
        <f t="shared" si="283"/>
        <v>6972047.7794507705</v>
      </c>
      <c r="BK260" s="72">
        <f t="shared" si="283"/>
        <v>6972047.7794507705</v>
      </c>
      <c r="BL260" s="72">
        <f t="shared" si="283"/>
        <v>6972047.7794507705</v>
      </c>
      <c r="BM260" s="72">
        <f t="shared" si="283"/>
        <v>6972047.7794507705</v>
      </c>
      <c r="BN260" s="72"/>
      <c r="BO260" s="72">
        <f>NPV(Lookups!$E$17,AM260:BM260)</f>
        <v>155569659.58107981</v>
      </c>
      <c r="BP260" s="72"/>
      <c r="BS260" s="84" t="str">
        <f>"No EE Scenario "&amp;E260&amp;" rate multiplied by No EE Scenario sales."</f>
        <v>No EE Scenario Cost of Gas rate multiplied by No EE Scenario sales.</v>
      </c>
      <c r="BT260" s="51" t="s">
        <v>17</v>
      </c>
    </row>
    <row r="261" spans="1:72" x14ac:dyDescent="0.25">
      <c r="B261" s="243" t="str">
        <f t="shared" ref="B261:C263" si="284">B260</f>
        <v>Large C&amp;I</v>
      </c>
      <c r="C261" s="243" t="str">
        <f t="shared" si="284"/>
        <v>Revenue Requirements</v>
      </c>
      <c r="D261" s="114" t="s">
        <v>24</v>
      </c>
      <c r="E261" s="84"/>
      <c r="F261" s="84"/>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S261" s="84"/>
      <c r="BT261" s="51" t="s">
        <v>17</v>
      </c>
    </row>
    <row r="262" spans="1:72" x14ac:dyDescent="0.25">
      <c r="A262" s="246"/>
      <c r="B262" s="243" t="str">
        <f t="shared" si="284"/>
        <v>Large C&amp;I</v>
      </c>
      <c r="C262" s="243" t="str">
        <f t="shared" si="284"/>
        <v>Revenue Requirements</v>
      </c>
      <c r="D262" s="244" t="str">
        <f>D261</f>
        <v>Avoided Costs</v>
      </c>
      <c r="E262" s="84" t="s">
        <v>45</v>
      </c>
      <c r="F262" s="84" t="s">
        <v>32</v>
      </c>
      <c r="G262" s="65">
        <f ca="1">IF($C$4=Lookups!$D$40,SUM(INDIRECT("'Yr1'!"&amp;ADDRESS(ROW(G262),COLUMN(G262))),INDIRECT("'Yr2'!"&amp;ADDRESS(ROW(G262),COLUMN(G262))),INDIRECT("'Yr3'!"&amp;ADDRESS(ROW(G262),COLUMN(G262)))),
IF(G249=0,0,-PMT(INDEX(Lookups!$E$17:$G$17,MATCH($C$4,Lookups!$E$14:$G$14,0)),G249,SUMIFS('EE Inputs'!$J$9:$J$32,'EE Inputs'!$C$9:$C$32,$G$6,'EE Inputs'!$D$9:$D$32,$C$4,'EE Inputs'!$E$9:$E$32,$B262),0,1)))-G263</f>
        <v>585290.76771675993</v>
      </c>
      <c r="H262" s="65">
        <f ca="1">IF($C$4=Lookups!$D$40,SUM(INDIRECT("'Yr1'!"&amp;ADDRESS(ROW(H262),COLUMN(H262))),INDIRECT("'Yr2'!"&amp;ADDRESS(ROW(H262),COLUMN(H262))),INDIRECT("'Yr3'!"&amp;ADDRESS(ROW(H262),COLUMN(H262)))),
IF(H249=0,0,-PMT(INDEX(Lookups!$E$17:$G$17,MATCH($C$4,Lookups!$E$14:$G$14,0)),H249,SUMIFS('EE Inputs'!$J$9:$J$32,'EE Inputs'!$C$9:$C$32,$G$6,'EE Inputs'!$D$9:$D$32,$C$4,'EE Inputs'!$E$9:$E$32,$B262),0,1)))-H263</f>
        <v>1198873.3168660796</v>
      </c>
      <c r="I262" s="65">
        <f ca="1">IF($C$4=Lookups!$D$40,SUM(INDIRECT("'Yr1'!"&amp;ADDRESS(ROW(I262),COLUMN(I262))),INDIRECT("'Yr2'!"&amp;ADDRESS(ROW(I262),COLUMN(I262))),INDIRECT("'Yr3'!"&amp;ADDRESS(ROW(I262),COLUMN(I262)))),
IF(I249=0,0,-PMT(INDEX(Lookups!$E$17:$G$17,MATCH($C$4,Lookups!$E$14:$G$14,0)),I249,SUMIFS('EE Inputs'!$J$9:$J$32,'EE Inputs'!$C$9:$C$32,$G$6,'EE Inputs'!$D$9:$D$32,$C$4,'EE Inputs'!$E$9:$E$32,$B262),0,1)))-I263</f>
        <v>1845898.6516489414</v>
      </c>
      <c r="J262" s="65">
        <f ca="1">IF($C$4=Lookups!$D$40,SUM(INDIRECT("'Yr1'!"&amp;ADDRESS(ROW(J262),COLUMN(J262))),INDIRECT("'Yr2'!"&amp;ADDRESS(ROW(J262),COLUMN(J262))),INDIRECT("'Yr3'!"&amp;ADDRESS(ROW(J262),COLUMN(J262)))),
IF(J249=0,0,-PMT(INDEX(Lookups!$E$17:$G$17,MATCH($C$4,Lookups!$E$14:$G$14,0)),J249,SUMIFS('EE Inputs'!$J$9:$J$32,'EE Inputs'!$C$9:$C$32,$G$6,'EE Inputs'!$D$9:$D$32,$C$4,'EE Inputs'!$E$9:$E$32,$B262),0,1)))-J263</f>
        <v>1845898.6516489414</v>
      </c>
      <c r="K262" s="65">
        <f ca="1">IF($C$4=Lookups!$D$40,SUM(INDIRECT("'Yr1'!"&amp;ADDRESS(ROW(K262),COLUMN(K262))),INDIRECT("'Yr2'!"&amp;ADDRESS(ROW(K262),COLUMN(K262))),INDIRECT("'Yr3'!"&amp;ADDRESS(ROW(K262),COLUMN(K262)))),
IF(K249=0,0,-PMT(INDEX(Lookups!$E$17:$G$17,MATCH($C$4,Lookups!$E$14:$G$14,0)),K249,SUMIFS('EE Inputs'!$J$9:$J$32,'EE Inputs'!$C$9:$C$32,$G$6,'EE Inputs'!$D$9:$D$32,$C$4,'EE Inputs'!$E$9:$E$32,$B262),0,1)))-K263</f>
        <v>1845898.6516489414</v>
      </c>
      <c r="L262" s="65">
        <f ca="1">IF($C$4=Lookups!$D$40,SUM(INDIRECT("'Yr1'!"&amp;ADDRESS(ROW(L262),COLUMN(L262))),INDIRECT("'Yr2'!"&amp;ADDRESS(ROW(L262),COLUMN(L262))),INDIRECT("'Yr3'!"&amp;ADDRESS(ROW(L262),COLUMN(L262)))),
IF(L249=0,0,-PMT(INDEX(Lookups!$E$17:$G$17,MATCH($C$4,Lookups!$E$14:$G$14,0)),L249,SUMIFS('EE Inputs'!$J$9:$J$32,'EE Inputs'!$C$9:$C$32,$G$6,'EE Inputs'!$D$9:$D$32,$C$4,'EE Inputs'!$E$9:$E$32,$B262),0,1)))-L263</f>
        <v>1845898.6516489414</v>
      </c>
      <c r="M262" s="65">
        <f ca="1">IF($C$4=Lookups!$D$40,SUM(INDIRECT("'Yr1'!"&amp;ADDRESS(ROW(M262),COLUMN(M262))),INDIRECT("'Yr2'!"&amp;ADDRESS(ROW(M262),COLUMN(M262))),INDIRECT("'Yr3'!"&amp;ADDRESS(ROW(M262),COLUMN(M262)))),
IF(M249=0,0,-PMT(INDEX(Lookups!$E$17:$G$17,MATCH($C$4,Lookups!$E$14:$G$14,0)),M249,SUMIFS('EE Inputs'!$J$9:$J$32,'EE Inputs'!$C$9:$C$32,$G$6,'EE Inputs'!$D$9:$D$32,$C$4,'EE Inputs'!$E$9:$E$32,$B262),0,1)))-M263</f>
        <v>1845898.6516489414</v>
      </c>
      <c r="N262" s="65">
        <f ca="1">IF($C$4=Lookups!$D$40,SUM(INDIRECT("'Yr1'!"&amp;ADDRESS(ROW(N262),COLUMN(N262))),INDIRECT("'Yr2'!"&amp;ADDRESS(ROW(N262),COLUMN(N262))),INDIRECT("'Yr3'!"&amp;ADDRESS(ROW(N262),COLUMN(N262)))),
IF(N249=0,0,-PMT(INDEX(Lookups!$E$17:$G$17,MATCH($C$4,Lookups!$E$14:$G$14,0)),N249,SUMIFS('EE Inputs'!$J$9:$J$32,'EE Inputs'!$C$9:$C$32,$G$6,'EE Inputs'!$D$9:$D$32,$C$4,'EE Inputs'!$E$9:$E$32,$B262),0,1)))-N263</f>
        <v>1845898.6516489414</v>
      </c>
      <c r="O262" s="65">
        <f ca="1">IF($C$4=Lookups!$D$40,SUM(INDIRECT("'Yr1'!"&amp;ADDRESS(ROW(O262),COLUMN(O262))),INDIRECT("'Yr2'!"&amp;ADDRESS(ROW(O262),COLUMN(O262))),INDIRECT("'Yr3'!"&amp;ADDRESS(ROW(O262),COLUMN(O262)))),
IF(O249=0,0,-PMT(INDEX(Lookups!$E$17:$G$17,MATCH($C$4,Lookups!$E$14:$G$14,0)),O249,SUMIFS('EE Inputs'!$J$9:$J$32,'EE Inputs'!$C$9:$C$32,$G$6,'EE Inputs'!$D$9:$D$32,$C$4,'EE Inputs'!$E$9:$E$32,$B262),0,1)))-O263</f>
        <v>1845898.6516489414</v>
      </c>
      <c r="P262" s="65">
        <f ca="1">IF($C$4=Lookups!$D$40,SUM(INDIRECT("'Yr1'!"&amp;ADDRESS(ROW(P262),COLUMN(P262))),INDIRECT("'Yr2'!"&amp;ADDRESS(ROW(P262),COLUMN(P262))),INDIRECT("'Yr3'!"&amp;ADDRESS(ROW(P262),COLUMN(P262)))),
IF(P249=0,0,-PMT(INDEX(Lookups!$E$17:$G$17,MATCH($C$4,Lookups!$E$14:$G$14,0)),P249,SUMIFS('EE Inputs'!$J$9:$J$32,'EE Inputs'!$C$9:$C$32,$G$6,'EE Inputs'!$D$9:$D$32,$C$4,'EE Inputs'!$E$9:$E$32,$B262),0,1)))-P263</f>
        <v>1845898.6516489414</v>
      </c>
      <c r="Q262" s="65">
        <f ca="1">IF($C$4=Lookups!$D$40,SUM(INDIRECT("'Yr1'!"&amp;ADDRESS(ROW(Q262),COLUMN(Q262))),INDIRECT("'Yr2'!"&amp;ADDRESS(ROW(Q262),COLUMN(Q262))),INDIRECT("'Yr3'!"&amp;ADDRESS(ROW(Q262),COLUMN(Q262)))),
IF(Q249=0,0,-PMT(INDEX(Lookups!$E$17:$G$17,MATCH($C$4,Lookups!$E$14:$G$14,0)),Q249,SUMIFS('EE Inputs'!$J$9:$J$32,'EE Inputs'!$C$9:$C$32,$G$6,'EE Inputs'!$D$9:$D$32,$C$4,'EE Inputs'!$E$9:$E$32,$B262),0,1)))-Q263</f>
        <v>1845898.6516489414</v>
      </c>
      <c r="R262" s="65">
        <f ca="1">IF($C$4=Lookups!$D$40,SUM(INDIRECT("'Yr1'!"&amp;ADDRESS(ROW(R262),COLUMN(R262))),INDIRECT("'Yr2'!"&amp;ADDRESS(ROW(R262),COLUMN(R262))),INDIRECT("'Yr3'!"&amp;ADDRESS(ROW(R262),COLUMN(R262)))),
IF(R249=0,0,-PMT(INDEX(Lookups!$E$17:$G$17,MATCH($C$4,Lookups!$E$14:$G$14,0)),R249,SUMIFS('EE Inputs'!$J$9:$J$32,'EE Inputs'!$C$9:$C$32,$G$6,'EE Inputs'!$D$9:$D$32,$C$4,'EE Inputs'!$E$9:$E$32,$B262),0,1)))-R263</f>
        <v>1845898.6516489414</v>
      </c>
      <c r="S262" s="65">
        <f ca="1">IF($C$4=Lookups!$D$40,SUM(INDIRECT("'Yr1'!"&amp;ADDRESS(ROW(S262),COLUMN(S262))),INDIRECT("'Yr2'!"&amp;ADDRESS(ROW(S262),COLUMN(S262))),INDIRECT("'Yr3'!"&amp;ADDRESS(ROW(S262),COLUMN(S262)))),
IF(S249=0,0,-PMT(INDEX(Lookups!$E$17:$G$17,MATCH($C$4,Lookups!$E$14:$G$14,0)),S249,SUMIFS('EE Inputs'!$J$9:$J$32,'EE Inputs'!$C$9:$C$32,$G$6,'EE Inputs'!$D$9:$D$32,$C$4,'EE Inputs'!$E$9:$E$32,$B262),0,1)))-S263</f>
        <v>1845898.6516489414</v>
      </c>
      <c r="T262" s="65">
        <f ca="1">IF($C$4=Lookups!$D$40,SUM(INDIRECT("'Yr1'!"&amp;ADDRESS(ROW(T262),COLUMN(T262))),INDIRECT("'Yr2'!"&amp;ADDRESS(ROW(T262),COLUMN(T262))),INDIRECT("'Yr3'!"&amp;ADDRESS(ROW(T262),COLUMN(T262)))),
IF(T249=0,0,-PMT(INDEX(Lookups!$E$17:$G$17,MATCH($C$4,Lookups!$E$14:$G$14,0)),T249,SUMIFS('EE Inputs'!$J$9:$J$32,'EE Inputs'!$C$9:$C$32,$G$6,'EE Inputs'!$D$9:$D$32,$C$4,'EE Inputs'!$E$9:$E$32,$B262),0,1)))-T263</f>
        <v>1260607.8839321816</v>
      </c>
      <c r="U262" s="65">
        <f ca="1">IF($C$4=Lookups!$D$40,SUM(INDIRECT("'Yr1'!"&amp;ADDRESS(ROW(U262),COLUMN(U262))),INDIRECT("'Yr2'!"&amp;ADDRESS(ROW(U262),COLUMN(U262))),INDIRECT("'Yr3'!"&amp;ADDRESS(ROW(U262),COLUMN(U262)))),
IF(U249=0,0,-PMT(INDEX(Lookups!$E$17:$G$17,MATCH($C$4,Lookups!$E$14:$G$14,0)),U249,SUMIFS('EE Inputs'!$J$9:$J$32,'EE Inputs'!$C$9:$C$32,$G$6,'EE Inputs'!$D$9:$D$32,$C$4,'EE Inputs'!$E$9:$E$32,$B262),0,1)))-U263</f>
        <v>647025.33478286187</v>
      </c>
      <c r="V262" s="65">
        <f ca="1">IF($C$4=Lookups!$D$40,SUM(INDIRECT("'Yr1'!"&amp;ADDRESS(ROW(V262),COLUMN(V262))),INDIRECT("'Yr2'!"&amp;ADDRESS(ROW(V262),COLUMN(V262))),INDIRECT("'Yr3'!"&amp;ADDRESS(ROW(V262),COLUMN(V262)))),
IF(V249=0,0,-PMT(INDEX(Lookups!$E$17:$G$17,MATCH($C$4,Lookups!$E$14:$G$14,0)),V249,SUMIFS('EE Inputs'!$J$9:$J$32,'EE Inputs'!$C$9:$C$32,$G$6,'EE Inputs'!$D$9:$D$32,$C$4,'EE Inputs'!$E$9:$E$32,$B262),0,1)))-V263</f>
        <v>0</v>
      </c>
      <c r="W262" s="65">
        <f ca="1">IF($C$4=Lookups!$D$40,SUM(INDIRECT("'Yr1'!"&amp;ADDRESS(ROW(W262),COLUMN(W262))),INDIRECT("'Yr2'!"&amp;ADDRESS(ROW(W262),COLUMN(W262))),INDIRECT("'Yr3'!"&amp;ADDRESS(ROW(W262),COLUMN(W262)))),
IF(W249=0,0,-PMT(INDEX(Lookups!$E$17:$G$17,MATCH($C$4,Lookups!$E$14:$G$14,0)),W249,SUMIFS('EE Inputs'!$J$9:$J$32,'EE Inputs'!$C$9:$C$32,$G$6,'EE Inputs'!$D$9:$D$32,$C$4,'EE Inputs'!$E$9:$E$32,$B262),0,1)))-W263</f>
        <v>0</v>
      </c>
      <c r="X262" s="65">
        <f ca="1">IF($C$4=Lookups!$D$40,SUM(INDIRECT("'Yr1'!"&amp;ADDRESS(ROW(X262),COLUMN(X262))),INDIRECT("'Yr2'!"&amp;ADDRESS(ROW(X262),COLUMN(X262))),INDIRECT("'Yr3'!"&amp;ADDRESS(ROW(X262),COLUMN(X262)))),
IF(X249=0,0,-PMT(INDEX(Lookups!$E$17:$G$17,MATCH($C$4,Lookups!$E$14:$G$14,0)),X249,SUMIFS('EE Inputs'!$J$9:$J$32,'EE Inputs'!$C$9:$C$32,$G$6,'EE Inputs'!$D$9:$D$32,$C$4,'EE Inputs'!$E$9:$E$32,$B262),0,1)))-X263</f>
        <v>0</v>
      </c>
      <c r="Y262" s="65">
        <f ca="1">IF($C$4=Lookups!$D$40,SUM(INDIRECT("'Yr1'!"&amp;ADDRESS(ROW(Y262),COLUMN(Y262))),INDIRECT("'Yr2'!"&amp;ADDRESS(ROW(Y262),COLUMN(Y262))),INDIRECT("'Yr3'!"&amp;ADDRESS(ROW(Y262),COLUMN(Y262)))),
IF(Y249=0,0,-PMT(INDEX(Lookups!$E$17:$G$17,MATCH($C$4,Lookups!$E$14:$G$14,0)),Y249,SUMIFS('EE Inputs'!$J$9:$J$32,'EE Inputs'!$C$9:$C$32,$G$6,'EE Inputs'!$D$9:$D$32,$C$4,'EE Inputs'!$E$9:$E$32,$B262),0,1)))-Y263</f>
        <v>0</v>
      </c>
      <c r="Z262" s="65">
        <f ca="1">IF($C$4=Lookups!$D$40,SUM(INDIRECT("'Yr1'!"&amp;ADDRESS(ROW(Z262),COLUMN(Z262))),INDIRECT("'Yr2'!"&amp;ADDRESS(ROW(Z262),COLUMN(Z262))),INDIRECT("'Yr3'!"&amp;ADDRESS(ROW(Z262),COLUMN(Z262)))),
IF(Z249=0,0,-PMT(INDEX(Lookups!$E$17:$G$17,MATCH($C$4,Lookups!$E$14:$G$14,0)),Z249,SUMIFS('EE Inputs'!$J$9:$J$32,'EE Inputs'!$C$9:$C$32,$G$6,'EE Inputs'!$D$9:$D$32,$C$4,'EE Inputs'!$E$9:$E$32,$B262),0,1)))-Z263</f>
        <v>0</v>
      </c>
      <c r="AA262" s="65">
        <f ca="1">IF($C$4=Lookups!$D$40,SUM(INDIRECT("'Yr1'!"&amp;ADDRESS(ROW(AA262),COLUMN(AA262))),INDIRECT("'Yr2'!"&amp;ADDRESS(ROW(AA262),COLUMN(AA262))),INDIRECT("'Yr3'!"&amp;ADDRESS(ROW(AA262),COLUMN(AA262)))),
IF(AA249=0,0,-PMT(INDEX(Lookups!$E$17:$G$17,MATCH($C$4,Lookups!$E$14:$G$14,0)),AA249,SUMIFS('EE Inputs'!$J$9:$J$32,'EE Inputs'!$C$9:$C$32,$G$6,'EE Inputs'!$D$9:$D$32,$C$4,'EE Inputs'!$E$9:$E$32,$B262),0,1)))-AA263</f>
        <v>0</v>
      </c>
      <c r="AB262" s="65">
        <f ca="1">IF($C$4=Lookups!$D$40,SUM(INDIRECT("'Yr1'!"&amp;ADDRESS(ROW(AB262),COLUMN(AB262))),INDIRECT("'Yr2'!"&amp;ADDRESS(ROW(AB262),COLUMN(AB262))),INDIRECT("'Yr3'!"&amp;ADDRESS(ROW(AB262),COLUMN(AB262)))),
IF(AB249=0,0,-PMT(INDEX(Lookups!$E$17:$G$17,MATCH($C$4,Lookups!$E$14:$G$14,0)),AB249,SUMIFS('EE Inputs'!$J$9:$J$32,'EE Inputs'!$C$9:$C$32,$G$6,'EE Inputs'!$D$9:$D$32,$C$4,'EE Inputs'!$E$9:$E$32,$B262),0,1)))-AB263</f>
        <v>0</v>
      </c>
      <c r="AC262" s="65">
        <f ca="1">IF($C$4=Lookups!$D$40,SUM(INDIRECT("'Yr1'!"&amp;ADDRESS(ROW(AC262),COLUMN(AC262))),INDIRECT("'Yr2'!"&amp;ADDRESS(ROW(AC262),COLUMN(AC262))),INDIRECT("'Yr3'!"&amp;ADDRESS(ROW(AC262),COLUMN(AC262)))),
IF(AC249=0,0,-PMT(INDEX(Lookups!$E$17:$G$17,MATCH($C$4,Lookups!$E$14:$G$14,0)),AC249,SUMIFS('EE Inputs'!$J$9:$J$32,'EE Inputs'!$C$9:$C$32,$G$6,'EE Inputs'!$D$9:$D$32,$C$4,'EE Inputs'!$E$9:$E$32,$B262),0,1)))-AC263</f>
        <v>0</v>
      </c>
      <c r="AD262" s="65">
        <f ca="1">IF($C$4=Lookups!$D$40,SUM(INDIRECT("'Yr1'!"&amp;ADDRESS(ROW(AD262),COLUMN(AD262))),INDIRECT("'Yr2'!"&amp;ADDRESS(ROW(AD262),COLUMN(AD262))),INDIRECT("'Yr3'!"&amp;ADDRESS(ROW(AD262),COLUMN(AD262)))),
IF(AD249=0,0,-PMT(INDEX(Lookups!$E$17:$G$17,MATCH($C$4,Lookups!$E$14:$G$14,0)),AD249,SUMIFS('EE Inputs'!$J$9:$J$32,'EE Inputs'!$C$9:$C$32,$G$6,'EE Inputs'!$D$9:$D$32,$C$4,'EE Inputs'!$E$9:$E$32,$B262),0,1)))-AD263</f>
        <v>0</v>
      </c>
      <c r="AE262" s="65">
        <f ca="1">IF($C$4=Lookups!$D$40,SUM(INDIRECT("'Yr1'!"&amp;ADDRESS(ROW(AE262),COLUMN(AE262))),INDIRECT("'Yr2'!"&amp;ADDRESS(ROW(AE262),COLUMN(AE262))),INDIRECT("'Yr3'!"&amp;ADDRESS(ROW(AE262),COLUMN(AE262)))),
IF(AE249=0,0,-PMT(INDEX(Lookups!$E$17:$G$17,MATCH($C$4,Lookups!$E$14:$G$14,0)),AE249,SUMIFS('EE Inputs'!$J$9:$J$32,'EE Inputs'!$C$9:$C$32,$G$6,'EE Inputs'!$D$9:$D$32,$C$4,'EE Inputs'!$E$9:$E$32,$B262),0,1)))-AE263</f>
        <v>0</v>
      </c>
      <c r="AF262" s="65">
        <f ca="1">IF($C$4=Lookups!$D$40,SUM(INDIRECT("'Yr1'!"&amp;ADDRESS(ROW(AF262),COLUMN(AF262))),INDIRECT("'Yr2'!"&amp;ADDRESS(ROW(AF262),COLUMN(AF262))),INDIRECT("'Yr3'!"&amp;ADDRESS(ROW(AF262),COLUMN(AF262)))),
IF(AF249=0,0,-PMT(INDEX(Lookups!$E$17:$G$17,MATCH($C$4,Lookups!$E$14:$G$14,0)),AF249,SUMIFS('EE Inputs'!$J$9:$J$32,'EE Inputs'!$C$9:$C$32,$G$6,'EE Inputs'!$D$9:$D$32,$C$4,'EE Inputs'!$E$9:$E$32,$B262),0,1)))-AF263</f>
        <v>0</v>
      </c>
      <c r="AG262" s="65">
        <f ca="1">IF($C$4=Lookups!$D$40,SUM(INDIRECT("'Yr1'!"&amp;ADDRESS(ROW(AG262),COLUMN(AG262))),INDIRECT("'Yr2'!"&amp;ADDRESS(ROW(AG262),COLUMN(AG262))),INDIRECT("'Yr3'!"&amp;ADDRESS(ROW(AG262),COLUMN(AG262)))),
IF(AG249=0,0,-PMT(INDEX(Lookups!$E$17:$G$17,MATCH($C$4,Lookups!$E$14:$G$14,0)),AG249,SUMIFS('EE Inputs'!$J$9:$J$32,'EE Inputs'!$C$9:$C$32,$G$6,'EE Inputs'!$D$9:$D$32,$C$4,'EE Inputs'!$E$9:$E$32,$B262),0,1)))-AG263</f>
        <v>0</v>
      </c>
      <c r="AH262" s="65"/>
      <c r="AI262" s="65">
        <f ca="1">NPV(Lookups!$E$17,G262:AG262)</f>
        <v>21467342.832056761</v>
      </c>
      <c r="AJ262" s="65"/>
      <c r="AM262" s="72">
        <f ca="1">IF($C$4=Lookups!$D$40,SUM(INDIRECT("'Yr1'!"&amp;ADDRESS(ROW(AM262),COLUMN(AM262))),INDIRECT("'Yr2'!"&amp;ADDRESS(ROW(AM262),COLUMN(AM262))),INDIRECT("'Yr3'!"&amp;ADDRESS(ROW(AM262),COLUMN(AM262)))),
IF(AM249=0,0,-PMT(INDEX(Lookups!$E$17:$G$17,MATCH($C$4,Lookups!$E$14:$G$14,0)),AM249,SUMIFS('EE Inputs'!$J$9:$J$32,'EE Inputs'!$C$9:$C$32,$AM$6,'EE Inputs'!$D$9:$D$32,$C$4,'EE Inputs'!$E$9:$E$32,$B262),0,1)))-AM263</f>
        <v>668903.73453344009</v>
      </c>
      <c r="AN262" s="72">
        <f ca="1">IF($C$4=Lookups!$D$40,SUM(INDIRECT("'Yr1'!"&amp;ADDRESS(ROW(AN262),COLUMN(AN262))),INDIRECT("'Yr2'!"&amp;ADDRESS(ROW(AN262),COLUMN(AN262))),INDIRECT("'Yr3'!"&amp;ADDRESS(ROW(AN262),COLUMN(AN262)))),
IF(AN249=0,0,-PMT(INDEX(Lookups!$E$17:$G$17,MATCH($C$4,Lookups!$E$14:$G$14,0)),AN249,SUMIFS('EE Inputs'!$J$9:$J$32,'EE Inputs'!$C$9:$C$32,$AM$6,'EE Inputs'!$D$9:$D$32,$C$4,'EE Inputs'!$E$9:$E$32,$B262),0,1)))-AN263</f>
        <v>1370140.9335612336</v>
      </c>
      <c r="AO262" s="72">
        <f ca="1">IF($C$4=Lookups!$D$40,SUM(INDIRECT("'Yr1'!"&amp;ADDRESS(ROW(AO262),COLUMN(AO262))),INDIRECT("'Yr2'!"&amp;ADDRESS(ROW(AO262),COLUMN(AO262))),INDIRECT("'Yr3'!"&amp;ADDRESS(ROW(AO262),COLUMN(AO262)))),
IF(AO249=0,0,-PMT(INDEX(Lookups!$E$17:$G$17,MATCH($C$4,Lookups!$E$14:$G$14,0)),AO249,SUMIFS('EE Inputs'!$J$9:$J$32,'EE Inputs'!$C$9:$C$32,$AM$6,'EE Inputs'!$D$9:$D$32,$C$4,'EE Inputs'!$E$9:$E$32,$B262),0,1)))-AO263</f>
        <v>2109598.4590273611</v>
      </c>
      <c r="AP262" s="72">
        <f ca="1">IF($C$4=Lookups!$D$40,SUM(INDIRECT("'Yr1'!"&amp;ADDRESS(ROW(AP262),COLUMN(AP262))),INDIRECT("'Yr2'!"&amp;ADDRESS(ROW(AP262),COLUMN(AP262))),INDIRECT("'Yr3'!"&amp;ADDRESS(ROW(AP262),COLUMN(AP262)))),
IF(AP249=0,0,-PMT(INDEX(Lookups!$E$17:$G$17,MATCH($C$4,Lookups!$E$14:$G$14,0)),AP249,SUMIFS('EE Inputs'!$J$9:$J$32,'EE Inputs'!$C$9:$C$32,$AM$6,'EE Inputs'!$D$9:$D$32,$C$4,'EE Inputs'!$E$9:$E$32,$B262),0,1)))-AP263</f>
        <v>2109598.4590273611</v>
      </c>
      <c r="AQ262" s="72">
        <f ca="1">IF($C$4=Lookups!$D$40,SUM(INDIRECT("'Yr1'!"&amp;ADDRESS(ROW(AQ262),COLUMN(AQ262))),INDIRECT("'Yr2'!"&amp;ADDRESS(ROW(AQ262),COLUMN(AQ262))),INDIRECT("'Yr3'!"&amp;ADDRESS(ROW(AQ262),COLUMN(AQ262)))),
IF(AQ249=0,0,-PMT(INDEX(Lookups!$E$17:$G$17,MATCH($C$4,Lookups!$E$14:$G$14,0)),AQ249,SUMIFS('EE Inputs'!$J$9:$J$32,'EE Inputs'!$C$9:$C$32,$AM$6,'EE Inputs'!$D$9:$D$32,$C$4,'EE Inputs'!$E$9:$E$32,$B262),0,1)))-AQ263</f>
        <v>2109598.4590273611</v>
      </c>
      <c r="AR262" s="72">
        <f ca="1">IF($C$4=Lookups!$D$40,SUM(INDIRECT("'Yr1'!"&amp;ADDRESS(ROW(AR262),COLUMN(AR262))),INDIRECT("'Yr2'!"&amp;ADDRESS(ROW(AR262),COLUMN(AR262))),INDIRECT("'Yr3'!"&amp;ADDRESS(ROW(AR262),COLUMN(AR262)))),
IF(AR249=0,0,-PMT(INDEX(Lookups!$E$17:$G$17,MATCH($C$4,Lookups!$E$14:$G$14,0)),AR249,SUMIFS('EE Inputs'!$J$9:$J$32,'EE Inputs'!$C$9:$C$32,$AM$6,'EE Inputs'!$D$9:$D$32,$C$4,'EE Inputs'!$E$9:$E$32,$B262),0,1)))-AR263</f>
        <v>2109598.4590273611</v>
      </c>
      <c r="AS262" s="72">
        <f ca="1">IF($C$4=Lookups!$D$40,SUM(INDIRECT("'Yr1'!"&amp;ADDRESS(ROW(AS262),COLUMN(AS262))),INDIRECT("'Yr2'!"&amp;ADDRESS(ROW(AS262),COLUMN(AS262))),INDIRECT("'Yr3'!"&amp;ADDRESS(ROW(AS262),COLUMN(AS262)))),
IF(AS249=0,0,-PMT(INDEX(Lookups!$E$17:$G$17,MATCH($C$4,Lookups!$E$14:$G$14,0)),AS249,SUMIFS('EE Inputs'!$J$9:$J$32,'EE Inputs'!$C$9:$C$32,$AM$6,'EE Inputs'!$D$9:$D$32,$C$4,'EE Inputs'!$E$9:$E$32,$B262),0,1)))-AS263</f>
        <v>2109598.4590273611</v>
      </c>
      <c r="AT262" s="72">
        <f ca="1">IF($C$4=Lookups!$D$40,SUM(INDIRECT("'Yr1'!"&amp;ADDRESS(ROW(AT262),COLUMN(AT262))),INDIRECT("'Yr2'!"&amp;ADDRESS(ROW(AT262),COLUMN(AT262))),INDIRECT("'Yr3'!"&amp;ADDRESS(ROW(AT262),COLUMN(AT262)))),
IF(AT249=0,0,-PMT(INDEX(Lookups!$E$17:$G$17,MATCH($C$4,Lookups!$E$14:$G$14,0)),AT249,SUMIFS('EE Inputs'!$J$9:$J$32,'EE Inputs'!$C$9:$C$32,$AM$6,'EE Inputs'!$D$9:$D$32,$C$4,'EE Inputs'!$E$9:$E$32,$B262),0,1)))-AT263</f>
        <v>2109598.4590273611</v>
      </c>
      <c r="AU262" s="72">
        <f ca="1">IF($C$4=Lookups!$D$40,SUM(INDIRECT("'Yr1'!"&amp;ADDRESS(ROW(AU262),COLUMN(AU262))),INDIRECT("'Yr2'!"&amp;ADDRESS(ROW(AU262),COLUMN(AU262))),INDIRECT("'Yr3'!"&amp;ADDRESS(ROW(AU262),COLUMN(AU262)))),
IF(AU249=0,0,-PMT(INDEX(Lookups!$E$17:$G$17,MATCH($C$4,Lookups!$E$14:$G$14,0)),AU249,SUMIFS('EE Inputs'!$J$9:$J$32,'EE Inputs'!$C$9:$C$32,$AM$6,'EE Inputs'!$D$9:$D$32,$C$4,'EE Inputs'!$E$9:$E$32,$B262),0,1)))-AU263</f>
        <v>2109598.4590273611</v>
      </c>
      <c r="AV262" s="72">
        <f ca="1">IF($C$4=Lookups!$D$40,SUM(INDIRECT("'Yr1'!"&amp;ADDRESS(ROW(AV262),COLUMN(AV262))),INDIRECT("'Yr2'!"&amp;ADDRESS(ROW(AV262),COLUMN(AV262))),INDIRECT("'Yr3'!"&amp;ADDRESS(ROW(AV262),COLUMN(AV262)))),
IF(AV249=0,0,-PMT(INDEX(Lookups!$E$17:$G$17,MATCH($C$4,Lookups!$E$14:$G$14,0)),AV249,SUMIFS('EE Inputs'!$J$9:$J$32,'EE Inputs'!$C$9:$C$32,$AM$6,'EE Inputs'!$D$9:$D$32,$C$4,'EE Inputs'!$E$9:$E$32,$B262),0,1)))-AV263</f>
        <v>2109598.4590273611</v>
      </c>
      <c r="AW262" s="72">
        <f ca="1">IF($C$4=Lookups!$D$40,SUM(INDIRECT("'Yr1'!"&amp;ADDRESS(ROW(AW262),COLUMN(AW262))),INDIRECT("'Yr2'!"&amp;ADDRESS(ROW(AW262),COLUMN(AW262))),INDIRECT("'Yr3'!"&amp;ADDRESS(ROW(AW262),COLUMN(AW262)))),
IF(AW249=0,0,-PMT(INDEX(Lookups!$E$17:$G$17,MATCH($C$4,Lookups!$E$14:$G$14,0)),AW249,SUMIFS('EE Inputs'!$J$9:$J$32,'EE Inputs'!$C$9:$C$32,$AM$6,'EE Inputs'!$D$9:$D$32,$C$4,'EE Inputs'!$E$9:$E$32,$B262),0,1)))-AW263</f>
        <v>2109598.4590273611</v>
      </c>
      <c r="AX262" s="72">
        <f ca="1">IF($C$4=Lookups!$D$40,SUM(INDIRECT("'Yr1'!"&amp;ADDRESS(ROW(AX262),COLUMN(AX262))),INDIRECT("'Yr2'!"&amp;ADDRESS(ROW(AX262),COLUMN(AX262))),INDIRECT("'Yr3'!"&amp;ADDRESS(ROW(AX262),COLUMN(AX262)))),
IF(AX249=0,0,-PMT(INDEX(Lookups!$E$17:$G$17,MATCH($C$4,Lookups!$E$14:$G$14,0)),AX249,SUMIFS('EE Inputs'!$J$9:$J$32,'EE Inputs'!$C$9:$C$32,$AM$6,'EE Inputs'!$D$9:$D$32,$C$4,'EE Inputs'!$E$9:$E$32,$B262),0,1)))-AX263</f>
        <v>2109598.4590273611</v>
      </c>
      <c r="AY262" s="72">
        <f ca="1">IF($C$4=Lookups!$D$40,SUM(INDIRECT("'Yr1'!"&amp;ADDRESS(ROW(AY262),COLUMN(AY262))),INDIRECT("'Yr2'!"&amp;ADDRESS(ROW(AY262),COLUMN(AY262))),INDIRECT("'Yr3'!"&amp;ADDRESS(ROW(AY262),COLUMN(AY262)))),
IF(AY249=0,0,-PMT(INDEX(Lookups!$E$17:$G$17,MATCH($C$4,Lookups!$E$14:$G$14,0)),AY249,SUMIFS('EE Inputs'!$J$9:$J$32,'EE Inputs'!$C$9:$C$32,$AM$6,'EE Inputs'!$D$9:$D$32,$C$4,'EE Inputs'!$E$9:$E$32,$B262),0,1)))-AY263</f>
        <v>2109598.4590273611</v>
      </c>
      <c r="AZ262" s="72">
        <f ca="1">IF($C$4=Lookups!$D$40,SUM(INDIRECT("'Yr1'!"&amp;ADDRESS(ROW(AZ262),COLUMN(AZ262))),INDIRECT("'Yr2'!"&amp;ADDRESS(ROW(AZ262),COLUMN(AZ262))),INDIRECT("'Yr3'!"&amp;ADDRESS(ROW(AZ262),COLUMN(AZ262)))),
IF(AZ249=0,0,-PMT(INDEX(Lookups!$E$17:$G$17,MATCH($C$4,Lookups!$E$14:$G$14,0)),AZ249,SUMIFS('EE Inputs'!$J$9:$J$32,'EE Inputs'!$C$9:$C$32,$AM$6,'EE Inputs'!$D$9:$D$32,$C$4,'EE Inputs'!$E$9:$E$32,$B262),0,1)))-AZ263</f>
        <v>1440694.7244939213</v>
      </c>
      <c r="BA262" s="72">
        <f ca="1">IF($C$4=Lookups!$D$40,SUM(INDIRECT("'Yr1'!"&amp;ADDRESS(ROW(BA262),COLUMN(BA262))),INDIRECT("'Yr2'!"&amp;ADDRESS(ROW(BA262),COLUMN(BA262))),INDIRECT("'Yr3'!"&amp;ADDRESS(ROW(BA262),COLUMN(BA262)))),
IF(BA249=0,0,-PMT(INDEX(Lookups!$E$17:$G$17,MATCH($C$4,Lookups!$E$14:$G$14,0)),BA249,SUMIFS('EE Inputs'!$J$9:$J$32,'EE Inputs'!$C$9:$C$32,$AM$6,'EE Inputs'!$D$9:$D$32,$C$4,'EE Inputs'!$E$9:$E$32,$B262),0,1)))-BA263</f>
        <v>739457.5254661279</v>
      </c>
      <c r="BB262" s="72">
        <f ca="1">IF($C$4=Lookups!$D$40,SUM(INDIRECT("'Yr1'!"&amp;ADDRESS(ROW(BB262),COLUMN(BB262))),INDIRECT("'Yr2'!"&amp;ADDRESS(ROW(BB262),COLUMN(BB262))),INDIRECT("'Yr3'!"&amp;ADDRESS(ROW(BB262),COLUMN(BB262)))),
IF(BB249=0,0,-PMT(INDEX(Lookups!$E$17:$G$17,MATCH($C$4,Lookups!$E$14:$G$14,0)),BB249,SUMIFS('EE Inputs'!$J$9:$J$32,'EE Inputs'!$C$9:$C$32,$AM$6,'EE Inputs'!$D$9:$D$32,$C$4,'EE Inputs'!$E$9:$E$32,$B262),0,1)))-BB263</f>
        <v>0</v>
      </c>
      <c r="BC262" s="72">
        <f ca="1">IF($C$4=Lookups!$D$40,SUM(INDIRECT("'Yr1'!"&amp;ADDRESS(ROW(BC262),COLUMN(BC262))),INDIRECT("'Yr2'!"&amp;ADDRESS(ROW(BC262),COLUMN(BC262))),INDIRECT("'Yr3'!"&amp;ADDRESS(ROW(BC262),COLUMN(BC262)))),
IF(BC249=0,0,-PMT(INDEX(Lookups!$E$17:$G$17,MATCH($C$4,Lookups!$E$14:$G$14,0)),BC249,SUMIFS('EE Inputs'!$J$9:$J$32,'EE Inputs'!$C$9:$C$32,$AM$6,'EE Inputs'!$D$9:$D$32,$C$4,'EE Inputs'!$E$9:$E$32,$B262),0,1)))-BC263</f>
        <v>0</v>
      </c>
      <c r="BD262" s="72">
        <f ca="1">IF($C$4=Lookups!$D$40,SUM(INDIRECT("'Yr1'!"&amp;ADDRESS(ROW(BD262),COLUMN(BD262))),INDIRECT("'Yr2'!"&amp;ADDRESS(ROW(BD262),COLUMN(BD262))),INDIRECT("'Yr3'!"&amp;ADDRESS(ROW(BD262),COLUMN(BD262)))),
IF(BD249=0,0,-PMT(INDEX(Lookups!$E$17:$G$17,MATCH($C$4,Lookups!$E$14:$G$14,0)),BD249,SUMIFS('EE Inputs'!$J$9:$J$32,'EE Inputs'!$C$9:$C$32,$AM$6,'EE Inputs'!$D$9:$D$32,$C$4,'EE Inputs'!$E$9:$E$32,$B262),0,1)))-BD263</f>
        <v>0</v>
      </c>
      <c r="BE262" s="72">
        <f ca="1">IF($C$4=Lookups!$D$40,SUM(INDIRECT("'Yr1'!"&amp;ADDRESS(ROW(BE262),COLUMN(BE262))),INDIRECT("'Yr2'!"&amp;ADDRESS(ROW(BE262),COLUMN(BE262))),INDIRECT("'Yr3'!"&amp;ADDRESS(ROW(BE262),COLUMN(BE262)))),
IF(BE249=0,0,-PMT(INDEX(Lookups!$E$17:$G$17,MATCH($C$4,Lookups!$E$14:$G$14,0)),BE249,SUMIFS('EE Inputs'!$J$9:$J$32,'EE Inputs'!$C$9:$C$32,$AM$6,'EE Inputs'!$D$9:$D$32,$C$4,'EE Inputs'!$E$9:$E$32,$B262),0,1)))-BE263</f>
        <v>0</v>
      </c>
      <c r="BF262" s="72">
        <f ca="1">IF($C$4=Lookups!$D$40,SUM(INDIRECT("'Yr1'!"&amp;ADDRESS(ROW(BF262),COLUMN(BF262))),INDIRECT("'Yr2'!"&amp;ADDRESS(ROW(BF262),COLUMN(BF262))),INDIRECT("'Yr3'!"&amp;ADDRESS(ROW(BF262),COLUMN(BF262)))),
IF(BF249=0,0,-PMT(INDEX(Lookups!$E$17:$G$17,MATCH($C$4,Lookups!$E$14:$G$14,0)),BF249,SUMIFS('EE Inputs'!$J$9:$J$32,'EE Inputs'!$C$9:$C$32,$AM$6,'EE Inputs'!$D$9:$D$32,$C$4,'EE Inputs'!$E$9:$E$32,$B262),0,1)))-BF263</f>
        <v>0</v>
      </c>
      <c r="BG262" s="72">
        <f ca="1">IF($C$4=Lookups!$D$40,SUM(INDIRECT("'Yr1'!"&amp;ADDRESS(ROW(BG262),COLUMN(BG262))),INDIRECT("'Yr2'!"&amp;ADDRESS(ROW(BG262),COLUMN(BG262))),INDIRECT("'Yr3'!"&amp;ADDRESS(ROW(BG262),COLUMN(BG262)))),
IF(BG249=0,0,-PMT(INDEX(Lookups!$E$17:$G$17,MATCH($C$4,Lookups!$E$14:$G$14,0)),BG249,SUMIFS('EE Inputs'!$J$9:$J$32,'EE Inputs'!$C$9:$C$32,$AM$6,'EE Inputs'!$D$9:$D$32,$C$4,'EE Inputs'!$E$9:$E$32,$B262),0,1)))-BG263</f>
        <v>0</v>
      </c>
      <c r="BH262" s="72">
        <f ca="1">IF($C$4=Lookups!$D$40,SUM(INDIRECT("'Yr1'!"&amp;ADDRESS(ROW(BH262),COLUMN(BH262))),INDIRECT("'Yr2'!"&amp;ADDRESS(ROW(BH262),COLUMN(BH262))),INDIRECT("'Yr3'!"&amp;ADDRESS(ROW(BH262),COLUMN(BH262)))),
IF(BH249=0,0,-PMT(INDEX(Lookups!$E$17:$G$17,MATCH($C$4,Lookups!$E$14:$G$14,0)),BH249,SUMIFS('EE Inputs'!$J$9:$J$32,'EE Inputs'!$C$9:$C$32,$AM$6,'EE Inputs'!$D$9:$D$32,$C$4,'EE Inputs'!$E$9:$E$32,$B262),0,1)))-BH263</f>
        <v>0</v>
      </c>
      <c r="BI262" s="72">
        <f ca="1">IF($C$4=Lookups!$D$40,SUM(INDIRECT("'Yr1'!"&amp;ADDRESS(ROW(BI262),COLUMN(BI262))),INDIRECT("'Yr2'!"&amp;ADDRESS(ROW(BI262),COLUMN(BI262))),INDIRECT("'Yr3'!"&amp;ADDRESS(ROW(BI262),COLUMN(BI262)))),
IF(BI249=0,0,-PMT(INDEX(Lookups!$E$17:$G$17,MATCH($C$4,Lookups!$E$14:$G$14,0)),BI249,SUMIFS('EE Inputs'!$J$9:$J$32,'EE Inputs'!$C$9:$C$32,$AM$6,'EE Inputs'!$D$9:$D$32,$C$4,'EE Inputs'!$E$9:$E$32,$B262),0,1)))-BI263</f>
        <v>0</v>
      </c>
      <c r="BJ262" s="72">
        <f ca="1">IF($C$4=Lookups!$D$40,SUM(INDIRECT("'Yr1'!"&amp;ADDRESS(ROW(BJ262),COLUMN(BJ262))),INDIRECT("'Yr2'!"&amp;ADDRESS(ROW(BJ262),COLUMN(BJ262))),INDIRECT("'Yr3'!"&amp;ADDRESS(ROW(BJ262),COLUMN(BJ262)))),
IF(BJ249=0,0,-PMT(INDEX(Lookups!$E$17:$G$17,MATCH($C$4,Lookups!$E$14:$G$14,0)),BJ249,SUMIFS('EE Inputs'!$J$9:$J$32,'EE Inputs'!$C$9:$C$32,$AM$6,'EE Inputs'!$D$9:$D$32,$C$4,'EE Inputs'!$E$9:$E$32,$B262),0,1)))-BJ263</f>
        <v>0</v>
      </c>
      <c r="BK262" s="72">
        <f ca="1">IF($C$4=Lookups!$D$40,SUM(INDIRECT("'Yr1'!"&amp;ADDRESS(ROW(BK262),COLUMN(BK262))),INDIRECT("'Yr2'!"&amp;ADDRESS(ROW(BK262),COLUMN(BK262))),INDIRECT("'Yr3'!"&amp;ADDRESS(ROW(BK262),COLUMN(BK262)))),
IF(BK249=0,0,-PMT(INDEX(Lookups!$E$17:$G$17,MATCH($C$4,Lookups!$E$14:$G$14,0)),BK249,SUMIFS('EE Inputs'!$J$9:$J$32,'EE Inputs'!$C$9:$C$32,$AM$6,'EE Inputs'!$D$9:$D$32,$C$4,'EE Inputs'!$E$9:$E$32,$B262),0,1)))-BK263</f>
        <v>0</v>
      </c>
      <c r="BL262" s="72">
        <f ca="1">IF($C$4=Lookups!$D$40,SUM(INDIRECT("'Yr1'!"&amp;ADDRESS(ROW(BL262),COLUMN(BL262))),INDIRECT("'Yr2'!"&amp;ADDRESS(ROW(BL262),COLUMN(BL262))),INDIRECT("'Yr3'!"&amp;ADDRESS(ROW(BL262),COLUMN(BL262)))),
IF(BL249=0,0,-PMT(INDEX(Lookups!$E$17:$G$17,MATCH($C$4,Lookups!$E$14:$G$14,0)),BL249,SUMIFS('EE Inputs'!$J$9:$J$32,'EE Inputs'!$C$9:$C$32,$AM$6,'EE Inputs'!$D$9:$D$32,$C$4,'EE Inputs'!$E$9:$E$32,$B262),0,1)))-BL263</f>
        <v>0</v>
      </c>
      <c r="BM262" s="72">
        <f ca="1">IF($C$4=Lookups!$D$40,SUM(INDIRECT("'Yr1'!"&amp;ADDRESS(ROW(BM262),COLUMN(BM262))),INDIRECT("'Yr2'!"&amp;ADDRESS(ROW(BM262),COLUMN(BM262))),INDIRECT("'Yr3'!"&amp;ADDRESS(ROW(BM262),COLUMN(BM262)))),
IF(BM249=0,0,-PMT(INDEX(Lookups!$E$17:$G$17,MATCH($C$4,Lookups!$E$14:$G$14,0)),BM249,SUMIFS('EE Inputs'!$J$9:$J$32,'EE Inputs'!$C$9:$C$32,$AM$6,'EE Inputs'!$D$9:$D$32,$C$4,'EE Inputs'!$E$9:$E$32,$B262),0,1)))-BM263</f>
        <v>0</v>
      </c>
      <c r="BN262" s="72"/>
      <c r="BO262" s="72">
        <f ca="1">NPV(Lookups!$E$17,AM262:BM262)</f>
        <v>24534106.093779154</v>
      </c>
      <c r="BP262" s="72"/>
      <c r="BS262" s="84" t="str">
        <f>"Avoided "&amp;E262&amp;" costs, less the retail margin."</f>
        <v>Avoided Gas costs, less the retail margin.</v>
      </c>
      <c r="BT262" s="51" t="s">
        <v>17</v>
      </c>
    </row>
    <row r="263" spans="1:72" x14ac:dyDescent="0.25">
      <c r="A263" s="246"/>
      <c r="B263" s="243" t="str">
        <f t="shared" si="284"/>
        <v>Large C&amp;I</v>
      </c>
      <c r="C263" s="243" t="str">
        <f t="shared" si="284"/>
        <v>Revenue Requirements</v>
      </c>
      <c r="D263" s="244" t="str">
        <f>D262</f>
        <v>Avoided Costs</v>
      </c>
      <c r="E263" s="84" t="s">
        <v>412</v>
      </c>
      <c r="F263" s="84" t="s">
        <v>32</v>
      </c>
      <c r="G263" s="65">
        <f ca="1">IF($C$4=Lookups!$D$40,SUM(INDIRECT("'Yr1'!"&amp;ADDRESS(ROW(G263),COLUMN(G263))),INDIRECT("'Yr2'!"&amp;ADDRESS(ROW(G263),COLUMN(G263))),INDIRECT("'Yr3'!"&amp;ADDRESS(ROW(G263),COLUMN(G263)))),
IF(G249=0,0,-PMT(INDEX(Lookups!$E$17:$G$17,MATCH($C$4,Lookups!$E$14:$G$14,0)),G249,SUMIFS('EE Inputs'!$W$9:$W$32,'EE Inputs'!$C$9:$C$32,$G$6,'EE Inputs'!$D$9:$D$32,$C$4,'EE Inputs'!$E$9:$E$32,$B263),0,1)))</f>
        <v>39906.188707960908</v>
      </c>
      <c r="H263" s="65">
        <f ca="1">IF($C$4=Lookups!$D$40,SUM(INDIRECT("'Yr1'!"&amp;ADDRESS(ROW(H263),COLUMN(H263))),INDIRECT("'Yr2'!"&amp;ADDRESS(ROW(H263),COLUMN(H263))),INDIRECT("'Yr3'!"&amp;ADDRESS(ROW(H263),COLUMN(H263)))),
IF(H249=0,0,-PMT(INDEX(Lookups!$E$17:$G$17,MATCH($C$4,Lookups!$E$14:$G$14,0)),H249,SUMIFS('EE Inputs'!$W$9:$W$32,'EE Inputs'!$C$9:$C$32,$G$6,'EE Inputs'!$D$9:$D$32,$C$4,'EE Inputs'!$E$9:$E$32,$B263),0,1)))</f>
        <v>81741.362513596338</v>
      </c>
      <c r="I263" s="65">
        <f ca="1">IF($C$4=Lookups!$D$40,SUM(INDIRECT("'Yr1'!"&amp;ADDRESS(ROW(I263),COLUMN(I263))),INDIRECT("'Yr2'!"&amp;ADDRESS(ROW(I263),COLUMN(I263))),INDIRECT("'Yr3'!"&amp;ADDRESS(ROW(I263),COLUMN(I263)))),
IF(I249=0,0,-PMT(INDEX(Lookups!$E$17:$G$17,MATCH($C$4,Lookups!$E$14:$G$14,0)),I249,SUMIFS('EE Inputs'!$W$9:$W$32,'EE Inputs'!$C$9:$C$32,$G$6,'EE Inputs'!$D$9:$D$32,$C$4,'EE Inputs'!$E$9:$E$32,$B263),0,1)))</f>
        <v>125856.72624879147</v>
      </c>
      <c r="J263" s="65">
        <f ca="1">IF($C$4=Lookups!$D$40,SUM(INDIRECT("'Yr1'!"&amp;ADDRESS(ROW(J263),COLUMN(J263))),INDIRECT("'Yr2'!"&amp;ADDRESS(ROW(J263),COLUMN(J263))),INDIRECT("'Yr3'!"&amp;ADDRESS(ROW(J263),COLUMN(J263)))),
IF(J249=0,0,-PMT(INDEX(Lookups!$E$17:$G$17,MATCH($C$4,Lookups!$E$14:$G$14,0)),J249,SUMIFS('EE Inputs'!$W$9:$W$32,'EE Inputs'!$C$9:$C$32,$G$6,'EE Inputs'!$D$9:$D$32,$C$4,'EE Inputs'!$E$9:$E$32,$B263),0,1)))</f>
        <v>125856.72624879147</v>
      </c>
      <c r="K263" s="65">
        <f ca="1">IF($C$4=Lookups!$D$40,SUM(INDIRECT("'Yr1'!"&amp;ADDRESS(ROW(K263),COLUMN(K263))),INDIRECT("'Yr2'!"&amp;ADDRESS(ROW(K263),COLUMN(K263))),INDIRECT("'Yr3'!"&amp;ADDRESS(ROW(K263),COLUMN(K263)))),
IF(K249=0,0,-PMT(INDEX(Lookups!$E$17:$G$17,MATCH($C$4,Lookups!$E$14:$G$14,0)),K249,SUMIFS('EE Inputs'!$W$9:$W$32,'EE Inputs'!$C$9:$C$32,$G$6,'EE Inputs'!$D$9:$D$32,$C$4,'EE Inputs'!$E$9:$E$32,$B263),0,1)))</f>
        <v>125856.72624879147</v>
      </c>
      <c r="L263" s="65">
        <f ca="1">IF($C$4=Lookups!$D$40,SUM(INDIRECT("'Yr1'!"&amp;ADDRESS(ROW(L263),COLUMN(L263))),INDIRECT("'Yr2'!"&amp;ADDRESS(ROW(L263),COLUMN(L263))),INDIRECT("'Yr3'!"&amp;ADDRESS(ROW(L263),COLUMN(L263)))),
IF(L249=0,0,-PMT(INDEX(Lookups!$E$17:$G$17,MATCH($C$4,Lookups!$E$14:$G$14,0)),L249,SUMIFS('EE Inputs'!$W$9:$W$32,'EE Inputs'!$C$9:$C$32,$G$6,'EE Inputs'!$D$9:$D$32,$C$4,'EE Inputs'!$E$9:$E$32,$B263),0,1)))</f>
        <v>125856.72624879147</v>
      </c>
      <c r="M263" s="65">
        <f ca="1">IF($C$4=Lookups!$D$40,SUM(INDIRECT("'Yr1'!"&amp;ADDRESS(ROW(M263),COLUMN(M263))),INDIRECT("'Yr2'!"&amp;ADDRESS(ROW(M263),COLUMN(M263))),INDIRECT("'Yr3'!"&amp;ADDRESS(ROW(M263),COLUMN(M263)))),
IF(M249=0,0,-PMT(INDEX(Lookups!$E$17:$G$17,MATCH($C$4,Lookups!$E$14:$G$14,0)),M249,SUMIFS('EE Inputs'!$W$9:$W$32,'EE Inputs'!$C$9:$C$32,$G$6,'EE Inputs'!$D$9:$D$32,$C$4,'EE Inputs'!$E$9:$E$32,$B263),0,1)))</f>
        <v>125856.72624879147</v>
      </c>
      <c r="N263" s="65">
        <f ca="1">IF($C$4=Lookups!$D$40,SUM(INDIRECT("'Yr1'!"&amp;ADDRESS(ROW(N263),COLUMN(N263))),INDIRECT("'Yr2'!"&amp;ADDRESS(ROW(N263),COLUMN(N263))),INDIRECT("'Yr3'!"&amp;ADDRESS(ROW(N263),COLUMN(N263)))),
IF(N249=0,0,-PMT(INDEX(Lookups!$E$17:$G$17,MATCH($C$4,Lookups!$E$14:$G$14,0)),N249,SUMIFS('EE Inputs'!$W$9:$W$32,'EE Inputs'!$C$9:$C$32,$G$6,'EE Inputs'!$D$9:$D$32,$C$4,'EE Inputs'!$E$9:$E$32,$B263),0,1)))</f>
        <v>125856.72624879147</v>
      </c>
      <c r="O263" s="65">
        <f ca="1">IF($C$4=Lookups!$D$40,SUM(INDIRECT("'Yr1'!"&amp;ADDRESS(ROW(O263),COLUMN(O263))),INDIRECT("'Yr2'!"&amp;ADDRESS(ROW(O263),COLUMN(O263))),INDIRECT("'Yr3'!"&amp;ADDRESS(ROW(O263),COLUMN(O263)))),
IF(O249=0,0,-PMT(INDEX(Lookups!$E$17:$G$17,MATCH($C$4,Lookups!$E$14:$G$14,0)),O249,SUMIFS('EE Inputs'!$W$9:$W$32,'EE Inputs'!$C$9:$C$32,$G$6,'EE Inputs'!$D$9:$D$32,$C$4,'EE Inputs'!$E$9:$E$32,$B263),0,1)))</f>
        <v>125856.72624879147</v>
      </c>
      <c r="P263" s="65">
        <f ca="1">IF($C$4=Lookups!$D$40,SUM(INDIRECT("'Yr1'!"&amp;ADDRESS(ROW(P263),COLUMN(P263))),INDIRECT("'Yr2'!"&amp;ADDRESS(ROW(P263),COLUMN(P263))),INDIRECT("'Yr3'!"&amp;ADDRESS(ROW(P263),COLUMN(P263)))),
IF(P249=0,0,-PMT(INDEX(Lookups!$E$17:$G$17,MATCH($C$4,Lookups!$E$14:$G$14,0)),P249,SUMIFS('EE Inputs'!$W$9:$W$32,'EE Inputs'!$C$9:$C$32,$G$6,'EE Inputs'!$D$9:$D$32,$C$4,'EE Inputs'!$E$9:$E$32,$B263),0,1)))</f>
        <v>125856.72624879147</v>
      </c>
      <c r="Q263" s="65">
        <f ca="1">IF($C$4=Lookups!$D$40,SUM(INDIRECT("'Yr1'!"&amp;ADDRESS(ROW(Q263),COLUMN(Q263))),INDIRECT("'Yr2'!"&amp;ADDRESS(ROW(Q263),COLUMN(Q263))),INDIRECT("'Yr3'!"&amp;ADDRESS(ROW(Q263),COLUMN(Q263)))),
IF(Q249=0,0,-PMT(INDEX(Lookups!$E$17:$G$17,MATCH($C$4,Lookups!$E$14:$G$14,0)),Q249,SUMIFS('EE Inputs'!$W$9:$W$32,'EE Inputs'!$C$9:$C$32,$G$6,'EE Inputs'!$D$9:$D$32,$C$4,'EE Inputs'!$E$9:$E$32,$B263),0,1)))</f>
        <v>125856.72624879147</v>
      </c>
      <c r="R263" s="65">
        <f ca="1">IF($C$4=Lookups!$D$40,SUM(INDIRECT("'Yr1'!"&amp;ADDRESS(ROW(R263),COLUMN(R263))),INDIRECT("'Yr2'!"&amp;ADDRESS(ROW(R263),COLUMN(R263))),INDIRECT("'Yr3'!"&amp;ADDRESS(ROW(R263),COLUMN(R263)))),
IF(R249=0,0,-PMT(INDEX(Lookups!$E$17:$G$17,MATCH($C$4,Lookups!$E$14:$G$14,0)),R249,SUMIFS('EE Inputs'!$W$9:$W$32,'EE Inputs'!$C$9:$C$32,$G$6,'EE Inputs'!$D$9:$D$32,$C$4,'EE Inputs'!$E$9:$E$32,$B263),0,1)))</f>
        <v>125856.72624879147</v>
      </c>
      <c r="S263" s="65">
        <f ca="1">IF($C$4=Lookups!$D$40,SUM(INDIRECT("'Yr1'!"&amp;ADDRESS(ROW(S263),COLUMN(S263))),INDIRECT("'Yr2'!"&amp;ADDRESS(ROW(S263),COLUMN(S263))),INDIRECT("'Yr3'!"&amp;ADDRESS(ROW(S263),COLUMN(S263)))),
IF(S249=0,0,-PMT(INDEX(Lookups!$E$17:$G$17,MATCH($C$4,Lookups!$E$14:$G$14,0)),S249,SUMIFS('EE Inputs'!$W$9:$W$32,'EE Inputs'!$C$9:$C$32,$G$6,'EE Inputs'!$D$9:$D$32,$C$4,'EE Inputs'!$E$9:$E$32,$B263),0,1)))</f>
        <v>125856.72624879147</v>
      </c>
      <c r="T263" s="65">
        <f ca="1">IF($C$4=Lookups!$D$40,SUM(INDIRECT("'Yr1'!"&amp;ADDRESS(ROW(T263),COLUMN(T263))),INDIRECT("'Yr2'!"&amp;ADDRESS(ROW(T263),COLUMN(T263))),INDIRECT("'Yr3'!"&amp;ADDRESS(ROW(T263),COLUMN(T263)))),
IF(T249=0,0,-PMT(INDEX(Lookups!$E$17:$G$17,MATCH($C$4,Lookups!$E$14:$G$14,0)),T249,SUMIFS('EE Inputs'!$W$9:$W$32,'EE Inputs'!$C$9:$C$32,$G$6,'EE Inputs'!$D$9:$D$32,$C$4,'EE Inputs'!$E$9:$E$32,$B263),0,1)))</f>
        <v>85950.537540830555</v>
      </c>
      <c r="U263" s="65">
        <f ca="1">IF($C$4=Lookups!$D$40,SUM(INDIRECT("'Yr1'!"&amp;ADDRESS(ROW(U263),COLUMN(U263))),INDIRECT("'Yr2'!"&amp;ADDRESS(ROW(U263),COLUMN(U263))),INDIRECT("'Yr3'!"&amp;ADDRESS(ROW(U263),COLUMN(U263)))),
IF(U249=0,0,-PMT(INDEX(Lookups!$E$17:$G$17,MATCH($C$4,Lookups!$E$14:$G$14,0)),U249,SUMIFS('EE Inputs'!$W$9:$W$32,'EE Inputs'!$C$9:$C$32,$G$6,'EE Inputs'!$D$9:$D$32,$C$4,'EE Inputs'!$E$9:$E$32,$B263),0,1)))</f>
        <v>44115.363735195126</v>
      </c>
      <c r="V263" s="65">
        <f ca="1">IF($C$4=Lookups!$D$40,SUM(INDIRECT("'Yr1'!"&amp;ADDRESS(ROW(V263),COLUMN(V263))),INDIRECT("'Yr2'!"&amp;ADDRESS(ROW(V263),COLUMN(V263))),INDIRECT("'Yr3'!"&amp;ADDRESS(ROW(V263),COLUMN(V263)))),
IF(V249=0,0,-PMT(INDEX(Lookups!$E$17:$G$17,MATCH($C$4,Lookups!$E$14:$G$14,0)),V249,SUMIFS('EE Inputs'!$W$9:$W$32,'EE Inputs'!$C$9:$C$32,$G$6,'EE Inputs'!$D$9:$D$32,$C$4,'EE Inputs'!$E$9:$E$32,$B263),0,1)))</f>
        <v>0</v>
      </c>
      <c r="W263" s="65">
        <f ca="1">IF($C$4=Lookups!$D$40,SUM(INDIRECT("'Yr1'!"&amp;ADDRESS(ROW(W263),COLUMN(W263))),INDIRECT("'Yr2'!"&amp;ADDRESS(ROW(W263),COLUMN(W263))),INDIRECT("'Yr3'!"&amp;ADDRESS(ROW(W263),COLUMN(W263)))),
IF(W249=0,0,-PMT(INDEX(Lookups!$E$17:$G$17,MATCH($C$4,Lookups!$E$14:$G$14,0)),W249,SUMIFS('EE Inputs'!$W$9:$W$32,'EE Inputs'!$C$9:$C$32,$G$6,'EE Inputs'!$D$9:$D$32,$C$4,'EE Inputs'!$E$9:$E$32,$B263),0,1)))</f>
        <v>0</v>
      </c>
      <c r="X263" s="65">
        <f ca="1">IF($C$4=Lookups!$D$40,SUM(INDIRECT("'Yr1'!"&amp;ADDRESS(ROW(X263),COLUMN(X263))),INDIRECT("'Yr2'!"&amp;ADDRESS(ROW(X263),COLUMN(X263))),INDIRECT("'Yr3'!"&amp;ADDRESS(ROW(X263),COLUMN(X263)))),
IF(X249=0,0,-PMT(INDEX(Lookups!$E$17:$G$17,MATCH($C$4,Lookups!$E$14:$G$14,0)),X249,SUMIFS('EE Inputs'!$W$9:$W$32,'EE Inputs'!$C$9:$C$32,$G$6,'EE Inputs'!$D$9:$D$32,$C$4,'EE Inputs'!$E$9:$E$32,$B263),0,1)))</f>
        <v>0</v>
      </c>
      <c r="Y263" s="65">
        <f ca="1">IF($C$4=Lookups!$D$40,SUM(INDIRECT("'Yr1'!"&amp;ADDRESS(ROW(Y263),COLUMN(Y263))),INDIRECT("'Yr2'!"&amp;ADDRESS(ROW(Y263),COLUMN(Y263))),INDIRECT("'Yr3'!"&amp;ADDRESS(ROW(Y263),COLUMN(Y263)))),
IF(Y249=0,0,-PMT(INDEX(Lookups!$E$17:$G$17,MATCH($C$4,Lookups!$E$14:$G$14,0)),Y249,SUMIFS('EE Inputs'!$W$9:$W$32,'EE Inputs'!$C$9:$C$32,$G$6,'EE Inputs'!$D$9:$D$32,$C$4,'EE Inputs'!$E$9:$E$32,$B263),0,1)))</f>
        <v>0</v>
      </c>
      <c r="Z263" s="65">
        <f ca="1">IF($C$4=Lookups!$D$40,SUM(INDIRECT("'Yr1'!"&amp;ADDRESS(ROW(Z263),COLUMN(Z263))),INDIRECT("'Yr2'!"&amp;ADDRESS(ROW(Z263),COLUMN(Z263))),INDIRECT("'Yr3'!"&amp;ADDRESS(ROW(Z263),COLUMN(Z263)))),
IF(Z249=0,0,-PMT(INDEX(Lookups!$E$17:$G$17,MATCH($C$4,Lookups!$E$14:$G$14,0)),Z249,SUMIFS('EE Inputs'!$W$9:$W$32,'EE Inputs'!$C$9:$C$32,$G$6,'EE Inputs'!$D$9:$D$32,$C$4,'EE Inputs'!$E$9:$E$32,$B263),0,1)))</f>
        <v>0</v>
      </c>
      <c r="AA263" s="65">
        <f ca="1">IF($C$4=Lookups!$D$40,SUM(INDIRECT("'Yr1'!"&amp;ADDRESS(ROW(AA263),COLUMN(AA263))),INDIRECT("'Yr2'!"&amp;ADDRESS(ROW(AA263),COLUMN(AA263))),INDIRECT("'Yr3'!"&amp;ADDRESS(ROW(AA263),COLUMN(AA263)))),
IF(AA249=0,0,-PMT(INDEX(Lookups!$E$17:$G$17,MATCH($C$4,Lookups!$E$14:$G$14,0)),AA249,SUMIFS('EE Inputs'!$W$9:$W$32,'EE Inputs'!$C$9:$C$32,$G$6,'EE Inputs'!$D$9:$D$32,$C$4,'EE Inputs'!$E$9:$E$32,$B263),0,1)))</f>
        <v>0</v>
      </c>
      <c r="AB263" s="65">
        <f ca="1">IF($C$4=Lookups!$D$40,SUM(INDIRECT("'Yr1'!"&amp;ADDRESS(ROW(AB263),COLUMN(AB263))),INDIRECT("'Yr2'!"&amp;ADDRESS(ROW(AB263),COLUMN(AB263))),INDIRECT("'Yr3'!"&amp;ADDRESS(ROW(AB263),COLUMN(AB263)))),
IF(AB249=0,0,-PMT(INDEX(Lookups!$E$17:$G$17,MATCH($C$4,Lookups!$E$14:$G$14,0)),AB249,SUMIFS('EE Inputs'!$W$9:$W$32,'EE Inputs'!$C$9:$C$32,$G$6,'EE Inputs'!$D$9:$D$32,$C$4,'EE Inputs'!$E$9:$E$32,$B263),0,1)))</f>
        <v>0</v>
      </c>
      <c r="AC263" s="65">
        <f ca="1">IF($C$4=Lookups!$D$40,SUM(INDIRECT("'Yr1'!"&amp;ADDRESS(ROW(AC263),COLUMN(AC263))),INDIRECT("'Yr2'!"&amp;ADDRESS(ROW(AC263),COLUMN(AC263))),INDIRECT("'Yr3'!"&amp;ADDRESS(ROW(AC263),COLUMN(AC263)))),
IF(AC249=0,0,-PMT(INDEX(Lookups!$E$17:$G$17,MATCH($C$4,Lookups!$E$14:$G$14,0)),AC249,SUMIFS('EE Inputs'!$W$9:$W$32,'EE Inputs'!$C$9:$C$32,$G$6,'EE Inputs'!$D$9:$D$32,$C$4,'EE Inputs'!$E$9:$E$32,$B263),0,1)))</f>
        <v>0</v>
      </c>
      <c r="AD263" s="65">
        <f ca="1">IF($C$4=Lookups!$D$40,SUM(INDIRECT("'Yr1'!"&amp;ADDRESS(ROW(AD263),COLUMN(AD263))),INDIRECT("'Yr2'!"&amp;ADDRESS(ROW(AD263),COLUMN(AD263))),INDIRECT("'Yr3'!"&amp;ADDRESS(ROW(AD263),COLUMN(AD263)))),
IF(AD249=0,0,-PMT(INDEX(Lookups!$E$17:$G$17,MATCH($C$4,Lookups!$E$14:$G$14,0)),AD249,SUMIFS('EE Inputs'!$W$9:$W$32,'EE Inputs'!$C$9:$C$32,$G$6,'EE Inputs'!$D$9:$D$32,$C$4,'EE Inputs'!$E$9:$E$32,$B263),0,1)))</f>
        <v>0</v>
      </c>
      <c r="AE263" s="65">
        <f ca="1">IF($C$4=Lookups!$D$40,SUM(INDIRECT("'Yr1'!"&amp;ADDRESS(ROW(AE263),COLUMN(AE263))),INDIRECT("'Yr2'!"&amp;ADDRESS(ROW(AE263),COLUMN(AE263))),INDIRECT("'Yr3'!"&amp;ADDRESS(ROW(AE263),COLUMN(AE263)))),
IF(AE249=0,0,-PMT(INDEX(Lookups!$E$17:$G$17,MATCH($C$4,Lookups!$E$14:$G$14,0)),AE249,SUMIFS('EE Inputs'!$W$9:$W$32,'EE Inputs'!$C$9:$C$32,$G$6,'EE Inputs'!$D$9:$D$32,$C$4,'EE Inputs'!$E$9:$E$32,$B263),0,1)))</f>
        <v>0</v>
      </c>
      <c r="AF263" s="65">
        <f ca="1">IF($C$4=Lookups!$D$40,SUM(INDIRECT("'Yr1'!"&amp;ADDRESS(ROW(AF263),COLUMN(AF263))),INDIRECT("'Yr2'!"&amp;ADDRESS(ROW(AF263),COLUMN(AF263))),INDIRECT("'Yr3'!"&amp;ADDRESS(ROW(AF263),COLUMN(AF263)))),
IF(AF249=0,0,-PMT(INDEX(Lookups!$E$17:$G$17,MATCH($C$4,Lookups!$E$14:$G$14,0)),AF249,SUMIFS('EE Inputs'!$W$9:$W$32,'EE Inputs'!$C$9:$C$32,$G$6,'EE Inputs'!$D$9:$D$32,$C$4,'EE Inputs'!$E$9:$E$32,$B263),0,1)))</f>
        <v>0</v>
      </c>
      <c r="AG263" s="65">
        <f ca="1">IF($C$4=Lookups!$D$40,SUM(INDIRECT("'Yr1'!"&amp;ADDRESS(ROW(AG263),COLUMN(AG263))),INDIRECT("'Yr2'!"&amp;ADDRESS(ROW(AG263),COLUMN(AG263))),INDIRECT("'Yr3'!"&amp;ADDRESS(ROW(AG263),COLUMN(AG263)))),
IF(AG249=0,0,-PMT(INDEX(Lookups!$E$17:$G$17,MATCH($C$4,Lookups!$E$14:$G$14,0)),AG249,SUMIFS('EE Inputs'!$W$9:$W$32,'EE Inputs'!$C$9:$C$32,$G$6,'EE Inputs'!$D$9:$D$32,$C$4,'EE Inputs'!$E$9:$E$32,$B263),0,1)))</f>
        <v>0</v>
      </c>
      <c r="AH263" s="65"/>
      <c r="AI263" s="65">
        <f ca="1">NPV(Lookups!$E$17,G263:AG263)</f>
        <v>1463682.4658220527</v>
      </c>
      <c r="AJ263" s="65"/>
      <c r="AM263" s="72">
        <f ca="1">IF($C$4=Lookups!$D$40,SUM(INDIRECT("'Yr1'!"&amp;ADDRESS(ROW(AM263),COLUMN(AM263))),INDIRECT("'Yr2'!"&amp;ADDRESS(ROW(AM263),COLUMN(AM263))),INDIRECT("'Yr3'!"&amp;ADDRESS(ROW(AM263),COLUMN(AM263)))),
IF(AM249=0,0,-PMT(INDEX(Lookups!$E$17:$G$17,MATCH($C$4,Lookups!$E$14:$G$14,0)),AM249,SUMIFS('EE Inputs'!$W$9:$W$32,'EE Inputs'!$C$9:$C$32,$AM$6,'EE Inputs'!$D$9:$D$32,$C$4,'EE Inputs'!$E$9:$E$32,$B263),0,1)))</f>
        <v>45607.072809098187</v>
      </c>
      <c r="AN263" s="72">
        <f ca="1">IF($C$4=Lookups!$D$40,SUM(INDIRECT("'Yr1'!"&amp;ADDRESS(ROW(AN263),COLUMN(AN263))),INDIRECT("'Yr2'!"&amp;ADDRESS(ROW(AN263),COLUMN(AN263))),INDIRECT("'Yr3'!"&amp;ADDRESS(ROW(AN263),COLUMN(AN263)))),
IF(AN249=0,0,-PMT(INDEX(Lookups!$E$17:$G$17,MATCH($C$4,Lookups!$E$14:$G$14,0)),AN249,SUMIFS('EE Inputs'!$W$9:$W$32,'EE Inputs'!$C$9:$C$32,$AM$6,'EE Inputs'!$D$9:$D$32,$C$4,'EE Inputs'!$E$9:$E$32,$B263),0,1)))</f>
        <v>93418.700015538663</v>
      </c>
      <c r="AO263" s="72">
        <f ca="1">IF($C$4=Lookups!$D$40,SUM(INDIRECT("'Yr1'!"&amp;ADDRESS(ROW(AO263),COLUMN(AO263))),INDIRECT("'Yr2'!"&amp;ADDRESS(ROW(AO263),COLUMN(AO263))),INDIRECT("'Yr3'!"&amp;ADDRESS(ROW(AO263),COLUMN(AO263)))),
IF(AO249=0,0,-PMT(INDEX(Lookups!$E$17:$G$17,MATCH($C$4,Lookups!$E$14:$G$14,0)),AO249,SUMIFS('EE Inputs'!$W$9:$W$32,'EE Inputs'!$C$9:$C$32,$AM$6,'EE Inputs'!$D$9:$D$32,$C$4,'EE Inputs'!$E$9:$E$32,$B263),0,1)))</f>
        <v>143836.25857004739</v>
      </c>
      <c r="AP263" s="72">
        <f ca="1">IF($C$4=Lookups!$D$40,SUM(INDIRECT("'Yr1'!"&amp;ADDRESS(ROW(AP263),COLUMN(AP263))),INDIRECT("'Yr2'!"&amp;ADDRESS(ROW(AP263),COLUMN(AP263))),INDIRECT("'Yr3'!"&amp;ADDRESS(ROW(AP263),COLUMN(AP263)))),
IF(AP249=0,0,-PMT(INDEX(Lookups!$E$17:$G$17,MATCH($C$4,Lookups!$E$14:$G$14,0)),AP249,SUMIFS('EE Inputs'!$W$9:$W$32,'EE Inputs'!$C$9:$C$32,$AM$6,'EE Inputs'!$D$9:$D$32,$C$4,'EE Inputs'!$E$9:$E$32,$B263),0,1)))</f>
        <v>143836.25857004739</v>
      </c>
      <c r="AQ263" s="72">
        <f ca="1">IF($C$4=Lookups!$D$40,SUM(INDIRECT("'Yr1'!"&amp;ADDRESS(ROW(AQ263),COLUMN(AQ263))),INDIRECT("'Yr2'!"&amp;ADDRESS(ROW(AQ263),COLUMN(AQ263))),INDIRECT("'Yr3'!"&amp;ADDRESS(ROW(AQ263),COLUMN(AQ263)))),
IF(AQ249=0,0,-PMT(INDEX(Lookups!$E$17:$G$17,MATCH($C$4,Lookups!$E$14:$G$14,0)),AQ249,SUMIFS('EE Inputs'!$W$9:$W$32,'EE Inputs'!$C$9:$C$32,$AM$6,'EE Inputs'!$D$9:$D$32,$C$4,'EE Inputs'!$E$9:$E$32,$B263),0,1)))</f>
        <v>143836.25857004739</v>
      </c>
      <c r="AR263" s="72">
        <f ca="1">IF($C$4=Lookups!$D$40,SUM(INDIRECT("'Yr1'!"&amp;ADDRESS(ROW(AR263),COLUMN(AR263))),INDIRECT("'Yr2'!"&amp;ADDRESS(ROW(AR263),COLUMN(AR263))),INDIRECT("'Yr3'!"&amp;ADDRESS(ROW(AR263),COLUMN(AR263)))),
IF(AR249=0,0,-PMT(INDEX(Lookups!$E$17:$G$17,MATCH($C$4,Lookups!$E$14:$G$14,0)),AR249,SUMIFS('EE Inputs'!$W$9:$W$32,'EE Inputs'!$C$9:$C$32,$AM$6,'EE Inputs'!$D$9:$D$32,$C$4,'EE Inputs'!$E$9:$E$32,$B263),0,1)))</f>
        <v>143836.25857004739</v>
      </c>
      <c r="AS263" s="72">
        <f ca="1">IF($C$4=Lookups!$D$40,SUM(INDIRECT("'Yr1'!"&amp;ADDRESS(ROW(AS263),COLUMN(AS263))),INDIRECT("'Yr2'!"&amp;ADDRESS(ROW(AS263),COLUMN(AS263))),INDIRECT("'Yr3'!"&amp;ADDRESS(ROW(AS263),COLUMN(AS263)))),
IF(AS249=0,0,-PMT(INDEX(Lookups!$E$17:$G$17,MATCH($C$4,Lookups!$E$14:$G$14,0)),AS249,SUMIFS('EE Inputs'!$W$9:$W$32,'EE Inputs'!$C$9:$C$32,$AM$6,'EE Inputs'!$D$9:$D$32,$C$4,'EE Inputs'!$E$9:$E$32,$B263),0,1)))</f>
        <v>143836.25857004739</v>
      </c>
      <c r="AT263" s="72">
        <f ca="1">IF($C$4=Lookups!$D$40,SUM(INDIRECT("'Yr1'!"&amp;ADDRESS(ROW(AT263),COLUMN(AT263))),INDIRECT("'Yr2'!"&amp;ADDRESS(ROW(AT263),COLUMN(AT263))),INDIRECT("'Yr3'!"&amp;ADDRESS(ROW(AT263),COLUMN(AT263)))),
IF(AT249=0,0,-PMT(INDEX(Lookups!$E$17:$G$17,MATCH($C$4,Lookups!$E$14:$G$14,0)),AT249,SUMIFS('EE Inputs'!$W$9:$W$32,'EE Inputs'!$C$9:$C$32,$AM$6,'EE Inputs'!$D$9:$D$32,$C$4,'EE Inputs'!$E$9:$E$32,$B263),0,1)))</f>
        <v>143836.25857004739</v>
      </c>
      <c r="AU263" s="72">
        <f ca="1">IF($C$4=Lookups!$D$40,SUM(INDIRECT("'Yr1'!"&amp;ADDRESS(ROW(AU263),COLUMN(AU263))),INDIRECT("'Yr2'!"&amp;ADDRESS(ROW(AU263),COLUMN(AU263))),INDIRECT("'Yr3'!"&amp;ADDRESS(ROW(AU263),COLUMN(AU263)))),
IF(AU249=0,0,-PMT(INDEX(Lookups!$E$17:$G$17,MATCH($C$4,Lookups!$E$14:$G$14,0)),AU249,SUMIFS('EE Inputs'!$W$9:$W$32,'EE Inputs'!$C$9:$C$32,$AM$6,'EE Inputs'!$D$9:$D$32,$C$4,'EE Inputs'!$E$9:$E$32,$B263),0,1)))</f>
        <v>143836.25857004739</v>
      </c>
      <c r="AV263" s="72">
        <f ca="1">IF($C$4=Lookups!$D$40,SUM(INDIRECT("'Yr1'!"&amp;ADDRESS(ROW(AV263),COLUMN(AV263))),INDIRECT("'Yr2'!"&amp;ADDRESS(ROW(AV263),COLUMN(AV263))),INDIRECT("'Yr3'!"&amp;ADDRESS(ROW(AV263),COLUMN(AV263)))),
IF(AV249=0,0,-PMT(INDEX(Lookups!$E$17:$G$17,MATCH($C$4,Lookups!$E$14:$G$14,0)),AV249,SUMIFS('EE Inputs'!$W$9:$W$32,'EE Inputs'!$C$9:$C$32,$AM$6,'EE Inputs'!$D$9:$D$32,$C$4,'EE Inputs'!$E$9:$E$32,$B263),0,1)))</f>
        <v>143836.25857004739</v>
      </c>
      <c r="AW263" s="72">
        <f ca="1">IF($C$4=Lookups!$D$40,SUM(INDIRECT("'Yr1'!"&amp;ADDRESS(ROW(AW263),COLUMN(AW263))),INDIRECT("'Yr2'!"&amp;ADDRESS(ROW(AW263),COLUMN(AW263))),INDIRECT("'Yr3'!"&amp;ADDRESS(ROW(AW263),COLUMN(AW263)))),
IF(AW249=0,0,-PMT(INDEX(Lookups!$E$17:$G$17,MATCH($C$4,Lookups!$E$14:$G$14,0)),AW249,SUMIFS('EE Inputs'!$W$9:$W$32,'EE Inputs'!$C$9:$C$32,$AM$6,'EE Inputs'!$D$9:$D$32,$C$4,'EE Inputs'!$E$9:$E$32,$B263),0,1)))</f>
        <v>143836.25857004739</v>
      </c>
      <c r="AX263" s="72">
        <f ca="1">IF($C$4=Lookups!$D$40,SUM(INDIRECT("'Yr1'!"&amp;ADDRESS(ROW(AX263),COLUMN(AX263))),INDIRECT("'Yr2'!"&amp;ADDRESS(ROW(AX263),COLUMN(AX263))),INDIRECT("'Yr3'!"&amp;ADDRESS(ROW(AX263),COLUMN(AX263)))),
IF(AX249=0,0,-PMT(INDEX(Lookups!$E$17:$G$17,MATCH($C$4,Lookups!$E$14:$G$14,0)),AX249,SUMIFS('EE Inputs'!$W$9:$W$32,'EE Inputs'!$C$9:$C$32,$AM$6,'EE Inputs'!$D$9:$D$32,$C$4,'EE Inputs'!$E$9:$E$32,$B263),0,1)))</f>
        <v>143836.25857004739</v>
      </c>
      <c r="AY263" s="72">
        <f ca="1">IF($C$4=Lookups!$D$40,SUM(INDIRECT("'Yr1'!"&amp;ADDRESS(ROW(AY263),COLUMN(AY263))),INDIRECT("'Yr2'!"&amp;ADDRESS(ROW(AY263),COLUMN(AY263))),INDIRECT("'Yr3'!"&amp;ADDRESS(ROW(AY263),COLUMN(AY263)))),
IF(AY249=0,0,-PMT(INDEX(Lookups!$E$17:$G$17,MATCH($C$4,Lookups!$E$14:$G$14,0)),AY249,SUMIFS('EE Inputs'!$W$9:$W$32,'EE Inputs'!$C$9:$C$32,$AM$6,'EE Inputs'!$D$9:$D$32,$C$4,'EE Inputs'!$E$9:$E$32,$B263),0,1)))</f>
        <v>143836.25857004739</v>
      </c>
      <c r="AZ263" s="72">
        <f ca="1">IF($C$4=Lookups!$D$40,SUM(INDIRECT("'Yr1'!"&amp;ADDRESS(ROW(AZ263),COLUMN(AZ263))),INDIRECT("'Yr2'!"&amp;ADDRESS(ROW(AZ263),COLUMN(AZ263))),INDIRECT("'Yr3'!"&amp;ADDRESS(ROW(AZ263),COLUMN(AZ263)))),
IF(AZ249=0,0,-PMT(INDEX(Lookups!$E$17:$G$17,MATCH($C$4,Lookups!$E$14:$G$14,0)),AZ249,SUMIFS('EE Inputs'!$W$9:$W$32,'EE Inputs'!$C$9:$C$32,$AM$6,'EE Inputs'!$D$9:$D$32,$C$4,'EE Inputs'!$E$9:$E$32,$B263),0,1)))</f>
        <v>98229.185760949185</v>
      </c>
      <c r="BA263" s="72">
        <f ca="1">IF($C$4=Lookups!$D$40,SUM(INDIRECT("'Yr1'!"&amp;ADDRESS(ROW(BA263),COLUMN(BA263))),INDIRECT("'Yr2'!"&amp;ADDRESS(ROW(BA263),COLUMN(BA263))),INDIRECT("'Yr3'!"&amp;ADDRESS(ROW(BA263),COLUMN(BA263)))),
IF(BA249=0,0,-PMT(INDEX(Lookups!$E$17:$G$17,MATCH($C$4,Lookups!$E$14:$G$14,0)),BA249,SUMIFS('EE Inputs'!$W$9:$W$32,'EE Inputs'!$C$9:$C$32,$AM$6,'EE Inputs'!$D$9:$D$32,$C$4,'EE Inputs'!$E$9:$E$32,$B263),0,1)))</f>
        <v>50417.558554508709</v>
      </c>
      <c r="BB263" s="72">
        <f ca="1">IF($C$4=Lookups!$D$40,SUM(INDIRECT("'Yr1'!"&amp;ADDRESS(ROW(BB263),COLUMN(BB263))),INDIRECT("'Yr2'!"&amp;ADDRESS(ROW(BB263),COLUMN(BB263))),INDIRECT("'Yr3'!"&amp;ADDRESS(ROW(BB263),COLUMN(BB263)))),
IF(BB249=0,0,-PMT(INDEX(Lookups!$E$17:$G$17,MATCH($C$4,Lookups!$E$14:$G$14,0)),BB249,SUMIFS('EE Inputs'!$W$9:$W$32,'EE Inputs'!$C$9:$C$32,$AM$6,'EE Inputs'!$D$9:$D$32,$C$4,'EE Inputs'!$E$9:$E$32,$B263),0,1)))</f>
        <v>0</v>
      </c>
      <c r="BC263" s="72">
        <f ca="1">IF($C$4=Lookups!$D$40,SUM(INDIRECT("'Yr1'!"&amp;ADDRESS(ROW(BC263),COLUMN(BC263))),INDIRECT("'Yr2'!"&amp;ADDRESS(ROW(BC263),COLUMN(BC263))),INDIRECT("'Yr3'!"&amp;ADDRESS(ROW(BC263),COLUMN(BC263)))),
IF(BC249=0,0,-PMT(INDEX(Lookups!$E$17:$G$17,MATCH($C$4,Lookups!$E$14:$G$14,0)),BC249,SUMIFS('EE Inputs'!$W$9:$W$32,'EE Inputs'!$C$9:$C$32,$AM$6,'EE Inputs'!$D$9:$D$32,$C$4,'EE Inputs'!$E$9:$E$32,$B263),0,1)))</f>
        <v>0</v>
      </c>
      <c r="BD263" s="72">
        <f ca="1">IF($C$4=Lookups!$D$40,SUM(INDIRECT("'Yr1'!"&amp;ADDRESS(ROW(BD263),COLUMN(BD263))),INDIRECT("'Yr2'!"&amp;ADDRESS(ROW(BD263),COLUMN(BD263))),INDIRECT("'Yr3'!"&amp;ADDRESS(ROW(BD263),COLUMN(BD263)))),
IF(BD249=0,0,-PMT(INDEX(Lookups!$E$17:$G$17,MATCH($C$4,Lookups!$E$14:$G$14,0)),BD249,SUMIFS('EE Inputs'!$W$9:$W$32,'EE Inputs'!$C$9:$C$32,$AM$6,'EE Inputs'!$D$9:$D$32,$C$4,'EE Inputs'!$E$9:$E$32,$B263),0,1)))</f>
        <v>0</v>
      </c>
      <c r="BE263" s="72">
        <f ca="1">IF($C$4=Lookups!$D$40,SUM(INDIRECT("'Yr1'!"&amp;ADDRESS(ROW(BE263),COLUMN(BE263))),INDIRECT("'Yr2'!"&amp;ADDRESS(ROW(BE263),COLUMN(BE263))),INDIRECT("'Yr3'!"&amp;ADDRESS(ROW(BE263),COLUMN(BE263)))),
IF(BE249=0,0,-PMT(INDEX(Lookups!$E$17:$G$17,MATCH($C$4,Lookups!$E$14:$G$14,0)),BE249,SUMIFS('EE Inputs'!$W$9:$W$32,'EE Inputs'!$C$9:$C$32,$AM$6,'EE Inputs'!$D$9:$D$32,$C$4,'EE Inputs'!$E$9:$E$32,$B263),0,1)))</f>
        <v>0</v>
      </c>
      <c r="BF263" s="72">
        <f ca="1">IF($C$4=Lookups!$D$40,SUM(INDIRECT("'Yr1'!"&amp;ADDRESS(ROW(BF263),COLUMN(BF263))),INDIRECT("'Yr2'!"&amp;ADDRESS(ROW(BF263),COLUMN(BF263))),INDIRECT("'Yr3'!"&amp;ADDRESS(ROW(BF263),COLUMN(BF263)))),
IF(BF249=0,0,-PMT(INDEX(Lookups!$E$17:$G$17,MATCH($C$4,Lookups!$E$14:$G$14,0)),BF249,SUMIFS('EE Inputs'!$W$9:$W$32,'EE Inputs'!$C$9:$C$32,$AM$6,'EE Inputs'!$D$9:$D$32,$C$4,'EE Inputs'!$E$9:$E$32,$B263),0,1)))</f>
        <v>0</v>
      </c>
      <c r="BG263" s="72">
        <f ca="1">IF($C$4=Lookups!$D$40,SUM(INDIRECT("'Yr1'!"&amp;ADDRESS(ROW(BG263),COLUMN(BG263))),INDIRECT("'Yr2'!"&amp;ADDRESS(ROW(BG263),COLUMN(BG263))),INDIRECT("'Yr3'!"&amp;ADDRESS(ROW(BG263),COLUMN(BG263)))),
IF(BG249=0,0,-PMT(INDEX(Lookups!$E$17:$G$17,MATCH($C$4,Lookups!$E$14:$G$14,0)),BG249,SUMIFS('EE Inputs'!$W$9:$W$32,'EE Inputs'!$C$9:$C$32,$AM$6,'EE Inputs'!$D$9:$D$32,$C$4,'EE Inputs'!$E$9:$E$32,$B263),0,1)))</f>
        <v>0</v>
      </c>
      <c r="BH263" s="72">
        <f ca="1">IF($C$4=Lookups!$D$40,SUM(INDIRECT("'Yr1'!"&amp;ADDRESS(ROW(BH263),COLUMN(BH263))),INDIRECT("'Yr2'!"&amp;ADDRESS(ROW(BH263),COLUMN(BH263))),INDIRECT("'Yr3'!"&amp;ADDRESS(ROW(BH263),COLUMN(BH263)))),
IF(BH249=0,0,-PMT(INDEX(Lookups!$E$17:$G$17,MATCH($C$4,Lookups!$E$14:$G$14,0)),BH249,SUMIFS('EE Inputs'!$W$9:$W$32,'EE Inputs'!$C$9:$C$32,$AM$6,'EE Inputs'!$D$9:$D$32,$C$4,'EE Inputs'!$E$9:$E$32,$B263),0,1)))</f>
        <v>0</v>
      </c>
      <c r="BI263" s="72">
        <f ca="1">IF($C$4=Lookups!$D$40,SUM(INDIRECT("'Yr1'!"&amp;ADDRESS(ROW(BI263),COLUMN(BI263))),INDIRECT("'Yr2'!"&amp;ADDRESS(ROW(BI263),COLUMN(BI263))),INDIRECT("'Yr3'!"&amp;ADDRESS(ROW(BI263),COLUMN(BI263)))),
IF(BI249=0,0,-PMT(INDEX(Lookups!$E$17:$G$17,MATCH($C$4,Lookups!$E$14:$G$14,0)),BI249,SUMIFS('EE Inputs'!$W$9:$W$32,'EE Inputs'!$C$9:$C$32,$AM$6,'EE Inputs'!$D$9:$D$32,$C$4,'EE Inputs'!$E$9:$E$32,$B263),0,1)))</f>
        <v>0</v>
      </c>
      <c r="BJ263" s="72">
        <f ca="1">IF($C$4=Lookups!$D$40,SUM(INDIRECT("'Yr1'!"&amp;ADDRESS(ROW(BJ263),COLUMN(BJ263))),INDIRECT("'Yr2'!"&amp;ADDRESS(ROW(BJ263),COLUMN(BJ263))),INDIRECT("'Yr3'!"&amp;ADDRESS(ROW(BJ263),COLUMN(BJ263)))),
IF(BJ249=0,0,-PMT(INDEX(Lookups!$E$17:$G$17,MATCH($C$4,Lookups!$E$14:$G$14,0)),BJ249,SUMIFS('EE Inputs'!$W$9:$W$32,'EE Inputs'!$C$9:$C$32,$AM$6,'EE Inputs'!$D$9:$D$32,$C$4,'EE Inputs'!$E$9:$E$32,$B263),0,1)))</f>
        <v>0</v>
      </c>
      <c r="BK263" s="72">
        <f ca="1">IF($C$4=Lookups!$D$40,SUM(INDIRECT("'Yr1'!"&amp;ADDRESS(ROW(BK263),COLUMN(BK263))),INDIRECT("'Yr2'!"&amp;ADDRESS(ROW(BK263),COLUMN(BK263))),INDIRECT("'Yr3'!"&amp;ADDRESS(ROW(BK263),COLUMN(BK263)))),
IF(BK249=0,0,-PMT(INDEX(Lookups!$E$17:$G$17,MATCH($C$4,Lookups!$E$14:$G$14,0)),BK249,SUMIFS('EE Inputs'!$W$9:$W$32,'EE Inputs'!$C$9:$C$32,$AM$6,'EE Inputs'!$D$9:$D$32,$C$4,'EE Inputs'!$E$9:$E$32,$B263),0,1)))</f>
        <v>0</v>
      </c>
      <c r="BL263" s="72">
        <f ca="1">IF($C$4=Lookups!$D$40,SUM(INDIRECT("'Yr1'!"&amp;ADDRESS(ROW(BL263),COLUMN(BL263))),INDIRECT("'Yr2'!"&amp;ADDRESS(ROW(BL263),COLUMN(BL263))),INDIRECT("'Yr3'!"&amp;ADDRESS(ROW(BL263),COLUMN(BL263)))),
IF(BL249=0,0,-PMT(INDEX(Lookups!$E$17:$G$17,MATCH($C$4,Lookups!$E$14:$G$14,0)),BL249,SUMIFS('EE Inputs'!$W$9:$W$32,'EE Inputs'!$C$9:$C$32,$AM$6,'EE Inputs'!$D$9:$D$32,$C$4,'EE Inputs'!$E$9:$E$32,$B263),0,1)))</f>
        <v>0</v>
      </c>
      <c r="BM263" s="72">
        <f ca="1">IF($C$4=Lookups!$D$40,SUM(INDIRECT("'Yr1'!"&amp;ADDRESS(ROW(BM263),COLUMN(BM263))),INDIRECT("'Yr2'!"&amp;ADDRESS(ROW(BM263),COLUMN(BM263))),INDIRECT("'Yr3'!"&amp;ADDRESS(ROW(BM263),COLUMN(BM263)))),
IF(BM249=0,0,-PMT(INDEX(Lookups!$E$17:$G$17,MATCH($C$4,Lookups!$E$14:$G$14,0)),BM249,SUMIFS('EE Inputs'!$W$9:$W$32,'EE Inputs'!$C$9:$C$32,$AM$6,'EE Inputs'!$D$9:$D$32,$C$4,'EE Inputs'!$E$9:$E$32,$B263),0,1)))</f>
        <v>0</v>
      </c>
      <c r="BN263" s="72"/>
      <c r="BO263" s="72">
        <f ca="1">NPV(Lookups!$E$17,AM263:BM263)</f>
        <v>1672779.9609394881</v>
      </c>
      <c r="BP263" s="72"/>
      <c r="BS263" s="84" t="s">
        <v>413</v>
      </c>
      <c r="BT263" s="51"/>
    </row>
    <row r="264" spans="1:72" x14ac:dyDescent="0.25">
      <c r="A264" s="246"/>
      <c r="B264" s="243" t="str">
        <f t="shared" ref="B264:C264" si="285">B262</f>
        <v>Large C&amp;I</v>
      </c>
      <c r="C264" s="243" t="str">
        <f t="shared" si="285"/>
        <v>Revenue Requirements</v>
      </c>
      <c r="D264" s="244" t="str">
        <f>D262</f>
        <v>Avoided Costs</v>
      </c>
      <c r="E264" s="86" t="s">
        <v>175</v>
      </c>
      <c r="F264" s="84" t="s">
        <v>32</v>
      </c>
      <c r="G264" s="65">
        <f ca="1">IF($C$4=Lookups!$D$40,SUM(INDIRECT("'Yr1'!"&amp;ADDRESS(ROW(G264),COLUMN(G264))),INDIRECT("'Yr2'!"&amp;ADDRESS(ROW(G264),COLUMN(G264))),INDIRECT("'Yr3'!"&amp;ADDRESS(ROW(G264),COLUMN(G264)))),
IF(G249=0,0,-PMT(INDEX(Lookups!$E$17:$G$17,MATCH($C$4,Lookups!$E$14:$G$14,0)),G249,SUMIFS('EE Inputs'!$K$9:$K$32,'EE Inputs'!$C$9:$C$32,$G$6,'EE Inputs'!$D$9:$D$32,$C$4,'EE Inputs'!$E$9:$E$32,$B264),0,1)))</f>
        <v>31701.116765578859</v>
      </c>
      <c r="H264" s="65">
        <f ca="1">IF($C$4=Lookups!$D$40,SUM(INDIRECT("'Yr1'!"&amp;ADDRESS(ROW(H264),COLUMN(H264))),INDIRECT("'Yr2'!"&amp;ADDRESS(ROW(H264),COLUMN(H264))),INDIRECT("'Yr3'!"&amp;ADDRESS(ROW(H264),COLUMN(H264)))),
IF(H249=0,0,-PMT(INDEX(Lookups!$E$17:$G$17,MATCH($C$4,Lookups!$E$14:$G$14,0)),H249,SUMIFS('EE Inputs'!$K$9:$K$32,'EE Inputs'!$C$9:$C$32,$G$6,'EE Inputs'!$D$9:$D$32,$C$4,'EE Inputs'!$E$9:$E$32,$B264),0,1)))</f>
        <v>64955.988952427455</v>
      </c>
      <c r="I264" s="65">
        <f ca="1">IF($C$4=Lookups!$D$40,SUM(INDIRECT("'Yr1'!"&amp;ADDRESS(ROW(I264),COLUMN(I264))),INDIRECT("'Yr2'!"&amp;ADDRESS(ROW(I264),COLUMN(I264))),INDIRECT("'Yr3'!"&amp;ADDRESS(ROW(I264),COLUMN(I264)))),
IF(I249=0,0,-PMT(INDEX(Lookups!$E$17:$G$17,MATCH($C$4,Lookups!$E$14:$G$14,0)),I249,SUMIFS('EE Inputs'!$K$9:$K$32,'EE Inputs'!$C$9:$C$32,$G$6,'EE Inputs'!$D$9:$D$32,$C$4,'EE Inputs'!$E$9:$E$32,$B264),0,1)))</f>
        <v>99904.763235915481</v>
      </c>
      <c r="J264" s="65">
        <f ca="1">IF($C$4=Lookups!$D$40,SUM(INDIRECT("'Yr1'!"&amp;ADDRESS(ROW(J264),COLUMN(J264))),INDIRECT("'Yr2'!"&amp;ADDRESS(ROW(J264),COLUMN(J264))),INDIRECT("'Yr3'!"&amp;ADDRESS(ROW(J264),COLUMN(J264)))),
IF(J249=0,0,-PMT(INDEX(Lookups!$E$17:$G$17,MATCH($C$4,Lookups!$E$14:$G$14,0)),J249,SUMIFS('EE Inputs'!$K$9:$K$32,'EE Inputs'!$C$9:$C$32,$G$6,'EE Inputs'!$D$9:$D$32,$C$4,'EE Inputs'!$E$9:$E$32,$B264),0,1)))</f>
        <v>99904.763235915481</v>
      </c>
      <c r="K264" s="65">
        <f ca="1">IF($C$4=Lookups!$D$40,SUM(INDIRECT("'Yr1'!"&amp;ADDRESS(ROW(K264),COLUMN(K264))),INDIRECT("'Yr2'!"&amp;ADDRESS(ROW(K264),COLUMN(K264))),INDIRECT("'Yr3'!"&amp;ADDRESS(ROW(K264),COLUMN(K264)))),
IF(K249=0,0,-PMT(INDEX(Lookups!$E$17:$G$17,MATCH($C$4,Lookups!$E$14:$G$14,0)),K249,SUMIFS('EE Inputs'!$K$9:$K$32,'EE Inputs'!$C$9:$C$32,$G$6,'EE Inputs'!$D$9:$D$32,$C$4,'EE Inputs'!$E$9:$E$32,$B264),0,1)))</f>
        <v>99904.763235915481</v>
      </c>
      <c r="L264" s="65">
        <f ca="1">IF($C$4=Lookups!$D$40,SUM(INDIRECT("'Yr1'!"&amp;ADDRESS(ROW(L264),COLUMN(L264))),INDIRECT("'Yr2'!"&amp;ADDRESS(ROW(L264),COLUMN(L264))),INDIRECT("'Yr3'!"&amp;ADDRESS(ROW(L264),COLUMN(L264)))),
IF(L249=0,0,-PMT(INDEX(Lookups!$E$17:$G$17,MATCH($C$4,Lookups!$E$14:$G$14,0)),L249,SUMIFS('EE Inputs'!$K$9:$K$32,'EE Inputs'!$C$9:$C$32,$G$6,'EE Inputs'!$D$9:$D$32,$C$4,'EE Inputs'!$E$9:$E$32,$B264),0,1)))</f>
        <v>99904.763235915481</v>
      </c>
      <c r="M264" s="65">
        <f ca="1">IF($C$4=Lookups!$D$40,SUM(INDIRECT("'Yr1'!"&amp;ADDRESS(ROW(M264),COLUMN(M264))),INDIRECT("'Yr2'!"&amp;ADDRESS(ROW(M264),COLUMN(M264))),INDIRECT("'Yr3'!"&amp;ADDRESS(ROW(M264),COLUMN(M264)))),
IF(M249=0,0,-PMT(INDEX(Lookups!$E$17:$G$17,MATCH($C$4,Lookups!$E$14:$G$14,0)),M249,SUMIFS('EE Inputs'!$K$9:$K$32,'EE Inputs'!$C$9:$C$32,$G$6,'EE Inputs'!$D$9:$D$32,$C$4,'EE Inputs'!$E$9:$E$32,$B264),0,1)))</f>
        <v>99904.763235915481</v>
      </c>
      <c r="N264" s="65">
        <f ca="1">IF($C$4=Lookups!$D$40,SUM(INDIRECT("'Yr1'!"&amp;ADDRESS(ROW(N264),COLUMN(N264))),INDIRECT("'Yr2'!"&amp;ADDRESS(ROW(N264),COLUMN(N264))),INDIRECT("'Yr3'!"&amp;ADDRESS(ROW(N264),COLUMN(N264)))),
IF(N249=0,0,-PMT(INDEX(Lookups!$E$17:$G$17,MATCH($C$4,Lookups!$E$14:$G$14,0)),N249,SUMIFS('EE Inputs'!$K$9:$K$32,'EE Inputs'!$C$9:$C$32,$G$6,'EE Inputs'!$D$9:$D$32,$C$4,'EE Inputs'!$E$9:$E$32,$B264),0,1)))</f>
        <v>99904.763235915481</v>
      </c>
      <c r="O264" s="65">
        <f ca="1">IF($C$4=Lookups!$D$40,SUM(INDIRECT("'Yr1'!"&amp;ADDRESS(ROW(O264),COLUMN(O264))),INDIRECT("'Yr2'!"&amp;ADDRESS(ROW(O264),COLUMN(O264))),INDIRECT("'Yr3'!"&amp;ADDRESS(ROW(O264),COLUMN(O264)))),
IF(O249=0,0,-PMT(INDEX(Lookups!$E$17:$G$17,MATCH($C$4,Lookups!$E$14:$G$14,0)),O249,SUMIFS('EE Inputs'!$K$9:$K$32,'EE Inputs'!$C$9:$C$32,$G$6,'EE Inputs'!$D$9:$D$32,$C$4,'EE Inputs'!$E$9:$E$32,$B264),0,1)))</f>
        <v>99904.763235915481</v>
      </c>
      <c r="P264" s="65">
        <f ca="1">IF($C$4=Lookups!$D$40,SUM(INDIRECT("'Yr1'!"&amp;ADDRESS(ROW(P264),COLUMN(P264))),INDIRECT("'Yr2'!"&amp;ADDRESS(ROW(P264),COLUMN(P264))),INDIRECT("'Yr3'!"&amp;ADDRESS(ROW(P264),COLUMN(P264)))),
IF(P249=0,0,-PMT(INDEX(Lookups!$E$17:$G$17,MATCH($C$4,Lookups!$E$14:$G$14,0)),P249,SUMIFS('EE Inputs'!$K$9:$K$32,'EE Inputs'!$C$9:$C$32,$G$6,'EE Inputs'!$D$9:$D$32,$C$4,'EE Inputs'!$E$9:$E$32,$B264),0,1)))</f>
        <v>99904.763235915481</v>
      </c>
      <c r="Q264" s="65">
        <f ca="1">IF($C$4=Lookups!$D$40,SUM(INDIRECT("'Yr1'!"&amp;ADDRESS(ROW(Q264),COLUMN(Q264))),INDIRECT("'Yr2'!"&amp;ADDRESS(ROW(Q264),COLUMN(Q264))),INDIRECT("'Yr3'!"&amp;ADDRESS(ROW(Q264),COLUMN(Q264)))),
IF(Q249=0,0,-PMT(INDEX(Lookups!$E$17:$G$17,MATCH($C$4,Lookups!$E$14:$G$14,0)),Q249,SUMIFS('EE Inputs'!$K$9:$K$32,'EE Inputs'!$C$9:$C$32,$G$6,'EE Inputs'!$D$9:$D$32,$C$4,'EE Inputs'!$E$9:$E$32,$B264),0,1)))</f>
        <v>99904.763235915481</v>
      </c>
      <c r="R264" s="65">
        <f ca="1">IF($C$4=Lookups!$D$40,SUM(INDIRECT("'Yr1'!"&amp;ADDRESS(ROW(R264),COLUMN(R264))),INDIRECT("'Yr2'!"&amp;ADDRESS(ROW(R264),COLUMN(R264))),INDIRECT("'Yr3'!"&amp;ADDRESS(ROW(R264),COLUMN(R264)))),
IF(R249=0,0,-PMT(INDEX(Lookups!$E$17:$G$17,MATCH($C$4,Lookups!$E$14:$G$14,0)),R249,SUMIFS('EE Inputs'!$K$9:$K$32,'EE Inputs'!$C$9:$C$32,$G$6,'EE Inputs'!$D$9:$D$32,$C$4,'EE Inputs'!$E$9:$E$32,$B264),0,1)))</f>
        <v>99904.763235915481</v>
      </c>
      <c r="S264" s="65">
        <f ca="1">IF($C$4=Lookups!$D$40,SUM(INDIRECT("'Yr1'!"&amp;ADDRESS(ROW(S264),COLUMN(S264))),INDIRECT("'Yr2'!"&amp;ADDRESS(ROW(S264),COLUMN(S264))),INDIRECT("'Yr3'!"&amp;ADDRESS(ROW(S264),COLUMN(S264)))),
IF(S249=0,0,-PMT(INDEX(Lookups!$E$17:$G$17,MATCH($C$4,Lookups!$E$14:$G$14,0)),S249,SUMIFS('EE Inputs'!$K$9:$K$32,'EE Inputs'!$C$9:$C$32,$G$6,'EE Inputs'!$D$9:$D$32,$C$4,'EE Inputs'!$E$9:$E$32,$B264),0,1)))</f>
        <v>99904.763235915481</v>
      </c>
      <c r="T264" s="65">
        <f ca="1">IF($C$4=Lookups!$D$40,SUM(INDIRECT("'Yr1'!"&amp;ADDRESS(ROW(T264),COLUMN(T264))),INDIRECT("'Yr2'!"&amp;ADDRESS(ROW(T264),COLUMN(T264))),INDIRECT("'Yr3'!"&amp;ADDRESS(ROW(T264),COLUMN(T264)))),
IF(T249=0,0,-PMT(INDEX(Lookups!$E$17:$G$17,MATCH($C$4,Lookups!$E$14:$G$14,0)),T249,SUMIFS('EE Inputs'!$K$9:$K$32,'EE Inputs'!$C$9:$C$32,$G$6,'EE Inputs'!$D$9:$D$32,$C$4,'EE Inputs'!$E$9:$E$32,$B264),0,1)))</f>
        <v>68203.646470336622</v>
      </c>
      <c r="U264" s="65">
        <f ca="1">IF($C$4=Lookups!$D$40,SUM(INDIRECT("'Yr1'!"&amp;ADDRESS(ROW(U264),COLUMN(U264))),INDIRECT("'Yr2'!"&amp;ADDRESS(ROW(U264),COLUMN(U264))),INDIRECT("'Yr3'!"&amp;ADDRESS(ROW(U264),COLUMN(U264)))),
IF(U249=0,0,-PMT(INDEX(Lookups!$E$17:$G$17,MATCH($C$4,Lookups!$E$14:$G$14,0)),U249,SUMIFS('EE Inputs'!$K$9:$K$32,'EE Inputs'!$C$9:$C$32,$G$6,'EE Inputs'!$D$9:$D$32,$C$4,'EE Inputs'!$E$9:$E$32,$B264),0,1)))</f>
        <v>34948.774283488034</v>
      </c>
      <c r="V264" s="65">
        <f ca="1">IF($C$4=Lookups!$D$40,SUM(INDIRECT("'Yr1'!"&amp;ADDRESS(ROW(V264),COLUMN(V264))),INDIRECT("'Yr2'!"&amp;ADDRESS(ROW(V264),COLUMN(V264))),INDIRECT("'Yr3'!"&amp;ADDRESS(ROW(V264),COLUMN(V264)))),
IF(V249=0,0,-PMT(INDEX(Lookups!$E$17:$G$17,MATCH($C$4,Lookups!$E$14:$G$14,0)),V249,SUMIFS('EE Inputs'!$K$9:$K$32,'EE Inputs'!$C$9:$C$32,$G$6,'EE Inputs'!$D$9:$D$32,$C$4,'EE Inputs'!$E$9:$E$32,$B264),0,1)))</f>
        <v>0</v>
      </c>
      <c r="W264" s="65">
        <f ca="1">IF($C$4=Lookups!$D$40,SUM(INDIRECT("'Yr1'!"&amp;ADDRESS(ROW(W264),COLUMN(W264))),INDIRECT("'Yr2'!"&amp;ADDRESS(ROW(W264),COLUMN(W264))),INDIRECT("'Yr3'!"&amp;ADDRESS(ROW(W264),COLUMN(W264)))),
IF(W249=0,0,-PMT(INDEX(Lookups!$E$17:$G$17,MATCH($C$4,Lookups!$E$14:$G$14,0)),W249,SUMIFS('EE Inputs'!$K$9:$K$32,'EE Inputs'!$C$9:$C$32,$G$6,'EE Inputs'!$D$9:$D$32,$C$4,'EE Inputs'!$E$9:$E$32,$B264),0,1)))</f>
        <v>0</v>
      </c>
      <c r="X264" s="65">
        <f ca="1">IF($C$4=Lookups!$D$40,SUM(INDIRECT("'Yr1'!"&amp;ADDRESS(ROW(X264),COLUMN(X264))),INDIRECT("'Yr2'!"&amp;ADDRESS(ROW(X264),COLUMN(X264))),INDIRECT("'Yr3'!"&amp;ADDRESS(ROW(X264),COLUMN(X264)))),
IF(X249=0,0,-PMT(INDEX(Lookups!$E$17:$G$17,MATCH($C$4,Lookups!$E$14:$G$14,0)),X249,SUMIFS('EE Inputs'!$K$9:$K$32,'EE Inputs'!$C$9:$C$32,$G$6,'EE Inputs'!$D$9:$D$32,$C$4,'EE Inputs'!$E$9:$E$32,$B264),0,1)))</f>
        <v>0</v>
      </c>
      <c r="Y264" s="65">
        <f ca="1">IF($C$4=Lookups!$D$40,SUM(INDIRECT("'Yr1'!"&amp;ADDRESS(ROW(Y264),COLUMN(Y264))),INDIRECT("'Yr2'!"&amp;ADDRESS(ROW(Y264),COLUMN(Y264))),INDIRECT("'Yr3'!"&amp;ADDRESS(ROW(Y264),COLUMN(Y264)))),
IF(Y249=0,0,-PMT(INDEX(Lookups!$E$17:$G$17,MATCH($C$4,Lookups!$E$14:$G$14,0)),Y249,SUMIFS('EE Inputs'!$K$9:$K$32,'EE Inputs'!$C$9:$C$32,$G$6,'EE Inputs'!$D$9:$D$32,$C$4,'EE Inputs'!$E$9:$E$32,$B264),0,1)))</f>
        <v>0</v>
      </c>
      <c r="Z264" s="65">
        <f ca="1">IF($C$4=Lookups!$D$40,SUM(INDIRECT("'Yr1'!"&amp;ADDRESS(ROW(Z264),COLUMN(Z264))),INDIRECT("'Yr2'!"&amp;ADDRESS(ROW(Z264),COLUMN(Z264))),INDIRECT("'Yr3'!"&amp;ADDRESS(ROW(Z264),COLUMN(Z264)))),
IF(Z249=0,0,-PMT(INDEX(Lookups!$E$17:$G$17,MATCH($C$4,Lookups!$E$14:$G$14,0)),Z249,SUMIFS('EE Inputs'!$K$9:$K$32,'EE Inputs'!$C$9:$C$32,$G$6,'EE Inputs'!$D$9:$D$32,$C$4,'EE Inputs'!$E$9:$E$32,$B264),0,1)))</f>
        <v>0</v>
      </c>
      <c r="AA264" s="65">
        <f ca="1">IF($C$4=Lookups!$D$40,SUM(INDIRECT("'Yr1'!"&amp;ADDRESS(ROW(AA264),COLUMN(AA264))),INDIRECT("'Yr2'!"&amp;ADDRESS(ROW(AA264),COLUMN(AA264))),INDIRECT("'Yr3'!"&amp;ADDRESS(ROW(AA264),COLUMN(AA264)))),
IF(AA249=0,0,-PMT(INDEX(Lookups!$E$17:$G$17,MATCH($C$4,Lookups!$E$14:$G$14,0)),AA249,SUMIFS('EE Inputs'!$K$9:$K$32,'EE Inputs'!$C$9:$C$32,$G$6,'EE Inputs'!$D$9:$D$32,$C$4,'EE Inputs'!$E$9:$E$32,$B264),0,1)))</f>
        <v>0</v>
      </c>
      <c r="AB264" s="65">
        <f ca="1">IF($C$4=Lookups!$D$40,SUM(INDIRECT("'Yr1'!"&amp;ADDRESS(ROW(AB264),COLUMN(AB264))),INDIRECT("'Yr2'!"&amp;ADDRESS(ROW(AB264),COLUMN(AB264))),INDIRECT("'Yr3'!"&amp;ADDRESS(ROW(AB264),COLUMN(AB264)))),
IF(AB249=0,0,-PMT(INDEX(Lookups!$E$17:$G$17,MATCH($C$4,Lookups!$E$14:$G$14,0)),AB249,SUMIFS('EE Inputs'!$K$9:$K$32,'EE Inputs'!$C$9:$C$32,$G$6,'EE Inputs'!$D$9:$D$32,$C$4,'EE Inputs'!$E$9:$E$32,$B264),0,1)))</f>
        <v>0</v>
      </c>
      <c r="AC264" s="65">
        <f ca="1">IF($C$4=Lookups!$D$40,SUM(INDIRECT("'Yr1'!"&amp;ADDRESS(ROW(AC264),COLUMN(AC264))),INDIRECT("'Yr2'!"&amp;ADDRESS(ROW(AC264),COLUMN(AC264))),INDIRECT("'Yr3'!"&amp;ADDRESS(ROW(AC264),COLUMN(AC264)))),
IF(AC249=0,0,-PMT(INDEX(Lookups!$E$17:$G$17,MATCH($C$4,Lookups!$E$14:$G$14,0)),AC249,SUMIFS('EE Inputs'!$K$9:$K$32,'EE Inputs'!$C$9:$C$32,$G$6,'EE Inputs'!$D$9:$D$32,$C$4,'EE Inputs'!$E$9:$E$32,$B264),0,1)))</f>
        <v>0</v>
      </c>
      <c r="AD264" s="65">
        <f ca="1">IF($C$4=Lookups!$D$40,SUM(INDIRECT("'Yr1'!"&amp;ADDRESS(ROW(AD264),COLUMN(AD264))),INDIRECT("'Yr2'!"&amp;ADDRESS(ROW(AD264),COLUMN(AD264))),INDIRECT("'Yr3'!"&amp;ADDRESS(ROW(AD264),COLUMN(AD264)))),
IF(AD249=0,0,-PMT(INDEX(Lookups!$E$17:$G$17,MATCH($C$4,Lookups!$E$14:$G$14,0)),AD249,SUMIFS('EE Inputs'!$K$9:$K$32,'EE Inputs'!$C$9:$C$32,$G$6,'EE Inputs'!$D$9:$D$32,$C$4,'EE Inputs'!$E$9:$E$32,$B264),0,1)))</f>
        <v>0</v>
      </c>
      <c r="AE264" s="65">
        <f ca="1">IF($C$4=Lookups!$D$40,SUM(INDIRECT("'Yr1'!"&amp;ADDRESS(ROW(AE264),COLUMN(AE264))),INDIRECT("'Yr2'!"&amp;ADDRESS(ROW(AE264),COLUMN(AE264))),INDIRECT("'Yr3'!"&amp;ADDRESS(ROW(AE264),COLUMN(AE264)))),
IF(AE249=0,0,-PMT(INDEX(Lookups!$E$17:$G$17,MATCH($C$4,Lookups!$E$14:$G$14,0)),AE249,SUMIFS('EE Inputs'!$K$9:$K$32,'EE Inputs'!$C$9:$C$32,$G$6,'EE Inputs'!$D$9:$D$32,$C$4,'EE Inputs'!$E$9:$E$32,$B264),0,1)))</f>
        <v>0</v>
      </c>
      <c r="AF264" s="65">
        <f ca="1">IF($C$4=Lookups!$D$40,SUM(INDIRECT("'Yr1'!"&amp;ADDRESS(ROW(AF264),COLUMN(AF264))),INDIRECT("'Yr2'!"&amp;ADDRESS(ROW(AF264),COLUMN(AF264))),INDIRECT("'Yr3'!"&amp;ADDRESS(ROW(AF264),COLUMN(AF264)))),
IF(AF249=0,0,-PMT(INDEX(Lookups!$E$17:$G$17,MATCH($C$4,Lookups!$E$14:$G$14,0)),AF249,SUMIFS('EE Inputs'!$K$9:$K$32,'EE Inputs'!$C$9:$C$32,$G$6,'EE Inputs'!$D$9:$D$32,$C$4,'EE Inputs'!$E$9:$E$32,$B264),0,1)))</f>
        <v>0</v>
      </c>
      <c r="AG264" s="65">
        <f ca="1">IF($C$4=Lookups!$D$40,SUM(INDIRECT("'Yr1'!"&amp;ADDRESS(ROW(AG264),COLUMN(AG264))),INDIRECT("'Yr2'!"&amp;ADDRESS(ROW(AG264),COLUMN(AG264))),INDIRECT("'Yr3'!"&amp;ADDRESS(ROW(AG264),COLUMN(AG264)))),
IF(AG249=0,0,-PMT(INDEX(Lookups!$E$17:$G$17,MATCH($C$4,Lookups!$E$14:$G$14,0)),AG249,SUMIFS('EE Inputs'!$K$9:$K$32,'EE Inputs'!$C$9:$C$32,$G$6,'EE Inputs'!$D$9:$D$32,$C$4,'EE Inputs'!$E$9:$E$32,$B264),0,1)))</f>
        <v>0</v>
      </c>
      <c r="AH264" s="65"/>
      <c r="AI264" s="65">
        <f ca="1">NPV(Lookups!$E$17,G264:AG264)</f>
        <v>1161882.8200935661</v>
      </c>
      <c r="AJ264" s="65"/>
      <c r="AM264" s="72">
        <f ca="1">IF($C$4=Lookups!$D$40,SUM(INDIRECT("'Yr1'!"&amp;ADDRESS(ROW(AM264),COLUMN(AM264))),INDIRECT("'Yr2'!"&amp;ADDRESS(ROW(AM264),COLUMN(AM264))),INDIRECT("'Yr3'!"&amp;ADDRESS(ROW(AM264),COLUMN(AM264)))),
IF(AM249=0,0,-PMT(INDEX(Lookups!$E$17:$G$17,MATCH($C$4,Lookups!$E$14:$G$14,0)),AM249,SUMIFS('EE Inputs'!$K$9:$K$32,'EE Inputs'!$C$9:$C$32,$AM$6,'EE Inputs'!$D$9:$D$32,$C$4,'EE Inputs'!$E$9:$E$32,$B264),0,1)))</f>
        <v>36229.847732090129</v>
      </c>
      <c r="AN264" s="72">
        <f ca="1">IF($C$4=Lookups!$D$40,SUM(INDIRECT("'Yr1'!"&amp;ADDRESS(ROW(AN264),COLUMN(AN264))),INDIRECT("'Yr2'!"&amp;ADDRESS(ROW(AN264),COLUMN(AN264))),INDIRECT("'Yr3'!"&amp;ADDRESS(ROW(AN264),COLUMN(AN264)))),
IF(AN249=0,0,-PMT(INDEX(Lookups!$E$17:$G$17,MATCH($C$4,Lookups!$E$14:$G$14,0)),AN249,SUMIFS('EE Inputs'!$K$9:$K$32,'EE Inputs'!$C$9:$C$32,$AM$6,'EE Inputs'!$D$9:$D$32,$C$4,'EE Inputs'!$E$9:$E$32,$B264),0,1)))</f>
        <v>74235.415945631365</v>
      </c>
      <c r="AO264" s="72">
        <f ca="1">IF($C$4=Lookups!$D$40,SUM(INDIRECT("'Yr1'!"&amp;ADDRESS(ROW(AO264),COLUMN(AO264))),INDIRECT("'Yr2'!"&amp;ADDRESS(ROW(AO264),COLUMN(AO264))),INDIRECT("'Yr3'!"&amp;ADDRESS(ROW(AO264),COLUMN(AO264)))),
IF(AO249=0,0,-PMT(INDEX(Lookups!$E$17:$G$17,MATCH($C$4,Lookups!$E$14:$G$14,0)),AO249,SUMIFS('EE Inputs'!$K$9:$K$32,'EE Inputs'!$C$9:$C$32,$AM$6,'EE Inputs'!$D$9:$D$32,$C$4,'EE Inputs'!$E$9:$E$32,$B264),0,1)))</f>
        <v>114176.87226961768</v>
      </c>
      <c r="AP264" s="72">
        <f ca="1">IF($C$4=Lookups!$D$40,SUM(INDIRECT("'Yr1'!"&amp;ADDRESS(ROW(AP264),COLUMN(AP264))),INDIRECT("'Yr2'!"&amp;ADDRESS(ROW(AP264),COLUMN(AP264))),INDIRECT("'Yr3'!"&amp;ADDRESS(ROW(AP264),COLUMN(AP264)))),
IF(AP249=0,0,-PMT(INDEX(Lookups!$E$17:$G$17,MATCH($C$4,Lookups!$E$14:$G$14,0)),AP249,SUMIFS('EE Inputs'!$K$9:$K$32,'EE Inputs'!$C$9:$C$32,$AM$6,'EE Inputs'!$D$9:$D$32,$C$4,'EE Inputs'!$E$9:$E$32,$B264),0,1)))</f>
        <v>114176.87226961768</v>
      </c>
      <c r="AQ264" s="72">
        <f ca="1">IF($C$4=Lookups!$D$40,SUM(INDIRECT("'Yr1'!"&amp;ADDRESS(ROW(AQ264),COLUMN(AQ264))),INDIRECT("'Yr2'!"&amp;ADDRESS(ROW(AQ264),COLUMN(AQ264))),INDIRECT("'Yr3'!"&amp;ADDRESS(ROW(AQ264),COLUMN(AQ264)))),
IF(AQ249=0,0,-PMT(INDEX(Lookups!$E$17:$G$17,MATCH($C$4,Lookups!$E$14:$G$14,0)),AQ249,SUMIFS('EE Inputs'!$K$9:$K$32,'EE Inputs'!$C$9:$C$32,$AM$6,'EE Inputs'!$D$9:$D$32,$C$4,'EE Inputs'!$E$9:$E$32,$B264),0,1)))</f>
        <v>114176.87226961768</v>
      </c>
      <c r="AR264" s="72">
        <f ca="1">IF($C$4=Lookups!$D$40,SUM(INDIRECT("'Yr1'!"&amp;ADDRESS(ROW(AR264),COLUMN(AR264))),INDIRECT("'Yr2'!"&amp;ADDRESS(ROW(AR264),COLUMN(AR264))),INDIRECT("'Yr3'!"&amp;ADDRESS(ROW(AR264),COLUMN(AR264)))),
IF(AR249=0,0,-PMT(INDEX(Lookups!$E$17:$G$17,MATCH($C$4,Lookups!$E$14:$G$14,0)),AR249,SUMIFS('EE Inputs'!$K$9:$K$32,'EE Inputs'!$C$9:$C$32,$AM$6,'EE Inputs'!$D$9:$D$32,$C$4,'EE Inputs'!$E$9:$E$32,$B264),0,1)))</f>
        <v>114176.87226961768</v>
      </c>
      <c r="AS264" s="72">
        <f ca="1">IF($C$4=Lookups!$D$40,SUM(INDIRECT("'Yr1'!"&amp;ADDRESS(ROW(AS264),COLUMN(AS264))),INDIRECT("'Yr2'!"&amp;ADDRESS(ROW(AS264),COLUMN(AS264))),INDIRECT("'Yr3'!"&amp;ADDRESS(ROW(AS264),COLUMN(AS264)))),
IF(AS249=0,0,-PMT(INDEX(Lookups!$E$17:$G$17,MATCH($C$4,Lookups!$E$14:$G$14,0)),AS249,SUMIFS('EE Inputs'!$K$9:$K$32,'EE Inputs'!$C$9:$C$32,$AM$6,'EE Inputs'!$D$9:$D$32,$C$4,'EE Inputs'!$E$9:$E$32,$B264),0,1)))</f>
        <v>114176.87226961768</v>
      </c>
      <c r="AT264" s="72">
        <f ca="1">IF($C$4=Lookups!$D$40,SUM(INDIRECT("'Yr1'!"&amp;ADDRESS(ROW(AT264),COLUMN(AT264))),INDIRECT("'Yr2'!"&amp;ADDRESS(ROW(AT264),COLUMN(AT264))),INDIRECT("'Yr3'!"&amp;ADDRESS(ROW(AT264),COLUMN(AT264)))),
IF(AT249=0,0,-PMT(INDEX(Lookups!$E$17:$G$17,MATCH($C$4,Lookups!$E$14:$G$14,0)),AT249,SUMIFS('EE Inputs'!$K$9:$K$32,'EE Inputs'!$C$9:$C$32,$AM$6,'EE Inputs'!$D$9:$D$32,$C$4,'EE Inputs'!$E$9:$E$32,$B264),0,1)))</f>
        <v>114176.87226961768</v>
      </c>
      <c r="AU264" s="72">
        <f ca="1">IF($C$4=Lookups!$D$40,SUM(INDIRECT("'Yr1'!"&amp;ADDRESS(ROW(AU264),COLUMN(AU264))),INDIRECT("'Yr2'!"&amp;ADDRESS(ROW(AU264),COLUMN(AU264))),INDIRECT("'Yr3'!"&amp;ADDRESS(ROW(AU264),COLUMN(AU264)))),
IF(AU249=0,0,-PMT(INDEX(Lookups!$E$17:$G$17,MATCH($C$4,Lookups!$E$14:$G$14,0)),AU249,SUMIFS('EE Inputs'!$K$9:$K$32,'EE Inputs'!$C$9:$C$32,$AM$6,'EE Inputs'!$D$9:$D$32,$C$4,'EE Inputs'!$E$9:$E$32,$B264),0,1)))</f>
        <v>114176.87226961768</v>
      </c>
      <c r="AV264" s="72">
        <f ca="1">IF($C$4=Lookups!$D$40,SUM(INDIRECT("'Yr1'!"&amp;ADDRESS(ROW(AV264),COLUMN(AV264))),INDIRECT("'Yr2'!"&amp;ADDRESS(ROW(AV264),COLUMN(AV264))),INDIRECT("'Yr3'!"&amp;ADDRESS(ROW(AV264),COLUMN(AV264)))),
IF(AV249=0,0,-PMT(INDEX(Lookups!$E$17:$G$17,MATCH($C$4,Lookups!$E$14:$G$14,0)),AV249,SUMIFS('EE Inputs'!$K$9:$K$32,'EE Inputs'!$C$9:$C$32,$AM$6,'EE Inputs'!$D$9:$D$32,$C$4,'EE Inputs'!$E$9:$E$32,$B264),0,1)))</f>
        <v>114176.87226961768</v>
      </c>
      <c r="AW264" s="72">
        <f ca="1">IF($C$4=Lookups!$D$40,SUM(INDIRECT("'Yr1'!"&amp;ADDRESS(ROW(AW264),COLUMN(AW264))),INDIRECT("'Yr2'!"&amp;ADDRESS(ROW(AW264),COLUMN(AW264))),INDIRECT("'Yr3'!"&amp;ADDRESS(ROW(AW264),COLUMN(AW264)))),
IF(AW249=0,0,-PMT(INDEX(Lookups!$E$17:$G$17,MATCH($C$4,Lookups!$E$14:$G$14,0)),AW249,SUMIFS('EE Inputs'!$K$9:$K$32,'EE Inputs'!$C$9:$C$32,$AM$6,'EE Inputs'!$D$9:$D$32,$C$4,'EE Inputs'!$E$9:$E$32,$B264),0,1)))</f>
        <v>114176.87226961768</v>
      </c>
      <c r="AX264" s="72">
        <f ca="1">IF($C$4=Lookups!$D$40,SUM(INDIRECT("'Yr1'!"&amp;ADDRESS(ROW(AX264),COLUMN(AX264))),INDIRECT("'Yr2'!"&amp;ADDRESS(ROW(AX264),COLUMN(AX264))),INDIRECT("'Yr3'!"&amp;ADDRESS(ROW(AX264),COLUMN(AX264)))),
IF(AX249=0,0,-PMT(INDEX(Lookups!$E$17:$G$17,MATCH($C$4,Lookups!$E$14:$G$14,0)),AX249,SUMIFS('EE Inputs'!$K$9:$K$32,'EE Inputs'!$C$9:$C$32,$AM$6,'EE Inputs'!$D$9:$D$32,$C$4,'EE Inputs'!$E$9:$E$32,$B264),0,1)))</f>
        <v>114176.87226961768</v>
      </c>
      <c r="AY264" s="72">
        <f ca="1">IF($C$4=Lookups!$D$40,SUM(INDIRECT("'Yr1'!"&amp;ADDRESS(ROW(AY264),COLUMN(AY264))),INDIRECT("'Yr2'!"&amp;ADDRESS(ROW(AY264),COLUMN(AY264))),INDIRECT("'Yr3'!"&amp;ADDRESS(ROW(AY264),COLUMN(AY264)))),
IF(AY249=0,0,-PMT(INDEX(Lookups!$E$17:$G$17,MATCH($C$4,Lookups!$E$14:$G$14,0)),AY249,SUMIFS('EE Inputs'!$K$9:$K$32,'EE Inputs'!$C$9:$C$32,$AM$6,'EE Inputs'!$D$9:$D$32,$C$4,'EE Inputs'!$E$9:$E$32,$B264),0,1)))</f>
        <v>114176.87226961768</v>
      </c>
      <c r="AZ264" s="72">
        <f ca="1">IF($C$4=Lookups!$D$40,SUM(INDIRECT("'Yr1'!"&amp;ADDRESS(ROW(AZ264),COLUMN(AZ264))),INDIRECT("'Yr2'!"&amp;ADDRESS(ROW(AZ264),COLUMN(AZ264))),INDIRECT("'Yr3'!"&amp;ADDRESS(ROW(AZ264),COLUMN(AZ264)))),
IF(AZ249=0,0,-PMT(INDEX(Lookups!$E$17:$G$17,MATCH($C$4,Lookups!$E$14:$G$14,0)),AZ249,SUMIFS('EE Inputs'!$K$9:$K$32,'EE Inputs'!$C$9:$C$32,$AM$6,'EE Inputs'!$D$9:$D$32,$C$4,'EE Inputs'!$E$9:$E$32,$B264),0,1)))</f>
        <v>77947.02453752757</v>
      </c>
      <c r="BA264" s="72">
        <f ca="1">IF($C$4=Lookups!$D$40,SUM(INDIRECT("'Yr1'!"&amp;ADDRESS(ROW(BA264),COLUMN(BA264))),INDIRECT("'Yr2'!"&amp;ADDRESS(ROW(BA264),COLUMN(BA264))),INDIRECT("'Yr3'!"&amp;ADDRESS(ROW(BA264),COLUMN(BA264)))),
IF(BA249=0,0,-PMT(INDEX(Lookups!$E$17:$G$17,MATCH($C$4,Lookups!$E$14:$G$14,0)),BA249,SUMIFS('EE Inputs'!$K$9:$K$32,'EE Inputs'!$C$9:$C$32,$AM$6,'EE Inputs'!$D$9:$D$32,$C$4,'EE Inputs'!$E$9:$E$32,$B264),0,1)))</f>
        <v>39941.456323986327</v>
      </c>
      <c r="BB264" s="72">
        <f ca="1">IF($C$4=Lookups!$D$40,SUM(INDIRECT("'Yr1'!"&amp;ADDRESS(ROW(BB264),COLUMN(BB264))),INDIRECT("'Yr2'!"&amp;ADDRESS(ROW(BB264),COLUMN(BB264))),INDIRECT("'Yr3'!"&amp;ADDRESS(ROW(BB264),COLUMN(BB264)))),
IF(BB249=0,0,-PMT(INDEX(Lookups!$E$17:$G$17,MATCH($C$4,Lookups!$E$14:$G$14,0)),BB249,SUMIFS('EE Inputs'!$K$9:$K$32,'EE Inputs'!$C$9:$C$32,$AM$6,'EE Inputs'!$D$9:$D$32,$C$4,'EE Inputs'!$E$9:$E$32,$B264),0,1)))</f>
        <v>0</v>
      </c>
      <c r="BC264" s="72">
        <f ca="1">IF($C$4=Lookups!$D$40,SUM(INDIRECT("'Yr1'!"&amp;ADDRESS(ROW(BC264),COLUMN(BC264))),INDIRECT("'Yr2'!"&amp;ADDRESS(ROW(BC264),COLUMN(BC264))),INDIRECT("'Yr3'!"&amp;ADDRESS(ROW(BC264),COLUMN(BC264)))),
IF(BC249=0,0,-PMT(INDEX(Lookups!$E$17:$G$17,MATCH($C$4,Lookups!$E$14:$G$14,0)),BC249,SUMIFS('EE Inputs'!$K$9:$K$32,'EE Inputs'!$C$9:$C$32,$AM$6,'EE Inputs'!$D$9:$D$32,$C$4,'EE Inputs'!$E$9:$E$32,$B264),0,1)))</f>
        <v>0</v>
      </c>
      <c r="BD264" s="72">
        <f ca="1">IF($C$4=Lookups!$D$40,SUM(INDIRECT("'Yr1'!"&amp;ADDRESS(ROW(BD264),COLUMN(BD264))),INDIRECT("'Yr2'!"&amp;ADDRESS(ROW(BD264),COLUMN(BD264))),INDIRECT("'Yr3'!"&amp;ADDRESS(ROW(BD264),COLUMN(BD264)))),
IF(BD249=0,0,-PMT(INDEX(Lookups!$E$17:$G$17,MATCH($C$4,Lookups!$E$14:$G$14,0)),BD249,SUMIFS('EE Inputs'!$K$9:$K$32,'EE Inputs'!$C$9:$C$32,$AM$6,'EE Inputs'!$D$9:$D$32,$C$4,'EE Inputs'!$E$9:$E$32,$B264),0,1)))</f>
        <v>0</v>
      </c>
      <c r="BE264" s="72">
        <f ca="1">IF($C$4=Lookups!$D$40,SUM(INDIRECT("'Yr1'!"&amp;ADDRESS(ROW(BE264),COLUMN(BE264))),INDIRECT("'Yr2'!"&amp;ADDRESS(ROW(BE264),COLUMN(BE264))),INDIRECT("'Yr3'!"&amp;ADDRESS(ROW(BE264),COLUMN(BE264)))),
IF(BE249=0,0,-PMT(INDEX(Lookups!$E$17:$G$17,MATCH($C$4,Lookups!$E$14:$G$14,0)),BE249,SUMIFS('EE Inputs'!$K$9:$K$32,'EE Inputs'!$C$9:$C$32,$AM$6,'EE Inputs'!$D$9:$D$32,$C$4,'EE Inputs'!$E$9:$E$32,$B264),0,1)))</f>
        <v>0</v>
      </c>
      <c r="BF264" s="72">
        <f ca="1">IF($C$4=Lookups!$D$40,SUM(INDIRECT("'Yr1'!"&amp;ADDRESS(ROW(BF264),COLUMN(BF264))),INDIRECT("'Yr2'!"&amp;ADDRESS(ROW(BF264),COLUMN(BF264))),INDIRECT("'Yr3'!"&amp;ADDRESS(ROW(BF264),COLUMN(BF264)))),
IF(BF249=0,0,-PMT(INDEX(Lookups!$E$17:$G$17,MATCH($C$4,Lookups!$E$14:$G$14,0)),BF249,SUMIFS('EE Inputs'!$K$9:$K$32,'EE Inputs'!$C$9:$C$32,$AM$6,'EE Inputs'!$D$9:$D$32,$C$4,'EE Inputs'!$E$9:$E$32,$B264),0,1)))</f>
        <v>0</v>
      </c>
      <c r="BG264" s="72">
        <f ca="1">IF($C$4=Lookups!$D$40,SUM(INDIRECT("'Yr1'!"&amp;ADDRESS(ROW(BG264),COLUMN(BG264))),INDIRECT("'Yr2'!"&amp;ADDRESS(ROW(BG264),COLUMN(BG264))),INDIRECT("'Yr3'!"&amp;ADDRESS(ROW(BG264),COLUMN(BG264)))),
IF(BG249=0,0,-PMT(INDEX(Lookups!$E$17:$G$17,MATCH($C$4,Lookups!$E$14:$G$14,0)),BG249,SUMIFS('EE Inputs'!$K$9:$K$32,'EE Inputs'!$C$9:$C$32,$AM$6,'EE Inputs'!$D$9:$D$32,$C$4,'EE Inputs'!$E$9:$E$32,$B264),0,1)))</f>
        <v>0</v>
      </c>
      <c r="BH264" s="72">
        <f ca="1">IF($C$4=Lookups!$D$40,SUM(INDIRECT("'Yr1'!"&amp;ADDRESS(ROW(BH264),COLUMN(BH264))),INDIRECT("'Yr2'!"&amp;ADDRESS(ROW(BH264),COLUMN(BH264))),INDIRECT("'Yr3'!"&amp;ADDRESS(ROW(BH264),COLUMN(BH264)))),
IF(BH249=0,0,-PMT(INDEX(Lookups!$E$17:$G$17,MATCH($C$4,Lookups!$E$14:$G$14,0)),BH249,SUMIFS('EE Inputs'!$K$9:$K$32,'EE Inputs'!$C$9:$C$32,$AM$6,'EE Inputs'!$D$9:$D$32,$C$4,'EE Inputs'!$E$9:$E$32,$B264),0,1)))</f>
        <v>0</v>
      </c>
      <c r="BI264" s="72">
        <f ca="1">IF($C$4=Lookups!$D$40,SUM(INDIRECT("'Yr1'!"&amp;ADDRESS(ROW(BI264),COLUMN(BI264))),INDIRECT("'Yr2'!"&amp;ADDRESS(ROW(BI264),COLUMN(BI264))),INDIRECT("'Yr3'!"&amp;ADDRESS(ROW(BI264),COLUMN(BI264)))),
IF(BI249=0,0,-PMT(INDEX(Lookups!$E$17:$G$17,MATCH($C$4,Lookups!$E$14:$G$14,0)),BI249,SUMIFS('EE Inputs'!$K$9:$K$32,'EE Inputs'!$C$9:$C$32,$AM$6,'EE Inputs'!$D$9:$D$32,$C$4,'EE Inputs'!$E$9:$E$32,$B264),0,1)))</f>
        <v>0</v>
      </c>
      <c r="BJ264" s="72">
        <f ca="1">IF($C$4=Lookups!$D$40,SUM(INDIRECT("'Yr1'!"&amp;ADDRESS(ROW(BJ264),COLUMN(BJ264))),INDIRECT("'Yr2'!"&amp;ADDRESS(ROW(BJ264),COLUMN(BJ264))),INDIRECT("'Yr3'!"&amp;ADDRESS(ROW(BJ264),COLUMN(BJ264)))),
IF(BJ249=0,0,-PMT(INDEX(Lookups!$E$17:$G$17,MATCH($C$4,Lookups!$E$14:$G$14,0)),BJ249,SUMIFS('EE Inputs'!$K$9:$K$32,'EE Inputs'!$C$9:$C$32,$AM$6,'EE Inputs'!$D$9:$D$32,$C$4,'EE Inputs'!$E$9:$E$32,$B264),0,1)))</f>
        <v>0</v>
      </c>
      <c r="BK264" s="72">
        <f ca="1">IF($C$4=Lookups!$D$40,SUM(INDIRECT("'Yr1'!"&amp;ADDRESS(ROW(BK264),COLUMN(BK264))),INDIRECT("'Yr2'!"&amp;ADDRESS(ROW(BK264),COLUMN(BK264))),INDIRECT("'Yr3'!"&amp;ADDRESS(ROW(BK264),COLUMN(BK264)))),
IF(BK249=0,0,-PMT(INDEX(Lookups!$E$17:$G$17,MATCH($C$4,Lookups!$E$14:$G$14,0)),BK249,SUMIFS('EE Inputs'!$K$9:$K$32,'EE Inputs'!$C$9:$C$32,$AM$6,'EE Inputs'!$D$9:$D$32,$C$4,'EE Inputs'!$E$9:$E$32,$B264),0,1)))</f>
        <v>0</v>
      </c>
      <c r="BL264" s="72">
        <f ca="1">IF($C$4=Lookups!$D$40,SUM(INDIRECT("'Yr1'!"&amp;ADDRESS(ROW(BL264),COLUMN(BL264))),INDIRECT("'Yr2'!"&amp;ADDRESS(ROW(BL264),COLUMN(BL264))),INDIRECT("'Yr3'!"&amp;ADDRESS(ROW(BL264),COLUMN(BL264)))),
IF(BL249=0,0,-PMT(INDEX(Lookups!$E$17:$G$17,MATCH($C$4,Lookups!$E$14:$G$14,0)),BL249,SUMIFS('EE Inputs'!$K$9:$K$32,'EE Inputs'!$C$9:$C$32,$AM$6,'EE Inputs'!$D$9:$D$32,$C$4,'EE Inputs'!$E$9:$E$32,$B264),0,1)))</f>
        <v>0</v>
      </c>
      <c r="BM264" s="72">
        <f ca="1">IF($C$4=Lookups!$D$40,SUM(INDIRECT("'Yr1'!"&amp;ADDRESS(ROW(BM264),COLUMN(BM264))),INDIRECT("'Yr2'!"&amp;ADDRESS(ROW(BM264),COLUMN(BM264))),INDIRECT("'Yr3'!"&amp;ADDRESS(ROW(BM264),COLUMN(BM264)))),
IF(BM249=0,0,-PMT(INDEX(Lookups!$E$17:$G$17,MATCH($C$4,Lookups!$E$14:$G$14,0)),BM249,SUMIFS('EE Inputs'!$K$9:$K$32,'EE Inputs'!$C$9:$C$32,$AM$6,'EE Inputs'!$D$9:$D$32,$C$4,'EE Inputs'!$E$9:$E$32,$B264),0,1)))</f>
        <v>0</v>
      </c>
      <c r="BN264" s="72"/>
      <c r="BO264" s="72">
        <f ca="1">NPV(Lookups!$E$17,AM264:BM264)</f>
        <v>1327866.0801069324</v>
      </c>
      <c r="BP264" s="72"/>
      <c r="BS264" s="84" t="str">
        <f>"Avoided "&amp;E264&amp;" costs."</f>
        <v>Avoided Gas DRIPE costs.</v>
      </c>
      <c r="BT264" s="51" t="s">
        <v>17</v>
      </c>
    </row>
    <row r="265" spans="1:72" x14ac:dyDescent="0.25">
      <c r="B265" s="243" t="str">
        <f t="shared" ref="B265:C267" si="286">B264</f>
        <v>Large C&amp;I</v>
      </c>
      <c r="C265" s="243" t="str">
        <f t="shared" si="286"/>
        <v>Revenue Requirements</v>
      </c>
      <c r="D265" s="114" t="s">
        <v>165</v>
      </c>
      <c r="E265" s="84"/>
      <c r="F265" s="84"/>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S265" s="84"/>
      <c r="BT265" s="51" t="s">
        <v>17</v>
      </c>
    </row>
    <row r="266" spans="1:72" x14ac:dyDescent="0.25">
      <c r="A266" s="476"/>
      <c r="B266" s="243" t="str">
        <f t="shared" si="286"/>
        <v>Large C&amp;I</v>
      </c>
      <c r="C266" s="243" t="str">
        <f t="shared" si="286"/>
        <v>Revenue Requirements</v>
      </c>
      <c r="D266" s="244" t="str">
        <f>D265</f>
        <v>Increased Costs and Cost Shifting</v>
      </c>
      <c r="E266" s="84" t="s">
        <v>406</v>
      </c>
      <c r="F266" s="84" t="s">
        <v>32</v>
      </c>
      <c r="G266" s="64">
        <f ca="1">IF($C$4=Lookups!$D$40,SUM(INDIRECT("'Yr1'!"&amp;ADDRESS(ROW(G266),COLUMN(G266))),INDIRECT("'Yr2'!"&amp;ADDRESS(ROW(G266),COLUMN(G266))),INDIRECT("'Yr3'!"&amp;ADDRESS(ROW(G266),COLUMN(G266)))),
IF($C$4=G$7,G286*G254,0))</f>
        <v>1472340.1415130887</v>
      </c>
      <c r="H266" s="64">
        <f ca="1">IF($C$4=Lookups!$D$40,SUM(INDIRECT("'Yr1'!"&amp;ADDRESS(ROW(H266),COLUMN(H266))),INDIRECT("'Yr2'!"&amp;ADDRESS(ROW(H266),COLUMN(H266))),INDIRECT("'Yr3'!"&amp;ADDRESS(ROW(H266),COLUMN(H266)))),
IF($C$4=H$7,H286*H254,0))</f>
        <v>1536108.6318140088</v>
      </c>
      <c r="I266" s="64">
        <f ca="1">IF($C$4=Lookups!$D$40,SUM(INDIRECT("'Yr1'!"&amp;ADDRESS(ROW(I266),COLUMN(I266))),INDIRECT("'Yr2'!"&amp;ADDRESS(ROW(I266),COLUMN(I266))),INDIRECT("'Yr3'!"&amp;ADDRESS(ROW(I266),COLUMN(I266)))),
IF($C$4=I$7,I286*I254,0))</f>
        <v>1625220.5044105044</v>
      </c>
      <c r="J266" s="64">
        <f ca="1">IF($C$4=Lookups!$D$40,SUM(INDIRECT("'Yr1'!"&amp;ADDRESS(ROW(J266),COLUMN(J266))),INDIRECT("'Yr2'!"&amp;ADDRESS(ROW(J266),COLUMN(J266))),INDIRECT("'Yr3'!"&amp;ADDRESS(ROW(J266),COLUMN(J266)))),
IF($C$4=J$7,J286*J254,0))</f>
        <v>0</v>
      </c>
      <c r="K266" s="64">
        <f ca="1">IF($C$4=Lookups!$D$40,SUM(INDIRECT("'Yr1'!"&amp;ADDRESS(ROW(K266),COLUMN(K266))),INDIRECT("'Yr2'!"&amp;ADDRESS(ROW(K266),COLUMN(K266))),INDIRECT("'Yr3'!"&amp;ADDRESS(ROW(K266),COLUMN(K266)))),
IF($C$4=K$7,K286*K254,0))</f>
        <v>0</v>
      </c>
      <c r="L266" s="64">
        <f ca="1">IF($C$4=Lookups!$D$40,SUM(INDIRECT("'Yr1'!"&amp;ADDRESS(ROW(L266),COLUMN(L266))),INDIRECT("'Yr2'!"&amp;ADDRESS(ROW(L266),COLUMN(L266))),INDIRECT("'Yr3'!"&amp;ADDRESS(ROW(L266),COLUMN(L266)))),
IF($C$4=L$7,L286*L254,0))</f>
        <v>0</v>
      </c>
      <c r="M266" s="64">
        <f ca="1">IF($C$4=Lookups!$D$40,SUM(INDIRECT("'Yr1'!"&amp;ADDRESS(ROW(M266),COLUMN(M266))),INDIRECT("'Yr2'!"&amp;ADDRESS(ROW(M266),COLUMN(M266))),INDIRECT("'Yr3'!"&amp;ADDRESS(ROW(M266),COLUMN(M266)))),
IF($C$4=M$7,M286*M254,0))</f>
        <v>0</v>
      </c>
      <c r="N266" s="64">
        <f ca="1">IF($C$4=Lookups!$D$40,SUM(INDIRECT("'Yr1'!"&amp;ADDRESS(ROW(N266),COLUMN(N266))),INDIRECT("'Yr2'!"&amp;ADDRESS(ROW(N266),COLUMN(N266))),INDIRECT("'Yr3'!"&amp;ADDRESS(ROW(N266),COLUMN(N266)))),
IF($C$4=N$7,N286*N254,0))</f>
        <v>0</v>
      </c>
      <c r="O266" s="64">
        <f ca="1">IF($C$4=Lookups!$D$40,SUM(INDIRECT("'Yr1'!"&amp;ADDRESS(ROW(O266),COLUMN(O266))),INDIRECT("'Yr2'!"&amp;ADDRESS(ROW(O266),COLUMN(O266))),INDIRECT("'Yr3'!"&amp;ADDRESS(ROW(O266),COLUMN(O266)))),
IF($C$4=O$7,O286*O254,0))</f>
        <v>0</v>
      </c>
      <c r="P266" s="64">
        <f ca="1">IF($C$4=Lookups!$D$40,SUM(INDIRECT("'Yr1'!"&amp;ADDRESS(ROW(P266),COLUMN(P266))),INDIRECT("'Yr2'!"&amp;ADDRESS(ROW(P266),COLUMN(P266))),INDIRECT("'Yr3'!"&amp;ADDRESS(ROW(P266),COLUMN(P266)))),
IF($C$4=P$7,P286*P254,0))</f>
        <v>0</v>
      </c>
      <c r="Q266" s="64">
        <f ca="1">IF($C$4=Lookups!$D$40,SUM(INDIRECT("'Yr1'!"&amp;ADDRESS(ROW(Q266),COLUMN(Q266))),INDIRECT("'Yr2'!"&amp;ADDRESS(ROW(Q266),COLUMN(Q266))),INDIRECT("'Yr3'!"&amp;ADDRESS(ROW(Q266),COLUMN(Q266)))),
IF($C$4=Q$7,Q286*Q254,0))</f>
        <v>0</v>
      </c>
      <c r="R266" s="64">
        <f ca="1">IF($C$4=Lookups!$D$40,SUM(INDIRECT("'Yr1'!"&amp;ADDRESS(ROW(R266),COLUMN(R266))),INDIRECT("'Yr2'!"&amp;ADDRESS(ROW(R266),COLUMN(R266))),INDIRECT("'Yr3'!"&amp;ADDRESS(ROW(R266),COLUMN(R266)))),
IF($C$4=R$7,R286*R254,0))</f>
        <v>0</v>
      </c>
      <c r="S266" s="64">
        <f ca="1">IF($C$4=Lookups!$D$40,SUM(INDIRECT("'Yr1'!"&amp;ADDRESS(ROW(S266),COLUMN(S266))),INDIRECT("'Yr2'!"&amp;ADDRESS(ROW(S266),COLUMN(S266))),INDIRECT("'Yr3'!"&amp;ADDRESS(ROW(S266),COLUMN(S266)))),
IF($C$4=S$7,S286*S254,0))</f>
        <v>0</v>
      </c>
      <c r="T266" s="64">
        <f ca="1">IF($C$4=Lookups!$D$40,SUM(INDIRECT("'Yr1'!"&amp;ADDRESS(ROW(T266),COLUMN(T266))),INDIRECT("'Yr2'!"&amp;ADDRESS(ROW(T266),COLUMN(T266))),INDIRECT("'Yr3'!"&amp;ADDRESS(ROW(T266),COLUMN(T266)))),
IF($C$4=T$7,T286*T254,0))</f>
        <v>0</v>
      </c>
      <c r="U266" s="64">
        <f ca="1">IF($C$4=Lookups!$D$40,SUM(INDIRECT("'Yr1'!"&amp;ADDRESS(ROW(U266),COLUMN(U266))),INDIRECT("'Yr2'!"&amp;ADDRESS(ROW(U266),COLUMN(U266))),INDIRECT("'Yr3'!"&amp;ADDRESS(ROW(U266),COLUMN(U266)))),
IF($C$4=U$7,U286*U254,0))</f>
        <v>0</v>
      </c>
      <c r="V266" s="64">
        <f ca="1">IF($C$4=Lookups!$D$40,SUM(INDIRECT("'Yr1'!"&amp;ADDRESS(ROW(V266),COLUMN(V266))),INDIRECT("'Yr2'!"&amp;ADDRESS(ROW(V266),COLUMN(V266))),INDIRECT("'Yr3'!"&amp;ADDRESS(ROW(V266),COLUMN(V266)))),
IF($C$4=V$7,V286*V254,0))</f>
        <v>0</v>
      </c>
      <c r="W266" s="64">
        <f ca="1">IF($C$4=Lookups!$D$40,SUM(INDIRECT("'Yr1'!"&amp;ADDRESS(ROW(W266),COLUMN(W266))),INDIRECT("'Yr2'!"&amp;ADDRESS(ROW(W266),COLUMN(W266))),INDIRECT("'Yr3'!"&amp;ADDRESS(ROW(W266),COLUMN(W266)))),
IF($C$4=W$7,W286*W254,0))</f>
        <v>0</v>
      </c>
      <c r="X266" s="64">
        <f ca="1">IF($C$4=Lookups!$D$40,SUM(INDIRECT("'Yr1'!"&amp;ADDRESS(ROW(X266),COLUMN(X266))),INDIRECT("'Yr2'!"&amp;ADDRESS(ROW(X266),COLUMN(X266))),INDIRECT("'Yr3'!"&amp;ADDRESS(ROW(X266),COLUMN(X266)))),
IF($C$4=X$7,X286*X254,0))</f>
        <v>0</v>
      </c>
      <c r="Y266" s="64">
        <f ca="1">IF($C$4=Lookups!$D$40,SUM(INDIRECT("'Yr1'!"&amp;ADDRESS(ROW(Y266),COLUMN(Y266))),INDIRECT("'Yr2'!"&amp;ADDRESS(ROW(Y266),COLUMN(Y266))),INDIRECT("'Yr3'!"&amp;ADDRESS(ROW(Y266),COLUMN(Y266)))),
IF($C$4=Y$7,Y286*Y254,0))</f>
        <v>0</v>
      </c>
      <c r="Z266" s="64">
        <f ca="1">IF($C$4=Lookups!$D$40,SUM(INDIRECT("'Yr1'!"&amp;ADDRESS(ROW(Z266),COLUMN(Z266))),INDIRECT("'Yr2'!"&amp;ADDRESS(ROW(Z266),COLUMN(Z266))),INDIRECT("'Yr3'!"&amp;ADDRESS(ROW(Z266),COLUMN(Z266)))),
IF($C$4=Z$7,Z286*Z254,0))</f>
        <v>0</v>
      </c>
      <c r="AA266" s="64">
        <f ca="1">IF($C$4=Lookups!$D$40,SUM(INDIRECT("'Yr1'!"&amp;ADDRESS(ROW(AA266),COLUMN(AA266))),INDIRECT("'Yr2'!"&amp;ADDRESS(ROW(AA266),COLUMN(AA266))),INDIRECT("'Yr3'!"&amp;ADDRESS(ROW(AA266),COLUMN(AA266)))),
IF($C$4=AA$7,AA286*AA254,0))</f>
        <v>0</v>
      </c>
      <c r="AB266" s="64">
        <f ca="1">IF($C$4=Lookups!$D$40,SUM(INDIRECT("'Yr1'!"&amp;ADDRESS(ROW(AB266),COLUMN(AB266))),INDIRECT("'Yr2'!"&amp;ADDRESS(ROW(AB266),COLUMN(AB266))),INDIRECT("'Yr3'!"&amp;ADDRESS(ROW(AB266),COLUMN(AB266)))),
IF($C$4=AB$7,AB286*AB254,0))</f>
        <v>0</v>
      </c>
      <c r="AC266" s="64">
        <f ca="1">IF($C$4=Lookups!$D$40,SUM(INDIRECT("'Yr1'!"&amp;ADDRESS(ROW(AC266),COLUMN(AC266))),INDIRECT("'Yr2'!"&amp;ADDRESS(ROW(AC266),COLUMN(AC266))),INDIRECT("'Yr3'!"&amp;ADDRESS(ROW(AC266),COLUMN(AC266)))),
IF($C$4=AC$7,AC286*AC254,0))</f>
        <v>0</v>
      </c>
      <c r="AD266" s="64">
        <f ca="1">IF($C$4=Lookups!$D$40,SUM(INDIRECT("'Yr1'!"&amp;ADDRESS(ROW(AD266),COLUMN(AD266))),INDIRECT("'Yr2'!"&amp;ADDRESS(ROW(AD266),COLUMN(AD266))),INDIRECT("'Yr3'!"&amp;ADDRESS(ROW(AD266),COLUMN(AD266)))),
IF($C$4=AD$7,AD286*AD254,0))</f>
        <v>0</v>
      </c>
      <c r="AE266" s="64">
        <f ca="1">IF($C$4=Lookups!$D$40,SUM(INDIRECT("'Yr1'!"&amp;ADDRESS(ROW(AE266),COLUMN(AE266))),INDIRECT("'Yr2'!"&amp;ADDRESS(ROW(AE266),COLUMN(AE266))),INDIRECT("'Yr3'!"&amp;ADDRESS(ROW(AE266),COLUMN(AE266)))),
IF($C$4=AE$7,AE286*AE254,0))</f>
        <v>0</v>
      </c>
      <c r="AF266" s="64">
        <f ca="1">IF($C$4=Lookups!$D$40,SUM(INDIRECT("'Yr1'!"&amp;ADDRESS(ROW(AF266),COLUMN(AF266))),INDIRECT("'Yr2'!"&amp;ADDRESS(ROW(AF266),COLUMN(AF266))),INDIRECT("'Yr3'!"&amp;ADDRESS(ROW(AF266),COLUMN(AF266)))),
IF($C$4=AF$7,AF286*AF254,0))</f>
        <v>0</v>
      </c>
      <c r="AG266" s="64">
        <f ca="1">IF($C$4=Lookups!$D$40,SUM(INDIRECT("'Yr1'!"&amp;ADDRESS(ROW(AG266),COLUMN(AG266))),INDIRECT("'Yr2'!"&amp;ADDRESS(ROW(AG266),COLUMN(AG266))),INDIRECT("'Yr3'!"&amp;ADDRESS(ROW(AG266),COLUMN(AG266)))),
IF($C$4=AG$7,AG286*AG254,0))</f>
        <v>0</v>
      </c>
      <c r="AH266" s="49"/>
      <c r="AI266" s="64">
        <f ca="1">NPV(Lookups!$E$17,G266:AG266)</f>
        <v>4503530.7692401921</v>
      </c>
      <c r="AJ266" s="65"/>
      <c r="AM266" s="71">
        <f ca="1">IF($C$4=Lookups!$D$40,SUM(INDIRECT("'Yr1'!"&amp;ADDRESS(ROW(AM266),COLUMN(AM266))),INDIRECT("'Yr2'!"&amp;ADDRESS(ROW(AM266),COLUMN(AM266))),INDIRECT("'Yr3'!"&amp;ADDRESS(ROW(AM266),COLUMN(AM266)))),
IF($C$4=AM$7,AM286*AM254,0))</f>
        <v>1744152.0008703598</v>
      </c>
      <c r="AN266" s="71">
        <f ca="1">IF($C$4=Lookups!$D$40,SUM(INDIRECT("'Yr1'!"&amp;ADDRESS(ROW(AN266),COLUMN(AN266))),INDIRECT("'Yr2'!"&amp;ADDRESS(ROW(AN266),COLUMN(AN266))),INDIRECT("'Yr3'!"&amp;ADDRESS(ROW(AN266),COLUMN(AN266)))),
IF($C$4=AN$7,AN286*AN254,0))</f>
        <v>1818444.0910149699</v>
      </c>
      <c r="AO266" s="71">
        <f ca="1">IF($C$4=Lookups!$D$40,SUM(INDIRECT("'Yr1'!"&amp;ADDRESS(ROW(AO266),COLUMN(AO266))),INDIRECT("'Yr2'!"&amp;ADDRESS(ROW(AO266),COLUMN(AO266))),INDIRECT("'Yr3'!"&amp;ADDRESS(ROW(AO266),COLUMN(AO266)))),
IF($C$4=AO$7,AO286*AO254,0))</f>
        <v>1922346.3573562426</v>
      </c>
      <c r="AP266" s="71">
        <f ca="1">IF($C$4=Lookups!$D$40,SUM(INDIRECT("'Yr1'!"&amp;ADDRESS(ROW(AP266),COLUMN(AP266))),INDIRECT("'Yr2'!"&amp;ADDRESS(ROW(AP266),COLUMN(AP266))),INDIRECT("'Yr3'!"&amp;ADDRESS(ROW(AP266),COLUMN(AP266)))),
IF($C$4=AP$7,AP286*AP254,0))</f>
        <v>0</v>
      </c>
      <c r="AQ266" s="71">
        <f ca="1">IF($C$4=Lookups!$D$40,SUM(INDIRECT("'Yr1'!"&amp;ADDRESS(ROW(AQ266),COLUMN(AQ266))),INDIRECT("'Yr2'!"&amp;ADDRESS(ROW(AQ266),COLUMN(AQ266))),INDIRECT("'Yr3'!"&amp;ADDRESS(ROW(AQ266),COLUMN(AQ266)))),
IF($C$4=AQ$7,AQ286*AQ254,0))</f>
        <v>0</v>
      </c>
      <c r="AR266" s="71">
        <f ca="1">IF($C$4=Lookups!$D$40,SUM(INDIRECT("'Yr1'!"&amp;ADDRESS(ROW(AR266),COLUMN(AR266))),INDIRECT("'Yr2'!"&amp;ADDRESS(ROW(AR266),COLUMN(AR266))),INDIRECT("'Yr3'!"&amp;ADDRESS(ROW(AR266),COLUMN(AR266)))),
IF($C$4=AR$7,AR286*AR254,0))</f>
        <v>0</v>
      </c>
      <c r="AS266" s="71">
        <f ca="1">IF($C$4=Lookups!$D$40,SUM(INDIRECT("'Yr1'!"&amp;ADDRESS(ROW(AS266),COLUMN(AS266))),INDIRECT("'Yr2'!"&amp;ADDRESS(ROW(AS266),COLUMN(AS266))),INDIRECT("'Yr3'!"&amp;ADDRESS(ROW(AS266),COLUMN(AS266)))),
IF($C$4=AS$7,AS286*AS254,0))</f>
        <v>0</v>
      </c>
      <c r="AT266" s="71">
        <f ca="1">IF($C$4=Lookups!$D$40,SUM(INDIRECT("'Yr1'!"&amp;ADDRESS(ROW(AT266),COLUMN(AT266))),INDIRECT("'Yr2'!"&amp;ADDRESS(ROW(AT266),COLUMN(AT266))),INDIRECT("'Yr3'!"&amp;ADDRESS(ROW(AT266),COLUMN(AT266)))),
IF($C$4=AT$7,AT286*AT254,0))</f>
        <v>0</v>
      </c>
      <c r="AU266" s="71">
        <f ca="1">IF($C$4=Lookups!$D$40,SUM(INDIRECT("'Yr1'!"&amp;ADDRESS(ROW(AU266),COLUMN(AU266))),INDIRECT("'Yr2'!"&amp;ADDRESS(ROW(AU266),COLUMN(AU266))),INDIRECT("'Yr3'!"&amp;ADDRESS(ROW(AU266),COLUMN(AU266)))),
IF($C$4=AU$7,AU286*AU254,0))</f>
        <v>0</v>
      </c>
      <c r="AV266" s="71">
        <f ca="1">IF($C$4=Lookups!$D$40,SUM(INDIRECT("'Yr1'!"&amp;ADDRESS(ROW(AV266),COLUMN(AV266))),INDIRECT("'Yr2'!"&amp;ADDRESS(ROW(AV266),COLUMN(AV266))),INDIRECT("'Yr3'!"&amp;ADDRESS(ROW(AV266),COLUMN(AV266)))),
IF($C$4=AV$7,AV286*AV254,0))</f>
        <v>0</v>
      </c>
      <c r="AW266" s="71">
        <f ca="1">IF($C$4=Lookups!$D$40,SUM(INDIRECT("'Yr1'!"&amp;ADDRESS(ROW(AW266),COLUMN(AW266))),INDIRECT("'Yr2'!"&amp;ADDRESS(ROW(AW266),COLUMN(AW266))),INDIRECT("'Yr3'!"&amp;ADDRESS(ROW(AW266),COLUMN(AW266)))),
IF($C$4=AW$7,AW286*AW254,0))</f>
        <v>0</v>
      </c>
      <c r="AX266" s="71">
        <f ca="1">IF($C$4=Lookups!$D$40,SUM(INDIRECT("'Yr1'!"&amp;ADDRESS(ROW(AX266),COLUMN(AX266))),INDIRECT("'Yr2'!"&amp;ADDRESS(ROW(AX266),COLUMN(AX266))),INDIRECT("'Yr3'!"&amp;ADDRESS(ROW(AX266),COLUMN(AX266)))),
IF($C$4=AX$7,AX286*AX254,0))</f>
        <v>0</v>
      </c>
      <c r="AY266" s="71">
        <f ca="1">IF($C$4=Lookups!$D$40,SUM(INDIRECT("'Yr1'!"&amp;ADDRESS(ROW(AY266),COLUMN(AY266))),INDIRECT("'Yr2'!"&amp;ADDRESS(ROW(AY266),COLUMN(AY266))),INDIRECT("'Yr3'!"&amp;ADDRESS(ROW(AY266),COLUMN(AY266)))),
IF($C$4=AY$7,AY286*AY254,0))</f>
        <v>0</v>
      </c>
      <c r="AZ266" s="71">
        <f ca="1">IF($C$4=Lookups!$D$40,SUM(INDIRECT("'Yr1'!"&amp;ADDRESS(ROW(AZ266),COLUMN(AZ266))),INDIRECT("'Yr2'!"&amp;ADDRESS(ROW(AZ266),COLUMN(AZ266))),INDIRECT("'Yr3'!"&amp;ADDRESS(ROW(AZ266),COLUMN(AZ266)))),
IF($C$4=AZ$7,AZ286*AZ254,0))</f>
        <v>0</v>
      </c>
      <c r="BA266" s="71">
        <f ca="1">IF($C$4=Lookups!$D$40,SUM(INDIRECT("'Yr1'!"&amp;ADDRESS(ROW(BA266),COLUMN(BA266))),INDIRECT("'Yr2'!"&amp;ADDRESS(ROW(BA266),COLUMN(BA266))),INDIRECT("'Yr3'!"&amp;ADDRESS(ROW(BA266),COLUMN(BA266)))),
IF($C$4=BA$7,BA286*BA254,0))</f>
        <v>0</v>
      </c>
      <c r="BB266" s="71">
        <f ca="1">IF($C$4=Lookups!$D$40,SUM(INDIRECT("'Yr1'!"&amp;ADDRESS(ROW(BB266),COLUMN(BB266))),INDIRECT("'Yr2'!"&amp;ADDRESS(ROW(BB266),COLUMN(BB266))),INDIRECT("'Yr3'!"&amp;ADDRESS(ROW(BB266),COLUMN(BB266)))),
IF($C$4=BB$7,BB286*BB254,0))</f>
        <v>0</v>
      </c>
      <c r="BC266" s="71">
        <f ca="1">IF($C$4=Lookups!$D$40,SUM(INDIRECT("'Yr1'!"&amp;ADDRESS(ROW(BC266),COLUMN(BC266))),INDIRECT("'Yr2'!"&amp;ADDRESS(ROW(BC266),COLUMN(BC266))),INDIRECT("'Yr3'!"&amp;ADDRESS(ROW(BC266),COLUMN(BC266)))),
IF($C$4=BC$7,BC286*BC254,0))</f>
        <v>0</v>
      </c>
      <c r="BD266" s="71">
        <f ca="1">IF($C$4=Lookups!$D$40,SUM(INDIRECT("'Yr1'!"&amp;ADDRESS(ROW(BD266),COLUMN(BD266))),INDIRECT("'Yr2'!"&amp;ADDRESS(ROW(BD266),COLUMN(BD266))),INDIRECT("'Yr3'!"&amp;ADDRESS(ROW(BD266),COLUMN(BD266)))),
IF($C$4=BD$7,BD286*BD254,0))</f>
        <v>0</v>
      </c>
      <c r="BE266" s="71">
        <f ca="1">IF($C$4=Lookups!$D$40,SUM(INDIRECT("'Yr1'!"&amp;ADDRESS(ROW(BE266),COLUMN(BE266))),INDIRECT("'Yr2'!"&amp;ADDRESS(ROW(BE266),COLUMN(BE266))),INDIRECT("'Yr3'!"&amp;ADDRESS(ROW(BE266),COLUMN(BE266)))),
IF($C$4=BE$7,BE286*BE254,0))</f>
        <v>0</v>
      </c>
      <c r="BF266" s="71">
        <f ca="1">IF($C$4=Lookups!$D$40,SUM(INDIRECT("'Yr1'!"&amp;ADDRESS(ROW(BF266),COLUMN(BF266))),INDIRECT("'Yr2'!"&amp;ADDRESS(ROW(BF266),COLUMN(BF266))),INDIRECT("'Yr3'!"&amp;ADDRESS(ROW(BF266),COLUMN(BF266)))),
IF($C$4=BF$7,BF286*BF254,0))</f>
        <v>0</v>
      </c>
      <c r="BG266" s="71">
        <f ca="1">IF($C$4=Lookups!$D$40,SUM(INDIRECT("'Yr1'!"&amp;ADDRESS(ROW(BG266),COLUMN(BG266))),INDIRECT("'Yr2'!"&amp;ADDRESS(ROW(BG266),COLUMN(BG266))),INDIRECT("'Yr3'!"&amp;ADDRESS(ROW(BG266),COLUMN(BG266)))),
IF($C$4=BG$7,BG286*BG254,0))</f>
        <v>0</v>
      </c>
      <c r="BH266" s="71">
        <f ca="1">IF($C$4=Lookups!$D$40,SUM(INDIRECT("'Yr1'!"&amp;ADDRESS(ROW(BH266),COLUMN(BH266))),INDIRECT("'Yr2'!"&amp;ADDRESS(ROW(BH266),COLUMN(BH266))),INDIRECT("'Yr3'!"&amp;ADDRESS(ROW(BH266),COLUMN(BH266)))),
IF($C$4=BH$7,BH286*BH254,0))</f>
        <v>0</v>
      </c>
      <c r="BI266" s="71">
        <f ca="1">IF($C$4=Lookups!$D$40,SUM(INDIRECT("'Yr1'!"&amp;ADDRESS(ROW(BI266),COLUMN(BI266))),INDIRECT("'Yr2'!"&amp;ADDRESS(ROW(BI266),COLUMN(BI266))),INDIRECT("'Yr3'!"&amp;ADDRESS(ROW(BI266),COLUMN(BI266)))),
IF($C$4=BI$7,BI286*BI254,0))</f>
        <v>0</v>
      </c>
      <c r="BJ266" s="71">
        <f ca="1">IF($C$4=Lookups!$D$40,SUM(INDIRECT("'Yr1'!"&amp;ADDRESS(ROW(BJ266),COLUMN(BJ266))),INDIRECT("'Yr2'!"&amp;ADDRESS(ROW(BJ266),COLUMN(BJ266))),INDIRECT("'Yr3'!"&amp;ADDRESS(ROW(BJ266),COLUMN(BJ266)))),
IF($C$4=BJ$7,BJ286*BJ254,0))</f>
        <v>0</v>
      </c>
      <c r="BK266" s="71">
        <f ca="1">IF($C$4=Lookups!$D$40,SUM(INDIRECT("'Yr1'!"&amp;ADDRESS(ROW(BK266),COLUMN(BK266))),INDIRECT("'Yr2'!"&amp;ADDRESS(ROW(BK266),COLUMN(BK266))),INDIRECT("'Yr3'!"&amp;ADDRESS(ROW(BK266),COLUMN(BK266)))),
IF($C$4=BK$7,BK286*BK254,0))</f>
        <v>0</v>
      </c>
      <c r="BL266" s="71">
        <f ca="1">IF($C$4=Lookups!$D$40,SUM(INDIRECT("'Yr1'!"&amp;ADDRESS(ROW(BL266),COLUMN(BL266))),INDIRECT("'Yr2'!"&amp;ADDRESS(ROW(BL266),COLUMN(BL266))),INDIRECT("'Yr3'!"&amp;ADDRESS(ROW(BL266),COLUMN(BL266)))),
IF($C$4=BL$7,BL286*BL254,0))</f>
        <v>0</v>
      </c>
      <c r="BM266" s="71">
        <f ca="1">IF($C$4=Lookups!$D$40,SUM(INDIRECT("'Yr1'!"&amp;ADDRESS(ROW(BM266),COLUMN(BM266))),INDIRECT("'Yr2'!"&amp;ADDRESS(ROW(BM266),COLUMN(BM266))),INDIRECT("'Yr3'!"&amp;ADDRESS(ROW(BM266),COLUMN(BM266)))),
IF($C$4=BM$7,BM286*BM254,0))</f>
        <v>0</v>
      </c>
      <c r="BN266" s="71"/>
      <c r="BO266" s="71">
        <f ca="1">NPV(Lookups!$E$17,AM266:BM266)</f>
        <v>5330933.4314353559</v>
      </c>
      <c r="BP266" s="72"/>
      <c r="BS266" s="84" t="str">
        <f>E266&amp;" rate multiplied by After DSM sales."</f>
        <v>LDAC, EE Only rate multiplied by After DSM sales.</v>
      </c>
      <c r="BT266" s="51" t="s">
        <v>17</v>
      </c>
    </row>
    <row r="267" spans="1:72" x14ac:dyDescent="0.25">
      <c r="A267" s="476"/>
      <c r="B267" s="243" t="str">
        <f t="shared" si="286"/>
        <v>Large C&amp;I</v>
      </c>
      <c r="C267" s="243" t="str">
        <f t="shared" si="286"/>
        <v>Revenue Requirements</v>
      </c>
      <c r="D267" s="244" t="str">
        <f>D266</f>
        <v>Increased Costs and Cost Shifting</v>
      </c>
      <c r="E267" s="86" t="s">
        <v>198</v>
      </c>
      <c r="F267" s="84" t="s">
        <v>32</v>
      </c>
      <c r="G267" s="64">
        <f ca="1">IF($C$4=Lookups!$D$40,SUM(INDIRECT("'Yr1'!"&amp;ADDRESS(ROW(G267),COLUMN(G267))),INDIRECT("'Yr2'!"&amp;ADDRESS(ROW(G267),COLUMN(G267))),INDIRECT("'Yr3'!"&amp;ADDRESS(ROW(G267),COLUMN(G267)))),
G287*G254)</f>
        <v>106280.74701567134</v>
      </c>
      <c r="H267" s="64">
        <f ca="1">IF($C$4=Lookups!$D$40,SUM(INDIRECT("'Yr1'!"&amp;ADDRESS(ROW(H267),COLUMN(H267))),INDIRECT("'Yr2'!"&amp;ADDRESS(ROW(H267),COLUMN(H267))),INDIRECT("'Yr3'!"&amp;ADDRESS(ROW(H267),COLUMN(H267)))),
H287*H254)</f>
        <v>217525.23292736823</v>
      </c>
      <c r="I267" s="64">
        <f ca="1">IF($C$4=Lookups!$D$40,SUM(INDIRECT("'Yr1'!"&amp;ADDRESS(ROW(I267),COLUMN(I267))),INDIRECT("'Yr2'!"&amp;ADDRESS(ROW(I267),COLUMN(I267))),INDIRECT("'Yr3'!"&amp;ADDRESS(ROW(I267),COLUMN(I267)))),
I287*I254)</f>
        <v>334661.41106720257</v>
      </c>
      <c r="J267" s="64">
        <f ca="1">IF($C$4=Lookups!$D$40,SUM(INDIRECT("'Yr1'!"&amp;ADDRESS(ROW(J267),COLUMN(J267))),INDIRECT("'Yr2'!"&amp;ADDRESS(ROW(J267),COLUMN(J267))),INDIRECT("'Yr3'!"&amp;ADDRESS(ROW(J267),COLUMN(J267)))),
J287*J254)</f>
        <v>334661.41106720257</v>
      </c>
      <c r="K267" s="64">
        <f ca="1">IF($C$4=Lookups!$D$40,SUM(INDIRECT("'Yr1'!"&amp;ADDRESS(ROW(K267),COLUMN(K267))),INDIRECT("'Yr2'!"&amp;ADDRESS(ROW(K267),COLUMN(K267))),INDIRECT("'Yr3'!"&amp;ADDRESS(ROW(K267),COLUMN(K267)))),
K287*K254)</f>
        <v>334661.41106720257</v>
      </c>
      <c r="L267" s="64">
        <f ca="1">IF($C$4=Lookups!$D$40,SUM(INDIRECT("'Yr1'!"&amp;ADDRESS(ROW(L267),COLUMN(L267))),INDIRECT("'Yr2'!"&amp;ADDRESS(ROW(L267),COLUMN(L267))),INDIRECT("'Yr3'!"&amp;ADDRESS(ROW(L267),COLUMN(L267)))),
L287*L254)</f>
        <v>334661.41106720257</v>
      </c>
      <c r="M267" s="64">
        <f ca="1">IF($C$4=Lookups!$D$40,SUM(INDIRECT("'Yr1'!"&amp;ADDRESS(ROW(M267),COLUMN(M267))),INDIRECT("'Yr2'!"&amp;ADDRESS(ROW(M267),COLUMN(M267))),INDIRECT("'Yr3'!"&amp;ADDRESS(ROW(M267),COLUMN(M267)))),
M287*M254)</f>
        <v>334661.41106720257</v>
      </c>
      <c r="N267" s="64">
        <f ca="1">IF($C$4=Lookups!$D$40,SUM(INDIRECT("'Yr1'!"&amp;ADDRESS(ROW(N267),COLUMN(N267))),INDIRECT("'Yr2'!"&amp;ADDRESS(ROW(N267),COLUMN(N267))),INDIRECT("'Yr3'!"&amp;ADDRESS(ROW(N267),COLUMN(N267)))),
N287*N254)</f>
        <v>334661.41106720257</v>
      </c>
      <c r="O267" s="64">
        <f ca="1">IF($C$4=Lookups!$D$40,SUM(INDIRECT("'Yr1'!"&amp;ADDRESS(ROW(O267),COLUMN(O267))),INDIRECT("'Yr2'!"&amp;ADDRESS(ROW(O267),COLUMN(O267))),INDIRECT("'Yr3'!"&amp;ADDRESS(ROW(O267),COLUMN(O267)))),
O287*O254)</f>
        <v>334661.41106720257</v>
      </c>
      <c r="P267" s="64">
        <f ca="1">IF($C$4=Lookups!$D$40,SUM(INDIRECT("'Yr1'!"&amp;ADDRESS(ROW(P267),COLUMN(P267))),INDIRECT("'Yr2'!"&amp;ADDRESS(ROW(P267),COLUMN(P267))),INDIRECT("'Yr3'!"&amp;ADDRESS(ROW(P267),COLUMN(P267)))),
P287*P254)</f>
        <v>334661.41106720257</v>
      </c>
      <c r="Q267" s="64">
        <f ca="1">IF($C$4=Lookups!$D$40,SUM(INDIRECT("'Yr1'!"&amp;ADDRESS(ROW(Q267),COLUMN(Q267))),INDIRECT("'Yr2'!"&amp;ADDRESS(ROW(Q267),COLUMN(Q267))),INDIRECT("'Yr3'!"&amp;ADDRESS(ROW(Q267),COLUMN(Q267)))),
Q287*Q254)</f>
        <v>334661.41106720257</v>
      </c>
      <c r="R267" s="64">
        <f ca="1">IF($C$4=Lookups!$D$40,SUM(INDIRECT("'Yr1'!"&amp;ADDRESS(ROW(R267),COLUMN(R267))),INDIRECT("'Yr2'!"&amp;ADDRESS(ROW(R267),COLUMN(R267))),INDIRECT("'Yr3'!"&amp;ADDRESS(ROW(R267),COLUMN(R267)))),
R287*R254)</f>
        <v>334661.41106720257</v>
      </c>
      <c r="S267" s="64">
        <f ca="1">IF($C$4=Lookups!$D$40,SUM(INDIRECT("'Yr1'!"&amp;ADDRESS(ROW(S267),COLUMN(S267))),INDIRECT("'Yr2'!"&amp;ADDRESS(ROW(S267),COLUMN(S267))),INDIRECT("'Yr3'!"&amp;ADDRESS(ROW(S267),COLUMN(S267)))),
S287*S254)</f>
        <v>334661.41106720257</v>
      </c>
      <c r="T267" s="64">
        <f ca="1">IF($C$4=Lookups!$D$40,SUM(INDIRECT("'Yr1'!"&amp;ADDRESS(ROW(T267),COLUMN(T267))),INDIRECT("'Yr2'!"&amp;ADDRESS(ROW(T267),COLUMN(T267))),INDIRECT("'Yr3'!"&amp;ADDRESS(ROW(T267),COLUMN(T267)))),
T287*T254)</f>
        <v>228380.66405153123</v>
      </c>
      <c r="U267" s="64">
        <f ca="1">IF($C$4=Lookups!$D$40,SUM(INDIRECT("'Yr1'!"&amp;ADDRESS(ROW(U267),COLUMN(U267))),INDIRECT("'Yr2'!"&amp;ADDRESS(ROW(U267),COLUMN(U267))),INDIRECT("'Yr3'!"&amp;ADDRESS(ROW(U267),COLUMN(U267)))),
U287*U254)</f>
        <v>117136.17813983433</v>
      </c>
      <c r="V267" s="64">
        <f ca="1">IF($C$4=Lookups!$D$40,SUM(INDIRECT("'Yr1'!"&amp;ADDRESS(ROW(V267),COLUMN(V267))),INDIRECT("'Yr2'!"&amp;ADDRESS(ROW(V267),COLUMN(V267))),INDIRECT("'Yr3'!"&amp;ADDRESS(ROW(V267),COLUMN(V267)))),
V287*V254)</f>
        <v>0</v>
      </c>
      <c r="W267" s="64">
        <f ca="1">IF($C$4=Lookups!$D$40,SUM(INDIRECT("'Yr1'!"&amp;ADDRESS(ROW(W267),COLUMN(W267))),INDIRECT("'Yr2'!"&amp;ADDRESS(ROW(W267),COLUMN(W267))),INDIRECT("'Yr3'!"&amp;ADDRESS(ROW(W267),COLUMN(W267)))),
W287*W254)</f>
        <v>0</v>
      </c>
      <c r="X267" s="64">
        <f ca="1">IF($C$4=Lookups!$D$40,SUM(INDIRECT("'Yr1'!"&amp;ADDRESS(ROW(X267),COLUMN(X267))),INDIRECT("'Yr2'!"&amp;ADDRESS(ROW(X267),COLUMN(X267))),INDIRECT("'Yr3'!"&amp;ADDRESS(ROW(X267),COLUMN(X267)))),
X287*X254)</f>
        <v>0</v>
      </c>
      <c r="Y267" s="64">
        <f ca="1">IF($C$4=Lookups!$D$40,SUM(INDIRECT("'Yr1'!"&amp;ADDRESS(ROW(Y267),COLUMN(Y267))),INDIRECT("'Yr2'!"&amp;ADDRESS(ROW(Y267),COLUMN(Y267))),INDIRECT("'Yr3'!"&amp;ADDRESS(ROW(Y267),COLUMN(Y267)))),
Y287*Y254)</f>
        <v>0</v>
      </c>
      <c r="Z267" s="64">
        <f ca="1">IF($C$4=Lookups!$D$40,SUM(INDIRECT("'Yr1'!"&amp;ADDRESS(ROW(Z267),COLUMN(Z267))),INDIRECT("'Yr2'!"&amp;ADDRESS(ROW(Z267),COLUMN(Z267))),INDIRECT("'Yr3'!"&amp;ADDRESS(ROW(Z267),COLUMN(Z267)))),
Z287*Z254)</f>
        <v>0</v>
      </c>
      <c r="AA267" s="64">
        <f ca="1">IF($C$4=Lookups!$D$40,SUM(INDIRECT("'Yr1'!"&amp;ADDRESS(ROW(AA267),COLUMN(AA267))),INDIRECT("'Yr2'!"&amp;ADDRESS(ROW(AA267),COLUMN(AA267))),INDIRECT("'Yr3'!"&amp;ADDRESS(ROW(AA267),COLUMN(AA267)))),
AA287*AA254)</f>
        <v>0</v>
      </c>
      <c r="AB267" s="64">
        <f ca="1">IF($C$4=Lookups!$D$40,SUM(INDIRECT("'Yr1'!"&amp;ADDRESS(ROW(AB267),COLUMN(AB267))),INDIRECT("'Yr2'!"&amp;ADDRESS(ROW(AB267),COLUMN(AB267))),INDIRECT("'Yr3'!"&amp;ADDRESS(ROW(AB267),COLUMN(AB267)))),
AB287*AB254)</f>
        <v>0</v>
      </c>
      <c r="AC267" s="64">
        <f ca="1">IF($C$4=Lookups!$D$40,SUM(INDIRECT("'Yr1'!"&amp;ADDRESS(ROW(AC267),COLUMN(AC267))),INDIRECT("'Yr2'!"&amp;ADDRESS(ROW(AC267),COLUMN(AC267))),INDIRECT("'Yr3'!"&amp;ADDRESS(ROW(AC267),COLUMN(AC267)))),
AC287*AC254)</f>
        <v>0</v>
      </c>
      <c r="AD267" s="64">
        <f ca="1">IF($C$4=Lookups!$D$40,SUM(INDIRECT("'Yr1'!"&amp;ADDRESS(ROW(AD267),COLUMN(AD267))),INDIRECT("'Yr2'!"&amp;ADDRESS(ROW(AD267),COLUMN(AD267))),INDIRECT("'Yr3'!"&amp;ADDRESS(ROW(AD267),COLUMN(AD267)))),
AD287*AD254)</f>
        <v>0</v>
      </c>
      <c r="AE267" s="64">
        <f ca="1">IF($C$4=Lookups!$D$40,SUM(INDIRECT("'Yr1'!"&amp;ADDRESS(ROW(AE267),COLUMN(AE267))),INDIRECT("'Yr2'!"&amp;ADDRESS(ROW(AE267),COLUMN(AE267))),INDIRECT("'Yr3'!"&amp;ADDRESS(ROW(AE267),COLUMN(AE267)))),
AE287*AE254)</f>
        <v>0</v>
      </c>
      <c r="AF267" s="64">
        <f ca="1">IF($C$4=Lookups!$D$40,SUM(INDIRECT("'Yr1'!"&amp;ADDRESS(ROW(AF267),COLUMN(AF267))),INDIRECT("'Yr2'!"&amp;ADDRESS(ROW(AF267),COLUMN(AF267))),INDIRECT("'Yr3'!"&amp;ADDRESS(ROW(AF267),COLUMN(AF267)))),
AF287*AF254)</f>
        <v>0</v>
      </c>
      <c r="AG267" s="64">
        <f ca="1">IF($C$4=Lookups!$D$40,SUM(INDIRECT("'Yr1'!"&amp;ADDRESS(ROW(AG267),COLUMN(AG267))),INDIRECT("'Yr2'!"&amp;ADDRESS(ROW(AG267),COLUMN(AG267))),INDIRECT("'Yr3'!"&amp;ADDRESS(ROW(AG267),COLUMN(AG267)))),
AG287*AG254)</f>
        <v>0</v>
      </c>
      <c r="AH267" s="49"/>
      <c r="AI267" s="64">
        <f ca="1">NPV(Lookups!$E$17,G267:AG267)</f>
        <v>3892084.1614397909</v>
      </c>
      <c r="AJ267" s="65"/>
      <c r="AM267" s="71">
        <f ca="1">IF($C$4=Lookups!$D$40,SUM(INDIRECT("'Yr1'!"&amp;ADDRESS(ROW(AM267),COLUMN(AM267))),INDIRECT("'Yr2'!"&amp;ADDRESS(ROW(AM267),COLUMN(AM267))),INDIRECT("'Yr3'!"&amp;ADDRESS(ROW(AM267),COLUMN(AM267)))),
AM287*AM254)</f>
        <v>120927.05313075487</v>
      </c>
      <c r="AN267" s="71">
        <f ca="1">IF($C$4=Lookups!$D$40,SUM(INDIRECT("'Yr1'!"&amp;ADDRESS(ROW(AN267),COLUMN(AN267))),INDIRECT("'Yr2'!"&amp;ADDRESS(ROW(AN267),COLUMN(AN267))),INDIRECT("'Yr3'!"&amp;ADDRESS(ROW(AN267),COLUMN(AN267)))),
AN287*AN254)</f>
        <v>247473.85245258419</v>
      </c>
      <c r="AO267" s="71">
        <f ca="1">IF($C$4=Lookups!$D$40,SUM(INDIRECT("'Yr1'!"&amp;ADDRESS(ROW(AO267),COLUMN(AO267))),INDIRECT("'Yr2'!"&amp;ADDRESS(ROW(AO267),COLUMN(AO267))),INDIRECT("'Yr3'!"&amp;ADDRESS(ROW(AO267),COLUMN(AO267)))),
AO287*AO254)</f>
        <v>380687.77231928904</v>
      </c>
      <c r="AP267" s="71">
        <f ca="1">IF($C$4=Lookups!$D$40,SUM(INDIRECT("'Yr1'!"&amp;ADDRESS(ROW(AP267),COLUMN(AP267))),INDIRECT("'Yr2'!"&amp;ADDRESS(ROW(AP267),COLUMN(AP267))),INDIRECT("'Yr3'!"&amp;ADDRESS(ROW(AP267),COLUMN(AP267)))),
AP287*AP254)</f>
        <v>380687.77231928904</v>
      </c>
      <c r="AQ267" s="71">
        <f ca="1">IF($C$4=Lookups!$D$40,SUM(INDIRECT("'Yr1'!"&amp;ADDRESS(ROW(AQ267),COLUMN(AQ267))),INDIRECT("'Yr2'!"&amp;ADDRESS(ROW(AQ267),COLUMN(AQ267))),INDIRECT("'Yr3'!"&amp;ADDRESS(ROW(AQ267),COLUMN(AQ267)))),
AQ287*AQ254)</f>
        <v>380687.77231928904</v>
      </c>
      <c r="AR267" s="71">
        <f ca="1">IF($C$4=Lookups!$D$40,SUM(INDIRECT("'Yr1'!"&amp;ADDRESS(ROW(AR267),COLUMN(AR267))),INDIRECT("'Yr2'!"&amp;ADDRESS(ROW(AR267),COLUMN(AR267))),INDIRECT("'Yr3'!"&amp;ADDRESS(ROW(AR267),COLUMN(AR267)))),
AR287*AR254)</f>
        <v>380687.77231928904</v>
      </c>
      <c r="AS267" s="71">
        <f ca="1">IF($C$4=Lookups!$D$40,SUM(INDIRECT("'Yr1'!"&amp;ADDRESS(ROW(AS267),COLUMN(AS267))),INDIRECT("'Yr2'!"&amp;ADDRESS(ROW(AS267),COLUMN(AS267))),INDIRECT("'Yr3'!"&amp;ADDRESS(ROW(AS267),COLUMN(AS267)))),
AS287*AS254)</f>
        <v>380687.77231928904</v>
      </c>
      <c r="AT267" s="71">
        <f ca="1">IF($C$4=Lookups!$D$40,SUM(INDIRECT("'Yr1'!"&amp;ADDRESS(ROW(AT267),COLUMN(AT267))),INDIRECT("'Yr2'!"&amp;ADDRESS(ROW(AT267),COLUMN(AT267))),INDIRECT("'Yr3'!"&amp;ADDRESS(ROW(AT267),COLUMN(AT267)))),
AT287*AT254)</f>
        <v>380687.77231928904</v>
      </c>
      <c r="AU267" s="71">
        <f ca="1">IF($C$4=Lookups!$D$40,SUM(INDIRECT("'Yr1'!"&amp;ADDRESS(ROW(AU267),COLUMN(AU267))),INDIRECT("'Yr2'!"&amp;ADDRESS(ROW(AU267),COLUMN(AU267))),INDIRECT("'Yr3'!"&amp;ADDRESS(ROW(AU267),COLUMN(AU267)))),
AU287*AU254)</f>
        <v>380687.77231928904</v>
      </c>
      <c r="AV267" s="71">
        <f ca="1">IF($C$4=Lookups!$D$40,SUM(INDIRECT("'Yr1'!"&amp;ADDRESS(ROW(AV267),COLUMN(AV267))),INDIRECT("'Yr2'!"&amp;ADDRESS(ROW(AV267),COLUMN(AV267))),INDIRECT("'Yr3'!"&amp;ADDRESS(ROW(AV267),COLUMN(AV267)))),
AV287*AV254)</f>
        <v>380687.77231928904</v>
      </c>
      <c r="AW267" s="71">
        <f ca="1">IF($C$4=Lookups!$D$40,SUM(INDIRECT("'Yr1'!"&amp;ADDRESS(ROW(AW267),COLUMN(AW267))),INDIRECT("'Yr2'!"&amp;ADDRESS(ROW(AW267),COLUMN(AW267))),INDIRECT("'Yr3'!"&amp;ADDRESS(ROW(AW267),COLUMN(AW267)))),
AW287*AW254)</f>
        <v>380687.77231928904</v>
      </c>
      <c r="AX267" s="71">
        <f ca="1">IF($C$4=Lookups!$D$40,SUM(INDIRECT("'Yr1'!"&amp;ADDRESS(ROW(AX267),COLUMN(AX267))),INDIRECT("'Yr2'!"&amp;ADDRESS(ROW(AX267),COLUMN(AX267))),INDIRECT("'Yr3'!"&amp;ADDRESS(ROW(AX267),COLUMN(AX267)))),
AX287*AX254)</f>
        <v>380687.77231928904</v>
      </c>
      <c r="AY267" s="71">
        <f ca="1">IF($C$4=Lookups!$D$40,SUM(INDIRECT("'Yr1'!"&amp;ADDRESS(ROW(AY267),COLUMN(AY267))),INDIRECT("'Yr2'!"&amp;ADDRESS(ROW(AY267),COLUMN(AY267))),INDIRECT("'Yr3'!"&amp;ADDRESS(ROW(AY267),COLUMN(AY267)))),
AY287*AY254)</f>
        <v>380687.77231928904</v>
      </c>
      <c r="AZ267" s="71">
        <f ca="1">IF($C$4=Lookups!$D$40,SUM(INDIRECT("'Yr1'!"&amp;ADDRESS(ROW(AZ267),COLUMN(AZ267))),INDIRECT("'Yr2'!"&amp;ADDRESS(ROW(AZ267),COLUMN(AZ267))),INDIRECT("'Yr3'!"&amp;ADDRESS(ROW(AZ267),COLUMN(AZ267)))),
AZ287*AZ254)</f>
        <v>259760.71918853419</v>
      </c>
      <c r="BA267" s="71">
        <f ca="1">IF($C$4=Lookups!$D$40,SUM(INDIRECT("'Yr1'!"&amp;ADDRESS(ROW(BA267),COLUMN(BA267))),INDIRECT("'Yr2'!"&amp;ADDRESS(ROW(BA267),COLUMN(BA267))),INDIRECT("'Yr3'!"&amp;ADDRESS(ROW(BA267),COLUMN(BA267)))),
BA287*BA254)</f>
        <v>133213.91986670485</v>
      </c>
      <c r="BB267" s="71">
        <f ca="1">IF($C$4=Lookups!$D$40,SUM(INDIRECT("'Yr1'!"&amp;ADDRESS(ROW(BB267),COLUMN(BB267))),INDIRECT("'Yr2'!"&amp;ADDRESS(ROW(BB267),COLUMN(BB267))),INDIRECT("'Yr3'!"&amp;ADDRESS(ROW(BB267),COLUMN(BB267)))),
BB287*BB254)</f>
        <v>0</v>
      </c>
      <c r="BC267" s="71">
        <f ca="1">IF($C$4=Lookups!$D$40,SUM(INDIRECT("'Yr1'!"&amp;ADDRESS(ROW(BC267),COLUMN(BC267))),INDIRECT("'Yr2'!"&amp;ADDRESS(ROW(BC267),COLUMN(BC267))),INDIRECT("'Yr3'!"&amp;ADDRESS(ROW(BC267),COLUMN(BC267)))),
BC287*BC254)</f>
        <v>0</v>
      </c>
      <c r="BD267" s="71">
        <f ca="1">IF($C$4=Lookups!$D$40,SUM(INDIRECT("'Yr1'!"&amp;ADDRESS(ROW(BD267),COLUMN(BD267))),INDIRECT("'Yr2'!"&amp;ADDRESS(ROW(BD267),COLUMN(BD267))),INDIRECT("'Yr3'!"&amp;ADDRESS(ROW(BD267),COLUMN(BD267)))),
BD287*BD254)</f>
        <v>0</v>
      </c>
      <c r="BE267" s="71">
        <f ca="1">IF($C$4=Lookups!$D$40,SUM(INDIRECT("'Yr1'!"&amp;ADDRESS(ROW(BE267),COLUMN(BE267))),INDIRECT("'Yr2'!"&amp;ADDRESS(ROW(BE267),COLUMN(BE267))),INDIRECT("'Yr3'!"&amp;ADDRESS(ROW(BE267),COLUMN(BE267)))),
BE287*BE254)</f>
        <v>0</v>
      </c>
      <c r="BF267" s="71">
        <f ca="1">IF($C$4=Lookups!$D$40,SUM(INDIRECT("'Yr1'!"&amp;ADDRESS(ROW(BF267),COLUMN(BF267))),INDIRECT("'Yr2'!"&amp;ADDRESS(ROW(BF267),COLUMN(BF267))),INDIRECT("'Yr3'!"&amp;ADDRESS(ROW(BF267),COLUMN(BF267)))),
BF287*BF254)</f>
        <v>0</v>
      </c>
      <c r="BG267" s="71">
        <f ca="1">IF($C$4=Lookups!$D$40,SUM(INDIRECT("'Yr1'!"&amp;ADDRESS(ROW(BG267),COLUMN(BG267))),INDIRECT("'Yr2'!"&amp;ADDRESS(ROW(BG267),COLUMN(BG267))),INDIRECT("'Yr3'!"&amp;ADDRESS(ROW(BG267),COLUMN(BG267)))),
BG287*BG254)</f>
        <v>0</v>
      </c>
      <c r="BH267" s="71">
        <f ca="1">IF($C$4=Lookups!$D$40,SUM(INDIRECT("'Yr1'!"&amp;ADDRESS(ROW(BH267),COLUMN(BH267))),INDIRECT("'Yr2'!"&amp;ADDRESS(ROW(BH267),COLUMN(BH267))),INDIRECT("'Yr3'!"&amp;ADDRESS(ROW(BH267),COLUMN(BH267)))),
BH287*BH254)</f>
        <v>0</v>
      </c>
      <c r="BI267" s="71">
        <f ca="1">IF($C$4=Lookups!$D$40,SUM(INDIRECT("'Yr1'!"&amp;ADDRESS(ROW(BI267),COLUMN(BI267))),INDIRECT("'Yr2'!"&amp;ADDRESS(ROW(BI267),COLUMN(BI267))),INDIRECT("'Yr3'!"&amp;ADDRESS(ROW(BI267),COLUMN(BI267)))),
BI287*BI254)</f>
        <v>0</v>
      </c>
      <c r="BJ267" s="71">
        <f ca="1">IF($C$4=Lookups!$D$40,SUM(INDIRECT("'Yr1'!"&amp;ADDRESS(ROW(BJ267),COLUMN(BJ267))),INDIRECT("'Yr2'!"&amp;ADDRESS(ROW(BJ267),COLUMN(BJ267))),INDIRECT("'Yr3'!"&amp;ADDRESS(ROW(BJ267),COLUMN(BJ267)))),
BJ287*BJ254)</f>
        <v>0</v>
      </c>
      <c r="BK267" s="71">
        <f ca="1">IF($C$4=Lookups!$D$40,SUM(INDIRECT("'Yr1'!"&amp;ADDRESS(ROW(BK267),COLUMN(BK267))),INDIRECT("'Yr2'!"&amp;ADDRESS(ROW(BK267),COLUMN(BK267))),INDIRECT("'Yr3'!"&amp;ADDRESS(ROW(BK267),COLUMN(BK267)))),
BK287*BK254)</f>
        <v>0</v>
      </c>
      <c r="BL267" s="71">
        <f ca="1">IF($C$4=Lookups!$D$40,SUM(INDIRECT("'Yr1'!"&amp;ADDRESS(ROW(BL267),COLUMN(BL267))),INDIRECT("'Yr2'!"&amp;ADDRESS(ROW(BL267),COLUMN(BL267))),INDIRECT("'Yr3'!"&amp;ADDRESS(ROW(BL267),COLUMN(BL267)))),
BL287*BL254)</f>
        <v>0</v>
      </c>
      <c r="BM267" s="71">
        <f ca="1">IF($C$4=Lookups!$D$40,SUM(INDIRECT("'Yr1'!"&amp;ADDRESS(ROW(BM267),COLUMN(BM267))),INDIRECT("'Yr2'!"&amp;ADDRESS(ROW(BM267),COLUMN(BM267))),INDIRECT("'Yr3'!"&amp;ADDRESS(ROW(BM267),COLUMN(BM267)))),
BM287*BM254)</f>
        <v>0</v>
      </c>
      <c r="BN267" s="71"/>
      <c r="BO267" s="71">
        <f ca="1">NPV(Lookups!$E$17,AM267:BM267)</f>
        <v>4427376.9356698012</v>
      </c>
      <c r="BP267" s="72"/>
      <c r="BS267" s="84" t="str">
        <f>E267&amp;" rate multiplied by After DSM sales."</f>
        <v>Distribution Lost Revenue rate multiplied by After DSM sales.</v>
      </c>
      <c r="BT267" s="51" t="s">
        <v>17</v>
      </c>
    </row>
    <row r="268" spans="1:72" x14ac:dyDescent="0.25">
      <c r="B268" s="243" t="str">
        <f>B266</f>
        <v>Large C&amp;I</v>
      </c>
      <c r="C268" s="243" t="str">
        <f>C266</f>
        <v>Revenue Requirements</v>
      </c>
      <c r="D268" s="114" t="s">
        <v>125</v>
      </c>
      <c r="E268" s="84"/>
      <c r="F268" s="84"/>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S268" s="84"/>
      <c r="BT268" s="51" t="s">
        <v>17</v>
      </c>
    </row>
    <row r="269" spans="1:72" x14ac:dyDescent="0.25">
      <c r="A269" s="1"/>
      <c r="B269" s="243" t="str">
        <f t="shared" ref="B269:C270" si="287">B268</f>
        <v>Large C&amp;I</v>
      </c>
      <c r="C269" s="243" t="str">
        <f t="shared" si="287"/>
        <v>Revenue Requirements</v>
      </c>
      <c r="D269" s="244" t="str">
        <f>D268</f>
        <v>Revenue Requirement after DSM Scenario</v>
      </c>
      <c r="E269" s="84" t="s">
        <v>26</v>
      </c>
      <c r="F269" s="84" t="s">
        <v>32</v>
      </c>
      <c r="G269" s="64">
        <f ca="1">G258-G263</f>
        <v>1290301.9579045365</v>
      </c>
      <c r="H269" s="64">
        <f t="shared" ref="H269:AG269" ca="1" si="288">H258-H263</f>
        <v>1248466.7840989011</v>
      </c>
      <c r="I269" s="64">
        <f t="shared" ca="1" si="288"/>
        <v>1204351.4203637061</v>
      </c>
      <c r="J269" s="64">
        <f t="shared" ca="1" si="288"/>
        <v>1204351.4203637061</v>
      </c>
      <c r="K269" s="64">
        <f t="shared" ca="1" si="288"/>
        <v>1204351.4203637061</v>
      </c>
      <c r="L269" s="64">
        <f t="shared" ca="1" si="288"/>
        <v>1204351.4203637061</v>
      </c>
      <c r="M269" s="64">
        <f t="shared" ca="1" si="288"/>
        <v>1204351.4203637061</v>
      </c>
      <c r="N269" s="64">
        <f t="shared" ca="1" si="288"/>
        <v>1204351.4203637061</v>
      </c>
      <c r="O269" s="64">
        <f t="shared" ca="1" si="288"/>
        <v>1204351.4203637061</v>
      </c>
      <c r="P269" s="64">
        <f t="shared" ca="1" si="288"/>
        <v>1204351.4203637061</v>
      </c>
      <c r="Q269" s="64">
        <f t="shared" ca="1" si="288"/>
        <v>1204351.4203637061</v>
      </c>
      <c r="R269" s="64">
        <f t="shared" ca="1" si="288"/>
        <v>1204351.4203637061</v>
      </c>
      <c r="S269" s="64">
        <f t="shared" ca="1" si="288"/>
        <v>1204351.4203637061</v>
      </c>
      <c r="T269" s="64">
        <f t="shared" ca="1" si="288"/>
        <v>1244257.6090716668</v>
      </c>
      <c r="U269" s="64">
        <f t="shared" ca="1" si="288"/>
        <v>1286092.7828773025</v>
      </c>
      <c r="V269" s="64">
        <f t="shared" ca="1" si="288"/>
        <v>1330208.1466124975</v>
      </c>
      <c r="W269" s="64">
        <f t="shared" ca="1" si="288"/>
        <v>1330208.1466124975</v>
      </c>
      <c r="X269" s="64">
        <f t="shared" ca="1" si="288"/>
        <v>1330208.1466124975</v>
      </c>
      <c r="Y269" s="64">
        <f t="shared" ca="1" si="288"/>
        <v>1330208.1466124975</v>
      </c>
      <c r="Z269" s="64">
        <f t="shared" ca="1" si="288"/>
        <v>1330208.1466124975</v>
      </c>
      <c r="AA269" s="64">
        <f t="shared" ca="1" si="288"/>
        <v>1330208.1466124975</v>
      </c>
      <c r="AB269" s="64">
        <f t="shared" ca="1" si="288"/>
        <v>1330208.1466124975</v>
      </c>
      <c r="AC269" s="64">
        <f t="shared" ca="1" si="288"/>
        <v>1330208.1466124975</v>
      </c>
      <c r="AD269" s="64">
        <f t="shared" ca="1" si="288"/>
        <v>1330208.1466124975</v>
      </c>
      <c r="AE269" s="64">
        <f t="shared" ca="1" si="288"/>
        <v>1330208.1466124975</v>
      </c>
      <c r="AF269" s="64">
        <f t="shared" ca="1" si="288"/>
        <v>1330208.1466124975</v>
      </c>
      <c r="AG269" s="64">
        <f t="shared" ca="1" si="288"/>
        <v>1330208.1466124975</v>
      </c>
      <c r="AH269" s="64"/>
      <c r="AI269" s="64">
        <f ca="1">NPV(Lookups!$E$17,G269:AG269)</f>
        <v>28217701.696577813</v>
      </c>
      <c r="AJ269" s="64"/>
      <c r="AM269" s="71">
        <f ca="1">AM258-AM263</f>
        <v>1284601.0738033992</v>
      </c>
      <c r="AN269" s="71">
        <f t="shared" ref="AN269:BM269" ca="1" si="289">AN258-AN263</f>
        <v>1236789.4465969589</v>
      </c>
      <c r="AO269" s="71">
        <f t="shared" ca="1" si="289"/>
        <v>1186371.8880424502</v>
      </c>
      <c r="AP269" s="71">
        <f t="shared" ca="1" si="289"/>
        <v>1186371.8880424502</v>
      </c>
      <c r="AQ269" s="71">
        <f t="shared" ca="1" si="289"/>
        <v>1186371.8880424502</v>
      </c>
      <c r="AR269" s="71">
        <f t="shared" ca="1" si="289"/>
        <v>1186371.8880424502</v>
      </c>
      <c r="AS269" s="71">
        <f t="shared" ca="1" si="289"/>
        <v>1186371.8880424502</v>
      </c>
      <c r="AT269" s="71">
        <f t="shared" ca="1" si="289"/>
        <v>1186371.8880424502</v>
      </c>
      <c r="AU269" s="71">
        <f t="shared" ca="1" si="289"/>
        <v>1186371.8880424502</v>
      </c>
      <c r="AV269" s="71">
        <f t="shared" ca="1" si="289"/>
        <v>1186371.8880424502</v>
      </c>
      <c r="AW269" s="71">
        <f t="shared" ca="1" si="289"/>
        <v>1186371.8880424502</v>
      </c>
      <c r="AX269" s="71">
        <f t="shared" ca="1" si="289"/>
        <v>1186371.8880424502</v>
      </c>
      <c r="AY269" s="71">
        <f t="shared" ca="1" si="289"/>
        <v>1186371.8880424502</v>
      </c>
      <c r="AZ269" s="71">
        <f t="shared" ca="1" si="289"/>
        <v>1231978.9608515482</v>
      </c>
      <c r="BA269" s="71">
        <f t="shared" ca="1" si="289"/>
        <v>1279790.5880579888</v>
      </c>
      <c r="BB269" s="71">
        <f t="shared" ca="1" si="289"/>
        <v>1330208.1466124975</v>
      </c>
      <c r="BC269" s="71">
        <f t="shared" ca="1" si="289"/>
        <v>1330208.1466124975</v>
      </c>
      <c r="BD269" s="71">
        <f t="shared" ca="1" si="289"/>
        <v>1330208.1466124975</v>
      </c>
      <c r="BE269" s="71">
        <f t="shared" ca="1" si="289"/>
        <v>1330208.1466124975</v>
      </c>
      <c r="BF269" s="71">
        <f t="shared" ca="1" si="289"/>
        <v>1330208.1466124975</v>
      </c>
      <c r="BG269" s="71">
        <f t="shared" ca="1" si="289"/>
        <v>1330208.1466124975</v>
      </c>
      <c r="BH269" s="71">
        <f t="shared" ca="1" si="289"/>
        <v>1330208.1466124975</v>
      </c>
      <c r="BI269" s="71">
        <f t="shared" ca="1" si="289"/>
        <v>1330208.1466124975</v>
      </c>
      <c r="BJ269" s="71">
        <f t="shared" ca="1" si="289"/>
        <v>1330208.1466124975</v>
      </c>
      <c r="BK269" s="71">
        <f t="shared" ca="1" si="289"/>
        <v>1330208.1466124975</v>
      </c>
      <c r="BL269" s="71">
        <f t="shared" ca="1" si="289"/>
        <v>1330208.1466124975</v>
      </c>
      <c r="BM269" s="71">
        <f t="shared" ca="1" si="289"/>
        <v>1330208.1466124975</v>
      </c>
      <c r="BN269" s="71"/>
      <c r="BO269" s="71">
        <f ca="1">NPV(Lookups!$E$17,AM269:BM269)</f>
        <v>28008604.20146038</v>
      </c>
      <c r="BP269" s="71"/>
      <c r="BS269" s="84" t="s">
        <v>229</v>
      </c>
      <c r="BT269" s="51" t="s">
        <v>17</v>
      </c>
    </row>
    <row r="270" spans="1:72" x14ac:dyDescent="0.25">
      <c r="A270" s="1"/>
      <c r="B270" s="243" t="str">
        <f t="shared" si="287"/>
        <v>Large C&amp;I</v>
      </c>
      <c r="C270" s="243" t="str">
        <f t="shared" si="287"/>
        <v>Revenue Requirements</v>
      </c>
      <c r="D270" s="244" t="str">
        <f>D269</f>
        <v>Revenue Requirement after DSM Scenario</v>
      </c>
      <c r="E270" s="84" t="s">
        <v>407</v>
      </c>
      <c r="F270" s="84" t="s">
        <v>32</v>
      </c>
      <c r="G270" s="64">
        <f>G259</f>
        <v>58569.706709441074</v>
      </c>
      <c r="H270" s="64">
        <f t="shared" ref="H270:AG270" si="290">H259</f>
        <v>58569.706709441074</v>
      </c>
      <c r="I270" s="64">
        <f t="shared" si="290"/>
        <v>58569.706709441074</v>
      </c>
      <c r="J270" s="64">
        <f t="shared" si="290"/>
        <v>58569.706709441074</v>
      </c>
      <c r="K270" s="64">
        <f t="shared" si="290"/>
        <v>58569.706709441074</v>
      </c>
      <c r="L270" s="64">
        <f t="shared" si="290"/>
        <v>58569.706709441074</v>
      </c>
      <c r="M270" s="64">
        <f t="shared" si="290"/>
        <v>58569.706709441074</v>
      </c>
      <c r="N270" s="64">
        <f t="shared" si="290"/>
        <v>58569.706709441074</v>
      </c>
      <c r="O270" s="64">
        <f t="shared" si="290"/>
        <v>58569.706709441074</v>
      </c>
      <c r="P270" s="64">
        <f t="shared" si="290"/>
        <v>58569.706709441074</v>
      </c>
      <c r="Q270" s="64">
        <f t="shared" si="290"/>
        <v>58569.706709441074</v>
      </c>
      <c r="R270" s="64">
        <f t="shared" si="290"/>
        <v>58569.706709441074</v>
      </c>
      <c r="S270" s="64">
        <f t="shared" si="290"/>
        <v>58569.706709441074</v>
      </c>
      <c r="T270" s="64">
        <f t="shared" si="290"/>
        <v>58569.706709441074</v>
      </c>
      <c r="U270" s="64">
        <f t="shared" si="290"/>
        <v>58569.706709441074</v>
      </c>
      <c r="V270" s="64">
        <f t="shared" si="290"/>
        <v>58569.706709441074</v>
      </c>
      <c r="W270" s="64">
        <f t="shared" si="290"/>
        <v>58569.706709441074</v>
      </c>
      <c r="X270" s="64">
        <f t="shared" si="290"/>
        <v>58569.706709441074</v>
      </c>
      <c r="Y270" s="64">
        <f t="shared" si="290"/>
        <v>58569.706709441074</v>
      </c>
      <c r="Z270" s="64">
        <f t="shared" si="290"/>
        <v>58569.706709441074</v>
      </c>
      <c r="AA270" s="64">
        <f t="shared" si="290"/>
        <v>58569.706709441074</v>
      </c>
      <c r="AB270" s="64">
        <f t="shared" si="290"/>
        <v>58569.706709441074</v>
      </c>
      <c r="AC270" s="64">
        <f t="shared" si="290"/>
        <v>58569.706709441074</v>
      </c>
      <c r="AD270" s="64">
        <f t="shared" si="290"/>
        <v>58569.706709441074</v>
      </c>
      <c r="AE270" s="64">
        <f t="shared" si="290"/>
        <v>58569.706709441074</v>
      </c>
      <c r="AF270" s="64">
        <f t="shared" si="290"/>
        <v>58569.706709441074</v>
      </c>
      <c r="AG270" s="64">
        <f t="shared" si="290"/>
        <v>58569.706709441074</v>
      </c>
      <c r="AH270" s="64"/>
      <c r="AI270" s="64">
        <f>NPV(Lookups!$E$17,G270:AG270)</f>
        <v>1306885.6701480052</v>
      </c>
      <c r="AJ270" s="64"/>
      <c r="AM270" s="71">
        <f>AM259</f>
        <v>58569.706709441074</v>
      </c>
      <c r="AN270" s="71">
        <f t="shared" ref="AN270:BM270" si="291">AN259</f>
        <v>58569.706709441074</v>
      </c>
      <c r="AO270" s="71">
        <f t="shared" si="291"/>
        <v>58569.706709441074</v>
      </c>
      <c r="AP270" s="71">
        <f t="shared" si="291"/>
        <v>58569.706709441074</v>
      </c>
      <c r="AQ270" s="71">
        <f t="shared" si="291"/>
        <v>58569.706709441074</v>
      </c>
      <c r="AR270" s="71">
        <f t="shared" si="291"/>
        <v>58569.706709441074</v>
      </c>
      <c r="AS270" s="71">
        <f t="shared" si="291"/>
        <v>58569.706709441074</v>
      </c>
      <c r="AT270" s="71">
        <f t="shared" si="291"/>
        <v>58569.706709441074</v>
      </c>
      <c r="AU270" s="71">
        <f t="shared" si="291"/>
        <v>58569.706709441074</v>
      </c>
      <c r="AV270" s="71">
        <f t="shared" si="291"/>
        <v>58569.706709441074</v>
      </c>
      <c r="AW270" s="71">
        <f t="shared" si="291"/>
        <v>58569.706709441074</v>
      </c>
      <c r="AX270" s="71">
        <f t="shared" si="291"/>
        <v>58569.706709441074</v>
      </c>
      <c r="AY270" s="71">
        <f t="shared" si="291"/>
        <v>58569.706709441074</v>
      </c>
      <c r="AZ270" s="71">
        <f t="shared" si="291"/>
        <v>58569.706709441074</v>
      </c>
      <c r="BA270" s="71">
        <f t="shared" si="291"/>
        <v>58569.706709441074</v>
      </c>
      <c r="BB270" s="71">
        <f t="shared" si="291"/>
        <v>58569.706709441074</v>
      </c>
      <c r="BC270" s="71">
        <f t="shared" si="291"/>
        <v>58569.706709441074</v>
      </c>
      <c r="BD270" s="71">
        <f t="shared" si="291"/>
        <v>58569.706709441074</v>
      </c>
      <c r="BE270" s="71">
        <f t="shared" si="291"/>
        <v>58569.706709441074</v>
      </c>
      <c r="BF270" s="71">
        <f t="shared" si="291"/>
        <v>58569.706709441074</v>
      </c>
      <c r="BG270" s="71">
        <f t="shared" si="291"/>
        <v>58569.706709441074</v>
      </c>
      <c r="BH270" s="71">
        <f t="shared" si="291"/>
        <v>58569.706709441074</v>
      </c>
      <c r="BI270" s="71">
        <f t="shared" si="291"/>
        <v>58569.706709441074</v>
      </c>
      <c r="BJ270" s="71">
        <f t="shared" si="291"/>
        <v>58569.706709441074</v>
      </c>
      <c r="BK270" s="71">
        <f t="shared" si="291"/>
        <v>58569.706709441074</v>
      </c>
      <c r="BL270" s="71">
        <f t="shared" si="291"/>
        <v>58569.706709441074</v>
      </c>
      <c r="BM270" s="71">
        <f t="shared" si="291"/>
        <v>58569.706709441074</v>
      </c>
      <c r="BN270" s="71"/>
      <c r="BO270" s="71">
        <f>NPV(Lookups!$E$17,AM270:BM270)</f>
        <v>1306885.6701480052</v>
      </c>
      <c r="BP270" s="71"/>
      <c r="BS270" s="84" t="s">
        <v>230</v>
      </c>
      <c r="BT270" s="51" t="s">
        <v>17</v>
      </c>
    </row>
    <row r="271" spans="1:72" x14ac:dyDescent="0.25">
      <c r="A271" s="1"/>
      <c r="B271" s="243" t="str">
        <f>B269</f>
        <v>Large C&amp;I</v>
      </c>
      <c r="C271" s="243" t="str">
        <f>C269</f>
        <v>Revenue Requirements</v>
      </c>
      <c r="D271" s="244" t="str">
        <f>D269</f>
        <v>Revenue Requirement after DSM Scenario</v>
      </c>
      <c r="E271" s="84" t="s">
        <v>197</v>
      </c>
      <c r="F271" s="84" t="s">
        <v>32</v>
      </c>
      <c r="G271" s="64">
        <f ca="1">G260-G262-G264</f>
        <v>6355055.8949684314</v>
      </c>
      <c r="H271" s="64">
        <f t="shared" ref="H271:AG271" ca="1" si="292">H260-H262-H264</f>
        <v>5708218.473632264</v>
      </c>
      <c r="I271" s="64">
        <f t="shared" ca="1" si="292"/>
        <v>5026244.3645659136</v>
      </c>
      <c r="J271" s="64">
        <f t="shared" ca="1" si="292"/>
        <v>5026244.3645659136</v>
      </c>
      <c r="K271" s="64">
        <f t="shared" ca="1" si="292"/>
        <v>5026244.3645659136</v>
      </c>
      <c r="L271" s="64">
        <f t="shared" ca="1" si="292"/>
        <v>5026244.3645659136</v>
      </c>
      <c r="M271" s="64">
        <f t="shared" ca="1" si="292"/>
        <v>5026244.3645659136</v>
      </c>
      <c r="N271" s="64">
        <f t="shared" ca="1" si="292"/>
        <v>5026244.3645659136</v>
      </c>
      <c r="O271" s="64">
        <f t="shared" ca="1" si="292"/>
        <v>5026244.3645659136</v>
      </c>
      <c r="P271" s="64">
        <f t="shared" ca="1" si="292"/>
        <v>5026244.3645659136</v>
      </c>
      <c r="Q271" s="64">
        <f t="shared" ca="1" si="292"/>
        <v>5026244.3645659136</v>
      </c>
      <c r="R271" s="64">
        <f t="shared" ca="1" si="292"/>
        <v>5026244.3645659136</v>
      </c>
      <c r="S271" s="64">
        <f t="shared" ca="1" si="292"/>
        <v>5026244.3645659136</v>
      </c>
      <c r="T271" s="64">
        <f t="shared" ca="1" si="292"/>
        <v>5643236.2490482526</v>
      </c>
      <c r="U271" s="64">
        <f t="shared" ca="1" si="292"/>
        <v>6290073.6703844201</v>
      </c>
      <c r="V271" s="64">
        <f t="shared" ca="1" si="292"/>
        <v>6972047.7794507705</v>
      </c>
      <c r="W271" s="64">
        <f t="shared" ca="1" si="292"/>
        <v>6972047.7794507705</v>
      </c>
      <c r="X271" s="64">
        <f t="shared" ca="1" si="292"/>
        <v>6972047.7794507705</v>
      </c>
      <c r="Y271" s="64">
        <f t="shared" ca="1" si="292"/>
        <v>6972047.7794507705</v>
      </c>
      <c r="Z271" s="64">
        <f t="shared" ca="1" si="292"/>
        <v>6972047.7794507705</v>
      </c>
      <c r="AA271" s="64">
        <f t="shared" ca="1" si="292"/>
        <v>6972047.7794507705</v>
      </c>
      <c r="AB271" s="64">
        <f t="shared" ca="1" si="292"/>
        <v>6972047.7794507705</v>
      </c>
      <c r="AC271" s="64">
        <f t="shared" ca="1" si="292"/>
        <v>6972047.7794507705</v>
      </c>
      <c r="AD271" s="64">
        <f t="shared" ca="1" si="292"/>
        <v>6972047.7794507705</v>
      </c>
      <c r="AE271" s="64">
        <f t="shared" ca="1" si="292"/>
        <v>6972047.7794507705</v>
      </c>
      <c r="AF271" s="64">
        <f t="shared" ca="1" si="292"/>
        <v>6972047.7794507705</v>
      </c>
      <c r="AG271" s="64">
        <f t="shared" ca="1" si="292"/>
        <v>6972047.7794507705</v>
      </c>
      <c r="AH271" s="64"/>
      <c r="AI271" s="64">
        <f ca="1">NPV(Lookups!$E$17,G271:AG271)</f>
        <v>132940433.92892946</v>
      </c>
      <c r="AJ271" s="64"/>
      <c r="AM271" s="71">
        <f ca="1">AM260-AM262-AM264</f>
        <v>6266914.1971852398</v>
      </c>
      <c r="AN271" s="71">
        <f t="shared" ref="AN271:BM271" ca="1" si="293">AN260-AN262-AN264</f>
        <v>5527671.4299439052</v>
      </c>
      <c r="AO271" s="71">
        <f t="shared" ca="1" si="293"/>
        <v>4748272.4481537919</v>
      </c>
      <c r="AP271" s="71">
        <f t="shared" ca="1" si="293"/>
        <v>4748272.4481537919</v>
      </c>
      <c r="AQ271" s="71">
        <f t="shared" ca="1" si="293"/>
        <v>4748272.4481537919</v>
      </c>
      <c r="AR271" s="71">
        <f t="shared" ca="1" si="293"/>
        <v>4748272.4481537919</v>
      </c>
      <c r="AS271" s="71">
        <f t="shared" ca="1" si="293"/>
        <v>4748272.4481537919</v>
      </c>
      <c r="AT271" s="71">
        <f t="shared" ca="1" si="293"/>
        <v>4748272.4481537919</v>
      </c>
      <c r="AU271" s="71">
        <f t="shared" ca="1" si="293"/>
        <v>4748272.4481537919</v>
      </c>
      <c r="AV271" s="71">
        <f t="shared" ca="1" si="293"/>
        <v>4748272.4481537919</v>
      </c>
      <c r="AW271" s="71">
        <f t="shared" ca="1" si="293"/>
        <v>4748272.4481537919</v>
      </c>
      <c r="AX271" s="71">
        <f t="shared" ca="1" si="293"/>
        <v>4748272.4481537919</v>
      </c>
      <c r="AY271" s="71">
        <f t="shared" ca="1" si="293"/>
        <v>4748272.4481537919</v>
      </c>
      <c r="AZ271" s="71">
        <f t="shared" ca="1" si="293"/>
        <v>5453406.0304193217</v>
      </c>
      <c r="BA271" s="71">
        <f t="shared" ca="1" si="293"/>
        <v>6192648.7976606563</v>
      </c>
      <c r="BB271" s="71">
        <f t="shared" ca="1" si="293"/>
        <v>6972047.7794507705</v>
      </c>
      <c r="BC271" s="71">
        <f t="shared" ca="1" si="293"/>
        <v>6972047.7794507705</v>
      </c>
      <c r="BD271" s="71">
        <f t="shared" ca="1" si="293"/>
        <v>6972047.7794507705</v>
      </c>
      <c r="BE271" s="71">
        <f t="shared" ca="1" si="293"/>
        <v>6972047.7794507705</v>
      </c>
      <c r="BF271" s="71">
        <f t="shared" ca="1" si="293"/>
        <v>6972047.7794507705</v>
      </c>
      <c r="BG271" s="71">
        <f t="shared" ca="1" si="293"/>
        <v>6972047.7794507705</v>
      </c>
      <c r="BH271" s="71">
        <f t="shared" ca="1" si="293"/>
        <v>6972047.7794507705</v>
      </c>
      <c r="BI271" s="71">
        <f t="shared" ca="1" si="293"/>
        <v>6972047.7794507705</v>
      </c>
      <c r="BJ271" s="71">
        <f t="shared" ca="1" si="293"/>
        <v>6972047.7794507705</v>
      </c>
      <c r="BK271" s="71">
        <f t="shared" ca="1" si="293"/>
        <v>6972047.7794507705</v>
      </c>
      <c r="BL271" s="71">
        <f t="shared" ca="1" si="293"/>
        <v>6972047.7794507705</v>
      </c>
      <c r="BM271" s="71">
        <f t="shared" ca="1" si="293"/>
        <v>6972047.7794507705</v>
      </c>
      <c r="BN271" s="71"/>
      <c r="BO271" s="71">
        <f ca="1">NPV(Lookups!$E$17,AM271:BM271)</f>
        <v>129707687.40719374</v>
      </c>
      <c r="BP271" s="71"/>
      <c r="BS271" s="84" t="s">
        <v>231</v>
      </c>
      <c r="BT271" s="51" t="s">
        <v>17</v>
      </c>
    </row>
    <row r="272" spans="1:72" x14ac:dyDescent="0.25">
      <c r="B272" s="243" t="str">
        <f t="shared" ref="B272:C276" si="294">B271</f>
        <v>Large C&amp;I</v>
      </c>
      <c r="C272" s="243" t="str">
        <f t="shared" si="294"/>
        <v>Revenue Requirements</v>
      </c>
      <c r="D272" s="244"/>
      <c r="E272" s="84" t="s">
        <v>17</v>
      </c>
      <c r="F272" s="84"/>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S272" s="84"/>
      <c r="BT272" s="51" t="s">
        <v>17</v>
      </c>
    </row>
    <row r="273" spans="1:72" s="5" customFormat="1" ht="15.75" x14ac:dyDescent="0.25">
      <c r="A273" s="52"/>
      <c r="B273" s="241" t="str">
        <f t="shared" si="294"/>
        <v>Large C&amp;I</v>
      </c>
      <c r="C273" s="63" t="s">
        <v>30</v>
      </c>
      <c r="D273" s="61"/>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2"/>
      <c r="BO273" s="62"/>
      <c r="BP273" s="62"/>
      <c r="BS273" s="62"/>
      <c r="BT273" s="51" t="s">
        <v>17</v>
      </c>
    </row>
    <row r="274" spans="1:72" x14ac:dyDescent="0.25">
      <c r="B274" s="243" t="str">
        <f t="shared" si="294"/>
        <v>Large C&amp;I</v>
      </c>
      <c r="C274" s="243" t="str">
        <f t="shared" si="294"/>
        <v>Rates</v>
      </c>
      <c r="D274" s="114" t="str">
        <f>"Rates before DSM ("&amp;Lookups!$D$22&amp;" Scenario)"</f>
        <v>Rates before DSM (No EE Scenario)</v>
      </c>
      <c r="E274" s="84"/>
      <c r="F274" s="8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S274" s="84"/>
      <c r="BT274" s="51" t="s">
        <v>17</v>
      </c>
    </row>
    <row r="275" spans="1:72" x14ac:dyDescent="0.25">
      <c r="B275" s="243" t="str">
        <f t="shared" si="294"/>
        <v>Large C&amp;I</v>
      </c>
      <c r="C275" s="243" t="str">
        <f t="shared" si="294"/>
        <v>Rates</v>
      </c>
      <c r="D275" s="244" t="str">
        <f>D274</f>
        <v>Rates before DSM (No EE Scenario)</v>
      </c>
      <c r="E275" s="84" t="s">
        <v>26</v>
      </c>
      <c r="F275" s="84" t="s">
        <v>182</v>
      </c>
      <c r="G275" s="506">
        <f>IF(G$8=0,0,INDEX('R&amp;B Inputs'!$I$78:$V$78,MATCH($B275,'R&amp;B Inputs'!$I$4:$V$4,0))*(1+INDEX('R&amp;B Inputs'!$I$48:$V$48,MATCH($B275,'R&amp;B Inputs'!$I$4:$V$4,0)))^(G$7-Year1))</f>
        <v>0.1181</v>
      </c>
      <c r="H275" s="506">
        <f>IF(H$8=0,0,INDEX('R&amp;B Inputs'!$I$78:$V$78,MATCH($B275,'R&amp;B Inputs'!$I$4:$V$4,0))*(1+INDEX('R&amp;B Inputs'!$I$48:$V$48,MATCH($B275,'R&amp;B Inputs'!$I$4:$V$4,0)))^(H$7-Year1))</f>
        <v>0.1181</v>
      </c>
      <c r="I275" s="506">
        <f>IF(I$8=0,0,INDEX('R&amp;B Inputs'!$I$78:$V$78,MATCH($B275,'R&amp;B Inputs'!$I$4:$V$4,0))*(1+INDEX('R&amp;B Inputs'!$I$48:$V$48,MATCH($B275,'R&amp;B Inputs'!$I$4:$V$4,0)))^(I$7-Year1))</f>
        <v>0.1181</v>
      </c>
      <c r="J275" s="506">
        <f>IF(J$8=0,0,INDEX('R&amp;B Inputs'!$I$78:$V$78,MATCH($B275,'R&amp;B Inputs'!$I$4:$V$4,0))*(1+INDEX('R&amp;B Inputs'!$I$48:$V$48,MATCH($B275,'R&amp;B Inputs'!$I$4:$V$4,0)))^(J$7-Year1))</f>
        <v>0.1181</v>
      </c>
      <c r="K275" s="506">
        <f>IF(K$8=0,0,INDEX('R&amp;B Inputs'!$I$78:$V$78,MATCH($B275,'R&amp;B Inputs'!$I$4:$V$4,0))*(1+INDEX('R&amp;B Inputs'!$I$48:$V$48,MATCH($B275,'R&amp;B Inputs'!$I$4:$V$4,0)))^(K$7-Year1))</f>
        <v>0.1181</v>
      </c>
      <c r="L275" s="506">
        <f>IF(L$8=0,0,INDEX('R&amp;B Inputs'!$I$78:$V$78,MATCH($B275,'R&amp;B Inputs'!$I$4:$V$4,0))*(1+INDEX('R&amp;B Inputs'!$I$48:$V$48,MATCH($B275,'R&amp;B Inputs'!$I$4:$V$4,0)))^(L$7-Year1))</f>
        <v>0.1181</v>
      </c>
      <c r="M275" s="506">
        <f>IF(M$8=0,0,INDEX('R&amp;B Inputs'!$I$78:$V$78,MATCH($B275,'R&amp;B Inputs'!$I$4:$V$4,0))*(1+INDEX('R&amp;B Inputs'!$I$48:$V$48,MATCH($B275,'R&amp;B Inputs'!$I$4:$V$4,0)))^(M$7-Year1))</f>
        <v>0.1181</v>
      </c>
      <c r="N275" s="506">
        <f>IF(N$8=0,0,INDEX('R&amp;B Inputs'!$I$78:$V$78,MATCH($B275,'R&amp;B Inputs'!$I$4:$V$4,0))*(1+INDEX('R&amp;B Inputs'!$I$48:$V$48,MATCH($B275,'R&amp;B Inputs'!$I$4:$V$4,0)))^(N$7-Year1))</f>
        <v>0.1181</v>
      </c>
      <c r="O275" s="506">
        <f>IF(O$8=0,0,INDEX('R&amp;B Inputs'!$I$78:$V$78,MATCH($B275,'R&amp;B Inputs'!$I$4:$V$4,0))*(1+INDEX('R&amp;B Inputs'!$I$48:$V$48,MATCH($B275,'R&amp;B Inputs'!$I$4:$V$4,0)))^(O$7-Year1))</f>
        <v>0.1181</v>
      </c>
      <c r="P275" s="506">
        <f>IF(P$8=0,0,INDEX('R&amp;B Inputs'!$I$78:$V$78,MATCH($B275,'R&amp;B Inputs'!$I$4:$V$4,0))*(1+INDEX('R&amp;B Inputs'!$I$48:$V$48,MATCH($B275,'R&amp;B Inputs'!$I$4:$V$4,0)))^(P$7-Year1))</f>
        <v>0.1181</v>
      </c>
      <c r="Q275" s="506">
        <f>IF(Q$8=0,0,INDEX('R&amp;B Inputs'!$I$78:$V$78,MATCH($B275,'R&amp;B Inputs'!$I$4:$V$4,0))*(1+INDEX('R&amp;B Inputs'!$I$48:$V$48,MATCH($B275,'R&amp;B Inputs'!$I$4:$V$4,0)))^(Q$7-Year1))</f>
        <v>0.1181</v>
      </c>
      <c r="R275" s="506">
        <f>IF(R$8=0,0,INDEX('R&amp;B Inputs'!$I$78:$V$78,MATCH($B275,'R&amp;B Inputs'!$I$4:$V$4,0))*(1+INDEX('R&amp;B Inputs'!$I$48:$V$48,MATCH($B275,'R&amp;B Inputs'!$I$4:$V$4,0)))^(R$7-Year1))</f>
        <v>0.1181</v>
      </c>
      <c r="S275" s="506">
        <f>IF(S$8=0,0,INDEX('R&amp;B Inputs'!$I$78:$V$78,MATCH($B275,'R&amp;B Inputs'!$I$4:$V$4,0))*(1+INDEX('R&amp;B Inputs'!$I$48:$V$48,MATCH($B275,'R&amp;B Inputs'!$I$4:$V$4,0)))^(S$7-Year1))</f>
        <v>0.1181</v>
      </c>
      <c r="T275" s="506">
        <f>IF(T$8=0,0,INDEX('R&amp;B Inputs'!$I$78:$V$78,MATCH($B275,'R&amp;B Inputs'!$I$4:$V$4,0))*(1+INDEX('R&amp;B Inputs'!$I$48:$V$48,MATCH($B275,'R&amp;B Inputs'!$I$4:$V$4,0)))^(T$7-Year1))</f>
        <v>0.1181</v>
      </c>
      <c r="U275" s="506">
        <f>IF(U$8=0,0,INDEX('R&amp;B Inputs'!$I$78:$V$78,MATCH($B275,'R&amp;B Inputs'!$I$4:$V$4,0))*(1+INDEX('R&amp;B Inputs'!$I$48:$V$48,MATCH($B275,'R&amp;B Inputs'!$I$4:$V$4,0)))^(U$7-Year1))</f>
        <v>0.1181</v>
      </c>
      <c r="V275" s="506">
        <f>IF(V$8=0,0,INDEX('R&amp;B Inputs'!$I$78:$V$78,MATCH($B275,'R&amp;B Inputs'!$I$4:$V$4,0))*(1+INDEX('R&amp;B Inputs'!$I$48:$V$48,MATCH($B275,'R&amp;B Inputs'!$I$4:$V$4,0)))^(V$7-Year1))</f>
        <v>0.1181</v>
      </c>
      <c r="W275" s="506">
        <f>IF(W$8=0,0,INDEX('R&amp;B Inputs'!$I$78:$V$78,MATCH($B275,'R&amp;B Inputs'!$I$4:$V$4,0))*(1+INDEX('R&amp;B Inputs'!$I$48:$V$48,MATCH($B275,'R&amp;B Inputs'!$I$4:$V$4,0)))^(W$7-Year1))</f>
        <v>0.1181</v>
      </c>
      <c r="X275" s="506">
        <f>IF(X$8=0,0,INDEX('R&amp;B Inputs'!$I$78:$V$78,MATCH($B275,'R&amp;B Inputs'!$I$4:$V$4,0))*(1+INDEX('R&amp;B Inputs'!$I$48:$V$48,MATCH($B275,'R&amp;B Inputs'!$I$4:$V$4,0)))^(X$7-Year1))</f>
        <v>0.1181</v>
      </c>
      <c r="Y275" s="506">
        <f>IF(Y$8=0,0,INDEX('R&amp;B Inputs'!$I$78:$V$78,MATCH($B275,'R&amp;B Inputs'!$I$4:$V$4,0))*(1+INDEX('R&amp;B Inputs'!$I$48:$V$48,MATCH($B275,'R&amp;B Inputs'!$I$4:$V$4,0)))^(Y$7-Year1))</f>
        <v>0.1181</v>
      </c>
      <c r="Z275" s="506">
        <f>IF(Z$8=0,0,INDEX('R&amp;B Inputs'!$I$78:$V$78,MATCH($B275,'R&amp;B Inputs'!$I$4:$V$4,0))*(1+INDEX('R&amp;B Inputs'!$I$48:$V$48,MATCH($B275,'R&amp;B Inputs'!$I$4:$V$4,0)))^(Z$7-Year1))</f>
        <v>0.1181</v>
      </c>
      <c r="AA275" s="506">
        <f>IF(AA$8=0,0,INDEX('R&amp;B Inputs'!$I$78:$V$78,MATCH($B275,'R&amp;B Inputs'!$I$4:$V$4,0))*(1+INDEX('R&amp;B Inputs'!$I$48:$V$48,MATCH($B275,'R&amp;B Inputs'!$I$4:$V$4,0)))^(AA$7-Year1))</f>
        <v>0.1181</v>
      </c>
      <c r="AB275" s="506">
        <f>IF(AB$8=0,0,INDEX('R&amp;B Inputs'!$I$78:$V$78,MATCH($B275,'R&amp;B Inputs'!$I$4:$V$4,0))*(1+INDEX('R&amp;B Inputs'!$I$48:$V$48,MATCH($B275,'R&amp;B Inputs'!$I$4:$V$4,0)))^(AB$7-Year1))</f>
        <v>0.1181</v>
      </c>
      <c r="AC275" s="506">
        <f>IF(AC$8=0,0,INDEX('R&amp;B Inputs'!$I$78:$V$78,MATCH($B275,'R&amp;B Inputs'!$I$4:$V$4,0))*(1+INDEX('R&amp;B Inputs'!$I$48:$V$48,MATCH($B275,'R&amp;B Inputs'!$I$4:$V$4,0)))^(AC$7-Year1))</f>
        <v>0.1181</v>
      </c>
      <c r="AD275" s="506">
        <f>IF(AD$8=0,0,INDEX('R&amp;B Inputs'!$I$78:$V$78,MATCH($B275,'R&amp;B Inputs'!$I$4:$V$4,0))*(1+INDEX('R&amp;B Inputs'!$I$48:$V$48,MATCH($B275,'R&amp;B Inputs'!$I$4:$V$4,0)))^(AD$7-Year1))</f>
        <v>0.1181</v>
      </c>
      <c r="AE275" s="506">
        <f>IF(AE$8=0,0,INDEX('R&amp;B Inputs'!$I$78:$V$78,MATCH($B275,'R&amp;B Inputs'!$I$4:$V$4,0))*(1+INDEX('R&amp;B Inputs'!$I$48:$V$48,MATCH($B275,'R&amp;B Inputs'!$I$4:$V$4,0)))^(AE$7-Year1))</f>
        <v>0.1181</v>
      </c>
      <c r="AF275" s="506">
        <f>IF(AF$8=0,0,INDEX('R&amp;B Inputs'!$I$78:$V$78,MATCH($B275,'R&amp;B Inputs'!$I$4:$V$4,0))*(1+INDEX('R&amp;B Inputs'!$I$48:$V$48,MATCH($B275,'R&amp;B Inputs'!$I$4:$V$4,0)))^(AF$7-Year1))</f>
        <v>0.1181</v>
      </c>
      <c r="AG275" s="506">
        <f>IF(AG$8=0,0,INDEX('R&amp;B Inputs'!$I$78:$V$78,MATCH($B275,'R&amp;B Inputs'!$I$4:$V$4,0))*(1+INDEX('R&amp;B Inputs'!$I$48:$V$48,MATCH($B275,'R&amp;B Inputs'!$I$4:$V$4,0)))^(AG$7-Year1))</f>
        <v>0.1181</v>
      </c>
      <c r="AH275" s="506"/>
      <c r="AI275" s="506"/>
      <c r="AJ275" s="506">
        <f>IF($C$4=Year1,-PMT(Lookups!$E$17,25,NPV(Lookups!$E$17,G275:AE275),0,1),IF($C$4=Year2,-PMT(Lookups!$F$17,25,NPV(Lookups!$F$17,H275:AF275),0,1),IF($C$4=Year3,-PMT(Lookups!$G$17,25,NPV(Lookups!$G$17,I275:AG275),0,1),-PMT(Lookups!$G$17,27,NPV(Lookups!$G$17,G275:AG275),0,1))))</f>
        <v>0.11645289104116224</v>
      </c>
      <c r="AK275" s="507"/>
      <c r="AL275" s="507"/>
      <c r="AM275" s="508">
        <f>IF(AM$8=0,0,INDEX('R&amp;B Inputs'!$I$78:$V$78,MATCH($B275,'R&amp;B Inputs'!$I$4:$V$4,0))*(1+INDEX('R&amp;B Inputs'!$I$48:$V$48,MATCH($B275,'R&amp;B Inputs'!$I$4:$V$4,0)))^(AM$7-Year1))</f>
        <v>0.1181</v>
      </c>
      <c r="AN275" s="508">
        <f>IF(AN$8=0,0,INDEX('R&amp;B Inputs'!$I$78:$V$78,MATCH($B275,'R&amp;B Inputs'!$I$4:$V$4,0))*(1+INDEX('R&amp;B Inputs'!$I$48:$V$48,MATCH($B275,'R&amp;B Inputs'!$I$4:$V$4,0)))^(AN$7-Year1))</f>
        <v>0.1181</v>
      </c>
      <c r="AO275" s="508">
        <f>IF(AO$8=0,0,INDEX('R&amp;B Inputs'!$I$78:$V$78,MATCH($B275,'R&amp;B Inputs'!$I$4:$V$4,0))*(1+INDEX('R&amp;B Inputs'!$I$48:$V$48,MATCH($B275,'R&amp;B Inputs'!$I$4:$V$4,0)))^(AO$7-Year1))</f>
        <v>0.1181</v>
      </c>
      <c r="AP275" s="508">
        <f>IF(AP$8=0,0,INDEX('R&amp;B Inputs'!$I$78:$V$78,MATCH($B275,'R&amp;B Inputs'!$I$4:$V$4,0))*(1+INDEX('R&amp;B Inputs'!$I$48:$V$48,MATCH($B275,'R&amp;B Inputs'!$I$4:$V$4,0)))^(AP$7-Year1))</f>
        <v>0.1181</v>
      </c>
      <c r="AQ275" s="508">
        <f>IF(AQ$8=0,0,INDEX('R&amp;B Inputs'!$I$78:$V$78,MATCH($B275,'R&amp;B Inputs'!$I$4:$V$4,0))*(1+INDEX('R&amp;B Inputs'!$I$48:$V$48,MATCH($B275,'R&amp;B Inputs'!$I$4:$V$4,0)))^(AQ$7-Year1))</f>
        <v>0.1181</v>
      </c>
      <c r="AR275" s="508">
        <f>IF(AR$8=0,0,INDEX('R&amp;B Inputs'!$I$78:$V$78,MATCH($B275,'R&amp;B Inputs'!$I$4:$V$4,0))*(1+INDEX('R&amp;B Inputs'!$I$48:$V$48,MATCH($B275,'R&amp;B Inputs'!$I$4:$V$4,0)))^(AR$7-Year1))</f>
        <v>0.1181</v>
      </c>
      <c r="AS275" s="508">
        <f>IF(AS$8=0,0,INDEX('R&amp;B Inputs'!$I$78:$V$78,MATCH($B275,'R&amp;B Inputs'!$I$4:$V$4,0))*(1+INDEX('R&amp;B Inputs'!$I$48:$V$48,MATCH($B275,'R&amp;B Inputs'!$I$4:$V$4,0)))^(AS$7-Year1))</f>
        <v>0.1181</v>
      </c>
      <c r="AT275" s="508">
        <f>IF(AT$8=0,0,INDEX('R&amp;B Inputs'!$I$78:$V$78,MATCH($B275,'R&amp;B Inputs'!$I$4:$V$4,0))*(1+INDEX('R&amp;B Inputs'!$I$48:$V$48,MATCH($B275,'R&amp;B Inputs'!$I$4:$V$4,0)))^(AT$7-Year1))</f>
        <v>0.1181</v>
      </c>
      <c r="AU275" s="508">
        <f>IF(AU$8=0,0,INDEX('R&amp;B Inputs'!$I$78:$V$78,MATCH($B275,'R&amp;B Inputs'!$I$4:$V$4,0))*(1+INDEX('R&amp;B Inputs'!$I$48:$V$48,MATCH($B275,'R&amp;B Inputs'!$I$4:$V$4,0)))^(AU$7-Year1))</f>
        <v>0.1181</v>
      </c>
      <c r="AV275" s="508">
        <f>IF(AV$8=0,0,INDEX('R&amp;B Inputs'!$I$78:$V$78,MATCH($B275,'R&amp;B Inputs'!$I$4:$V$4,0))*(1+INDEX('R&amp;B Inputs'!$I$48:$V$48,MATCH($B275,'R&amp;B Inputs'!$I$4:$V$4,0)))^(AV$7-Year1))</f>
        <v>0.1181</v>
      </c>
      <c r="AW275" s="508">
        <f>IF(AW$8=0,0,INDEX('R&amp;B Inputs'!$I$78:$V$78,MATCH($B275,'R&amp;B Inputs'!$I$4:$V$4,0))*(1+INDEX('R&amp;B Inputs'!$I$48:$V$48,MATCH($B275,'R&amp;B Inputs'!$I$4:$V$4,0)))^(AW$7-Year1))</f>
        <v>0.1181</v>
      </c>
      <c r="AX275" s="508">
        <f>IF(AX$8=0,0,INDEX('R&amp;B Inputs'!$I$78:$V$78,MATCH($B275,'R&amp;B Inputs'!$I$4:$V$4,0))*(1+INDEX('R&amp;B Inputs'!$I$48:$V$48,MATCH($B275,'R&amp;B Inputs'!$I$4:$V$4,0)))^(AX$7-Year1))</f>
        <v>0.1181</v>
      </c>
      <c r="AY275" s="508">
        <f>IF(AY$8=0,0,INDEX('R&amp;B Inputs'!$I$78:$V$78,MATCH($B275,'R&amp;B Inputs'!$I$4:$V$4,0))*(1+INDEX('R&amp;B Inputs'!$I$48:$V$48,MATCH($B275,'R&amp;B Inputs'!$I$4:$V$4,0)))^(AY$7-Year1))</f>
        <v>0.1181</v>
      </c>
      <c r="AZ275" s="508">
        <f>IF(AZ$8=0,0,INDEX('R&amp;B Inputs'!$I$78:$V$78,MATCH($B275,'R&amp;B Inputs'!$I$4:$V$4,0))*(1+INDEX('R&amp;B Inputs'!$I$48:$V$48,MATCH($B275,'R&amp;B Inputs'!$I$4:$V$4,0)))^(AZ$7-Year1))</f>
        <v>0.1181</v>
      </c>
      <c r="BA275" s="508">
        <f>IF(BA$8=0,0,INDEX('R&amp;B Inputs'!$I$78:$V$78,MATCH($B275,'R&amp;B Inputs'!$I$4:$V$4,0))*(1+INDEX('R&amp;B Inputs'!$I$48:$V$48,MATCH($B275,'R&amp;B Inputs'!$I$4:$V$4,0)))^(BA$7-Year1))</f>
        <v>0.1181</v>
      </c>
      <c r="BB275" s="508">
        <f>IF(BB$8=0,0,INDEX('R&amp;B Inputs'!$I$78:$V$78,MATCH($B275,'R&amp;B Inputs'!$I$4:$V$4,0))*(1+INDEX('R&amp;B Inputs'!$I$48:$V$48,MATCH($B275,'R&amp;B Inputs'!$I$4:$V$4,0)))^(BB$7-Year1))</f>
        <v>0.1181</v>
      </c>
      <c r="BC275" s="508">
        <f>IF(BC$8=0,0,INDEX('R&amp;B Inputs'!$I$78:$V$78,MATCH($B275,'R&amp;B Inputs'!$I$4:$V$4,0))*(1+INDEX('R&amp;B Inputs'!$I$48:$V$48,MATCH($B275,'R&amp;B Inputs'!$I$4:$V$4,0)))^(BC$7-Year1))</f>
        <v>0.1181</v>
      </c>
      <c r="BD275" s="508">
        <f>IF(BD$8=0,0,INDEX('R&amp;B Inputs'!$I$78:$V$78,MATCH($B275,'R&amp;B Inputs'!$I$4:$V$4,0))*(1+INDEX('R&amp;B Inputs'!$I$48:$V$48,MATCH($B275,'R&amp;B Inputs'!$I$4:$V$4,0)))^(BD$7-Year1))</f>
        <v>0.1181</v>
      </c>
      <c r="BE275" s="508">
        <f>IF(BE$8=0,0,INDEX('R&amp;B Inputs'!$I$78:$V$78,MATCH($B275,'R&amp;B Inputs'!$I$4:$V$4,0))*(1+INDEX('R&amp;B Inputs'!$I$48:$V$48,MATCH($B275,'R&amp;B Inputs'!$I$4:$V$4,0)))^(BE$7-Year1))</f>
        <v>0.1181</v>
      </c>
      <c r="BF275" s="508">
        <f>IF(BF$8=0,0,INDEX('R&amp;B Inputs'!$I$78:$V$78,MATCH($B275,'R&amp;B Inputs'!$I$4:$V$4,0))*(1+INDEX('R&amp;B Inputs'!$I$48:$V$48,MATCH($B275,'R&amp;B Inputs'!$I$4:$V$4,0)))^(BF$7-Year1))</f>
        <v>0.1181</v>
      </c>
      <c r="BG275" s="508">
        <f>IF(BG$8=0,0,INDEX('R&amp;B Inputs'!$I$78:$V$78,MATCH($B275,'R&amp;B Inputs'!$I$4:$V$4,0))*(1+INDEX('R&amp;B Inputs'!$I$48:$V$48,MATCH($B275,'R&amp;B Inputs'!$I$4:$V$4,0)))^(BG$7-Year1))</f>
        <v>0.1181</v>
      </c>
      <c r="BH275" s="508">
        <f>IF(BH$8=0,0,INDEX('R&amp;B Inputs'!$I$78:$V$78,MATCH($B275,'R&amp;B Inputs'!$I$4:$V$4,0))*(1+INDEX('R&amp;B Inputs'!$I$48:$V$48,MATCH($B275,'R&amp;B Inputs'!$I$4:$V$4,0)))^(BH$7-Year1))</f>
        <v>0.1181</v>
      </c>
      <c r="BI275" s="508">
        <f>IF(BI$8=0,0,INDEX('R&amp;B Inputs'!$I$78:$V$78,MATCH($B275,'R&amp;B Inputs'!$I$4:$V$4,0))*(1+INDEX('R&amp;B Inputs'!$I$48:$V$48,MATCH($B275,'R&amp;B Inputs'!$I$4:$V$4,0)))^(BI$7-Year1))</f>
        <v>0.1181</v>
      </c>
      <c r="BJ275" s="508">
        <f>IF(BJ$8=0,0,INDEX('R&amp;B Inputs'!$I$78:$V$78,MATCH($B275,'R&amp;B Inputs'!$I$4:$V$4,0))*(1+INDEX('R&amp;B Inputs'!$I$48:$V$48,MATCH($B275,'R&amp;B Inputs'!$I$4:$V$4,0)))^(BJ$7-Year1))</f>
        <v>0.1181</v>
      </c>
      <c r="BK275" s="508">
        <f>IF(BK$8=0,0,INDEX('R&amp;B Inputs'!$I$78:$V$78,MATCH($B275,'R&amp;B Inputs'!$I$4:$V$4,0))*(1+INDEX('R&amp;B Inputs'!$I$48:$V$48,MATCH($B275,'R&amp;B Inputs'!$I$4:$V$4,0)))^(BK$7-Year1))</f>
        <v>0.1181</v>
      </c>
      <c r="BL275" s="508">
        <f>IF(BL$8=0,0,INDEX('R&amp;B Inputs'!$I$78:$V$78,MATCH($B275,'R&amp;B Inputs'!$I$4:$V$4,0))*(1+INDEX('R&amp;B Inputs'!$I$48:$V$48,MATCH($B275,'R&amp;B Inputs'!$I$4:$V$4,0)))^(BL$7-Year1))</f>
        <v>0.1181</v>
      </c>
      <c r="BM275" s="508">
        <f>IF(BM$8=0,0,INDEX('R&amp;B Inputs'!$I$78:$V$78,MATCH($B275,'R&amp;B Inputs'!$I$4:$V$4,0))*(1+INDEX('R&amp;B Inputs'!$I$48:$V$48,MATCH($B275,'R&amp;B Inputs'!$I$4:$V$4,0)))^(BM$7-Year1))</f>
        <v>0.1181</v>
      </c>
      <c r="BN275" s="508"/>
      <c r="BO275" s="508"/>
      <c r="BP275" s="508">
        <f>IF($C$4=Year1,-PMT(Lookups!$E$17,25,NPV(Lookups!$E$17,AM275:BK275),0,1),IF($C$4=Year2,-PMT(Lookups!$F$17,25,NPV(Lookups!$F$17,AN275:BL275),0,1),IF($C$4=Year3,-PMT(Lookups!$G$17,25,NPV(Lookups!$G$17,AO275:BM275),0,1),-PMT(Lookups!$G$17,27,NPV(Lookups!$G$17,AM275:BM275),0,1))))</f>
        <v>0.11645289104116224</v>
      </c>
      <c r="BS275" s="76" t="str">
        <f t="shared" ref="BS275:BS277" si="295">E275&amp;" charge from the R&amp;B Inputs tab, escalated annually by the growth rate included on the R&amp;B Inputs tab."</f>
        <v>Distribution charge from the R&amp;B Inputs tab, escalated annually by the growth rate included on the R&amp;B Inputs tab.</v>
      </c>
      <c r="BT275" s="51" t="s">
        <v>17</v>
      </c>
    </row>
    <row r="276" spans="1:72" x14ac:dyDescent="0.25">
      <c r="B276" s="243" t="str">
        <f t="shared" si="294"/>
        <v>Large C&amp;I</v>
      </c>
      <c r="C276" s="243" t="str">
        <f t="shared" si="294"/>
        <v>Rates</v>
      </c>
      <c r="D276" s="244" t="str">
        <f>D275</f>
        <v>Rates before DSM (No EE Scenario)</v>
      </c>
      <c r="E276" s="84" t="s">
        <v>407</v>
      </c>
      <c r="F276" s="84" t="s">
        <v>182</v>
      </c>
      <c r="G276" s="506">
        <f>IF(G$8=0,0,INDEX('R&amp;B Inputs'!$I$82:$V$82,MATCH($B276,'R&amp;B Inputs'!$I$4:$V$4,0))*(1+INDEX('R&amp;B Inputs'!$I$62:$V$62,MATCH($B276,'R&amp;B Inputs'!$I$4:$V$4,0)))^(G$7-Year1))</f>
        <v>5.2000000000000032E-3</v>
      </c>
      <c r="H276" s="506">
        <f>IF(H$8=0,0,INDEX('R&amp;B Inputs'!$I$82:$V$82,MATCH($B276,'R&amp;B Inputs'!$I$4:$V$4,0))*(1+INDEX('R&amp;B Inputs'!$I$62:$V$62,MATCH($B276,'R&amp;B Inputs'!$I$4:$V$4,0)))^(H$7-Year1))</f>
        <v>5.2000000000000032E-3</v>
      </c>
      <c r="I276" s="506">
        <f>IF(I$8=0,0,INDEX('R&amp;B Inputs'!$I$82:$V$82,MATCH($B276,'R&amp;B Inputs'!$I$4:$V$4,0))*(1+INDEX('R&amp;B Inputs'!$I$62:$V$62,MATCH($B276,'R&amp;B Inputs'!$I$4:$V$4,0)))^(I$7-Year1))</f>
        <v>5.2000000000000032E-3</v>
      </c>
      <c r="J276" s="506">
        <f>IF(J$8=0,0,INDEX('R&amp;B Inputs'!$I$82:$V$82,MATCH($B276,'R&amp;B Inputs'!$I$4:$V$4,0))*(1+INDEX('R&amp;B Inputs'!$I$62:$V$62,MATCH($B276,'R&amp;B Inputs'!$I$4:$V$4,0)))^(J$7-Year1))</f>
        <v>5.2000000000000032E-3</v>
      </c>
      <c r="K276" s="506">
        <f>IF(K$8=0,0,INDEX('R&amp;B Inputs'!$I$82:$V$82,MATCH($B276,'R&amp;B Inputs'!$I$4:$V$4,0))*(1+INDEX('R&amp;B Inputs'!$I$62:$V$62,MATCH($B276,'R&amp;B Inputs'!$I$4:$V$4,0)))^(K$7-Year1))</f>
        <v>5.2000000000000032E-3</v>
      </c>
      <c r="L276" s="506">
        <f>IF(L$8=0,0,INDEX('R&amp;B Inputs'!$I$82:$V$82,MATCH($B276,'R&amp;B Inputs'!$I$4:$V$4,0))*(1+INDEX('R&amp;B Inputs'!$I$62:$V$62,MATCH($B276,'R&amp;B Inputs'!$I$4:$V$4,0)))^(L$7-Year1))</f>
        <v>5.2000000000000032E-3</v>
      </c>
      <c r="M276" s="506">
        <f>IF(M$8=0,0,INDEX('R&amp;B Inputs'!$I$82:$V$82,MATCH($B276,'R&amp;B Inputs'!$I$4:$V$4,0))*(1+INDEX('R&amp;B Inputs'!$I$62:$V$62,MATCH($B276,'R&amp;B Inputs'!$I$4:$V$4,0)))^(M$7-Year1))</f>
        <v>5.2000000000000032E-3</v>
      </c>
      <c r="N276" s="506">
        <f>IF(N$8=0,0,INDEX('R&amp;B Inputs'!$I$82:$V$82,MATCH($B276,'R&amp;B Inputs'!$I$4:$V$4,0))*(1+INDEX('R&amp;B Inputs'!$I$62:$V$62,MATCH($B276,'R&amp;B Inputs'!$I$4:$V$4,0)))^(N$7-Year1))</f>
        <v>5.2000000000000032E-3</v>
      </c>
      <c r="O276" s="506">
        <f>IF(O$8=0,0,INDEX('R&amp;B Inputs'!$I$82:$V$82,MATCH($B276,'R&amp;B Inputs'!$I$4:$V$4,0))*(1+INDEX('R&amp;B Inputs'!$I$62:$V$62,MATCH($B276,'R&amp;B Inputs'!$I$4:$V$4,0)))^(O$7-Year1))</f>
        <v>5.2000000000000032E-3</v>
      </c>
      <c r="P276" s="506">
        <f>IF(P$8=0,0,INDEX('R&amp;B Inputs'!$I$82:$V$82,MATCH($B276,'R&amp;B Inputs'!$I$4:$V$4,0))*(1+INDEX('R&amp;B Inputs'!$I$62:$V$62,MATCH($B276,'R&amp;B Inputs'!$I$4:$V$4,0)))^(P$7-Year1))</f>
        <v>5.2000000000000032E-3</v>
      </c>
      <c r="Q276" s="506">
        <f>IF(Q$8=0,0,INDEX('R&amp;B Inputs'!$I$82:$V$82,MATCH($B276,'R&amp;B Inputs'!$I$4:$V$4,0))*(1+INDEX('R&amp;B Inputs'!$I$62:$V$62,MATCH($B276,'R&amp;B Inputs'!$I$4:$V$4,0)))^(Q$7-Year1))</f>
        <v>5.2000000000000032E-3</v>
      </c>
      <c r="R276" s="506">
        <f>IF(R$8=0,0,INDEX('R&amp;B Inputs'!$I$82:$V$82,MATCH($B276,'R&amp;B Inputs'!$I$4:$V$4,0))*(1+INDEX('R&amp;B Inputs'!$I$62:$V$62,MATCH($B276,'R&amp;B Inputs'!$I$4:$V$4,0)))^(R$7-Year1))</f>
        <v>5.2000000000000032E-3</v>
      </c>
      <c r="S276" s="506">
        <f>IF(S$8=0,0,INDEX('R&amp;B Inputs'!$I$82:$V$82,MATCH($B276,'R&amp;B Inputs'!$I$4:$V$4,0))*(1+INDEX('R&amp;B Inputs'!$I$62:$V$62,MATCH($B276,'R&amp;B Inputs'!$I$4:$V$4,0)))^(S$7-Year1))</f>
        <v>5.2000000000000032E-3</v>
      </c>
      <c r="T276" s="506">
        <f>IF(T$8=0,0,INDEX('R&amp;B Inputs'!$I$82:$V$82,MATCH($B276,'R&amp;B Inputs'!$I$4:$V$4,0))*(1+INDEX('R&amp;B Inputs'!$I$62:$V$62,MATCH($B276,'R&amp;B Inputs'!$I$4:$V$4,0)))^(T$7-Year1))</f>
        <v>5.2000000000000032E-3</v>
      </c>
      <c r="U276" s="506">
        <f>IF(U$8=0,0,INDEX('R&amp;B Inputs'!$I$82:$V$82,MATCH($B276,'R&amp;B Inputs'!$I$4:$V$4,0))*(1+INDEX('R&amp;B Inputs'!$I$62:$V$62,MATCH($B276,'R&amp;B Inputs'!$I$4:$V$4,0)))^(U$7-Year1))</f>
        <v>5.2000000000000032E-3</v>
      </c>
      <c r="V276" s="506">
        <f>IF(V$8=0,0,INDEX('R&amp;B Inputs'!$I$82:$V$82,MATCH($B276,'R&amp;B Inputs'!$I$4:$V$4,0))*(1+INDEX('R&amp;B Inputs'!$I$62:$V$62,MATCH($B276,'R&amp;B Inputs'!$I$4:$V$4,0)))^(V$7-Year1))</f>
        <v>5.2000000000000032E-3</v>
      </c>
      <c r="W276" s="506">
        <f>IF(W$8=0,0,INDEX('R&amp;B Inputs'!$I$82:$V$82,MATCH($B276,'R&amp;B Inputs'!$I$4:$V$4,0))*(1+INDEX('R&amp;B Inputs'!$I$62:$V$62,MATCH($B276,'R&amp;B Inputs'!$I$4:$V$4,0)))^(W$7-Year1))</f>
        <v>5.2000000000000032E-3</v>
      </c>
      <c r="X276" s="506">
        <f>IF(X$8=0,0,INDEX('R&amp;B Inputs'!$I$82:$V$82,MATCH($B276,'R&amp;B Inputs'!$I$4:$V$4,0))*(1+INDEX('R&amp;B Inputs'!$I$62:$V$62,MATCH($B276,'R&amp;B Inputs'!$I$4:$V$4,0)))^(X$7-Year1))</f>
        <v>5.2000000000000032E-3</v>
      </c>
      <c r="Y276" s="506">
        <f>IF(Y$8=0,0,INDEX('R&amp;B Inputs'!$I$82:$V$82,MATCH($B276,'R&amp;B Inputs'!$I$4:$V$4,0))*(1+INDEX('R&amp;B Inputs'!$I$62:$V$62,MATCH($B276,'R&amp;B Inputs'!$I$4:$V$4,0)))^(Y$7-Year1))</f>
        <v>5.2000000000000032E-3</v>
      </c>
      <c r="Z276" s="506">
        <f>IF(Z$8=0,0,INDEX('R&amp;B Inputs'!$I$82:$V$82,MATCH($B276,'R&amp;B Inputs'!$I$4:$V$4,0))*(1+INDEX('R&amp;B Inputs'!$I$62:$V$62,MATCH($B276,'R&amp;B Inputs'!$I$4:$V$4,0)))^(Z$7-Year1))</f>
        <v>5.2000000000000032E-3</v>
      </c>
      <c r="AA276" s="506">
        <f>IF(AA$8=0,0,INDEX('R&amp;B Inputs'!$I$82:$V$82,MATCH($B276,'R&amp;B Inputs'!$I$4:$V$4,0))*(1+INDEX('R&amp;B Inputs'!$I$62:$V$62,MATCH($B276,'R&amp;B Inputs'!$I$4:$V$4,0)))^(AA$7-Year1))</f>
        <v>5.2000000000000032E-3</v>
      </c>
      <c r="AB276" s="506">
        <f>IF(AB$8=0,0,INDEX('R&amp;B Inputs'!$I$82:$V$82,MATCH($B276,'R&amp;B Inputs'!$I$4:$V$4,0))*(1+INDEX('R&amp;B Inputs'!$I$62:$V$62,MATCH($B276,'R&amp;B Inputs'!$I$4:$V$4,0)))^(AB$7-Year1))</f>
        <v>5.2000000000000032E-3</v>
      </c>
      <c r="AC276" s="506">
        <f>IF(AC$8=0,0,INDEX('R&amp;B Inputs'!$I$82:$V$82,MATCH($B276,'R&amp;B Inputs'!$I$4:$V$4,0))*(1+INDEX('R&amp;B Inputs'!$I$62:$V$62,MATCH($B276,'R&amp;B Inputs'!$I$4:$V$4,0)))^(AC$7-Year1))</f>
        <v>5.2000000000000032E-3</v>
      </c>
      <c r="AD276" s="506">
        <f>IF(AD$8=0,0,INDEX('R&amp;B Inputs'!$I$82:$V$82,MATCH($B276,'R&amp;B Inputs'!$I$4:$V$4,0))*(1+INDEX('R&amp;B Inputs'!$I$62:$V$62,MATCH($B276,'R&amp;B Inputs'!$I$4:$V$4,0)))^(AD$7-Year1))</f>
        <v>5.2000000000000032E-3</v>
      </c>
      <c r="AE276" s="506">
        <f>IF(AE$8=0,0,INDEX('R&amp;B Inputs'!$I$82:$V$82,MATCH($B276,'R&amp;B Inputs'!$I$4:$V$4,0))*(1+INDEX('R&amp;B Inputs'!$I$62:$V$62,MATCH($B276,'R&amp;B Inputs'!$I$4:$V$4,0)))^(AE$7-Year1))</f>
        <v>5.2000000000000032E-3</v>
      </c>
      <c r="AF276" s="506">
        <f>IF(AF$8=0,0,INDEX('R&amp;B Inputs'!$I$82:$V$82,MATCH($B276,'R&amp;B Inputs'!$I$4:$V$4,0))*(1+INDEX('R&amp;B Inputs'!$I$62:$V$62,MATCH($B276,'R&amp;B Inputs'!$I$4:$V$4,0)))^(AF$7-Year1))</f>
        <v>5.2000000000000032E-3</v>
      </c>
      <c r="AG276" s="506">
        <f>IF(AG$8=0,0,INDEX('R&amp;B Inputs'!$I$82:$V$82,MATCH($B276,'R&amp;B Inputs'!$I$4:$V$4,0))*(1+INDEX('R&amp;B Inputs'!$I$62:$V$62,MATCH($B276,'R&amp;B Inputs'!$I$4:$V$4,0)))^(AG$7-Year1))</f>
        <v>5.2000000000000032E-3</v>
      </c>
      <c r="AH276" s="506"/>
      <c r="AI276" s="506"/>
      <c r="AJ276" s="506">
        <f>IF($C$4=Year1,-PMT(Lookups!$E$17,25,NPV(Lookups!$E$17,G276:AE276),0,1),IF($C$4=Year2,-PMT(Lookups!$F$17,25,NPV(Lookups!$F$17,H276:AF276),0,1),IF($C$4=Year3,-PMT(Lookups!$G$17,25,NPV(Lookups!$G$17,I276:AG276),0,1),-PMT(Lookups!$G$17,27,NPV(Lookups!$G$17,G276:AG276),0,1))))</f>
        <v>5.1274769975786939E-3</v>
      </c>
      <c r="AK276" s="507"/>
      <c r="AL276" s="507"/>
      <c r="AM276" s="508">
        <f>IF(AM$8=0,0,INDEX('R&amp;B Inputs'!$I$82:$V$82,MATCH($B276,'R&amp;B Inputs'!$I$4:$V$4,0))*(1+INDEX('R&amp;B Inputs'!$I$62:$V$62,MATCH($B276,'R&amp;B Inputs'!$I$4:$V$4,0)))^(AM$7-Year1))</f>
        <v>5.2000000000000032E-3</v>
      </c>
      <c r="AN276" s="508">
        <f>IF(AN$8=0,0,INDEX('R&amp;B Inputs'!$I$82:$V$82,MATCH($B276,'R&amp;B Inputs'!$I$4:$V$4,0))*(1+INDEX('R&amp;B Inputs'!$I$62:$V$62,MATCH($B276,'R&amp;B Inputs'!$I$4:$V$4,0)))^(AN$7-Year1))</f>
        <v>5.2000000000000032E-3</v>
      </c>
      <c r="AO276" s="508">
        <f>IF(AO$8=0,0,INDEX('R&amp;B Inputs'!$I$82:$V$82,MATCH($B276,'R&amp;B Inputs'!$I$4:$V$4,0))*(1+INDEX('R&amp;B Inputs'!$I$62:$V$62,MATCH($B276,'R&amp;B Inputs'!$I$4:$V$4,0)))^(AO$7-Year1))</f>
        <v>5.2000000000000032E-3</v>
      </c>
      <c r="AP276" s="508">
        <f>IF(AP$8=0,0,INDEX('R&amp;B Inputs'!$I$82:$V$82,MATCH($B276,'R&amp;B Inputs'!$I$4:$V$4,0))*(1+INDEX('R&amp;B Inputs'!$I$62:$V$62,MATCH($B276,'R&amp;B Inputs'!$I$4:$V$4,0)))^(AP$7-Year1))</f>
        <v>5.2000000000000032E-3</v>
      </c>
      <c r="AQ276" s="508">
        <f>IF(AQ$8=0,0,INDEX('R&amp;B Inputs'!$I$82:$V$82,MATCH($B276,'R&amp;B Inputs'!$I$4:$V$4,0))*(1+INDEX('R&amp;B Inputs'!$I$62:$V$62,MATCH($B276,'R&amp;B Inputs'!$I$4:$V$4,0)))^(AQ$7-Year1))</f>
        <v>5.2000000000000032E-3</v>
      </c>
      <c r="AR276" s="508">
        <f>IF(AR$8=0,0,INDEX('R&amp;B Inputs'!$I$82:$V$82,MATCH($B276,'R&amp;B Inputs'!$I$4:$V$4,0))*(1+INDEX('R&amp;B Inputs'!$I$62:$V$62,MATCH($B276,'R&amp;B Inputs'!$I$4:$V$4,0)))^(AR$7-Year1))</f>
        <v>5.2000000000000032E-3</v>
      </c>
      <c r="AS276" s="508">
        <f>IF(AS$8=0,0,INDEX('R&amp;B Inputs'!$I$82:$V$82,MATCH($B276,'R&amp;B Inputs'!$I$4:$V$4,0))*(1+INDEX('R&amp;B Inputs'!$I$62:$V$62,MATCH($B276,'R&amp;B Inputs'!$I$4:$V$4,0)))^(AS$7-Year1))</f>
        <v>5.2000000000000032E-3</v>
      </c>
      <c r="AT276" s="508">
        <f>IF(AT$8=0,0,INDEX('R&amp;B Inputs'!$I$82:$V$82,MATCH($B276,'R&amp;B Inputs'!$I$4:$V$4,0))*(1+INDEX('R&amp;B Inputs'!$I$62:$V$62,MATCH($B276,'R&amp;B Inputs'!$I$4:$V$4,0)))^(AT$7-Year1))</f>
        <v>5.2000000000000032E-3</v>
      </c>
      <c r="AU276" s="508">
        <f>IF(AU$8=0,0,INDEX('R&amp;B Inputs'!$I$82:$V$82,MATCH($B276,'R&amp;B Inputs'!$I$4:$V$4,0))*(1+INDEX('R&amp;B Inputs'!$I$62:$V$62,MATCH($B276,'R&amp;B Inputs'!$I$4:$V$4,0)))^(AU$7-Year1))</f>
        <v>5.2000000000000032E-3</v>
      </c>
      <c r="AV276" s="508">
        <f>IF(AV$8=0,0,INDEX('R&amp;B Inputs'!$I$82:$V$82,MATCH($B276,'R&amp;B Inputs'!$I$4:$V$4,0))*(1+INDEX('R&amp;B Inputs'!$I$62:$V$62,MATCH($B276,'R&amp;B Inputs'!$I$4:$V$4,0)))^(AV$7-Year1))</f>
        <v>5.2000000000000032E-3</v>
      </c>
      <c r="AW276" s="508">
        <f>IF(AW$8=0,0,INDEX('R&amp;B Inputs'!$I$82:$V$82,MATCH($B276,'R&amp;B Inputs'!$I$4:$V$4,0))*(1+INDEX('R&amp;B Inputs'!$I$62:$V$62,MATCH($B276,'R&amp;B Inputs'!$I$4:$V$4,0)))^(AW$7-Year1))</f>
        <v>5.2000000000000032E-3</v>
      </c>
      <c r="AX276" s="508">
        <f>IF(AX$8=0,0,INDEX('R&amp;B Inputs'!$I$82:$V$82,MATCH($B276,'R&amp;B Inputs'!$I$4:$V$4,0))*(1+INDEX('R&amp;B Inputs'!$I$62:$V$62,MATCH($B276,'R&amp;B Inputs'!$I$4:$V$4,0)))^(AX$7-Year1))</f>
        <v>5.2000000000000032E-3</v>
      </c>
      <c r="AY276" s="508">
        <f>IF(AY$8=0,0,INDEX('R&amp;B Inputs'!$I$82:$V$82,MATCH($B276,'R&amp;B Inputs'!$I$4:$V$4,0))*(1+INDEX('R&amp;B Inputs'!$I$62:$V$62,MATCH($B276,'R&amp;B Inputs'!$I$4:$V$4,0)))^(AY$7-Year1))</f>
        <v>5.2000000000000032E-3</v>
      </c>
      <c r="AZ276" s="508">
        <f>IF(AZ$8=0,0,INDEX('R&amp;B Inputs'!$I$82:$V$82,MATCH($B276,'R&amp;B Inputs'!$I$4:$V$4,0))*(1+INDEX('R&amp;B Inputs'!$I$62:$V$62,MATCH($B276,'R&amp;B Inputs'!$I$4:$V$4,0)))^(AZ$7-Year1))</f>
        <v>5.2000000000000032E-3</v>
      </c>
      <c r="BA276" s="508">
        <f>IF(BA$8=0,0,INDEX('R&amp;B Inputs'!$I$82:$V$82,MATCH($B276,'R&amp;B Inputs'!$I$4:$V$4,0))*(1+INDEX('R&amp;B Inputs'!$I$62:$V$62,MATCH($B276,'R&amp;B Inputs'!$I$4:$V$4,0)))^(BA$7-Year1))</f>
        <v>5.2000000000000032E-3</v>
      </c>
      <c r="BB276" s="508">
        <f>IF(BB$8=0,0,INDEX('R&amp;B Inputs'!$I$82:$V$82,MATCH($B276,'R&amp;B Inputs'!$I$4:$V$4,0))*(1+INDEX('R&amp;B Inputs'!$I$62:$V$62,MATCH($B276,'R&amp;B Inputs'!$I$4:$V$4,0)))^(BB$7-Year1))</f>
        <v>5.2000000000000032E-3</v>
      </c>
      <c r="BC276" s="508">
        <f>IF(BC$8=0,0,INDEX('R&amp;B Inputs'!$I$82:$V$82,MATCH($B276,'R&amp;B Inputs'!$I$4:$V$4,0))*(1+INDEX('R&amp;B Inputs'!$I$62:$V$62,MATCH($B276,'R&amp;B Inputs'!$I$4:$V$4,0)))^(BC$7-Year1))</f>
        <v>5.2000000000000032E-3</v>
      </c>
      <c r="BD276" s="508">
        <f>IF(BD$8=0,0,INDEX('R&amp;B Inputs'!$I$82:$V$82,MATCH($B276,'R&amp;B Inputs'!$I$4:$V$4,0))*(1+INDEX('R&amp;B Inputs'!$I$62:$V$62,MATCH($B276,'R&amp;B Inputs'!$I$4:$V$4,0)))^(BD$7-Year1))</f>
        <v>5.2000000000000032E-3</v>
      </c>
      <c r="BE276" s="508">
        <f>IF(BE$8=0,0,INDEX('R&amp;B Inputs'!$I$82:$V$82,MATCH($B276,'R&amp;B Inputs'!$I$4:$V$4,0))*(1+INDEX('R&amp;B Inputs'!$I$62:$V$62,MATCH($B276,'R&amp;B Inputs'!$I$4:$V$4,0)))^(BE$7-Year1))</f>
        <v>5.2000000000000032E-3</v>
      </c>
      <c r="BF276" s="508">
        <f>IF(BF$8=0,0,INDEX('R&amp;B Inputs'!$I$82:$V$82,MATCH($B276,'R&amp;B Inputs'!$I$4:$V$4,0))*(1+INDEX('R&amp;B Inputs'!$I$62:$V$62,MATCH($B276,'R&amp;B Inputs'!$I$4:$V$4,0)))^(BF$7-Year1))</f>
        <v>5.2000000000000032E-3</v>
      </c>
      <c r="BG276" s="508">
        <f>IF(BG$8=0,0,INDEX('R&amp;B Inputs'!$I$82:$V$82,MATCH($B276,'R&amp;B Inputs'!$I$4:$V$4,0))*(1+INDEX('R&amp;B Inputs'!$I$62:$V$62,MATCH($B276,'R&amp;B Inputs'!$I$4:$V$4,0)))^(BG$7-Year1))</f>
        <v>5.2000000000000032E-3</v>
      </c>
      <c r="BH276" s="508">
        <f>IF(BH$8=0,0,INDEX('R&amp;B Inputs'!$I$82:$V$82,MATCH($B276,'R&amp;B Inputs'!$I$4:$V$4,0))*(1+INDEX('R&amp;B Inputs'!$I$62:$V$62,MATCH($B276,'R&amp;B Inputs'!$I$4:$V$4,0)))^(BH$7-Year1))</f>
        <v>5.2000000000000032E-3</v>
      </c>
      <c r="BI276" s="508">
        <f>IF(BI$8=0,0,INDEX('R&amp;B Inputs'!$I$82:$V$82,MATCH($B276,'R&amp;B Inputs'!$I$4:$V$4,0))*(1+INDEX('R&amp;B Inputs'!$I$62:$V$62,MATCH($B276,'R&amp;B Inputs'!$I$4:$V$4,0)))^(BI$7-Year1))</f>
        <v>5.2000000000000032E-3</v>
      </c>
      <c r="BJ276" s="508">
        <f>IF(BJ$8=0,0,INDEX('R&amp;B Inputs'!$I$82:$V$82,MATCH($B276,'R&amp;B Inputs'!$I$4:$V$4,0))*(1+INDEX('R&amp;B Inputs'!$I$62:$V$62,MATCH($B276,'R&amp;B Inputs'!$I$4:$V$4,0)))^(BJ$7-Year1))</f>
        <v>5.2000000000000032E-3</v>
      </c>
      <c r="BK276" s="508">
        <f>IF(BK$8=0,0,INDEX('R&amp;B Inputs'!$I$82:$V$82,MATCH($B276,'R&amp;B Inputs'!$I$4:$V$4,0))*(1+INDEX('R&amp;B Inputs'!$I$62:$V$62,MATCH($B276,'R&amp;B Inputs'!$I$4:$V$4,0)))^(BK$7-Year1))</f>
        <v>5.2000000000000032E-3</v>
      </c>
      <c r="BL276" s="508">
        <f>IF(BL$8=0,0,INDEX('R&amp;B Inputs'!$I$82:$V$82,MATCH($B276,'R&amp;B Inputs'!$I$4:$V$4,0))*(1+INDEX('R&amp;B Inputs'!$I$62:$V$62,MATCH($B276,'R&amp;B Inputs'!$I$4:$V$4,0)))^(BL$7-Year1))</f>
        <v>5.2000000000000032E-3</v>
      </c>
      <c r="BM276" s="508">
        <f>IF(BM$8=0,0,INDEX('R&amp;B Inputs'!$I$82:$V$82,MATCH($B276,'R&amp;B Inputs'!$I$4:$V$4,0))*(1+INDEX('R&amp;B Inputs'!$I$62:$V$62,MATCH($B276,'R&amp;B Inputs'!$I$4:$V$4,0)))^(BM$7-Year1))</f>
        <v>5.2000000000000032E-3</v>
      </c>
      <c r="BN276" s="508"/>
      <c r="BO276" s="508"/>
      <c r="BP276" s="508">
        <f>IF($C$4=Year1,-PMT(Lookups!$E$17,25,NPV(Lookups!$E$17,AM276:BK276),0,1),IF($C$4=Year2,-PMT(Lookups!$F$17,25,NPV(Lookups!$F$17,AN276:BL276),0,1),IF($C$4=Year3,-PMT(Lookups!$G$17,25,NPV(Lookups!$G$17,AO276:BM276),0,1),-PMT(Lookups!$G$17,27,NPV(Lookups!$G$17,AM276:BM276),0,1))))</f>
        <v>5.1274769975786939E-3</v>
      </c>
      <c r="BS276" s="76" t="str">
        <f t="shared" si="295"/>
        <v>LDAC, Non-EE charge from the R&amp;B Inputs tab, escalated annually by the growth rate included on the R&amp;B Inputs tab.</v>
      </c>
      <c r="BT276" s="51" t="s">
        <v>17</v>
      </c>
    </row>
    <row r="277" spans="1:72" x14ac:dyDescent="0.25">
      <c r="B277" s="243" t="str">
        <f>B275</f>
        <v>Large C&amp;I</v>
      </c>
      <c r="C277" s="243" t="str">
        <f>C275</f>
        <v>Rates</v>
      </c>
      <c r="D277" s="244" t="str">
        <f>D275</f>
        <v>Rates before DSM (No EE Scenario)</v>
      </c>
      <c r="E277" s="84" t="s">
        <v>197</v>
      </c>
      <c r="F277" s="84" t="s">
        <v>182</v>
      </c>
      <c r="G277" s="506">
        <f>IF(G$8=0,0,INDEX('R&amp;B Inputs'!$I$86:$V$86,MATCH($B277,'R&amp;B Inputs'!$I$4:$V$4,0))*(1+INDEX('R&amp;B Inputs'!$I$66:$V$66,MATCH($B277,'R&amp;B Inputs'!$I$4:$V$4,0)))^(G$7-Year1))</f>
        <v>0.61899999999999999</v>
      </c>
      <c r="H277" s="506">
        <f>IF(H$8=0,0,INDEX('R&amp;B Inputs'!$I$86:$V$86,MATCH($B277,'R&amp;B Inputs'!$I$4:$V$4,0))*(1+INDEX('R&amp;B Inputs'!$I$66:$V$66,MATCH($B277,'R&amp;B Inputs'!$I$4:$V$4,0)))^(H$7-Year1))</f>
        <v>0.61899999999999999</v>
      </c>
      <c r="I277" s="506">
        <f>IF(I$8=0,0,INDEX('R&amp;B Inputs'!$I$86:$V$86,MATCH($B277,'R&amp;B Inputs'!$I$4:$V$4,0))*(1+INDEX('R&amp;B Inputs'!$I$66:$V$66,MATCH($B277,'R&amp;B Inputs'!$I$4:$V$4,0)))^(I$7-Year1))</f>
        <v>0.61899999999999999</v>
      </c>
      <c r="J277" s="506">
        <f>IF(J$8=0,0,INDEX('R&amp;B Inputs'!$I$86:$V$86,MATCH($B277,'R&amp;B Inputs'!$I$4:$V$4,0))*(1+INDEX('R&amp;B Inputs'!$I$66:$V$66,MATCH($B277,'R&amp;B Inputs'!$I$4:$V$4,0)))^(J$7-Year1))</f>
        <v>0.61899999999999999</v>
      </c>
      <c r="K277" s="506">
        <f>IF(K$8=0,0,INDEX('R&amp;B Inputs'!$I$86:$V$86,MATCH($B277,'R&amp;B Inputs'!$I$4:$V$4,0))*(1+INDEX('R&amp;B Inputs'!$I$66:$V$66,MATCH($B277,'R&amp;B Inputs'!$I$4:$V$4,0)))^(K$7-Year1))</f>
        <v>0.61899999999999999</v>
      </c>
      <c r="L277" s="506">
        <f>IF(L$8=0,0,INDEX('R&amp;B Inputs'!$I$86:$V$86,MATCH($B277,'R&amp;B Inputs'!$I$4:$V$4,0))*(1+INDEX('R&amp;B Inputs'!$I$66:$V$66,MATCH($B277,'R&amp;B Inputs'!$I$4:$V$4,0)))^(L$7-Year1))</f>
        <v>0.61899999999999999</v>
      </c>
      <c r="M277" s="506">
        <f>IF(M$8=0,0,INDEX('R&amp;B Inputs'!$I$86:$V$86,MATCH($B277,'R&amp;B Inputs'!$I$4:$V$4,0))*(1+INDEX('R&amp;B Inputs'!$I$66:$V$66,MATCH($B277,'R&amp;B Inputs'!$I$4:$V$4,0)))^(M$7-Year1))</f>
        <v>0.61899999999999999</v>
      </c>
      <c r="N277" s="506">
        <f>IF(N$8=0,0,INDEX('R&amp;B Inputs'!$I$86:$V$86,MATCH($B277,'R&amp;B Inputs'!$I$4:$V$4,0))*(1+INDEX('R&amp;B Inputs'!$I$66:$V$66,MATCH($B277,'R&amp;B Inputs'!$I$4:$V$4,0)))^(N$7-Year1))</f>
        <v>0.61899999999999999</v>
      </c>
      <c r="O277" s="506">
        <f>IF(O$8=0,0,INDEX('R&amp;B Inputs'!$I$86:$V$86,MATCH($B277,'R&amp;B Inputs'!$I$4:$V$4,0))*(1+INDEX('R&amp;B Inputs'!$I$66:$V$66,MATCH($B277,'R&amp;B Inputs'!$I$4:$V$4,0)))^(O$7-Year1))</f>
        <v>0.61899999999999999</v>
      </c>
      <c r="P277" s="506">
        <f>IF(P$8=0,0,INDEX('R&amp;B Inputs'!$I$86:$V$86,MATCH($B277,'R&amp;B Inputs'!$I$4:$V$4,0))*(1+INDEX('R&amp;B Inputs'!$I$66:$V$66,MATCH($B277,'R&amp;B Inputs'!$I$4:$V$4,0)))^(P$7-Year1))</f>
        <v>0.61899999999999999</v>
      </c>
      <c r="Q277" s="506">
        <f>IF(Q$8=0,0,INDEX('R&amp;B Inputs'!$I$86:$V$86,MATCH($B277,'R&amp;B Inputs'!$I$4:$V$4,0))*(1+INDEX('R&amp;B Inputs'!$I$66:$V$66,MATCH($B277,'R&amp;B Inputs'!$I$4:$V$4,0)))^(Q$7-Year1))</f>
        <v>0.61899999999999999</v>
      </c>
      <c r="R277" s="506">
        <f>IF(R$8=0,0,INDEX('R&amp;B Inputs'!$I$86:$V$86,MATCH($B277,'R&amp;B Inputs'!$I$4:$V$4,0))*(1+INDEX('R&amp;B Inputs'!$I$66:$V$66,MATCH($B277,'R&amp;B Inputs'!$I$4:$V$4,0)))^(R$7-Year1))</f>
        <v>0.61899999999999999</v>
      </c>
      <c r="S277" s="506">
        <f>IF(S$8=0,0,INDEX('R&amp;B Inputs'!$I$86:$V$86,MATCH($B277,'R&amp;B Inputs'!$I$4:$V$4,0))*(1+INDEX('R&amp;B Inputs'!$I$66:$V$66,MATCH($B277,'R&amp;B Inputs'!$I$4:$V$4,0)))^(S$7-Year1))</f>
        <v>0.61899999999999999</v>
      </c>
      <c r="T277" s="506">
        <f>IF(T$8=0,0,INDEX('R&amp;B Inputs'!$I$86:$V$86,MATCH($B277,'R&amp;B Inputs'!$I$4:$V$4,0))*(1+INDEX('R&amp;B Inputs'!$I$66:$V$66,MATCH($B277,'R&amp;B Inputs'!$I$4:$V$4,0)))^(T$7-Year1))</f>
        <v>0.61899999999999999</v>
      </c>
      <c r="U277" s="506">
        <f>IF(U$8=0,0,INDEX('R&amp;B Inputs'!$I$86:$V$86,MATCH($B277,'R&amp;B Inputs'!$I$4:$V$4,0))*(1+INDEX('R&amp;B Inputs'!$I$66:$V$66,MATCH($B277,'R&amp;B Inputs'!$I$4:$V$4,0)))^(U$7-Year1))</f>
        <v>0.61899999999999999</v>
      </c>
      <c r="V277" s="506">
        <f>IF(V$8=0,0,INDEX('R&amp;B Inputs'!$I$86:$V$86,MATCH($B277,'R&amp;B Inputs'!$I$4:$V$4,0))*(1+INDEX('R&amp;B Inputs'!$I$66:$V$66,MATCH($B277,'R&amp;B Inputs'!$I$4:$V$4,0)))^(V$7-Year1))</f>
        <v>0.61899999999999999</v>
      </c>
      <c r="W277" s="506">
        <f>IF(W$8=0,0,INDEX('R&amp;B Inputs'!$I$86:$V$86,MATCH($B277,'R&amp;B Inputs'!$I$4:$V$4,0))*(1+INDEX('R&amp;B Inputs'!$I$66:$V$66,MATCH($B277,'R&amp;B Inputs'!$I$4:$V$4,0)))^(W$7-Year1))</f>
        <v>0.61899999999999999</v>
      </c>
      <c r="X277" s="506">
        <f>IF(X$8=0,0,INDEX('R&amp;B Inputs'!$I$86:$V$86,MATCH($B277,'R&amp;B Inputs'!$I$4:$V$4,0))*(1+INDEX('R&amp;B Inputs'!$I$66:$V$66,MATCH($B277,'R&amp;B Inputs'!$I$4:$V$4,0)))^(X$7-Year1))</f>
        <v>0.61899999999999999</v>
      </c>
      <c r="Y277" s="506">
        <f>IF(Y$8=0,0,INDEX('R&amp;B Inputs'!$I$86:$V$86,MATCH($B277,'R&amp;B Inputs'!$I$4:$V$4,0))*(1+INDEX('R&amp;B Inputs'!$I$66:$V$66,MATCH($B277,'R&amp;B Inputs'!$I$4:$V$4,0)))^(Y$7-Year1))</f>
        <v>0.61899999999999999</v>
      </c>
      <c r="Z277" s="506">
        <f>IF(Z$8=0,0,INDEX('R&amp;B Inputs'!$I$86:$V$86,MATCH($B277,'R&amp;B Inputs'!$I$4:$V$4,0))*(1+INDEX('R&amp;B Inputs'!$I$66:$V$66,MATCH($B277,'R&amp;B Inputs'!$I$4:$V$4,0)))^(Z$7-Year1))</f>
        <v>0.61899999999999999</v>
      </c>
      <c r="AA277" s="506">
        <f>IF(AA$8=0,0,INDEX('R&amp;B Inputs'!$I$86:$V$86,MATCH($B277,'R&amp;B Inputs'!$I$4:$V$4,0))*(1+INDEX('R&amp;B Inputs'!$I$66:$V$66,MATCH($B277,'R&amp;B Inputs'!$I$4:$V$4,0)))^(AA$7-Year1))</f>
        <v>0.61899999999999999</v>
      </c>
      <c r="AB277" s="506">
        <f>IF(AB$8=0,0,INDEX('R&amp;B Inputs'!$I$86:$V$86,MATCH($B277,'R&amp;B Inputs'!$I$4:$V$4,0))*(1+INDEX('R&amp;B Inputs'!$I$66:$V$66,MATCH($B277,'R&amp;B Inputs'!$I$4:$V$4,0)))^(AB$7-Year1))</f>
        <v>0.61899999999999999</v>
      </c>
      <c r="AC277" s="506">
        <f>IF(AC$8=0,0,INDEX('R&amp;B Inputs'!$I$86:$V$86,MATCH($B277,'R&amp;B Inputs'!$I$4:$V$4,0))*(1+INDEX('R&amp;B Inputs'!$I$66:$V$66,MATCH($B277,'R&amp;B Inputs'!$I$4:$V$4,0)))^(AC$7-Year1))</f>
        <v>0.61899999999999999</v>
      </c>
      <c r="AD277" s="506">
        <f>IF(AD$8=0,0,INDEX('R&amp;B Inputs'!$I$86:$V$86,MATCH($B277,'R&amp;B Inputs'!$I$4:$V$4,0))*(1+INDEX('R&amp;B Inputs'!$I$66:$V$66,MATCH($B277,'R&amp;B Inputs'!$I$4:$V$4,0)))^(AD$7-Year1))</f>
        <v>0.61899999999999999</v>
      </c>
      <c r="AE277" s="506">
        <f>IF(AE$8=0,0,INDEX('R&amp;B Inputs'!$I$86:$V$86,MATCH($B277,'R&amp;B Inputs'!$I$4:$V$4,0))*(1+INDEX('R&amp;B Inputs'!$I$66:$V$66,MATCH($B277,'R&amp;B Inputs'!$I$4:$V$4,0)))^(AE$7-Year1))</f>
        <v>0.61899999999999999</v>
      </c>
      <c r="AF277" s="506">
        <f>IF(AF$8=0,0,INDEX('R&amp;B Inputs'!$I$86:$V$86,MATCH($B277,'R&amp;B Inputs'!$I$4:$V$4,0))*(1+INDEX('R&amp;B Inputs'!$I$66:$V$66,MATCH($B277,'R&amp;B Inputs'!$I$4:$V$4,0)))^(AF$7-Year1))</f>
        <v>0.61899999999999999</v>
      </c>
      <c r="AG277" s="506">
        <f>IF(AG$8=0,0,INDEX('R&amp;B Inputs'!$I$86:$V$86,MATCH($B277,'R&amp;B Inputs'!$I$4:$V$4,0))*(1+INDEX('R&amp;B Inputs'!$I$66:$V$66,MATCH($B277,'R&amp;B Inputs'!$I$4:$V$4,0)))^(AG$7-Year1))</f>
        <v>0.61899999999999999</v>
      </c>
      <c r="AH277" s="506"/>
      <c r="AI277" s="506"/>
      <c r="AJ277" s="506">
        <f>IF($C$4=Year1,-PMT(Lookups!$E$17,25,NPV(Lookups!$E$17,G277:AE277),0,1),IF($C$4=Year2,-PMT(Lookups!$F$17,25,NPV(Lookups!$F$17,H277:AF277),0,1),IF($C$4=Year3,-PMT(Lookups!$G$17,25,NPV(Lookups!$G$17,I277:AG277),0,1),-PMT(Lookups!$G$17,27,NPV(Lookups!$G$17,G277:AG277),0,1))))</f>
        <v>0.61036697336561752</v>
      </c>
      <c r="AK277" s="507"/>
      <c r="AL277" s="507"/>
      <c r="AM277" s="508">
        <f>IF(AM$8=0,0,INDEX('R&amp;B Inputs'!$I$86:$V$86,MATCH($B277,'R&amp;B Inputs'!$I$4:$V$4,0))*(1+INDEX('R&amp;B Inputs'!$I$66:$V$66,MATCH($B277,'R&amp;B Inputs'!$I$4:$V$4,0)))^(AM$7-Year1))</f>
        <v>0.61899999999999999</v>
      </c>
      <c r="AN277" s="508">
        <f>IF(AN$8=0,0,INDEX('R&amp;B Inputs'!$I$86:$V$86,MATCH($B277,'R&amp;B Inputs'!$I$4:$V$4,0))*(1+INDEX('R&amp;B Inputs'!$I$66:$V$66,MATCH($B277,'R&amp;B Inputs'!$I$4:$V$4,0)))^(AN$7-Year1))</f>
        <v>0.61899999999999999</v>
      </c>
      <c r="AO277" s="508">
        <f>IF(AO$8=0,0,INDEX('R&amp;B Inputs'!$I$86:$V$86,MATCH($B277,'R&amp;B Inputs'!$I$4:$V$4,0))*(1+INDEX('R&amp;B Inputs'!$I$66:$V$66,MATCH($B277,'R&amp;B Inputs'!$I$4:$V$4,0)))^(AO$7-Year1))</f>
        <v>0.61899999999999999</v>
      </c>
      <c r="AP277" s="508">
        <f>IF(AP$8=0,0,INDEX('R&amp;B Inputs'!$I$86:$V$86,MATCH($B277,'R&amp;B Inputs'!$I$4:$V$4,0))*(1+INDEX('R&amp;B Inputs'!$I$66:$V$66,MATCH($B277,'R&amp;B Inputs'!$I$4:$V$4,0)))^(AP$7-Year1))</f>
        <v>0.61899999999999999</v>
      </c>
      <c r="AQ277" s="508">
        <f>IF(AQ$8=0,0,INDEX('R&amp;B Inputs'!$I$86:$V$86,MATCH($B277,'R&amp;B Inputs'!$I$4:$V$4,0))*(1+INDEX('R&amp;B Inputs'!$I$66:$V$66,MATCH($B277,'R&amp;B Inputs'!$I$4:$V$4,0)))^(AQ$7-Year1))</f>
        <v>0.61899999999999999</v>
      </c>
      <c r="AR277" s="508">
        <f>IF(AR$8=0,0,INDEX('R&amp;B Inputs'!$I$86:$V$86,MATCH($B277,'R&amp;B Inputs'!$I$4:$V$4,0))*(1+INDEX('R&amp;B Inputs'!$I$66:$V$66,MATCH($B277,'R&amp;B Inputs'!$I$4:$V$4,0)))^(AR$7-Year1))</f>
        <v>0.61899999999999999</v>
      </c>
      <c r="AS277" s="508">
        <f>IF(AS$8=0,0,INDEX('R&amp;B Inputs'!$I$86:$V$86,MATCH($B277,'R&amp;B Inputs'!$I$4:$V$4,0))*(1+INDEX('R&amp;B Inputs'!$I$66:$V$66,MATCH($B277,'R&amp;B Inputs'!$I$4:$V$4,0)))^(AS$7-Year1))</f>
        <v>0.61899999999999999</v>
      </c>
      <c r="AT277" s="508">
        <f>IF(AT$8=0,0,INDEX('R&amp;B Inputs'!$I$86:$V$86,MATCH($B277,'R&amp;B Inputs'!$I$4:$V$4,0))*(1+INDEX('R&amp;B Inputs'!$I$66:$V$66,MATCH($B277,'R&amp;B Inputs'!$I$4:$V$4,0)))^(AT$7-Year1))</f>
        <v>0.61899999999999999</v>
      </c>
      <c r="AU277" s="508">
        <f>IF(AU$8=0,0,INDEX('R&amp;B Inputs'!$I$86:$V$86,MATCH($B277,'R&amp;B Inputs'!$I$4:$V$4,0))*(1+INDEX('R&amp;B Inputs'!$I$66:$V$66,MATCH($B277,'R&amp;B Inputs'!$I$4:$V$4,0)))^(AU$7-Year1))</f>
        <v>0.61899999999999999</v>
      </c>
      <c r="AV277" s="508">
        <f>IF(AV$8=0,0,INDEX('R&amp;B Inputs'!$I$86:$V$86,MATCH($B277,'R&amp;B Inputs'!$I$4:$V$4,0))*(1+INDEX('R&amp;B Inputs'!$I$66:$V$66,MATCH($B277,'R&amp;B Inputs'!$I$4:$V$4,0)))^(AV$7-Year1))</f>
        <v>0.61899999999999999</v>
      </c>
      <c r="AW277" s="508">
        <f>IF(AW$8=0,0,INDEX('R&amp;B Inputs'!$I$86:$V$86,MATCH($B277,'R&amp;B Inputs'!$I$4:$V$4,0))*(1+INDEX('R&amp;B Inputs'!$I$66:$V$66,MATCH($B277,'R&amp;B Inputs'!$I$4:$V$4,0)))^(AW$7-Year1))</f>
        <v>0.61899999999999999</v>
      </c>
      <c r="AX277" s="508">
        <f>IF(AX$8=0,0,INDEX('R&amp;B Inputs'!$I$86:$V$86,MATCH($B277,'R&amp;B Inputs'!$I$4:$V$4,0))*(1+INDEX('R&amp;B Inputs'!$I$66:$V$66,MATCH($B277,'R&amp;B Inputs'!$I$4:$V$4,0)))^(AX$7-Year1))</f>
        <v>0.61899999999999999</v>
      </c>
      <c r="AY277" s="508">
        <f>IF(AY$8=0,0,INDEX('R&amp;B Inputs'!$I$86:$V$86,MATCH($B277,'R&amp;B Inputs'!$I$4:$V$4,0))*(1+INDEX('R&amp;B Inputs'!$I$66:$V$66,MATCH($B277,'R&amp;B Inputs'!$I$4:$V$4,0)))^(AY$7-Year1))</f>
        <v>0.61899999999999999</v>
      </c>
      <c r="AZ277" s="508">
        <f>IF(AZ$8=0,0,INDEX('R&amp;B Inputs'!$I$86:$V$86,MATCH($B277,'R&amp;B Inputs'!$I$4:$V$4,0))*(1+INDEX('R&amp;B Inputs'!$I$66:$V$66,MATCH($B277,'R&amp;B Inputs'!$I$4:$V$4,0)))^(AZ$7-Year1))</f>
        <v>0.61899999999999999</v>
      </c>
      <c r="BA277" s="508">
        <f>IF(BA$8=0,0,INDEX('R&amp;B Inputs'!$I$86:$V$86,MATCH($B277,'R&amp;B Inputs'!$I$4:$V$4,0))*(1+INDEX('R&amp;B Inputs'!$I$66:$V$66,MATCH($B277,'R&amp;B Inputs'!$I$4:$V$4,0)))^(BA$7-Year1))</f>
        <v>0.61899999999999999</v>
      </c>
      <c r="BB277" s="508">
        <f>IF(BB$8=0,0,INDEX('R&amp;B Inputs'!$I$86:$V$86,MATCH($B277,'R&amp;B Inputs'!$I$4:$V$4,0))*(1+INDEX('R&amp;B Inputs'!$I$66:$V$66,MATCH($B277,'R&amp;B Inputs'!$I$4:$V$4,0)))^(BB$7-Year1))</f>
        <v>0.61899999999999999</v>
      </c>
      <c r="BC277" s="508">
        <f>IF(BC$8=0,0,INDEX('R&amp;B Inputs'!$I$86:$V$86,MATCH($B277,'R&amp;B Inputs'!$I$4:$V$4,0))*(1+INDEX('R&amp;B Inputs'!$I$66:$V$66,MATCH($B277,'R&amp;B Inputs'!$I$4:$V$4,0)))^(BC$7-Year1))</f>
        <v>0.61899999999999999</v>
      </c>
      <c r="BD277" s="508">
        <f>IF(BD$8=0,0,INDEX('R&amp;B Inputs'!$I$86:$V$86,MATCH($B277,'R&amp;B Inputs'!$I$4:$V$4,0))*(1+INDEX('R&amp;B Inputs'!$I$66:$V$66,MATCH($B277,'R&amp;B Inputs'!$I$4:$V$4,0)))^(BD$7-Year1))</f>
        <v>0.61899999999999999</v>
      </c>
      <c r="BE277" s="508">
        <f>IF(BE$8=0,0,INDEX('R&amp;B Inputs'!$I$86:$V$86,MATCH($B277,'R&amp;B Inputs'!$I$4:$V$4,0))*(1+INDEX('R&amp;B Inputs'!$I$66:$V$66,MATCH($B277,'R&amp;B Inputs'!$I$4:$V$4,0)))^(BE$7-Year1))</f>
        <v>0.61899999999999999</v>
      </c>
      <c r="BF277" s="508">
        <f>IF(BF$8=0,0,INDEX('R&amp;B Inputs'!$I$86:$V$86,MATCH($B277,'R&amp;B Inputs'!$I$4:$V$4,0))*(1+INDEX('R&amp;B Inputs'!$I$66:$V$66,MATCH($B277,'R&amp;B Inputs'!$I$4:$V$4,0)))^(BF$7-Year1))</f>
        <v>0.61899999999999999</v>
      </c>
      <c r="BG277" s="508">
        <f>IF(BG$8=0,0,INDEX('R&amp;B Inputs'!$I$86:$V$86,MATCH($B277,'R&amp;B Inputs'!$I$4:$V$4,0))*(1+INDEX('R&amp;B Inputs'!$I$66:$V$66,MATCH($B277,'R&amp;B Inputs'!$I$4:$V$4,0)))^(BG$7-Year1))</f>
        <v>0.61899999999999999</v>
      </c>
      <c r="BH277" s="508">
        <f>IF(BH$8=0,0,INDEX('R&amp;B Inputs'!$I$86:$V$86,MATCH($B277,'R&amp;B Inputs'!$I$4:$V$4,0))*(1+INDEX('R&amp;B Inputs'!$I$66:$V$66,MATCH($B277,'R&amp;B Inputs'!$I$4:$V$4,0)))^(BH$7-Year1))</f>
        <v>0.61899999999999999</v>
      </c>
      <c r="BI277" s="508">
        <f>IF(BI$8=0,0,INDEX('R&amp;B Inputs'!$I$86:$V$86,MATCH($B277,'R&amp;B Inputs'!$I$4:$V$4,0))*(1+INDEX('R&amp;B Inputs'!$I$66:$V$66,MATCH($B277,'R&amp;B Inputs'!$I$4:$V$4,0)))^(BI$7-Year1))</f>
        <v>0.61899999999999999</v>
      </c>
      <c r="BJ277" s="508">
        <f>IF(BJ$8=0,0,INDEX('R&amp;B Inputs'!$I$86:$V$86,MATCH($B277,'R&amp;B Inputs'!$I$4:$V$4,0))*(1+INDEX('R&amp;B Inputs'!$I$66:$V$66,MATCH($B277,'R&amp;B Inputs'!$I$4:$V$4,0)))^(BJ$7-Year1))</f>
        <v>0.61899999999999999</v>
      </c>
      <c r="BK277" s="508">
        <f>IF(BK$8=0,0,INDEX('R&amp;B Inputs'!$I$86:$V$86,MATCH($B277,'R&amp;B Inputs'!$I$4:$V$4,0))*(1+INDEX('R&amp;B Inputs'!$I$66:$V$66,MATCH($B277,'R&amp;B Inputs'!$I$4:$V$4,0)))^(BK$7-Year1))</f>
        <v>0.61899999999999999</v>
      </c>
      <c r="BL277" s="508">
        <f>IF(BL$8=0,0,INDEX('R&amp;B Inputs'!$I$86:$V$86,MATCH($B277,'R&amp;B Inputs'!$I$4:$V$4,0))*(1+INDEX('R&amp;B Inputs'!$I$66:$V$66,MATCH($B277,'R&amp;B Inputs'!$I$4:$V$4,0)))^(BL$7-Year1))</f>
        <v>0.61899999999999999</v>
      </c>
      <c r="BM277" s="508">
        <f>IF(BM$8=0,0,INDEX('R&amp;B Inputs'!$I$86:$V$86,MATCH($B277,'R&amp;B Inputs'!$I$4:$V$4,0))*(1+INDEX('R&amp;B Inputs'!$I$66:$V$66,MATCH($B277,'R&amp;B Inputs'!$I$4:$V$4,0)))^(BM$7-Year1))</f>
        <v>0.61899999999999999</v>
      </c>
      <c r="BN277" s="508"/>
      <c r="BO277" s="508"/>
      <c r="BP277" s="508">
        <f>IF($C$4=Year1,-PMT(Lookups!$E$17,25,NPV(Lookups!$E$17,AM277:BK277),0,1),IF($C$4=Year2,-PMT(Lookups!$F$17,25,NPV(Lookups!$F$17,AN277:BL277),0,1),IF($C$4=Year3,-PMT(Lookups!$G$17,25,NPV(Lookups!$G$17,AO277:BM277),0,1),-PMT(Lookups!$G$17,27,NPV(Lookups!$G$17,AM277:BM277),0,1))))</f>
        <v>0.61036697336561752</v>
      </c>
      <c r="BS277" s="76" t="str">
        <f t="shared" si="295"/>
        <v>Cost of Gas charge from the R&amp;B Inputs tab, escalated annually by the growth rate included on the R&amp;B Inputs tab.</v>
      </c>
      <c r="BT277" s="51" t="s">
        <v>17</v>
      </c>
    </row>
    <row r="278" spans="1:72" x14ac:dyDescent="0.25">
      <c r="B278" s="243" t="str">
        <f>B279</f>
        <v>Large C&amp;I</v>
      </c>
      <c r="C278" s="243" t="str">
        <f>C279</f>
        <v>Rates</v>
      </c>
      <c r="D278" s="244" t="str">
        <f>D279</f>
        <v>Rates before DSM (No EE Scenario)</v>
      </c>
      <c r="E278" s="86" t="s">
        <v>75</v>
      </c>
      <c r="F278" s="84" t="s">
        <v>182</v>
      </c>
      <c r="G278" s="506">
        <f>IF(G$8=0,0,INDEX('R&amp;B Inputs'!$H$73:$U$73,MATCH($B277,'R&amp;B Inputs'!$H$4:$U$4,0))*(1+INDEX('R&amp;B Inputs'!$H$46:$U$46,MATCH($B277,'R&amp;B Inputs'!$H$4:$U$4,0)))^(G$7-Year1))</f>
        <v>4.271893828439878E-2</v>
      </c>
      <c r="H278" s="506">
        <f>IF(H$8=0,0,INDEX('R&amp;B Inputs'!$H$73:$U$73,MATCH($B277,'R&amp;B Inputs'!$H$4:$U$4,0))*(1+INDEX('R&amp;B Inputs'!$H$46:$U$46,MATCH($B277,'R&amp;B Inputs'!$H$4:$U$4,0)))^(H$7-Year1))</f>
        <v>4.271893828439878E-2</v>
      </c>
      <c r="I278" s="506">
        <f>IF(I$8=0,0,INDEX('R&amp;B Inputs'!$H$73:$U$73,MATCH($B277,'R&amp;B Inputs'!$H$4:$U$4,0))*(1+INDEX('R&amp;B Inputs'!$H$46:$U$46,MATCH($B277,'R&amp;B Inputs'!$H$4:$U$4,0)))^(I$7-Year1))</f>
        <v>4.271893828439878E-2</v>
      </c>
      <c r="J278" s="506">
        <f>IF(J$8=0,0,INDEX('R&amp;B Inputs'!$H$73:$U$73,MATCH($B277,'R&amp;B Inputs'!$H$4:$U$4,0))*(1+INDEX('R&amp;B Inputs'!$H$46:$U$46,MATCH($B277,'R&amp;B Inputs'!$H$4:$U$4,0)))^(J$7-Year1))</f>
        <v>4.271893828439878E-2</v>
      </c>
      <c r="K278" s="506">
        <f>IF(K$8=0,0,INDEX('R&amp;B Inputs'!$H$73:$U$73,MATCH($B277,'R&amp;B Inputs'!$H$4:$U$4,0))*(1+INDEX('R&amp;B Inputs'!$H$46:$U$46,MATCH($B277,'R&amp;B Inputs'!$H$4:$U$4,0)))^(K$7-Year1))</f>
        <v>4.271893828439878E-2</v>
      </c>
      <c r="L278" s="506">
        <f>IF(L$8=0,0,INDEX('R&amp;B Inputs'!$H$73:$U$73,MATCH($B277,'R&amp;B Inputs'!$H$4:$U$4,0))*(1+INDEX('R&amp;B Inputs'!$H$46:$U$46,MATCH($B277,'R&amp;B Inputs'!$H$4:$U$4,0)))^(L$7-Year1))</f>
        <v>4.271893828439878E-2</v>
      </c>
      <c r="M278" s="506">
        <f>IF(M$8=0,0,INDEX('R&amp;B Inputs'!$H$73:$U$73,MATCH($B277,'R&amp;B Inputs'!$H$4:$U$4,0))*(1+INDEX('R&amp;B Inputs'!$H$46:$U$46,MATCH($B277,'R&amp;B Inputs'!$H$4:$U$4,0)))^(M$7-Year1))</f>
        <v>4.271893828439878E-2</v>
      </c>
      <c r="N278" s="506">
        <f>IF(N$8=0,0,INDEX('R&amp;B Inputs'!$H$73:$U$73,MATCH($B277,'R&amp;B Inputs'!$H$4:$U$4,0))*(1+INDEX('R&amp;B Inputs'!$H$46:$U$46,MATCH($B277,'R&amp;B Inputs'!$H$4:$U$4,0)))^(N$7-Year1))</f>
        <v>4.271893828439878E-2</v>
      </c>
      <c r="O278" s="506">
        <f>IF(O$8=0,0,INDEX('R&amp;B Inputs'!$H$73:$U$73,MATCH($B277,'R&amp;B Inputs'!$H$4:$U$4,0))*(1+INDEX('R&amp;B Inputs'!$H$46:$U$46,MATCH($B277,'R&amp;B Inputs'!$H$4:$U$4,0)))^(O$7-Year1))</f>
        <v>4.271893828439878E-2</v>
      </c>
      <c r="P278" s="506">
        <f>IF(P$8=0,0,INDEX('R&amp;B Inputs'!$H$73:$U$73,MATCH($B277,'R&amp;B Inputs'!$H$4:$U$4,0))*(1+INDEX('R&amp;B Inputs'!$H$46:$U$46,MATCH($B277,'R&amp;B Inputs'!$H$4:$U$4,0)))^(P$7-Year1))</f>
        <v>4.271893828439878E-2</v>
      </c>
      <c r="Q278" s="506">
        <f>IF(Q$8=0,0,INDEX('R&amp;B Inputs'!$H$73:$U$73,MATCH($B277,'R&amp;B Inputs'!$H$4:$U$4,0))*(1+INDEX('R&amp;B Inputs'!$H$46:$U$46,MATCH($B277,'R&amp;B Inputs'!$H$4:$U$4,0)))^(Q$7-Year1))</f>
        <v>4.271893828439878E-2</v>
      </c>
      <c r="R278" s="506">
        <f>IF(R$8=0,0,INDEX('R&amp;B Inputs'!$H$73:$U$73,MATCH($B277,'R&amp;B Inputs'!$H$4:$U$4,0))*(1+INDEX('R&amp;B Inputs'!$H$46:$U$46,MATCH($B277,'R&amp;B Inputs'!$H$4:$U$4,0)))^(R$7-Year1))</f>
        <v>4.271893828439878E-2</v>
      </c>
      <c r="S278" s="506">
        <f>IF(S$8=0,0,INDEX('R&amp;B Inputs'!$H$73:$U$73,MATCH($B277,'R&amp;B Inputs'!$H$4:$U$4,0))*(1+INDEX('R&amp;B Inputs'!$H$46:$U$46,MATCH($B277,'R&amp;B Inputs'!$H$4:$U$4,0)))^(S$7-Year1))</f>
        <v>4.271893828439878E-2</v>
      </c>
      <c r="T278" s="506">
        <f>IF(T$8=0,0,INDEX('R&amp;B Inputs'!$H$73:$U$73,MATCH($B277,'R&amp;B Inputs'!$H$4:$U$4,0))*(1+INDEX('R&amp;B Inputs'!$H$46:$U$46,MATCH($B277,'R&amp;B Inputs'!$H$4:$U$4,0)))^(T$7-Year1))</f>
        <v>4.271893828439878E-2</v>
      </c>
      <c r="U278" s="506">
        <f>IF(U$8=0,0,INDEX('R&amp;B Inputs'!$H$73:$U$73,MATCH($B277,'R&amp;B Inputs'!$H$4:$U$4,0))*(1+INDEX('R&amp;B Inputs'!$H$46:$U$46,MATCH($B277,'R&amp;B Inputs'!$H$4:$U$4,0)))^(U$7-Year1))</f>
        <v>4.271893828439878E-2</v>
      </c>
      <c r="V278" s="506">
        <f>IF(V$8=0,0,INDEX('R&amp;B Inputs'!$H$73:$U$73,MATCH($B277,'R&amp;B Inputs'!$H$4:$U$4,0))*(1+INDEX('R&amp;B Inputs'!$H$46:$U$46,MATCH($B277,'R&amp;B Inputs'!$H$4:$U$4,0)))^(V$7-Year1))</f>
        <v>4.271893828439878E-2</v>
      </c>
      <c r="W278" s="506">
        <f>IF(W$8=0,0,INDEX('R&amp;B Inputs'!$H$73:$U$73,MATCH($B277,'R&amp;B Inputs'!$H$4:$U$4,0))*(1+INDEX('R&amp;B Inputs'!$H$46:$U$46,MATCH($B277,'R&amp;B Inputs'!$H$4:$U$4,0)))^(W$7-Year1))</f>
        <v>4.271893828439878E-2</v>
      </c>
      <c r="X278" s="506">
        <f>IF(X$8=0,0,INDEX('R&amp;B Inputs'!$H$73:$U$73,MATCH($B277,'R&amp;B Inputs'!$H$4:$U$4,0))*(1+INDEX('R&amp;B Inputs'!$H$46:$U$46,MATCH($B277,'R&amp;B Inputs'!$H$4:$U$4,0)))^(X$7-Year1))</f>
        <v>4.271893828439878E-2</v>
      </c>
      <c r="Y278" s="506">
        <f>IF(Y$8=0,0,INDEX('R&amp;B Inputs'!$H$73:$U$73,MATCH($B277,'R&amp;B Inputs'!$H$4:$U$4,0))*(1+INDEX('R&amp;B Inputs'!$H$46:$U$46,MATCH($B277,'R&amp;B Inputs'!$H$4:$U$4,0)))^(Y$7-Year1))</f>
        <v>4.271893828439878E-2</v>
      </c>
      <c r="Z278" s="506">
        <f>IF(Z$8=0,0,INDEX('R&amp;B Inputs'!$H$73:$U$73,MATCH($B277,'R&amp;B Inputs'!$H$4:$U$4,0))*(1+INDEX('R&amp;B Inputs'!$H$46:$U$46,MATCH($B277,'R&amp;B Inputs'!$H$4:$U$4,0)))^(Z$7-Year1))</f>
        <v>4.271893828439878E-2</v>
      </c>
      <c r="AA278" s="506">
        <f>IF(AA$8=0,0,INDEX('R&amp;B Inputs'!$H$73:$U$73,MATCH($B277,'R&amp;B Inputs'!$H$4:$U$4,0))*(1+INDEX('R&amp;B Inputs'!$H$46:$U$46,MATCH($B277,'R&amp;B Inputs'!$H$4:$U$4,0)))^(AA$7-Year1))</f>
        <v>4.271893828439878E-2</v>
      </c>
      <c r="AB278" s="506">
        <f>IF(AB$8=0,0,INDEX('R&amp;B Inputs'!$H$73:$U$73,MATCH($B277,'R&amp;B Inputs'!$H$4:$U$4,0))*(1+INDEX('R&amp;B Inputs'!$H$46:$U$46,MATCH($B277,'R&amp;B Inputs'!$H$4:$U$4,0)))^(AB$7-Year1))</f>
        <v>4.271893828439878E-2</v>
      </c>
      <c r="AC278" s="506">
        <f>IF(AC$8=0,0,INDEX('R&amp;B Inputs'!$H$73:$U$73,MATCH($B277,'R&amp;B Inputs'!$H$4:$U$4,0))*(1+INDEX('R&amp;B Inputs'!$H$46:$U$46,MATCH($B277,'R&amp;B Inputs'!$H$4:$U$4,0)))^(AC$7-Year1))</f>
        <v>4.271893828439878E-2</v>
      </c>
      <c r="AD278" s="506">
        <f>IF(AD$8=0,0,INDEX('R&amp;B Inputs'!$H$73:$U$73,MATCH($B277,'R&amp;B Inputs'!$H$4:$U$4,0))*(1+INDEX('R&amp;B Inputs'!$H$46:$U$46,MATCH($B277,'R&amp;B Inputs'!$H$4:$U$4,0)))^(AD$7-Year1))</f>
        <v>4.271893828439878E-2</v>
      </c>
      <c r="AE278" s="506">
        <f>IF(AE$8=0,0,INDEX('R&amp;B Inputs'!$H$73:$U$73,MATCH($B277,'R&amp;B Inputs'!$H$4:$U$4,0))*(1+INDEX('R&amp;B Inputs'!$H$46:$U$46,MATCH($B277,'R&amp;B Inputs'!$H$4:$U$4,0)))^(AE$7-Year1))</f>
        <v>4.271893828439878E-2</v>
      </c>
      <c r="AF278" s="506">
        <f>IF(AF$8=0,0,INDEX('R&amp;B Inputs'!$H$73:$U$73,MATCH($B277,'R&amp;B Inputs'!$H$4:$U$4,0))*(1+INDEX('R&amp;B Inputs'!$H$46:$U$46,MATCH($B277,'R&amp;B Inputs'!$H$4:$U$4,0)))^(AF$7-Year1))</f>
        <v>4.271893828439878E-2</v>
      </c>
      <c r="AG278" s="506">
        <f>IF(AG$8=0,0,INDEX('R&amp;B Inputs'!$H$73:$U$73,MATCH($B277,'R&amp;B Inputs'!$H$4:$U$4,0))*(1+INDEX('R&amp;B Inputs'!$H$46:$U$46,MATCH($B277,'R&amp;B Inputs'!$H$4:$U$4,0)))^(AG$7-Year1))</f>
        <v>4.271893828439878E-2</v>
      </c>
      <c r="AH278" s="506"/>
      <c r="AI278" s="506"/>
      <c r="AJ278" s="506">
        <f>IF($C$4=Year1,-PMT(Lookups!$E$17,25,NPV(Lookups!$E$17,G278:AE278),0,1),IF($C$4=Year2,-PMT(Lookups!$F$17,25,NPV(Lookups!$F$17,H278:AF278),0,1),IF($C$4=Year3,-PMT(Lookups!$G$17,25,NPV(Lookups!$G$17,I278:AG278),0,1),-PMT(Lookups!$G$17,27,NPV(Lookups!$G$17,G278:AG278),0,1))))</f>
        <v>4.2123148733507407E-2</v>
      </c>
      <c r="AK278" s="507"/>
      <c r="AL278" s="507"/>
      <c r="AM278" s="508">
        <f>IF(AM$8=0,0,INDEX('R&amp;B Inputs'!$H$73:$U$73,MATCH($B277,'R&amp;B Inputs'!$H$4:$U$4,0))*(1+INDEX('R&amp;B Inputs'!$H$46:$U$46,MATCH($B277,'R&amp;B Inputs'!$H$4:$U$4,0)))^(AM$7-Year1))</f>
        <v>4.271893828439878E-2</v>
      </c>
      <c r="AN278" s="508">
        <f>IF(AN$8=0,0,INDEX('R&amp;B Inputs'!$H$73:$U$73,MATCH($B277,'R&amp;B Inputs'!$H$4:$U$4,0))*(1+INDEX('R&amp;B Inputs'!$H$46:$U$46,MATCH($B277,'R&amp;B Inputs'!$H$4:$U$4,0)))^(AN$7-Year1))</f>
        <v>4.271893828439878E-2</v>
      </c>
      <c r="AO278" s="508">
        <f>IF(AO$8=0,0,INDEX('R&amp;B Inputs'!$H$73:$U$73,MATCH($B277,'R&amp;B Inputs'!$H$4:$U$4,0))*(1+INDEX('R&amp;B Inputs'!$H$46:$U$46,MATCH($B277,'R&amp;B Inputs'!$H$4:$U$4,0)))^(AO$7-Year1))</f>
        <v>4.271893828439878E-2</v>
      </c>
      <c r="AP278" s="508">
        <f>IF(AP$8=0,0,INDEX('R&amp;B Inputs'!$H$73:$U$73,MATCH($B277,'R&amp;B Inputs'!$H$4:$U$4,0))*(1+INDEX('R&amp;B Inputs'!$H$46:$U$46,MATCH($B277,'R&amp;B Inputs'!$H$4:$U$4,0)))^(AP$7-Year1))</f>
        <v>4.271893828439878E-2</v>
      </c>
      <c r="AQ278" s="508">
        <f>IF(AQ$8=0,0,INDEX('R&amp;B Inputs'!$H$73:$U$73,MATCH($B277,'R&amp;B Inputs'!$H$4:$U$4,0))*(1+INDEX('R&amp;B Inputs'!$H$46:$U$46,MATCH($B277,'R&amp;B Inputs'!$H$4:$U$4,0)))^(AQ$7-Year1))</f>
        <v>4.271893828439878E-2</v>
      </c>
      <c r="AR278" s="508">
        <f>IF(AR$8=0,0,INDEX('R&amp;B Inputs'!$H$73:$U$73,MATCH($B277,'R&amp;B Inputs'!$H$4:$U$4,0))*(1+INDEX('R&amp;B Inputs'!$H$46:$U$46,MATCH($B277,'R&amp;B Inputs'!$H$4:$U$4,0)))^(AR$7-Year1))</f>
        <v>4.271893828439878E-2</v>
      </c>
      <c r="AS278" s="508">
        <f>IF(AS$8=0,0,INDEX('R&amp;B Inputs'!$H$73:$U$73,MATCH($B277,'R&amp;B Inputs'!$H$4:$U$4,0))*(1+INDEX('R&amp;B Inputs'!$H$46:$U$46,MATCH($B277,'R&amp;B Inputs'!$H$4:$U$4,0)))^(AS$7-Year1))</f>
        <v>4.271893828439878E-2</v>
      </c>
      <c r="AT278" s="508">
        <f>IF(AT$8=0,0,INDEX('R&amp;B Inputs'!$H$73:$U$73,MATCH($B277,'R&amp;B Inputs'!$H$4:$U$4,0))*(1+INDEX('R&amp;B Inputs'!$H$46:$U$46,MATCH($B277,'R&amp;B Inputs'!$H$4:$U$4,0)))^(AT$7-Year1))</f>
        <v>4.271893828439878E-2</v>
      </c>
      <c r="AU278" s="508">
        <f>IF(AU$8=0,0,INDEX('R&amp;B Inputs'!$H$73:$U$73,MATCH($B277,'R&amp;B Inputs'!$H$4:$U$4,0))*(1+INDEX('R&amp;B Inputs'!$H$46:$U$46,MATCH($B277,'R&amp;B Inputs'!$H$4:$U$4,0)))^(AU$7-Year1))</f>
        <v>4.271893828439878E-2</v>
      </c>
      <c r="AV278" s="508">
        <f>IF(AV$8=0,0,INDEX('R&amp;B Inputs'!$H$73:$U$73,MATCH($B277,'R&amp;B Inputs'!$H$4:$U$4,0))*(1+INDEX('R&amp;B Inputs'!$H$46:$U$46,MATCH($B277,'R&amp;B Inputs'!$H$4:$U$4,0)))^(AV$7-Year1))</f>
        <v>4.271893828439878E-2</v>
      </c>
      <c r="AW278" s="508">
        <f>IF(AW$8=0,0,INDEX('R&amp;B Inputs'!$H$73:$U$73,MATCH($B277,'R&amp;B Inputs'!$H$4:$U$4,0))*(1+INDEX('R&amp;B Inputs'!$H$46:$U$46,MATCH($B277,'R&amp;B Inputs'!$H$4:$U$4,0)))^(AW$7-Year1))</f>
        <v>4.271893828439878E-2</v>
      </c>
      <c r="AX278" s="508">
        <f>IF(AX$8=0,0,INDEX('R&amp;B Inputs'!$H$73:$U$73,MATCH($B277,'R&amp;B Inputs'!$H$4:$U$4,0))*(1+INDEX('R&amp;B Inputs'!$H$46:$U$46,MATCH($B277,'R&amp;B Inputs'!$H$4:$U$4,0)))^(AX$7-Year1))</f>
        <v>4.271893828439878E-2</v>
      </c>
      <c r="AY278" s="508">
        <f>IF(AY$8=0,0,INDEX('R&amp;B Inputs'!$H$73:$U$73,MATCH($B277,'R&amp;B Inputs'!$H$4:$U$4,0))*(1+INDEX('R&amp;B Inputs'!$H$46:$U$46,MATCH($B277,'R&amp;B Inputs'!$H$4:$U$4,0)))^(AY$7-Year1))</f>
        <v>4.271893828439878E-2</v>
      </c>
      <c r="AZ278" s="508">
        <f>IF(AZ$8=0,0,INDEX('R&amp;B Inputs'!$H$73:$U$73,MATCH($B277,'R&amp;B Inputs'!$H$4:$U$4,0))*(1+INDEX('R&amp;B Inputs'!$H$46:$U$46,MATCH($B277,'R&amp;B Inputs'!$H$4:$U$4,0)))^(AZ$7-Year1))</f>
        <v>4.271893828439878E-2</v>
      </c>
      <c r="BA278" s="508">
        <f>IF(BA$8=0,0,INDEX('R&amp;B Inputs'!$H$73:$U$73,MATCH($B277,'R&amp;B Inputs'!$H$4:$U$4,0))*(1+INDEX('R&amp;B Inputs'!$H$46:$U$46,MATCH($B277,'R&amp;B Inputs'!$H$4:$U$4,0)))^(BA$7-Year1))</f>
        <v>4.271893828439878E-2</v>
      </c>
      <c r="BB278" s="508">
        <f>IF(BB$8=0,0,INDEX('R&amp;B Inputs'!$H$73:$U$73,MATCH($B277,'R&amp;B Inputs'!$H$4:$U$4,0))*(1+INDEX('R&amp;B Inputs'!$H$46:$U$46,MATCH($B277,'R&amp;B Inputs'!$H$4:$U$4,0)))^(BB$7-Year1))</f>
        <v>4.271893828439878E-2</v>
      </c>
      <c r="BC278" s="508">
        <f>IF(BC$8=0,0,INDEX('R&amp;B Inputs'!$H$73:$U$73,MATCH($B277,'R&amp;B Inputs'!$H$4:$U$4,0))*(1+INDEX('R&amp;B Inputs'!$H$46:$U$46,MATCH($B277,'R&amp;B Inputs'!$H$4:$U$4,0)))^(BC$7-Year1))</f>
        <v>4.271893828439878E-2</v>
      </c>
      <c r="BD278" s="508">
        <f>IF(BD$8=0,0,INDEX('R&amp;B Inputs'!$H$73:$U$73,MATCH($B277,'R&amp;B Inputs'!$H$4:$U$4,0))*(1+INDEX('R&amp;B Inputs'!$H$46:$U$46,MATCH($B277,'R&amp;B Inputs'!$H$4:$U$4,0)))^(BD$7-Year1))</f>
        <v>4.271893828439878E-2</v>
      </c>
      <c r="BE278" s="508">
        <f>IF(BE$8=0,0,INDEX('R&amp;B Inputs'!$H$73:$U$73,MATCH($B277,'R&amp;B Inputs'!$H$4:$U$4,0))*(1+INDEX('R&amp;B Inputs'!$H$46:$U$46,MATCH($B277,'R&amp;B Inputs'!$H$4:$U$4,0)))^(BE$7-Year1))</f>
        <v>4.271893828439878E-2</v>
      </c>
      <c r="BF278" s="508">
        <f>IF(BF$8=0,0,INDEX('R&amp;B Inputs'!$H$73:$U$73,MATCH($B277,'R&amp;B Inputs'!$H$4:$U$4,0))*(1+INDEX('R&amp;B Inputs'!$H$46:$U$46,MATCH($B277,'R&amp;B Inputs'!$H$4:$U$4,0)))^(BF$7-Year1))</f>
        <v>4.271893828439878E-2</v>
      </c>
      <c r="BG278" s="508">
        <f>IF(BG$8=0,0,INDEX('R&amp;B Inputs'!$H$73:$U$73,MATCH($B277,'R&amp;B Inputs'!$H$4:$U$4,0))*(1+INDEX('R&amp;B Inputs'!$H$46:$U$46,MATCH($B277,'R&amp;B Inputs'!$H$4:$U$4,0)))^(BG$7-Year1))</f>
        <v>4.271893828439878E-2</v>
      </c>
      <c r="BH278" s="508">
        <f>IF(BH$8=0,0,INDEX('R&amp;B Inputs'!$H$73:$U$73,MATCH($B277,'R&amp;B Inputs'!$H$4:$U$4,0))*(1+INDEX('R&amp;B Inputs'!$H$46:$U$46,MATCH($B277,'R&amp;B Inputs'!$H$4:$U$4,0)))^(BH$7-Year1))</f>
        <v>4.271893828439878E-2</v>
      </c>
      <c r="BI278" s="508">
        <f>IF(BI$8=0,0,INDEX('R&amp;B Inputs'!$H$73:$U$73,MATCH($B277,'R&amp;B Inputs'!$H$4:$U$4,0))*(1+INDEX('R&amp;B Inputs'!$H$46:$U$46,MATCH($B277,'R&amp;B Inputs'!$H$4:$U$4,0)))^(BI$7-Year1))</f>
        <v>4.271893828439878E-2</v>
      </c>
      <c r="BJ278" s="508">
        <f>IF(BJ$8=0,0,INDEX('R&amp;B Inputs'!$H$73:$U$73,MATCH($B277,'R&amp;B Inputs'!$H$4:$U$4,0))*(1+INDEX('R&amp;B Inputs'!$H$46:$U$46,MATCH($B277,'R&amp;B Inputs'!$H$4:$U$4,0)))^(BJ$7-Year1))</f>
        <v>4.271893828439878E-2</v>
      </c>
      <c r="BK278" s="508">
        <f>IF(BK$8=0,0,INDEX('R&amp;B Inputs'!$H$73:$U$73,MATCH($B277,'R&amp;B Inputs'!$H$4:$U$4,0))*(1+INDEX('R&amp;B Inputs'!$H$46:$U$46,MATCH($B277,'R&amp;B Inputs'!$H$4:$U$4,0)))^(BK$7-Year1))</f>
        <v>4.271893828439878E-2</v>
      </c>
      <c r="BL278" s="508">
        <f>IF(BL$8=0,0,INDEX('R&amp;B Inputs'!$H$73:$U$73,MATCH($B277,'R&amp;B Inputs'!$H$4:$U$4,0))*(1+INDEX('R&amp;B Inputs'!$H$46:$U$46,MATCH($B277,'R&amp;B Inputs'!$H$4:$U$4,0)))^(BL$7-Year1))</f>
        <v>4.271893828439878E-2</v>
      </c>
      <c r="BM278" s="508">
        <f>IF(BM$8=0,0,INDEX('R&amp;B Inputs'!$H$73:$U$73,MATCH($B277,'R&amp;B Inputs'!$H$4:$U$4,0))*(1+INDEX('R&amp;B Inputs'!$H$46:$U$46,MATCH($B277,'R&amp;B Inputs'!$H$4:$U$4,0)))^(BM$7-Year1))</f>
        <v>4.271893828439878E-2</v>
      </c>
      <c r="BN278" s="508"/>
      <c r="BO278" s="508"/>
      <c r="BP278" s="508">
        <f>IF($C$4=Year1,-PMT(Lookups!$E$17,25,NPV(Lookups!$E$17,AM278:BK278),0,1),IF($C$4=Year2,-PMT(Lookups!$F$17,25,NPV(Lookups!$F$17,AN278:BL278),0,1),IF($C$4=Year3,-PMT(Lookups!$G$17,25,NPV(Lookups!$G$17,AO278:BM278),0,1),-PMT(Lookups!$G$17,27,NPV(Lookups!$G$17,AM278:BM278),0,1))))</f>
        <v>4.2123148733507407E-2</v>
      </c>
      <c r="BS278" s="84" t="str">
        <f>E278&amp;" charge from the R&amp;B Inputs tab, escalated annually by the growth rate included on the R&amp;B Inputs tab."</f>
        <v>Customer Charge charge from the R&amp;B Inputs tab, escalated annually by the growth rate included on the R&amp;B Inputs tab.</v>
      </c>
      <c r="BT278" s="51" t="s">
        <v>17</v>
      </c>
    </row>
    <row r="279" spans="1:72" x14ac:dyDescent="0.25">
      <c r="B279" s="243" t="str">
        <f>B277</f>
        <v>Large C&amp;I</v>
      </c>
      <c r="C279" s="243" t="str">
        <f>C277</f>
        <v>Rates</v>
      </c>
      <c r="D279" s="244" t="str">
        <f>D277</f>
        <v>Rates before DSM (No EE Scenario)</v>
      </c>
      <c r="E279" s="84" t="s">
        <v>76</v>
      </c>
      <c r="F279" s="84" t="s">
        <v>182</v>
      </c>
      <c r="G279" s="506">
        <f>SUM(G275:G278)</f>
        <v>0.78501893828439873</v>
      </c>
      <c r="H279" s="506">
        <f t="shared" ref="H279:AG279" si="296">SUM(H275:H278)</f>
        <v>0.78501893828439873</v>
      </c>
      <c r="I279" s="506">
        <f t="shared" si="296"/>
        <v>0.78501893828439873</v>
      </c>
      <c r="J279" s="506">
        <f t="shared" si="296"/>
        <v>0.78501893828439873</v>
      </c>
      <c r="K279" s="506">
        <f t="shared" si="296"/>
        <v>0.78501893828439873</v>
      </c>
      <c r="L279" s="506">
        <f t="shared" si="296"/>
        <v>0.78501893828439873</v>
      </c>
      <c r="M279" s="506">
        <f t="shared" si="296"/>
        <v>0.78501893828439873</v>
      </c>
      <c r="N279" s="506">
        <f t="shared" si="296"/>
        <v>0.78501893828439873</v>
      </c>
      <c r="O279" s="506">
        <f t="shared" si="296"/>
        <v>0.78501893828439873</v>
      </c>
      <c r="P279" s="506">
        <f t="shared" si="296"/>
        <v>0.78501893828439873</v>
      </c>
      <c r="Q279" s="506">
        <f t="shared" si="296"/>
        <v>0.78501893828439873</v>
      </c>
      <c r="R279" s="506">
        <f t="shared" si="296"/>
        <v>0.78501893828439873</v>
      </c>
      <c r="S279" s="506">
        <f t="shared" si="296"/>
        <v>0.78501893828439873</v>
      </c>
      <c r="T279" s="506">
        <f t="shared" si="296"/>
        <v>0.78501893828439873</v>
      </c>
      <c r="U279" s="506">
        <f t="shared" si="296"/>
        <v>0.78501893828439873</v>
      </c>
      <c r="V279" s="506">
        <f t="shared" si="296"/>
        <v>0.78501893828439873</v>
      </c>
      <c r="W279" s="506">
        <f t="shared" si="296"/>
        <v>0.78501893828439873</v>
      </c>
      <c r="X279" s="506">
        <f t="shared" si="296"/>
        <v>0.78501893828439873</v>
      </c>
      <c r="Y279" s="506">
        <f t="shared" si="296"/>
        <v>0.78501893828439873</v>
      </c>
      <c r="Z279" s="506">
        <f t="shared" si="296"/>
        <v>0.78501893828439873</v>
      </c>
      <c r="AA279" s="506">
        <f t="shared" si="296"/>
        <v>0.78501893828439873</v>
      </c>
      <c r="AB279" s="506">
        <f t="shared" si="296"/>
        <v>0.78501893828439873</v>
      </c>
      <c r="AC279" s="506">
        <f t="shared" si="296"/>
        <v>0.78501893828439873</v>
      </c>
      <c r="AD279" s="506">
        <f t="shared" si="296"/>
        <v>0.78501893828439873</v>
      </c>
      <c r="AE279" s="506">
        <f t="shared" si="296"/>
        <v>0.78501893828439873</v>
      </c>
      <c r="AF279" s="506">
        <f t="shared" si="296"/>
        <v>0.78501893828439873</v>
      </c>
      <c r="AG279" s="506">
        <f t="shared" si="296"/>
        <v>0.78501893828439873</v>
      </c>
      <c r="AH279" s="506"/>
      <c r="AI279" s="506"/>
      <c r="AJ279" s="506">
        <f>IF($C$4=Year1,-PMT(Lookups!$E$17,25,NPV(Lookups!$E$17,G279:AE279),0,1),IF($C$4=Year2,-PMT(Lookups!$F$17,25,NPV(Lookups!$F$17,H279:AF279),0,1),IF($C$4=Year3,-PMT(Lookups!$G$17,25,NPV(Lookups!$G$17,I279:AG279),0,1),-PMT(Lookups!$G$17,27,NPV(Lookups!$G$17,G279:AG279),0,1))))</f>
        <v>0.77407049013786577</v>
      </c>
      <c r="AK279" s="507"/>
      <c r="AL279" s="507"/>
      <c r="AM279" s="508">
        <f>SUM(AM275:AM278)</f>
        <v>0.78501893828439873</v>
      </c>
      <c r="AN279" s="508">
        <f t="shared" ref="AN279:BM279" si="297">SUM(AN275:AN278)</f>
        <v>0.78501893828439873</v>
      </c>
      <c r="AO279" s="508">
        <f t="shared" si="297"/>
        <v>0.78501893828439873</v>
      </c>
      <c r="AP279" s="508">
        <f t="shared" si="297"/>
        <v>0.78501893828439873</v>
      </c>
      <c r="AQ279" s="508">
        <f t="shared" si="297"/>
        <v>0.78501893828439873</v>
      </c>
      <c r="AR279" s="508">
        <f t="shared" si="297"/>
        <v>0.78501893828439873</v>
      </c>
      <c r="AS279" s="508">
        <f t="shared" si="297"/>
        <v>0.78501893828439873</v>
      </c>
      <c r="AT279" s="508">
        <f t="shared" si="297"/>
        <v>0.78501893828439873</v>
      </c>
      <c r="AU279" s="508">
        <f t="shared" si="297"/>
        <v>0.78501893828439873</v>
      </c>
      <c r="AV279" s="508">
        <f t="shared" si="297"/>
        <v>0.78501893828439873</v>
      </c>
      <c r="AW279" s="508">
        <f t="shared" si="297"/>
        <v>0.78501893828439873</v>
      </c>
      <c r="AX279" s="508">
        <f t="shared" si="297"/>
        <v>0.78501893828439873</v>
      </c>
      <c r="AY279" s="508">
        <f t="shared" si="297"/>
        <v>0.78501893828439873</v>
      </c>
      <c r="AZ279" s="508">
        <f t="shared" si="297"/>
        <v>0.78501893828439873</v>
      </c>
      <c r="BA279" s="508">
        <f t="shared" si="297"/>
        <v>0.78501893828439873</v>
      </c>
      <c r="BB279" s="508">
        <f t="shared" si="297"/>
        <v>0.78501893828439873</v>
      </c>
      <c r="BC279" s="508">
        <f t="shared" si="297"/>
        <v>0.78501893828439873</v>
      </c>
      <c r="BD279" s="508">
        <f t="shared" si="297"/>
        <v>0.78501893828439873</v>
      </c>
      <c r="BE279" s="508">
        <f t="shared" si="297"/>
        <v>0.78501893828439873</v>
      </c>
      <c r="BF279" s="508">
        <f t="shared" si="297"/>
        <v>0.78501893828439873</v>
      </c>
      <c r="BG279" s="508">
        <f t="shared" si="297"/>
        <v>0.78501893828439873</v>
      </c>
      <c r="BH279" s="508">
        <f t="shared" si="297"/>
        <v>0.78501893828439873</v>
      </c>
      <c r="BI279" s="508">
        <f t="shared" si="297"/>
        <v>0.78501893828439873</v>
      </c>
      <c r="BJ279" s="508">
        <f t="shared" si="297"/>
        <v>0.78501893828439873</v>
      </c>
      <c r="BK279" s="508">
        <f t="shared" si="297"/>
        <v>0.78501893828439873</v>
      </c>
      <c r="BL279" s="508">
        <f t="shared" si="297"/>
        <v>0.78501893828439873</v>
      </c>
      <c r="BM279" s="508">
        <f t="shared" si="297"/>
        <v>0.78501893828439873</v>
      </c>
      <c r="BN279" s="508"/>
      <c r="BO279" s="508"/>
      <c r="BP279" s="508">
        <f>IF($C$4=Year1,-PMT(Lookups!$E$17,25,NPV(Lookups!$E$17,AM279:BK279),0,1),IF($C$4=Year2,-PMT(Lookups!$F$17,25,NPV(Lookups!$F$17,AN279:BL279),0,1),IF($C$4=Year3,-PMT(Lookups!$G$17,25,NPV(Lookups!$G$17,AO279:BM279),0,1),-PMT(Lookups!$G$17,27,NPV(Lookups!$G$17,AM279:BM279),0,1))))</f>
        <v>0.77407049013786577</v>
      </c>
      <c r="BS279" s="84" t="s">
        <v>94</v>
      </c>
      <c r="BT279" s="51" t="s">
        <v>17</v>
      </c>
    </row>
    <row r="280" spans="1:72" x14ac:dyDescent="0.25">
      <c r="B280" s="243" t="str">
        <f>B278</f>
        <v>Large C&amp;I</v>
      </c>
      <c r="C280" s="243" t="str">
        <f>C278</f>
        <v>Rates</v>
      </c>
      <c r="D280" s="114" t="s">
        <v>24</v>
      </c>
      <c r="E280" s="86"/>
      <c r="F280" s="8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89"/>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S280" s="84"/>
      <c r="BT280" s="51" t="s">
        <v>17</v>
      </c>
    </row>
    <row r="281" spans="1:72" x14ac:dyDescent="0.25">
      <c r="B281" s="243" t="str">
        <f t="shared" ref="B281:D282" si="298">B280</f>
        <v>Large C&amp;I</v>
      </c>
      <c r="C281" s="243" t="str">
        <f t="shared" si="298"/>
        <v>Rates</v>
      </c>
      <c r="D281" s="244" t="str">
        <f t="shared" si="298"/>
        <v>Avoided Costs</v>
      </c>
      <c r="E281" s="84" t="s">
        <v>45</v>
      </c>
      <c r="F281" s="84" t="s">
        <v>182</v>
      </c>
      <c r="G281" s="506">
        <f ca="1">IFERROR(-G262/G254,0)</f>
        <v>-5.6628341413652999E-2</v>
      </c>
      <c r="H281" s="506">
        <f t="shared" ref="H281:AG281" ca="1" si="299">IFERROR(-H262/H254,0)</f>
        <v>-0.12804217294327838</v>
      </c>
      <c r="I281" s="506">
        <f t="shared" ca="1" si="299"/>
        <v>-0.22140372478604234</v>
      </c>
      <c r="J281" s="506">
        <f t="shared" ca="1" si="299"/>
        <v>-0.22140372478604234</v>
      </c>
      <c r="K281" s="506">
        <f t="shared" ca="1" si="299"/>
        <v>-0.22140372478604234</v>
      </c>
      <c r="L281" s="506">
        <f t="shared" ca="1" si="299"/>
        <v>-0.22140372478604234</v>
      </c>
      <c r="M281" s="506">
        <f t="shared" ca="1" si="299"/>
        <v>-0.22140372478604234</v>
      </c>
      <c r="N281" s="506">
        <f t="shared" ca="1" si="299"/>
        <v>-0.22140372478604234</v>
      </c>
      <c r="O281" s="506">
        <f t="shared" ca="1" si="299"/>
        <v>-0.22140372478604234</v>
      </c>
      <c r="P281" s="506">
        <f t="shared" ca="1" si="299"/>
        <v>-0.22140372478604234</v>
      </c>
      <c r="Q281" s="506">
        <f t="shared" ca="1" si="299"/>
        <v>-0.22140372478604234</v>
      </c>
      <c r="R281" s="506">
        <f t="shared" ca="1" si="299"/>
        <v>-0.22140372478604234</v>
      </c>
      <c r="S281" s="506">
        <f t="shared" ca="1" si="299"/>
        <v>-0.22140372478604234</v>
      </c>
      <c r="T281" s="506">
        <f t="shared" ca="1" si="299"/>
        <v>-0.136061201540917</v>
      </c>
      <c r="U281" s="506">
        <f t="shared" ca="1" si="299"/>
        <v>-6.3201224477209939E-2</v>
      </c>
      <c r="V281" s="506">
        <f t="shared" ca="1" si="299"/>
        <v>0</v>
      </c>
      <c r="W281" s="506">
        <f t="shared" ca="1" si="299"/>
        <v>0</v>
      </c>
      <c r="X281" s="506">
        <f t="shared" ca="1" si="299"/>
        <v>0</v>
      </c>
      <c r="Y281" s="506">
        <f t="shared" ca="1" si="299"/>
        <v>0</v>
      </c>
      <c r="Z281" s="506">
        <f t="shared" ca="1" si="299"/>
        <v>0</v>
      </c>
      <c r="AA281" s="506">
        <f t="shared" ca="1" si="299"/>
        <v>0</v>
      </c>
      <c r="AB281" s="506">
        <f t="shared" ca="1" si="299"/>
        <v>0</v>
      </c>
      <c r="AC281" s="506">
        <f t="shared" ca="1" si="299"/>
        <v>0</v>
      </c>
      <c r="AD281" s="506">
        <f t="shared" ca="1" si="299"/>
        <v>0</v>
      </c>
      <c r="AE281" s="506">
        <f t="shared" ca="1" si="299"/>
        <v>0</v>
      </c>
      <c r="AF281" s="506">
        <f t="shared" ca="1" si="299"/>
        <v>0</v>
      </c>
      <c r="AG281" s="506">
        <f t="shared" ca="1" si="299"/>
        <v>0</v>
      </c>
      <c r="AH281" s="506"/>
      <c r="AI281" s="506"/>
      <c r="AJ281" s="506">
        <f ca="1">IF($C$4=Year1,-PMT(Lookups!$E$17,25,NPV(Lookups!$E$17,G281:AE281),0,1),IF($C$4=Year2,-PMT(Lookups!$F$17,25,NPV(Lookups!$F$17,H281:AF281),0,1),IF($C$4=Year3,-PMT(Lookups!$G$17,25,NPV(Lookups!$G$17,I281:AG281),0,1),-PMT(Lookups!$G$17,27,NPV(Lookups!$G$17,G281:AG281),0,1))))</f>
        <v>-0.11145289563098926</v>
      </c>
      <c r="AK281" s="507"/>
      <c r="AL281" s="507"/>
      <c r="AM281" s="508">
        <f ca="1">IFERROR(-AM262/AM254,0)</f>
        <v>-6.5558779085982677E-2</v>
      </c>
      <c r="AN281" s="508">
        <f t="shared" ref="AN281:BM281" ca="1" si="300">IFERROR(-AN262/AN254,0)</f>
        <v>-0.1507033440104045</v>
      </c>
      <c r="AO281" s="508">
        <f t="shared" ca="1" si="300"/>
        <v>-0.26638933585158608</v>
      </c>
      <c r="AP281" s="508">
        <f t="shared" ca="1" si="300"/>
        <v>-0.26638933585158608</v>
      </c>
      <c r="AQ281" s="508">
        <f t="shared" ca="1" si="300"/>
        <v>-0.26638933585158608</v>
      </c>
      <c r="AR281" s="508">
        <f t="shared" ca="1" si="300"/>
        <v>-0.26638933585158608</v>
      </c>
      <c r="AS281" s="508">
        <f t="shared" ca="1" si="300"/>
        <v>-0.26638933585158608</v>
      </c>
      <c r="AT281" s="508">
        <f t="shared" ca="1" si="300"/>
        <v>-0.26638933585158608</v>
      </c>
      <c r="AU281" s="508">
        <f t="shared" ca="1" si="300"/>
        <v>-0.26638933585158608</v>
      </c>
      <c r="AV281" s="508">
        <f t="shared" ca="1" si="300"/>
        <v>-0.26638933585158608</v>
      </c>
      <c r="AW281" s="508">
        <f t="shared" ca="1" si="300"/>
        <v>-0.26638933585158608</v>
      </c>
      <c r="AX281" s="508">
        <f t="shared" ca="1" si="300"/>
        <v>-0.26638933585158608</v>
      </c>
      <c r="AY281" s="508">
        <f t="shared" ca="1" si="300"/>
        <v>-0.26638933585158608</v>
      </c>
      <c r="AZ281" s="508">
        <f t="shared" ca="1" si="300"/>
        <v>-0.16044227434246827</v>
      </c>
      <c r="BA281" s="508">
        <f t="shared" ca="1" si="300"/>
        <v>-7.3278967140415707E-2</v>
      </c>
      <c r="BB281" s="508">
        <f t="shared" ca="1" si="300"/>
        <v>0</v>
      </c>
      <c r="BC281" s="508">
        <f t="shared" ca="1" si="300"/>
        <v>0</v>
      </c>
      <c r="BD281" s="508">
        <f t="shared" ca="1" si="300"/>
        <v>0</v>
      </c>
      <c r="BE281" s="508">
        <f t="shared" ca="1" si="300"/>
        <v>0</v>
      </c>
      <c r="BF281" s="508">
        <f t="shared" ca="1" si="300"/>
        <v>0</v>
      </c>
      <c r="BG281" s="508">
        <f t="shared" ca="1" si="300"/>
        <v>0</v>
      </c>
      <c r="BH281" s="508">
        <f t="shared" ca="1" si="300"/>
        <v>0</v>
      </c>
      <c r="BI281" s="508">
        <f t="shared" ca="1" si="300"/>
        <v>0</v>
      </c>
      <c r="BJ281" s="508">
        <f t="shared" ca="1" si="300"/>
        <v>0</v>
      </c>
      <c r="BK281" s="508">
        <f t="shared" ca="1" si="300"/>
        <v>0</v>
      </c>
      <c r="BL281" s="508">
        <f t="shared" ca="1" si="300"/>
        <v>0</v>
      </c>
      <c r="BM281" s="508">
        <f t="shared" ca="1" si="300"/>
        <v>0</v>
      </c>
      <c r="BN281" s="508"/>
      <c r="BO281" s="508"/>
      <c r="BP281" s="508">
        <f ca="1">IF($C$4=Year1,-PMT(Lookups!$E$17,25,NPV(Lookups!$E$17,AM281:BK281),0,1),IF($C$4=Year2,-PMT(Lookups!$F$17,25,NPV(Lookups!$F$17,AN281:BL281),0,1),IF($C$4=Year3,-PMT(Lookups!$G$17,25,NPV(Lookups!$G$17,AO281:BM281),0,1),-PMT(Lookups!$G$17,27,NPV(Lookups!$G$17,AM281:BM281),0,1))))</f>
        <v>-0.1336244843626265</v>
      </c>
      <c r="BS281" s="84" t="str">
        <f t="shared" ref="BS281:BS283" si="301">"Avoided "&amp;E281&amp;" avoided costs divided by After Scenario sales."</f>
        <v>Avoided Gas avoided costs divided by After Scenario sales.</v>
      </c>
      <c r="BT281" s="51" t="s">
        <v>17</v>
      </c>
    </row>
    <row r="282" spans="1:72" x14ac:dyDescent="0.25">
      <c r="B282" s="243" t="str">
        <f t="shared" si="298"/>
        <v>Large C&amp;I</v>
      </c>
      <c r="C282" s="243" t="str">
        <f t="shared" si="298"/>
        <v>Rates</v>
      </c>
      <c r="D282" s="244" t="str">
        <f t="shared" si="298"/>
        <v>Avoided Costs</v>
      </c>
      <c r="E282" s="86" t="s">
        <v>412</v>
      </c>
      <c r="F282" s="84" t="s">
        <v>182</v>
      </c>
      <c r="G282" s="506">
        <f ca="1">IFERROR(-G263/G254,0)</f>
        <v>-3.8610232782036141E-3</v>
      </c>
      <c r="H282" s="506">
        <f t="shared" ref="H282:AG282" ca="1" si="302">IFERROR(-H263/H254,0)</f>
        <v>-8.7301481552235268E-3</v>
      </c>
      <c r="I282" s="506">
        <f t="shared" ca="1" si="302"/>
        <v>-1.5095708508139251E-2</v>
      </c>
      <c r="J282" s="506">
        <f t="shared" ca="1" si="302"/>
        <v>-1.5095708508139251E-2</v>
      </c>
      <c r="K282" s="506">
        <f t="shared" ca="1" si="302"/>
        <v>-1.5095708508139251E-2</v>
      </c>
      <c r="L282" s="506">
        <f t="shared" ca="1" si="302"/>
        <v>-1.5095708508139251E-2</v>
      </c>
      <c r="M282" s="506">
        <f t="shared" ca="1" si="302"/>
        <v>-1.5095708508139251E-2</v>
      </c>
      <c r="N282" s="506">
        <f t="shared" ca="1" si="302"/>
        <v>-1.5095708508139251E-2</v>
      </c>
      <c r="O282" s="506">
        <f t="shared" ca="1" si="302"/>
        <v>-1.5095708508139251E-2</v>
      </c>
      <c r="P282" s="506">
        <f t="shared" ca="1" si="302"/>
        <v>-1.5095708508139251E-2</v>
      </c>
      <c r="Q282" s="506">
        <f t="shared" ca="1" si="302"/>
        <v>-1.5095708508139251E-2</v>
      </c>
      <c r="R282" s="506">
        <f t="shared" ca="1" si="302"/>
        <v>-1.5095708508139251E-2</v>
      </c>
      <c r="S282" s="506">
        <f t="shared" ca="1" si="302"/>
        <v>-1.5095708508139251E-2</v>
      </c>
      <c r="T282" s="506">
        <f t="shared" ca="1" si="302"/>
        <v>-9.2769001050625223E-3</v>
      </c>
      <c r="U282" s="506">
        <f t="shared" ca="1" si="302"/>
        <v>-4.3091743961734047E-3</v>
      </c>
      <c r="V282" s="506">
        <f t="shared" ca="1" si="302"/>
        <v>0</v>
      </c>
      <c r="W282" s="506">
        <f t="shared" ca="1" si="302"/>
        <v>0</v>
      </c>
      <c r="X282" s="506">
        <f t="shared" ca="1" si="302"/>
        <v>0</v>
      </c>
      <c r="Y282" s="506">
        <f t="shared" ca="1" si="302"/>
        <v>0</v>
      </c>
      <c r="Z282" s="506">
        <f t="shared" ca="1" si="302"/>
        <v>0</v>
      </c>
      <c r="AA282" s="506">
        <f t="shared" ca="1" si="302"/>
        <v>0</v>
      </c>
      <c r="AB282" s="506">
        <f t="shared" ca="1" si="302"/>
        <v>0</v>
      </c>
      <c r="AC282" s="506">
        <f t="shared" ca="1" si="302"/>
        <v>0</v>
      </c>
      <c r="AD282" s="506">
        <f t="shared" ca="1" si="302"/>
        <v>0</v>
      </c>
      <c r="AE282" s="506">
        <f t="shared" ca="1" si="302"/>
        <v>0</v>
      </c>
      <c r="AF282" s="506">
        <f t="shared" ca="1" si="302"/>
        <v>0</v>
      </c>
      <c r="AG282" s="506">
        <f t="shared" ca="1" si="302"/>
        <v>0</v>
      </c>
      <c r="AH282" s="506"/>
      <c r="AI282" s="506"/>
      <c r="AJ282" s="506">
        <f ca="1">IF($C$4=Year1,-PMT(Lookups!$E$17,25,NPV(Lookups!$E$17,G282:AE282),0,1),IF($C$4=Year2,-PMT(Lookups!$F$17,25,NPV(Lookups!$F$17,H282:AF282),0,1),IF($C$4=Year3,-PMT(Lookups!$G$17,25,NPV(Lookups!$G$17,I282:AG282),0,1),-PMT(Lookups!$G$17,27,NPV(Lookups!$G$17,G282:AG282),0,1))))</f>
        <v>-7.5990610657492687E-3</v>
      </c>
      <c r="AK282" s="507"/>
      <c r="AL282" s="507"/>
      <c r="AM282" s="508">
        <f ca="1">IFERROR(-AM263/AM254,0)</f>
        <v>-4.4699167558624551E-3</v>
      </c>
      <c r="AN282" s="508">
        <f t="shared" ref="AN282:BM282" ca="1" si="303">IFERROR(-AN263/AN254,0)</f>
        <v>-1.0275228000709399E-2</v>
      </c>
      <c r="AO282" s="508">
        <f t="shared" ca="1" si="303"/>
        <v>-1.8162909262608145E-2</v>
      </c>
      <c r="AP282" s="508">
        <f t="shared" ca="1" si="303"/>
        <v>-1.8162909262608145E-2</v>
      </c>
      <c r="AQ282" s="508">
        <f t="shared" ca="1" si="303"/>
        <v>-1.8162909262608145E-2</v>
      </c>
      <c r="AR282" s="508">
        <f t="shared" ca="1" si="303"/>
        <v>-1.8162909262608145E-2</v>
      </c>
      <c r="AS282" s="508">
        <f t="shared" ca="1" si="303"/>
        <v>-1.8162909262608145E-2</v>
      </c>
      <c r="AT282" s="508">
        <f t="shared" ca="1" si="303"/>
        <v>-1.8162909262608145E-2</v>
      </c>
      <c r="AU282" s="508">
        <f t="shared" ca="1" si="303"/>
        <v>-1.8162909262608145E-2</v>
      </c>
      <c r="AV282" s="508">
        <f t="shared" ca="1" si="303"/>
        <v>-1.8162909262608145E-2</v>
      </c>
      <c r="AW282" s="508">
        <f t="shared" ca="1" si="303"/>
        <v>-1.8162909262608145E-2</v>
      </c>
      <c r="AX282" s="508">
        <f t="shared" ca="1" si="303"/>
        <v>-1.8162909262608145E-2</v>
      </c>
      <c r="AY282" s="508">
        <f t="shared" ca="1" si="303"/>
        <v>-1.8162909262608145E-2</v>
      </c>
      <c r="AZ282" s="508">
        <f t="shared" ca="1" si="303"/>
        <v>-1.0939245977895565E-2</v>
      </c>
      <c r="BA282" s="508">
        <f t="shared" ca="1" si="303"/>
        <v>-4.9962932141192516E-3</v>
      </c>
      <c r="BB282" s="508">
        <f t="shared" ca="1" si="303"/>
        <v>0</v>
      </c>
      <c r="BC282" s="508">
        <f t="shared" ca="1" si="303"/>
        <v>0</v>
      </c>
      <c r="BD282" s="508">
        <f t="shared" ca="1" si="303"/>
        <v>0</v>
      </c>
      <c r="BE282" s="508">
        <f t="shared" ca="1" si="303"/>
        <v>0</v>
      </c>
      <c r="BF282" s="508">
        <f t="shared" ca="1" si="303"/>
        <v>0</v>
      </c>
      <c r="BG282" s="508">
        <f t="shared" ca="1" si="303"/>
        <v>0</v>
      </c>
      <c r="BH282" s="508">
        <f t="shared" ca="1" si="303"/>
        <v>0</v>
      </c>
      <c r="BI282" s="508">
        <f t="shared" ca="1" si="303"/>
        <v>0</v>
      </c>
      <c r="BJ282" s="508">
        <f t="shared" ca="1" si="303"/>
        <v>0</v>
      </c>
      <c r="BK282" s="508">
        <f t="shared" ca="1" si="303"/>
        <v>0</v>
      </c>
      <c r="BL282" s="508">
        <f t="shared" ca="1" si="303"/>
        <v>0</v>
      </c>
      <c r="BM282" s="508">
        <f t="shared" ca="1" si="303"/>
        <v>0</v>
      </c>
      <c r="BN282" s="508"/>
      <c r="BO282" s="508"/>
      <c r="BP282" s="508">
        <f ca="1">IF($C$4=Year1,-PMT(Lookups!$E$17,25,NPV(Lookups!$E$17,AM282:BK282),0,1),IF($C$4=Year2,-PMT(Lookups!$F$17,25,NPV(Lookups!$F$17,AN282:BL282),0,1),IF($C$4=Year3,-PMT(Lookups!$G$17,25,NPV(Lookups!$G$17,AO282:BM282),0,1),-PMT(Lookups!$G$17,27,NPV(Lookups!$G$17,AM282:BM282),0,1))))</f>
        <v>-9.110760297451807E-3</v>
      </c>
      <c r="BS282" s="84" t="str">
        <f t="shared" si="301"/>
        <v>Avoided Gas, Retail Margin avoided costs divided by After Scenario sales.</v>
      </c>
      <c r="BT282" s="51"/>
    </row>
    <row r="283" spans="1:72" x14ac:dyDescent="0.25">
      <c r="B283" s="243" t="str">
        <f t="shared" ref="B283:D283" si="304">B281</f>
        <v>Large C&amp;I</v>
      </c>
      <c r="C283" s="243" t="str">
        <f t="shared" si="304"/>
        <v>Rates</v>
      </c>
      <c r="D283" s="244" t="str">
        <f t="shared" si="304"/>
        <v>Avoided Costs</v>
      </c>
      <c r="E283" s="86" t="s">
        <v>175</v>
      </c>
      <c r="F283" s="84" t="s">
        <v>182</v>
      </c>
      <c r="G283" s="506">
        <f ca="1">IFERROR(-G264/G254,0)</f>
        <v>-3.0671621054238498E-3</v>
      </c>
      <c r="H283" s="506">
        <f t="shared" ref="H283:AG283" ca="1" si="305">IFERROR(-H264/H254,0)</f>
        <v>-6.9374352186682793E-3</v>
      </c>
      <c r="I283" s="506">
        <f t="shared" ca="1" si="305"/>
        <v>-1.1982936703778504E-2</v>
      </c>
      <c r="J283" s="506">
        <f t="shared" ca="1" si="305"/>
        <v>-1.1982936703778504E-2</v>
      </c>
      <c r="K283" s="506">
        <f t="shared" ca="1" si="305"/>
        <v>-1.1982936703778504E-2</v>
      </c>
      <c r="L283" s="506">
        <f t="shared" ca="1" si="305"/>
        <v>-1.1982936703778504E-2</v>
      </c>
      <c r="M283" s="506">
        <f t="shared" ca="1" si="305"/>
        <v>-1.1982936703778504E-2</v>
      </c>
      <c r="N283" s="506">
        <f t="shared" ca="1" si="305"/>
        <v>-1.1982936703778504E-2</v>
      </c>
      <c r="O283" s="506">
        <f t="shared" ca="1" si="305"/>
        <v>-1.1982936703778504E-2</v>
      </c>
      <c r="P283" s="506">
        <f t="shared" ca="1" si="305"/>
        <v>-1.1982936703778504E-2</v>
      </c>
      <c r="Q283" s="506">
        <f t="shared" ca="1" si="305"/>
        <v>-1.1982936703778504E-2</v>
      </c>
      <c r="R283" s="506">
        <f t="shared" ca="1" si="305"/>
        <v>-1.1982936703778504E-2</v>
      </c>
      <c r="S283" s="506">
        <f t="shared" ca="1" si="305"/>
        <v>-1.1982936703778504E-2</v>
      </c>
      <c r="T283" s="506">
        <f t="shared" ca="1" si="305"/>
        <v>-7.361424759045187E-3</v>
      </c>
      <c r="U283" s="506">
        <f t="shared" ca="1" si="305"/>
        <v>-3.4137849168384294E-3</v>
      </c>
      <c r="V283" s="506">
        <f t="shared" ca="1" si="305"/>
        <v>0</v>
      </c>
      <c r="W283" s="506">
        <f t="shared" ca="1" si="305"/>
        <v>0</v>
      </c>
      <c r="X283" s="506">
        <f t="shared" ca="1" si="305"/>
        <v>0</v>
      </c>
      <c r="Y283" s="506">
        <f t="shared" ca="1" si="305"/>
        <v>0</v>
      </c>
      <c r="Z283" s="506">
        <f t="shared" ca="1" si="305"/>
        <v>0</v>
      </c>
      <c r="AA283" s="506">
        <f t="shared" ca="1" si="305"/>
        <v>0</v>
      </c>
      <c r="AB283" s="506">
        <f t="shared" ca="1" si="305"/>
        <v>0</v>
      </c>
      <c r="AC283" s="506">
        <f t="shared" ca="1" si="305"/>
        <v>0</v>
      </c>
      <c r="AD283" s="506">
        <f t="shared" ca="1" si="305"/>
        <v>0</v>
      </c>
      <c r="AE283" s="506">
        <f t="shared" ca="1" si="305"/>
        <v>0</v>
      </c>
      <c r="AF283" s="506">
        <f t="shared" ca="1" si="305"/>
        <v>0</v>
      </c>
      <c r="AG283" s="506">
        <f t="shared" ca="1" si="305"/>
        <v>0</v>
      </c>
      <c r="AH283" s="506"/>
      <c r="AI283" s="506"/>
      <c r="AJ283" s="506">
        <f ca="1">IF($C$4=Year1,-PMT(Lookups!$E$17,25,NPV(Lookups!$E$17,G283:AE283),0,1),IF($C$4=Year2,-PMT(Lookups!$F$17,25,NPV(Lookups!$F$17,H283:AF283),0,1),IF($C$4=Year3,-PMT(Lookups!$G$17,25,NPV(Lookups!$G$17,I283:AG283),0,1),-PMT(Lookups!$G$17,27,NPV(Lookups!$G$17,G283:AG283),0,1))))</f>
        <v>-6.0321995956075809E-3</v>
      </c>
      <c r="AK283" s="507"/>
      <c r="AL283" s="507"/>
      <c r="AM283" s="508">
        <f ca="1">IFERROR(-AM264/AM254,0)</f>
        <v>-3.550861598109595E-3</v>
      </c>
      <c r="AN283" s="508">
        <f t="shared" ref="AN283:BM283" ca="1" si="306">IFERROR(-AN264/AN254,0)</f>
        <v>-8.1652369861920943E-3</v>
      </c>
      <c r="AO283" s="508">
        <f t="shared" ca="1" si="306"/>
        <v>-1.4417673203808662E-2</v>
      </c>
      <c r="AP283" s="508">
        <f t="shared" ca="1" si="306"/>
        <v>-1.4417673203808662E-2</v>
      </c>
      <c r="AQ283" s="508">
        <f t="shared" ca="1" si="306"/>
        <v>-1.4417673203808662E-2</v>
      </c>
      <c r="AR283" s="508">
        <f t="shared" ca="1" si="306"/>
        <v>-1.4417673203808662E-2</v>
      </c>
      <c r="AS283" s="508">
        <f t="shared" ca="1" si="306"/>
        <v>-1.4417673203808662E-2</v>
      </c>
      <c r="AT283" s="508">
        <f t="shared" ca="1" si="306"/>
        <v>-1.4417673203808662E-2</v>
      </c>
      <c r="AU283" s="508">
        <f t="shared" ca="1" si="306"/>
        <v>-1.4417673203808662E-2</v>
      </c>
      <c r="AV283" s="508">
        <f t="shared" ca="1" si="306"/>
        <v>-1.4417673203808662E-2</v>
      </c>
      <c r="AW283" s="508">
        <f t="shared" ca="1" si="306"/>
        <v>-1.4417673203808662E-2</v>
      </c>
      <c r="AX283" s="508">
        <f t="shared" ca="1" si="306"/>
        <v>-1.4417673203808662E-2</v>
      </c>
      <c r="AY283" s="508">
        <f t="shared" ca="1" si="306"/>
        <v>-1.4417673203808662E-2</v>
      </c>
      <c r="AZ283" s="508">
        <f t="shared" ca="1" si="306"/>
        <v>-8.6805328584944573E-3</v>
      </c>
      <c r="BA283" s="508">
        <f t="shared" ca="1" si="306"/>
        <v>-3.9581295269944658E-3</v>
      </c>
      <c r="BB283" s="508">
        <f t="shared" ca="1" si="306"/>
        <v>0</v>
      </c>
      <c r="BC283" s="508">
        <f t="shared" ca="1" si="306"/>
        <v>0</v>
      </c>
      <c r="BD283" s="508">
        <f t="shared" ca="1" si="306"/>
        <v>0</v>
      </c>
      <c r="BE283" s="508">
        <f t="shared" ca="1" si="306"/>
        <v>0</v>
      </c>
      <c r="BF283" s="508">
        <f t="shared" ca="1" si="306"/>
        <v>0</v>
      </c>
      <c r="BG283" s="508">
        <f t="shared" ca="1" si="306"/>
        <v>0</v>
      </c>
      <c r="BH283" s="508">
        <f t="shared" ca="1" si="306"/>
        <v>0</v>
      </c>
      <c r="BI283" s="508">
        <f t="shared" ca="1" si="306"/>
        <v>0</v>
      </c>
      <c r="BJ283" s="508">
        <f t="shared" ca="1" si="306"/>
        <v>0</v>
      </c>
      <c r="BK283" s="508">
        <f t="shared" ca="1" si="306"/>
        <v>0</v>
      </c>
      <c r="BL283" s="508">
        <f t="shared" ca="1" si="306"/>
        <v>0</v>
      </c>
      <c r="BM283" s="508">
        <f t="shared" ca="1" si="306"/>
        <v>0</v>
      </c>
      <c r="BN283" s="508"/>
      <c r="BO283" s="508"/>
      <c r="BP283" s="508">
        <f ca="1">IF($C$4=Year1,-PMT(Lookups!$E$17,25,NPV(Lookups!$E$17,AM283:BK283),0,1),IF($C$4=Year2,-PMT(Lookups!$F$17,25,NPV(Lookups!$F$17,AN283:BL283),0,1),IF($C$4=Year3,-PMT(Lookups!$G$17,25,NPV(Lookups!$G$17,AO283:BM283),0,1),-PMT(Lookups!$G$17,27,NPV(Lookups!$G$17,AM283:BM283),0,1))))</f>
        <v>-7.2321996836701569E-3</v>
      </c>
      <c r="BS283" s="84" t="str">
        <f t="shared" si="301"/>
        <v>Avoided Gas DRIPE avoided costs divided by After Scenario sales.</v>
      </c>
      <c r="BT283" s="51" t="s">
        <v>17</v>
      </c>
    </row>
    <row r="284" spans="1:72" x14ac:dyDescent="0.25">
      <c r="B284" s="243" t="str">
        <f t="shared" ref="B284:D292" si="307">B283</f>
        <v>Large C&amp;I</v>
      </c>
      <c r="C284" s="243" t="str">
        <f t="shared" si="307"/>
        <v>Rates</v>
      </c>
      <c r="D284" s="244" t="str">
        <f t="shared" si="307"/>
        <v>Avoided Costs</v>
      </c>
      <c r="E284" s="86" t="s">
        <v>76</v>
      </c>
      <c r="F284" s="84" t="s">
        <v>182</v>
      </c>
      <c r="G284" s="506">
        <f ca="1">SUM(G281:G283)</f>
        <v>-6.3556526797280466E-2</v>
      </c>
      <c r="H284" s="506">
        <f t="shared" ref="H284:AG284" ca="1" si="308">SUM(H281:H283)</f>
        <v>-0.14370975631717017</v>
      </c>
      <c r="I284" s="506">
        <f t="shared" ca="1" si="308"/>
        <v>-0.24848236999796008</v>
      </c>
      <c r="J284" s="506">
        <f t="shared" ca="1" si="308"/>
        <v>-0.24848236999796008</v>
      </c>
      <c r="K284" s="506">
        <f t="shared" ca="1" si="308"/>
        <v>-0.24848236999796008</v>
      </c>
      <c r="L284" s="506">
        <f t="shared" ca="1" si="308"/>
        <v>-0.24848236999796008</v>
      </c>
      <c r="M284" s="506">
        <f t="shared" ca="1" si="308"/>
        <v>-0.24848236999796008</v>
      </c>
      <c r="N284" s="506">
        <f t="shared" ca="1" si="308"/>
        <v>-0.24848236999796008</v>
      </c>
      <c r="O284" s="506">
        <f t="shared" ca="1" si="308"/>
        <v>-0.24848236999796008</v>
      </c>
      <c r="P284" s="506">
        <f t="shared" ca="1" si="308"/>
        <v>-0.24848236999796008</v>
      </c>
      <c r="Q284" s="506">
        <f t="shared" ca="1" si="308"/>
        <v>-0.24848236999796008</v>
      </c>
      <c r="R284" s="506">
        <f t="shared" ca="1" si="308"/>
        <v>-0.24848236999796008</v>
      </c>
      <c r="S284" s="506">
        <f t="shared" ca="1" si="308"/>
        <v>-0.24848236999796008</v>
      </c>
      <c r="T284" s="506">
        <f t="shared" ca="1" si="308"/>
        <v>-0.15269952640502471</v>
      </c>
      <c r="U284" s="506">
        <f t="shared" ca="1" si="308"/>
        <v>-7.0924183790221765E-2</v>
      </c>
      <c r="V284" s="506">
        <f t="shared" ca="1" si="308"/>
        <v>0</v>
      </c>
      <c r="W284" s="506">
        <f t="shared" ca="1" si="308"/>
        <v>0</v>
      </c>
      <c r="X284" s="506">
        <f t="shared" ca="1" si="308"/>
        <v>0</v>
      </c>
      <c r="Y284" s="506">
        <f t="shared" ca="1" si="308"/>
        <v>0</v>
      </c>
      <c r="Z284" s="506">
        <f t="shared" ca="1" si="308"/>
        <v>0</v>
      </c>
      <c r="AA284" s="506">
        <f t="shared" ca="1" si="308"/>
        <v>0</v>
      </c>
      <c r="AB284" s="506">
        <f t="shared" ca="1" si="308"/>
        <v>0</v>
      </c>
      <c r="AC284" s="506">
        <f t="shared" ca="1" si="308"/>
        <v>0</v>
      </c>
      <c r="AD284" s="506">
        <f t="shared" ca="1" si="308"/>
        <v>0</v>
      </c>
      <c r="AE284" s="506">
        <f t="shared" ca="1" si="308"/>
        <v>0</v>
      </c>
      <c r="AF284" s="506">
        <f t="shared" ca="1" si="308"/>
        <v>0</v>
      </c>
      <c r="AG284" s="506">
        <f t="shared" ca="1" si="308"/>
        <v>0</v>
      </c>
      <c r="AH284" s="506"/>
      <c r="AI284" s="506"/>
      <c r="AJ284" s="506">
        <f ca="1">IF($C$4=Year1,-PMT(Lookups!$E$17,25,NPV(Lookups!$E$17,G284:AE284),0,1),IF($C$4=Year2,-PMT(Lookups!$F$17,25,NPV(Lookups!$F$17,H284:AF284),0,1),IF($C$4=Year3,-PMT(Lookups!$G$17,25,NPV(Lookups!$G$17,I284:AG284),0,1),-PMT(Lookups!$G$17,27,NPV(Lookups!$G$17,G284:AG284),0,1))))</f>
        <v>-0.12508415629234612</v>
      </c>
      <c r="AK284" s="507"/>
      <c r="AL284" s="507"/>
      <c r="AM284" s="508">
        <f ca="1">SUM(AM281:AM283)</f>
        <v>-7.3579557439954729E-2</v>
      </c>
      <c r="AN284" s="508">
        <f t="shared" ref="AN284:BM284" ca="1" si="309">SUM(AN281:AN283)</f>
        <v>-0.16914380899730599</v>
      </c>
      <c r="AO284" s="508">
        <f t="shared" ca="1" si="309"/>
        <v>-0.2989699183180029</v>
      </c>
      <c r="AP284" s="508">
        <f t="shared" ca="1" si="309"/>
        <v>-0.2989699183180029</v>
      </c>
      <c r="AQ284" s="508">
        <f t="shared" ca="1" si="309"/>
        <v>-0.2989699183180029</v>
      </c>
      <c r="AR284" s="508">
        <f t="shared" ca="1" si="309"/>
        <v>-0.2989699183180029</v>
      </c>
      <c r="AS284" s="508">
        <f t="shared" ca="1" si="309"/>
        <v>-0.2989699183180029</v>
      </c>
      <c r="AT284" s="508">
        <f t="shared" ca="1" si="309"/>
        <v>-0.2989699183180029</v>
      </c>
      <c r="AU284" s="508">
        <f t="shared" ca="1" si="309"/>
        <v>-0.2989699183180029</v>
      </c>
      <c r="AV284" s="508">
        <f t="shared" ca="1" si="309"/>
        <v>-0.2989699183180029</v>
      </c>
      <c r="AW284" s="508">
        <f t="shared" ca="1" si="309"/>
        <v>-0.2989699183180029</v>
      </c>
      <c r="AX284" s="508">
        <f t="shared" ca="1" si="309"/>
        <v>-0.2989699183180029</v>
      </c>
      <c r="AY284" s="508">
        <f t="shared" ca="1" si="309"/>
        <v>-0.2989699183180029</v>
      </c>
      <c r="AZ284" s="508">
        <f t="shared" ca="1" si="309"/>
        <v>-0.18006205317885829</v>
      </c>
      <c r="BA284" s="508">
        <f t="shared" ca="1" si="309"/>
        <v>-8.2233389881529423E-2</v>
      </c>
      <c r="BB284" s="508">
        <f t="shared" ca="1" si="309"/>
        <v>0</v>
      </c>
      <c r="BC284" s="508">
        <f t="shared" ca="1" si="309"/>
        <v>0</v>
      </c>
      <c r="BD284" s="508">
        <f t="shared" ca="1" si="309"/>
        <v>0</v>
      </c>
      <c r="BE284" s="508">
        <f t="shared" ca="1" si="309"/>
        <v>0</v>
      </c>
      <c r="BF284" s="508">
        <f t="shared" ca="1" si="309"/>
        <v>0</v>
      </c>
      <c r="BG284" s="508">
        <f t="shared" ca="1" si="309"/>
        <v>0</v>
      </c>
      <c r="BH284" s="508">
        <f t="shared" ca="1" si="309"/>
        <v>0</v>
      </c>
      <c r="BI284" s="508">
        <f t="shared" ca="1" si="309"/>
        <v>0</v>
      </c>
      <c r="BJ284" s="508">
        <f t="shared" ca="1" si="309"/>
        <v>0</v>
      </c>
      <c r="BK284" s="508">
        <f t="shared" ca="1" si="309"/>
        <v>0</v>
      </c>
      <c r="BL284" s="508">
        <f t="shared" ca="1" si="309"/>
        <v>0</v>
      </c>
      <c r="BM284" s="508">
        <f t="shared" ca="1" si="309"/>
        <v>0</v>
      </c>
      <c r="BN284" s="508"/>
      <c r="BO284" s="508"/>
      <c r="BP284" s="508">
        <f ca="1">IF($C$4=Year1,-PMT(Lookups!$E$17,25,NPV(Lookups!$E$17,AM284:BK284),0,1),IF($C$4=Year2,-PMT(Lookups!$F$17,25,NPV(Lookups!$F$17,AN284:BL284),0,1),IF($C$4=Year3,-PMT(Lookups!$G$17,25,NPV(Lookups!$G$17,AO284:BM284),0,1),-PMT(Lookups!$G$17,27,NPV(Lookups!$G$17,AM284:BM284),0,1))))</f>
        <v>-0.14996744434374845</v>
      </c>
      <c r="BS284" s="84" t="s">
        <v>232</v>
      </c>
      <c r="BT284" s="51" t="s">
        <v>17</v>
      </c>
    </row>
    <row r="285" spans="1:72" x14ac:dyDescent="0.25">
      <c r="B285" s="243" t="str">
        <f t="shared" si="307"/>
        <v>Large C&amp;I</v>
      </c>
      <c r="C285" s="243" t="str">
        <f t="shared" si="307"/>
        <v>Rates</v>
      </c>
      <c r="D285" s="114" t="s">
        <v>165</v>
      </c>
      <c r="E285" s="86"/>
      <c r="F285" s="86"/>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S285" s="84"/>
      <c r="BT285" s="51" t="s">
        <v>17</v>
      </c>
    </row>
    <row r="286" spans="1:72" x14ac:dyDescent="0.25">
      <c r="A286" s="246"/>
      <c r="B286" s="243" t="str">
        <f t="shared" si="307"/>
        <v>Large C&amp;I</v>
      </c>
      <c r="C286" s="243" t="str">
        <f t="shared" si="307"/>
        <v>Rates</v>
      </c>
      <c r="D286" s="244" t="str">
        <f t="shared" si="307"/>
        <v>Increased Costs and Cost Shifting</v>
      </c>
      <c r="E286" s="84" t="s">
        <v>406</v>
      </c>
      <c r="F286" s="84" t="s">
        <v>182</v>
      </c>
      <c r="G286" s="509">
        <f ca="1">IF($C$4=Lookups!$D$40,SUM(INDIRECT("'Yr1'!"&amp;ADDRESS(ROW(G286),COLUMN(G286))),INDIRECT("'Yr2'!"&amp;ADDRESS(ROW(G286),COLUMN(G286))),INDIRECT("'Yr3'!"&amp;ADDRESS(ROW(G286),COLUMN(G286)))),
IF($C$4=G$7,SUMIFS('EE Inputs'!$L$9:$L$32,'EE Inputs'!$C$9:$C$32,$G$6,'EE Inputs'!$D$9:$D$32,$C$4,'EE Inputs'!$E$9:$E$32,$B286),0))</f>
        <v>0.14245258051119242</v>
      </c>
      <c r="H286" s="509">
        <f ca="1">IF($C$4=Lookups!$D$40,SUM(INDIRECT("'Yr1'!"&amp;ADDRESS(ROW(H286),COLUMN(H286))),INDIRECT("'Yr2'!"&amp;ADDRESS(ROW(H286),COLUMN(H286))),INDIRECT("'Yr3'!"&amp;ADDRESS(ROW(H286),COLUMN(H286)))),
IF($C$4=H$7,SUMIFS('EE Inputs'!$L$9:$L$32,'EE Inputs'!$C$9:$C$32,$G$6,'EE Inputs'!$D$9:$D$32,$C$4,'EE Inputs'!$E$9:$E$32,$B286),0))</f>
        <v>0.14926911562058559</v>
      </c>
      <c r="I286" s="509">
        <f ca="1">IF($C$4=Lookups!$D$40,SUM(INDIRECT("'Yr1'!"&amp;ADDRESS(ROW(I286),COLUMN(I286))),INDIRECT("'Yr2'!"&amp;ADDRESS(ROW(I286),COLUMN(I286))),INDIRECT("'Yr3'!"&amp;ADDRESS(ROW(I286),COLUMN(I286)))),
IF($C$4=I$7,SUMIFS('EE Inputs'!$L$9:$L$32,'EE Inputs'!$C$9:$C$32,$G$6,'EE Inputs'!$D$9:$D$32,$C$4,'EE Inputs'!$E$9:$E$32,$B286),0))</f>
        <v>0.15875101082198512</v>
      </c>
      <c r="J286" s="509">
        <f ca="1">IF($C$4=Lookups!$D$40,SUM(INDIRECT("'Yr1'!"&amp;ADDRESS(ROW(J286),COLUMN(J286))),INDIRECT("'Yr2'!"&amp;ADDRESS(ROW(J286),COLUMN(J286))),INDIRECT("'Yr3'!"&amp;ADDRESS(ROW(J286),COLUMN(J286)))),
IF($C$4=J$7,SUMIFS('EE Inputs'!$L$9:$L$32,'EE Inputs'!$C$9:$C$32,$G$6,'EE Inputs'!$D$9:$D$32,$C$4,'EE Inputs'!$E$9:$E$32,$B286),0))</f>
        <v>0</v>
      </c>
      <c r="K286" s="509">
        <f ca="1">IF($C$4=Lookups!$D$40,SUM(INDIRECT("'Yr1'!"&amp;ADDRESS(ROW(K286),COLUMN(K286))),INDIRECT("'Yr2'!"&amp;ADDRESS(ROW(K286),COLUMN(K286))),INDIRECT("'Yr3'!"&amp;ADDRESS(ROW(K286),COLUMN(K286)))),
IF($C$4=K$7,SUMIFS('EE Inputs'!$L$9:$L$32,'EE Inputs'!$C$9:$C$32,$G$6,'EE Inputs'!$D$9:$D$32,$C$4,'EE Inputs'!$E$9:$E$32,$B286),0))</f>
        <v>0</v>
      </c>
      <c r="L286" s="509">
        <f ca="1">IF($C$4=Lookups!$D$40,SUM(INDIRECT("'Yr1'!"&amp;ADDRESS(ROW(L286),COLUMN(L286))),INDIRECT("'Yr2'!"&amp;ADDRESS(ROW(L286),COLUMN(L286))),INDIRECT("'Yr3'!"&amp;ADDRESS(ROW(L286),COLUMN(L286)))),
IF($C$4=L$7,SUMIFS('EE Inputs'!$L$9:$L$32,'EE Inputs'!$C$9:$C$32,$G$6,'EE Inputs'!$D$9:$D$32,$C$4,'EE Inputs'!$E$9:$E$32,$B286),0))</f>
        <v>0</v>
      </c>
      <c r="M286" s="509">
        <f ca="1">IF($C$4=Lookups!$D$40,SUM(INDIRECT("'Yr1'!"&amp;ADDRESS(ROW(M286),COLUMN(M286))),INDIRECT("'Yr2'!"&amp;ADDRESS(ROW(M286),COLUMN(M286))),INDIRECT("'Yr3'!"&amp;ADDRESS(ROW(M286),COLUMN(M286)))),
IF($C$4=M$7,SUMIFS('EE Inputs'!$L$9:$L$32,'EE Inputs'!$C$9:$C$32,$G$6,'EE Inputs'!$D$9:$D$32,$C$4,'EE Inputs'!$E$9:$E$32,$B286),0))</f>
        <v>0</v>
      </c>
      <c r="N286" s="509">
        <f ca="1">IF($C$4=Lookups!$D$40,SUM(INDIRECT("'Yr1'!"&amp;ADDRESS(ROW(N286),COLUMN(N286))),INDIRECT("'Yr2'!"&amp;ADDRESS(ROW(N286),COLUMN(N286))),INDIRECT("'Yr3'!"&amp;ADDRESS(ROW(N286),COLUMN(N286)))),
IF($C$4=N$7,SUMIFS('EE Inputs'!$L$9:$L$32,'EE Inputs'!$C$9:$C$32,$G$6,'EE Inputs'!$D$9:$D$32,$C$4,'EE Inputs'!$E$9:$E$32,$B286),0))</f>
        <v>0</v>
      </c>
      <c r="O286" s="509">
        <f ca="1">IF($C$4=Lookups!$D$40,SUM(INDIRECT("'Yr1'!"&amp;ADDRESS(ROW(O286),COLUMN(O286))),INDIRECT("'Yr2'!"&amp;ADDRESS(ROW(O286),COLUMN(O286))),INDIRECT("'Yr3'!"&amp;ADDRESS(ROW(O286),COLUMN(O286)))),
IF($C$4=O$7,SUMIFS('EE Inputs'!$L$9:$L$32,'EE Inputs'!$C$9:$C$32,$G$6,'EE Inputs'!$D$9:$D$32,$C$4,'EE Inputs'!$E$9:$E$32,$B286),0))</f>
        <v>0</v>
      </c>
      <c r="P286" s="509">
        <f ca="1">IF($C$4=Lookups!$D$40,SUM(INDIRECT("'Yr1'!"&amp;ADDRESS(ROW(P286),COLUMN(P286))),INDIRECT("'Yr2'!"&amp;ADDRESS(ROW(P286),COLUMN(P286))),INDIRECT("'Yr3'!"&amp;ADDRESS(ROW(P286),COLUMN(P286)))),
IF($C$4=P$7,SUMIFS('EE Inputs'!$L$9:$L$32,'EE Inputs'!$C$9:$C$32,$G$6,'EE Inputs'!$D$9:$D$32,$C$4,'EE Inputs'!$E$9:$E$32,$B286),0))</f>
        <v>0</v>
      </c>
      <c r="Q286" s="509">
        <f ca="1">IF($C$4=Lookups!$D$40,SUM(INDIRECT("'Yr1'!"&amp;ADDRESS(ROW(Q286),COLUMN(Q286))),INDIRECT("'Yr2'!"&amp;ADDRESS(ROW(Q286),COLUMN(Q286))),INDIRECT("'Yr3'!"&amp;ADDRESS(ROW(Q286),COLUMN(Q286)))),
IF($C$4=Q$7,SUMIFS('EE Inputs'!$L$9:$L$32,'EE Inputs'!$C$9:$C$32,$G$6,'EE Inputs'!$D$9:$D$32,$C$4,'EE Inputs'!$E$9:$E$32,$B286),0))</f>
        <v>0</v>
      </c>
      <c r="R286" s="509">
        <f ca="1">IF($C$4=Lookups!$D$40,SUM(INDIRECT("'Yr1'!"&amp;ADDRESS(ROW(R286),COLUMN(R286))),INDIRECT("'Yr2'!"&amp;ADDRESS(ROW(R286),COLUMN(R286))),INDIRECT("'Yr3'!"&amp;ADDRESS(ROW(R286),COLUMN(R286)))),
IF($C$4=R$7,SUMIFS('EE Inputs'!$L$9:$L$32,'EE Inputs'!$C$9:$C$32,$G$6,'EE Inputs'!$D$9:$D$32,$C$4,'EE Inputs'!$E$9:$E$32,$B286),0))</f>
        <v>0</v>
      </c>
      <c r="S286" s="509">
        <f ca="1">IF($C$4=Lookups!$D$40,SUM(INDIRECT("'Yr1'!"&amp;ADDRESS(ROW(S286),COLUMN(S286))),INDIRECT("'Yr2'!"&amp;ADDRESS(ROW(S286),COLUMN(S286))),INDIRECT("'Yr3'!"&amp;ADDRESS(ROW(S286),COLUMN(S286)))),
IF($C$4=S$7,SUMIFS('EE Inputs'!$L$9:$L$32,'EE Inputs'!$C$9:$C$32,$G$6,'EE Inputs'!$D$9:$D$32,$C$4,'EE Inputs'!$E$9:$E$32,$B286),0))</f>
        <v>0</v>
      </c>
      <c r="T286" s="509">
        <f ca="1">IF($C$4=Lookups!$D$40,SUM(INDIRECT("'Yr1'!"&amp;ADDRESS(ROW(T286),COLUMN(T286))),INDIRECT("'Yr2'!"&amp;ADDRESS(ROW(T286),COLUMN(T286))),INDIRECT("'Yr3'!"&amp;ADDRESS(ROW(T286),COLUMN(T286)))),
IF($C$4=T$7,SUMIFS('EE Inputs'!$L$9:$L$32,'EE Inputs'!$C$9:$C$32,$G$6,'EE Inputs'!$D$9:$D$32,$C$4,'EE Inputs'!$E$9:$E$32,$B286),0))</f>
        <v>0</v>
      </c>
      <c r="U286" s="509">
        <f ca="1">IF($C$4=Lookups!$D$40,SUM(INDIRECT("'Yr1'!"&amp;ADDRESS(ROW(U286),COLUMN(U286))),INDIRECT("'Yr2'!"&amp;ADDRESS(ROW(U286),COLUMN(U286))),INDIRECT("'Yr3'!"&amp;ADDRESS(ROW(U286),COLUMN(U286)))),
IF($C$4=U$7,SUMIFS('EE Inputs'!$L$9:$L$32,'EE Inputs'!$C$9:$C$32,$G$6,'EE Inputs'!$D$9:$D$32,$C$4,'EE Inputs'!$E$9:$E$32,$B286),0))</f>
        <v>0</v>
      </c>
      <c r="V286" s="509">
        <f ca="1">IF($C$4=Lookups!$D$40,SUM(INDIRECT("'Yr1'!"&amp;ADDRESS(ROW(V286),COLUMN(V286))),INDIRECT("'Yr2'!"&amp;ADDRESS(ROW(V286),COLUMN(V286))),INDIRECT("'Yr3'!"&amp;ADDRESS(ROW(V286),COLUMN(V286)))),
IF($C$4=V$7,SUMIFS('EE Inputs'!$L$9:$L$32,'EE Inputs'!$C$9:$C$32,$G$6,'EE Inputs'!$D$9:$D$32,$C$4,'EE Inputs'!$E$9:$E$32,$B286),0))</f>
        <v>0</v>
      </c>
      <c r="W286" s="509">
        <f ca="1">IF($C$4=Lookups!$D$40,SUM(INDIRECT("'Yr1'!"&amp;ADDRESS(ROW(W286),COLUMN(W286))),INDIRECT("'Yr2'!"&amp;ADDRESS(ROW(W286),COLUMN(W286))),INDIRECT("'Yr3'!"&amp;ADDRESS(ROW(W286),COLUMN(W286)))),
IF($C$4=W$7,SUMIFS('EE Inputs'!$L$9:$L$32,'EE Inputs'!$C$9:$C$32,$G$6,'EE Inputs'!$D$9:$D$32,$C$4,'EE Inputs'!$E$9:$E$32,$B286),0))</f>
        <v>0</v>
      </c>
      <c r="X286" s="509">
        <f ca="1">IF($C$4=Lookups!$D$40,SUM(INDIRECT("'Yr1'!"&amp;ADDRESS(ROW(X286),COLUMN(X286))),INDIRECT("'Yr2'!"&amp;ADDRESS(ROW(X286),COLUMN(X286))),INDIRECT("'Yr3'!"&amp;ADDRESS(ROW(X286),COLUMN(X286)))),
IF($C$4=X$7,SUMIFS('EE Inputs'!$L$9:$L$32,'EE Inputs'!$C$9:$C$32,$G$6,'EE Inputs'!$D$9:$D$32,$C$4,'EE Inputs'!$E$9:$E$32,$B286),0))</f>
        <v>0</v>
      </c>
      <c r="Y286" s="509">
        <f ca="1">IF($C$4=Lookups!$D$40,SUM(INDIRECT("'Yr1'!"&amp;ADDRESS(ROW(Y286),COLUMN(Y286))),INDIRECT("'Yr2'!"&amp;ADDRESS(ROW(Y286),COLUMN(Y286))),INDIRECT("'Yr3'!"&amp;ADDRESS(ROW(Y286),COLUMN(Y286)))),
IF($C$4=Y$7,SUMIFS('EE Inputs'!$L$9:$L$32,'EE Inputs'!$C$9:$C$32,$G$6,'EE Inputs'!$D$9:$D$32,$C$4,'EE Inputs'!$E$9:$E$32,$B286),0))</f>
        <v>0</v>
      </c>
      <c r="Z286" s="509">
        <f ca="1">IF($C$4=Lookups!$D$40,SUM(INDIRECT("'Yr1'!"&amp;ADDRESS(ROW(Z286),COLUMN(Z286))),INDIRECT("'Yr2'!"&amp;ADDRESS(ROW(Z286),COLUMN(Z286))),INDIRECT("'Yr3'!"&amp;ADDRESS(ROW(Z286),COLUMN(Z286)))),
IF($C$4=Z$7,SUMIFS('EE Inputs'!$L$9:$L$32,'EE Inputs'!$C$9:$C$32,$G$6,'EE Inputs'!$D$9:$D$32,$C$4,'EE Inputs'!$E$9:$E$32,$B286),0))</f>
        <v>0</v>
      </c>
      <c r="AA286" s="509">
        <f ca="1">IF($C$4=Lookups!$D$40,SUM(INDIRECT("'Yr1'!"&amp;ADDRESS(ROW(AA286),COLUMN(AA286))),INDIRECT("'Yr2'!"&amp;ADDRESS(ROW(AA286),COLUMN(AA286))),INDIRECT("'Yr3'!"&amp;ADDRESS(ROW(AA286),COLUMN(AA286)))),
IF($C$4=AA$7,SUMIFS('EE Inputs'!$L$9:$L$32,'EE Inputs'!$C$9:$C$32,$G$6,'EE Inputs'!$D$9:$D$32,$C$4,'EE Inputs'!$E$9:$E$32,$B286),0))</f>
        <v>0</v>
      </c>
      <c r="AB286" s="509">
        <f ca="1">IF($C$4=Lookups!$D$40,SUM(INDIRECT("'Yr1'!"&amp;ADDRESS(ROW(AB286),COLUMN(AB286))),INDIRECT("'Yr2'!"&amp;ADDRESS(ROW(AB286),COLUMN(AB286))),INDIRECT("'Yr3'!"&amp;ADDRESS(ROW(AB286),COLUMN(AB286)))),
IF($C$4=AB$7,SUMIFS('EE Inputs'!$L$9:$L$32,'EE Inputs'!$C$9:$C$32,$G$6,'EE Inputs'!$D$9:$D$32,$C$4,'EE Inputs'!$E$9:$E$32,$B286),0))</f>
        <v>0</v>
      </c>
      <c r="AC286" s="509">
        <f ca="1">IF($C$4=Lookups!$D$40,SUM(INDIRECT("'Yr1'!"&amp;ADDRESS(ROW(AC286),COLUMN(AC286))),INDIRECT("'Yr2'!"&amp;ADDRESS(ROW(AC286),COLUMN(AC286))),INDIRECT("'Yr3'!"&amp;ADDRESS(ROW(AC286),COLUMN(AC286)))),
IF($C$4=AC$7,SUMIFS('EE Inputs'!$L$9:$L$32,'EE Inputs'!$C$9:$C$32,$G$6,'EE Inputs'!$D$9:$D$32,$C$4,'EE Inputs'!$E$9:$E$32,$B286),0))</f>
        <v>0</v>
      </c>
      <c r="AD286" s="509">
        <f ca="1">IF($C$4=Lookups!$D$40,SUM(INDIRECT("'Yr1'!"&amp;ADDRESS(ROW(AD286),COLUMN(AD286))),INDIRECT("'Yr2'!"&amp;ADDRESS(ROW(AD286),COLUMN(AD286))),INDIRECT("'Yr3'!"&amp;ADDRESS(ROW(AD286),COLUMN(AD286)))),
IF($C$4=AD$7,SUMIFS('EE Inputs'!$L$9:$L$32,'EE Inputs'!$C$9:$C$32,$G$6,'EE Inputs'!$D$9:$D$32,$C$4,'EE Inputs'!$E$9:$E$32,$B286),0))</f>
        <v>0</v>
      </c>
      <c r="AE286" s="509">
        <f ca="1">IF($C$4=Lookups!$D$40,SUM(INDIRECT("'Yr1'!"&amp;ADDRESS(ROW(AE286),COLUMN(AE286))),INDIRECT("'Yr2'!"&amp;ADDRESS(ROW(AE286),COLUMN(AE286))),INDIRECT("'Yr3'!"&amp;ADDRESS(ROW(AE286),COLUMN(AE286)))),
IF($C$4=AE$7,SUMIFS('EE Inputs'!$L$9:$L$32,'EE Inputs'!$C$9:$C$32,$G$6,'EE Inputs'!$D$9:$D$32,$C$4,'EE Inputs'!$E$9:$E$32,$B286),0))</f>
        <v>0</v>
      </c>
      <c r="AF286" s="509">
        <f ca="1">IF($C$4=Lookups!$D$40,SUM(INDIRECT("'Yr1'!"&amp;ADDRESS(ROW(AF286),COLUMN(AF286))),INDIRECT("'Yr2'!"&amp;ADDRESS(ROW(AF286),COLUMN(AF286))),INDIRECT("'Yr3'!"&amp;ADDRESS(ROW(AF286),COLUMN(AF286)))),
IF($C$4=AF$7,SUMIFS('EE Inputs'!$L$9:$L$32,'EE Inputs'!$C$9:$C$32,$G$6,'EE Inputs'!$D$9:$D$32,$C$4,'EE Inputs'!$E$9:$E$32,$B286),0))</f>
        <v>0</v>
      </c>
      <c r="AG286" s="509">
        <f ca="1">IF($C$4=Lookups!$D$40,SUM(INDIRECT("'Yr1'!"&amp;ADDRESS(ROW(AG286),COLUMN(AG286))),INDIRECT("'Yr2'!"&amp;ADDRESS(ROW(AG286),COLUMN(AG286))),INDIRECT("'Yr3'!"&amp;ADDRESS(ROW(AG286),COLUMN(AG286)))),
IF($C$4=AG$7,SUMIFS('EE Inputs'!$L$9:$L$32,'EE Inputs'!$C$9:$C$32,$G$6,'EE Inputs'!$D$9:$D$32,$C$4,'EE Inputs'!$E$9:$E$32,$B286),0))</f>
        <v>0</v>
      </c>
      <c r="AH286" s="509"/>
      <c r="AI286" s="509"/>
      <c r="AJ286" s="509">
        <f ca="1">IF($C$4=Year1,-PMT(Lookups!$E$17,25,NPV(Lookups!$E$17,G286:AE286),0,1),IF($C$4=Year2,-PMT(Lookups!$F$17,25,NPV(Lookups!$F$17,H286:AF286),0,1),IF($C$4=Year3,-PMT(Lookups!$G$17,25,NPV(Lookups!$G$17,I286:AG286),0,1),-PMT(Lookups!$G$17,27,NPV(Lookups!$G$17,G286:AG286),0,1))))</f>
        <v>1.9346970547807745E-2</v>
      </c>
      <c r="AK286" s="507"/>
      <c r="AL286" s="507"/>
      <c r="AM286" s="508">
        <f ca="1">IF($C$4=Lookups!$D$40,SUM(INDIRECT("'Yr1'!"&amp;ADDRESS(ROW(AM286),COLUMN(AM286))),INDIRECT("'Yr2'!"&amp;ADDRESS(ROW(AM286),COLUMN(AM286))),INDIRECT("'Yr3'!"&amp;ADDRESS(ROW(AM286),COLUMN(AM286)))),
IF($C$4=AM$7,SUMIFS('EE Inputs'!$L$9:$L$32,'EE Inputs'!$C$9:$C$32,$AM$6,'EE Inputs'!$D$9:$D$32,$C$4,'EE Inputs'!$E$9:$E$32,$B286),0))</f>
        <v>0.17094309661343091</v>
      </c>
      <c r="AN286" s="508">
        <f ca="1">IF($C$4=Lookups!$D$40,SUM(INDIRECT("'Yr1'!"&amp;ADDRESS(ROW(AN286),COLUMN(AN286))),INDIRECT("'Yr2'!"&amp;ADDRESS(ROW(AN286),COLUMN(AN286))),INDIRECT("'Yr3'!"&amp;ADDRESS(ROW(AN286),COLUMN(AN286)))),
IF($C$4=AN$7,SUMIFS('EE Inputs'!$L$9:$L$32,'EE Inputs'!$C$9:$C$32,$AM$6,'EE Inputs'!$D$9:$D$32,$C$4,'EE Inputs'!$E$9:$E$32,$B286),0))</f>
        <v>0.1791229387447027</v>
      </c>
      <c r="AO286" s="508">
        <f ca="1">IF($C$4=Lookups!$D$40,SUM(INDIRECT("'Yr1'!"&amp;ADDRESS(ROW(AO286),COLUMN(AO286))),INDIRECT("'Yr2'!"&amp;ADDRESS(ROW(AO286),COLUMN(AO286))),INDIRECT("'Yr3'!"&amp;ADDRESS(ROW(AO286),COLUMN(AO286)))),
IF($C$4=AO$7,SUMIFS('EE Inputs'!$L$9:$L$32,'EE Inputs'!$C$9:$C$32,$AM$6,'EE Inputs'!$D$9:$D$32,$C$4,'EE Inputs'!$E$9:$E$32,$B286),0))</f>
        <v>0.19050121298638215</v>
      </c>
      <c r="AP286" s="508">
        <f ca="1">IF($C$4=Lookups!$D$40,SUM(INDIRECT("'Yr1'!"&amp;ADDRESS(ROW(AP286),COLUMN(AP286))),INDIRECT("'Yr2'!"&amp;ADDRESS(ROW(AP286),COLUMN(AP286))),INDIRECT("'Yr3'!"&amp;ADDRESS(ROW(AP286),COLUMN(AP286)))),
IF($C$4=AP$7,SUMIFS('EE Inputs'!$L$9:$L$32,'EE Inputs'!$C$9:$C$32,$AM$6,'EE Inputs'!$D$9:$D$32,$C$4,'EE Inputs'!$E$9:$E$32,$B286),0))</f>
        <v>0</v>
      </c>
      <c r="AQ286" s="508">
        <f ca="1">IF($C$4=Lookups!$D$40,SUM(INDIRECT("'Yr1'!"&amp;ADDRESS(ROW(AQ286),COLUMN(AQ286))),INDIRECT("'Yr2'!"&amp;ADDRESS(ROW(AQ286),COLUMN(AQ286))),INDIRECT("'Yr3'!"&amp;ADDRESS(ROW(AQ286),COLUMN(AQ286)))),
IF($C$4=AQ$7,SUMIFS('EE Inputs'!$L$9:$L$32,'EE Inputs'!$C$9:$C$32,$AM$6,'EE Inputs'!$D$9:$D$32,$C$4,'EE Inputs'!$E$9:$E$32,$B286),0))</f>
        <v>0</v>
      </c>
      <c r="AR286" s="508">
        <f ca="1">IF($C$4=Lookups!$D$40,SUM(INDIRECT("'Yr1'!"&amp;ADDRESS(ROW(AR286),COLUMN(AR286))),INDIRECT("'Yr2'!"&amp;ADDRESS(ROW(AR286),COLUMN(AR286))),INDIRECT("'Yr3'!"&amp;ADDRESS(ROW(AR286),COLUMN(AR286)))),
IF($C$4=AR$7,SUMIFS('EE Inputs'!$L$9:$L$32,'EE Inputs'!$C$9:$C$32,$AM$6,'EE Inputs'!$D$9:$D$32,$C$4,'EE Inputs'!$E$9:$E$32,$B286),0))</f>
        <v>0</v>
      </c>
      <c r="AS286" s="508">
        <f ca="1">IF($C$4=Lookups!$D$40,SUM(INDIRECT("'Yr1'!"&amp;ADDRESS(ROW(AS286),COLUMN(AS286))),INDIRECT("'Yr2'!"&amp;ADDRESS(ROW(AS286),COLUMN(AS286))),INDIRECT("'Yr3'!"&amp;ADDRESS(ROW(AS286),COLUMN(AS286)))),
IF($C$4=AS$7,SUMIFS('EE Inputs'!$L$9:$L$32,'EE Inputs'!$C$9:$C$32,$AM$6,'EE Inputs'!$D$9:$D$32,$C$4,'EE Inputs'!$E$9:$E$32,$B286),0))</f>
        <v>0</v>
      </c>
      <c r="AT286" s="508">
        <f ca="1">IF($C$4=Lookups!$D$40,SUM(INDIRECT("'Yr1'!"&amp;ADDRESS(ROW(AT286),COLUMN(AT286))),INDIRECT("'Yr2'!"&amp;ADDRESS(ROW(AT286),COLUMN(AT286))),INDIRECT("'Yr3'!"&amp;ADDRESS(ROW(AT286),COLUMN(AT286)))),
IF($C$4=AT$7,SUMIFS('EE Inputs'!$L$9:$L$32,'EE Inputs'!$C$9:$C$32,$AM$6,'EE Inputs'!$D$9:$D$32,$C$4,'EE Inputs'!$E$9:$E$32,$B286),0))</f>
        <v>0</v>
      </c>
      <c r="AU286" s="508">
        <f ca="1">IF($C$4=Lookups!$D$40,SUM(INDIRECT("'Yr1'!"&amp;ADDRESS(ROW(AU286),COLUMN(AU286))),INDIRECT("'Yr2'!"&amp;ADDRESS(ROW(AU286),COLUMN(AU286))),INDIRECT("'Yr3'!"&amp;ADDRESS(ROW(AU286),COLUMN(AU286)))),
IF($C$4=AU$7,SUMIFS('EE Inputs'!$L$9:$L$32,'EE Inputs'!$C$9:$C$32,$AM$6,'EE Inputs'!$D$9:$D$32,$C$4,'EE Inputs'!$E$9:$E$32,$B286),0))</f>
        <v>0</v>
      </c>
      <c r="AV286" s="508">
        <f ca="1">IF($C$4=Lookups!$D$40,SUM(INDIRECT("'Yr1'!"&amp;ADDRESS(ROW(AV286),COLUMN(AV286))),INDIRECT("'Yr2'!"&amp;ADDRESS(ROW(AV286),COLUMN(AV286))),INDIRECT("'Yr3'!"&amp;ADDRESS(ROW(AV286),COLUMN(AV286)))),
IF($C$4=AV$7,SUMIFS('EE Inputs'!$L$9:$L$32,'EE Inputs'!$C$9:$C$32,$AM$6,'EE Inputs'!$D$9:$D$32,$C$4,'EE Inputs'!$E$9:$E$32,$B286),0))</f>
        <v>0</v>
      </c>
      <c r="AW286" s="508">
        <f ca="1">IF($C$4=Lookups!$D$40,SUM(INDIRECT("'Yr1'!"&amp;ADDRESS(ROW(AW286),COLUMN(AW286))),INDIRECT("'Yr2'!"&amp;ADDRESS(ROW(AW286),COLUMN(AW286))),INDIRECT("'Yr3'!"&amp;ADDRESS(ROW(AW286),COLUMN(AW286)))),
IF($C$4=AW$7,SUMIFS('EE Inputs'!$L$9:$L$32,'EE Inputs'!$C$9:$C$32,$AM$6,'EE Inputs'!$D$9:$D$32,$C$4,'EE Inputs'!$E$9:$E$32,$B286),0))</f>
        <v>0</v>
      </c>
      <c r="AX286" s="508">
        <f ca="1">IF($C$4=Lookups!$D$40,SUM(INDIRECT("'Yr1'!"&amp;ADDRESS(ROW(AX286),COLUMN(AX286))),INDIRECT("'Yr2'!"&amp;ADDRESS(ROW(AX286),COLUMN(AX286))),INDIRECT("'Yr3'!"&amp;ADDRESS(ROW(AX286),COLUMN(AX286)))),
IF($C$4=AX$7,SUMIFS('EE Inputs'!$L$9:$L$32,'EE Inputs'!$C$9:$C$32,$AM$6,'EE Inputs'!$D$9:$D$32,$C$4,'EE Inputs'!$E$9:$E$32,$B286),0))</f>
        <v>0</v>
      </c>
      <c r="AY286" s="508">
        <f ca="1">IF($C$4=Lookups!$D$40,SUM(INDIRECT("'Yr1'!"&amp;ADDRESS(ROW(AY286),COLUMN(AY286))),INDIRECT("'Yr2'!"&amp;ADDRESS(ROW(AY286),COLUMN(AY286))),INDIRECT("'Yr3'!"&amp;ADDRESS(ROW(AY286),COLUMN(AY286)))),
IF($C$4=AY$7,SUMIFS('EE Inputs'!$L$9:$L$32,'EE Inputs'!$C$9:$C$32,$AM$6,'EE Inputs'!$D$9:$D$32,$C$4,'EE Inputs'!$E$9:$E$32,$B286),0))</f>
        <v>0</v>
      </c>
      <c r="AZ286" s="508">
        <f ca="1">IF($C$4=Lookups!$D$40,SUM(INDIRECT("'Yr1'!"&amp;ADDRESS(ROW(AZ286),COLUMN(AZ286))),INDIRECT("'Yr2'!"&amp;ADDRESS(ROW(AZ286),COLUMN(AZ286))),INDIRECT("'Yr3'!"&amp;ADDRESS(ROW(AZ286),COLUMN(AZ286)))),
IF($C$4=AZ$7,SUMIFS('EE Inputs'!$L$9:$L$32,'EE Inputs'!$C$9:$C$32,$AM$6,'EE Inputs'!$D$9:$D$32,$C$4,'EE Inputs'!$E$9:$E$32,$B286),0))</f>
        <v>0</v>
      </c>
      <c r="BA286" s="508">
        <f ca="1">IF($C$4=Lookups!$D$40,SUM(INDIRECT("'Yr1'!"&amp;ADDRESS(ROW(BA286),COLUMN(BA286))),INDIRECT("'Yr2'!"&amp;ADDRESS(ROW(BA286),COLUMN(BA286))),INDIRECT("'Yr3'!"&amp;ADDRESS(ROW(BA286),COLUMN(BA286)))),
IF($C$4=BA$7,SUMIFS('EE Inputs'!$L$9:$L$32,'EE Inputs'!$C$9:$C$32,$AM$6,'EE Inputs'!$D$9:$D$32,$C$4,'EE Inputs'!$E$9:$E$32,$B286),0))</f>
        <v>0</v>
      </c>
      <c r="BB286" s="508">
        <f ca="1">IF($C$4=Lookups!$D$40,SUM(INDIRECT("'Yr1'!"&amp;ADDRESS(ROW(BB286),COLUMN(BB286))),INDIRECT("'Yr2'!"&amp;ADDRESS(ROW(BB286),COLUMN(BB286))),INDIRECT("'Yr3'!"&amp;ADDRESS(ROW(BB286),COLUMN(BB286)))),
IF($C$4=BB$7,SUMIFS('EE Inputs'!$L$9:$L$32,'EE Inputs'!$C$9:$C$32,$AM$6,'EE Inputs'!$D$9:$D$32,$C$4,'EE Inputs'!$E$9:$E$32,$B286),0))</f>
        <v>0</v>
      </c>
      <c r="BC286" s="508">
        <f ca="1">IF($C$4=Lookups!$D$40,SUM(INDIRECT("'Yr1'!"&amp;ADDRESS(ROW(BC286),COLUMN(BC286))),INDIRECT("'Yr2'!"&amp;ADDRESS(ROW(BC286),COLUMN(BC286))),INDIRECT("'Yr3'!"&amp;ADDRESS(ROW(BC286),COLUMN(BC286)))),
IF($C$4=BC$7,SUMIFS('EE Inputs'!$L$9:$L$32,'EE Inputs'!$C$9:$C$32,$AM$6,'EE Inputs'!$D$9:$D$32,$C$4,'EE Inputs'!$E$9:$E$32,$B286),0))</f>
        <v>0</v>
      </c>
      <c r="BD286" s="508">
        <f ca="1">IF($C$4=Lookups!$D$40,SUM(INDIRECT("'Yr1'!"&amp;ADDRESS(ROW(BD286),COLUMN(BD286))),INDIRECT("'Yr2'!"&amp;ADDRESS(ROW(BD286),COLUMN(BD286))),INDIRECT("'Yr3'!"&amp;ADDRESS(ROW(BD286),COLUMN(BD286)))),
IF($C$4=BD$7,SUMIFS('EE Inputs'!$L$9:$L$32,'EE Inputs'!$C$9:$C$32,$AM$6,'EE Inputs'!$D$9:$D$32,$C$4,'EE Inputs'!$E$9:$E$32,$B286),0))</f>
        <v>0</v>
      </c>
      <c r="BE286" s="508">
        <f ca="1">IF($C$4=Lookups!$D$40,SUM(INDIRECT("'Yr1'!"&amp;ADDRESS(ROW(BE286),COLUMN(BE286))),INDIRECT("'Yr2'!"&amp;ADDRESS(ROW(BE286),COLUMN(BE286))),INDIRECT("'Yr3'!"&amp;ADDRESS(ROW(BE286),COLUMN(BE286)))),
IF($C$4=BE$7,SUMIFS('EE Inputs'!$L$9:$L$32,'EE Inputs'!$C$9:$C$32,$AM$6,'EE Inputs'!$D$9:$D$32,$C$4,'EE Inputs'!$E$9:$E$32,$B286),0))</f>
        <v>0</v>
      </c>
      <c r="BF286" s="508">
        <f ca="1">IF($C$4=Lookups!$D$40,SUM(INDIRECT("'Yr1'!"&amp;ADDRESS(ROW(BF286),COLUMN(BF286))),INDIRECT("'Yr2'!"&amp;ADDRESS(ROW(BF286),COLUMN(BF286))),INDIRECT("'Yr3'!"&amp;ADDRESS(ROW(BF286),COLUMN(BF286)))),
IF($C$4=BF$7,SUMIFS('EE Inputs'!$L$9:$L$32,'EE Inputs'!$C$9:$C$32,$AM$6,'EE Inputs'!$D$9:$D$32,$C$4,'EE Inputs'!$E$9:$E$32,$B286),0))</f>
        <v>0</v>
      </c>
      <c r="BG286" s="508">
        <f ca="1">IF($C$4=Lookups!$D$40,SUM(INDIRECT("'Yr1'!"&amp;ADDRESS(ROW(BG286),COLUMN(BG286))),INDIRECT("'Yr2'!"&amp;ADDRESS(ROW(BG286),COLUMN(BG286))),INDIRECT("'Yr3'!"&amp;ADDRESS(ROW(BG286),COLUMN(BG286)))),
IF($C$4=BG$7,SUMIFS('EE Inputs'!$L$9:$L$32,'EE Inputs'!$C$9:$C$32,$AM$6,'EE Inputs'!$D$9:$D$32,$C$4,'EE Inputs'!$E$9:$E$32,$B286),0))</f>
        <v>0</v>
      </c>
      <c r="BH286" s="508">
        <f ca="1">IF($C$4=Lookups!$D$40,SUM(INDIRECT("'Yr1'!"&amp;ADDRESS(ROW(BH286),COLUMN(BH286))),INDIRECT("'Yr2'!"&amp;ADDRESS(ROW(BH286),COLUMN(BH286))),INDIRECT("'Yr3'!"&amp;ADDRESS(ROW(BH286),COLUMN(BH286)))),
IF($C$4=BH$7,SUMIFS('EE Inputs'!$L$9:$L$32,'EE Inputs'!$C$9:$C$32,$AM$6,'EE Inputs'!$D$9:$D$32,$C$4,'EE Inputs'!$E$9:$E$32,$B286),0))</f>
        <v>0</v>
      </c>
      <c r="BI286" s="508">
        <f ca="1">IF($C$4=Lookups!$D$40,SUM(INDIRECT("'Yr1'!"&amp;ADDRESS(ROW(BI286),COLUMN(BI286))),INDIRECT("'Yr2'!"&amp;ADDRESS(ROW(BI286),COLUMN(BI286))),INDIRECT("'Yr3'!"&amp;ADDRESS(ROW(BI286),COLUMN(BI286)))),
IF($C$4=BI$7,SUMIFS('EE Inputs'!$L$9:$L$32,'EE Inputs'!$C$9:$C$32,$AM$6,'EE Inputs'!$D$9:$D$32,$C$4,'EE Inputs'!$E$9:$E$32,$B286),0))</f>
        <v>0</v>
      </c>
      <c r="BJ286" s="508">
        <f ca="1">IF($C$4=Lookups!$D$40,SUM(INDIRECT("'Yr1'!"&amp;ADDRESS(ROW(BJ286),COLUMN(BJ286))),INDIRECT("'Yr2'!"&amp;ADDRESS(ROW(BJ286),COLUMN(BJ286))),INDIRECT("'Yr3'!"&amp;ADDRESS(ROW(BJ286),COLUMN(BJ286)))),
IF($C$4=BJ$7,SUMIFS('EE Inputs'!$L$9:$L$32,'EE Inputs'!$C$9:$C$32,$AM$6,'EE Inputs'!$D$9:$D$32,$C$4,'EE Inputs'!$E$9:$E$32,$B286),0))</f>
        <v>0</v>
      </c>
      <c r="BK286" s="508">
        <f ca="1">IF($C$4=Lookups!$D$40,SUM(INDIRECT("'Yr1'!"&amp;ADDRESS(ROW(BK286),COLUMN(BK286))),INDIRECT("'Yr2'!"&amp;ADDRESS(ROW(BK286),COLUMN(BK286))),INDIRECT("'Yr3'!"&amp;ADDRESS(ROW(BK286),COLUMN(BK286)))),
IF($C$4=BK$7,SUMIFS('EE Inputs'!$L$9:$L$32,'EE Inputs'!$C$9:$C$32,$AM$6,'EE Inputs'!$D$9:$D$32,$C$4,'EE Inputs'!$E$9:$E$32,$B286),0))</f>
        <v>0</v>
      </c>
      <c r="BL286" s="508">
        <f ca="1">IF($C$4=Lookups!$D$40,SUM(INDIRECT("'Yr1'!"&amp;ADDRESS(ROW(BL286),COLUMN(BL286))),INDIRECT("'Yr2'!"&amp;ADDRESS(ROW(BL286),COLUMN(BL286))),INDIRECT("'Yr3'!"&amp;ADDRESS(ROW(BL286),COLUMN(BL286)))),
IF($C$4=BL$7,SUMIFS('EE Inputs'!$L$9:$L$32,'EE Inputs'!$C$9:$C$32,$AM$6,'EE Inputs'!$D$9:$D$32,$C$4,'EE Inputs'!$E$9:$E$32,$B286),0))</f>
        <v>0</v>
      </c>
      <c r="BM286" s="508">
        <f ca="1">IF($C$4=Lookups!$D$40,SUM(INDIRECT("'Yr1'!"&amp;ADDRESS(ROW(BM286),COLUMN(BM286))),INDIRECT("'Yr2'!"&amp;ADDRESS(ROW(BM286),COLUMN(BM286))),INDIRECT("'Yr3'!"&amp;ADDRESS(ROW(BM286),COLUMN(BM286)))),
IF($C$4=BM$7,SUMIFS('EE Inputs'!$L$9:$L$32,'EE Inputs'!$C$9:$C$32,$AM$6,'EE Inputs'!$D$9:$D$32,$C$4,'EE Inputs'!$E$9:$E$32,$B286),0))</f>
        <v>0</v>
      </c>
      <c r="BN286" s="508"/>
      <c r="BO286" s="508"/>
      <c r="BP286" s="508">
        <f ca="1">IF($C$4=Year1,-PMT(Lookups!$E$17,25,NPV(Lookups!$E$17,AM286:BK286),0,1),IF($C$4=Year2,-PMT(Lookups!$F$17,25,NPV(Lookups!$F$17,AN286:BL286),0,1),IF($C$4=Year3,-PMT(Lookups!$G$17,25,NPV(Lookups!$G$17,AO286:BM286),0,1),-PMT(Lookups!$G$17,27,NPV(Lookups!$G$17,AM286:BM286),0,1))))</f>
        <v>2.3216364657369294E-2</v>
      </c>
      <c r="BS286" s="86" t="s">
        <v>402</v>
      </c>
      <c r="BT286" s="51" t="s">
        <v>17</v>
      </c>
    </row>
    <row r="287" spans="1:72" x14ac:dyDescent="0.25">
      <c r="A287" s="246"/>
      <c r="B287" s="243" t="str">
        <f t="shared" si="307"/>
        <v>Large C&amp;I</v>
      </c>
      <c r="C287" s="243" t="str">
        <f t="shared" si="307"/>
        <v>Rates</v>
      </c>
      <c r="D287" s="244" t="str">
        <f t="shared" si="307"/>
        <v>Increased Costs and Cost Shifting</v>
      </c>
      <c r="E287" s="86" t="s">
        <v>198</v>
      </c>
      <c r="F287" s="84" t="s">
        <v>182</v>
      </c>
      <c r="G287" s="506">
        <f ca="1">IFERROR((G269/G254)-(G269/G252),0)</f>
        <v>1.0282927323764068E-2</v>
      </c>
      <c r="H287" s="506">
        <f t="shared" ref="H287:AG287" ca="1" si="310">IFERROR((H269/H254)-(H269/H252),0)</f>
        <v>2.249611015622037E-2</v>
      </c>
      <c r="I287" s="506">
        <f t="shared" ca="1" si="310"/>
        <v>3.7528191976540171E-2</v>
      </c>
      <c r="J287" s="506">
        <f t="shared" ca="1" si="310"/>
        <v>3.7528191976540171E-2</v>
      </c>
      <c r="K287" s="506">
        <f t="shared" ca="1" si="310"/>
        <v>3.7528191976540171E-2</v>
      </c>
      <c r="L287" s="506">
        <f t="shared" ca="1" si="310"/>
        <v>3.7528191976540171E-2</v>
      </c>
      <c r="M287" s="506">
        <f t="shared" ca="1" si="310"/>
        <v>3.7528191976540171E-2</v>
      </c>
      <c r="N287" s="506">
        <f t="shared" ca="1" si="310"/>
        <v>3.7528191976540171E-2</v>
      </c>
      <c r="O287" s="506">
        <f t="shared" ca="1" si="310"/>
        <v>3.7528191976540171E-2</v>
      </c>
      <c r="P287" s="506">
        <f t="shared" ca="1" si="310"/>
        <v>3.7528191976540171E-2</v>
      </c>
      <c r="Q287" s="506">
        <f t="shared" ca="1" si="310"/>
        <v>3.7528191976540171E-2</v>
      </c>
      <c r="R287" s="506">
        <f t="shared" ca="1" si="310"/>
        <v>3.7528191976540171E-2</v>
      </c>
      <c r="S287" s="506">
        <f t="shared" ca="1" si="310"/>
        <v>3.7528191976540171E-2</v>
      </c>
      <c r="T287" s="506">
        <f t="shared" ca="1" si="310"/>
        <v>2.3827422166323525E-2</v>
      </c>
      <c r="U287" s="506">
        <f t="shared" ca="1" si="310"/>
        <v>1.1441823822095895E-2</v>
      </c>
      <c r="V287" s="506">
        <f t="shared" ca="1" si="310"/>
        <v>0</v>
      </c>
      <c r="W287" s="506">
        <f t="shared" ca="1" si="310"/>
        <v>0</v>
      </c>
      <c r="X287" s="506">
        <f t="shared" ca="1" si="310"/>
        <v>0</v>
      </c>
      <c r="Y287" s="506">
        <f t="shared" ca="1" si="310"/>
        <v>0</v>
      </c>
      <c r="Z287" s="506">
        <f t="shared" ca="1" si="310"/>
        <v>0</v>
      </c>
      <c r="AA287" s="506">
        <f t="shared" ca="1" si="310"/>
        <v>0</v>
      </c>
      <c r="AB287" s="506">
        <f t="shared" ca="1" si="310"/>
        <v>0</v>
      </c>
      <c r="AC287" s="506">
        <f t="shared" ca="1" si="310"/>
        <v>0</v>
      </c>
      <c r="AD287" s="506">
        <f t="shared" ca="1" si="310"/>
        <v>0</v>
      </c>
      <c r="AE287" s="506">
        <f t="shared" ca="1" si="310"/>
        <v>0</v>
      </c>
      <c r="AF287" s="506">
        <f t="shared" ca="1" si="310"/>
        <v>0</v>
      </c>
      <c r="AG287" s="506">
        <f t="shared" ca="1" si="310"/>
        <v>0</v>
      </c>
      <c r="AH287" s="506"/>
      <c r="AI287" s="506"/>
      <c r="AJ287" s="506">
        <f ca="1">IF($C$4=Year1,-PMT(Lookups!$E$17,25,NPV(Lookups!$E$17,G287:AE287),0,1),IF($C$4=Year2,-PMT(Lookups!$F$17,25,NPV(Lookups!$F$17,H287:AF287),0,1),IF($C$4=Year3,-PMT(Lookups!$G$17,25,NPV(Lookups!$G$17,I287:AG287),0,1),-PMT(Lookups!$G$17,27,NPV(Lookups!$G$17,G287:AG287),0,1))))</f>
        <v>1.900915104308739E-2</v>
      </c>
      <c r="AK287" s="507"/>
      <c r="AL287" s="507"/>
      <c r="AM287" s="508">
        <f ca="1">IFERROR((AM269/AM254)-(AM269/AM252),0)</f>
        <v>1.1851974435824766E-2</v>
      </c>
      <c r="AN287" s="508">
        <f t="shared" ref="AN287:BM287" ca="1" si="311">IFERROR((AN269/AN254)-(AN269/AN252),0)</f>
        <v>2.6229865391943122E-2</v>
      </c>
      <c r="AO287" s="508">
        <f t="shared" ca="1" si="311"/>
        <v>4.4479220925931373E-2</v>
      </c>
      <c r="AP287" s="508">
        <f t="shared" ca="1" si="311"/>
        <v>4.4479220925931373E-2</v>
      </c>
      <c r="AQ287" s="508">
        <f t="shared" ca="1" si="311"/>
        <v>4.4479220925931373E-2</v>
      </c>
      <c r="AR287" s="508">
        <f t="shared" ca="1" si="311"/>
        <v>4.4479220925931373E-2</v>
      </c>
      <c r="AS287" s="508">
        <f t="shared" ca="1" si="311"/>
        <v>4.4479220925931373E-2</v>
      </c>
      <c r="AT287" s="508">
        <f t="shared" ca="1" si="311"/>
        <v>4.4479220925931373E-2</v>
      </c>
      <c r="AU287" s="508">
        <f t="shared" ca="1" si="311"/>
        <v>4.4479220925931373E-2</v>
      </c>
      <c r="AV287" s="508">
        <f t="shared" ca="1" si="311"/>
        <v>4.4479220925931373E-2</v>
      </c>
      <c r="AW287" s="508">
        <f t="shared" ca="1" si="311"/>
        <v>4.4479220925931373E-2</v>
      </c>
      <c r="AX287" s="508">
        <f t="shared" ca="1" si="311"/>
        <v>4.4479220925931373E-2</v>
      </c>
      <c r="AY287" s="508">
        <f t="shared" ca="1" si="311"/>
        <v>4.4479220925931373E-2</v>
      </c>
      <c r="AZ287" s="508">
        <f t="shared" ca="1" si="311"/>
        <v>2.7819835222813727E-2</v>
      </c>
      <c r="BA287" s="508">
        <f t="shared" ca="1" si="311"/>
        <v>1.3201270012641708E-2</v>
      </c>
      <c r="BB287" s="508">
        <f t="shared" ca="1" si="311"/>
        <v>0</v>
      </c>
      <c r="BC287" s="508">
        <f t="shared" ca="1" si="311"/>
        <v>0</v>
      </c>
      <c r="BD287" s="508">
        <f t="shared" ca="1" si="311"/>
        <v>0</v>
      </c>
      <c r="BE287" s="508">
        <f t="shared" ca="1" si="311"/>
        <v>0</v>
      </c>
      <c r="BF287" s="508">
        <f t="shared" ca="1" si="311"/>
        <v>0</v>
      </c>
      <c r="BG287" s="508">
        <f t="shared" ca="1" si="311"/>
        <v>0</v>
      </c>
      <c r="BH287" s="508">
        <f t="shared" ca="1" si="311"/>
        <v>0</v>
      </c>
      <c r="BI287" s="508">
        <f t="shared" ca="1" si="311"/>
        <v>0</v>
      </c>
      <c r="BJ287" s="508">
        <f t="shared" ca="1" si="311"/>
        <v>0</v>
      </c>
      <c r="BK287" s="508">
        <f t="shared" ca="1" si="311"/>
        <v>0</v>
      </c>
      <c r="BL287" s="508">
        <f t="shared" ca="1" si="311"/>
        <v>0</v>
      </c>
      <c r="BM287" s="508">
        <f t="shared" ca="1" si="311"/>
        <v>0</v>
      </c>
      <c r="BN287" s="508"/>
      <c r="BO287" s="508"/>
      <c r="BP287" s="508">
        <f ca="1">IF($C$4=Year1,-PMT(Lookups!$E$17,25,NPV(Lookups!$E$17,AM287:BK287),0,1),IF($C$4=Year2,-PMT(Lookups!$F$17,25,NPV(Lookups!$F$17,AN287:BL287),0,1),IF($C$4=Year3,-PMT(Lookups!$G$17,25,NPV(Lookups!$G$17,AO287:BM287),0,1),-PMT(Lookups!$G$17,27,NPV(Lookups!$G$17,AM287:BM287),0,1))))</f>
        <v>2.2468665504212414E-2</v>
      </c>
      <c r="BS287" s="84" t="s">
        <v>103</v>
      </c>
      <c r="BT287" s="51" t="s">
        <v>17</v>
      </c>
    </row>
    <row r="288" spans="1:72" x14ac:dyDescent="0.25">
      <c r="B288" s="243" t="str">
        <f t="shared" si="307"/>
        <v>Large C&amp;I</v>
      </c>
      <c r="C288" s="243" t="str">
        <f t="shared" si="307"/>
        <v>Rates</v>
      </c>
      <c r="D288" s="114" t="s">
        <v>110</v>
      </c>
      <c r="E288" s="86"/>
      <c r="F288" s="86"/>
      <c r="G288" s="238"/>
      <c r="H288" s="238"/>
      <c r="I288" s="238"/>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49"/>
      <c r="AI288" s="238"/>
      <c r="AJ288" s="49"/>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S288" s="84"/>
      <c r="BT288" s="51" t="s">
        <v>17</v>
      </c>
    </row>
    <row r="289" spans="1:72" x14ac:dyDescent="0.25">
      <c r="B289" s="243" t="str">
        <f t="shared" si="307"/>
        <v>Large C&amp;I</v>
      </c>
      <c r="C289" s="243" t="str">
        <f t="shared" si="307"/>
        <v>Rates</v>
      </c>
      <c r="D289" s="244" t="str">
        <f>D288</f>
        <v>Rates after DSM Scenario</v>
      </c>
      <c r="E289" s="86" t="s">
        <v>26</v>
      </c>
      <c r="F289" s="84" t="s">
        <v>182</v>
      </c>
      <c r="G289" s="506">
        <f ca="1">IFERROR(G269/G254,0)</f>
        <v>0.12483993226813153</v>
      </c>
      <c r="H289" s="506">
        <f t="shared" ref="H289:AG289" ca="1" si="312">IFERROR(H269/H254,0)</f>
        <v>0.13333885877233756</v>
      </c>
      <c r="I289" s="506">
        <f t="shared" ca="1" si="312"/>
        <v>0.14445424193884565</v>
      </c>
      <c r="J289" s="506">
        <f t="shared" ca="1" si="312"/>
        <v>0.14445424193884565</v>
      </c>
      <c r="K289" s="506">
        <f t="shared" ca="1" si="312"/>
        <v>0.14445424193884565</v>
      </c>
      <c r="L289" s="506">
        <f t="shared" ca="1" si="312"/>
        <v>0.14445424193884565</v>
      </c>
      <c r="M289" s="506">
        <f t="shared" ca="1" si="312"/>
        <v>0.14445424193884565</v>
      </c>
      <c r="N289" s="506">
        <f t="shared" ca="1" si="312"/>
        <v>0.14445424193884565</v>
      </c>
      <c r="O289" s="506">
        <f t="shared" ca="1" si="312"/>
        <v>0.14445424193884565</v>
      </c>
      <c r="P289" s="506">
        <f t="shared" ca="1" si="312"/>
        <v>0.14445424193884565</v>
      </c>
      <c r="Q289" s="506">
        <f t="shared" ca="1" si="312"/>
        <v>0.14445424193884565</v>
      </c>
      <c r="R289" s="506">
        <f t="shared" ca="1" si="312"/>
        <v>0.14445424193884565</v>
      </c>
      <c r="S289" s="506">
        <f t="shared" ca="1" si="312"/>
        <v>0.14445424193884565</v>
      </c>
      <c r="T289" s="506">
        <f t="shared" ca="1" si="312"/>
        <v>0.13429646718426153</v>
      </c>
      <c r="U289" s="506">
        <f t="shared" ca="1" si="312"/>
        <v>0.1256251251682842</v>
      </c>
      <c r="V289" s="506">
        <f t="shared" ca="1" si="312"/>
        <v>0.1181</v>
      </c>
      <c r="W289" s="506">
        <f t="shared" ca="1" si="312"/>
        <v>0.1181</v>
      </c>
      <c r="X289" s="506">
        <f t="shared" ca="1" si="312"/>
        <v>0.1181</v>
      </c>
      <c r="Y289" s="506">
        <f t="shared" ca="1" si="312"/>
        <v>0.1181</v>
      </c>
      <c r="Z289" s="506">
        <f t="shared" ca="1" si="312"/>
        <v>0.1181</v>
      </c>
      <c r="AA289" s="506">
        <f t="shared" ca="1" si="312"/>
        <v>0.1181</v>
      </c>
      <c r="AB289" s="506">
        <f t="shared" ca="1" si="312"/>
        <v>0.1181</v>
      </c>
      <c r="AC289" s="506">
        <f t="shared" ca="1" si="312"/>
        <v>0.1181</v>
      </c>
      <c r="AD289" s="506">
        <f t="shared" ca="1" si="312"/>
        <v>0.1181</v>
      </c>
      <c r="AE289" s="506">
        <f t="shared" ca="1" si="312"/>
        <v>0.1181</v>
      </c>
      <c r="AF289" s="506">
        <f t="shared" ca="1" si="312"/>
        <v>0.1181</v>
      </c>
      <c r="AG289" s="506">
        <f t="shared" ca="1" si="312"/>
        <v>0.1181</v>
      </c>
      <c r="AH289" s="509"/>
      <c r="AI289" s="506"/>
      <c r="AJ289" s="509">
        <f ca="1">IF($C$4=Year1,-PMT(Lookups!$E$17,25,NPV(Lookups!$E$17,G289:AE289),0,1),IF($C$4=Year2,-PMT(Lookups!$F$17,25,NPV(Lookups!$F$17,H289:AF289),0,1),IF($C$4=Year3,-PMT(Lookups!$G$17,25,NPV(Lookups!$G$17,I289:AG289),0,1),-PMT(Lookups!$G$17,27,NPV(Lookups!$G$17,G289:AG289),0,1))))</f>
        <v>0.12971938352834711</v>
      </c>
      <c r="AK289" s="507"/>
      <c r="AL289" s="507"/>
      <c r="AM289" s="508">
        <f ca="1">IFERROR(AM269/AM254,0)</f>
        <v>0.12590283722938758</v>
      </c>
      <c r="AN289" s="508">
        <f t="shared" ref="AN289:BM289" ca="1" si="313">IFERROR(AN269/AN254,0)</f>
        <v>0.13603586381036278</v>
      </c>
      <c r="AO289" s="508">
        <f t="shared" ca="1" si="313"/>
        <v>0.14980899231142336</v>
      </c>
      <c r="AP289" s="508">
        <f t="shared" ca="1" si="313"/>
        <v>0.14980899231142336</v>
      </c>
      <c r="AQ289" s="508">
        <f t="shared" ca="1" si="313"/>
        <v>0.14980899231142336</v>
      </c>
      <c r="AR289" s="508">
        <f t="shared" ca="1" si="313"/>
        <v>0.14980899231142336</v>
      </c>
      <c r="AS289" s="508">
        <f t="shared" ca="1" si="313"/>
        <v>0.14980899231142336</v>
      </c>
      <c r="AT289" s="508">
        <f t="shared" ca="1" si="313"/>
        <v>0.14980899231142336</v>
      </c>
      <c r="AU289" s="508">
        <f t="shared" ca="1" si="313"/>
        <v>0.14980899231142336</v>
      </c>
      <c r="AV289" s="508">
        <f t="shared" ca="1" si="313"/>
        <v>0.14980899231142336</v>
      </c>
      <c r="AW289" s="508">
        <f t="shared" ca="1" si="313"/>
        <v>0.14980899231142336</v>
      </c>
      <c r="AX289" s="508">
        <f t="shared" ca="1" si="313"/>
        <v>0.14980899231142336</v>
      </c>
      <c r="AY289" s="508">
        <f t="shared" ca="1" si="313"/>
        <v>0.14980899231142336</v>
      </c>
      <c r="AZ289" s="508">
        <f t="shared" ca="1" si="313"/>
        <v>0.13719874381474287</v>
      </c>
      <c r="BA289" s="508">
        <f t="shared" ca="1" si="313"/>
        <v>0.12682504297971403</v>
      </c>
      <c r="BB289" s="508">
        <f t="shared" ca="1" si="313"/>
        <v>0.1181</v>
      </c>
      <c r="BC289" s="508">
        <f t="shared" ca="1" si="313"/>
        <v>0.1181</v>
      </c>
      <c r="BD289" s="508">
        <f t="shared" ca="1" si="313"/>
        <v>0.1181</v>
      </c>
      <c r="BE289" s="508">
        <f t="shared" ca="1" si="313"/>
        <v>0.1181</v>
      </c>
      <c r="BF289" s="508">
        <f t="shared" ca="1" si="313"/>
        <v>0.1181</v>
      </c>
      <c r="BG289" s="508">
        <f t="shared" ca="1" si="313"/>
        <v>0.1181</v>
      </c>
      <c r="BH289" s="508">
        <f t="shared" ca="1" si="313"/>
        <v>0.1181</v>
      </c>
      <c r="BI289" s="508">
        <f t="shared" ca="1" si="313"/>
        <v>0.1181</v>
      </c>
      <c r="BJ289" s="508">
        <f t="shared" ca="1" si="313"/>
        <v>0.1181</v>
      </c>
      <c r="BK289" s="508">
        <f t="shared" ca="1" si="313"/>
        <v>0.1181</v>
      </c>
      <c r="BL289" s="508">
        <f t="shared" ca="1" si="313"/>
        <v>0.1181</v>
      </c>
      <c r="BM289" s="508">
        <f t="shared" ca="1" si="313"/>
        <v>0.1181</v>
      </c>
      <c r="BN289" s="508"/>
      <c r="BO289" s="508"/>
      <c r="BP289" s="508">
        <f ca="1">IF($C$4=Year1,-PMT(Lookups!$E$17,25,NPV(Lookups!$E$17,AM289:BK289),0,1),IF($C$4=Year2,-PMT(Lookups!$F$17,25,NPV(Lookups!$F$17,AN289:BL289),0,1),IF($C$4=Year3,-PMT(Lookups!$G$17,25,NPV(Lookups!$G$17,AO289:BM289),0,1),-PMT(Lookups!$G$17,27,NPV(Lookups!$G$17,AM289:BM289),0,1))))</f>
        <v>0.1323585181957718</v>
      </c>
      <c r="BS289" s="84" t="s">
        <v>238</v>
      </c>
      <c r="BT289" s="51" t="s">
        <v>17</v>
      </c>
    </row>
    <row r="290" spans="1:72" x14ac:dyDescent="0.25">
      <c r="B290" s="243" t="str">
        <f t="shared" si="307"/>
        <v>Large C&amp;I</v>
      </c>
      <c r="C290" s="243" t="str">
        <f t="shared" si="307"/>
        <v>Rates</v>
      </c>
      <c r="D290" s="244" t="str">
        <f>D289</f>
        <v>Rates after DSM Scenario</v>
      </c>
      <c r="E290" s="84" t="s">
        <v>407</v>
      </c>
      <c r="F290" s="84" t="s">
        <v>182</v>
      </c>
      <c r="G290" s="506">
        <f ca="1">IFERROR(G270/G254,0)</f>
        <v>5.6667651891697136E-3</v>
      </c>
      <c r="H290" s="506">
        <f t="shared" ref="H290:AG290" ca="1" si="314">IFERROR(H270/H254,0)</f>
        <v>6.2553669434658602E-3</v>
      </c>
      <c r="I290" s="506">
        <f t="shared" ca="1" si="314"/>
        <v>7.0250613236606425E-3</v>
      </c>
      <c r="J290" s="506">
        <f t="shared" ca="1" si="314"/>
        <v>7.0250613236606425E-3</v>
      </c>
      <c r="K290" s="506">
        <f t="shared" ca="1" si="314"/>
        <v>7.0250613236606425E-3</v>
      </c>
      <c r="L290" s="506">
        <f t="shared" ca="1" si="314"/>
        <v>7.0250613236606425E-3</v>
      </c>
      <c r="M290" s="506">
        <f t="shared" ca="1" si="314"/>
        <v>7.0250613236606425E-3</v>
      </c>
      <c r="N290" s="506">
        <f t="shared" ca="1" si="314"/>
        <v>7.0250613236606425E-3</v>
      </c>
      <c r="O290" s="506">
        <f t="shared" ca="1" si="314"/>
        <v>7.0250613236606425E-3</v>
      </c>
      <c r="P290" s="506">
        <f t="shared" ca="1" si="314"/>
        <v>7.0250613236606425E-3</v>
      </c>
      <c r="Q290" s="506">
        <f t="shared" ca="1" si="314"/>
        <v>7.0250613236606425E-3</v>
      </c>
      <c r="R290" s="506">
        <f t="shared" ca="1" si="314"/>
        <v>7.0250613236606425E-3</v>
      </c>
      <c r="S290" s="506">
        <f t="shared" ca="1" si="314"/>
        <v>7.0250613236606425E-3</v>
      </c>
      <c r="T290" s="506">
        <f t="shared" ca="1" si="314"/>
        <v>6.3216046562615197E-3</v>
      </c>
      <c r="U290" s="506">
        <f t="shared" ca="1" si="314"/>
        <v>5.7210699215510573E-3</v>
      </c>
      <c r="V290" s="506">
        <f t="shared" ca="1" si="314"/>
        <v>5.2000000000000032E-3</v>
      </c>
      <c r="W290" s="506">
        <f t="shared" ca="1" si="314"/>
        <v>5.2000000000000032E-3</v>
      </c>
      <c r="X290" s="506">
        <f t="shared" ca="1" si="314"/>
        <v>5.2000000000000032E-3</v>
      </c>
      <c r="Y290" s="506">
        <f t="shared" ca="1" si="314"/>
        <v>5.2000000000000032E-3</v>
      </c>
      <c r="Z290" s="506">
        <f t="shared" ca="1" si="314"/>
        <v>5.2000000000000032E-3</v>
      </c>
      <c r="AA290" s="506">
        <f t="shared" ca="1" si="314"/>
        <v>5.2000000000000032E-3</v>
      </c>
      <c r="AB290" s="506">
        <f t="shared" ca="1" si="314"/>
        <v>5.2000000000000032E-3</v>
      </c>
      <c r="AC290" s="506">
        <f t="shared" ca="1" si="314"/>
        <v>5.2000000000000032E-3</v>
      </c>
      <c r="AD290" s="506">
        <f t="shared" ca="1" si="314"/>
        <v>5.2000000000000032E-3</v>
      </c>
      <c r="AE290" s="506">
        <f t="shared" ca="1" si="314"/>
        <v>5.2000000000000032E-3</v>
      </c>
      <c r="AF290" s="506">
        <f t="shared" ca="1" si="314"/>
        <v>5.2000000000000032E-3</v>
      </c>
      <c r="AG290" s="506">
        <f t="shared" ca="1" si="314"/>
        <v>5.2000000000000032E-3</v>
      </c>
      <c r="AH290" s="509"/>
      <c r="AI290" s="506"/>
      <c r="AJ290" s="509">
        <f ca="1">IF($C$4=Year1,-PMT(Lookups!$E$17,25,NPV(Lookups!$E$17,G290:AE290),0,1),IF($C$4=Year2,-PMT(Lookups!$F$17,25,NPV(Lookups!$F$17,H290:AF290),0,1),IF($C$4=Year3,-PMT(Lookups!$G$17,25,NPV(Lookups!$G$17,I290:AG290),0,1),-PMT(Lookups!$G$17,27,NPV(Lookups!$G$17,G290:AG290),0,1))))</f>
        <v>6.0461973911033161E-3</v>
      </c>
      <c r="AK290" s="507"/>
      <c r="AL290" s="507"/>
      <c r="AM290" s="508">
        <f ca="1">IFERROR(AM270/AM254,0)</f>
        <v>5.740375281314992E-3</v>
      </c>
      <c r="AN290" s="508">
        <f t="shared" ref="AN290:BM290" ca="1" si="315">IFERROR(AN270/AN254,0)</f>
        <v>6.4421479882944598E-3</v>
      </c>
      <c r="AO290" s="508">
        <f t="shared" ca="1" si="315"/>
        <v>7.3958838965704011E-3</v>
      </c>
      <c r="AP290" s="508">
        <f t="shared" ca="1" si="315"/>
        <v>7.3958838965704011E-3</v>
      </c>
      <c r="AQ290" s="508">
        <f t="shared" ca="1" si="315"/>
        <v>7.3958838965704011E-3</v>
      </c>
      <c r="AR290" s="508">
        <f t="shared" ca="1" si="315"/>
        <v>7.3958838965704011E-3</v>
      </c>
      <c r="AS290" s="508">
        <f t="shared" ca="1" si="315"/>
        <v>7.3958838965704011E-3</v>
      </c>
      <c r="AT290" s="508">
        <f t="shared" ca="1" si="315"/>
        <v>7.3958838965704011E-3</v>
      </c>
      <c r="AU290" s="508">
        <f t="shared" ca="1" si="315"/>
        <v>7.3958838965704011E-3</v>
      </c>
      <c r="AV290" s="508">
        <f t="shared" ca="1" si="315"/>
        <v>7.3958838965704011E-3</v>
      </c>
      <c r="AW290" s="508">
        <f t="shared" ca="1" si="315"/>
        <v>7.3958838965704011E-3</v>
      </c>
      <c r="AX290" s="508">
        <f t="shared" ca="1" si="315"/>
        <v>7.3958838965704011E-3</v>
      </c>
      <c r="AY290" s="508">
        <f t="shared" ca="1" si="315"/>
        <v>7.3958838965704011E-3</v>
      </c>
      <c r="AZ290" s="508">
        <f t="shared" ca="1" si="315"/>
        <v>6.522587188160206E-3</v>
      </c>
      <c r="BA290" s="508">
        <f t="shared" ca="1" si="315"/>
        <v>5.8041570551052787E-3</v>
      </c>
      <c r="BB290" s="508">
        <f t="shared" ca="1" si="315"/>
        <v>5.2000000000000032E-3</v>
      </c>
      <c r="BC290" s="508">
        <f t="shared" ca="1" si="315"/>
        <v>5.2000000000000032E-3</v>
      </c>
      <c r="BD290" s="508">
        <f t="shared" ca="1" si="315"/>
        <v>5.2000000000000032E-3</v>
      </c>
      <c r="BE290" s="508">
        <f t="shared" ca="1" si="315"/>
        <v>5.2000000000000032E-3</v>
      </c>
      <c r="BF290" s="508">
        <f t="shared" ca="1" si="315"/>
        <v>5.2000000000000032E-3</v>
      </c>
      <c r="BG290" s="508">
        <f t="shared" ca="1" si="315"/>
        <v>5.2000000000000032E-3</v>
      </c>
      <c r="BH290" s="508">
        <f t="shared" ca="1" si="315"/>
        <v>5.2000000000000032E-3</v>
      </c>
      <c r="BI290" s="508">
        <f t="shared" ca="1" si="315"/>
        <v>5.2000000000000032E-3</v>
      </c>
      <c r="BJ290" s="508">
        <f t="shared" ca="1" si="315"/>
        <v>5.2000000000000032E-3</v>
      </c>
      <c r="BK290" s="508">
        <f t="shared" ca="1" si="315"/>
        <v>5.2000000000000032E-3</v>
      </c>
      <c r="BL290" s="508">
        <f t="shared" ca="1" si="315"/>
        <v>5.2000000000000032E-3</v>
      </c>
      <c r="BM290" s="508">
        <f t="shared" ca="1" si="315"/>
        <v>5.2000000000000032E-3</v>
      </c>
      <c r="BN290" s="508"/>
      <c r="BO290" s="508"/>
      <c r="BP290" s="508">
        <f ca="1">IF($C$4=Year1,-PMT(Lookups!$E$17,25,NPV(Lookups!$E$17,AM290:BK290),0,1),IF($C$4=Year2,-PMT(Lookups!$F$17,25,NPV(Lookups!$F$17,AN290:BL290),0,1),IF($C$4=Year3,-PMT(Lookups!$G$17,25,NPV(Lookups!$G$17,AO290:BM290),0,1),-PMT(Lookups!$G$17,27,NPV(Lookups!$G$17,AM290:BM290),0,1))))</f>
        <v>6.2289606110479514E-3</v>
      </c>
      <c r="BS290" s="84" t="s">
        <v>237</v>
      </c>
      <c r="BT290" s="51" t="s">
        <v>17</v>
      </c>
    </row>
    <row r="291" spans="1:72" x14ac:dyDescent="0.25">
      <c r="B291" s="243" t="str">
        <f t="shared" si="307"/>
        <v>Large C&amp;I</v>
      </c>
      <c r="C291" s="243" t="str">
        <f t="shared" si="307"/>
        <v>Rates</v>
      </c>
      <c r="D291" s="244" t="str">
        <f t="shared" si="307"/>
        <v>Rates after DSM Scenario</v>
      </c>
      <c r="E291" s="84" t="s">
        <v>197</v>
      </c>
      <c r="F291" s="84" t="s">
        <v>182</v>
      </c>
      <c r="G291" s="506">
        <f ca="1">IFERROR(G277+G283,0)</f>
        <v>0.61593283789457609</v>
      </c>
      <c r="H291" s="506">
        <f t="shared" ref="H291:AG291" ca="1" si="316">IFERROR(H277+H283,0)</f>
        <v>0.6120625647813317</v>
      </c>
      <c r="I291" s="506">
        <f t="shared" ca="1" si="316"/>
        <v>0.60701706329622152</v>
      </c>
      <c r="J291" s="506">
        <f t="shared" ca="1" si="316"/>
        <v>0.60701706329622152</v>
      </c>
      <c r="K291" s="506">
        <f t="shared" ca="1" si="316"/>
        <v>0.60701706329622152</v>
      </c>
      <c r="L291" s="506">
        <f t="shared" ca="1" si="316"/>
        <v>0.60701706329622152</v>
      </c>
      <c r="M291" s="506">
        <f t="shared" ca="1" si="316"/>
        <v>0.60701706329622152</v>
      </c>
      <c r="N291" s="506">
        <f t="shared" ca="1" si="316"/>
        <v>0.60701706329622152</v>
      </c>
      <c r="O291" s="506">
        <f t="shared" ca="1" si="316"/>
        <v>0.60701706329622152</v>
      </c>
      <c r="P291" s="506">
        <f t="shared" ca="1" si="316"/>
        <v>0.60701706329622152</v>
      </c>
      <c r="Q291" s="506">
        <f t="shared" ca="1" si="316"/>
        <v>0.60701706329622152</v>
      </c>
      <c r="R291" s="506">
        <f t="shared" ca="1" si="316"/>
        <v>0.60701706329622152</v>
      </c>
      <c r="S291" s="506">
        <f t="shared" ca="1" si="316"/>
        <v>0.60701706329622152</v>
      </c>
      <c r="T291" s="506">
        <f t="shared" ca="1" si="316"/>
        <v>0.61163857524095477</v>
      </c>
      <c r="U291" s="506">
        <f t="shared" ca="1" si="316"/>
        <v>0.61558621508316158</v>
      </c>
      <c r="V291" s="506">
        <f t="shared" ca="1" si="316"/>
        <v>0.61899999999999999</v>
      </c>
      <c r="W291" s="506">
        <f t="shared" ca="1" si="316"/>
        <v>0.61899999999999999</v>
      </c>
      <c r="X291" s="506">
        <f t="shared" ca="1" si="316"/>
        <v>0.61899999999999999</v>
      </c>
      <c r="Y291" s="506">
        <f t="shared" ca="1" si="316"/>
        <v>0.61899999999999999</v>
      </c>
      <c r="Z291" s="506">
        <f t="shared" ca="1" si="316"/>
        <v>0.61899999999999999</v>
      </c>
      <c r="AA291" s="506">
        <f t="shared" ca="1" si="316"/>
        <v>0.61899999999999999</v>
      </c>
      <c r="AB291" s="506">
        <f t="shared" ca="1" si="316"/>
        <v>0.61899999999999999</v>
      </c>
      <c r="AC291" s="506">
        <f t="shared" ca="1" si="316"/>
        <v>0.61899999999999999</v>
      </c>
      <c r="AD291" s="506">
        <f t="shared" ca="1" si="316"/>
        <v>0.61899999999999999</v>
      </c>
      <c r="AE291" s="506">
        <f t="shared" ca="1" si="316"/>
        <v>0.61899999999999999</v>
      </c>
      <c r="AF291" s="506">
        <f t="shared" ca="1" si="316"/>
        <v>0.61899999999999999</v>
      </c>
      <c r="AG291" s="506">
        <f t="shared" ca="1" si="316"/>
        <v>0.61899999999999999</v>
      </c>
      <c r="AH291" s="509"/>
      <c r="AI291" s="506"/>
      <c r="AJ291" s="509">
        <f ca="1">IF($C$4=Year1,-PMT(Lookups!$E$17,25,NPV(Lookups!$E$17,G291:AE291),0,1),IF($C$4=Year2,-PMT(Lookups!$F$17,25,NPV(Lookups!$F$17,H291:AF291),0,1),IF($C$4=Year3,-PMT(Lookups!$G$17,25,NPV(Lookups!$G$17,I291:AG291),0,1),-PMT(Lookups!$G$17,27,NPV(Lookups!$G$17,G291:AG291),0,1))))</f>
        <v>0.60433477377000999</v>
      </c>
      <c r="AK291" s="507"/>
      <c r="AL291" s="507"/>
      <c r="AM291" s="508">
        <f ca="1">IFERROR(AM277+AM283,0)</f>
        <v>0.61544913840189042</v>
      </c>
      <c r="AN291" s="508">
        <f t="shared" ref="AN291:BM291" ca="1" si="317">IFERROR(AN277+AN283,0)</f>
        <v>0.6108347630138079</v>
      </c>
      <c r="AO291" s="508">
        <f t="shared" ca="1" si="317"/>
        <v>0.60458232679619128</v>
      </c>
      <c r="AP291" s="508">
        <f t="shared" ca="1" si="317"/>
        <v>0.60458232679619128</v>
      </c>
      <c r="AQ291" s="508">
        <f t="shared" ca="1" si="317"/>
        <v>0.60458232679619128</v>
      </c>
      <c r="AR291" s="508">
        <f t="shared" ca="1" si="317"/>
        <v>0.60458232679619128</v>
      </c>
      <c r="AS291" s="508">
        <f t="shared" ca="1" si="317"/>
        <v>0.60458232679619128</v>
      </c>
      <c r="AT291" s="508">
        <f t="shared" ca="1" si="317"/>
        <v>0.60458232679619128</v>
      </c>
      <c r="AU291" s="508">
        <f t="shared" ca="1" si="317"/>
        <v>0.60458232679619128</v>
      </c>
      <c r="AV291" s="508">
        <f t="shared" ca="1" si="317"/>
        <v>0.60458232679619128</v>
      </c>
      <c r="AW291" s="508">
        <f t="shared" ca="1" si="317"/>
        <v>0.60458232679619128</v>
      </c>
      <c r="AX291" s="508">
        <f t="shared" ca="1" si="317"/>
        <v>0.60458232679619128</v>
      </c>
      <c r="AY291" s="508">
        <f t="shared" ca="1" si="317"/>
        <v>0.60458232679619128</v>
      </c>
      <c r="AZ291" s="508">
        <f t="shared" ca="1" si="317"/>
        <v>0.61031946714150553</v>
      </c>
      <c r="BA291" s="508">
        <f t="shared" ca="1" si="317"/>
        <v>0.61504187047300551</v>
      </c>
      <c r="BB291" s="508">
        <f t="shared" ca="1" si="317"/>
        <v>0.61899999999999999</v>
      </c>
      <c r="BC291" s="508">
        <f t="shared" ca="1" si="317"/>
        <v>0.61899999999999999</v>
      </c>
      <c r="BD291" s="508">
        <f t="shared" ca="1" si="317"/>
        <v>0.61899999999999999</v>
      </c>
      <c r="BE291" s="508">
        <f t="shared" ca="1" si="317"/>
        <v>0.61899999999999999</v>
      </c>
      <c r="BF291" s="508">
        <f t="shared" ca="1" si="317"/>
        <v>0.61899999999999999</v>
      </c>
      <c r="BG291" s="508">
        <f t="shared" ca="1" si="317"/>
        <v>0.61899999999999999</v>
      </c>
      <c r="BH291" s="508">
        <f t="shared" ca="1" si="317"/>
        <v>0.61899999999999999</v>
      </c>
      <c r="BI291" s="508">
        <f t="shared" ca="1" si="317"/>
        <v>0.61899999999999999</v>
      </c>
      <c r="BJ291" s="508">
        <f t="shared" ca="1" si="317"/>
        <v>0.61899999999999999</v>
      </c>
      <c r="BK291" s="508">
        <f t="shared" ca="1" si="317"/>
        <v>0.61899999999999999</v>
      </c>
      <c r="BL291" s="508">
        <f t="shared" ca="1" si="317"/>
        <v>0.61899999999999999</v>
      </c>
      <c r="BM291" s="508">
        <f t="shared" ca="1" si="317"/>
        <v>0.61899999999999999</v>
      </c>
      <c r="BN291" s="508"/>
      <c r="BO291" s="508"/>
      <c r="BP291" s="508">
        <f ca="1">IF($C$4=Year1,-PMT(Lookups!$E$17,25,NPV(Lookups!$E$17,AM291:BK291),0,1),IF($C$4=Year2,-PMT(Lookups!$F$17,25,NPV(Lookups!$F$17,AN291:BL291),0,1),IF($C$4=Year3,-PMT(Lookups!$G$17,25,NPV(Lookups!$G$17,AO291:BM291),0,1),-PMT(Lookups!$G$17,27,NPV(Lookups!$G$17,AM291:BM291),0,1))))</f>
        <v>0.60313477368194723</v>
      </c>
      <c r="BS291" s="86" t="s">
        <v>236</v>
      </c>
      <c r="BT291" s="51" t="s">
        <v>17</v>
      </c>
    </row>
    <row r="292" spans="1:72" x14ac:dyDescent="0.25">
      <c r="B292" s="243" t="str">
        <f t="shared" si="307"/>
        <v>Large C&amp;I</v>
      </c>
      <c r="C292" s="243" t="str">
        <f t="shared" si="307"/>
        <v>Rates</v>
      </c>
      <c r="D292" s="244" t="str">
        <f t="shared" si="307"/>
        <v>Rates after DSM Scenario</v>
      </c>
      <c r="E292" s="84" t="s">
        <v>406</v>
      </c>
      <c r="F292" s="84" t="s">
        <v>182</v>
      </c>
      <c r="G292" s="509">
        <f ca="1">G286</f>
        <v>0.14245258051119242</v>
      </c>
      <c r="H292" s="509">
        <f t="shared" ref="H292:AG292" ca="1" si="318">H286</f>
        <v>0.14926911562058559</v>
      </c>
      <c r="I292" s="509">
        <f t="shared" ca="1" si="318"/>
        <v>0.15875101082198512</v>
      </c>
      <c r="J292" s="509">
        <f t="shared" ca="1" si="318"/>
        <v>0</v>
      </c>
      <c r="K292" s="509">
        <f t="shared" ca="1" si="318"/>
        <v>0</v>
      </c>
      <c r="L292" s="509">
        <f t="shared" ca="1" si="318"/>
        <v>0</v>
      </c>
      <c r="M292" s="509">
        <f t="shared" ca="1" si="318"/>
        <v>0</v>
      </c>
      <c r="N292" s="509">
        <f t="shared" ca="1" si="318"/>
        <v>0</v>
      </c>
      <c r="O292" s="509">
        <f t="shared" ca="1" si="318"/>
        <v>0</v>
      </c>
      <c r="P292" s="509">
        <f t="shared" ca="1" si="318"/>
        <v>0</v>
      </c>
      <c r="Q292" s="509">
        <f t="shared" ca="1" si="318"/>
        <v>0</v>
      </c>
      <c r="R292" s="509">
        <f t="shared" ca="1" si="318"/>
        <v>0</v>
      </c>
      <c r="S292" s="509">
        <f t="shared" ca="1" si="318"/>
        <v>0</v>
      </c>
      <c r="T292" s="509">
        <f t="shared" ca="1" si="318"/>
        <v>0</v>
      </c>
      <c r="U292" s="509">
        <f t="shared" ca="1" si="318"/>
        <v>0</v>
      </c>
      <c r="V292" s="509">
        <f t="shared" ca="1" si="318"/>
        <v>0</v>
      </c>
      <c r="W292" s="509">
        <f t="shared" ca="1" si="318"/>
        <v>0</v>
      </c>
      <c r="X292" s="509">
        <f t="shared" ca="1" si="318"/>
        <v>0</v>
      </c>
      <c r="Y292" s="509">
        <f t="shared" ca="1" si="318"/>
        <v>0</v>
      </c>
      <c r="Z292" s="509">
        <f t="shared" ca="1" si="318"/>
        <v>0</v>
      </c>
      <c r="AA292" s="509">
        <f t="shared" ca="1" si="318"/>
        <v>0</v>
      </c>
      <c r="AB292" s="509">
        <f t="shared" ca="1" si="318"/>
        <v>0</v>
      </c>
      <c r="AC292" s="509">
        <f t="shared" ca="1" si="318"/>
        <v>0</v>
      </c>
      <c r="AD292" s="509">
        <f t="shared" ca="1" si="318"/>
        <v>0</v>
      </c>
      <c r="AE292" s="509">
        <f t="shared" ca="1" si="318"/>
        <v>0</v>
      </c>
      <c r="AF292" s="509">
        <f t="shared" ca="1" si="318"/>
        <v>0</v>
      </c>
      <c r="AG292" s="509">
        <f t="shared" ca="1" si="318"/>
        <v>0</v>
      </c>
      <c r="AH292" s="509"/>
      <c r="AI292" s="509"/>
      <c r="AJ292" s="509">
        <f ca="1">IF($C$4=Year1,-PMT(Lookups!$E$17,25,NPV(Lookups!$E$17,G292:AE292),0,1),IF($C$4=Year2,-PMT(Lookups!$F$17,25,NPV(Lookups!$F$17,H292:AF292),0,1),IF($C$4=Year3,-PMT(Lookups!$G$17,25,NPV(Lookups!$G$17,I292:AG292),0,1),-PMT(Lookups!$G$17,27,NPV(Lookups!$G$17,G292:AG292),0,1))))</f>
        <v>1.9346970547807745E-2</v>
      </c>
      <c r="AK292" s="507"/>
      <c r="AL292" s="507"/>
      <c r="AM292" s="508">
        <f ca="1">AM286</f>
        <v>0.17094309661343091</v>
      </c>
      <c r="AN292" s="508">
        <f t="shared" ref="AN292:BM292" ca="1" si="319">AN286</f>
        <v>0.1791229387447027</v>
      </c>
      <c r="AO292" s="508">
        <f t="shared" ca="1" si="319"/>
        <v>0.19050121298638215</v>
      </c>
      <c r="AP292" s="508">
        <f t="shared" ca="1" si="319"/>
        <v>0</v>
      </c>
      <c r="AQ292" s="508">
        <f t="shared" ca="1" si="319"/>
        <v>0</v>
      </c>
      <c r="AR292" s="508">
        <f t="shared" ca="1" si="319"/>
        <v>0</v>
      </c>
      <c r="AS292" s="508">
        <f t="shared" ca="1" si="319"/>
        <v>0</v>
      </c>
      <c r="AT292" s="508">
        <f t="shared" ca="1" si="319"/>
        <v>0</v>
      </c>
      <c r="AU292" s="508">
        <f t="shared" ca="1" si="319"/>
        <v>0</v>
      </c>
      <c r="AV292" s="508">
        <f t="shared" ca="1" si="319"/>
        <v>0</v>
      </c>
      <c r="AW292" s="508">
        <f t="shared" ca="1" si="319"/>
        <v>0</v>
      </c>
      <c r="AX292" s="508">
        <f t="shared" ca="1" si="319"/>
        <v>0</v>
      </c>
      <c r="AY292" s="508">
        <f t="shared" ca="1" si="319"/>
        <v>0</v>
      </c>
      <c r="AZ292" s="508">
        <f t="shared" ca="1" si="319"/>
        <v>0</v>
      </c>
      <c r="BA292" s="508">
        <f t="shared" ca="1" si="319"/>
        <v>0</v>
      </c>
      <c r="BB292" s="508">
        <f t="shared" ca="1" si="319"/>
        <v>0</v>
      </c>
      <c r="BC292" s="508">
        <f t="shared" ca="1" si="319"/>
        <v>0</v>
      </c>
      <c r="BD292" s="508">
        <f t="shared" ca="1" si="319"/>
        <v>0</v>
      </c>
      <c r="BE292" s="508">
        <f t="shared" ca="1" si="319"/>
        <v>0</v>
      </c>
      <c r="BF292" s="508">
        <f t="shared" ca="1" si="319"/>
        <v>0</v>
      </c>
      <c r="BG292" s="508">
        <f t="shared" ca="1" si="319"/>
        <v>0</v>
      </c>
      <c r="BH292" s="508">
        <f t="shared" ca="1" si="319"/>
        <v>0</v>
      </c>
      <c r="BI292" s="508">
        <f t="shared" ca="1" si="319"/>
        <v>0</v>
      </c>
      <c r="BJ292" s="508">
        <f t="shared" ca="1" si="319"/>
        <v>0</v>
      </c>
      <c r="BK292" s="508">
        <f t="shared" ca="1" si="319"/>
        <v>0</v>
      </c>
      <c r="BL292" s="508">
        <f t="shared" ca="1" si="319"/>
        <v>0</v>
      </c>
      <c r="BM292" s="508">
        <f t="shared" ca="1" si="319"/>
        <v>0</v>
      </c>
      <c r="BN292" s="508"/>
      <c r="BO292" s="508"/>
      <c r="BP292" s="508">
        <f ca="1">IF($C$4=Year1,-PMT(Lookups!$E$17,25,NPV(Lookups!$E$17,AM292:BK292),0,1),IF($C$4=Year2,-PMT(Lookups!$F$17,25,NPV(Lookups!$F$17,AN292:BL292),0,1),IF($C$4=Year3,-PMT(Lookups!$G$17,25,NPV(Lookups!$G$17,AO292:BM292),0,1),-PMT(Lookups!$G$17,27,NPV(Lookups!$G$17,AM292:BM292),0,1))))</f>
        <v>2.3216364657369294E-2</v>
      </c>
      <c r="BS292" s="84" t="s">
        <v>403</v>
      </c>
      <c r="BT292" s="51" t="s">
        <v>17</v>
      </c>
    </row>
    <row r="293" spans="1:72" x14ac:dyDescent="0.25">
      <c r="B293" s="243" t="str">
        <f>B294</f>
        <v>Large C&amp;I</v>
      </c>
      <c r="C293" s="243" t="str">
        <f>C294</f>
        <v>Rates</v>
      </c>
      <c r="D293" s="244" t="str">
        <f>D294</f>
        <v>Rates after DSM Scenario</v>
      </c>
      <c r="E293" s="86" t="s">
        <v>75</v>
      </c>
      <c r="F293" s="84" t="s">
        <v>182</v>
      </c>
      <c r="G293" s="506">
        <f>G278</f>
        <v>4.271893828439878E-2</v>
      </c>
      <c r="H293" s="506">
        <f t="shared" ref="H293:AG293" si="320">H278</f>
        <v>4.271893828439878E-2</v>
      </c>
      <c r="I293" s="506">
        <f t="shared" si="320"/>
        <v>4.271893828439878E-2</v>
      </c>
      <c r="J293" s="506">
        <f t="shared" si="320"/>
        <v>4.271893828439878E-2</v>
      </c>
      <c r="K293" s="506">
        <f t="shared" si="320"/>
        <v>4.271893828439878E-2</v>
      </c>
      <c r="L293" s="506">
        <f t="shared" si="320"/>
        <v>4.271893828439878E-2</v>
      </c>
      <c r="M293" s="506">
        <f t="shared" si="320"/>
        <v>4.271893828439878E-2</v>
      </c>
      <c r="N293" s="506">
        <f t="shared" si="320"/>
        <v>4.271893828439878E-2</v>
      </c>
      <c r="O293" s="506">
        <f t="shared" si="320"/>
        <v>4.271893828439878E-2</v>
      </c>
      <c r="P293" s="506">
        <f t="shared" si="320"/>
        <v>4.271893828439878E-2</v>
      </c>
      <c r="Q293" s="506">
        <f t="shared" si="320"/>
        <v>4.271893828439878E-2</v>
      </c>
      <c r="R293" s="506">
        <f t="shared" si="320"/>
        <v>4.271893828439878E-2</v>
      </c>
      <c r="S293" s="506">
        <f t="shared" si="320"/>
        <v>4.271893828439878E-2</v>
      </c>
      <c r="T293" s="506">
        <f t="shared" si="320"/>
        <v>4.271893828439878E-2</v>
      </c>
      <c r="U293" s="506">
        <f t="shared" si="320"/>
        <v>4.271893828439878E-2</v>
      </c>
      <c r="V293" s="506">
        <f t="shared" si="320"/>
        <v>4.271893828439878E-2</v>
      </c>
      <c r="W293" s="506">
        <f t="shared" si="320"/>
        <v>4.271893828439878E-2</v>
      </c>
      <c r="X293" s="506">
        <f t="shared" si="320"/>
        <v>4.271893828439878E-2</v>
      </c>
      <c r="Y293" s="506">
        <f t="shared" si="320"/>
        <v>4.271893828439878E-2</v>
      </c>
      <c r="Z293" s="506">
        <f t="shared" si="320"/>
        <v>4.271893828439878E-2</v>
      </c>
      <c r="AA293" s="506">
        <f t="shared" si="320"/>
        <v>4.271893828439878E-2</v>
      </c>
      <c r="AB293" s="506">
        <f t="shared" si="320"/>
        <v>4.271893828439878E-2</v>
      </c>
      <c r="AC293" s="506">
        <f t="shared" si="320"/>
        <v>4.271893828439878E-2</v>
      </c>
      <c r="AD293" s="506">
        <f t="shared" si="320"/>
        <v>4.271893828439878E-2</v>
      </c>
      <c r="AE293" s="506">
        <f t="shared" si="320"/>
        <v>4.271893828439878E-2</v>
      </c>
      <c r="AF293" s="506">
        <f t="shared" si="320"/>
        <v>4.271893828439878E-2</v>
      </c>
      <c r="AG293" s="506">
        <f t="shared" si="320"/>
        <v>4.271893828439878E-2</v>
      </c>
      <c r="AH293" s="506"/>
      <c r="AI293" s="506"/>
      <c r="AJ293" s="506">
        <f>IF($C$4=Year1,-PMT(Lookups!$E$17,25,NPV(Lookups!$E$17,G293:AE293),0,1),IF($C$4=Year2,-PMT(Lookups!$F$17,25,NPV(Lookups!$F$17,H293:AF293),0,1),IF($C$4=Year3,-PMT(Lookups!$G$17,25,NPV(Lookups!$G$17,I293:AG293),0,1),-PMT(Lookups!$G$17,27,NPV(Lookups!$G$17,G293:AG293),0,1))))</f>
        <v>4.2123148733507407E-2</v>
      </c>
      <c r="AK293" s="507"/>
      <c r="AL293" s="507"/>
      <c r="AM293" s="508">
        <f>AM278</f>
        <v>4.271893828439878E-2</v>
      </c>
      <c r="AN293" s="508">
        <f t="shared" ref="AN293:BM293" si="321">AN278</f>
        <v>4.271893828439878E-2</v>
      </c>
      <c r="AO293" s="508">
        <f t="shared" si="321"/>
        <v>4.271893828439878E-2</v>
      </c>
      <c r="AP293" s="508">
        <f t="shared" si="321"/>
        <v>4.271893828439878E-2</v>
      </c>
      <c r="AQ293" s="508">
        <f t="shared" si="321"/>
        <v>4.271893828439878E-2</v>
      </c>
      <c r="AR293" s="508">
        <f t="shared" si="321"/>
        <v>4.271893828439878E-2</v>
      </c>
      <c r="AS293" s="508">
        <f t="shared" si="321"/>
        <v>4.271893828439878E-2</v>
      </c>
      <c r="AT293" s="508">
        <f t="shared" si="321"/>
        <v>4.271893828439878E-2</v>
      </c>
      <c r="AU293" s="508">
        <f t="shared" si="321"/>
        <v>4.271893828439878E-2</v>
      </c>
      <c r="AV293" s="508">
        <f t="shared" si="321"/>
        <v>4.271893828439878E-2</v>
      </c>
      <c r="AW293" s="508">
        <f t="shared" si="321"/>
        <v>4.271893828439878E-2</v>
      </c>
      <c r="AX293" s="508">
        <f t="shared" si="321"/>
        <v>4.271893828439878E-2</v>
      </c>
      <c r="AY293" s="508">
        <f t="shared" si="321"/>
        <v>4.271893828439878E-2</v>
      </c>
      <c r="AZ293" s="508">
        <f t="shared" si="321"/>
        <v>4.271893828439878E-2</v>
      </c>
      <c r="BA293" s="508">
        <f t="shared" si="321"/>
        <v>4.271893828439878E-2</v>
      </c>
      <c r="BB293" s="508">
        <f t="shared" si="321"/>
        <v>4.271893828439878E-2</v>
      </c>
      <c r="BC293" s="508">
        <f t="shared" si="321"/>
        <v>4.271893828439878E-2</v>
      </c>
      <c r="BD293" s="508">
        <f t="shared" si="321"/>
        <v>4.271893828439878E-2</v>
      </c>
      <c r="BE293" s="508">
        <f t="shared" si="321"/>
        <v>4.271893828439878E-2</v>
      </c>
      <c r="BF293" s="508">
        <f t="shared" si="321"/>
        <v>4.271893828439878E-2</v>
      </c>
      <c r="BG293" s="508">
        <f t="shared" si="321"/>
        <v>4.271893828439878E-2</v>
      </c>
      <c r="BH293" s="508">
        <f t="shared" si="321"/>
        <v>4.271893828439878E-2</v>
      </c>
      <c r="BI293" s="508">
        <f t="shared" si="321"/>
        <v>4.271893828439878E-2</v>
      </c>
      <c r="BJ293" s="508">
        <f t="shared" si="321"/>
        <v>4.271893828439878E-2</v>
      </c>
      <c r="BK293" s="508">
        <f t="shared" si="321"/>
        <v>4.271893828439878E-2</v>
      </c>
      <c r="BL293" s="508">
        <f t="shared" si="321"/>
        <v>4.271893828439878E-2</v>
      </c>
      <c r="BM293" s="508">
        <f t="shared" si="321"/>
        <v>4.271893828439878E-2</v>
      </c>
      <c r="BN293" s="508"/>
      <c r="BO293" s="508"/>
      <c r="BP293" s="508">
        <f>IF($C$4=Year1,-PMT(Lookups!$E$17,25,NPV(Lookups!$E$17,AM293:BK293),0,1),IF($C$4=Year2,-PMT(Lookups!$F$17,25,NPV(Lookups!$F$17,AN293:BL293),0,1),IF($C$4=Year3,-PMT(Lookups!$G$17,25,NPV(Lookups!$G$17,AO293:BM293),0,1),-PMT(Lookups!$G$17,27,NPV(Lookups!$G$17,AM293:BM293),0,1))))</f>
        <v>4.2123148733507407E-2</v>
      </c>
      <c r="BS293" s="84" t="s">
        <v>171</v>
      </c>
      <c r="BT293" s="51" t="s">
        <v>17</v>
      </c>
    </row>
    <row r="294" spans="1:72" x14ac:dyDescent="0.25">
      <c r="B294" s="243" t="str">
        <f>B292</f>
        <v>Large C&amp;I</v>
      </c>
      <c r="C294" s="243" t="str">
        <f>C292</f>
        <v>Rates</v>
      </c>
      <c r="D294" s="244" t="str">
        <f>D292</f>
        <v>Rates after DSM Scenario</v>
      </c>
      <c r="E294" s="84" t="s">
        <v>76</v>
      </c>
      <c r="F294" s="84" t="s">
        <v>182</v>
      </c>
      <c r="G294" s="506">
        <f ca="1">SUM(G289:G293)</f>
        <v>0.93161105414746859</v>
      </c>
      <c r="H294" s="506">
        <f t="shared" ref="H294:AG294" ca="1" si="322">SUM(H289:H293)</f>
        <v>0.9436448444021196</v>
      </c>
      <c r="I294" s="506">
        <f t="shared" ca="1" si="322"/>
        <v>0.95996631566511181</v>
      </c>
      <c r="J294" s="506">
        <f t="shared" ca="1" si="322"/>
        <v>0.80121530484312664</v>
      </c>
      <c r="K294" s="506">
        <f t="shared" ca="1" si="322"/>
        <v>0.80121530484312664</v>
      </c>
      <c r="L294" s="506">
        <f t="shared" ca="1" si="322"/>
        <v>0.80121530484312664</v>
      </c>
      <c r="M294" s="506">
        <f t="shared" ca="1" si="322"/>
        <v>0.80121530484312664</v>
      </c>
      <c r="N294" s="506">
        <f t="shared" ca="1" si="322"/>
        <v>0.80121530484312664</v>
      </c>
      <c r="O294" s="506">
        <f t="shared" ca="1" si="322"/>
        <v>0.80121530484312664</v>
      </c>
      <c r="P294" s="506">
        <f t="shared" ca="1" si="322"/>
        <v>0.80121530484312664</v>
      </c>
      <c r="Q294" s="506">
        <f t="shared" ca="1" si="322"/>
        <v>0.80121530484312664</v>
      </c>
      <c r="R294" s="506">
        <f t="shared" ca="1" si="322"/>
        <v>0.80121530484312664</v>
      </c>
      <c r="S294" s="506">
        <f t="shared" ca="1" si="322"/>
        <v>0.80121530484312664</v>
      </c>
      <c r="T294" s="506">
        <f t="shared" ca="1" si="322"/>
        <v>0.79497558536587654</v>
      </c>
      <c r="U294" s="506">
        <f t="shared" ca="1" si="322"/>
        <v>0.7896513484573956</v>
      </c>
      <c r="V294" s="506">
        <f t="shared" ca="1" si="322"/>
        <v>0.78501893828439873</v>
      </c>
      <c r="W294" s="506">
        <f t="shared" ca="1" si="322"/>
        <v>0.78501893828439873</v>
      </c>
      <c r="X294" s="506">
        <f t="shared" ca="1" si="322"/>
        <v>0.78501893828439873</v>
      </c>
      <c r="Y294" s="506">
        <f t="shared" ca="1" si="322"/>
        <v>0.78501893828439873</v>
      </c>
      <c r="Z294" s="506">
        <f t="shared" ca="1" si="322"/>
        <v>0.78501893828439873</v>
      </c>
      <c r="AA294" s="506">
        <f t="shared" ca="1" si="322"/>
        <v>0.78501893828439873</v>
      </c>
      <c r="AB294" s="506">
        <f t="shared" ca="1" si="322"/>
        <v>0.78501893828439873</v>
      </c>
      <c r="AC294" s="506">
        <f t="shared" ca="1" si="322"/>
        <v>0.78501893828439873</v>
      </c>
      <c r="AD294" s="506">
        <f t="shared" ca="1" si="322"/>
        <v>0.78501893828439873</v>
      </c>
      <c r="AE294" s="506">
        <f t="shared" ca="1" si="322"/>
        <v>0.78501893828439873</v>
      </c>
      <c r="AF294" s="506">
        <f t="shared" ca="1" si="322"/>
        <v>0.78501893828439873</v>
      </c>
      <c r="AG294" s="506">
        <f t="shared" ca="1" si="322"/>
        <v>0.78501893828439873</v>
      </c>
      <c r="AH294" s="506"/>
      <c r="AI294" s="506"/>
      <c r="AJ294" s="506">
        <f ca="1">IF($C$4=Year1,-PMT(Lookups!$E$17,25,NPV(Lookups!$E$17,G294:AE294),0,1),IF($C$4=Year2,-PMT(Lookups!$F$17,25,NPV(Lookups!$F$17,H294:AF294),0,1),IF($C$4=Year3,-PMT(Lookups!$G$17,25,NPV(Lookups!$G$17,I294:AG294),0,1),-PMT(Lookups!$G$17,27,NPV(Lookups!$G$17,G294:AG294),0,1))))</f>
        <v>0.80157047397077552</v>
      </c>
      <c r="AK294" s="507"/>
      <c r="AL294" s="507"/>
      <c r="AM294" s="508">
        <f ca="1">SUM(AM289:AM293)</f>
        <v>0.96075438581042261</v>
      </c>
      <c r="AN294" s="508">
        <f t="shared" ref="AN294:BM294" ca="1" si="323">SUM(AN289:AN293)</f>
        <v>0.97515465184156669</v>
      </c>
      <c r="AO294" s="508">
        <f t="shared" ca="1" si="323"/>
        <v>0.99500735427496589</v>
      </c>
      <c r="AP294" s="508">
        <f t="shared" ca="1" si="323"/>
        <v>0.80450614128858378</v>
      </c>
      <c r="AQ294" s="508">
        <f t="shared" ca="1" si="323"/>
        <v>0.80450614128858378</v>
      </c>
      <c r="AR294" s="508">
        <f t="shared" ca="1" si="323"/>
        <v>0.80450614128858378</v>
      </c>
      <c r="AS294" s="508">
        <f t="shared" ca="1" si="323"/>
        <v>0.80450614128858378</v>
      </c>
      <c r="AT294" s="508">
        <f t="shared" ca="1" si="323"/>
        <v>0.80450614128858378</v>
      </c>
      <c r="AU294" s="508">
        <f t="shared" ca="1" si="323"/>
        <v>0.80450614128858378</v>
      </c>
      <c r="AV294" s="508">
        <f t="shared" ca="1" si="323"/>
        <v>0.80450614128858378</v>
      </c>
      <c r="AW294" s="508">
        <f t="shared" ca="1" si="323"/>
        <v>0.80450614128858378</v>
      </c>
      <c r="AX294" s="508">
        <f t="shared" ca="1" si="323"/>
        <v>0.80450614128858378</v>
      </c>
      <c r="AY294" s="508">
        <f t="shared" ca="1" si="323"/>
        <v>0.80450614128858378</v>
      </c>
      <c r="AZ294" s="508">
        <f t="shared" ca="1" si="323"/>
        <v>0.79675973642880737</v>
      </c>
      <c r="BA294" s="508">
        <f t="shared" ca="1" si="323"/>
        <v>0.79039000879222365</v>
      </c>
      <c r="BB294" s="508">
        <f t="shared" ca="1" si="323"/>
        <v>0.78501893828439873</v>
      </c>
      <c r="BC294" s="508">
        <f t="shared" ca="1" si="323"/>
        <v>0.78501893828439873</v>
      </c>
      <c r="BD294" s="508">
        <f t="shared" ca="1" si="323"/>
        <v>0.78501893828439873</v>
      </c>
      <c r="BE294" s="508">
        <f t="shared" ca="1" si="323"/>
        <v>0.78501893828439873</v>
      </c>
      <c r="BF294" s="508">
        <f t="shared" ca="1" si="323"/>
        <v>0.78501893828439873</v>
      </c>
      <c r="BG294" s="508">
        <f t="shared" ca="1" si="323"/>
        <v>0.78501893828439873</v>
      </c>
      <c r="BH294" s="508">
        <f t="shared" ca="1" si="323"/>
        <v>0.78501893828439873</v>
      </c>
      <c r="BI294" s="508">
        <f t="shared" ca="1" si="323"/>
        <v>0.78501893828439873</v>
      </c>
      <c r="BJ294" s="508">
        <f t="shared" ca="1" si="323"/>
        <v>0.78501893828439873</v>
      </c>
      <c r="BK294" s="508">
        <f t="shared" ca="1" si="323"/>
        <v>0.78501893828439873</v>
      </c>
      <c r="BL294" s="508">
        <f t="shared" ca="1" si="323"/>
        <v>0.78501893828439873</v>
      </c>
      <c r="BM294" s="508">
        <f t="shared" ca="1" si="323"/>
        <v>0.78501893828439873</v>
      </c>
      <c r="BN294" s="508"/>
      <c r="BO294" s="508"/>
      <c r="BP294" s="508">
        <f ca="1">IF($C$4=Year1,-PMT(Lookups!$E$17,25,NPV(Lookups!$E$17,AM294:BK294),0,1),IF($C$4=Year2,-PMT(Lookups!$F$17,25,NPV(Lookups!$F$17,AN294:BL294),0,1),IF($C$4=Year3,-PMT(Lookups!$G$17,25,NPV(Lookups!$G$17,AO294:BM294),0,1),-PMT(Lookups!$G$17,27,NPV(Lookups!$G$17,AM294:BM294),0,1))))</f>
        <v>0.80706176587964373</v>
      </c>
      <c r="BS294" s="84" t="s">
        <v>235</v>
      </c>
      <c r="BT294" s="51" t="s">
        <v>17</v>
      </c>
    </row>
    <row r="295" spans="1:72" x14ac:dyDescent="0.25">
      <c r="B295" s="243" t="str">
        <f>B293</f>
        <v>Large C&amp;I</v>
      </c>
      <c r="C295" s="243" t="str">
        <f>C293</f>
        <v>Rates</v>
      </c>
      <c r="D295" s="114" t="s">
        <v>114</v>
      </c>
      <c r="E295" s="84"/>
      <c r="F295" s="84"/>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49"/>
      <c r="AI295" s="109"/>
      <c r="AJ295" s="49"/>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S295" s="84"/>
      <c r="BT295" s="51" t="s">
        <v>17</v>
      </c>
    </row>
    <row r="296" spans="1:72" x14ac:dyDescent="0.25">
      <c r="B296" s="243" t="str">
        <f t="shared" ref="B296:D311" si="324">B295</f>
        <v>Large C&amp;I</v>
      </c>
      <c r="C296" s="243" t="str">
        <f t="shared" si="324"/>
        <v>Rates</v>
      </c>
      <c r="D296" s="244" t="str">
        <f t="shared" si="324"/>
        <v>Change in Rates after DSM Scenario</v>
      </c>
      <c r="E296" s="84" t="s">
        <v>76</v>
      </c>
      <c r="F296" s="84" t="s">
        <v>182</v>
      </c>
      <c r="G296" s="510">
        <f ca="1">G294-G279</f>
        <v>0.14659211586306986</v>
      </c>
      <c r="H296" s="510">
        <f t="shared" ref="H296:AG296" ca="1" si="325">H294-H279</f>
        <v>0.15862590611772087</v>
      </c>
      <c r="I296" s="510">
        <f t="shared" ca="1" si="325"/>
        <v>0.17494737738071309</v>
      </c>
      <c r="J296" s="510">
        <f t="shared" ca="1" si="325"/>
        <v>1.6196366558727915E-2</v>
      </c>
      <c r="K296" s="510">
        <f t="shared" ca="1" si="325"/>
        <v>1.6196366558727915E-2</v>
      </c>
      <c r="L296" s="510">
        <f t="shared" ca="1" si="325"/>
        <v>1.6196366558727915E-2</v>
      </c>
      <c r="M296" s="510">
        <f t="shared" ca="1" si="325"/>
        <v>1.6196366558727915E-2</v>
      </c>
      <c r="N296" s="510">
        <f t="shared" ca="1" si="325"/>
        <v>1.6196366558727915E-2</v>
      </c>
      <c r="O296" s="510">
        <f t="shared" ca="1" si="325"/>
        <v>1.6196366558727915E-2</v>
      </c>
      <c r="P296" s="510">
        <f t="shared" ca="1" si="325"/>
        <v>1.6196366558727915E-2</v>
      </c>
      <c r="Q296" s="510">
        <f t="shared" ca="1" si="325"/>
        <v>1.6196366558727915E-2</v>
      </c>
      <c r="R296" s="510">
        <f t="shared" ca="1" si="325"/>
        <v>1.6196366558727915E-2</v>
      </c>
      <c r="S296" s="510">
        <f t="shared" ca="1" si="325"/>
        <v>1.6196366558727915E-2</v>
      </c>
      <c r="T296" s="510">
        <f t="shared" ca="1" si="325"/>
        <v>9.9566470814778096E-3</v>
      </c>
      <c r="U296" s="510">
        <f t="shared" ca="1" si="325"/>
        <v>4.6324101729968703E-3</v>
      </c>
      <c r="V296" s="510">
        <f t="shared" ca="1" si="325"/>
        <v>0</v>
      </c>
      <c r="W296" s="510">
        <f t="shared" ca="1" si="325"/>
        <v>0</v>
      </c>
      <c r="X296" s="510">
        <f t="shared" ca="1" si="325"/>
        <v>0</v>
      </c>
      <c r="Y296" s="510">
        <f t="shared" ca="1" si="325"/>
        <v>0</v>
      </c>
      <c r="Z296" s="510">
        <f t="shared" ca="1" si="325"/>
        <v>0</v>
      </c>
      <c r="AA296" s="510">
        <f t="shared" ca="1" si="325"/>
        <v>0</v>
      </c>
      <c r="AB296" s="510">
        <f t="shared" ca="1" si="325"/>
        <v>0</v>
      </c>
      <c r="AC296" s="510">
        <f t="shared" ca="1" si="325"/>
        <v>0</v>
      </c>
      <c r="AD296" s="510">
        <f t="shared" ca="1" si="325"/>
        <v>0</v>
      </c>
      <c r="AE296" s="510">
        <f t="shared" ca="1" si="325"/>
        <v>0</v>
      </c>
      <c r="AF296" s="510">
        <f t="shared" ca="1" si="325"/>
        <v>0</v>
      </c>
      <c r="AG296" s="510">
        <f t="shared" ca="1" si="325"/>
        <v>0</v>
      </c>
      <c r="AH296" s="510"/>
      <c r="AI296" s="510"/>
      <c r="AJ296" s="510">
        <f ca="1">IF($C$4=Year1,-PMT(Lookups!$E$17,25,NPV(Lookups!$E$17,G296:AE296),0,1),IF($C$4=Year2,-PMT(Lookups!$F$17,25,NPV(Lookups!$F$17,H296:AF296),0,1),IF($C$4=Year3,-PMT(Lookups!$G$17,25,NPV(Lookups!$G$17,I296:AG296),0,1),-PMT(Lookups!$G$17,27,NPV(Lookups!$G$17,G296:AG296),0,1))))</f>
        <v>2.7499983832909723E-2</v>
      </c>
      <c r="AK296" s="507"/>
      <c r="AL296" s="507"/>
      <c r="AM296" s="508">
        <f ca="1">AM294-AM279</f>
        <v>0.17573544752602388</v>
      </c>
      <c r="AN296" s="508">
        <f t="shared" ref="AN296:BM296" ca="1" si="326">AN294-AN279</f>
        <v>0.19013571355716796</v>
      </c>
      <c r="AO296" s="508">
        <f t="shared" ca="1" si="326"/>
        <v>0.20998841599056717</v>
      </c>
      <c r="AP296" s="508">
        <f t="shared" ca="1" si="326"/>
        <v>1.948720300418505E-2</v>
      </c>
      <c r="AQ296" s="508">
        <f t="shared" ca="1" si="326"/>
        <v>1.948720300418505E-2</v>
      </c>
      <c r="AR296" s="508">
        <f t="shared" ca="1" si="326"/>
        <v>1.948720300418505E-2</v>
      </c>
      <c r="AS296" s="508">
        <f t="shared" ca="1" si="326"/>
        <v>1.948720300418505E-2</v>
      </c>
      <c r="AT296" s="508">
        <f t="shared" ca="1" si="326"/>
        <v>1.948720300418505E-2</v>
      </c>
      <c r="AU296" s="508">
        <f t="shared" ca="1" si="326"/>
        <v>1.948720300418505E-2</v>
      </c>
      <c r="AV296" s="508">
        <f t="shared" ca="1" si="326"/>
        <v>1.948720300418505E-2</v>
      </c>
      <c r="AW296" s="508">
        <f t="shared" ca="1" si="326"/>
        <v>1.948720300418505E-2</v>
      </c>
      <c r="AX296" s="508">
        <f t="shared" ca="1" si="326"/>
        <v>1.948720300418505E-2</v>
      </c>
      <c r="AY296" s="508">
        <f t="shared" ca="1" si="326"/>
        <v>1.948720300418505E-2</v>
      </c>
      <c r="AZ296" s="508">
        <f t="shared" ca="1" si="326"/>
        <v>1.1740798144408648E-2</v>
      </c>
      <c r="BA296" s="508">
        <f t="shared" ca="1" si="326"/>
        <v>5.3710705078249266E-3</v>
      </c>
      <c r="BB296" s="508">
        <f t="shared" ca="1" si="326"/>
        <v>0</v>
      </c>
      <c r="BC296" s="508">
        <f t="shared" ca="1" si="326"/>
        <v>0</v>
      </c>
      <c r="BD296" s="508">
        <f t="shared" ca="1" si="326"/>
        <v>0</v>
      </c>
      <c r="BE296" s="508">
        <f t="shared" ca="1" si="326"/>
        <v>0</v>
      </c>
      <c r="BF296" s="508">
        <f t="shared" ca="1" si="326"/>
        <v>0</v>
      </c>
      <c r="BG296" s="508">
        <f t="shared" ca="1" si="326"/>
        <v>0</v>
      </c>
      <c r="BH296" s="508">
        <f t="shared" ca="1" si="326"/>
        <v>0</v>
      </c>
      <c r="BI296" s="508">
        <f t="shared" ca="1" si="326"/>
        <v>0</v>
      </c>
      <c r="BJ296" s="508">
        <f t="shared" ca="1" si="326"/>
        <v>0</v>
      </c>
      <c r="BK296" s="508">
        <f t="shared" ca="1" si="326"/>
        <v>0</v>
      </c>
      <c r="BL296" s="508">
        <f t="shared" ca="1" si="326"/>
        <v>0</v>
      </c>
      <c r="BM296" s="508">
        <f t="shared" ca="1" si="326"/>
        <v>0</v>
      </c>
      <c r="BN296" s="508"/>
      <c r="BO296" s="508"/>
      <c r="BP296" s="508">
        <f ca="1">IF($C$4=Year1,-PMT(Lookups!$E$17,25,NPV(Lookups!$E$17,AM296:BK296),0,1),IF($C$4=Year2,-PMT(Lookups!$F$17,25,NPV(Lookups!$F$17,AN296:BL296),0,1),IF($C$4=Year3,-PMT(Lookups!$G$17,25,NPV(Lookups!$G$17,AO296:BM296),0,1),-PMT(Lookups!$G$17,27,NPV(Lookups!$G$17,AM296:BM296),0,1))))</f>
        <v>3.2991275741777924E-2</v>
      </c>
      <c r="BS296" s="84" t="s">
        <v>233</v>
      </c>
      <c r="BT296" s="51" t="s">
        <v>17</v>
      </c>
    </row>
    <row r="297" spans="1:72" x14ac:dyDescent="0.25">
      <c r="B297" s="243" t="str">
        <f t="shared" si="324"/>
        <v>Large C&amp;I</v>
      </c>
      <c r="C297" s="243" t="str">
        <f t="shared" si="324"/>
        <v>Rates</v>
      </c>
      <c r="D297" s="244" t="str">
        <f t="shared" si="324"/>
        <v>Change in Rates after DSM Scenario</v>
      </c>
      <c r="E297" s="84" t="s">
        <v>76</v>
      </c>
      <c r="F297" s="84" t="s">
        <v>16</v>
      </c>
      <c r="G297" s="224">
        <f ca="1">IFERROR(G294/G279-1,0)</f>
        <v>0.18673704380105294</v>
      </c>
      <c r="H297" s="224">
        <f t="shared" ref="H297:AG297" ca="1" si="327">IFERROR(H294/H279-1,0)</f>
        <v>0.20206634309280003</v>
      </c>
      <c r="I297" s="224">
        <f t="shared" ca="1" si="327"/>
        <v>0.22285752463889308</v>
      </c>
      <c r="J297" s="224">
        <f t="shared" ca="1" si="327"/>
        <v>2.0631816340792808E-2</v>
      </c>
      <c r="K297" s="224">
        <f t="shared" ca="1" si="327"/>
        <v>2.0631816340792808E-2</v>
      </c>
      <c r="L297" s="224">
        <f t="shared" ca="1" si="327"/>
        <v>2.0631816340792808E-2</v>
      </c>
      <c r="M297" s="224">
        <f t="shared" ca="1" si="327"/>
        <v>2.0631816340792808E-2</v>
      </c>
      <c r="N297" s="224">
        <f t="shared" ca="1" si="327"/>
        <v>2.0631816340792808E-2</v>
      </c>
      <c r="O297" s="224">
        <f t="shared" ca="1" si="327"/>
        <v>2.0631816340792808E-2</v>
      </c>
      <c r="P297" s="224">
        <f t="shared" ca="1" si="327"/>
        <v>2.0631816340792808E-2</v>
      </c>
      <c r="Q297" s="224">
        <f t="shared" ca="1" si="327"/>
        <v>2.0631816340792808E-2</v>
      </c>
      <c r="R297" s="224">
        <f t="shared" ca="1" si="327"/>
        <v>2.0631816340792808E-2</v>
      </c>
      <c r="S297" s="224">
        <f t="shared" ca="1" si="327"/>
        <v>2.0631816340792808E-2</v>
      </c>
      <c r="T297" s="224">
        <f t="shared" ca="1" si="327"/>
        <v>1.2683320867694414E-2</v>
      </c>
      <c r="U297" s="224">
        <f t="shared" ca="1" si="327"/>
        <v>5.9010170928113226E-3</v>
      </c>
      <c r="V297" s="224">
        <f t="shared" ca="1" si="327"/>
        <v>0</v>
      </c>
      <c r="W297" s="224">
        <f t="shared" ca="1" si="327"/>
        <v>0</v>
      </c>
      <c r="X297" s="224">
        <f t="shared" ca="1" si="327"/>
        <v>0</v>
      </c>
      <c r="Y297" s="224">
        <f t="shared" ca="1" si="327"/>
        <v>0</v>
      </c>
      <c r="Z297" s="224">
        <f t="shared" ca="1" si="327"/>
        <v>0</v>
      </c>
      <c r="AA297" s="224">
        <f t="shared" ca="1" si="327"/>
        <v>0</v>
      </c>
      <c r="AB297" s="224">
        <f t="shared" ca="1" si="327"/>
        <v>0</v>
      </c>
      <c r="AC297" s="224">
        <f t="shared" ca="1" si="327"/>
        <v>0</v>
      </c>
      <c r="AD297" s="224">
        <f t="shared" ca="1" si="327"/>
        <v>0</v>
      </c>
      <c r="AE297" s="224">
        <f t="shared" ca="1" si="327"/>
        <v>0</v>
      </c>
      <c r="AF297" s="224">
        <f t="shared" ca="1" si="327"/>
        <v>0</v>
      </c>
      <c r="AG297" s="224">
        <f t="shared" ca="1" si="327"/>
        <v>0</v>
      </c>
      <c r="AH297" s="224"/>
      <c r="AI297" s="224"/>
      <c r="AJ297" s="224">
        <f ca="1">IFERROR(AJ294/AJ279-1,0)</f>
        <v>3.5526459390037957E-2</v>
      </c>
      <c r="AK297" s="212"/>
      <c r="AL297" s="212"/>
      <c r="AM297" s="504">
        <f ca="1">IFERROR(AM294/AM279-1,0)</f>
        <v>0.22386141143305505</v>
      </c>
      <c r="AN297" s="504">
        <f t="shared" ref="AN297:BM297" ca="1" si="328">IFERROR(AN294/AN279-1,0)</f>
        <v>0.24220525682182337</v>
      </c>
      <c r="AO297" s="504">
        <f t="shared" ca="1" si="328"/>
        <v>0.26749471350268506</v>
      </c>
      <c r="AP297" s="504">
        <f t="shared" ca="1" si="328"/>
        <v>2.4823863544964686E-2</v>
      </c>
      <c r="AQ297" s="504">
        <f t="shared" ca="1" si="328"/>
        <v>2.4823863544964686E-2</v>
      </c>
      <c r="AR297" s="504">
        <f t="shared" ca="1" si="328"/>
        <v>2.4823863544964686E-2</v>
      </c>
      <c r="AS297" s="504">
        <f t="shared" ca="1" si="328"/>
        <v>2.4823863544964686E-2</v>
      </c>
      <c r="AT297" s="504">
        <f t="shared" ca="1" si="328"/>
        <v>2.4823863544964686E-2</v>
      </c>
      <c r="AU297" s="504">
        <f t="shared" ca="1" si="328"/>
        <v>2.4823863544964686E-2</v>
      </c>
      <c r="AV297" s="504">
        <f t="shared" ca="1" si="328"/>
        <v>2.4823863544964686E-2</v>
      </c>
      <c r="AW297" s="504">
        <f t="shared" ca="1" si="328"/>
        <v>2.4823863544964686E-2</v>
      </c>
      <c r="AX297" s="504">
        <f t="shared" ca="1" si="328"/>
        <v>2.4823863544964686E-2</v>
      </c>
      <c r="AY297" s="504">
        <f t="shared" ca="1" si="328"/>
        <v>2.4823863544964686E-2</v>
      </c>
      <c r="AZ297" s="504">
        <f t="shared" ca="1" si="328"/>
        <v>1.4956069938984351E-2</v>
      </c>
      <c r="BA297" s="504">
        <f t="shared" ca="1" si="328"/>
        <v>6.8419629716998109E-3</v>
      </c>
      <c r="BB297" s="504">
        <f t="shared" ca="1" si="328"/>
        <v>0</v>
      </c>
      <c r="BC297" s="504">
        <f t="shared" ca="1" si="328"/>
        <v>0</v>
      </c>
      <c r="BD297" s="504">
        <f t="shared" ca="1" si="328"/>
        <v>0</v>
      </c>
      <c r="BE297" s="504">
        <f t="shared" ca="1" si="328"/>
        <v>0</v>
      </c>
      <c r="BF297" s="504">
        <f t="shared" ca="1" si="328"/>
        <v>0</v>
      </c>
      <c r="BG297" s="504">
        <f t="shared" ca="1" si="328"/>
        <v>0</v>
      </c>
      <c r="BH297" s="504">
        <f t="shared" ca="1" si="328"/>
        <v>0</v>
      </c>
      <c r="BI297" s="504">
        <f t="shared" ca="1" si="328"/>
        <v>0</v>
      </c>
      <c r="BJ297" s="504">
        <f t="shared" ca="1" si="328"/>
        <v>0</v>
      </c>
      <c r="BK297" s="504">
        <f t="shared" ca="1" si="328"/>
        <v>0</v>
      </c>
      <c r="BL297" s="504">
        <f t="shared" ca="1" si="328"/>
        <v>0</v>
      </c>
      <c r="BM297" s="504">
        <f t="shared" ca="1" si="328"/>
        <v>0</v>
      </c>
      <c r="BN297" s="504"/>
      <c r="BO297" s="504"/>
      <c r="BP297" s="504">
        <f ca="1">IFERROR(BP294/BP279-1,0)</f>
        <v>4.2620505706014056E-2</v>
      </c>
      <c r="BS297" s="84" t="s">
        <v>234</v>
      </c>
      <c r="BT297" s="51" t="s">
        <v>17</v>
      </c>
    </row>
    <row r="298" spans="1:72" x14ac:dyDescent="0.25">
      <c r="B298" s="243" t="str">
        <f t="shared" si="324"/>
        <v>Large C&amp;I</v>
      </c>
      <c r="C298" s="243" t="str">
        <f t="shared" si="324"/>
        <v>Rates</v>
      </c>
      <c r="D298" s="85"/>
      <c r="E298" s="84" t="s">
        <v>17</v>
      </c>
      <c r="F298" s="84"/>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S298" s="84"/>
      <c r="BT298" s="51" t="s">
        <v>17</v>
      </c>
    </row>
    <row r="299" spans="1:72" s="5" customFormat="1" ht="15.75" x14ac:dyDescent="0.25">
      <c r="A299" s="52"/>
      <c r="B299" s="241" t="str">
        <f t="shared" si="324"/>
        <v>Large C&amp;I</v>
      </c>
      <c r="C299" s="63" t="s">
        <v>51</v>
      </c>
      <c r="D299" s="61"/>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2"/>
      <c r="BO299" s="62"/>
      <c r="BP299" s="62"/>
      <c r="BS299" s="62"/>
      <c r="BT299" s="51" t="s">
        <v>17</v>
      </c>
    </row>
    <row r="300" spans="1:72" x14ac:dyDescent="0.25">
      <c r="B300" s="243" t="str">
        <f t="shared" si="324"/>
        <v>Large C&amp;I</v>
      </c>
      <c r="C300" s="243" t="str">
        <f>C299</f>
        <v>Bills</v>
      </c>
      <c r="D300" s="114" t="str">
        <f>"Bills before DSM ("&amp;Lookups!$D$22&amp;" Scenario, Non-Participant)"</f>
        <v>Bills before DSM (No EE Scenario, Non-Participant)</v>
      </c>
      <c r="E300" s="86"/>
      <c r="F300" s="84"/>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S300" s="84"/>
      <c r="BT300" s="51" t="s">
        <v>17</v>
      </c>
    </row>
    <row r="301" spans="1:72" x14ac:dyDescent="0.25">
      <c r="B301" s="243" t="str">
        <f t="shared" si="324"/>
        <v>Large C&amp;I</v>
      </c>
      <c r="C301" s="243" t="str">
        <f t="shared" si="324"/>
        <v>Bills</v>
      </c>
      <c r="D301" s="244" t="str">
        <f>D300</f>
        <v>Bills before DSM (No EE Scenario, Non-Participant)</v>
      </c>
      <c r="E301" s="86" t="s">
        <v>75</v>
      </c>
      <c r="F301" s="84" t="s">
        <v>31</v>
      </c>
      <c r="G301" s="659">
        <f>IF(G$8=0,0,INDEX('R&amp;B Inputs'!$H$45:$U$45,MATCH($B301,'R&amp;B Inputs'!$H$4:$U$4,0))*(1+INDEX('R&amp;B Inputs'!$H$46:$U$46,MATCH($B301,'R&amp;B Inputs'!$H$4:$U$4,0)))^(G$7-Year1)*12)</f>
        <v>8707.92</v>
      </c>
      <c r="H301" s="659">
        <f>IF(H$8=0,0,INDEX('R&amp;B Inputs'!$H$45:$U$45,MATCH($B301,'R&amp;B Inputs'!$H$4:$U$4,0))*(1+INDEX('R&amp;B Inputs'!$H$46:$U$46,MATCH($B301,'R&amp;B Inputs'!$H$4:$U$4,0)))^(H$7-Year1)*12)</f>
        <v>8707.92</v>
      </c>
      <c r="I301" s="659">
        <f>IF(I$8=0,0,INDEX('R&amp;B Inputs'!$H$45:$U$45,MATCH($B301,'R&amp;B Inputs'!$H$4:$U$4,0))*(1+INDEX('R&amp;B Inputs'!$H$46:$U$46,MATCH($B301,'R&amp;B Inputs'!$H$4:$U$4,0)))^(I$7-Year1)*12)</f>
        <v>8707.92</v>
      </c>
      <c r="J301" s="659">
        <f>IF(J$8=0,0,INDEX('R&amp;B Inputs'!$H$45:$U$45,MATCH($B301,'R&amp;B Inputs'!$H$4:$U$4,0))*(1+INDEX('R&amp;B Inputs'!$H$46:$U$46,MATCH($B301,'R&amp;B Inputs'!$H$4:$U$4,0)))^(J$7-Year1)*12)</f>
        <v>8707.92</v>
      </c>
      <c r="K301" s="659">
        <f>IF(K$8=0,0,INDEX('R&amp;B Inputs'!$H$45:$U$45,MATCH($B301,'R&amp;B Inputs'!$H$4:$U$4,0))*(1+INDEX('R&amp;B Inputs'!$H$46:$U$46,MATCH($B301,'R&amp;B Inputs'!$H$4:$U$4,0)))^(K$7-Year1)*12)</f>
        <v>8707.92</v>
      </c>
      <c r="L301" s="659">
        <f>IF(L$8=0,0,INDEX('R&amp;B Inputs'!$H$45:$U$45,MATCH($B301,'R&amp;B Inputs'!$H$4:$U$4,0))*(1+INDEX('R&amp;B Inputs'!$H$46:$U$46,MATCH($B301,'R&amp;B Inputs'!$H$4:$U$4,0)))^(L$7-Year1)*12)</f>
        <v>8707.92</v>
      </c>
      <c r="M301" s="659">
        <f>IF(M$8=0,0,INDEX('R&amp;B Inputs'!$H$45:$U$45,MATCH($B301,'R&amp;B Inputs'!$H$4:$U$4,0))*(1+INDEX('R&amp;B Inputs'!$H$46:$U$46,MATCH($B301,'R&amp;B Inputs'!$H$4:$U$4,0)))^(M$7-Year1)*12)</f>
        <v>8707.92</v>
      </c>
      <c r="N301" s="659">
        <f>IF(N$8=0,0,INDEX('R&amp;B Inputs'!$H$45:$U$45,MATCH($B301,'R&amp;B Inputs'!$H$4:$U$4,0))*(1+INDEX('R&amp;B Inputs'!$H$46:$U$46,MATCH($B301,'R&amp;B Inputs'!$H$4:$U$4,0)))^(N$7-Year1)*12)</f>
        <v>8707.92</v>
      </c>
      <c r="O301" s="659">
        <f>IF(O$8=0,0,INDEX('R&amp;B Inputs'!$H$45:$U$45,MATCH($B301,'R&amp;B Inputs'!$H$4:$U$4,0))*(1+INDEX('R&amp;B Inputs'!$H$46:$U$46,MATCH($B301,'R&amp;B Inputs'!$H$4:$U$4,0)))^(O$7-Year1)*12)</f>
        <v>8707.92</v>
      </c>
      <c r="P301" s="659">
        <f>IF(P$8=0,0,INDEX('R&amp;B Inputs'!$H$45:$U$45,MATCH($B301,'R&amp;B Inputs'!$H$4:$U$4,0))*(1+INDEX('R&amp;B Inputs'!$H$46:$U$46,MATCH($B301,'R&amp;B Inputs'!$H$4:$U$4,0)))^(P$7-Year1)*12)</f>
        <v>8707.92</v>
      </c>
      <c r="Q301" s="659">
        <f>IF(Q$8=0,0,INDEX('R&amp;B Inputs'!$H$45:$U$45,MATCH($B301,'R&amp;B Inputs'!$H$4:$U$4,0))*(1+INDEX('R&amp;B Inputs'!$H$46:$U$46,MATCH($B301,'R&amp;B Inputs'!$H$4:$U$4,0)))^(Q$7-Year1)*12)</f>
        <v>8707.92</v>
      </c>
      <c r="R301" s="659">
        <f>IF(R$8=0,0,INDEX('R&amp;B Inputs'!$H$45:$U$45,MATCH($B301,'R&amp;B Inputs'!$H$4:$U$4,0))*(1+INDEX('R&amp;B Inputs'!$H$46:$U$46,MATCH($B301,'R&amp;B Inputs'!$H$4:$U$4,0)))^(R$7-Year1)*12)</f>
        <v>8707.92</v>
      </c>
      <c r="S301" s="659">
        <f>IF(S$8=0,0,INDEX('R&amp;B Inputs'!$H$45:$U$45,MATCH($B301,'R&amp;B Inputs'!$H$4:$U$4,0))*(1+INDEX('R&amp;B Inputs'!$H$46:$U$46,MATCH($B301,'R&amp;B Inputs'!$H$4:$U$4,0)))^(S$7-Year1)*12)</f>
        <v>8707.92</v>
      </c>
      <c r="T301" s="659">
        <f>IF(T$8=0,0,INDEX('R&amp;B Inputs'!$H$45:$U$45,MATCH($B301,'R&amp;B Inputs'!$H$4:$U$4,0))*(1+INDEX('R&amp;B Inputs'!$H$46:$U$46,MATCH($B301,'R&amp;B Inputs'!$H$4:$U$4,0)))^(T$7-Year1)*12)</f>
        <v>8707.92</v>
      </c>
      <c r="U301" s="659">
        <f>IF(U$8=0,0,INDEX('R&amp;B Inputs'!$H$45:$U$45,MATCH($B301,'R&amp;B Inputs'!$H$4:$U$4,0))*(1+INDEX('R&amp;B Inputs'!$H$46:$U$46,MATCH($B301,'R&amp;B Inputs'!$H$4:$U$4,0)))^(U$7-Year1)*12)</f>
        <v>8707.92</v>
      </c>
      <c r="V301" s="659">
        <f>IF(V$8=0,0,INDEX('R&amp;B Inputs'!$H$45:$U$45,MATCH($B301,'R&amp;B Inputs'!$H$4:$U$4,0))*(1+INDEX('R&amp;B Inputs'!$H$46:$U$46,MATCH($B301,'R&amp;B Inputs'!$H$4:$U$4,0)))^(V$7-Year1)*12)</f>
        <v>8707.92</v>
      </c>
      <c r="W301" s="659">
        <f>IF(W$8=0,0,INDEX('R&amp;B Inputs'!$H$45:$U$45,MATCH($B301,'R&amp;B Inputs'!$H$4:$U$4,0))*(1+INDEX('R&amp;B Inputs'!$H$46:$U$46,MATCH($B301,'R&amp;B Inputs'!$H$4:$U$4,0)))^(W$7-Year1)*12)</f>
        <v>8707.92</v>
      </c>
      <c r="X301" s="659">
        <f>IF(X$8=0,0,INDEX('R&amp;B Inputs'!$H$45:$U$45,MATCH($B301,'R&amp;B Inputs'!$H$4:$U$4,0))*(1+INDEX('R&amp;B Inputs'!$H$46:$U$46,MATCH($B301,'R&amp;B Inputs'!$H$4:$U$4,0)))^(X$7-Year1)*12)</f>
        <v>8707.92</v>
      </c>
      <c r="Y301" s="659">
        <f>IF(Y$8=0,0,INDEX('R&amp;B Inputs'!$H$45:$U$45,MATCH($B301,'R&amp;B Inputs'!$H$4:$U$4,0))*(1+INDEX('R&amp;B Inputs'!$H$46:$U$46,MATCH($B301,'R&amp;B Inputs'!$H$4:$U$4,0)))^(Y$7-Year1)*12)</f>
        <v>8707.92</v>
      </c>
      <c r="Z301" s="659">
        <f>IF(Z$8=0,0,INDEX('R&amp;B Inputs'!$H$45:$U$45,MATCH($B301,'R&amp;B Inputs'!$H$4:$U$4,0))*(1+INDEX('R&amp;B Inputs'!$H$46:$U$46,MATCH($B301,'R&amp;B Inputs'!$H$4:$U$4,0)))^(Z$7-Year1)*12)</f>
        <v>8707.92</v>
      </c>
      <c r="AA301" s="659">
        <f>IF(AA$8=0,0,INDEX('R&amp;B Inputs'!$H$45:$U$45,MATCH($B301,'R&amp;B Inputs'!$H$4:$U$4,0))*(1+INDEX('R&amp;B Inputs'!$H$46:$U$46,MATCH($B301,'R&amp;B Inputs'!$H$4:$U$4,0)))^(AA$7-Year1)*12)</f>
        <v>8707.92</v>
      </c>
      <c r="AB301" s="659">
        <f>IF(AB$8=0,0,INDEX('R&amp;B Inputs'!$H$45:$U$45,MATCH($B301,'R&amp;B Inputs'!$H$4:$U$4,0))*(1+INDEX('R&amp;B Inputs'!$H$46:$U$46,MATCH($B301,'R&amp;B Inputs'!$H$4:$U$4,0)))^(AB$7-Year1)*12)</f>
        <v>8707.92</v>
      </c>
      <c r="AC301" s="659">
        <f>IF(AC$8=0,0,INDEX('R&amp;B Inputs'!$H$45:$U$45,MATCH($B301,'R&amp;B Inputs'!$H$4:$U$4,0))*(1+INDEX('R&amp;B Inputs'!$H$46:$U$46,MATCH($B301,'R&amp;B Inputs'!$H$4:$U$4,0)))^(AC$7-Year1)*12)</f>
        <v>8707.92</v>
      </c>
      <c r="AD301" s="659">
        <f>IF(AD$8=0,0,INDEX('R&amp;B Inputs'!$H$45:$U$45,MATCH($B301,'R&amp;B Inputs'!$H$4:$U$4,0))*(1+INDEX('R&amp;B Inputs'!$H$46:$U$46,MATCH($B301,'R&amp;B Inputs'!$H$4:$U$4,0)))^(AD$7-Year1)*12)</f>
        <v>8707.92</v>
      </c>
      <c r="AE301" s="659">
        <f>IF(AE$8=0,0,INDEX('R&amp;B Inputs'!$H$45:$U$45,MATCH($B301,'R&amp;B Inputs'!$H$4:$U$4,0))*(1+INDEX('R&amp;B Inputs'!$H$46:$U$46,MATCH($B301,'R&amp;B Inputs'!$H$4:$U$4,0)))^(AE$7-Year1)*12)</f>
        <v>8707.92</v>
      </c>
      <c r="AF301" s="659">
        <f>IF(AF$8=0,0,INDEX('R&amp;B Inputs'!$H$45:$U$45,MATCH($B301,'R&amp;B Inputs'!$H$4:$U$4,0))*(1+INDEX('R&amp;B Inputs'!$H$46:$U$46,MATCH($B301,'R&amp;B Inputs'!$H$4:$U$4,0)))^(AF$7-Year1)*12)</f>
        <v>8707.92</v>
      </c>
      <c r="AG301" s="659">
        <f>IF(AG$8=0,0,INDEX('R&amp;B Inputs'!$H$45:$U$45,MATCH($B301,'R&amp;B Inputs'!$H$4:$U$4,0))*(1+INDEX('R&amp;B Inputs'!$H$46:$U$46,MATCH($B301,'R&amp;B Inputs'!$H$4:$U$4,0)))^(AG$7-Year1)*12)</f>
        <v>8707.92</v>
      </c>
      <c r="AH301" s="49"/>
      <c r="AI301" s="49"/>
      <c r="AJ301" s="103">
        <f>IF($C$4=Year1,-PMT(Lookups!$E$17,25,NPV(Lookups!$E$17,G301:AE301),0,1),IF($C$4=Year2,-PMT(Lookups!$F$17,25,NPV(Lookups!$F$17,H301:AF301),0,1),IF($C$4=Year3,-PMT(Lookups!$G$17,25,NPV(Lookups!$G$17,I301:AG301),0,1),-PMT(Lookups!$G$17,27,NPV(Lookups!$G$17,G301:AG301),0,1))))</f>
        <v>8586.4729801452777</v>
      </c>
      <c r="AM301" s="705">
        <f>IF(AM$8=0,0,INDEX('R&amp;B Inputs'!$H$45:$U$45,MATCH($B301,'R&amp;B Inputs'!$H$4:$U$4,0))*(1+INDEX('R&amp;B Inputs'!$H$46:$U$46,MATCH($B301,'R&amp;B Inputs'!$H$4:$U$4,0)))^(AM$7-Year1)*12)</f>
        <v>8707.92</v>
      </c>
      <c r="AN301" s="705">
        <f>IF(AN$8=0,0,INDEX('R&amp;B Inputs'!$H$45:$U$45,MATCH($B301,'R&amp;B Inputs'!$H$4:$U$4,0))*(1+INDEX('R&amp;B Inputs'!$H$46:$U$46,MATCH($B301,'R&amp;B Inputs'!$H$4:$U$4,0)))^(AN$7-Year1)*12)</f>
        <v>8707.92</v>
      </c>
      <c r="AO301" s="705">
        <f>IF(AO$8=0,0,INDEX('R&amp;B Inputs'!$H$45:$U$45,MATCH($B301,'R&amp;B Inputs'!$H$4:$U$4,0))*(1+INDEX('R&amp;B Inputs'!$H$46:$U$46,MATCH($B301,'R&amp;B Inputs'!$H$4:$U$4,0)))^(AO$7-Year1)*12)</f>
        <v>8707.92</v>
      </c>
      <c r="AP301" s="705">
        <f>IF(AP$8=0,0,INDEX('R&amp;B Inputs'!$H$45:$U$45,MATCH($B301,'R&amp;B Inputs'!$H$4:$U$4,0))*(1+INDEX('R&amp;B Inputs'!$H$46:$U$46,MATCH($B301,'R&amp;B Inputs'!$H$4:$U$4,0)))^(AP$7-Year1)*12)</f>
        <v>8707.92</v>
      </c>
      <c r="AQ301" s="705">
        <f>IF(AQ$8=0,0,INDEX('R&amp;B Inputs'!$H$45:$U$45,MATCH($B301,'R&amp;B Inputs'!$H$4:$U$4,0))*(1+INDEX('R&amp;B Inputs'!$H$46:$U$46,MATCH($B301,'R&amp;B Inputs'!$H$4:$U$4,0)))^(AQ$7-Year1)*12)</f>
        <v>8707.92</v>
      </c>
      <c r="AR301" s="705">
        <f>IF(AR$8=0,0,INDEX('R&amp;B Inputs'!$H$45:$U$45,MATCH($B301,'R&amp;B Inputs'!$H$4:$U$4,0))*(1+INDEX('R&amp;B Inputs'!$H$46:$U$46,MATCH($B301,'R&amp;B Inputs'!$H$4:$U$4,0)))^(AR$7-Year1)*12)</f>
        <v>8707.92</v>
      </c>
      <c r="AS301" s="705">
        <f>IF(AS$8=0,0,INDEX('R&amp;B Inputs'!$H$45:$U$45,MATCH($B301,'R&amp;B Inputs'!$H$4:$U$4,0))*(1+INDEX('R&amp;B Inputs'!$H$46:$U$46,MATCH($B301,'R&amp;B Inputs'!$H$4:$U$4,0)))^(AS$7-Year1)*12)</f>
        <v>8707.92</v>
      </c>
      <c r="AT301" s="705">
        <f>IF(AT$8=0,0,INDEX('R&amp;B Inputs'!$H$45:$U$45,MATCH($B301,'R&amp;B Inputs'!$H$4:$U$4,0))*(1+INDEX('R&amp;B Inputs'!$H$46:$U$46,MATCH($B301,'R&amp;B Inputs'!$H$4:$U$4,0)))^(AT$7-Year1)*12)</f>
        <v>8707.92</v>
      </c>
      <c r="AU301" s="705">
        <f>IF(AU$8=0,0,INDEX('R&amp;B Inputs'!$H$45:$U$45,MATCH($B301,'R&amp;B Inputs'!$H$4:$U$4,0))*(1+INDEX('R&amp;B Inputs'!$H$46:$U$46,MATCH($B301,'R&amp;B Inputs'!$H$4:$U$4,0)))^(AU$7-Year1)*12)</f>
        <v>8707.92</v>
      </c>
      <c r="AV301" s="705">
        <f>IF(AV$8=0,0,INDEX('R&amp;B Inputs'!$H$45:$U$45,MATCH($B301,'R&amp;B Inputs'!$H$4:$U$4,0))*(1+INDEX('R&amp;B Inputs'!$H$46:$U$46,MATCH($B301,'R&amp;B Inputs'!$H$4:$U$4,0)))^(AV$7-Year1)*12)</f>
        <v>8707.92</v>
      </c>
      <c r="AW301" s="705">
        <f>IF(AW$8=0,0,INDEX('R&amp;B Inputs'!$H$45:$U$45,MATCH($B301,'R&amp;B Inputs'!$H$4:$U$4,0))*(1+INDEX('R&amp;B Inputs'!$H$46:$U$46,MATCH($B301,'R&amp;B Inputs'!$H$4:$U$4,0)))^(AW$7-Year1)*12)</f>
        <v>8707.92</v>
      </c>
      <c r="AX301" s="705">
        <f>IF(AX$8=0,0,INDEX('R&amp;B Inputs'!$H$45:$U$45,MATCH($B301,'R&amp;B Inputs'!$H$4:$U$4,0))*(1+INDEX('R&amp;B Inputs'!$H$46:$U$46,MATCH($B301,'R&amp;B Inputs'!$H$4:$U$4,0)))^(AX$7-Year1)*12)</f>
        <v>8707.92</v>
      </c>
      <c r="AY301" s="705">
        <f>IF(AY$8=0,0,INDEX('R&amp;B Inputs'!$H$45:$U$45,MATCH($B301,'R&amp;B Inputs'!$H$4:$U$4,0))*(1+INDEX('R&amp;B Inputs'!$H$46:$U$46,MATCH($B301,'R&amp;B Inputs'!$H$4:$U$4,0)))^(AY$7-Year1)*12)</f>
        <v>8707.92</v>
      </c>
      <c r="AZ301" s="705">
        <f>IF(AZ$8=0,0,INDEX('R&amp;B Inputs'!$H$45:$U$45,MATCH($B301,'R&amp;B Inputs'!$H$4:$U$4,0))*(1+INDEX('R&amp;B Inputs'!$H$46:$U$46,MATCH($B301,'R&amp;B Inputs'!$H$4:$U$4,0)))^(AZ$7-Year1)*12)</f>
        <v>8707.92</v>
      </c>
      <c r="BA301" s="705">
        <f>IF(BA$8=0,0,INDEX('R&amp;B Inputs'!$H$45:$U$45,MATCH($B301,'R&amp;B Inputs'!$H$4:$U$4,0))*(1+INDEX('R&amp;B Inputs'!$H$46:$U$46,MATCH($B301,'R&amp;B Inputs'!$H$4:$U$4,0)))^(BA$7-Year1)*12)</f>
        <v>8707.92</v>
      </c>
      <c r="BB301" s="705">
        <f>IF(BB$8=0,0,INDEX('R&amp;B Inputs'!$H$45:$U$45,MATCH($B301,'R&amp;B Inputs'!$H$4:$U$4,0))*(1+INDEX('R&amp;B Inputs'!$H$46:$U$46,MATCH($B301,'R&amp;B Inputs'!$H$4:$U$4,0)))^(BB$7-Year1)*12)</f>
        <v>8707.92</v>
      </c>
      <c r="BC301" s="705">
        <f>IF(BC$8=0,0,INDEX('R&amp;B Inputs'!$H$45:$U$45,MATCH($B301,'R&amp;B Inputs'!$H$4:$U$4,0))*(1+INDEX('R&amp;B Inputs'!$H$46:$U$46,MATCH($B301,'R&amp;B Inputs'!$H$4:$U$4,0)))^(BC$7-Year1)*12)</f>
        <v>8707.92</v>
      </c>
      <c r="BD301" s="705">
        <f>IF(BD$8=0,0,INDEX('R&amp;B Inputs'!$H$45:$U$45,MATCH($B301,'R&amp;B Inputs'!$H$4:$U$4,0))*(1+INDEX('R&amp;B Inputs'!$H$46:$U$46,MATCH($B301,'R&amp;B Inputs'!$H$4:$U$4,0)))^(BD$7-Year1)*12)</f>
        <v>8707.92</v>
      </c>
      <c r="BE301" s="705">
        <f>IF(BE$8=0,0,INDEX('R&amp;B Inputs'!$H$45:$U$45,MATCH($B301,'R&amp;B Inputs'!$H$4:$U$4,0))*(1+INDEX('R&amp;B Inputs'!$H$46:$U$46,MATCH($B301,'R&amp;B Inputs'!$H$4:$U$4,0)))^(BE$7-Year1)*12)</f>
        <v>8707.92</v>
      </c>
      <c r="BF301" s="705">
        <f>IF(BF$8=0,0,INDEX('R&amp;B Inputs'!$H$45:$U$45,MATCH($B301,'R&amp;B Inputs'!$H$4:$U$4,0))*(1+INDEX('R&amp;B Inputs'!$H$46:$U$46,MATCH($B301,'R&amp;B Inputs'!$H$4:$U$4,0)))^(BF$7-Year1)*12)</f>
        <v>8707.92</v>
      </c>
      <c r="BG301" s="705">
        <f>IF(BG$8=0,0,INDEX('R&amp;B Inputs'!$H$45:$U$45,MATCH($B301,'R&amp;B Inputs'!$H$4:$U$4,0))*(1+INDEX('R&amp;B Inputs'!$H$46:$U$46,MATCH($B301,'R&amp;B Inputs'!$H$4:$U$4,0)))^(BG$7-Year1)*12)</f>
        <v>8707.92</v>
      </c>
      <c r="BH301" s="705">
        <f>IF(BH$8=0,0,INDEX('R&amp;B Inputs'!$H$45:$U$45,MATCH($B301,'R&amp;B Inputs'!$H$4:$U$4,0))*(1+INDEX('R&amp;B Inputs'!$H$46:$U$46,MATCH($B301,'R&amp;B Inputs'!$H$4:$U$4,0)))^(BH$7-Year1)*12)</f>
        <v>8707.92</v>
      </c>
      <c r="BI301" s="705">
        <f>IF(BI$8=0,0,INDEX('R&amp;B Inputs'!$H$45:$U$45,MATCH($B301,'R&amp;B Inputs'!$H$4:$U$4,0))*(1+INDEX('R&amp;B Inputs'!$H$46:$U$46,MATCH($B301,'R&amp;B Inputs'!$H$4:$U$4,0)))^(BI$7-Year1)*12)</f>
        <v>8707.92</v>
      </c>
      <c r="BJ301" s="705">
        <f>IF(BJ$8=0,0,INDEX('R&amp;B Inputs'!$H$45:$U$45,MATCH($B301,'R&amp;B Inputs'!$H$4:$U$4,0))*(1+INDEX('R&amp;B Inputs'!$H$46:$U$46,MATCH($B301,'R&amp;B Inputs'!$H$4:$U$4,0)))^(BJ$7-Year1)*12)</f>
        <v>8707.92</v>
      </c>
      <c r="BK301" s="705">
        <f>IF(BK$8=0,0,INDEX('R&amp;B Inputs'!$H$45:$U$45,MATCH($B301,'R&amp;B Inputs'!$H$4:$U$4,0))*(1+INDEX('R&amp;B Inputs'!$H$46:$U$46,MATCH($B301,'R&amp;B Inputs'!$H$4:$U$4,0)))^(BK$7-Year1)*12)</f>
        <v>8707.92</v>
      </c>
      <c r="BL301" s="705">
        <f>IF(BL$8=0,0,INDEX('R&amp;B Inputs'!$H$45:$U$45,MATCH($B301,'R&amp;B Inputs'!$H$4:$U$4,0))*(1+INDEX('R&amp;B Inputs'!$H$46:$U$46,MATCH($B301,'R&amp;B Inputs'!$H$4:$U$4,0)))^(BL$7-Year1)*12)</f>
        <v>8707.92</v>
      </c>
      <c r="BM301" s="705">
        <f>IF(BM$8=0,0,INDEX('R&amp;B Inputs'!$H$45:$U$45,MATCH($B301,'R&amp;B Inputs'!$H$4:$U$4,0))*(1+INDEX('R&amp;B Inputs'!$H$46:$U$46,MATCH($B301,'R&amp;B Inputs'!$H$4:$U$4,0)))^(BM$7-Year1)*12)</f>
        <v>8707.92</v>
      </c>
      <c r="BN301" s="74"/>
      <c r="BO301" s="74"/>
      <c r="BP301" s="149">
        <f>IF($C$4=Year1,-PMT(Lookups!$E$17,25,NPV(Lookups!$E$17,AM301:BK301),0,1),IF($C$4=Year2,-PMT(Lookups!$F$17,25,NPV(Lookups!$F$17,AN301:BL301),0,1),IF($C$4=Year3,-PMT(Lookups!$G$17,25,NPV(Lookups!$G$17,AO301:BM301),0,1),-PMT(Lookups!$G$17,27,NPV(Lookups!$G$17,AM301:BM301),0,1))))</f>
        <v>8586.4729801452777</v>
      </c>
      <c r="BS301" s="84" t="str">
        <f t="shared" ref="BS301" si="329">E301&amp;" charge from the R&amp;B Inputs tab, escalated annually by the growth rate included on the R&amp;B Inputs tab."</f>
        <v>Customer Charge charge from the R&amp;B Inputs tab, escalated annually by the growth rate included on the R&amp;B Inputs tab.</v>
      </c>
      <c r="BT301" s="51" t="s">
        <v>17</v>
      </c>
    </row>
    <row r="302" spans="1:72" x14ac:dyDescent="0.25">
      <c r="B302" s="243" t="str">
        <f t="shared" si="324"/>
        <v>Large C&amp;I</v>
      </c>
      <c r="C302" s="243" t="str">
        <f t="shared" si="324"/>
        <v>Bills</v>
      </c>
      <c r="D302" s="244" t="str">
        <f>D301</f>
        <v>Bills before DSM (No EE Scenario, Non-Participant)</v>
      </c>
      <c r="E302" s="84" t="s">
        <v>309</v>
      </c>
      <c r="F302" s="84" t="s">
        <v>195</v>
      </c>
      <c r="G302" s="64">
        <f>IF(G$8=0,0,INDEX('R&amp;B Inputs'!$I$27:$V$27,MATCH($B302,'R&amp;B Inputs'!$I$4:$V$4,0))+INDEX('R&amp;B Inputs'!$I$28:$V$28,MATCH($B302,'R&amp;B Inputs'!$I$4:$V$4,0)))</f>
        <v>192845.93356180895</v>
      </c>
      <c r="H302" s="64">
        <f>IF(H$8=0,0,INDEX('R&amp;B Inputs'!$I$27:$V$27,MATCH($B302,'R&amp;B Inputs'!$I$4:$V$4,0))+INDEX('R&amp;B Inputs'!$I$28:$V$28,MATCH($B302,'R&amp;B Inputs'!$I$4:$V$4,0)))</f>
        <v>192845.93356180895</v>
      </c>
      <c r="I302" s="64">
        <f>IF(I$8=0,0,INDEX('R&amp;B Inputs'!$I$27:$V$27,MATCH($B302,'R&amp;B Inputs'!$I$4:$V$4,0))+INDEX('R&amp;B Inputs'!$I$28:$V$28,MATCH($B302,'R&amp;B Inputs'!$I$4:$V$4,0)))</f>
        <v>192845.93356180895</v>
      </c>
      <c r="J302" s="64">
        <f>IF(J$8=0,0,INDEX('R&amp;B Inputs'!$I$27:$V$27,MATCH($B302,'R&amp;B Inputs'!$I$4:$V$4,0))+INDEX('R&amp;B Inputs'!$I$28:$V$28,MATCH($B302,'R&amp;B Inputs'!$I$4:$V$4,0)))</f>
        <v>192845.93356180895</v>
      </c>
      <c r="K302" s="64">
        <f>IF(K$8=0,0,INDEX('R&amp;B Inputs'!$I$27:$V$27,MATCH($B302,'R&amp;B Inputs'!$I$4:$V$4,0))+INDEX('R&amp;B Inputs'!$I$28:$V$28,MATCH($B302,'R&amp;B Inputs'!$I$4:$V$4,0)))</f>
        <v>192845.93356180895</v>
      </c>
      <c r="L302" s="64">
        <f>IF(L$8=0,0,INDEX('R&amp;B Inputs'!$I$27:$V$27,MATCH($B302,'R&amp;B Inputs'!$I$4:$V$4,0))+INDEX('R&amp;B Inputs'!$I$28:$V$28,MATCH($B302,'R&amp;B Inputs'!$I$4:$V$4,0)))</f>
        <v>192845.93356180895</v>
      </c>
      <c r="M302" s="64">
        <f>IF(M$8=0,0,INDEX('R&amp;B Inputs'!$I$27:$V$27,MATCH($B302,'R&amp;B Inputs'!$I$4:$V$4,0))+INDEX('R&amp;B Inputs'!$I$28:$V$28,MATCH($B302,'R&amp;B Inputs'!$I$4:$V$4,0)))</f>
        <v>192845.93356180895</v>
      </c>
      <c r="N302" s="64">
        <f>IF(N$8=0,0,INDEX('R&amp;B Inputs'!$I$27:$V$27,MATCH($B302,'R&amp;B Inputs'!$I$4:$V$4,0))+INDEX('R&amp;B Inputs'!$I$28:$V$28,MATCH($B302,'R&amp;B Inputs'!$I$4:$V$4,0)))</f>
        <v>192845.93356180895</v>
      </c>
      <c r="O302" s="64">
        <f>IF(O$8=0,0,INDEX('R&amp;B Inputs'!$I$27:$V$27,MATCH($B302,'R&amp;B Inputs'!$I$4:$V$4,0))+INDEX('R&amp;B Inputs'!$I$28:$V$28,MATCH($B302,'R&amp;B Inputs'!$I$4:$V$4,0)))</f>
        <v>192845.93356180895</v>
      </c>
      <c r="P302" s="64">
        <f>IF(P$8=0,0,INDEX('R&amp;B Inputs'!$I$27:$V$27,MATCH($B302,'R&amp;B Inputs'!$I$4:$V$4,0))+INDEX('R&amp;B Inputs'!$I$28:$V$28,MATCH($B302,'R&amp;B Inputs'!$I$4:$V$4,0)))</f>
        <v>192845.93356180895</v>
      </c>
      <c r="Q302" s="64">
        <f>IF(Q$8=0,0,INDEX('R&amp;B Inputs'!$I$27:$V$27,MATCH($B302,'R&amp;B Inputs'!$I$4:$V$4,0))+INDEX('R&amp;B Inputs'!$I$28:$V$28,MATCH($B302,'R&amp;B Inputs'!$I$4:$V$4,0)))</f>
        <v>192845.93356180895</v>
      </c>
      <c r="R302" s="64">
        <f>IF(R$8=0,0,INDEX('R&amp;B Inputs'!$I$27:$V$27,MATCH($B302,'R&amp;B Inputs'!$I$4:$V$4,0))+INDEX('R&amp;B Inputs'!$I$28:$V$28,MATCH($B302,'R&amp;B Inputs'!$I$4:$V$4,0)))</f>
        <v>192845.93356180895</v>
      </c>
      <c r="S302" s="64">
        <f>IF(S$8=0,0,INDEX('R&amp;B Inputs'!$I$27:$V$27,MATCH($B302,'R&amp;B Inputs'!$I$4:$V$4,0))+INDEX('R&amp;B Inputs'!$I$28:$V$28,MATCH($B302,'R&amp;B Inputs'!$I$4:$V$4,0)))</f>
        <v>192845.93356180895</v>
      </c>
      <c r="T302" s="64">
        <f>IF(T$8=0,0,INDEX('R&amp;B Inputs'!$I$27:$V$27,MATCH($B302,'R&amp;B Inputs'!$I$4:$V$4,0))+INDEX('R&amp;B Inputs'!$I$28:$V$28,MATCH($B302,'R&amp;B Inputs'!$I$4:$V$4,0)))</f>
        <v>192845.93356180895</v>
      </c>
      <c r="U302" s="64">
        <f>IF(U$8=0,0,INDEX('R&amp;B Inputs'!$I$27:$V$27,MATCH($B302,'R&amp;B Inputs'!$I$4:$V$4,0))+INDEX('R&amp;B Inputs'!$I$28:$V$28,MATCH($B302,'R&amp;B Inputs'!$I$4:$V$4,0)))</f>
        <v>192845.93356180895</v>
      </c>
      <c r="V302" s="64">
        <f>IF(V$8=0,0,INDEX('R&amp;B Inputs'!$I$27:$V$27,MATCH($B302,'R&amp;B Inputs'!$I$4:$V$4,0))+INDEX('R&amp;B Inputs'!$I$28:$V$28,MATCH($B302,'R&amp;B Inputs'!$I$4:$V$4,0)))</f>
        <v>192845.93356180895</v>
      </c>
      <c r="W302" s="64">
        <f>IF(W$8=0,0,INDEX('R&amp;B Inputs'!$I$27:$V$27,MATCH($B302,'R&amp;B Inputs'!$I$4:$V$4,0))+INDEX('R&amp;B Inputs'!$I$28:$V$28,MATCH($B302,'R&amp;B Inputs'!$I$4:$V$4,0)))</f>
        <v>192845.93356180895</v>
      </c>
      <c r="X302" s="64">
        <f>IF(X$8=0,0,INDEX('R&amp;B Inputs'!$I$27:$V$27,MATCH($B302,'R&amp;B Inputs'!$I$4:$V$4,0))+INDEX('R&amp;B Inputs'!$I$28:$V$28,MATCH($B302,'R&amp;B Inputs'!$I$4:$V$4,0)))</f>
        <v>192845.93356180895</v>
      </c>
      <c r="Y302" s="64">
        <f>IF(Y$8=0,0,INDEX('R&amp;B Inputs'!$I$27:$V$27,MATCH($B302,'R&amp;B Inputs'!$I$4:$V$4,0))+INDEX('R&amp;B Inputs'!$I$28:$V$28,MATCH($B302,'R&amp;B Inputs'!$I$4:$V$4,0)))</f>
        <v>192845.93356180895</v>
      </c>
      <c r="Z302" s="64">
        <f>IF(Z$8=0,0,INDEX('R&amp;B Inputs'!$I$27:$V$27,MATCH($B302,'R&amp;B Inputs'!$I$4:$V$4,0))+INDEX('R&amp;B Inputs'!$I$28:$V$28,MATCH($B302,'R&amp;B Inputs'!$I$4:$V$4,0)))</f>
        <v>192845.93356180895</v>
      </c>
      <c r="AA302" s="64">
        <f>IF(AA$8=0,0,INDEX('R&amp;B Inputs'!$I$27:$V$27,MATCH($B302,'R&amp;B Inputs'!$I$4:$V$4,0))+INDEX('R&amp;B Inputs'!$I$28:$V$28,MATCH($B302,'R&amp;B Inputs'!$I$4:$V$4,0)))</f>
        <v>192845.93356180895</v>
      </c>
      <c r="AB302" s="64">
        <f>IF(AB$8=0,0,INDEX('R&amp;B Inputs'!$I$27:$V$27,MATCH($B302,'R&amp;B Inputs'!$I$4:$V$4,0))+INDEX('R&amp;B Inputs'!$I$28:$V$28,MATCH($B302,'R&amp;B Inputs'!$I$4:$V$4,0)))</f>
        <v>192845.93356180895</v>
      </c>
      <c r="AC302" s="64">
        <f>IF(AC$8=0,0,INDEX('R&amp;B Inputs'!$I$27:$V$27,MATCH($B302,'R&amp;B Inputs'!$I$4:$V$4,0))+INDEX('R&amp;B Inputs'!$I$28:$V$28,MATCH($B302,'R&amp;B Inputs'!$I$4:$V$4,0)))</f>
        <v>192845.93356180895</v>
      </c>
      <c r="AD302" s="64">
        <f>IF(AD$8=0,0,INDEX('R&amp;B Inputs'!$I$27:$V$27,MATCH($B302,'R&amp;B Inputs'!$I$4:$V$4,0))+INDEX('R&amp;B Inputs'!$I$28:$V$28,MATCH($B302,'R&amp;B Inputs'!$I$4:$V$4,0)))</f>
        <v>192845.93356180895</v>
      </c>
      <c r="AE302" s="64">
        <f>IF(AE$8=0,0,INDEX('R&amp;B Inputs'!$I$27:$V$27,MATCH($B302,'R&amp;B Inputs'!$I$4:$V$4,0))+INDEX('R&amp;B Inputs'!$I$28:$V$28,MATCH($B302,'R&amp;B Inputs'!$I$4:$V$4,0)))</f>
        <v>192845.93356180895</v>
      </c>
      <c r="AF302" s="64">
        <f>IF(AF$8=0,0,INDEX('R&amp;B Inputs'!$I$27:$V$27,MATCH($B302,'R&amp;B Inputs'!$I$4:$V$4,0))+INDEX('R&amp;B Inputs'!$I$28:$V$28,MATCH($B302,'R&amp;B Inputs'!$I$4:$V$4,0)))</f>
        <v>192845.93356180895</v>
      </c>
      <c r="AG302" s="64">
        <f>IF(AG$8=0,0,INDEX('R&amp;B Inputs'!$I$27:$V$27,MATCH($B302,'R&amp;B Inputs'!$I$4:$V$4,0))+INDEX('R&amp;B Inputs'!$I$28:$V$28,MATCH($B302,'R&amp;B Inputs'!$I$4:$V$4,0)))</f>
        <v>192845.93356180895</v>
      </c>
      <c r="AH302" s="64"/>
      <c r="AI302" s="64"/>
      <c r="AJ302" s="103"/>
      <c r="AM302" s="71">
        <f>IF(AM$8=0,0,INDEX('R&amp;B Inputs'!$I$27:$V$27,MATCH($B302,'R&amp;B Inputs'!$I$4:$V$4,0))+INDEX('R&amp;B Inputs'!$I$28:$V$28,MATCH($B302,'R&amp;B Inputs'!$I$4:$V$4,0)))</f>
        <v>192845.93356180895</v>
      </c>
      <c r="AN302" s="71">
        <f>IF(AN$8=0,0,INDEX('R&amp;B Inputs'!$I$27:$V$27,MATCH($B302,'R&amp;B Inputs'!$I$4:$V$4,0))+INDEX('R&amp;B Inputs'!$I$28:$V$28,MATCH($B302,'R&amp;B Inputs'!$I$4:$V$4,0)))</f>
        <v>192845.93356180895</v>
      </c>
      <c r="AO302" s="71">
        <f>IF(AO$8=0,0,INDEX('R&amp;B Inputs'!$I$27:$V$27,MATCH($B302,'R&amp;B Inputs'!$I$4:$V$4,0))+INDEX('R&amp;B Inputs'!$I$28:$V$28,MATCH($B302,'R&amp;B Inputs'!$I$4:$V$4,0)))</f>
        <v>192845.93356180895</v>
      </c>
      <c r="AP302" s="71">
        <f>IF(AP$8=0,0,INDEX('R&amp;B Inputs'!$I$27:$V$27,MATCH($B302,'R&amp;B Inputs'!$I$4:$V$4,0))+INDEX('R&amp;B Inputs'!$I$28:$V$28,MATCH($B302,'R&amp;B Inputs'!$I$4:$V$4,0)))</f>
        <v>192845.93356180895</v>
      </c>
      <c r="AQ302" s="71">
        <f>IF(AQ$8=0,0,INDEX('R&amp;B Inputs'!$I$27:$V$27,MATCH($B302,'R&amp;B Inputs'!$I$4:$V$4,0))+INDEX('R&amp;B Inputs'!$I$28:$V$28,MATCH($B302,'R&amp;B Inputs'!$I$4:$V$4,0)))</f>
        <v>192845.93356180895</v>
      </c>
      <c r="AR302" s="71">
        <f>IF(AR$8=0,0,INDEX('R&amp;B Inputs'!$I$27:$V$27,MATCH($B302,'R&amp;B Inputs'!$I$4:$V$4,0))+INDEX('R&amp;B Inputs'!$I$28:$V$28,MATCH($B302,'R&amp;B Inputs'!$I$4:$V$4,0)))</f>
        <v>192845.93356180895</v>
      </c>
      <c r="AS302" s="71">
        <f>IF(AS$8=0,0,INDEX('R&amp;B Inputs'!$I$27:$V$27,MATCH($B302,'R&amp;B Inputs'!$I$4:$V$4,0))+INDEX('R&amp;B Inputs'!$I$28:$V$28,MATCH($B302,'R&amp;B Inputs'!$I$4:$V$4,0)))</f>
        <v>192845.93356180895</v>
      </c>
      <c r="AT302" s="71">
        <f>IF(AT$8=0,0,INDEX('R&amp;B Inputs'!$I$27:$V$27,MATCH($B302,'R&amp;B Inputs'!$I$4:$V$4,0))+INDEX('R&amp;B Inputs'!$I$28:$V$28,MATCH($B302,'R&amp;B Inputs'!$I$4:$V$4,0)))</f>
        <v>192845.93356180895</v>
      </c>
      <c r="AU302" s="71">
        <f>IF(AU$8=0,0,INDEX('R&amp;B Inputs'!$I$27:$V$27,MATCH($B302,'R&amp;B Inputs'!$I$4:$V$4,0))+INDEX('R&amp;B Inputs'!$I$28:$V$28,MATCH($B302,'R&amp;B Inputs'!$I$4:$V$4,0)))</f>
        <v>192845.93356180895</v>
      </c>
      <c r="AV302" s="71">
        <f>IF(AV$8=0,0,INDEX('R&amp;B Inputs'!$I$27:$V$27,MATCH($B302,'R&amp;B Inputs'!$I$4:$V$4,0))+INDEX('R&amp;B Inputs'!$I$28:$V$28,MATCH($B302,'R&amp;B Inputs'!$I$4:$V$4,0)))</f>
        <v>192845.93356180895</v>
      </c>
      <c r="AW302" s="71">
        <f>IF(AW$8=0,0,INDEX('R&amp;B Inputs'!$I$27:$V$27,MATCH($B302,'R&amp;B Inputs'!$I$4:$V$4,0))+INDEX('R&amp;B Inputs'!$I$28:$V$28,MATCH($B302,'R&amp;B Inputs'!$I$4:$V$4,0)))</f>
        <v>192845.93356180895</v>
      </c>
      <c r="AX302" s="71">
        <f>IF(AX$8=0,0,INDEX('R&amp;B Inputs'!$I$27:$V$27,MATCH($B302,'R&amp;B Inputs'!$I$4:$V$4,0))+INDEX('R&amp;B Inputs'!$I$28:$V$28,MATCH($B302,'R&amp;B Inputs'!$I$4:$V$4,0)))</f>
        <v>192845.93356180895</v>
      </c>
      <c r="AY302" s="71">
        <f>IF(AY$8=0,0,INDEX('R&amp;B Inputs'!$I$27:$V$27,MATCH($B302,'R&amp;B Inputs'!$I$4:$V$4,0))+INDEX('R&amp;B Inputs'!$I$28:$V$28,MATCH($B302,'R&amp;B Inputs'!$I$4:$V$4,0)))</f>
        <v>192845.93356180895</v>
      </c>
      <c r="AZ302" s="71">
        <f>IF(AZ$8=0,0,INDEX('R&amp;B Inputs'!$I$27:$V$27,MATCH($B302,'R&amp;B Inputs'!$I$4:$V$4,0))+INDEX('R&amp;B Inputs'!$I$28:$V$28,MATCH($B302,'R&amp;B Inputs'!$I$4:$V$4,0)))</f>
        <v>192845.93356180895</v>
      </c>
      <c r="BA302" s="71">
        <f>IF(BA$8=0,0,INDEX('R&amp;B Inputs'!$I$27:$V$27,MATCH($B302,'R&amp;B Inputs'!$I$4:$V$4,0))+INDEX('R&amp;B Inputs'!$I$28:$V$28,MATCH($B302,'R&amp;B Inputs'!$I$4:$V$4,0)))</f>
        <v>192845.93356180895</v>
      </c>
      <c r="BB302" s="71">
        <f>IF(BB$8=0,0,INDEX('R&amp;B Inputs'!$I$27:$V$27,MATCH($B302,'R&amp;B Inputs'!$I$4:$V$4,0))+INDEX('R&amp;B Inputs'!$I$28:$V$28,MATCH($B302,'R&amp;B Inputs'!$I$4:$V$4,0)))</f>
        <v>192845.93356180895</v>
      </c>
      <c r="BC302" s="71">
        <f>IF(BC$8=0,0,INDEX('R&amp;B Inputs'!$I$27:$V$27,MATCH($B302,'R&amp;B Inputs'!$I$4:$V$4,0))+INDEX('R&amp;B Inputs'!$I$28:$V$28,MATCH($B302,'R&amp;B Inputs'!$I$4:$V$4,0)))</f>
        <v>192845.93356180895</v>
      </c>
      <c r="BD302" s="71">
        <f>IF(BD$8=0,0,INDEX('R&amp;B Inputs'!$I$27:$V$27,MATCH($B302,'R&amp;B Inputs'!$I$4:$V$4,0))+INDEX('R&amp;B Inputs'!$I$28:$V$28,MATCH($B302,'R&amp;B Inputs'!$I$4:$V$4,0)))</f>
        <v>192845.93356180895</v>
      </c>
      <c r="BE302" s="71">
        <f>IF(BE$8=0,0,INDEX('R&amp;B Inputs'!$I$27:$V$27,MATCH($B302,'R&amp;B Inputs'!$I$4:$V$4,0))+INDEX('R&amp;B Inputs'!$I$28:$V$28,MATCH($B302,'R&amp;B Inputs'!$I$4:$V$4,0)))</f>
        <v>192845.93356180895</v>
      </c>
      <c r="BF302" s="71">
        <f>IF(BF$8=0,0,INDEX('R&amp;B Inputs'!$I$27:$V$27,MATCH($B302,'R&amp;B Inputs'!$I$4:$V$4,0))+INDEX('R&amp;B Inputs'!$I$28:$V$28,MATCH($B302,'R&amp;B Inputs'!$I$4:$V$4,0)))</f>
        <v>192845.93356180895</v>
      </c>
      <c r="BG302" s="71">
        <f>IF(BG$8=0,0,INDEX('R&amp;B Inputs'!$I$27:$V$27,MATCH($B302,'R&amp;B Inputs'!$I$4:$V$4,0))+INDEX('R&amp;B Inputs'!$I$28:$V$28,MATCH($B302,'R&amp;B Inputs'!$I$4:$V$4,0)))</f>
        <v>192845.93356180895</v>
      </c>
      <c r="BH302" s="71">
        <f>IF(BH$8=0,0,INDEX('R&amp;B Inputs'!$I$27:$V$27,MATCH($B302,'R&amp;B Inputs'!$I$4:$V$4,0))+INDEX('R&amp;B Inputs'!$I$28:$V$28,MATCH($B302,'R&amp;B Inputs'!$I$4:$V$4,0)))</f>
        <v>192845.93356180895</v>
      </c>
      <c r="BI302" s="71">
        <f>IF(BI$8=0,0,INDEX('R&amp;B Inputs'!$I$27:$V$27,MATCH($B302,'R&amp;B Inputs'!$I$4:$V$4,0))+INDEX('R&amp;B Inputs'!$I$28:$V$28,MATCH($B302,'R&amp;B Inputs'!$I$4:$V$4,0)))</f>
        <v>192845.93356180895</v>
      </c>
      <c r="BJ302" s="71">
        <f>IF(BJ$8=0,0,INDEX('R&amp;B Inputs'!$I$27:$V$27,MATCH($B302,'R&amp;B Inputs'!$I$4:$V$4,0))+INDEX('R&amp;B Inputs'!$I$28:$V$28,MATCH($B302,'R&amp;B Inputs'!$I$4:$V$4,0)))</f>
        <v>192845.93356180895</v>
      </c>
      <c r="BK302" s="71">
        <f>IF(BK$8=0,0,INDEX('R&amp;B Inputs'!$I$27:$V$27,MATCH($B302,'R&amp;B Inputs'!$I$4:$V$4,0))+INDEX('R&amp;B Inputs'!$I$28:$V$28,MATCH($B302,'R&amp;B Inputs'!$I$4:$V$4,0)))</f>
        <v>192845.93356180895</v>
      </c>
      <c r="BL302" s="71">
        <f>IF(BL$8=0,0,INDEX('R&amp;B Inputs'!$I$27:$V$27,MATCH($B302,'R&amp;B Inputs'!$I$4:$V$4,0))+INDEX('R&amp;B Inputs'!$I$28:$V$28,MATCH($B302,'R&amp;B Inputs'!$I$4:$V$4,0)))</f>
        <v>192845.93356180895</v>
      </c>
      <c r="BM302" s="71">
        <f>IF(BM$8=0,0,INDEX('R&amp;B Inputs'!$I$27:$V$27,MATCH($B302,'R&amp;B Inputs'!$I$4:$V$4,0))+INDEX('R&amp;B Inputs'!$I$28:$V$28,MATCH($B302,'R&amp;B Inputs'!$I$4:$V$4,0)))</f>
        <v>192845.93356180895</v>
      </c>
      <c r="BN302" s="71"/>
      <c r="BO302" s="71"/>
      <c r="BP302" s="149"/>
      <c r="BS302" s="76" t="s">
        <v>96</v>
      </c>
      <c r="BT302" s="51" t="s">
        <v>17</v>
      </c>
    </row>
    <row r="303" spans="1:72" x14ac:dyDescent="0.25">
      <c r="B303" s="243" t="str">
        <f t="shared" si="324"/>
        <v>Large C&amp;I</v>
      </c>
      <c r="C303" s="243" t="str">
        <f t="shared" si="324"/>
        <v>Bills</v>
      </c>
      <c r="D303" s="244" t="str">
        <f>D302</f>
        <v>Bills before DSM (No EE Scenario, Non-Participant)</v>
      </c>
      <c r="E303" s="84" t="s">
        <v>77</v>
      </c>
      <c r="F303" s="84" t="s">
        <v>32</v>
      </c>
      <c r="G303" s="103">
        <f>G301+G302*(G279-G278)</f>
        <v>151857.45648293078</v>
      </c>
      <c r="H303" s="103">
        <f>H301+H302*(H279-H278)</f>
        <v>151857.45648293078</v>
      </c>
      <c r="I303" s="103">
        <f t="shared" ref="I303:AG303" si="330">I301+I302*(I279-I278)</f>
        <v>151857.45648293078</v>
      </c>
      <c r="J303" s="103">
        <f t="shared" si="330"/>
        <v>151857.45648293078</v>
      </c>
      <c r="K303" s="103">
        <f t="shared" si="330"/>
        <v>151857.45648293078</v>
      </c>
      <c r="L303" s="103">
        <f t="shared" si="330"/>
        <v>151857.45648293078</v>
      </c>
      <c r="M303" s="103">
        <f t="shared" si="330"/>
        <v>151857.45648293078</v>
      </c>
      <c r="N303" s="103">
        <f t="shared" si="330"/>
        <v>151857.45648293078</v>
      </c>
      <c r="O303" s="103">
        <f t="shared" si="330"/>
        <v>151857.45648293078</v>
      </c>
      <c r="P303" s="103">
        <f t="shared" si="330"/>
        <v>151857.45648293078</v>
      </c>
      <c r="Q303" s="103">
        <f t="shared" si="330"/>
        <v>151857.45648293078</v>
      </c>
      <c r="R303" s="103">
        <f t="shared" si="330"/>
        <v>151857.45648293078</v>
      </c>
      <c r="S303" s="103">
        <f t="shared" si="330"/>
        <v>151857.45648293078</v>
      </c>
      <c r="T303" s="103">
        <f t="shared" si="330"/>
        <v>151857.45648293078</v>
      </c>
      <c r="U303" s="103">
        <f t="shared" si="330"/>
        <v>151857.45648293078</v>
      </c>
      <c r="V303" s="103">
        <f t="shared" si="330"/>
        <v>151857.45648293078</v>
      </c>
      <c r="W303" s="103">
        <f t="shared" si="330"/>
        <v>151857.45648293078</v>
      </c>
      <c r="X303" s="103">
        <f t="shared" si="330"/>
        <v>151857.45648293078</v>
      </c>
      <c r="Y303" s="103">
        <f t="shared" si="330"/>
        <v>151857.45648293078</v>
      </c>
      <c r="Z303" s="103">
        <f t="shared" si="330"/>
        <v>151857.45648293078</v>
      </c>
      <c r="AA303" s="103">
        <f t="shared" si="330"/>
        <v>151857.45648293078</v>
      </c>
      <c r="AB303" s="103">
        <f t="shared" si="330"/>
        <v>151857.45648293078</v>
      </c>
      <c r="AC303" s="103">
        <f t="shared" si="330"/>
        <v>151857.45648293078</v>
      </c>
      <c r="AD303" s="103">
        <f t="shared" si="330"/>
        <v>151857.45648293078</v>
      </c>
      <c r="AE303" s="103">
        <f t="shared" si="330"/>
        <v>151857.45648293078</v>
      </c>
      <c r="AF303" s="103">
        <f t="shared" si="330"/>
        <v>151857.45648293078</v>
      </c>
      <c r="AG303" s="103">
        <f t="shared" si="330"/>
        <v>151857.45648293078</v>
      </c>
      <c r="AH303" s="103"/>
      <c r="AI303" s="103"/>
      <c r="AJ303" s="103">
        <f>IF($C$4=Year1,-PMT(Lookups!$E$17,25,NPV(Lookups!$E$17,G303:AE303),0,1),IF($C$4=Year2,-PMT(Lookups!$F$17,25,NPV(Lookups!$F$17,H303:AF303),0,1),IF($C$4=Year3,-PMT(Lookups!$G$17,25,NPV(Lookups!$G$17,I303:AG303),0,1),-PMT(Lookups!$G$17,27,NPV(Lookups!$G$17,G303:AG303),0,1))))</f>
        <v>149739.54135135285</v>
      </c>
      <c r="AM303" s="149">
        <f>AM301+AM302*(AM279-AM278)</f>
        <v>151857.45648293078</v>
      </c>
      <c r="AN303" s="149">
        <f t="shared" ref="AN303:BM303" si="331">AN301+AN302*(AN279-AN278)</f>
        <v>151857.45648293078</v>
      </c>
      <c r="AO303" s="149">
        <f t="shared" si="331"/>
        <v>151857.45648293078</v>
      </c>
      <c r="AP303" s="149">
        <f t="shared" si="331"/>
        <v>151857.45648293078</v>
      </c>
      <c r="AQ303" s="149">
        <f t="shared" si="331"/>
        <v>151857.45648293078</v>
      </c>
      <c r="AR303" s="149">
        <f t="shared" si="331"/>
        <v>151857.45648293078</v>
      </c>
      <c r="AS303" s="149">
        <f t="shared" si="331"/>
        <v>151857.45648293078</v>
      </c>
      <c r="AT303" s="149">
        <f t="shared" si="331"/>
        <v>151857.45648293078</v>
      </c>
      <c r="AU303" s="149">
        <f t="shared" si="331"/>
        <v>151857.45648293078</v>
      </c>
      <c r="AV303" s="149">
        <f t="shared" si="331"/>
        <v>151857.45648293078</v>
      </c>
      <c r="AW303" s="149">
        <f t="shared" si="331"/>
        <v>151857.45648293078</v>
      </c>
      <c r="AX303" s="149">
        <f t="shared" si="331"/>
        <v>151857.45648293078</v>
      </c>
      <c r="AY303" s="149">
        <f t="shared" si="331"/>
        <v>151857.45648293078</v>
      </c>
      <c r="AZ303" s="149">
        <f t="shared" si="331"/>
        <v>151857.45648293078</v>
      </c>
      <c r="BA303" s="149">
        <f t="shared" si="331"/>
        <v>151857.45648293078</v>
      </c>
      <c r="BB303" s="149">
        <f t="shared" si="331"/>
        <v>151857.45648293078</v>
      </c>
      <c r="BC303" s="149">
        <f t="shared" si="331"/>
        <v>151857.45648293078</v>
      </c>
      <c r="BD303" s="149">
        <f t="shared" si="331"/>
        <v>151857.45648293078</v>
      </c>
      <c r="BE303" s="149">
        <f t="shared" si="331"/>
        <v>151857.45648293078</v>
      </c>
      <c r="BF303" s="149">
        <f t="shared" si="331"/>
        <v>151857.45648293078</v>
      </c>
      <c r="BG303" s="149">
        <f t="shared" si="331"/>
        <v>151857.45648293078</v>
      </c>
      <c r="BH303" s="149">
        <f t="shared" si="331"/>
        <v>151857.45648293078</v>
      </c>
      <c r="BI303" s="149">
        <f t="shared" si="331"/>
        <v>151857.45648293078</v>
      </c>
      <c r="BJ303" s="149">
        <f t="shared" si="331"/>
        <v>151857.45648293078</v>
      </c>
      <c r="BK303" s="149">
        <f t="shared" si="331"/>
        <v>151857.45648293078</v>
      </c>
      <c r="BL303" s="149">
        <f t="shared" si="331"/>
        <v>151857.45648293078</v>
      </c>
      <c r="BM303" s="149">
        <f t="shared" si="331"/>
        <v>151857.45648293078</v>
      </c>
      <c r="BN303" s="149"/>
      <c r="BO303" s="149"/>
      <c r="BP303" s="149">
        <f>IF($C$4=Year1,-PMT(Lookups!$E$17,25,NPV(Lookups!$E$17,AM303:BK303),0,1),IF($C$4=Year2,-PMT(Lookups!$F$17,25,NPV(Lookups!$F$17,AN303:BL303),0,1),IF($C$4=Year3,-PMT(Lookups!$G$17,25,NPV(Lookups!$G$17,AO303:BM303),0,1),-PMT(Lookups!$G$17,27,NPV(Lookups!$G$17,AM303:BM303),0,1))))</f>
        <v>149739.54135135285</v>
      </c>
      <c r="BS303" s="84" t="s">
        <v>97</v>
      </c>
      <c r="BT303" s="51" t="s">
        <v>17</v>
      </c>
    </row>
    <row r="304" spans="1:72" x14ac:dyDescent="0.25">
      <c r="B304" s="243" t="str">
        <f t="shared" si="324"/>
        <v>Large C&amp;I</v>
      </c>
      <c r="C304" s="243" t="str">
        <f t="shared" si="324"/>
        <v>Bills</v>
      </c>
      <c r="D304" s="114" t="s">
        <v>347</v>
      </c>
      <c r="E304" s="84"/>
      <c r="F304" s="84"/>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S304" s="84"/>
      <c r="BT304" s="51" t="s">
        <v>17</v>
      </c>
    </row>
    <row r="305" spans="1:72" x14ac:dyDescent="0.25">
      <c r="B305" s="243" t="str">
        <f t="shared" si="324"/>
        <v>Large C&amp;I</v>
      </c>
      <c r="C305" s="243" t="str">
        <f t="shared" si="324"/>
        <v>Bills</v>
      </c>
      <c r="D305" s="244" t="str">
        <f>D304</f>
        <v>Annual Savings from DSM Scenario</v>
      </c>
      <c r="E305" s="84" t="s">
        <v>78</v>
      </c>
      <c r="F305" s="84" t="s">
        <v>195</v>
      </c>
      <c r="G305" s="65">
        <f t="shared" ref="G305:AG305" ca="1" si="332">IFERROR(G253/G248,0)</f>
        <v>16790.252298128176</v>
      </c>
      <c r="H305" s="65">
        <f t="shared" ca="1" si="332"/>
        <v>34390.989875673622</v>
      </c>
      <c r="I305" s="65">
        <f t="shared" ca="1" si="332"/>
        <v>52956.749744695451</v>
      </c>
      <c r="J305" s="65">
        <f t="shared" ca="1" si="332"/>
        <v>52956.749744695451</v>
      </c>
      <c r="K305" s="65">
        <f t="shared" ca="1" si="332"/>
        <v>52956.749744695451</v>
      </c>
      <c r="L305" s="65">
        <f t="shared" ca="1" si="332"/>
        <v>52956.749744695451</v>
      </c>
      <c r="M305" s="65">
        <f t="shared" ca="1" si="332"/>
        <v>52956.749744695451</v>
      </c>
      <c r="N305" s="65">
        <f t="shared" ca="1" si="332"/>
        <v>52956.749744695451</v>
      </c>
      <c r="O305" s="65">
        <f t="shared" ca="1" si="332"/>
        <v>52956.749744695451</v>
      </c>
      <c r="P305" s="65">
        <f t="shared" ca="1" si="332"/>
        <v>52956.749744695451</v>
      </c>
      <c r="Q305" s="65">
        <f t="shared" ca="1" si="332"/>
        <v>52956.749744695451</v>
      </c>
      <c r="R305" s="65">
        <f t="shared" ca="1" si="332"/>
        <v>52956.749744695451</v>
      </c>
      <c r="S305" s="65">
        <f t="shared" ca="1" si="332"/>
        <v>52956.749744695451</v>
      </c>
      <c r="T305" s="65">
        <f t="shared" ca="1" si="332"/>
        <v>36166.497446567279</v>
      </c>
      <c r="U305" s="65">
        <f t="shared" ca="1" si="332"/>
        <v>18565.759869021829</v>
      </c>
      <c r="V305" s="65">
        <f t="shared" ca="1" si="332"/>
        <v>0</v>
      </c>
      <c r="W305" s="65">
        <f t="shared" ca="1" si="332"/>
        <v>0</v>
      </c>
      <c r="X305" s="65">
        <f t="shared" ca="1" si="332"/>
        <v>0</v>
      </c>
      <c r="Y305" s="65">
        <f t="shared" ca="1" si="332"/>
        <v>0</v>
      </c>
      <c r="Z305" s="65">
        <f t="shared" ca="1" si="332"/>
        <v>0</v>
      </c>
      <c r="AA305" s="65">
        <f t="shared" ca="1" si="332"/>
        <v>0</v>
      </c>
      <c r="AB305" s="65">
        <f t="shared" ca="1" si="332"/>
        <v>0</v>
      </c>
      <c r="AC305" s="65">
        <f t="shared" ca="1" si="332"/>
        <v>0</v>
      </c>
      <c r="AD305" s="65">
        <f t="shared" ca="1" si="332"/>
        <v>0</v>
      </c>
      <c r="AE305" s="65">
        <f t="shared" ca="1" si="332"/>
        <v>0</v>
      </c>
      <c r="AF305" s="65">
        <f t="shared" ca="1" si="332"/>
        <v>0</v>
      </c>
      <c r="AG305" s="65">
        <f t="shared" ca="1" si="332"/>
        <v>0</v>
      </c>
      <c r="AH305" s="65"/>
      <c r="AI305" s="65"/>
      <c r="AJ305" s="65"/>
      <c r="AM305" s="645">
        <f ca="1">IFERROR(AM253/AM248,0)</f>
        <v>19188.859769289342</v>
      </c>
      <c r="AN305" s="645">
        <f t="shared" ref="AN305:BM305" ca="1" si="333">IFERROR(AN253/AN248,0)</f>
        <v>39303.988429341276</v>
      </c>
      <c r="AO305" s="645">
        <f t="shared" ca="1" si="333"/>
        <v>60521.999708223368</v>
      </c>
      <c r="AP305" s="645">
        <f t="shared" ca="1" si="333"/>
        <v>60521.999708223368</v>
      </c>
      <c r="AQ305" s="645">
        <f t="shared" ca="1" si="333"/>
        <v>60521.999708223368</v>
      </c>
      <c r="AR305" s="645">
        <f t="shared" ca="1" si="333"/>
        <v>60521.999708223368</v>
      </c>
      <c r="AS305" s="645">
        <f t="shared" ca="1" si="333"/>
        <v>60521.999708223368</v>
      </c>
      <c r="AT305" s="645">
        <f t="shared" ca="1" si="333"/>
        <v>60521.999708223368</v>
      </c>
      <c r="AU305" s="645">
        <f t="shared" ca="1" si="333"/>
        <v>60521.999708223368</v>
      </c>
      <c r="AV305" s="645">
        <f t="shared" ca="1" si="333"/>
        <v>60521.999708223368</v>
      </c>
      <c r="AW305" s="645">
        <f t="shared" ca="1" si="333"/>
        <v>60521.999708223368</v>
      </c>
      <c r="AX305" s="645">
        <f t="shared" ca="1" si="333"/>
        <v>60521.999708223368</v>
      </c>
      <c r="AY305" s="645">
        <f t="shared" ca="1" si="333"/>
        <v>60521.999708223368</v>
      </c>
      <c r="AZ305" s="645">
        <f t="shared" ca="1" si="333"/>
        <v>41333.139938934029</v>
      </c>
      <c r="BA305" s="645">
        <f t="shared" ca="1" si="333"/>
        <v>21218.011278882095</v>
      </c>
      <c r="BB305" s="645">
        <f t="shared" ca="1" si="333"/>
        <v>0</v>
      </c>
      <c r="BC305" s="645">
        <f t="shared" ca="1" si="333"/>
        <v>0</v>
      </c>
      <c r="BD305" s="645">
        <f t="shared" ca="1" si="333"/>
        <v>0</v>
      </c>
      <c r="BE305" s="645">
        <f t="shared" ca="1" si="333"/>
        <v>0</v>
      </c>
      <c r="BF305" s="645">
        <f t="shared" ca="1" si="333"/>
        <v>0</v>
      </c>
      <c r="BG305" s="645">
        <f t="shared" ca="1" si="333"/>
        <v>0</v>
      </c>
      <c r="BH305" s="645">
        <f t="shared" ca="1" si="333"/>
        <v>0</v>
      </c>
      <c r="BI305" s="645">
        <f t="shared" ca="1" si="333"/>
        <v>0</v>
      </c>
      <c r="BJ305" s="645">
        <f t="shared" ca="1" si="333"/>
        <v>0</v>
      </c>
      <c r="BK305" s="645">
        <f t="shared" ca="1" si="333"/>
        <v>0</v>
      </c>
      <c r="BL305" s="645">
        <f t="shared" ca="1" si="333"/>
        <v>0</v>
      </c>
      <c r="BM305" s="645">
        <f t="shared" ca="1" si="333"/>
        <v>0</v>
      </c>
      <c r="BN305" s="71"/>
      <c r="BO305" s="71"/>
      <c r="BP305" s="71"/>
      <c r="BS305" s="84" t="s">
        <v>104</v>
      </c>
      <c r="BT305" s="51" t="s">
        <v>17</v>
      </c>
    </row>
    <row r="306" spans="1:72" x14ac:dyDescent="0.25">
      <c r="A306" s="246"/>
      <c r="B306" s="243" t="str">
        <f t="shared" si="324"/>
        <v>Large C&amp;I</v>
      </c>
      <c r="C306" s="243" t="str">
        <f t="shared" si="324"/>
        <v>Bills</v>
      </c>
      <c r="D306" s="244" t="str">
        <f>D305</f>
        <v>Annual Savings from DSM Scenario</v>
      </c>
      <c r="E306" s="84" t="str">
        <f>'EE Inputs'!$N$15&amp;" Participant"</f>
        <v>Low Savings Participant</v>
      </c>
      <c r="F306" s="84" t="s">
        <v>195</v>
      </c>
      <c r="G306" s="64" cm="1">
        <f t="array" aca="1" ref="G306" ca="1">IF($C$4=Lookups!$D$40,INDIRECT("'Yr1'!"&amp;ADDRESS(ROW(G306),COLUMN(G306))),
IF(G249=0,0,SUMIFS('EE Inputs'!$S$9:$S$32,'EE Inputs'!$C$9:$C$32,$G$6,'EE Inputs'!$D$9:$D$32,$C$4,'EE Inputs'!$E$9:$E$32,$B306)))</f>
        <v>9642.296678090448</v>
      </c>
      <c r="H306" s="64" cm="1">
        <f t="array" aca="1" ref="H306" ca="1">IF($C$4=Lookups!$D$40,INDIRECT("'Yr1'!"&amp;ADDRESS(ROW(H306),COLUMN(H306))),
IF(H249=0,0,SUMIFS('EE Inputs'!$S$9:$S$32,'EE Inputs'!$C$9:$C$32,$G$6,'EE Inputs'!$D$9:$D$32,$C$4,'EE Inputs'!$E$9:$E$32,$B306)))</f>
        <v>9642.296678090448</v>
      </c>
      <c r="I306" s="64" cm="1">
        <f t="array" aca="1" ref="I306" ca="1">IF($C$4=Lookups!$D$40,INDIRECT("'Yr1'!"&amp;ADDRESS(ROW(I306),COLUMN(I306))),
IF(I249=0,0,SUMIFS('EE Inputs'!$S$9:$S$32,'EE Inputs'!$C$9:$C$32,$G$6,'EE Inputs'!$D$9:$D$32,$C$4,'EE Inputs'!$E$9:$E$32,$B306)))</f>
        <v>9642.296678090448</v>
      </c>
      <c r="J306" s="64" cm="1">
        <f t="array" aca="1" ref="J306" ca="1">IF($C$4=Lookups!$D$40,INDIRECT("'Yr1'!"&amp;ADDRESS(ROW(J306),COLUMN(J306))),
IF(J249=0,0,SUMIFS('EE Inputs'!$S$9:$S$32,'EE Inputs'!$C$9:$C$32,$G$6,'EE Inputs'!$D$9:$D$32,$C$4,'EE Inputs'!$E$9:$E$32,$B306)))</f>
        <v>9642.296678090448</v>
      </c>
      <c r="K306" s="64" cm="1">
        <f t="array" aca="1" ref="K306" ca="1">IF($C$4=Lookups!$D$40,INDIRECT("'Yr1'!"&amp;ADDRESS(ROW(K306),COLUMN(K306))),
IF(K249=0,0,SUMIFS('EE Inputs'!$S$9:$S$32,'EE Inputs'!$C$9:$C$32,$G$6,'EE Inputs'!$D$9:$D$32,$C$4,'EE Inputs'!$E$9:$E$32,$B306)))</f>
        <v>9642.296678090448</v>
      </c>
      <c r="L306" s="64" cm="1">
        <f t="array" aca="1" ref="L306" ca="1">IF($C$4=Lookups!$D$40,INDIRECT("'Yr1'!"&amp;ADDRESS(ROW(L306),COLUMN(L306))),
IF(L249=0,0,SUMIFS('EE Inputs'!$S$9:$S$32,'EE Inputs'!$C$9:$C$32,$G$6,'EE Inputs'!$D$9:$D$32,$C$4,'EE Inputs'!$E$9:$E$32,$B306)))</f>
        <v>9642.296678090448</v>
      </c>
      <c r="M306" s="64" cm="1">
        <f t="array" aca="1" ref="M306" ca="1">IF($C$4=Lookups!$D$40,INDIRECT("'Yr1'!"&amp;ADDRESS(ROW(M306),COLUMN(M306))),
IF(M249=0,0,SUMIFS('EE Inputs'!$S$9:$S$32,'EE Inputs'!$C$9:$C$32,$G$6,'EE Inputs'!$D$9:$D$32,$C$4,'EE Inputs'!$E$9:$E$32,$B306)))</f>
        <v>9642.296678090448</v>
      </c>
      <c r="N306" s="64" cm="1">
        <f t="array" aca="1" ref="N306" ca="1">IF($C$4=Lookups!$D$40,INDIRECT("'Yr1'!"&amp;ADDRESS(ROW(N306),COLUMN(N306))),
IF(N249=0,0,SUMIFS('EE Inputs'!$S$9:$S$32,'EE Inputs'!$C$9:$C$32,$G$6,'EE Inputs'!$D$9:$D$32,$C$4,'EE Inputs'!$E$9:$E$32,$B306)))</f>
        <v>9642.296678090448</v>
      </c>
      <c r="O306" s="64" cm="1">
        <f t="array" aca="1" ref="O306" ca="1">IF($C$4=Lookups!$D$40,INDIRECT("'Yr1'!"&amp;ADDRESS(ROW(O306),COLUMN(O306))),
IF(O249=0,0,SUMIFS('EE Inputs'!$S$9:$S$32,'EE Inputs'!$C$9:$C$32,$G$6,'EE Inputs'!$D$9:$D$32,$C$4,'EE Inputs'!$E$9:$E$32,$B306)))</f>
        <v>9642.296678090448</v>
      </c>
      <c r="P306" s="64" cm="1">
        <f t="array" aca="1" ref="P306" ca="1">IF($C$4=Lookups!$D$40,INDIRECT("'Yr1'!"&amp;ADDRESS(ROW(P306),COLUMN(P306))),
IF(P249=0,0,SUMIFS('EE Inputs'!$S$9:$S$32,'EE Inputs'!$C$9:$C$32,$G$6,'EE Inputs'!$D$9:$D$32,$C$4,'EE Inputs'!$E$9:$E$32,$B306)))</f>
        <v>9642.296678090448</v>
      </c>
      <c r="Q306" s="64" cm="1">
        <f t="array" aca="1" ref="Q306" ca="1">IF($C$4=Lookups!$D$40,INDIRECT("'Yr1'!"&amp;ADDRESS(ROW(Q306),COLUMN(Q306))),
IF(Q249=0,0,SUMIFS('EE Inputs'!$S$9:$S$32,'EE Inputs'!$C$9:$C$32,$G$6,'EE Inputs'!$D$9:$D$32,$C$4,'EE Inputs'!$E$9:$E$32,$B306)))</f>
        <v>9642.296678090448</v>
      </c>
      <c r="R306" s="64" cm="1">
        <f t="array" aca="1" ref="R306" ca="1">IF($C$4=Lookups!$D$40,INDIRECT("'Yr1'!"&amp;ADDRESS(ROW(R306),COLUMN(R306))),
IF(R249=0,0,SUMIFS('EE Inputs'!$S$9:$S$32,'EE Inputs'!$C$9:$C$32,$G$6,'EE Inputs'!$D$9:$D$32,$C$4,'EE Inputs'!$E$9:$E$32,$B306)))</f>
        <v>9642.296678090448</v>
      </c>
      <c r="S306" s="64" cm="1">
        <f t="array" aca="1" ref="S306" ca="1">IF($C$4=Lookups!$D$40,INDIRECT("'Yr1'!"&amp;ADDRESS(ROW(S306),COLUMN(S306))),
IF(S249=0,0,SUMIFS('EE Inputs'!$S$9:$S$32,'EE Inputs'!$C$9:$C$32,$G$6,'EE Inputs'!$D$9:$D$32,$C$4,'EE Inputs'!$E$9:$E$32,$B306)))</f>
        <v>9642.296678090448</v>
      </c>
      <c r="T306" s="64" cm="1">
        <f t="array" aca="1" ref="T306" ca="1">IF($C$4=Lookups!$D$40,INDIRECT("'Yr1'!"&amp;ADDRESS(ROW(T306),COLUMN(T306))),
IF(T249=0,0,SUMIFS('EE Inputs'!$S$9:$S$32,'EE Inputs'!$C$9:$C$32,$G$6,'EE Inputs'!$D$9:$D$32,$C$4,'EE Inputs'!$E$9:$E$32,$B306)))</f>
        <v>0</v>
      </c>
      <c r="U306" s="64" cm="1">
        <f t="array" aca="1" ref="U306" ca="1">IF($C$4=Lookups!$D$40,INDIRECT("'Yr1'!"&amp;ADDRESS(ROW(U306),COLUMN(U306))),
IF(U249=0,0,SUMIFS('EE Inputs'!$S$9:$S$32,'EE Inputs'!$C$9:$C$32,$G$6,'EE Inputs'!$D$9:$D$32,$C$4,'EE Inputs'!$E$9:$E$32,$B306)))</f>
        <v>0</v>
      </c>
      <c r="V306" s="64" cm="1">
        <f t="array" aca="1" ref="V306" ca="1">IF($C$4=Lookups!$D$40,INDIRECT("'Yr1'!"&amp;ADDRESS(ROW(V306),COLUMN(V306))),
IF(V249=0,0,SUMIFS('EE Inputs'!$S$9:$S$32,'EE Inputs'!$C$9:$C$32,$G$6,'EE Inputs'!$D$9:$D$32,$C$4,'EE Inputs'!$E$9:$E$32,$B306)))</f>
        <v>0</v>
      </c>
      <c r="W306" s="64" cm="1">
        <f t="array" aca="1" ref="W306" ca="1">IF($C$4=Lookups!$D$40,INDIRECT("'Yr1'!"&amp;ADDRESS(ROW(W306),COLUMN(W306))),
IF(W249=0,0,SUMIFS('EE Inputs'!$S$9:$S$32,'EE Inputs'!$C$9:$C$32,$G$6,'EE Inputs'!$D$9:$D$32,$C$4,'EE Inputs'!$E$9:$E$32,$B306)))</f>
        <v>0</v>
      </c>
      <c r="X306" s="64" cm="1">
        <f t="array" aca="1" ref="X306" ca="1">IF($C$4=Lookups!$D$40,INDIRECT("'Yr1'!"&amp;ADDRESS(ROW(X306),COLUMN(X306))),
IF(X249=0,0,SUMIFS('EE Inputs'!$S$9:$S$32,'EE Inputs'!$C$9:$C$32,$G$6,'EE Inputs'!$D$9:$D$32,$C$4,'EE Inputs'!$E$9:$E$32,$B306)))</f>
        <v>0</v>
      </c>
      <c r="Y306" s="64" cm="1">
        <f t="array" aca="1" ref="Y306" ca="1">IF($C$4=Lookups!$D$40,INDIRECT("'Yr1'!"&amp;ADDRESS(ROW(Y306),COLUMN(Y306))),
IF(Y249=0,0,SUMIFS('EE Inputs'!$S$9:$S$32,'EE Inputs'!$C$9:$C$32,$G$6,'EE Inputs'!$D$9:$D$32,$C$4,'EE Inputs'!$E$9:$E$32,$B306)))</f>
        <v>0</v>
      </c>
      <c r="Z306" s="64" cm="1">
        <f t="array" aca="1" ref="Z306" ca="1">IF($C$4=Lookups!$D$40,INDIRECT("'Yr1'!"&amp;ADDRESS(ROW(Z306),COLUMN(Z306))),
IF(Z249=0,0,SUMIFS('EE Inputs'!$S$9:$S$32,'EE Inputs'!$C$9:$C$32,$G$6,'EE Inputs'!$D$9:$D$32,$C$4,'EE Inputs'!$E$9:$E$32,$B306)))</f>
        <v>0</v>
      </c>
      <c r="AA306" s="64" cm="1">
        <f t="array" aca="1" ref="AA306" ca="1">IF($C$4=Lookups!$D$40,INDIRECT("'Yr1'!"&amp;ADDRESS(ROW(AA306),COLUMN(AA306))),
IF(AA249=0,0,SUMIFS('EE Inputs'!$S$9:$S$32,'EE Inputs'!$C$9:$C$32,$G$6,'EE Inputs'!$D$9:$D$32,$C$4,'EE Inputs'!$E$9:$E$32,$B306)))</f>
        <v>0</v>
      </c>
      <c r="AB306" s="64" cm="1">
        <f t="array" aca="1" ref="AB306" ca="1">IF($C$4=Lookups!$D$40,INDIRECT("'Yr1'!"&amp;ADDRESS(ROW(AB306),COLUMN(AB306))),
IF(AB249=0,0,SUMIFS('EE Inputs'!$S$9:$S$32,'EE Inputs'!$C$9:$C$32,$G$6,'EE Inputs'!$D$9:$D$32,$C$4,'EE Inputs'!$E$9:$E$32,$B306)))</f>
        <v>0</v>
      </c>
      <c r="AC306" s="64" cm="1">
        <f t="array" aca="1" ref="AC306" ca="1">IF($C$4=Lookups!$D$40,INDIRECT("'Yr1'!"&amp;ADDRESS(ROW(AC306),COLUMN(AC306))),
IF(AC249=0,0,SUMIFS('EE Inputs'!$S$9:$S$32,'EE Inputs'!$C$9:$C$32,$G$6,'EE Inputs'!$D$9:$D$32,$C$4,'EE Inputs'!$E$9:$E$32,$B306)))</f>
        <v>0</v>
      </c>
      <c r="AD306" s="64" cm="1">
        <f t="array" aca="1" ref="AD306" ca="1">IF($C$4=Lookups!$D$40,INDIRECT("'Yr1'!"&amp;ADDRESS(ROW(AD306),COLUMN(AD306))),
IF(AD249=0,0,SUMIFS('EE Inputs'!$S$9:$S$32,'EE Inputs'!$C$9:$C$32,$G$6,'EE Inputs'!$D$9:$D$32,$C$4,'EE Inputs'!$E$9:$E$32,$B306)))</f>
        <v>0</v>
      </c>
      <c r="AE306" s="64" cm="1">
        <f t="array" aca="1" ref="AE306" ca="1">IF($C$4=Lookups!$D$40,INDIRECT("'Yr1'!"&amp;ADDRESS(ROW(AE306),COLUMN(AE306))),
IF(AE249=0,0,SUMIFS('EE Inputs'!$S$9:$S$32,'EE Inputs'!$C$9:$C$32,$G$6,'EE Inputs'!$D$9:$D$32,$C$4,'EE Inputs'!$E$9:$E$32,$B306)))</f>
        <v>0</v>
      </c>
      <c r="AF306" s="64" cm="1">
        <f t="array" aca="1" ref="AF306" ca="1">IF($C$4=Lookups!$D$40,INDIRECT("'Yr1'!"&amp;ADDRESS(ROW(AF306),COLUMN(AF306))),
IF(AF249=0,0,SUMIFS('EE Inputs'!$S$9:$S$32,'EE Inputs'!$C$9:$C$32,$G$6,'EE Inputs'!$D$9:$D$32,$C$4,'EE Inputs'!$E$9:$E$32,$B306)))</f>
        <v>0</v>
      </c>
      <c r="AG306" s="64" cm="1">
        <f t="array" aca="1" ref="AG306" ca="1">IF($C$4=Lookups!$D$40,INDIRECT("'Yr1'!"&amp;ADDRESS(ROW(AG306),COLUMN(AG306))),
IF(AG249=0,0,SUMIFS('EE Inputs'!$S$9:$S$32,'EE Inputs'!$C$9:$C$32,$G$6,'EE Inputs'!$D$9:$D$32,$C$4,'EE Inputs'!$E$9:$E$32,$B306)))</f>
        <v>0</v>
      </c>
      <c r="AH306" s="64"/>
      <c r="AI306" s="64"/>
      <c r="AJ306" s="64"/>
      <c r="AM306" s="645" cm="1">
        <f t="array" aca="1" ref="AM306" ca="1">IF($C$4=Lookups!$D$40,INDIRECT("'Yr1'!"&amp;ADDRESS(ROW(AM306),COLUMN(AM306))),
IF(AM249=0,0,SUMIFS('EE Inputs'!$S$9:$S$32,'EE Inputs'!$C$9:$C$32,$AM$6,'EE Inputs'!$D$9:$D$32,$C$4,'EE Inputs'!$E$9:$E$32,$B306)))</f>
        <v>11570.756013708537</v>
      </c>
      <c r="AN306" s="645" cm="1">
        <f t="array" aca="1" ref="AN306" ca="1">IF($C$4=Lookups!$D$40,INDIRECT("'Yr1'!"&amp;ADDRESS(ROW(AN306),COLUMN(AN306))),
IF(AN249=0,0,SUMIFS('EE Inputs'!$S$9:$S$32,'EE Inputs'!$C$9:$C$32,$AM$6,'EE Inputs'!$D$9:$D$32,$C$4,'EE Inputs'!$E$9:$E$32,$B306)))</f>
        <v>11570.756013708537</v>
      </c>
      <c r="AO306" s="645" cm="1">
        <f t="array" aca="1" ref="AO306" ca="1">IF($C$4=Lookups!$D$40,INDIRECT("'Yr1'!"&amp;ADDRESS(ROW(AO306),COLUMN(AO306))),
IF(AO249=0,0,SUMIFS('EE Inputs'!$S$9:$S$32,'EE Inputs'!$C$9:$C$32,$AM$6,'EE Inputs'!$D$9:$D$32,$C$4,'EE Inputs'!$E$9:$E$32,$B306)))</f>
        <v>11570.756013708537</v>
      </c>
      <c r="AP306" s="645" cm="1">
        <f t="array" aca="1" ref="AP306" ca="1">IF($C$4=Lookups!$D$40,INDIRECT("'Yr1'!"&amp;ADDRESS(ROW(AP306),COLUMN(AP306))),
IF(AP249=0,0,SUMIFS('EE Inputs'!$S$9:$S$32,'EE Inputs'!$C$9:$C$32,$AM$6,'EE Inputs'!$D$9:$D$32,$C$4,'EE Inputs'!$E$9:$E$32,$B306)))</f>
        <v>11570.756013708537</v>
      </c>
      <c r="AQ306" s="645" cm="1">
        <f t="array" aca="1" ref="AQ306" ca="1">IF($C$4=Lookups!$D$40,INDIRECT("'Yr1'!"&amp;ADDRESS(ROW(AQ306),COLUMN(AQ306))),
IF(AQ249=0,0,SUMIFS('EE Inputs'!$S$9:$S$32,'EE Inputs'!$C$9:$C$32,$AM$6,'EE Inputs'!$D$9:$D$32,$C$4,'EE Inputs'!$E$9:$E$32,$B306)))</f>
        <v>11570.756013708537</v>
      </c>
      <c r="AR306" s="645" cm="1">
        <f t="array" aca="1" ref="AR306" ca="1">IF($C$4=Lookups!$D$40,INDIRECT("'Yr1'!"&amp;ADDRESS(ROW(AR306),COLUMN(AR306))),
IF(AR249=0,0,SUMIFS('EE Inputs'!$S$9:$S$32,'EE Inputs'!$C$9:$C$32,$AM$6,'EE Inputs'!$D$9:$D$32,$C$4,'EE Inputs'!$E$9:$E$32,$B306)))</f>
        <v>11570.756013708537</v>
      </c>
      <c r="AS306" s="645" cm="1">
        <f t="array" aca="1" ref="AS306" ca="1">IF($C$4=Lookups!$D$40,INDIRECT("'Yr1'!"&amp;ADDRESS(ROW(AS306),COLUMN(AS306))),
IF(AS249=0,0,SUMIFS('EE Inputs'!$S$9:$S$32,'EE Inputs'!$C$9:$C$32,$AM$6,'EE Inputs'!$D$9:$D$32,$C$4,'EE Inputs'!$E$9:$E$32,$B306)))</f>
        <v>11570.756013708537</v>
      </c>
      <c r="AT306" s="645" cm="1">
        <f t="array" aca="1" ref="AT306" ca="1">IF($C$4=Lookups!$D$40,INDIRECT("'Yr1'!"&amp;ADDRESS(ROW(AT306),COLUMN(AT306))),
IF(AT249=0,0,SUMIFS('EE Inputs'!$S$9:$S$32,'EE Inputs'!$C$9:$C$32,$AM$6,'EE Inputs'!$D$9:$D$32,$C$4,'EE Inputs'!$E$9:$E$32,$B306)))</f>
        <v>11570.756013708537</v>
      </c>
      <c r="AU306" s="645" cm="1">
        <f t="array" aca="1" ref="AU306" ca="1">IF($C$4=Lookups!$D$40,INDIRECT("'Yr1'!"&amp;ADDRESS(ROW(AU306),COLUMN(AU306))),
IF(AU249=0,0,SUMIFS('EE Inputs'!$S$9:$S$32,'EE Inputs'!$C$9:$C$32,$AM$6,'EE Inputs'!$D$9:$D$32,$C$4,'EE Inputs'!$E$9:$E$32,$B306)))</f>
        <v>11570.756013708537</v>
      </c>
      <c r="AV306" s="645" cm="1">
        <f t="array" aca="1" ref="AV306" ca="1">IF($C$4=Lookups!$D$40,INDIRECT("'Yr1'!"&amp;ADDRESS(ROW(AV306),COLUMN(AV306))),
IF(AV249=0,0,SUMIFS('EE Inputs'!$S$9:$S$32,'EE Inputs'!$C$9:$C$32,$AM$6,'EE Inputs'!$D$9:$D$32,$C$4,'EE Inputs'!$E$9:$E$32,$B306)))</f>
        <v>11570.756013708537</v>
      </c>
      <c r="AW306" s="645" cm="1">
        <f t="array" aca="1" ref="AW306" ca="1">IF($C$4=Lookups!$D$40,INDIRECT("'Yr1'!"&amp;ADDRESS(ROW(AW306),COLUMN(AW306))),
IF(AW249=0,0,SUMIFS('EE Inputs'!$S$9:$S$32,'EE Inputs'!$C$9:$C$32,$AM$6,'EE Inputs'!$D$9:$D$32,$C$4,'EE Inputs'!$E$9:$E$32,$B306)))</f>
        <v>11570.756013708537</v>
      </c>
      <c r="AX306" s="645" cm="1">
        <f t="array" aca="1" ref="AX306" ca="1">IF($C$4=Lookups!$D$40,INDIRECT("'Yr1'!"&amp;ADDRESS(ROW(AX306),COLUMN(AX306))),
IF(AX249=0,0,SUMIFS('EE Inputs'!$S$9:$S$32,'EE Inputs'!$C$9:$C$32,$AM$6,'EE Inputs'!$D$9:$D$32,$C$4,'EE Inputs'!$E$9:$E$32,$B306)))</f>
        <v>11570.756013708537</v>
      </c>
      <c r="AY306" s="645" cm="1">
        <f t="array" aca="1" ref="AY306" ca="1">IF($C$4=Lookups!$D$40,INDIRECT("'Yr1'!"&amp;ADDRESS(ROW(AY306),COLUMN(AY306))),
IF(AY249=0,0,SUMIFS('EE Inputs'!$S$9:$S$32,'EE Inputs'!$C$9:$C$32,$AM$6,'EE Inputs'!$D$9:$D$32,$C$4,'EE Inputs'!$E$9:$E$32,$B306)))</f>
        <v>11570.756013708537</v>
      </c>
      <c r="AZ306" s="645" cm="1">
        <f t="array" aca="1" ref="AZ306" ca="1">IF($C$4=Lookups!$D$40,INDIRECT("'Yr1'!"&amp;ADDRESS(ROW(AZ306),COLUMN(AZ306))),
IF(AZ249=0,0,SUMIFS('EE Inputs'!$S$9:$S$32,'EE Inputs'!$C$9:$C$32,$AM$6,'EE Inputs'!$D$9:$D$32,$C$4,'EE Inputs'!$E$9:$E$32,$B306)))</f>
        <v>0</v>
      </c>
      <c r="BA306" s="645" cm="1">
        <f t="array" aca="1" ref="BA306" ca="1">IF($C$4=Lookups!$D$40,INDIRECT("'Yr1'!"&amp;ADDRESS(ROW(BA306),COLUMN(BA306))),
IF(BA249=0,0,SUMIFS('EE Inputs'!$S$9:$S$32,'EE Inputs'!$C$9:$C$32,$AM$6,'EE Inputs'!$D$9:$D$32,$C$4,'EE Inputs'!$E$9:$E$32,$B306)))</f>
        <v>0</v>
      </c>
      <c r="BB306" s="645" cm="1">
        <f t="array" aca="1" ref="BB306" ca="1">IF($C$4=Lookups!$D$40,INDIRECT("'Yr1'!"&amp;ADDRESS(ROW(BB306),COLUMN(BB306))),
IF(BB249=0,0,SUMIFS('EE Inputs'!$S$9:$S$32,'EE Inputs'!$C$9:$C$32,$AM$6,'EE Inputs'!$D$9:$D$32,$C$4,'EE Inputs'!$E$9:$E$32,$B306)))</f>
        <v>0</v>
      </c>
      <c r="BC306" s="645" cm="1">
        <f t="array" aca="1" ref="BC306" ca="1">IF($C$4=Lookups!$D$40,INDIRECT("'Yr1'!"&amp;ADDRESS(ROW(BC306),COLUMN(BC306))),
IF(BC249=0,0,SUMIFS('EE Inputs'!$S$9:$S$32,'EE Inputs'!$C$9:$C$32,$AM$6,'EE Inputs'!$D$9:$D$32,$C$4,'EE Inputs'!$E$9:$E$32,$B306)))</f>
        <v>0</v>
      </c>
      <c r="BD306" s="645" cm="1">
        <f t="array" aca="1" ref="BD306" ca="1">IF($C$4=Lookups!$D$40,INDIRECT("'Yr1'!"&amp;ADDRESS(ROW(BD306),COLUMN(BD306))),
IF(BD249=0,0,SUMIFS('EE Inputs'!$S$9:$S$32,'EE Inputs'!$C$9:$C$32,$AM$6,'EE Inputs'!$D$9:$D$32,$C$4,'EE Inputs'!$E$9:$E$32,$B306)))</f>
        <v>0</v>
      </c>
      <c r="BE306" s="645" cm="1">
        <f t="array" aca="1" ref="BE306" ca="1">IF($C$4=Lookups!$D$40,INDIRECT("'Yr1'!"&amp;ADDRESS(ROW(BE306),COLUMN(BE306))),
IF(BE249=0,0,SUMIFS('EE Inputs'!$S$9:$S$32,'EE Inputs'!$C$9:$C$32,$AM$6,'EE Inputs'!$D$9:$D$32,$C$4,'EE Inputs'!$E$9:$E$32,$B306)))</f>
        <v>0</v>
      </c>
      <c r="BF306" s="645" cm="1">
        <f t="array" aca="1" ref="BF306" ca="1">IF($C$4=Lookups!$D$40,INDIRECT("'Yr1'!"&amp;ADDRESS(ROW(BF306),COLUMN(BF306))),
IF(BF249=0,0,SUMIFS('EE Inputs'!$S$9:$S$32,'EE Inputs'!$C$9:$C$32,$AM$6,'EE Inputs'!$D$9:$D$32,$C$4,'EE Inputs'!$E$9:$E$32,$B306)))</f>
        <v>0</v>
      </c>
      <c r="BG306" s="645" cm="1">
        <f t="array" aca="1" ref="BG306" ca="1">IF($C$4=Lookups!$D$40,INDIRECT("'Yr1'!"&amp;ADDRESS(ROW(BG306),COLUMN(BG306))),
IF(BG249=0,0,SUMIFS('EE Inputs'!$S$9:$S$32,'EE Inputs'!$C$9:$C$32,$AM$6,'EE Inputs'!$D$9:$D$32,$C$4,'EE Inputs'!$E$9:$E$32,$B306)))</f>
        <v>0</v>
      </c>
      <c r="BH306" s="645" cm="1">
        <f t="array" aca="1" ref="BH306" ca="1">IF($C$4=Lookups!$D$40,INDIRECT("'Yr1'!"&amp;ADDRESS(ROW(BH306),COLUMN(BH306))),
IF(BH249=0,0,SUMIFS('EE Inputs'!$S$9:$S$32,'EE Inputs'!$C$9:$C$32,$AM$6,'EE Inputs'!$D$9:$D$32,$C$4,'EE Inputs'!$E$9:$E$32,$B306)))</f>
        <v>0</v>
      </c>
      <c r="BI306" s="645" cm="1">
        <f t="array" aca="1" ref="BI306" ca="1">IF($C$4=Lookups!$D$40,INDIRECT("'Yr1'!"&amp;ADDRESS(ROW(BI306),COLUMN(BI306))),
IF(BI249=0,0,SUMIFS('EE Inputs'!$S$9:$S$32,'EE Inputs'!$C$9:$C$32,$AM$6,'EE Inputs'!$D$9:$D$32,$C$4,'EE Inputs'!$E$9:$E$32,$B306)))</f>
        <v>0</v>
      </c>
      <c r="BJ306" s="645" cm="1">
        <f t="array" aca="1" ref="BJ306" ca="1">IF($C$4=Lookups!$D$40,INDIRECT("'Yr1'!"&amp;ADDRESS(ROW(BJ306),COLUMN(BJ306))),
IF(BJ249=0,0,SUMIFS('EE Inputs'!$S$9:$S$32,'EE Inputs'!$C$9:$C$32,$AM$6,'EE Inputs'!$D$9:$D$32,$C$4,'EE Inputs'!$E$9:$E$32,$B306)))</f>
        <v>0</v>
      </c>
      <c r="BK306" s="645" cm="1">
        <f t="array" aca="1" ref="BK306" ca="1">IF($C$4=Lookups!$D$40,INDIRECT("'Yr1'!"&amp;ADDRESS(ROW(BK306),COLUMN(BK306))),
IF(BK249=0,0,SUMIFS('EE Inputs'!$S$9:$S$32,'EE Inputs'!$C$9:$C$32,$AM$6,'EE Inputs'!$D$9:$D$32,$C$4,'EE Inputs'!$E$9:$E$32,$B306)))</f>
        <v>0</v>
      </c>
      <c r="BL306" s="645" cm="1">
        <f t="array" aca="1" ref="BL306" ca="1">IF($C$4=Lookups!$D$40,INDIRECT("'Yr1'!"&amp;ADDRESS(ROW(BL306),COLUMN(BL306))),
IF(BL249=0,0,SUMIFS('EE Inputs'!$S$9:$S$32,'EE Inputs'!$C$9:$C$32,$AM$6,'EE Inputs'!$D$9:$D$32,$C$4,'EE Inputs'!$E$9:$E$32,$B306)))</f>
        <v>0</v>
      </c>
      <c r="BM306" s="645" cm="1">
        <f t="array" aca="1" ref="BM306" ca="1">IF($C$4=Lookups!$D$40,INDIRECT("'Yr1'!"&amp;ADDRESS(ROW(BM306),COLUMN(BM306))),
IF(BM249=0,0,SUMIFS('EE Inputs'!$S$9:$S$32,'EE Inputs'!$C$9:$C$32,$AM$6,'EE Inputs'!$D$9:$D$32,$C$4,'EE Inputs'!$E$9:$E$32,$B306)))</f>
        <v>0</v>
      </c>
      <c r="BN306" s="71"/>
      <c r="BO306" s="71"/>
      <c r="BP306" s="71"/>
      <c r="BS306" s="76" t="s">
        <v>96</v>
      </c>
      <c r="BT306" s="51" t="s">
        <v>17</v>
      </c>
    </row>
    <row r="307" spans="1:72" x14ac:dyDescent="0.25">
      <c r="A307" s="246"/>
      <c r="B307" s="243" t="str">
        <f t="shared" si="324"/>
        <v>Large C&amp;I</v>
      </c>
      <c r="C307" s="243" t="str">
        <f t="shared" si="324"/>
        <v>Bills</v>
      </c>
      <c r="D307" s="244" t="str">
        <f t="shared" si="324"/>
        <v>Annual Savings from DSM Scenario</v>
      </c>
      <c r="E307" s="84" t="str">
        <f>'EE Inputs'!$N$16&amp;" Participant"</f>
        <v>High Savings Participant</v>
      </c>
      <c r="F307" s="84" t="s">
        <v>195</v>
      </c>
      <c r="G307" s="704" cm="1">
        <f t="array" aca="1" ref="G307" ca="1">IF($C$4=Lookups!$D$40,INDIRECT("'Yr1'!"&amp;ADDRESS(ROW(G307),COLUMN(G307))),
IF(G249=0,0,SUMIFS('EE Inputs'!$T$9:$T$32,'EE Inputs'!$C$9:$C$32,$G$6,'EE Inputs'!$D$9:$D$32,$C$4,'EE Inputs'!$E$9:$E$32,$B307)))</f>
        <v>19284.593356180896</v>
      </c>
      <c r="H307" s="704" cm="1">
        <f t="array" aca="1" ref="H307" ca="1">IF($C$4=Lookups!$D$40,INDIRECT("'Yr1'!"&amp;ADDRESS(ROW(H307),COLUMN(H307))),
IF(H249=0,0,SUMIFS('EE Inputs'!$T$9:$T$32,'EE Inputs'!$C$9:$C$32,$G$6,'EE Inputs'!$D$9:$D$32,$C$4,'EE Inputs'!$E$9:$E$32,$B307)))</f>
        <v>19284.593356180896</v>
      </c>
      <c r="I307" s="704" cm="1">
        <f t="array" aca="1" ref="I307" ca="1">IF($C$4=Lookups!$D$40,INDIRECT("'Yr1'!"&amp;ADDRESS(ROW(I307),COLUMN(I307))),
IF(I249=0,0,SUMIFS('EE Inputs'!$T$9:$T$32,'EE Inputs'!$C$9:$C$32,$G$6,'EE Inputs'!$D$9:$D$32,$C$4,'EE Inputs'!$E$9:$E$32,$B307)))</f>
        <v>19284.593356180896</v>
      </c>
      <c r="J307" s="704" cm="1">
        <f t="array" aca="1" ref="J307" ca="1">IF($C$4=Lookups!$D$40,INDIRECT("'Yr1'!"&amp;ADDRESS(ROW(J307),COLUMN(J307))),
IF(J249=0,0,SUMIFS('EE Inputs'!$T$9:$T$32,'EE Inputs'!$C$9:$C$32,$G$6,'EE Inputs'!$D$9:$D$32,$C$4,'EE Inputs'!$E$9:$E$32,$B307)))</f>
        <v>19284.593356180896</v>
      </c>
      <c r="K307" s="704" cm="1">
        <f t="array" aca="1" ref="K307" ca="1">IF($C$4=Lookups!$D$40,INDIRECT("'Yr1'!"&amp;ADDRESS(ROW(K307),COLUMN(K307))),
IF(K249=0,0,SUMIFS('EE Inputs'!$T$9:$T$32,'EE Inputs'!$C$9:$C$32,$G$6,'EE Inputs'!$D$9:$D$32,$C$4,'EE Inputs'!$E$9:$E$32,$B307)))</f>
        <v>19284.593356180896</v>
      </c>
      <c r="L307" s="704" cm="1">
        <f t="array" aca="1" ref="L307" ca="1">IF($C$4=Lookups!$D$40,INDIRECT("'Yr1'!"&amp;ADDRESS(ROW(L307),COLUMN(L307))),
IF(L249=0,0,SUMIFS('EE Inputs'!$T$9:$T$32,'EE Inputs'!$C$9:$C$32,$G$6,'EE Inputs'!$D$9:$D$32,$C$4,'EE Inputs'!$E$9:$E$32,$B307)))</f>
        <v>19284.593356180896</v>
      </c>
      <c r="M307" s="704" cm="1">
        <f t="array" aca="1" ref="M307" ca="1">IF($C$4=Lookups!$D$40,INDIRECT("'Yr1'!"&amp;ADDRESS(ROW(M307),COLUMN(M307))),
IF(M249=0,0,SUMIFS('EE Inputs'!$T$9:$T$32,'EE Inputs'!$C$9:$C$32,$G$6,'EE Inputs'!$D$9:$D$32,$C$4,'EE Inputs'!$E$9:$E$32,$B307)))</f>
        <v>19284.593356180896</v>
      </c>
      <c r="N307" s="704" cm="1">
        <f t="array" aca="1" ref="N307" ca="1">IF($C$4=Lookups!$D$40,INDIRECT("'Yr1'!"&amp;ADDRESS(ROW(N307),COLUMN(N307))),
IF(N249=0,0,SUMIFS('EE Inputs'!$T$9:$T$32,'EE Inputs'!$C$9:$C$32,$G$6,'EE Inputs'!$D$9:$D$32,$C$4,'EE Inputs'!$E$9:$E$32,$B307)))</f>
        <v>19284.593356180896</v>
      </c>
      <c r="O307" s="704" cm="1">
        <f t="array" aca="1" ref="O307" ca="1">IF($C$4=Lookups!$D$40,INDIRECT("'Yr1'!"&amp;ADDRESS(ROW(O307),COLUMN(O307))),
IF(O249=0,0,SUMIFS('EE Inputs'!$T$9:$T$32,'EE Inputs'!$C$9:$C$32,$G$6,'EE Inputs'!$D$9:$D$32,$C$4,'EE Inputs'!$E$9:$E$32,$B307)))</f>
        <v>19284.593356180896</v>
      </c>
      <c r="P307" s="704" cm="1">
        <f t="array" aca="1" ref="P307" ca="1">IF($C$4=Lookups!$D$40,INDIRECT("'Yr1'!"&amp;ADDRESS(ROW(P307),COLUMN(P307))),
IF(P249=0,0,SUMIFS('EE Inputs'!$T$9:$T$32,'EE Inputs'!$C$9:$C$32,$G$6,'EE Inputs'!$D$9:$D$32,$C$4,'EE Inputs'!$E$9:$E$32,$B307)))</f>
        <v>19284.593356180896</v>
      </c>
      <c r="Q307" s="704" cm="1">
        <f t="array" aca="1" ref="Q307" ca="1">IF($C$4=Lookups!$D$40,INDIRECT("'Yr1'!"&amp;ADDRESS(ROW(Q307),COLUMN(Q307))),
IF(Q249=0,0,SUMIFS('EE Inputs'!$T$9:$T$32,'EE Inputs'!$C$9:$C$32,$G$6,'EE Inputs'!$D$9:$D$32,$C$4,'EE Inputs'!$E$9:$E$32,$B307)))</f>
        <v>19284.593356180896</v>
      </c>
      <c r="R307" s="704" cm="1">
        <f t="array" aca="1" ref="R307" ca="1">IF($C$4=Lookups!$D$40,INDIRECT("'Yr1'!"&amp;ADDRESS(ROW(R307),COLUMN(R307))),
IF(R249=0,0,SUMIFS('EE Inputs'!$T$9:$T$32,'EE Inputs'!$C$9:$C$32,$G$6,'EE Inputs'!$D$9:$D$32,$C$4,'EE Inputs'!$E$9:$E$32,$B307)))</f>
        <v>19284.593356180896</v>
      </c>
      <c r="S307" s="704" cm="1">
        <f t="array" aca="1" ref="S307" ca="1">IF($C$4=Lookups!$D$40,INDIRECT("'Yr1'!"&amp;ADDRESS(ROW(S307),COLUMN(S307))),
IF(S249=0,0,SUMIFS('EE Inputs'!$T$9:$T$32,'EE Inputs'!$C$9:$C$32,$G$6,'EE Inputs'!$D$9:$D$32,$C$4,'EE Inputs'!$E$9:$E$32,$B307)))</f>
        <v>19284.593356180896</v>
      </c>
      <c r="T307" s="704" cm="1">
        <f t="array" aca="1" ref="T307" ca="1">IF($C$4=Lookups!$D$40,INDIRECT("'Yr1'!"&amp;ADDRESS(ROW(T307),COLUMN(T307))),
IF(T249=0,0,SUMIFS('EE Inputs'!$T$9:$T$32,'EE Inputs'!$C$9:$C$32,$G$6,'EE Inputs'!$D$9:$D$32,$C$4,'EE Inputs'!$E$9:$E$32,$B307)))</f>
        <v>0</v>
      </c>
      <c r="U307" s="704" cm="1">
        <f t="array" aca="1" ref="U307" ca="1">IF($C$4=Lookups!$D$40,INDIRECT("'Yr1'!"&amp;ADDRESS(ROW(U307),COLUMN(U307))),
IF(U249=0,0,SUMIFS('EE Inputs'!$T$9:$T$32,'EE Inputs'!$C$9:$C$32,$G$6,'EE Inputs'!$D$9:$D$32,$C$4,'EE Inputs'!$E$9:$E$32,$B307)))</f>
        <v>0</v>
      </c>
      <c r="V307" s="704" cm="1">
        <f t="array" aca="1" ref="V307" ca="1">IF($C$4=Lookups!$D$40,INDIRECT("'Yr1'!"&amp;ADDRESS(ROW(V307),COLUMN(V307))),
IF(V249=0,0,SUMIFS('EE Inputs'!$T$9:$T$32,'EE Inputs'!$C$9:$C$32,$G$6,'EE Inputs'!$D$9:$D$32,$C$4,'EE Inputs'!$E$9:$E$32,$B307)))</f>
        <v>0</v>
      </c>
      <c r="W307" s="704" cm="1">
        <f t="array" aca="1" ref="W307" ca="1">IF($C$4=Lookups!$D$40,INDIRECT("'Yr1'!"&amp;ADDRESS(ROW(W307),COLUMN(W307))),
IF(W249=0,0,SUMIFS('EE Inputs'!$T$9:$T$32,'EE Inputs'!$C$9:$C$32,$G$6,'EE Inputs'!$D$9:$D$32,$C$4,'EE Inputs'!$E$9:$E$32,$B307)))</f>
        <v>0</v>
      </c>
      <c r="X307" s="704" cm="1">
        <f t="array" aca="1" ref="X307" ca="1">IF($C$4=Lookups!$D$40,INDIRECT("'Yr1'!"&amp;ADDRESS(ROW(X307),COLUMN(X307))),
IF(X249=0,0,SUMIFS('EE Inputs'!$T$9:$T$32,'EE Inputs'!$C$9:$C$32,$G$6,'EE Inputs'!$D$9:$D$32,$C$4,'EE Inputs'!$E$9:$E$32,$B307)))</f>
        <v>0</v>
      </c>
      <c r="Y307" s="704" cm="1">
        <f t="array" aca="1" ref="Y307" ca="1">IF($C$4=Lookups!$D$40,INDIRECT("'Yr1'!"&amp;ADDRESS(ROW(Y307),COLUMN(Y307))),
IF(Y249=0,0,SUMIFS('EE Inputs'!$T$9:$T$32,'EE Inputs'!$C$9:$C$32,$G$6,'EE Inputs'!$D$9:$D$32,$C$4,'EE Inputs'!$E$9:$E$32,$B307)))</f>
        <v>0</v>
      </c>
      <c r="Z307" s="704" cm="1">
        <f t="array" aca="1" ref="Z307" ca="1">IF($C$4=Lookups!$D$40,INDIRECT("'Yr1'!"&amp;ADDRESS(ROW(Z307),COLUMN(Z307))),
IF(Z249=0,0,SUMIFS('EE Inputs'!$T$9:$T$32,'EE Inputs'!$C$9:$C$32,$G$6,'EE Inputs'!$D$9:$D$32,$C$4,'EE Inputs'!$E$9:$E$32,$B307)))</f>
        <v>0</v>
      </c>
      <c r="AA307" s="704" cm="1">
        <f t="array" aca="1" ref="AA307" ca="1">IF($C$4=Lookups!$D$40,INDIRECT("'Yr1'!"&amp;ADDRESS(ROW(AA307),COLUMN(AA307))),
IF(AA249=0,0,SUMIFS('EE Inputs'!$T$9:$T$32,'EE Inputs'!$C$9:$C$32,$G$6,'EE Inputs'!$D$9:$D$32,$C$4,'EE Inputs'!$E$9:$E$32,$B307)))</f>
        <v>0</v>
      </c>
      <c r="AB307" s="704" cm="1">
        <f t="array" aca="1" ref="AB307" ca="1">IF($C$4=Lookups!$D$40,INDIRECT("'Yr1'!"&amp;ADDRESS(ROW(AB307),COLUMN(AB307))),
IF(AB249=0,0,SUMIFS('EE Inputs'!$T$9:$T$32,'EE Inputs'!$C$9:$C$32,$G$6,'EE Inputs'!$D$9:$D$32,$C$4,'EE Inputs'!$E$9:$E$32,$B307)))</f>
        <v>0</v>
      </c>
      <c r="AC307" s="704" cm="1">
        <f t="array" aca="1" ref="AC307" ca="1">IF($C$4=Lookups!$D$40,INDIRECT("'Yr1'!"&amp;ADDRESS(ROW(AC307),COLUMN(AC307))),
IF(AC249=0,0,SUMIFS('EE Inputs'!$T$9:$T$32,'EE Inputs'!$C$9:$C$32,$G$6,'EE Inputs'!$D$9:$D$32,$C$4,'EE Inputs'!$E$9:$E$32,$B307)))</f>
        <v>0</v>
      </c>
      <c r="AD307" s="704" cm="1">
        <f t="array" aca="1" ref="AD307" ca="1">IF($C$4=Lookups!$D$40,INDIRECT("'Yr1'!"&amp;ADDRESS(ROW(AD307),COLUMN(AD307))),
IF(AD249=0,0,SUMIFS('EE Inputs'!$T$9:$T$32,'EE Inputs'!$C$9:$C$32,$G$6,'EE Inputs'!$D$9:$D$32,$C$4,'EE Inputs'!$E$9:$E$32,$B307)))</f>
        <v>0</v>
      </c>
      <c r="AE307" s="704" cm="1">
        <f t="array" aca="1" ref="AE307" ca="1">IF($C$4=Lookups!$D$40,INDIRECT("'Yr1'!"&amp;ADDRESS(ROW(AE307),COLUMN(AE307))),
IF(AE249=0,0,SUMIFS('EE Inputs'!$T$9:$T$32,'EE Inputs'!$C$9:$C$32,$G$6,'EE Inputs'!$D$9:$D$32,$C$4,'EE Inputs'!$E$9:$E$32,$B307)))</f>
        <v>0</v>
      </c>
      <c r="AF307" s="704" cm="1">
        <f t="array" aca="1" ref="AF307" ca="1">IF($C$4=Lookups!$D$40,INDIRECT("'Yr1'!"&amp;ADDRESS(ROW(AF307),COLUMN(AF307))),
IF(AF249=0,0,SUMIFS('EE Inputs'!$T$9:$T$32,'EE Inputs'!$C$9:$C$32,$G$6,'EE Inputs'!$D$9:$D$32,$C$4,'EE Inputs'!$E$9:$E$32,$B307)))</f>
        <v>0</v>
      </c>
      <c r="AG307" s="704" cm="1">
        <f t="array" aca="1" ref="AG307" ca="1">IF($C$4=Lookups!$D$40,INDIRECT("'Yr1'!"&amp;ADDRESS(ROW(AG307),COLUMN(AG307))),
IF(AG249=0,0,SUMIFS('EE Inputs'!$T$9:$T$32,'EE Inputs'!$C$9:$C$32,$G$6,'EE Inputs'!$D$9:$D$32,$C$4,'EE Inputs'!$E$9:$E$32,$B307)))</f>
        <v>0</v>
      </c>
      <c r="AH307" s="64"/>
      <c r="AI307" s="64"/>
      <c r="AJ307" s="64"/>
      <c r="AM307" s="645" cm="1">
        <f t="array" aca="1" ref="AM307" ca="1">IF($C$4=Lookups!$D$40,INDIRECT("'Yr1'!"&amp;ADDRESS(ROW(AM307),COLUMN(AM307))),
IF(AM249=0,0,SUMIFS('EE Inputs'!$T$9:$T$32,'EE Inputs'!$C$9:$C$32,$AM$6,'EE Inputs'!$D$9:$D$32,$C$4,'EE Inputs'!$E$9:$E$32,$B307)))</f>
        <v>23141.512027417073</v>
      </c>
      <c r="AN307" s="645" cm="1">
        <f t="array" aca="1" ref="AN307" ca="1">IF($C$4=Lookups!$D$40,INDIRECT("'Yr1'!"&amp;ADDRESS(ROW(AN307),COLUMN(AN307))),
IF(AN249=0,0,SUMIFS('EE Inputs'!$T$9:$T$32,'EE Inputs'!$C$9:$C$32,$AM$6,'EE Inputs'!$D$9:$D$32,$C$4,'EE Inputs'!$E$9:$E$32,$B307)))</f>
        <v>23141.512027417073</v>
      </c>
      <c r="AO307" s="645" cm="1">
        <f t="array" aca="1" ref="AO307" ca="1">IF($C$4=Lookups!$D$40,INDIRECT("'Yr1'!"&amp;ADDRESS(ROW(AO307),COLUMN(AO307))),
IF(AO249=0,0,SUMIFS('EE Inputs'!$T$9:$T$32,'EE Inputs'!$C$9:$C$32,$AM$6,'EE Inputs'!$D$9:$D$32,$C$4,'EE Inputs'!$E$9:$E$32,$B307)))</f>
        <v>23141.512027417073</v>
      </c>
      <c r="AP307" s="645" cm="1">
        <f t="array" aca="1" ref="AP307" ca="1">IF($C$4=Lookups!$D$40,INDIRECT("'Yr1'!"&amp;ADDRESS(ROW(AP307),COLUMN(AP307))),
IF(AP249=0,0,SUMIFS('EE Inputs'!$T$9:$T$32,'EE Inputs'!$C$9:$C$32,$AM$6,'EE Inputs'!$D$9:$D$32,$C$4,'EE Inputs'!$E$9:$E$32,$B307)))</f>
        <v>23141.512027417073</v>
      </c>
      <c r="AQ307" s="645" cm="1">
        <f t="array" aca="1" ref="AQ307" ca="1">IF($C$4=Lookups!$D$40,INDIRECT("'Yr1'!"&amp;ADDRESS(ROW(AQ307),COLUMN(AQ307))),
IF(AQ249=0,0,SUMIFS('EE Inputs'!$T$9:$T$32,'EE Inputs'!$C$9:$C$32,$AM$6,'EE Inputs'!$D$9:$D$32,$C$4,'EE Inputs'!$E$9:$E$32,$B307)))</f>
        <v>23141.512027417073</v>
      </c>
      <c r="AR307" s="645" cm="1">
        <f t="array" aca="1" ref="AR307" ca="1">IF($C$4=Lookups!$D$40,INDIRECT("'Yr1'!"&amp;ADDRESS(ROW(AR307),COLUMN(AR307))),
IF(AR249=0,0,SUMIFS('EE Inputs'!$T$9:$T$32,'EE Inputs'!$C$9:$C$32,$AM$6,'EE Inputs'!$D$9:$D$32,$C$4,'EE Inputs'!$E$9:$E$32,$B307)))</f>
        <v>23141.512027417073</v>
      </c>
      <c r="AS307" s="645" cm="1">
        <f t="array" aca="1" ref="AS307" ca="1">IF($C$4=Lookups!$D$40,INDIRECT("'Yr1'!"&amp;ADDRESS(ROW(AS307),COLUMN(AS307))),
IF(AS249=0,0,SUMIFS('EE Inputs'!$T$9:$T$32,'EE Inputs'!$C$9:$C$32,$AM$6,'EE Inputs'!$D$9:$D$32,$C$4,'EE Inputs'!$E$9:$E$32,$B307)))</f>
        <v>23141.512027417073</v>
      </c>
      <c r="AT307" s="645" cm="1">
        <f t="array" aca="1" ref="AT307" ca="1">IF($C$4=Lookups!$D$40,INDIRECT("'Yr1'!"&amp;ADDRESS(ROW(AT307),COLUMN(AT307))),
IF(AT249=0,0,SUMIFS('EE Inputs'!$T$9:$T$32,'EE Inputs'!$C$9:$C$32,$AM$6,'EE Inputs'!$D$9:$D$32,$C$4,'EE Inputs'!$E$9:$E$32,$B307)))</f>
        <v>23141.512027417073</v>
      </c>
      <c r="AU307" s="645" cm="1">
        <f t="array" aca="1" ref="AU307" ca="1">IF($C$4=Lookups!$D$40,INDIRECT("'Yr1'!"&amp;ADDRESS(ROW(AU307),COLUMN(AU307))),
IF(AU249=0,0,SUMIFS('EE Inputs'!$T$9:$T$32,'EE Inputs'!$C$9:$C$32,$AM$6,'EE Inputs'!$D$9:$D$32,$C$4,'EE Inputs'!$E$9:$E$32,$B307)))</f>
        <v>23141.512027417073</v>
      </c>
      <c r="AV307" s="645" cm="1">
        <f t="array" aca="1" ref="AV307" ca="1">IF($C$4=Lookups!$D$40,INDIRECT("'Yr1'!"&amp;ADDRESS(ROW(AV307),COLUMN(AV307))),
IF(AV249=0,0,SUMIFS('EE Inputs'!$T$9:$T$32,'EE Inputs'!$C$9:$C$32,$AM$6,'EE Inputs'!$D$9:$D$32,$C$4,'EE Inputs'!$E$9:$E$32,$B307)))</f>
        <v>23141.512027417073</v>
      </c>
      <c r="AW307" s="645" cm="1">
        <f t="array" aca="1" ref="AW307" ca="1">IF($C$4=Lookups!$D$40,INDIRECT("'Yr1'!"&amp;ADDRESS(ROW(AW307),COLUMN(AW307))),
IF(AW249=0,0,SUMIFS('EE Inputs'!$T$9:$T$32,'EE Inputs'!$C$9:$C$32,$AM$6,'EE Inputs'!$D$9:$D$32,$C$4,'EE Inputs'!$E$9:$E$32,$B307)))</f>
        <v>23141.512027417073</v>
      </c>
      <c r="AX307" s="645" cm="1">
        <f t="array" aca="1" ref="AX307" ca="1">IF($C$4=Lookups!$D$40,INDIRECT("'Yr1'!"&amp;ADDRESS(ROW(AX307),COLUMN(AX307))),
IF(AX249=0,0,SUMIFS('EE Inputs'!$T$9:$T$32,'EE Inputs'!$C$9:$C$32,$AM$6,'EE Inputs'!$D$9:$D$32,$C$4,'EE Inputs'!$E$9:$E$32,$B307)))</f>
        <v>23141.512027417073</v>
      </c>
      <c r="AY307" s="645" cm="1">
        <f t="array" aca="1" ref="AY307" ca="1">IF($C$4=Lookups!$D$40,INDIRECT("'Yr1'!"&amp;ADDRESS(ROW(AY307),COLUMN(AY307))),
IF(AY249=0,0,SUMIFS('EE Inputs'!$T$9:$T$32,'EE Inputs'!$C$9:$C$32,$AM$6,'EE Inputs'!$D$9:$D$32,$C$4,'EE Inputs'!$E$9:$E$32,$B307)))</f>
        <v>23141.512027417073</v>
      </c>
      <c r="AZ307" s="645" cm="1">
        <f t="array" aca="1" ref="AZ307" ca="1">IF($C$4=Lookups!$D$40,INDIRECT("'Yr1'!"&amp;ADDRESS(ROW(AZ307),COLUMN(AZ307))),
IF(AZ249=0,0,SUMIFS('EE Inputs'!$T$9:$T$32,'EE Inputs'!$C$9:$C$32,$AM$6,'EE Inputs'!$D$9:$D$32,$C$4,'EE Inputs'!$E$9:$E$32,$B307)))</f>
        <v>0</v>
      </c>
      <c r="BA307" s="645" cm="1">
        <f t="array" aca="1" ref="BA307" ca="1">IF($C$4=Lookups!$D$40,INDIRECT("'Yr1'!"&amp;ADDRESS(ROW(BA307),COLUMN(BA307))),
IF(BA249=0,0,SUMIFS('EE Inputs'!$T$9:$T$32,'EE Inputs'!$C$9:$C$32,$AM$6,'EE Inputs'!$D$9:$D$32,$C$4,'EE Inputs'!$E$9:$E$32,$B307)))</f>
        <v>0</v>
      </c>
      <c r="BB307" s="645" cm="1">
        <f t="array" aca="1" ref="BB307" ca="1">IF($C$4=Lookups!$D$40,INDIRECT("'Yr1'!"&amp;ADDRESS(ROW(BB307),COLUMN(BB307))),
IF(BB249=0,0,SUMIFS('EE Inputs'!$T$9:$T$32,'EE Inputs'!$C$9:$C$32,$AM$6,'EE Inputs'!$D$9:$D$32,$C$4,'EE Inputs'!$E$9:$E$32,$B307)))</f>
        <v>0</v>
      </c>
      <c r="BC307" s="645" cm="1">
        <f t="array" aca="1" ref="BC307" ca="1">IF($C$4=Lookups!$D$40,INDIRECT("'Yr1'!"&amp;ADDRESS(ROW(BC307),COLUMN(BC307))),
IF(BC249=0,0,SUMIFS('EE Inputs'!$T$9:$T$32,'EE Inputs'!$C$9:$C$32,$AM$6,'EE Inputs'!$D$9:$D$32,$C$4,'EE Inputs'!$E$9:$E$32,$B307)))</f>
        <v>0</v>
      </c>
      <c r="BD307" s="645" cm="1">
        <f t="array" aca="1" ref="BD307" ca="1">IF($C$4=Lookups!$D$40,INDIRECT("'Yr1'!"&amp;ADDRESS(ROW(BD307),COLUMN(BD307))),
IF(BD249=0,0,SUMIFS('EE Inputs'!$T$9:$T$32,'EE Inputs'!$C$9:$C$32,$AM$6,'EE Inputs'!$D$9:$D$32,$C$4,'EE Inputs'!$E$9:$E$32,$B307)))</f>
        <v>0</v>
      </c>
      <c r="BE307" s="645" cm="1">
        <f t="array" aca="1" ref="BE307" ca="1">IF($C$4=Lookups!$D$40,INDIRECT("'Yr1'!"&amp;ADDRESS(ROW(BE307),COLUMN(BE307))),
IF(BE249=0,0,SUMIFS('EE Inputs'!$T$9:$T$32,'EE Inputs'!$C$9:$C$32,$AM$6,'EE Inputs'!$D$9:$D$32,$C$4,'EE Inputs'!$E$9:$E$32,$B307)))</f>
        <v>0</v>
      </c>
      <c r="BF307" s="645" cm="1">
        <f t="array" aca="1" ref="BF307" ca="1">IF($C$4=Lookups!$D$40,INDIRECT("'Yr1'!"&amp;ADDRESS(ROW(BF307),COLUMN(BF307))),
IF(BF249=0,0,SUMIFS('EE Inputs'!$T$9:$T$32,'EE Inputs'!$C$9:$C$32,$AM$6,'EE Inputs'!$D$9:$D$32,$C$4,'EE Inputs'!$E$9:$E$32,$B307)))</f>
        <v>0</v>
      </c>
      <c r="BG307" s="645" cm="1">
        <f t="array" aca="1" ref="BG307" ca="1">IF($C$4=Lookups!$D$40,INDIRECT("'Yr1'!"&amp;ADDRESS(ROW(BG307),COLUMN(BG307))),
IF(BG249=0,0,SUMIFS('EE Inputs'!$T$9:$T$32,'EE Inputs'!$C$9:$C$32,$AM$6,'EE Inputs'!$D$9:$D$32,$C$4,'EE Inputs'!$E$9:$E$32,$B307)))</f>
        <v>0</v>
      </c>
      <c r="BH307" s="645" cm="1">
        <f t="array" aca="1" ref="BH307" ca="1">IF($C$4=Lookups!$D$40,INDIRECT("'Yr1'!"&amp;ADDRESS(ROW(BH307),COLUMN(BH307))),
IF(BH249=0,0,SUMIFS('EE Inputs'!$T$9:$T$32,'EE Inputs'!$C$9:$C$32,$AM$6,'EE Inputs'!$D$9:$D$32,$C$4,'EE Inputs'!$E$9:$E$32,$B307)))</f>
        <v>0</v>
      </c>
      <c r="BI307" s="645" cm="1">
        <f t="array" aca="1" ref="BI307" ca="1">IF($C$4=Lookups!$D$40,INDIRECT("'Yr1'!"&amp;ADDRESS(ROW(BI307),COLUMN(BI307))),
IF(BI249=0,0,SUMIFS('EE Inputs'!$T$9:$T$32,'EE Inputs'!$C$9:$C$32,$AM$6,'EE Inputs'!$D$9:$D$32,$C$4,'EE Inputs'!$E$9:$E$32,$B307)))</f>
        <v>0</v>
      </c>
      <c r="BJ307" s="645" cm="1">
        <f t="array" aca="1" ref="BJ307" ca="1">IF($C$4=Lookups!$D$40,INDIRECT("'Yr1'!"&amp;ADDRESS(ROW(BJ307),COLUMN(BJ307))),
IF(BJ249=0,0,SUMIFS('EE Inputs'!$T$9:$T$32,'EE Inputs'!$C$9:$C$32,$AM$6,'EE Inputs'!$D$9:$D$32,$C$4,'EE Inputs'!$E$9:$E$32,$B307)))</f>
        <v>0</v>
      </c>
      <c r="BK307" s="645" cm="1">
        <f t="array" aca="1" ref="BK307" ca="1">IF($C$4=Lookups!$D$40,INDIRECT("'Yr1'!"&amp;ADDRESS(ROW(BK307),COLUMN(BK307))),
IF(BK249=0,0,SUMIFS('EE Inputs'!$T$9:$T$32,'EE Inputs'!$C$9:$C$32,$AM$6,'EE Inputs'!$D$9:$D$32,$C$4,'EE Inputs'!$E$9:$E$32,$B307)))</f>
        <v>0</v>
      </c>
      <c r="BL307" s="645" cm="1">
        <f t="array" aca="1" ref="BL307" ca="1">IF($C$4=Lookups!$D$40,INDIRECT("'Yr1'!"&amp;ADDRESS(ROW(BL307),COLUMN(BL307))),
IF(BL249=0,0,SUMIFS('EE Inputs'!$T$9:$T$32,'EE Inputs'!$C$9:$C$32,$AM$6,'EE Inputs'!$D$9:$D$32,$C$4,'EE Inputs'!$E$9:$E$32,$B307)))</f>
        <v>0</v>
      </c>
      <c r="BM307" s="645" cm="1">
        <f t="array" aca="1" ref="BM307" ca="1">IF($C$4=Lookups!$D$40,INDIRECT("'Yr1'!"&amp;ADDRESS(ROW(BM307),COLUMN(BM307))),
IF(BM249=0,0,SUMIFS('EE Inputs'!$T$9:$T$32,'EE Inputs'!$C$9:$C$32,$AM$6,'EE Inputs'!$D$9:$D$32,$C$4,'EE Inputs'!$E$9:$E$32,$B307)))</f>
        <v>0</v>
      </c>
      <c r="BN307" s="71"/>
      <c r="BO307" s="71"/>
      <c r="BP307" s="71"/>
      <c r="BS307" s="76" t="s">
        <v>96</v>
      </c>
      <c r="BT307" s="51" t="s">
        <v>17</v>
      </c>
    </row>
    <row r="308" spans="1:72" x14ac:dyDescent="0.25">
      <c r="B308" s="243" t="str">
        <f t="shared" si="324"/>
        <v>Large C&amp;I</v>
      </c>
      <c r="C308" s="243" t="str">
        <f t="shared" si="324"/>
        <v>Bills</v>
      </c>
      <c r="D308" s="114" t="s">
        <v>111</v>
      </c>
      <c r="E308" s="84"/>
      <c r="F308" s="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49"/>
      <c r="AI308" s="184"/>
      <c r="AJ308" s="49"/>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S308" s="84"/>
      <c r="BT308" s="51" t="s">
        <v>17</v>
      </c>
    </row>
    <row r="309" spans="1:72" x14ac:dyDescent="0.25">
      <c r="B309" s="243" t="str">
        <f t="shared" si="324"/>
        <v>Large C&amp;I</v>
      </c>
      <c r="C309" s="243" t="str">
        <f t="shared" si="324"/>
        <v>Bills</v>
      </c>
      <c r="D309" s="244" t="str">
        <f t="shared" si="324"/>
        <v>Bills after DSM Scenario</v>
      </c>
      <c r="E309" s="84" t="s">
        <v>348</v>
      </c>
      <c r="F309" s="84" t="s">
        <v>32</v>
      </c>
      <c r="G309" s="103">
        <f ca="1">G301+G302*(G294-G293)</f>
        <v>180127.14991934536</v>
      </c>
      <c r="H309" s="103">
        <f ca="1">H301+H302*(H294-H293)</f>
        <v>182447.81743529055</v>
      </c>
      <c r="I309" s="103">
        <f t="shared" ref="I309:AG309" ca="1" si="334">I301+I302*(I294-I293)</f>
        <v>185595.3467981045</v>
      </c>
      <c r="J309" s="103">
        <f t="shared" ca="1" si="334"/>
        <v>154980.85991225793</v>
      </c>
      <c r="K309" s="103">
        <f t="shared" ca="1" si="334"/>
        <v>154980.85991225793</v>
      </c>
      <c r="L309" s="103">
        <f t="shared" ca="1" si="334"/>
        <v>154980.85991225793</v>
      </c>
      <c r="M309" s="103">
        <f t="shared" ca="1" si="334"/>
        <v>154980.85991225793</v>
      </c>
      <c r="N309" s="103">
        <f t="shared" ca="1" si="334"/>
        <v>154980.85991225793</v>
      </c>
      <c r="O309" s="103">
        <f t="shared" ca="1" si="334"/>
        <v>154980.85991225793</v>
      </c>
      <c r="P309" s="103">
        <f t="shared" ca="1" si="334"/>
        <v>154980.85991225793</v>
      </c>
      <c r="Q309" s="103">
        <f t="shared" ca="1" si="334"/>
        <v>154980.85991225793</v>
      </c>
      <c r="R309" s="103">
        <f t="shared" ca="1" si="334"/>
        <v>154980.85991225793</v>
      </c>
      <c r="S309" s="103">
        <f ca="1">S301+S302*(S294-S293)</f>
        <v>154980.85991225793</v>
      </c>
      <c r="T309" s="103">
        <f t="shared" ca="1" si="334"/>
        <v>153777.55538450385</v>
      </c>
      <c r="U309" s="103">
        <f t="shared" ca="1" si="334"/>
        <v>152750.7979473836</v>
      </c>
      <c r="V309" s="103">
        <f t="shared" ca="1" si="334"/>
        <v>151857.45648293078</v>
      </c>
      <c r="W309" s="103">
        <f t="shared" ca="1" si="334"/>
        <v>151857.45648293078</v>
      </c>
      <c r="X309" s="103">
        <f t="shared" ca="1" si="334"/>
        <v>151857.45648293078</v>
      </c>
      <c r="Y309" s="103">
        <f t="shared" ca="1" si="334"/>
        <v>151857.45648293078</v>
      </c>
      <c r="Z309" s="103">
        <f t="shared" ca="1" si="334"/>
        <v>151857.45648293078</v>
      </c>
      <c r="AA309" s="103">
        <f t="shared" ca="1" si="334"/>
        <v>151857.45648293078</v>
      </c>
      <c r="AB309" s="103">
        <f t="shared" ca="1" si="334"/>
        <v>151857.45648293078</v>
      </c>
      <c r="AC309" s="103">
        <f t="shared" ca="1" si="334"/>
        <v>151857.45648293078</v>
      </c>
      <c r="AD309" s="103">
        <f t="shared" ca="1" si="334"/>
        <v>151857.45648293078</v>
      </c>
      <c r="AE309" s="103">
        <f t="shared" ca="1" si="334"/>
        <v>151857.45648293078</v>
      </c>
      <c r="AF309" s="103">
        <f t="shared" ca="1" si="334"/>
        <v>151857.45648293078</v>
      </c>
      <c r="AG309" s="103">
        <f t="shared" ca="1" si="334"/>
        <v>151857.45648293078</v>
      </c>
      <c r="AH309" s="103"/>
      <c r="AI309" s="103"/>
      <c r="AJ309" s="103">
        <f ca="1">IF($C$4=Year1,-PMT(Lookups!$E$17,25,NPV(Lookups!$E$17,G309:AE309),0,1),IF($C$4=Year2,-PMT(Lookups!$F$17,25,NPV(Lookups!$F$17,H309:AF309),0,1),IF($C$4=Year3,-PMT(Lookups!$G$17,25,NPV(Lookups!$G$17,I309:AG309),0,1),-PMT(Lookups!$G$17,27,NPV(Lookups!$G$17,G309:AG309),0,1))))</f>
        <v>155042.80140654498</v>
      </c>
      <c r="AM309" s="149">
        <f ca="1">AM301+AM302*(AM294-AM293)</f>
        <v>185747.32292098916</v>
      </c>
      <c r="AN309" s="149">
        <f t="shared" ref="AN309:BM309" ca="1" si="335">AN301+AN302*(AN294-AN293)</f>
        <v>188524.35566730355</v>
      </c>
      <c r="AO309" s="149">
        <f t="shared" ca="1" si="335"/>
        <v>192352.86860179721</v>
      </c>
      <c r="AP309" s="149">
        <f t="shared" ca="1" si="335"/>
        <v>155615.48433878133</v>
      </c>
      <c r="AQ309" s="149">
        <f t="shared" ca="1" si="335"/>
        <v>155615.48433878133</v>
      </c>
      <c r="AR309" s="149">
        <f t="shared" ca="1" si="335"/>
        <v>155615.48433878133</v>
      </c>
      <c r="AS309" s="149">
        <f t="shared" ca="1" si="335"/>
        <v>155615.48433878133</v>
      </c>
      <c r="AT309" s="149">
        <f t="shared" ca="1" si="335"/>
        <v>155615.48433878133</v>
      </c>
      <c r="AU309" s="149">
        <f t="shared" ca="1" si="335"/>
        <v>155615.48433878133</v>
      </c>
      <c r="AV309" s="149">
        <f t="shared" ca="1" si="335"/>
        <v>155615.48433878133</v>
      </c>
      <c r="AW309" s="149">
        <f t="shared" ca="1" si="335"/>
        <v>155615.48433878133</v>
      </c>
      <c r="AX309" s="149">
        <f t="shared" ca="1" si="335"/>
        <v>155615.48433878133</v>
      </c>
      <c r="AY309" s="149">
        <f t="shared" ca="1" si="335"/>
        <v>155615.48433878133</v>
      </c>
      <c r="AZ309" s="149">
        <f t="shared" ca="1" si="335"/>
        <v>154121.62166185002</v>
      </c>
      <c r="BA309" s="149">
        <f t="shared" ca="1" si="335"/>
        <v>152893.24558923859</v>
      </c>
      <c r="BB309" s="149">
        <f t="shared" ca="1" si="335"/>
        <v>151857.45648293078</v>
      </c>
      <c r="BC309" s="149">
        <f t="shared" ca="1" si="335"/>
        <v>151857.45648293078</v>
      </c>
      <c r="BD309" s="149">
        <f t="shared" ca="1" si="335"/>
        <v>151857.45648293078</v>
      </c>
      <c r="BE309" s="149">
        <f t="shared" ca="1" si="335"/>
        <v>151857.45648293078</v>
      </c>
      <c r="BF309" s="149">
        <f t="shared" ca="1" si="335"/>
        <v>151857.45648293078</v>
      </c>
      <c r="BG309" s="149">
        <f t="shared" ca="1" si="335"/>
        <v>151857.45648293078</v>
      </c>
      <c r="BH309" s="149">
        <f t="shared" ca="1" si="335"/>
        <v>151857.45648293078</v>
      </c>
      <c r="BI309" s="149">
        <f t="shared" ca="1" si="335"/>
        <v>151857.45648293078</v>
      </c>
      <c r="BJ309" s="149">
        <f t="shared" ca="1" si="335"/>
        <v>151857.45648293078</v>
      </c>
      <c r="BK309" s="149">
        <f t="shared" ca="1" si="335"/>
        <v>151857.45648293078</v>
      </c>
      <c r="BL309" s="149">
        <f t="shared" ca="1" si="335"/>
        <v>151857.45648293078</v>
      </c>
      <c r="BM309" s="149">
        <f t="shared" ca="1" si="335"/>
        <v>151857.45648293078</v>
      </c>
      <c r="BN309" s="149"/>
      <c r="BO309" s="149"/>
      <c r="BP309" s="149">
        <f ca="1">IF($C$4=Year1,-PMT(Lookups!$E$17,25,NPV(Lookups!$E$17,AM309:BK309),0,1),IF($C$4=Year2,-PMT(Lookups!$F$17,25,NPV(Lookups!$F$17,AN309:BL309),0,1),IF($C$4=Year3,-PMT(Lookups!$G$17,25,NPV(Lookups!$G$17,AO309:BM309),0,1),-PMT(Lookups!$G$17,27,NPV(Lookups!$G$17,AM309:BM309),0,1))))</f>
        <v>156101.77472117107</v>
      </c>
      <c r="BS309" s="84" t="s">
        <v>239</v>
      </c>
      <c r="BT309" s="51" t="s">
        <v>17</v>
      </c>
    </row>
    <row r="310" spans="1:72" x14ac:dyDescent="0.25">
      <c r="B310" s="243" t="str">
        <f t="shared" si="324"/>
        <v>Large C&amp;I</v>
      </c>
      <c r="C310" s="243" t="str">
        <f t="shared" si="324"/>
        <v>Bills</v>
      </c>
      <c r="D310" s="244" t="str">
        <f t="shared" si="324"/>
        <v>Bills after DSM Scenario</v>
      </c>
      <c r="E310" s="84" t="s">
        <v>349</v>
      </c>
      <c r="F310" s="84" t="s">
        <v>32</v>
      </c>
      <c r="G310" s="103">
        <f ca="1">G301+(G302-G305)*(G294-G293)</f>
        <v>165202.42702818743</v>
      </c>
      <c r="H310" s="103">
        <f ca="1">H301+(H302-H305)*(H294-H293)</f>
        <v>151464.08371926393</v>
      </c>
      <c r="I310" s="103">
        <f t="shared" ref="I310:AG310" ca="1" si="336">I301+(I302-I305)*(I294-I293)</f>
        <v>137020.90698017587</v>
      </c>
      <c r="J310" s="103">
        <f t="shared" ca="1" si="336"/>
        <v>114813.3576461466</v>
      </c>
      <c r="K310" s="103">
        <f t="shared" ca="1" si="336"/>
        <v>114813.3576461466</v>
      </c>
      <c r="L310" s="103">
        <f t="shared" ca="1" si="336"/>
        <v>114813.3576461466</v>
      </c>
      <c r="M310" s="103">
        <f t="shared" ca="1" si="336"/>
        <v>114813.3576461466</v>
      </c>
      <c r="N310" s="103">
        <f t="shared" ca="1" si="336"/>
        <v>114813.3576461466</v>
      </c>
      <c r="O310" s="103">
        <f t="shared" ca="1" si="336"/>
        <v>114813.3576461466</v>
      </c>
      <c r="P310" s="103">
        <f t="shared" ca="1" si="336"/>
        <v>114813.3576461466</v>
      </c>
      <c r="Q310" s="103">
        <f t="shared" ca="1" si="336"/>
        <v>114813.3576461466</v>
      </c>
      <c r="R310" s="103">
        <f t="shared" ca="1" si="336"/>
        <v>114813.3576461466</v>
      </c>
      <c r="S310" s="103">
        <f ca="1">S301+(S302-S305)*(S294-S293)</f>
        <v>114813.3576461466</v>
      </c>
      <c r="T310" s="103">
        <f t="shared" ca="1" si="336"/>
        <v>126571.0672786683</v>
      </c>
      <c r="U310" s="103">
        <f t="shared" ca="1" si="336"/>
        <v>138883.43018172201</v>
      </c>
      <c r="V310" s="103">
        <f t="shared" ca="1" si="336"/>
        <v>151857.45648293078</v>
      </c>
      <c r="W310" s="103">
        <f t="shared" ca="1" si="336"/>
        <v>151857.45648293078</v>
      </c>
      <c r="X310" s="103">
        <f t="shared" ca="1" si="336"/>
        <v>151857.45648293078</v>
      </c>
      <c r="Y310" s="103">
        <f t="shared" ca="1" si="336"/>
        <v>151857.45648293078</v>
      </c>
      <c r="Z310" s="103">
        <f t="shared" ca="1" si="336"/>
        <v>151857.45648293078</v>
      </c>
      <c r="AA310" s="103">
        <f t="shared" ca="1" si="336"/>
        <v>151857.45648293078</v>
      </c>
      <c r="AB310" s="103">
        <f t="shared" ca="1" si="336"/>
        <v>151857.45648293078</v>
      </c>
      <c r="AC310" s="103">
        <f t="shared" ca="1" si="336"/>
        <v>151857.45648293078</v>
      </c>
      <c r="AD310" s="103">
        <f t="shared" ca="1" si="336"/>
        <v>151857.45648293078</v>
      </c>
      <c r="AE310" s="103">
        <f t="shared" ca="1" si="336"/>
        <v>151857.45648293078</v>
      </c>
      <c r="AF310" s="103">
        <f t="shared" ca="1" si="336"/>
        <v>151857.45648293078</v>
      </c>
      <c r="AG310" s="103">
        <f t="shared" ca="1" si="336"/>
        <v>151857.45648293078</v>
      </c>
      <c r="AH310" s="103"/>
      <c r="AI310" s="103"/>
      <c r="AJ310" s="103">
        <f ca="1">IF($C$4=Year1,-PMT(Lookups!$E$17,25,NPV(Lookups!$E$17,G310:AE310),0,1),IF($C$4=Year2,-PMT(Lookups!$F$17,25,NPV(Lookups!$F$17,H310:AF310),0,1),IF($C$4=Year3,-PMT(Lookups!$G$17,25,NPV(Lookups!$G$17,I310:AG310),0,1),-PMT(Lookups!$G$17,27,NPV(Lookups!$G$17,G310:AG310),0,1))))</f>
        <v>133753.25757175178</v>
      </c>
      <c r="AM310" s="149">
        <f ca="1">AM301+(AM302-AM305)*(AM294-AM293)</f>
        <v>168131.2694551755</v>
      </c>
      <c r="AN310" s="149">
        <f t="shared" ref="AN310:BM310" ca="1" si="337">AN301+(AN302-AN305)*(AN294-AN293)</f>
        <v>151875.91317054801</v>
      </c>
      <c r="AO310" s="149">
        <f t="shared" ca="1" si="337"/>
        <v>134718.46936707161</v>
      </c>
      <c r="AP310" s="149">
        <f t="shared" ca="1" si="337"/>
        <v>109510.59946083375</v>
      </c>
      <c r="AQ310" s="149">
        <f t="shared" ca="1" si="337"/>
        <v>109510.59946083375</v>
      </c>
      <c r="AR310" s="149">
        <f t="shared" ca="1" si="337"/>
        <v>109510.59946083375</v>
      </c>
      <c r="AS310" s="149">
        <f t="shared" ca="1" si="337"/>
        <v>109510.59946083375</v>
      </c>
      <c r="AT310" s="149">
        <f t="shared" ca="1" si="337"/>
        <v>109510.59946083375</v>
      </c>
      <c r="AU310" s="149">
        <f t="shared" ca="1" si="337"/>
        <v>109510.59946083375</v>
      </c>
      <c r="AV310" s="149">
        <f t="shared" ca="1" si="337"/>
        <v>109510.59946083375</v>
      </c>
      <c r="AW310" s="149">
        <f t="shared" ca="1" si="337"/>
        <v>109510.59946083375</v>
      </c>
      <c r="AX310" s="149">
        <f t="shared" ca="1" si="337"/>
        <v>109510.59946083375</v>
      </c>
      <c r="AY310" s="149">
        <f t="shared" ca="1" si="337"/>
        <v>109510.59946083375</v>
      </c>
      <c r="AZ310" s="149">
        <f t="shared" ca="1" si="337"/>
        <v>122954.74783248166</v>
      </c>
      <c r="BA310" s="149">
        <f t="shared" ca="1" si="337"/>
        <v>137029.15238230969</v>
      </c>
      <c r="BB310" s="149">
        <f t="shared" ca="1" si="337"/>
        <v>151857.45648293078</v>
      </c>
      <c r="BC310" s="149">
        <f t="shared" ca="1" si="337"/>
        <v>151857.45648293078</v>
      </c>
      <c r="BD310" s="149">
        <f t="shared" ca="1" si="337"/>
        <v>151857.45648293078</v>
      </c>
      <c r="BE310" s="149">
        <f t="shared" ca="1" si="337"/>
        <v>151857.45648293078</v>
      </c>
      <c r="BF310" s="149">
        <f t="shared" ca="1" si="337"/>
        <v>151857.45648293078</v>
      </c>
      <c r="BG310" s="149">
        <f t="shared" ca="1" si="337"/>
        <v>151857.45648293078</v>
      </c>
      <c r="BH310" s="149">
        <f t="shared" ca="1" si="337"/>
        <v>151857.45648293078</v>
      </c>
      <c r="BI310" s="149">
        <f t="shared" ca="1" si="337"/>
        <v>151857.45648293078</v>
      </c>
      <c r="BJ310" s="149">
        <f t="shared" ca="1" si="337"/>
        <v>151857.45648293078</v>
      </c>
      <c r="BK310" s="149">
        <f t="shared" ca="1" si="337"/>
        <v>151857.45648293078</v>
      </c>
      <c r="BL310" s="149">
        <f t="shared" ca="1" si="337"/>
        <v>151857.45648293078</v>
      </c>
      <c r="BM310" s="149">
        <f t="shared" ca="1" si="337"/>
        <v>151857.45648293078</v>
      </c>
      <c r="BN310" s="149"/>
      <c r="BO310" s="149"/>
      <c r="BP310" s="149">
        <f ca="1">IF($C$4=Year1,-PMT(Lookups!$E$17,25,NPV(Lookups!$E$17,AM310:BK310),0,1),IF($C$4=Year2,-PMT(Lookups!$F$17,25,NPV(Lookups!$F$17,AN310:BL310),0,1),IF($C$4=Year3,-PMT(Lookups!$G$17,25,NPV(Lookups!$G$17,AO310:BM310),0,1),-PMT(Lookups!$G$17,27,NPV(Lookups!$G$17,AM310:BM310),0,1))))</f>
        <v>131522.02207955247</v>
      </c>
      <c r="BS310" s="84" t="s">
        <v>240</v>
      </c>
      <c r="BT310" s="51" t="s">
        <v>17</v>
      </c>
    </row>
    <row r="311" spans="1:72" x14ac:dyDescent="0.25">
      <c r="B311" s="243" t="str">
        <f t="shared" si="324"/>
        <v>Large C&amp;I</v>
      </c>
      <c r="C311" s="243" t="str">
        <f t="shared" si="324"/>
        <v>Bills</v>
      </c>
      <c r="D311" s="244" t="str">
        <f t="shared" si="324"/>
        <v>Bills after DSM Scenario</v>
      </c>
      <c r="E311" s="84" t="str">
        <f>'EE Inputs'!$N$15&amp;" Participant Annual Bill"</f>
        <v>Low Savings Participant Annual Bill</v>
      </c>
      <c r="F311" s="84" t="s">
        <v>32</v>
      </c>
      <c r="G311" s="103">
        <f ca="1">G301+(G302-G306)*(G294-G293)</f>
        <v>171556.1884233781</v>
      </c>
      <c r="H311" s="103">
        <f ca="1">H301+(H302-H306)*(H294-H293)</f>
        <v>173760.82256352602</v>
      </c>
      <c r="I311" s="103">
        <f t="shared" ref="I311:AG311" ca="1" si="338">I301+(I302-I306)*(I294-I293)</f>
        <v>176750.97545819927</v>
      </c>
      <c r="J311" s="103">
        <f t="shared" ca="1" si="338"/>
        <v>147667.21291664505</v>
      </c>
      <c r="K311" s="103">
        <f t="shared" ca="1" si="338"/>
        <v>147667.21291664505</v>
      </c>
      <c r="L311" s="103">
        <f t="shared" ca="1" si="338"/>
        <v>147667.21291664505</v>
      </c>
      <c r="M311" s="103">
        <f t="shared" ca="1" si="338"/>
        <v>147667.21291664505</v>
      </c>
      <c r="N311" s="103">
        <f t="shared" ca="1" si="338"/>
        <v>147667.21291664505</v>
      </c>
      <c r="O311" s="103">
        <f t="shared" ca="1" si="338"/>
        <v>147667.21291664505</v>
      </c>
      <c r="P311" s="103">
        <f t="shared" ca="1" si="338"/>
        <v>147667.21291664505</v>
      </c>
      <c r="Q311" s="103">
        <f t="shared" ca="1" si="338"/>
        <v>147667.21291664505</v>
      </c>
      <c r="R311" s="103">
        <f t="shared" ca="1" si="338"/>
        <v>147667.21291664505</v>
      </c>
      <c r="S311" s="103">
        <f t="shared" ca="1" si="338"/>
        <v>147667.21291664505</v>
      </c>
      <c r="T311" s="103">
        <f t="shared" ca="1" si="338"/>
        <v>153777.55538450385</v>
      </c>
      <c r="U311" s="103">
        <f t="shared" ca="1" si="338"/>
        <v>152750.7979473836</v>
      </c>
      <c r="V311" s="103">
        <f t="shared" ca="1" si="338"/>
        <v>151857.45648293078</v>
      </c>
      <c r="W311" s="103">
        <f t="shared" ca="1" si="338"/>
        <v>151857.45648293078</v>
      </c>
      <c r="X311" s="103">
        <f t="shared" ca="1" si="338"/>
        <v>151857.45648293078</v>
      </c>
      <c r="Y311" s="103">
        <f t="shared" ca="1" si="338"/>
        <v>151857.45648293078</v>
      </c>
      <c r="Z311" s="103">
        <f t="shared" ca="1" si="338"/>
        <v>151857.45648293078</v>
      </c>
      <c r="AA311" s="103">
        <f t="shared" ca="1" si="338"/>
        <v>151857.45648293078</v>
      </c>
      <c r="AB311" s="103">
        <f t="shared" ca="1" si="338"/>
        <v>151857.45648293078</v>
      </c>
      <c r="AC311" s="103">
        <f t="shared" ca="1" si="338"/>
        <v>151857.45648293078</v>
      </c>
      <c r="AD311" s="103">
        <f t="shared" ca="1" si="338"/>
        <v>151857.45648293078</v>
      </c>
      <c r="AE311" s="103">
        <f t="shared" ca="1" si="338"/>
        <v>151857.45648293078</v>
      </c>
      <c r="AF311" s="103">
        <f t="shared" ca="1" si="338"/>
        <v>151857.45648293078</v>
      </c>
      <c r="AG311" s="103">
        <f t="shared" ca="1" si="338"/>
        <v>151857.45648293078</v>
      </c>
      <c r="AH311" s="103"/>
      <c r="AI311" s="103"/>
      <c r="AJ311" s="103">
        <f ca="1">IF($C$4=Year1,-PMT(Lookups!$E$17,25,NPV(Lookups!$E$17,G311:AE311),0,1),IF($C$4=Year2,-PMT(Lookups!$F$17,25,NPV(Lookups!$F$17,H311:AF311),0,1),IF($C$4=Year3,-PMT(Lookups!$G$17,25,NPV(Lookups!$G$17,I311:AG311),0,1),-PMT(Lookups!$G$17,27,NPV(Lookups!$G$17,G311:AG311),0,1))))</f>
        <v>151050.72559076626</v>
      </c>
      <c r="AM311" s="149">
        <f ca="1">AM301+(AM302-AM306)*(AM294-AM293)</f>
        <v>175124.95874572982</v>
      </c>
      <c r="AN311" s="149">
        <f t="shared" ref="AN311:BM311" ca="1" si="339">AN301+(AN302-AN306)*(AN294-AN293)</f>
        <v>177735.36952726534</v>
      </c>
      <c r="AO311" s="149">
        <f t="shared" ca="1" si="339"/>
        <v>181334.17168568936</v>
      </c>
      <c r="AP311" s="149">
        <f t="shared" ca="1" si="339"/>
        <v>146801.03047845446</v>
      </c>
      <c r="AQ311" s="149">
        <f t="shared" ca="1" si="339"/>
        <v>146801.03047845446</v>
      </c>
      <c r="AR311" s="149">
        <f t="shared" ca="1" si="339"/>
        <v>146801.03047845446</v>
      </c>
      <c r="AS311" s="149">
        <f t="shared" ca="1" si="339"/>
        <v>146801.03047845446</v>
      </c>
      <c r="AT311" s="149">
        <f t="shared" ca="1" si="339"/>
        <v>146801.03047845446</v>
      </c>
      <c r="AU311" s="149">
        <f t="shared" ca="1" si="339"/>
        <v>146801.03047845446</v>
      </c>
      <c r="AV311" s="149">
        <f t="shared" ca="1" si="339"/>
        <v>146801.03047845446</v>
      </c>
      <c r="AW311" s="149">
        <f t="shared" ca="1" si="339"/>
        <v>146801.03047845446</v>
      </c>
      <c r="AX311" s="149">
        <f t="shared" ca="1" si="339"/>
        <v>146801.03047845446</v>
      </c>
      <c r="AY311" s="149">
        <f t="shared" ca="1" si="339"/>
        <v>146801.03047845446</v>
      </c>
      <c r="AZ311" s="149">
        <f t="shared" ca="1" si="339"/>
        <v>154121.62166185002</v>
      </c>
      <c r="BA311" s="149">
        <f t="shared" ca="1" si="339"/>
        <v>152893.24558923859</v>
      </c>
      <c r="BB311" s="149">
        <f t="shared" ca="1" si="339"/>
        <v>151857.45648293078</v>
      </c>
      <c r="BC311" s="149">
        <f t="shared" ca="1" si="339"/>
        <v>151857.45648293078</v>
      </c>
      <c r="BD311" s="149">
        <f t="shared" ca="1" si="339"/>
        <v>151857.45648293078</v>
      </c>
      <c r="BE311" s="149">
        <f t="shared" ca="1" si="339"/>
        <v>151857.45648293078</v>
      </c>
      <c r="BF311" s="149">
        <f t="shared" ca="1" si="339"/>
        <v>151857.45648293078</v>
      </c>
      <c r="BG311" s="149">
        <f t="shared" ca="1" si="339"/>
        <v>151857.45648293078</v>
      </c>
      <c r="BH311" s="149">
        <f t="shared" ca="1" si="339"/>
        <v>151857.45648293078</v>
      </c>
      <c r="BI311" s="149">
        <f t="shared" ca="1" si="339"/>
        <v>151857.45648293078</v>
      </c>
      <c r="BJ311" s="149">
        <f t="shared" ca="1" si="339"/>
        <v>151857.45648293078</v>
      </c>
      <c r="BK311" s="149">
        <f t="shared" ca="1" si="339"/>
        <v>151857.45648293078</v>
      </c>
      <c r="BL311" s="149">
        <f t="shared" ca="1" si="339"/>
        <v>151857.45648293078</v>
      </c>
      <c r="BM311" s="149">
        <f t="shared" ca="1" si="339"/>
        <v>151857.45648293078</v>
      </c>
      <c r="BN311" s="149"/>
      <c r="BO311" s="149"/>
      <c r="BP311" s="149">
        <f ca="1">IF($C$4=Year1,-PMT(Lookups!$E$17,25,NPV(Lookups!$E$17,AM311:BK311),0,1),IF($C$4=Year2,-PMT(Lookups!$F$17,25,NPV(Lookups!$F$17,AN311:BL311),0,1),IF($C$4=Year3,-PMT(Lookups!$G$17,25,NPV(Lookups!$G$17,AO311:BM311),0,1),-PMT(Lookups!$G$17,27,NPV(Lookups!$G$17,AM311:BM311),0,1))))</f>
        <v>151248.80072748731</v>
      </c>
      <c r="BS311" s="84" t="s">
        <v>240</v>
      </c>
      <c r="BT311" s="51" t="s">
        <v>17</v>
      </c>
    </row>
    <row r="312" spans="1:72" x14ac:dyDescent="0.25">
      <c r="B312" s="243" t="str">
        <f t="shared" ref="B312:D322" si="340">B311</f>
        <v>Large C&amp;I</v>
      </c>
      <c r="C312" s="243" t="str">
        <f t="shared" si="340"/>
        <v>Bills</v>
      </c>
      <c r="D312" s="244" t="str">
        <f t="shared" si="340"/>
        <v>Bills after DSM Scenario</v>
      </c>
      <c r="E312" s="84" t="str">
        <f>'EE Inputs'!$N$16&amp;" Participant Annual Bill"</f>
        <v>High Savings Participant Annual Bill</v>
      </c>
      <c r="F312" s="84" t="s">
        <v>32</v>
      </c>
      <c r="G312" s="103">
        <f ca="1">G301+(G302-G307)*(G294-G293)</f>
        <v>162985.22692741081</v>
      </c>
      <c r="H312" s="103">
        <f ca="1">H301+(H302-H307)*(H294-H293)</f>
        <v>165073.82769176149</v>
      </c>
      <c r="I312" s="103">
        <f t="shared" ref="I312:AG312" ca="1" si="341">I301+(I302-I307)*(I294-I293)</f>
        <v>167906.60411829405</v>
      </c>
      <c r="J312" s="103">
        <f t="shared" ca="1" si="341"/>
        <v>140353.56592103213</v>
      </c>
      <c r="K312" s="103">
        <f t="shared" ca="1" si="341"/>
        <v>140353.56592103213</v>
      </c>
      <c r="L312" s="103">
        <f t="shared" ca="1" si="341"/>
        <v>140353.56592103213</v>
      </c>
      <c r="M312" s="103">
        <f t="shared" ca="1" si="341"/>
        <v>140353.56592103213</v>
      </c>
      <c r="N312" s="103">
        <f t="shared" ca="1" si="341"/>
        <v>140353.56592103213</v>
      </c>
      <c r="O312" s="103">
        <f t="shared" ca="1" si="341"/>
        <v>140353.56592103213</v>
      </c>
      <c r="P312" s="103">
        <f t="shared" ca="1" si="341"/>
        <v>140353.56592103213</v>
      </c>
      <c r="Q312" s="103">
        <f t="shared" ca="1" si="341"/>
        <v>140353.56592103213</v>
      </c>
      <c r="R312" s="103">
        <f t="shared" ca="1" si="341"/>
        <v>140353.56592103213</v>
      </c>
      <c r="S312" s="103">
        <f t="shared" ca="1" si="341"/>
        <v>140353.56592103213</v>
      </c>
      <c r="T312" s="103">
        <f t="shared" ca="1" si="341"/>
        <v>153777.55538450385</v>
      </c>
      <c r="U312" s="103">
        <f t="shared" ca="1" si="341"/>
        <v>152750.7979473836</v>
      </c>
      <c r="V312" s="103">
        <f t="shared" ca="1" si="341"/>
        <v>151857.45648293078</v>
      </c>
      <c r="W312" s="103">
        <f t="shared" ca="1" si="341"/>
        <v>151857.45648293078</v>
      </c>
      <c r="X312" s="103">
        <f t="shared" ca="1" si="341"/>
        <v>151857.45648293078</v>
      </c>
      <c r="Y312" s="103">
        <f t="shared" ca="1" si="341"/>
        <v>151857.45648293078</v>
      </c>
      <c r="Z312" s="103">
        <f t="shared" ca="1" si="341"/>
        <v>151857.45648293078</v>
      </c>
      <c r="AA312" s="103">
        <f t="shared" ca="1" si="341"/>
        <v>151857.45648293078</v>
      </c>
      <c r="AB312" s="103">
        <f t="shared" ca="1" si="341"/>
        <v>151857.45648293078</v>
      </c>
      <c r="AC312" s="103">
        <f t="shared" ca="1" si="341"/>
        <v>151857.45648293078</v>
      </c>
      <c r="AD312" s="103">
        <f t="shared" ca="1" si="341"/>
        <v>151857.45648293078</v>
      </c>
      <c r="AE312" s="103">
        <f t="shared" ca="1" si="341"/>
        <v>151857.45648293078</v>
      </c>
      <c r="AF312" s="103">
        <f t="shared" ca="1" si="341"/>
        <v>151857.45648293078</v>
      </c>
      <c r="AG312" s="103">
        <f t="shared" ca="1" si="341"/>
        <v>151857.45648293078</v>
      </c>
      <c r="AH312" s="103"/>
      <c r="AI312" s="103"/>
      <c r="AJ312" s="103">
        <f ca="1">IF($C$4=Year1,-PMT(Lookups!$E$17,25,NPV(Lookups!$E$17,G312:AE312),0,1),IF($C$4=Year2,-PMT(Lookups!$F$17,25,NPV(Lookups!$F$17,H312:AF312),0,1),IF($C$4=Year3,-PMT(Lookups!$G$17,25,NPV(Lookups!$G$17,I312:AG312),0,1),-PMT(Lookups!$G$17,27,NPV(Lookups!$G$17,G312:AG312),0,1))))</f>
        <v>147058.64977498751</v>
      </c>
      <c r="AM312" s="149">
        <f ca="1">AM301+(AM302-AM307)*(AM294-AM293)</f>
        <v>164502.59457047045</v>
      </c>
      <c r="AN312" s="149">
        <f t="shared" ref="AN312:BM312" ca="1" si="342">AN301+(AN302-AN307)*(AN294-AN293)</f>
        <v>166946.38338722711</v>
      </c>
      <c r="AO312" s="149">
        <f t="shared" ca="1" si="342"/>
        <v>170315.47476958155</v>
      </c>
      <c r="AP312" s="149">
        <f t="shared" ca="1" si="342"/>
        <v>137986.57661812758</v>
      </c>
      <c r="AQ312" s="149">
        <f t="shared" ca="1" si="342"/>
        <v>137986.57661812758</v>
      </c>
      <c r="AR312" s="149">
        <f t="shared" ca="1" si="342"/>
        <v>137986.57661812758</v>
      </c>
      <c r="AS312" s="149">
        <f t="shared" ca="1" si="342"/>
        <v>137986.57661812758</v>
      </c>
      <c r="AT312" s="149">
        <f t="shared" ca="1" si="342"/>
        <v>137986.57661812758</v>
      </c>
      <c r="AU312" s="149">
        <f t="shared" ca="1" si="342"/>
        <v>137986.57661812758</v>
      </c>
      <c r="AV312" s="149">
        <f t="shared" ca="1" si="342"/>
        <v>137986.57661812758</v>
      </c>
      <c r="AW312" s="149">
        <f t="shared" ca="1" si="342"/>
        <v>137986.57661812758</v>
      </c>
      <c r="AX312" s="149">
        <f t="shared" ca="1" si="342"/>
        <v>137986.57661812758</v>
      </c>
      <c r="AY312" s="149">
        <f t="shared" ca="1" si="342"/>
        <v>137986.57661812758</v>
      </c>
      <c r="AZ312" s="149">
        <f t="shared" ca="1" si="342"/>
        <v>154121.62166185002</v>
      </c>
      <c r="BA312" s="149">
        <f t="shared" ca="1" si="342"/>
        <v>152893.24558923859</v>
      </c>
      <c r="BB312" s="149">
        <f t="shared" ca="1" si="342"/>
        <v>151857.45648293078</v>
      </c>
      <c r="BC312" s="149">
        <f t="shared" ca="1" si="342"/>
        <v>151857.45648293078</v>
      </c>
      <c r="BD312" s="149">
        <f t="shared" ca="1" si="342"/>
        <v>151857.45648293078</v>
      </c>
      <c r="BE312" s="149">
        <f t="shared" ca="1" si="342"/>
        <v>151857.45648293078</v>
      </c>
      <c r="BF312" s="149">
        <f t="shared" ca="1" si="342"/>
        <v>151857.45648293078</v>
      </c>
      <c r="BG312" s="149">
        <f t="shared" ca="1" si="342"/>
        <v>151857.45648293078</v>
      </c>
      <c r="BH312" s="149">
        <f t="shared" ca="1" si="342"/>
        <v>151857.45648293078</v>
      </c>
      <c r="BI312" s="149">
        <f t="shared" ca="1" si="342"/>
        <v>151857.45648293078</v>
      </c>
      <c r="BJ312" s="149">
        <f t="shared" ca="1" si="342"/>
        <v>151857.45648293078</v>
      </c>
      <c r="BK312" s="149">
        <f t="shared" ca="1" si="342"/>
        <v>151857.45648293078</v>
      </c>
      <c r="BL312" s="149">
        <f t="shared" ca="1" si="342"/>
        <v>151857.45648293078</v>
      </c>
      <c r="BM312" s="149">
        <f t="shared" ca="1" si="342"/>
        <v>151857.45648293078</v>
      </c>
      <c r="BN312" s="149"/>
      <c r="BO312" s="149"/>
      <c r="BP312" s="149">
        <f ca="1">IF($C$4=Year1,-PMT(Lookups!$E$17,25,NPV(Lookups!$E$17,AM312:BK312),0,1),IF($C$4=Year2,-PMT(Lookups!$F$17,25,NPV(Lookups!$F$17,AN312:BL312),0,1),IF($C$4=Year3,-PMT(Lookups!$G$17,25,NPV(Lookups!$G$17,AO312:BM312),0,1),-PMT(Lookups!$G$17,27,NPV(Lookups!$G$17,AM312:BM312),0,1))))</f>
        <v>146395.82673380361</v>
      </c>
      <c r="BS312" s="84" t="s">
        <v>240</v>
      </c>
      <c r="BT312" s="51" t="s">
        <v>17</v>
      </c>
    </row>
    <row r="313" spans="1:72" x14ac:dyDescent="0.25">
      <c r="B313" s="243" t="str">
        <f t="shared" si="340"/>
        <v>Large C&amp;I</v>
      </c>
      <c r="C313" s="243" t="str">
        <f t="shared" si="340"/>
        <v>Bills</v>
      </c>
      <c r="D313" s="114" t="s">
        <v>115</v>
      </c>
      <c r="E313" s="84"/>
      <c r="F313" s="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49"/>
      <c r="AI313" s="184"/>
      <c r="AJ313" s="49"/>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S313" s="84"/>
      <c r="BT313" s="51" t="s">
        <v>17</v>
      </c>
    </row>
    <row r="314" spans="1:72" x14ac:dyDescent="0.25">
      <c r="B314" s="243" t="str">
        <f t="shared" si="340"/>
        <v>Large C&amp;I</v>
      </c>
      <c r="C314" s="243" t="str">
        <f t="shared" si="340"/>
        <v>Bills</v>
      </c>
      <c r="D314" s="244" t="str">
        <f t="shared" si="340"/>
        <v>Change in Bills</v>
      </c>
      <c r="E314" s="84" t="s">
        <v>348</v>
      </c>
      <c r="F314" s="84" t="s">
        <v>32</v>
      </c>
      <c r="G314" s="103">
        <f ca="1">G309-G303</f>
        <v>28269.693436414585</v>
      </c>
      <c r="H314" s="103">
        <f t="shared" ref="H314:AG314" ca="1" si="343">H309-H303</f>
        <v>30590.36095235977</v>
      </c>
      <c r="I314" s="103">
        <f t="shared" ca="1" si="343"/>
        <v>33737.890315173718</v>
      </c>
      <c r="J314" s="103">
        <f t="shared" ca="1" si="343"/>
        <v>3123.4034293271543</v>
      </c>
      <c r="K314" s="103">
        <f t="shared" ca="1" si="343"/>
        <v>3123.4034293271543</v>
      </c>
      <c r="L314" s="103">
        <f t="shared" ca="1" si="343"/>
        <v>3123.4034293271543</v>
      </c>
      <c r="M314" s="103">
        <f t="shared" ca="1" si="343"/>
        <v>3123.4034293271543</v>
      </c>
      <c r="N314" s="103">
        <f t="shared" ca="1" si="343"/>
        <v>3123.4034293271543</v>
      </c>
      <c r="O314" s="103">
        <f t="shared" ca="1" si="343"/>
        <v>3123.4034293271543</v>
      </c>
      <c r="P314" s="103">
        <f t="shared" ca="1" si="343"/>
        <v>3123.4034293271543</v>
      </c>
      <c r="Q314" s="103">
        <f t="shared" ca="1" si="343"/>
        <v>3123.4034293271543</v>
      </c>
      <c r="R314" s="103">
        <f t="shared" ca="1" si="343"/>
        <v>3123.4034293271543</v>
      </c>
      <c r="S314" s="103">
        <f t="shared" ca="1" si="343"/>
        <v>3123.4034293271543</v>
      </c>
      <c r="T314" s="103">
        <f t="shared" ca="1" si="343"/>
        <v>1920.0989015730738</v>
      </c>
      <c r="U314" s="103">
        <f t="shared" ca="1" si="343"/>
        <v>893.34146445282386</v>
      </c>
      <c r="V314" s="103">
        <f t="shared" ca="1" si="343"/>
        <v>0</v>
      </c>
      <c r="W314" s="103">
        <f t="shared" ca="1" si="343"/>
        <v>0</v>
      </c>
      <c r="X314" s="103">
        <f t="shared" ca="1" si="343"/>
        <v>0</v>
      </c>
      <c r="Y314" s="103">
        <f t="shared" ca="1" si="343"/>
        <v>0</v>
      </c>
      <c r="Z314" s="103">
        <f t="shared" ca="1" si="343"/>
        <v>0</v>
      </c>
      <c r="AA314" s="103">
        <f t="shared" ca="1" si="343"/>
        <v>0</v>
      </c>
      <c r="AB314" s="103">
        <f t="shared" ca="1" si="343"/>
        <v>0</v>
      </c>
      <c r="AC314" s="103">
        <f t="shared" ca="1" si="343"/>
        <v>0</v>
      </c>
      <c r="AD314" s="103">
        <f t="shared" ca="1" si="343"/>
        <v>0</v>
      </c>
      <c r="AE314" s="103">
        <f t="shared" ca="1" si="343"/>
        <v>0</v>
      </c>
      <c r="AF314" s="103">
        <f t="shared" ca="1" si="343"/>
        <v>0</v>
      </c>
      <c r="AG314" s="103">
        <f t="shared" ca="1" si="343"/>
        <v>0</v>
      </c>
      <c r="AH314" s="103"/>
      <c r="AI314" s="103">
        <f ca="1">NPV(Lookups!$E$17,G314:AG314)</f>
        <v>120007.14217598629</v>
      </c>
      <c r="AJ314" s="103">
        <f ca="1">IF($C$4=Year1,-PMT(Lookups!$E$17,25,NPV(Lookups!$E$17,G314:AE314),0,1),IF($C$4=Year2,-PMT(Lookups!$F$17,25,NPV(Lookups!$F$17,H314:AF314),0,1),IF($C$4=Year3,-PMT(Lookups!$G$17,25,NPV(Lookups!$G$17,I314:AG314),0,1),-PMT(Lookups!$G$17,27,NPV(Lookups!$G$17,G314:AG314),0,1))))</f>
        <v>5303.2600551921323</v>
      </c>
      <c r="AM314" s="149">
        <f ca="1">AM309-AM303</f>
        <v>33889.86643805838</v>
      </c>
      <c r="AN314" s="149">
        <f t="shared" ref="AN314:BM314" ca="1" si="344">AN309-AN303</f>
        <v>36666.899184372771</v>
      </c>
      <c r="AO314" s="149">
        <f t="shared" ca="1" si="344"/>
        <v>40495.412118866429</v>
      </c>
      <c r="AP314" s="149">
        <f t="shared" ca="1" si="344"/>
        <v>3758.0278558505524</v>
      </c>
      <c r="AQ314" s="149">
        <f t="shared" ca="1" si="344"/>
        <v>3758.0278558505524</v>
      </c>
      <c r="AR314" s="149">
        <f t="shared" ca="1" si="344"/>
        <v>3758.0278558505524</v>
      </c>
      <c r="AS314" s="149">
        <f t="shared" ca="1" si="344"/>
        <v>3758.0278558505524</v>
      </c>
      <c r="AT314" s="149">
        <f t="shared" ca="1" si="344"/>
        <v>3758.0278558505524</v>
      </c>
      <c r="AU314" s="149">
        <f t="shared" ca="1" si="344"/>
        <v>3758.0278558505524</v>
      </c>
      <c r="AV314" s="149">
        <f t="shared" ca="1" si="344"/>
        <v>3758.0278558505524</v>
      </c>
      <c r="AW314" s="149">
        <f t="shared" ca="1" si="344"/>
        <v>3758.0278558505524</v>
      </c>
      <c r="AX314" s="149">
        <f t="shared" ca="1" si="344"/>
        <v>3758.0278558505524</v>
      </c>
      <c r="AY314" s="149">
        <f t="shared" ca="1" si="344"/>
        <v>3758.0278558505524</v>
      </c>
      <c r="AZ314" s="149">
        <f t="shared" ca="1" si="344"/>
        <v>2264.1651789192401</v>
      </c>
      <c r="BA314" s="149">
        <f t="shared" ca="1" si="344"/>
        <v>1035.7891063078132</v>
      </c>
      <c r="BB314" s="149">
        <f t="shared" ca="1" si="344"/>
        <v>0</v>
      </c>
      <c r="BC314" s="149">
        <f t="shared" ca="1" si="344"/>
        <v>0</v>
      </c>
      <c r="BD314" s="149">
        <f t="shared" ca="1" si="344"/>
        <v>0</v>
      </c>
      <c r="BE314" s="149">
        <f t="shared" ca="1" si="344"/>
        <v>0</v>
      </c>
      <c r="BF314" s="149">
        <f t="shared" ca="1" si="344"/>
        <v>0</v>
      </c>
      <c r="BG314" s="149">
        <f t="shared" ca="1" si="344"/>
        <v>0</v>
      </c>
      <c r="BH314" s="149">
        <f t="shared" ca="1" si="344"/>
        <v>0</v>
      </c>
      <c r="BI314" s="149">
        <f t="shared" ca="1" si="344"/>
        <v>0</v>
      </c>
      <c r="BJ314" s="149">
        <f t="shared" ca="1" si="344"/>
        <v>0</v>
      </c>
      <c r="BK314" s="149">
        <f t="shared" ca="1" si="344"/>
        <v>0</v>
      </c>
      <c r="BL314" s="149">
        <f t="shared" ca="1" si="344"/>
        <v>0</v>
      </c>
      <c r="BM314" s="149">
        <f t="shared" ca="1" si="344"/>
        <v>0</v>
      </c>
      <c r="BN314" s="149"/>
      <c r="BO314" s="726">
        <f ca="1">NPV(Lookups!$E$17,AM314:BM314)</f>
        <v>143970.58349440462</v>
      </c>
      <c r="BP314" s="149">
        <f ca="1">IF($C$4=Year1,-PMT(Lookups!$E$17,25,NPV(Lookups!$E$17,AM314:BK314),0,1),IF($C$4=Year2,-PMT(Lookups!$F$17,25,NPV(Lookups!$F$17,AN314:BL314),0,1),IF($C$4=Year3,-PMT(Lookups!$G$17,25,NPV(Lookups!$G$17,AO314:BM314),0,1),-PMT(Lookups!$G$17,27,NPV(Lookups!$G$17,AM314:BM314),0,1))))</f>
        <v>6362.2333698182238</v>
      </c>
      <c r="BS314" s="84" t="s">
        <v>241</v>
      </c>
      <c r="BT314" s="51" t="s">
        <v>17</v>
      </c>
    </row>
    <row r="315" spans="1:72" x14ac:dyDescent="0.25">
      <c r="B315" s="243" t="str">
        <f t="shared" si="340"/>
        <v>Large C&amp;I</v>
      </c>
      <c r="C315" s="243" t="str">
        <f t="shared" si="340"/>
        <v>Bills</v>
      </c>
      <c r="D315" s="244" t="str">
        <f t="shared" si="340"/>
        <v>Change in Bills</v>
      </c>
      <c r="E315" s="84" t="s">
        <v>348</v>
      </c>
      <c r="F315" s="84" t="s">
        <v>16</v>
      </c>
      <c r="G315" s="223">
        <f ca="1">IFERROR(G309/G303-1,0)</f>
        <v>0.18615940297664735</v>
      </c>
      <c r="H315" s="223">
        <f t="shared" ref="H315:AG315" ca="1" si="345">IFERROR(H309/H303-1,0)</f>
        <v>0.20144128356185265</v>
      </c>
      <c r="I315" s="223">
        <f t="shared" ca="1" si="345"/>
        <v>0.22216815095257414</v>
      </c>
      <c r="J315" s="223">
        <f t="shared" ca="1" si="345"/>
        <v>2.0567995155893026E-2</v>
      </c>
      <c r="K315" s="223">
        <f t="shared" ca="1" si="345"/>
        <v>2.0567995155893026E-2</v>
      </c>
      <c r="L315" s="223">
        <f t="shared" ca="1" si="345"/>
        <v>2.0567995155893026E-2</v>
      </c>
      <c r="M315" s="223">
        <f t="shared" ca="1" si="345"/>
        <v>2.0567995155893026E-2</v>
      </c>
      <c r="N315" s="223">
        <f t="shared" ca="1" si="345"/>
        <v>2.0567995155893026E-2</v>
      </c>
      <c r="O315" s="223">
        <f t="shared" ca="1" si="345"/>
        <v>2.0567995155893026E-2</v>
      </c>
      <c r="P315" s="223">
        <f t="shared" ca="1" si="345"/>
        <v>2.0567995155893026E-2</v>
      </c>
      <c r="Q315" s="223">
        <f t="shared" ca="1" si="345"/>
        <v>2.0567995155893026E-2</v>
      </c>
      <c r="R315" s="223">
        <f t="shared" ca="1" si="345"/>
        <v>2.0567995155893026E-2</v>
      </c>
      <c r="S315" s="224">
        <f t="shared" ca="1" si="345"/>
        <v>2.0567995155893026E-2</v>
      </c>
      <c r="T315" s="224">
        <f t="shared" ca="1" si="345"/>
        <v>1.2644087067195775E-2</v>
      </c>
      <c r="U315" s="224">
        <f t="shared" ca="1" si="345"/>
        <v>5.8827632514260042E-3</v>
      </c>
      <c r="V315" s="224">
        <f t="shared" ca="1" si="345"/>
        <v>0</v>
      </c>
      <c r="W315" s="224">
        <f t="shared" ca="1" si="345"/>
        <v>0</v>
      </c>
      <c r="X315" s="224">
        <f t="shared" ca="1" si="345"/>
        <v>0</v>
      </c>
      <c r="Y315" s="224">
        <f t="shared" ca="1" si="345"/>
        <v>0</v>
      </c>
      <c r="Z315" s="224">
        <f t="shared" ca="1" si="345"/>
        <v>0</v>
      </c>
      <c r="AA315" s="224">
        <f t="shared" ca="1" si="345"/>
        <v>0</v>
      </c>
      <c r="AB315" s="224">
        <f t="shared" ca="1" si="345"/>
        <v>0</v>
      </c>
      <c r="AC315" s="224">
        <f t="shared" ca="1" si="345"/>
        <v>0</v>
      </c>
      <c r="AD315" s="224">
        <f t="shared" ca="1" si="345"/>
        <v>0</v>
      </c>
      <c r="AE315" s="224">
        <f t="shared" ca="1" si="345"/>
        <v>0</v>
      </c>
      <c r="AF315" s="224">
        <f t="shared" ca="1" si="345"/>
        <v>0</v>
      </c>
      <c r="AG315" s="224">
        <f t="shared" ca="1" si="345"/>
        <v>0</v>
      </c>
      <c r="AH315" s="224"/>
      <c r="AI315" s="224"/>
      <c r="AJ315" s="224">
        <f ca="1">IFERROR(AJ309/AJ303-1,0)</f>
        <v>3.5416564037340281E-2</v>
      </c>
      <c r="AK315" s="212"/>
      <c r="AL315" s="212"/>
      <c r="AM315" s="504">
        <f ca="1">IFERROR(AM309/AM303-1,0)</f>
        <v>0.22316893238540247</v>
      </c>
      <c r="AN315" s="504">
        <f t="shared" ref="AN315:BM315" ca="1" si="346">IFERROR(AN309/AN303-1,0)</f>
        <v>0.24145603405713723</v>
      </c>
      <c r="AO315" s="504">
        <f t="shared" ca="1" si="346"/>
        <v>0.26666726189647605</v>
      </c>
      <c r="AP315" s="504">
        <f t="shared" ca="1" si="346"/>
        <v>2.4747074940458802E-2</v>
      </c>
      <c r="AQ315" s="504">
        <f t="shared" ca="1" si="346"/>
        <v>2.4747074940458802E-2</v>
      </c>
      <c r="AR315" s="504">
        <f t="shared" ca="1" si="346"/>
        <v>2.4747074940458802E-2</v>
      </c>
      <c r="AS315" s="504">
        <f t="shared" ca="1" si="346"/>
        <v>2.4747074940458802E-2</v>
      </c>
      <c r="AT315" s="504">
        <f t="shared" ca="1" si="346"/>
        <v>2.4747074940458802E-2</v>
      </c>
      <c r="AU315" s="504">
        <f t="shared" ca="1" si="346"/>
        <v>2.4747074940458802E-2</v>
      </c>
      <c r="AV315" s="504">
        <f t="shared" ca="1" si="346"/>
        <v>2.4747074940458802E-2</v>
      </c>
      <c r="AW315" s="504">
        <f t="shared" ca="1" si="346"/>
        <v>2.4747074940458802E-2</v>
      </c>
      <c r="AX315" s="504">
        <f t="shared" ca="1" si="346"/>
        <v>2.4747074940458802E-2</v>
      </c>
      <c r="AY315" s="504">
        <f t="shared" ca="1" si="346"/>
        <v>2.4747074940458802E-2</v>
      </c>
      <c r="AZ315" s="504">
        <f t="shared" ca="1" si="346"/>
        <v>1.4909805757043815E-2</v>
      </c>
      <c r="BA315" s="504">
        <f t="shared" ca="1" si="346"/>
        <v>6.8207984665160648E-3</v>
      </c>
      <c r="BB315" s="504">
        <f t="shared" ca="1" si="346"/>
        <v>0</v>
      </c>
      <c r="BC315" s="504">
        <f t="shared" ca="1" si="346"/>
        <v>0</v>
      </c>
      <c r="BD315" s="504">
        <f t="shared" ca="1" si="346"/>
        <v>0</v>
      </c>
      <c r="BE315" s="504">
        <f t="shared" ca="1" si="346"/>
        <v>0</v>
      </c>
      <c r="BF315" s="504">
        <f t="shared" ca="1" si="346"/>
        <v>0</v>
      </c>
      <c r="BG315" s="504">
        <f t="shared" ca="1" si="346"/>
        <v>0</v>
      </c>
      <c r="BH315" s="504">
        <f t="shared" ca="1" si="346"/>
        <v>0</v>
      </c>
      <c r="BI315" s="504">
        <f t="shared" ca="1" si="346"/>
        <v>0</v>
      </c>
      <c r="BJ315" s="504">
        <f t="shared" ca="1" si="346"/>
        <v>0</v>
      </c>
      <c r="BK315" s="504">
        <f t="shared" ca="1" si="346"/>
        <v>0</v>
      </c>
      <c r="BL315" s="504">
        <f t="shared" ca="1" si="346"/>
        <v>0</v>
      </c>
      <c r="BM315" s="504">
        <f t="shared" ca="1" si="346"/>
        <v>0</v>
      </c>
      <c r="BN315" s="504"/>
      <c r="BO315" s="504"/>
      <c r="BP315" s="504">
        <f ca="1">IFERROR(BP309/BP303-1,0)</f>
        <v>4.2488666069102621E-2</v>
      </c>
      <c r="BS315" s="84" t="s">
        <v>242</v>
      </c>
      <c r="BT315" s="51" t="s">
        <v>17</v>
      </c>
    </row>
    <row r="316" spans="1:72" x14ac:dyDescent="0.25">
      <c r="B316" s="243" t="str">
        <f t="shared" si="340"/>
        <v>Large C&amp;I</v>
      </c>
      <c r="C316" s="243" t="str">
        <f t="shared" si="340"/>
        <v>Bills</v>
      </c>
      <c r="D316" s="244" t="str">
        <f t="shared" si="340"/>
        <v>Change in Bills</v>
      </c>
      <c r="E316" s="84" t="s">
        <v>349</v>
      </c>
      <c r="F316" s="84" t="s">
        <v>32</v>
      </c>
      <c r="G316" s="103">
        <f ca="1">G310-G303</f>
        <v>13344.970545256656</v>
      </c>
      <c r="H316" s="103">
        <f t="shared" ref="H316:AG316" ca="1" si="347">H310-H303</f>
        <v>-393.37276366684819</v>
      </c>
      <c r="I316" s="103">
        <f t="shared" ca="1" si="347"/>
        <v>-14836.549502754904</v>
      </c>
      <c r="J316" s="103">
        <f t="shared" ca="1" si="347"/>
        <v>-37044.098836784178</v>
      </c>
      <c r="K316" s="103">
        <f t="shared" ca="1" si="347"/>
        <v>-37044.098836784178</v>
      </c>
      <c r="L316" s="103">
        <f t="shared" ca="1" si="347"/>
        <v>-37044.098836784178</v>
      </c>
      <c r="M316" s="103">
        <f t="shared" ca="1" si="347"/>
        <v>-37044.098836784178</v>
      </c>
      <c r="N316" s="103">
        <f t="shared" ca="1" si="347"/>
        <v>-37044.098836784178</v>
      </c>
      <c r="O316" s="103">
        <f t="shared" ca="1" si="347"/>
        <v>-37044.098836784178</v>
      </c>
      <c r="P316" s="103">
        <f t="shared" ca="1" si="347"/>
        <v>-37044.098836784178</v>
      </c>
      <c r="Q316" s="103">
        <f t="shared" ca="1" si="347"/>
        <v>-37044.098836784178</v>
      </c>
      <c r="R316" s="103">
        <f t="shared" ca="1" si="347"/>
        <v>-37044.098836784178</v>
      </c>
      <c r="S316" s="103">
        <f t="shared" ca="1" si="347"/>
        <v>-37044.098836784178</v>
      </c>
      <c r="T316" s="103">
        <f t="shared" ca="1" si="347"/>
        <v>-25286.389204262479</v>
      </c>
      <c r="U316" s="103">
        <f t="shared" ca="1" si="347"/>
        <v>-12974.026301208767</v>
      </c>
      <c r="V316" s="103">
        <f t="shared" ca="1" si="347"/>
        <v>0</v>
      </c>
      <c r="W316" s="103">
        <f t="shared" ca="1" si="347"/>
        <v>0</v>
      </c>
      <c r="X316" s="103">
        <f t="shared" ca="1" si="347"/>
        <v>0</v>
      </c>
      <c r="Y316" s="103">
        <f t="shared" ca="1" si="347"/>
        <v>0</v>
      </c>
      <c r="Z316" s="103">
        <f t="shared" ca="1" si="347"/>
        <v>0</v>
      </c>
      <c r="AA316" s="103">
        <f t="shared" ca="1" si="347"/>
        <v>0</v>
      </c>
      <c r="AB316" s="103">
        <f t="shared" ca="1" si="347"/>
        <v>0</v>
      </c>
      <c r="AC316" s="103">
        <f t="shared" ca="1" si="347"/>
        <v>0</v>
      </c>
      <c r="AD316" s="103">
        <f t="shared" ca="1" si="347"/>
        <v>0</v>
      </c>
      <c r="AE316" s="103">
        <f t="shared" ca="1" si="347"/>
        <v>0</v>
      </c>
      <c r="AF316" s="103">
        <f t="shared" ca="1" si="347"/>
        <v>0</v>
      </c>
      <c r="AG316" s="103">
        <f t="shared" ca="1" si="347"/>
        <v>0</v>
      </c>
      <c r="AH316" s="103"/>
      <c r="AI316" s="103">
        <f ca="1">NPV(Lookups!$E$17,G316:AG316)</f>
        <v>-361752.62205480214</v>
      </c>
      <c r="AJ316" s="103">
        <f ca="1">IF($C$4=Year1,-PMT(Lookups!$E$17,25,NPV(Lookups!$E$17,G316:AE316),0,1),IF($C$4=Year2,-PMT(Lookups!$F$17,25,NPV(Lookups!$F$17,H316:AF316),0,1),IF($C$4=Year3,-PMT(Lookups!$G$17,25,NPV(Lookups!$G$17,I316:AG316),0,1),-PMT(Lookups!$G$17,27,NPV(Lookups!$G$17,G316:AG316),0,1))))</f>
        <v>-15986.28377960107</v>
      </c>
      <c r="AM316" s="149">
        <f ca="1">AM310-AM303</f>
        <v>16273.812972244719</v>
      </c>
      <c r="AN316" s="149">
        <f t="shared" ref="AN316:BM316" ca="1" si="348">AN310-AN303</f>
        <v>18.456687617232092</v>
      </c>
      <c r="AO316" s="149">
        <f t="shared" ca="1" si="348"/>
        <v>-17138.98711585917</v>
      </c>
      <c r="AP316" s="149">
        <f t="shared" ca="1" si="348"/>
        <v>-42346.857022097029</v>
      </c>
      <c r="AQ316" s="149">
        <f t="shared" ca="1" si="348"/>
        <v>-42346.857022097029</v>
      </c>
      <c r="AR316" s="149">
        <f t="shared" ca="1" si="348"/>
        <v>-42346.857022097029</v>
      </c>
      <c r="AS316" s="149">
        <f t="shared" ca="1" si="348"/>
        <v>-42346.857022097029</v>
      </c>
      <c r="AT316" s="149">
        <f t="shared" ca="1" si="348"/>
        <v>-42346.857022097029</v>
      </c>
      <c r="AU316" s="149">
        <f t="shared" ca="1" si="348"/>
        <v>-42346.857022097029</v>
      </c>
      <c r="AV316" s="149">
        <f t="shared" ca="1" si="348"/>
        <v>-42346.857022097029</v>
      </c>
      <c r="AW316" s="149">
        <f t="shared" ca="1" si="348"/>
        <v>-42346.857022097029</v>
      </c>
      <c r="AX316" s="149">
        <f t="shared" ca="1" si="348"/>
        <v>-42346.857022097029</v>
      </c>
      <c r="AY316" s="149">
        <f t="shared" ca="1" si="348"/>
        <v>-42346.857022097029</v>
      </c>
      <c r="AZ316" s="149">
        <f t="shared" ca="1" si="348"/>
        <v>-28902.708650449116</v>
      </c>
      <c r="BA316" s="149">
        <f t="shared" ca="1" si="348"/>
        <v>-14828.304100621084</v>
      </c>
      <c r="BB316" s="149">
        <f t="shared" ca="1" si="348"/>
        <v>0</v>
      </c>
      <c r="BC316" s="149">
        <f t="shared" ca="1" si="348"/>
        <v>0</v>
      </c>
      <c r="BD316" s="149">
        <f t="shared" ca="1" si="348"/>
        <v>0</v>
      </c>
      <c r="BE316" s="149">
        <f t="shared" ca="1" si="348"/>
        <v>0</v>
      </c>
      <c r="BF316" s="149">
        <f t="shared" ca="1" si="348"/>
        <v>0</v>
      </c>
      <c r="BG316" s="149">
        <f t="shared" ca="1" si="348"/>
        <v>0</v>
      </c>
      <c r="BH316" s="149">
        <f t="shared" ca="1" si="348"/>
        <v>0</v>
      </c>
      <c r="BI316" s="149">
        <f t="shared" ca="1" si="348"/>
        <v>0</v>
      </c>
      <c r="BJ316" s="149">
        <f t="shared" ca="1" si="348"/>
        <v>0</v>
      </c>
      <c r="BK316" s="149">
        <f t="shared" ca="1" si="348"/>
        <v>0</v>
      </c>
      <c r="BL316" s="149">
        <f t="shared" ca="1" si="348"/>
        <v>0</v>
      </c>
      <c r="BM316" s="149">
        <f t="shared" ca="1" si="348"/>
        <v>0</v>
      </c>
      <c r="BN316" s="149"/>
      <c r="BO316" s="149">
        <f ca="1">NPV(Lookups!$E$17,AM316:BM316)</f>
        <v>-412243.11133003898</v>
      </c>
      <c r="BP316" s="149">
        <f ca="1">IF($C$4=Year1,-PMT(Lookups!$E$17,25,NPV(Lookups!$E$17,AM316:BK316),0,1),IF($C$4=Year2,-PMT(Lookups!$F$17,25,NPV(Lookups!$F$17,AN316:BL316),0,1),IF($C$4=Year3,-PMT(Lookups!$G$17,25,NPV(Lookups!$G$17,AO316:BM316),0,1),-PMT(Lookups!$G$17,27,NPV(Lookups!$G$17,AM316:BM316),0,1))))</f>
        <v>-18217.519271800385</v>
      </c>
      <c r="BS316" s="84" t="s">
        <v>241</v>
      </c>
      <c r="BT316" s="51" t="s">
        <v>17</v>
      </c>
    </row>
    <row r="317" spans="1:72" x14ac:dyDescent="0.25">
      <c r="B317" s="243" t="str">
        <f t="shared" si="340"/>
        <v>Large C&amp;I</v>
      </c>
      <c r="C317" s="243" t="str">
        <f t="shared" si="340"/>
        <v>Bills</v>
      </c>
      <c r="D317" s="244" t="str">
        <f t="shared" si="340"/>
        <v>Change in Bills</v>
      </c>
      <c r="E317" s="84" t="s">
        <v>349</v>
      </c>
      <c r="F317" s="84" t="s">
        <v>16</v>
      </c>
      <c r="G317" s="223">
        <f ca="1">IFERROR(G310/G303-1,0)</f>
        <v>8.7878269887634142E-2</v>
      </c>
      <c r="H317" s="223">
        <f t="shared" ref="H317:AG317" ca="1" si="349">IFERROR(H310/H303-1,0)</f>
        <v>-2.5904079574193828E-3</v>
      </c>
      <c r="I317" s="223">
        <f t="shared" ca="1" si="349"/>
        <v>-9.7700500498127174E-2</v>
      </c>
      <c r="J317" s="223">
        <f t="shared" ca="1" si="349"/>
        <v>-0.2439399400907788</v>
      </c>
      <c r="K317" s="223">
        <f t="shared" ca="1" si="349"/>
        <v>-0.2439399400907788</v>
      </c>
      <c r="L317" s="223">
        <f t="shared" ca="1" si="349"/>
        <v>-0.2439399400907788</v>
      </c>
      <c r="M317" s="223">
        <f t="shared" ca="1" si="349"/>
        <v>-0.2439399400907788</v>
      </c>
      <c r="N317" s="223">
        <f t="shared" ca="1" si="349"/>
        <v>-0.2439399400907788</v>
      </c>
      <c r="O317" s="223">
        <f t="shared" ca="1" si="349"/>
        <v>-0.2439399400907788</v>
      </c>
      <c r="P317" s="223">
        <f t="shared" ca="1" si="349"/>
        <v>-0.2439399400907788</v>
      </c>
      <c r="Q317" s="223">
        <f t="shared" ca="1" si="349"/>
        <v>-0.2439399400907788</v>
      </c>
      <c r="R317" s="223">
        <f t="shared" ca="1" si="349"/>
        <v>-0.2439399400907788</v>
      </c>
      <c r="S317" s="224">
        <f t="shared" ca="1" si="349"/>
        <v>-0.2439399400907788</v>
      </c>
      <c r="T317" s="224">
        <f t="shared" ca="1" si="349"/>
        <v>-0.16651397823922298</v>
      </c>
      <c r="U317" s="224">
        <f t="shared" ca="1" si="349"/>
        <v>-8.5435556486270325E-2</v>
      </c>
      <c r="V317" s="224">
        <f t="shared" ca="1" si="349"/>
        <v>0</v>
      </c>
      <c r="W317" s="224">
        <f t="shared" ca="1" si="349"/>
        <v>0</v>
      </c>
      <c r="X317" s="224">
        <f t="shared" ca="1" si="349"/>
        <v>0</v>
      </c>
      <c r="Y317" s="224">
        <f t="shared" ca="1" si="349"/>
        <v>0</v>
      </c>
      <c r="Z317" s="224">
        <f t="shared" ca="1" si="349"/>
        <v>0</v>
      </c>
      <c r="AA317" s="224">
        <f t="shared" ca="1" si="349"/>
        <v>0</v>
      </c>
      <c r="AB317" s="224">
        <f t="shared" ca="1" si="349"/>
        <v>0</v>
      </c>
      <c r="AC317" s="224">
        <f t="shared" ca="1" si="349"/>
        <v>0</v>
      </c>
      <c r="AD317" s="224">
        <f t="shared" ca="1" si="349"/>
        <v>0</v>
      </c>
      <c r="AE317" s="224">
        <f t="shared" ca="1" si="349"/>
        <v>0</v>
      </c>
      <c r="AF317" s="224">
        <f t="shared" ca="1" si="349"/>
        <v>0</v>
      </c>
      <c r="AG317" s="224">
        <f t="shared" ca="1" si="349"/>
        <v>0</v>
      </c>
      <c r="AH317" s="224"/>
      <c r="AI317" s="224"/>
      <c r="AJ317" s="224">
        <f ca="1">IFERROR(AJ310/AJ303-1,0)</f>
        <v>-0.10676060334718418</v>
      </c>
      <c r="AK317" s="212"/>
      <c r="AL317" s="212"/>
      <c r="AM317" s="504">
        <f ca="1">IFERROR(AM310/AM303-1,0)</f>
        <v>0.10716505694979772</v>
      </c>
      <c r="AN317" s="504">
        <f t="shared" ref="AN317:BM317" ca="1" si="350">IFERROR(AN310/AN303-1,0)</f>
        <v>1.2153955455795895E-4</v>
      </c>
      <c r="AO317" s="504">
        <f t="shared" ca="1" si="350"/>
        <v>-0.11286233493437736</v>
      </c>
      <c r="AP317" s="504">
        <f t="shared" ca="1" si="350"/>
        <v>-0.2788592539534398</v>
      </c>
      <c r="AQ317" s="504">
        <f t="shared" ca="1" si="350"/>
        <v>-0.2788592539534398</v>
      </c>
      <c r="AR317" s="504">
        <f t="shared" ca="1" si="350"/>
        <v>-0.2788592539534398</v>
      </c>
      <c r="AS317" s="504">
        <f t="shared" ca="1" si="350"/>
        <v>-0.2788592539534398</v>
      </c>
      <c r="AT317" s="504">
        <f t="shared" ca="1" si="350"/>
        <v>-0.2788592539534398</v>
      </c>
      <c r="AU317" s="504">
        <f t="shared" ca="1" si="350"/>
        <v>-0.2788592539534398</v>
      </c>
      <c r="AV317" s="504">
        <f t="shared" ca="1" si="350"/>
        <v>-0.2788592539534398</v>
      </c>
      <c r="AW317" s="504">
        <f t="shared" ca="1" si="350"/>
        <v>-0.2788592539534398</v>
      </c>
      <c r="AX317" s="504">
        <f t="shared" ca="1" si="350"/>
        <v>-0.2788592539534398</v>
      </c>
      <c r="AY317" s="504">
        <f t="shared" ca="1" si="350"/>
        <v>-0.2788592539534398</v>
      </c>
      <c r="AZ317" s="504">
        <f t="shared" ca="1" si="350"/>
        <v>-0.19032788589935234</v>
      </c>
      <c r="BA317" s="504">
        <f t="shared" ca="1" si="350"/>
        <v>-9.7646203512488206E-2</v>
      </c>
      <c r="BB317" s="504">
        <f t="shared" ca="1" si="350"/>
        <v>0</v>
      </c>
      <c r="BC317" s="504">
        <f t="shared" ca="1" si="350"/>
        <v>0</v>
      </c>
      <c r="BD317" s="504">
        <f t="shared" ca="1" si="350"/>
        <v>0</v>
      </c>
      <c r="BE317" s="504">
        <f t="shared" ca="1" si="350"/>
        <v>0</v>
      </c>
      <c r="BF317" s="504">
        <f t="shared" ca="1" si="350"/>
        <v>0</v>
      </c>
      <c r="BG317" s="504">
        <f t="shared" ca="1" si="350"/>
        <v>0</v>
      </c>
      <c r="BH317" s="504">
        <f t="shared" ca="1" si="350"/>
        <v>0</v>
      </c>
      <c r="BI317" s="504">
        <f t="shared" ca="1" si="350"/>
        <v>0</v>
      </c>
      <c r="BJ317" s="504">
        <f t="shared" ca="1" si="350"/>
        <v>0</v>
      </c>
      <c r="BK317" s="504">
        <f t="shared" ca="1" si="350"/>
        <v>0</v>
      </c>
      <c r="BL317" s="504">
        <f t="shared" ca="1" si="350"/>
        <v>0</v>
      </c>
      <c r="BM317" s="504">
        <f t="shared" ca="1" si="350"/>
        <v>0</v>
      </c>
      <c r="BN317" s="504"/>
      <c r="BO317" s="504"/>
      <c r="BP317" s="504">
        <f ca="1">IFERROR(BP310/BP303-1,0)</f>
        <v>-0.12166138020320438</v>
      </c>
      <c r="BS317" s="84" t="s">
        <v>242</v>
      </c>
      <c r="BT317" s="51" t="s">
        <v>17</v>
      </c>
    </row>
    <row r="318" spans="1:72" x14ac:dyDescent="0.25">
      <c r="B318" s="243" t="str">
        <f t="shared" si="340"/>
        <v>Large C&amp;I</v>
      </c>
      <c r="C318" s="243" t="str">
        <f t="shared" si="340"/>
        <v>Bills</v>
      </c>
      <c r="D318" s="244" t="str">
        <f t="shared" si="340"/>
        <v>Change in Bills</v>
      </c>
      <c r="E318" s="84" t="str">
        <f>'EE Inputs'!$N$15&amp;" Participant Annual Bill"</f>
        <v>Low Savings Participant Annual Bill</v>
      </c>
      <c r="F318" s="84" t="s">
        <v>32</v>
      </c>
      <c r="G318" s="103">
        <f ca="1">G311-G303</f>
        <v>19698.731940447324</v>
      </c>
      <c r="H318" s="103">
        <f t="shared" ref="H318:AG318" ca="1" si="351">H311-H303</f>
        <v>21903.366080595239</v>
      </c>
      <c r="I318" s="103">
        <f t="shared" ca="1" si="351"/>
        <v>24893.518975268496</v>
      </c>
      <c r="J318" s="103">
        <f t="shared" ca="1" si="351"/>
        <v>-4190.2435662857315</v>
      </c>
      <c r="K318" s="103">
        <f t="shared" ca="1" si="351"/>
        <v>-4190.2435662857315</v>
      </c>
      <c r="L318" s="103">
        <f t="shared" ca="1" si="351"/>
        <v>-4190.2435662857315</v>
      </c>
      <c r="M318" s="103">
        <f t="shared" ca="1" si="351"/>
        <v>-4190.2435662857315</v>
      </c>
      <c r="N318" s="103">
        <f t="shared" ca="1" si="351"/>
        <v>-4190.2435662857315</v>
      </c>
      <c r="O318" s="103">
        <f t="shared" ca="1" si="351"/>
        <v>-4190.2435662857315</v>
      </c>
      <c r="P318" s="103">
        <f t="shared" ca="1" si="351"/>
        <v>-4190.2435662857315</v>
      </c>
      <c r="Q318" s="103">
        <f t="shared" ca="1" si="351"/>
        <v>-4190.2435662857315</v>
      </c>
      <c r="R318" s="103">
        <f t="shared" ca="1" si="351"/>
        <v>-4190.2435662857315</v>
      </c>
      <c r="S318" s="103">
        <f t="shared" ca="1" si="351"/>
        <v>-4190.2435662857315</v>
      </c>
      <c r="T318" s="103">
        <f t="shared" ca="1" si="351"/>
        <v>1920.0989015730738</v>
      </c>
      <c r="U318" s="103">
        <f t="shared" ca="1" si="351"/>
        <v>893.34146445282386</v>
      </c>
      <c r="V318" s="103">
        <f t="shared" ca="1" si="351"/>
        <v>0</v>
      </c>
      <c r="W318" s="103">
        <f t="shared" ca="1" si="351"/>
        <v>0</v>
      </c>
      <c r="X318" s="103">
        <f t="shared" ca="1" si="351"/>
        <v>0</v>
      </c>
      <c r="Y318" s="103">
        <f t="shared" ca="1" si="351"/>
        <v>0</v>
      </c>
      <c r="Z318" s="103">
        <f t="shared" ca="1" si="351"/>
        <v>0</v>
      </c>
      <c r="AA318" s="103">
        <f t="shared" ca="1" si="351"/>
        <v>0</v>
      </c>
      <c r="AB318" s="103">
        <f t="shared" ca="1" si="351"/>
        <v>0</v>
      </c>
      <c r="AC318" s="103">
        <f t="shared" ca="1" si="351"/>
        <v>0</v>
      </c>
      <c r="AD318" s="103">
        <f t="shared" ca="1" si="351"/>
        <v>0</v>
      </c>
      <c r="AE318" s="103">
        <f t="shared" ca="1" si="351"/>
        <v>0</v>
      </c>
      <c r="AF318" s="103">
        <f t="shared" ca="1" si="351"/>
        <v>0</v>
      </c>
      <c r="AG318" s="103">
        <f t="shared" ca="1" si="351"/>
        <v>0</v>
      </c>
      <c r="AH318" s="103"/>
      <c r="AI318" s="103">
        <f ca="1">NPV(Lookups!$E$17,G318:AG318)</f>
        <v>29670.706659792002</v>
      </c>
      <c r="AJ318" s="103">
        <f ca="1">IF($C$4=Year1,-PMT(Lookups!$E$17,25,NPV(Lookups!$E$17,G318:AE318),0,1),IF($C$4=Year2,-PMT(Lookups!$F$17,25,NPV(Lookups!$F$17,H318:AF318),0,1),IF($C$4=Year3,-PMT(Lookups!$G$17,25,NPV(Lookups!$G$17,I318:AG318),0,1),-PMT(Lookups!$G$17,27,NPV(Lookups!$G$17,G318:AG318),0,1))))</f>
        <v>1311.1842394134148</v>
      </c>
      <c r="AM318" s="149">
        <f ca="1">AM311-AM303</f>
        <v>23267.50226279904</v>
      </c>
      <c r="AN318" s="149">
        <f t="shared" ref="AN318:BM318" ca="1" si="352">AN311-AN303</f>
        <v>25877.913044334564</v>
      </c>
      <c r="AO318" s="149">
        <f t="shared" ca="1" si="352"/>
        <v>29476.715202758583</v>
      </c>
      <c r="AP318" s="149">
        <f t="shared" ca="1" si="352"/>
        <v>-5056.4260044763214</v>
      </c>
      <c r="AQ318" s="149">
        <f t="shared" ca="1" si="352"/>
        <v>-5056.4260044763214</v>
      </c>
      <c r="AR318" s="149">
        <f t="shared" ca="1" si="352"/>
        <v>-5056.4260044763214</v>
      </c>
      <c r="AS318" s="149">
        <f t="shared" ca="1" si="352"/>
        <v>-5056.4260044763214</v>
      </c>
      <c r="AT318" s="149">
        <f t="shared" ca="1" si="352"/>
        <v>-5056.4260044763214</v>
      </c>
      <c r="AU318" s="149">
        <f t="shared" ca="1" si="352"/>
        <v>-5056.4260044763214</v>
      </c>
      <c r="AV318" s="149">
        <f t="shared" ca="1" si="352"/>
        <v>-5056.4260044763214</v>
      </c>
      <c r="AW318" s="149">
        <f t="shared" ca="1" si="352"/>
        <v>-5056.4260044763214</v>
      </c>
      <c r="AX318" s="149">
        <f t="shared" ca="1" si="352"/>
        <v>-5056.4260044763214</v>
      </c>
      <c r="AY318" s="149">
        <f t="shared" ca="1" si="352"/>
        <v>-5056.4260044763214</v>
      </c>
      <c r="AZ318" s="149">
        <f t="shared" ca="1" si="352"/>
        <v>2264.1651789192401</v>
      </c>
      <c r="BA318" s="149">
        <f t="shared" ca="1" si="352"/>
        <v>1035.7891063078132</v>
      </c>
      <c r="BB318" s="149">
        <f t="shared" ca="1" si="352"/>
        <v>0</v>
      </c>
      <c r="BC318" s="149">
        <f t="shared" ca="1" si="352"/>
        <v>0</v>
      </c>
      <c r="BD318" s="149">
        <f t="shared" ca="1" si="352"/>
        <v>0</v>
      </c>
      <c r="BE318" s="149">
        <f t="shared" ca="1" si="352"/>
        <v>0</v>
      </c>
      <c r="BF318" s="149">
        <f t="shared" ca="1" si="352"/>
        <v>0</v>
      </c>
      <c r="BG318" s="149">
        <f t="shared" ca="1" si="352"/>
        <v>0</v>
      </c>
      <c r="BH318" s="149">
        <f t="shared" ca="1" si="352"/>
        <v>0</v>
      </c>
      <c r="BI318" s="149">
        <f t="shared" ca="1" si="352"/>
        <v>0</v>
      </c>
      <c r="BJ318" s="149">
        <f t="shared" ca="1" si="352"/>
        <v>0</v>
      </c>
      <c r="BK318" s="149">
        <f t="shared" ca="1" si="352"/>
        <v>0</v>
      </c>
      <c r="BL318" s="149">
        <f t="shared" ca="1" si="352"/>
        <v>0</v>
      </c>
      <c r="BM318" s="149">
        <f t="shared" ca="1" si="352"/>
        <v>0</v>
      </c>
      <c r="BN318" s="149"/>
      <c r="BO318" s="149">
        <f ca="1">NPV(Lookups!$E$17,AM318:BM318)</f>
        <v>34152.936617710729</v>
      </c>
      <c r="BP318" s="149">
        <f ca="1">IF($C$4=Year1,-PMT(Lookups!$E$17,25,NPV(Lookups!$E$17,AM318:BK318),0,1),IF($C$4=Year2,-PMT(Lookups!$F$17,25,NPV(Lookups!$F$17,AN318:BL318),0,1),IF($C$4=Year3,-PMT(Lookups!$G$17,25,NPV(Lookups!$G$17,AO318:BM318),0,1),-PMT(Lookups!$G$17,27,NPV(Lookups!$G$17,AM318:BM318),0,1))))</f>
        <v>1509.2593761345061</v>
      </c>
      <c r="BS318" s="84" t="s">
        <v>241</v>
      </c>
      <c r="BT318" s="51" t="s">
        <v>17</v>
      </c>
    </row>
    <row r="319" spans="1:72" x14ac:dyDescent="0.25">
      <c r="B319" s="243" t="str">
        <f t="shared" si="340"/>
        <v>Large C&amp;I</v>
      </c>
      <c r="C319" s="243" t="str">
        <f t="shared" si="340"/>
        <v>Bills</v>
      </c>
      <c r="D319" s="244" t="str">
        <f t="shared" si="340"/>
        <v>Change in Bills</v>
      </c>
      <c r="E319" s="84" t="str">
        <f>'EE Inputs'!$N$15&amp;" Participant Annual Bill"</f>
        <v>Low Savings Participant Annual Bill</v>
      </c>
      <c r="F319" s="84" t="s">
        <v>16</v>
      </c>
      <c r="G319" s="223">
        <f ca="1">IFERROR(G311/G303-1,0)</f>
        <v>0.12971856895720846</v>
      </c>
      <c r="H319" s="223">
        <f t="shared" ref="H319:AG319" ca="1" si="353">IFERROR(H311/H303-1,0)</f>
        <v>0.14423635551315339</v>
      </c>
      <c r="I319" s="223">
        <f t="shared" ca="1" si="353"/>
        <v>0.16392687953433893</v>
      </c>
      <c r="J319" s="223">
        <f t="shared" ca="1" si="353"/>
        <v>-2.7593268472508092E-2</v>
      </c>
      <c r="K319" s="223">
        <f t="shared" ca="1" si="353"/>
        <v>-2.7593268472508092E-2</v>
      </c>
      <c r="L319" s="223">
        <f t="shared" ca="1" si="353"/>
        <v>-2.7593268472508092E-2</v>
      </c>
      <c r="M319" s="223">
        <f t="shared" ca="1" si="353"/>
        <v>-2.7593268472508092E-2</v>
      </c>
      <c r="N319" s="223">
        <f t="shared" ca="1" si="353"/>
        <v>-2.7593268472508092E-2</v>
      </c>
      <c r="O319" s="223">
        <f t="shared" ca="1" si="353"/>
        <v>-2.7593268472508092E-2</v>
      </c>
      <c r="P319" s="223">
        <f t="shared" ca="1" si="353"/>
        <v>-2.7593268472508092E-2</v>
      </c>
      <c r="Q319" s="223">
        <f t="shared" ca="1" si="353"/>
        <v>-2.7593268472508092E-2</v>
      </c>
      <c r="R319" s="223">
        <f t="shared" ca="1" si="353"/>
        <v>-2.7593268472508092E-2</v>
      </c>
      <c r="S319" s="224">
        <f t="shared" ca="1" si="353"/>
        <v>-2.7593268472508092E-2</v>
      </c>
      <c r="T319" s="224">
        <f t="shared" ca="1" si="353"/>
        <v>1.2644087067195775E-2</v>
      </c>
      <c r="U319" s="224">
        <f t="shared" ca="1" si="353"/>
        <v>5.8827632514260042E-3</v>
      </c>
      <c r="V319" s="224">
        <f t="shared" ca="1" si="353"/>
        <v>0</v>
      </c>
      <c r="W319" s="224">
        <f t="shared" ca="1" si="353"/>
        <v>0</v>
      </c>
      <c r="X319" s="224">
        <f t="shared" ca="1" si="353"/>
        <v>0</v>
      </c>
      <c r="Y319" s="224">
        <f t="shared" ca="1" si="353"/>
        <v>0</v>
      </c>
      <c r="Z319" s="224">
        <f t="shared" ca="1" si="353"/>
        <v>0</v>
      </c>
      <c r="AA319" s="224">
        <f t="shared" ca="1" si="353"/>
        <v>0</v>
      </c>
      <c r="AB319" s="224">
        <f t="shared" ca="1" si="353"/>
        <v>0</v>
      </c>
      <c r="AC319" s="224">
        <f t="shared" ca="1" si="353"/>
        <v>0</v>
      </c>
      <c r="AD319" s="224">
        <f t="shared" ca="1" si="353"/>
        <v>0</v>
      </c>
      <c r="AE319" s="224">
        <f t="shared" ca="1" si="353"/>
        <v>0</v>
      </c>
      <c r="AF319" s="224">
        <f t="shared" ca="1" si="353"/>
        <v>0</v>
      </c>
      <c r="AG319" s="224">
        <f t="shared" ca="1" si="353"/>
        <v>0</v>
      </c>
      <c r="AH319" s="224"/>
      <c r="AI319" s="224"/>
      <c r="AJ319" s="224">
        <f t="shared" ref="AJ319" ca="1" si="354">IFERROR(AJ311/AJ303-1,0)</f>
        <v>8.7564328538767278E-3</v>
      </c>
      <c r="AK319" s="212"/>
      <c r="AL319" s="212"/>
      <c r="AM319" s="504">
        <f ca="1">IFERROR(AM311/AM303-1,0)</f>
        <v>0.15321935979755041</v>
      </c>
      <c r="AN319" s="504">
        <f t="shared" ref="AN319:BM319" ca="1" si="355">IFERROR(AN311/AN303-1,0)</f>
        <v>0.17040923536898123</v>
      </c>
      <c r="AO319" s="504">
        <f t="shared" ca="1" si="355"/>
        <v>0.19410778953795949</v>
      </c>
      <c r="AP319" s="504">
        <f t="shared" ca="1" si="355"/>
        <v>-3.3297186200696549E-2</v>
      </c>
      <c r="AQ319" s="504">
        <f t="shared" ca="1" si="355"/>
        <v>-3.3297186200696549E-2</v>
      </c>
      <c r="AR319" s="504">
        <f t="shared" ca="1" si="355"/>
        <v>-3.3297186200696549E-2</v>
      </c>
      <c r="AS319" s="504">
        <f t="shared" ca="1" si="355"/>
        <v>-3.3297186200696549E-2</v>
      </c>
      <c r="AT319" s="504">
        <f t="shared" ca="1" si="355"/>
        <v>-3.3297186200696549E-2</v>
      </c>
      <c r="AU319" s="504">
        <f t="shared" ca="1" si="355"/>
        <v>-3.3297186200696549E-2</v>
      </c>
      <c r="AV319" s="504">
        <f t="shared" ca="1" si="355"/>
        <v>-3.3297186200696549E-2</v>
      </c>
      <c r="AW319" s="504">
        <f t="shared" ca="1" si="355"/>
        <v>-3.3297186200696549E-2</v>
      </c>
      <c r="AX319" s="504">
        <f t="shared" ca="1" si="355"/>
        <v>-3.3297186200696549E-2</v>
      </c>
      <c r="AY319" s="504">
        <f t="shared" ca="1" si="355"/>
        <v>-3.3297186200696549E-2</v>
      </c>
      <c r="AZ319" s="504">
        <f t="shared" ca="1" si="355"/>
        <v>1.4909805757043815E-2</v>
      </c>
      <c r="BA319" s="504">
        <f t="shared" ca="1" si="355"/>
        <v>6.8207984665160648E-3</v>
      </c>
      <c r="BB319" s="504">
        <f t="shared" ca="1" si="355"/>
        <v>0</v>
      </c>
      <c r="BC319" s="504">
        <f t="shared" ca="1" si="355"/>
        <v>0</v>
      </c>
      <c r="BD319" s="504">
        <f t="shared" ca="1" si="355"/>
        <v>0</v>
      </c>
      <c r="BE319" s="504">
        <f t="shared" ca="1" si="355"/>
        <v>0</v>
      </c>
      <c r="BF319" s="504">
        <f t="shared" ca="1" si="355"/>
        <v>0</v>
      </c>
      <c r="BG319" s="504">
        <f t="shared" ca="1" si="355"/>
        <v>0</v>
      </c>
      <c r="BH319" s="504">
        <f t="shared" ca="1" si="355"/>
        <v>0</v>
      </c>
      <c r="BI319" s="504">
        <f t="shared" ca="1" si="355"/>
        <v>0</v>
      </c>
      <c r="BJ319" s="504">
        <f t="shared" ca="1" si="355"/>
        <v>0</v>
      </c>
      <c r="BK319" s="504">
        <f t="shared" ca="1" si="355"/>
        <v>0</v>
      </c>
      <c r="BL319" s="504">
        <f t="shared" ca="1" si="355"/>
        <v>0</v>
      </c>
      <c r="BM319" s="504">
        <f t="shared" ca="1" si="355"/>
        <v>0</v>
      </c>
      <c r="BN319" s="504"/>
      <c r="BO319" s="504"/>
      <c r="BP319" s="504">
        <f t="shared" ref="BP319" ca="1" si="356">IFERROR(BP311/BP303-1,0)</f>
        <v>1.007923065954297E-2</v>
      </c>
      <c r="BS319" s="84" t="s">
        <v>242</v>
      </c>
      <c r="BT319" s="51" t="s">
        <v>17</v>
      </c>
    </row>
    <row r="320" spans="1:72" x14ac:dyDescent="0.25">
      <c r="B320" s="243" t="str">
        <f t="shared" si="340"/>
        <v>Large C&amp;I</v>
      </c>
      <c r="C320" s="243" t="str">
        <f t="shared" si="340"/>
        <v>Bills</v>
      </c>
      <c r="D320" s="244" t="str">
        <f t="shared" si="340"/>
        <v>Change in Bills</v>
      </c>
      <c r="E320" s="84" t="str">
        <f>'EE Inputs'!$N$16&amp;" Participant Annual Bill"</f>
        <v>High Savings Participant Annual Bill</v>
      </c>
      <c r="F320" s="84" t="s">
        <v>32</v>
      </c>
      <c r="G320" s="103">
        <f ca="1">G312-G303</f>
        <v>11127.770444480033</v>
      </c>
      <c r="H320" s="103">
        <f t="shared" ref="H320:AG320" ca="1" si="357">H312-H303</f>
        <v>13216.371208830707</v>
      </c>
      <c r="I320" s="103">
        <f t="shared" ca="1" si="357"/>
        <v>16049.147635363275</v>
      </c>
      <c r="J320" s="103">
        <f t="shared" ca="1" si="357"/>
        <v>-11503.890561898646</v>
      </c>
      <c r="K320" s="103">
        <f t="shared" ca="1" si="357"/>
        <v>-11503.890561898646</v>
      </c>
      <c r="L320" s="103">
        <f t="shared" ca="1" si="357"/>
        <v>-11503.890561898646</v>
      </c>
      <c r="M320" s="103">
        <f t="shared" ca="1" si="357"/>
        <v>-11503.890561898646</v>
      </c>
      <c r="N320" s="103">
        <f t="shared" ca="1" si="357"/>
        <v>-11503.890561898646</v>
      </c>
      <c r="O320" s="103">
        <f t="shared" ca="1" si="357"/>
        <v>-11503.890561898646</v>
      </c>
      <c r="P320" s="103">
        <f t="shared" ca="1" si="357"/>
        <v>-11503.890561898646</v>
      </c>
      <c r="Q320" s="103">
        <f t="shared" ca="1" si="357"/>
        <v>-11503.890561898646</v>
      </c>
      <c r="R320" s="103">
        <f t="shared" ca="1" si="357"/>
        <v>-11503.890561898646</v>
      </c>
      <c r="S320" s="103">
        <f t="shared" ca="1" si="357"/>
        <v>-11503.890561898646</v>
      </c>
      <c r="T320" s="103">
        <f t="shared" ca="1" si="357"/>
        <v>1920.0989015730738</v>
      </c>
      <c r="U320" s="103">
        <f t="shared" ca="1" si="357"/>
        <v>893.34146445282386</v>
      </c>
      <c r="V320" s="103">
        <f t="shared" ca="1" si="357"/>
        <v>0</v>
      </c>
      <c r="W320" s="103">
        <f t="shared" ca="1" si="357"/>
        <v>0</v>
      </c>
      <c r="X320" s="103">
        <f t="shared" ca="1" si="357"/>
        <v>0</v>
      </c>
      <c r="Y320" s="103">
        <f t="shared" ca="1" si="357"/>
        <v>0</v>
      </c>
      <c r="Z320" s="103">
        <f t="shared" ca="1" si="357"/>
        <v>0</v>
      </c>
      <c r="AA320" s="103">
        <f t="shared" ca="1" si="357"/>
        <v>0</v>
      </c>
      <c r="AB320" s="103">
        <f t="shared" ca="1" si="357"/>
        <v>0</v>
      </c>
      <c r="AC320" s="103">
        <f t="shared" ca="1" si="357"/>
        <v>0</v>
      </c>
      <c r="AD320" s="103">
        <f t="shared" ca="1" si="357"/>
        <v>0</v>
      </c>
      <c r="AE320" s="103">
        <f t="shared" ca="1" si="357"/>
        <v>0</v>
      </c>
      <c r="AF320" s="103">
        <f t="shared" ca="1" si="357"/>
        <v>0</v>
      </c>
      <c r="AG320" s="103">
        <f t="shared" ca="1" si="357"/>
        <v>0</v>
      </c>
      <c r="AH320" s="103"/>
      <c r="AI320" s="103">
        <f ca="1">NPV(Lookups!$E$17,G320:AG320)</f>
        <v>-60665.728856402646</v>
      </c>
      <c r="AJ320" s="103">
        <f ca="1">IF($C$4=Year1,-PMT(Lookups!$E$17,25,NPV(Lookups!$E$17,G320:AE320),0,1),IF($C$4=Year2,-PMT(Lookups!$F$17,25,NPV(Lookups!$F$17,H320:AF320),0,1),IF($C$4=Year3,-PMT(Lookups!$G$17,25,NPV(Lookups!$G$17,I320:AG320),0,1),-PMT(Lookups!$G$17,27,NPV(Lookups!$G$17,G320:AG320),0,1))))</f>
        <v>-2680.8915763653195</v>
      </c>
      <c r="AM320" s="149">
        <f ca="1">AM312-AM303</f>
        <v>12645.138087539672</v>
      </c>
      <c r="AN320" s="149">
        <f t="shared" ref="AN320:BM320" ca="1" si="358">AN312-AN303</f>
        <v>15088.926904296328</v>
      </c>
      <c r="AO320" s="149">
        <f t="shared" ca="1" si="358"/>
        <v>18458.018286650768</v>
      </c>
      <c r="AP320" s="149">
        <f t="shared" ca="1" si="358"/>
        <v>-13870.879864803195</v>
      </c>
      <c r="AQ320" s="149">
        <f t="shared" ca="1" si="358"/>
        <v>-13870.879864803195</v>
      </c>
      <c r="AR320" s="149">
        <f t="shared" ca="1" si="358"/>
        <v>-13870.879864803195</v>
      </c>
      <c r="AS320" s="149">
        <f t="shared" ca="1" si="358"/>
        <v>-13870.879864803195</v>
      </c>
      <c r="AT320" s="149">
        <f t="shared" ca="1" si="358"/>
        <v>-13870.879864803195</v>
      </c>
      <c r="AU320" s="149">
        <f t="shared" ca="1" si="358"/>
        <v>-13870.879864803195</v>
      </c>
      <c r="AV320" s="149">
        <f t="shared" ca="1" si="358"/>
        <v>-13870.879864803195</v>
      </c>
      <c r="AW320" s="149">
        <f t="shared" ca="1" si="358"/>
        <v>-13870.879864803195</v>
      </c>
      <c r="AX320" s="149">
        <f t="shared" ca="1" si="358"/>
        <v>-13870.879864803195</v>
      </c>
      <c r="AY320" s="149">
        <f t="shared" ca="1" si="358"/>
        <v>-13870.879864803195</v>
      </c>
      <c r="AZ320" s="149">
        <f t="shared" ca="1" si="358"/>
        <v>2264.1651789192401</v>
      </c>
      <c r="BA320" s="149">
        <f t="shared" ca="1" si="358"/>
        <v>1035.7891063078132</v>
      </c>
      <c r="BB320" s="149">
        <f t="shared" ca="1" si="358"/>
        <v>0</v>
      </c>
      <c r="BC320" s="149">
        <f t="shared" ca="1" si="358"/>
        <v>0</v>
      </c>
      <c r="BD320" s="149">
        <f t="shared" ca="1" si="358"/>
        <v>0</v>
      </c>
      <c r="BE320" s="149">
        <f t="shared" ca="1" si="358"/>
        <v>0</v>
      </c>
      <c r="BF320" s="149">
        <f t="shared" ca="1" si="358"/>
        <v>0</v>
      </c>
      <c r="BG320" s="149">
        <f t="shared" ca="1" si="358"/>
        <v>0</v>
      </c>
      <c r="BH320" s="149">
        <f t="shared" ca="1" si="358"/>
        <v>0</v>
      </c>
      <c r="BI320" s="149">
        <f t="shared" ca="1" si="358"/>
        <v>0</v>
      </c>
      <c r="BJ320" s="149">
        <f t="shared" ca="1" si="358"/>
        <v>0</v>
      </c>
      <c r="BK320" s="149">
        <f t="shared" ca="1" si="358"/>
        <v>0</v>
      </c>
      <c r="BL320" s="149">
        <f t="shared" ca="1" si="358"/>
        <v>0</v>
      </c>
      <c r="BM320" s="149">
        <f t="shared" ca="1" si="358"/>
        <v>0</v>
      </c>
      <c r="BN320" s="149"/>
      <c r="BO320" s="149">
        <f ca="1">NPV(Lookups!$E$17,AM320:BM320)</f>
        <v>-75664.710258983279</v>
      </c>
      <c r="BP320" s="149">
        <f ca="1">IF($C$4=Year1,-PMT(Lookups!$E$17,25,NPV(Lookups!$E$17,AM320:BK320),0,1),IF($C$4=Year2,-PMT(Lookups!$F$17,25,NPV(Lookups!$F$17,AN320:BL320),0,1),IF($C$4=Year3,-PMT(Lookups!$G$17,25,NPV(Lookups!$G$17,AO320:BM320),0,1),-PMT(Lookups!$G$17,27,NPV(Lookups!$G$17,AM320:BM320),0,1))))</f>
        <v>-3343.7146175492162</v>
      </c>
      <c r="BS320" s="84" t="s">
        <v>241</v>
      </c>
      <c r="BT320" s="51" t="s">
        <v>17</v>
      </c>
    </row>
    <row r="321" spans="1:72" x14ac:dyDescent="0.25">
      <c r="B321" s="243" t="str">
        <f t="shared" si="340"/>
        <v>Large C&amp;I</v>
      </c>
      <c r="C321" s="243" t="str">
        <f t="shared" si="340"/>
        <v>Bills</v>
      </c>
      <c r="D321" s="244" t="str">
        <f t="shared" si="340"/>
        <v>Change in Bills</v>
      </c>
      <c r="E321" s="84" t="str">
        <f>'EE Inputs'!$N$16&amp;" Participant Annual Bill"</f>
        <v>High Savings Participant Annual Bill</v>
      </c>
      <c r="F321" s="84" t="s">
        <v>16</v>
      </c>
      <c r="G321" s="223">
        <f ca="1">IFERROR(G312/G303-1,0)</f>
        <v>7.3277734937769345E-2</v>
      </c>
      <c r="H321" s="223">
        <f t="shared" ref="H321:AG321" ca="1" si="359">IFERROR(H312/H303-1,0)</f>
        <v>8.7031427464454358E-2</v>
      </c>
      <c r="I321" s="223">
        <f t="shared" ca="1" si="359"/>
        <v>0.1056856081161035</v>
      </c>
      <c r="J321" s="223">
        <f t="shared" ca="1" si="359"/>
        <v>-7.5754532100909544E-2</v>
      </c>
      <c r="K321" s="223">
        <f t="shared" ca="1" si="359"/>
        <v>-7.5754532100909544E-2</v>
      </c>
      <c r="L321" s="223">
        <f t="shared" ca="1" si="359"/>
        <v>-7.5754532100909544E-2</v>
      </c>
      <c r="M321" s="223">
        <f t="shared" ca="1" si="359"/>
        <v>-7.5754532100909544E-2</v>
      </c>
      <c r="N321" s="223">
        <f t="shared" ca="1" si="359"/>
        <v>-7.5754532100909544E-2</v>
      </c>
      <c r="O321" s="223">
        <f t="shared" ca="1" si="359"/>
        <v>-7.5754532100909544E-2</v>
      </c>
      <c r="P321" s="223">
        <f t="shared" ca="1" si="359"/>
        <v>-7.5754532100909544E-2</v>
      </c>
      <c r="Q321" s="223">
        <f t="shared" ca="1" si="359"/>
        <v>-7.5754532100909544E-2</v>
      </c>
      <c r="R321" s="223">
        <f t="shared" ca="1" si="359"/>
        <v>-7.5754532100909544E-2</v>
      </c>
      <c r="S321" s="224">
        <f t="shared" ca="1" si="359"/>
        <v>-7.5754532100909544E-2</v>
      </c>
      <c r="T321" s="224">
        <f t="shared" ca="1" si="359"/>
        <v>1.2644087067195775E-2</v>
      </c>
      <c r="U321" s="224">
        <f t="shared" ca="1" si="359"/>
        <v>5.8827632514260042E-3</v>
      </c>
      <c r="V321" s="224">
        <f t="shared" ca="1" si="359"/>
        <v>0</v>
      </c>
      <c r="W321" s="224">
        <f t="shared" ca="1" si="359"/>
        <v>0</v>
      </c>
      <c r="X321" s="224">
        <f t="shared" ca="1" si="359"/>
        <v>0</v>
      </c>
      <c r="Y321" s="224">
        <f t="shared" ca="1" si="359"/>
        <v>0</v>
      </c>
      <c r="Z321" s="224">
        <f t="shared" ca="1" si="359"/>
        <v>0</v>
      </c>
      <c r="AA321" s="224">
        <f t="shared" ca="1" si="359"/>
        <v>0</v>
      </c>
      <c r="AB321" s="224">
        <f t="shared" ca="1" si="359"/>
        <v>0</v>
      </c>
      <c r="AC321" s="224">
        <f t="shared" ca="1" si="359"/>
        <v>0</v>
      </c>
      <c r="AD321" s="224">
        <f t="shared" ca="1" si="359"/>
        <v>0</v>
      </c>
      <c r="AE321" s="224">
        <f t="shared" ca="1" si="359"/>
        <v>0</v>
      </c>
      <c r="AF321" s="224">
        <f t="shared" ca="1" si="359"/>
        <v>0</v>
      </c>
      <c r="AG321" s="224">
        <f t="shared" ca="1" si="359"/>
        <v>0</v>
      </c>
      <c r="AH321" s="224"/>
      <c r="AI321" s="224"/>
      <c r="AJ321" s="224">
        <f t="shared" ref="AJ321" ca="1" si="360">IFERROR(AJ312/AJ303-1,0)</f>
        <v>-1.7903698329586937E-2</v>
      </c>
      <c r="AK321" s="212"/>
      <c r="AL321" s="212"/>
      <c r="AM321" s="504">
        <f ca="1">IFERROR(AM312/AM303-1,0)</f>
        <v>8.3269787209698354E-2</v>
      </c>
      <c r="AN321" s="504">
        <f t="shared" ref="AN321:BM321" ca="1" si="361">IFERROR(AN312/AN303-1,0)</f>
        <v>9.9362436680824784E-2</v>
      </c>
      <c r="AO321" s="504">
        <f t="shared" ca="1" si="361"/>
        <v>0.12154831717944314</v>
      </c>
      <c r="AP321" s="504">
        <f t="shared" ca="1" si="361"/>
        <v>-9.13414473418519E-2</v>
      </c>
      <c r="AQ321" s="504">
        <f t="shared" ca="1" si="361"/>
        <v>-9.13414473418519E-2</v>
      </c>
      <c r="AR321" s="504">
        <f t="shared" ca="1" si="361"/>
        <v>-9.13414473418519E-2</v>
      </c>
      <c r="AS321" s="504">
        <f t="shared" ca="1" si="361"/>
        <v>-9.13414473418519E-2</v>
      </c>
      <c r="AT321" s="504">
        <f t="shared" ca="1" si="361"/>
        <v>-9.13414473418519E-2</v>
      </c>
      <c r="AU321" s="504">
        <f t="shared" ca="1" si="361"/>
        <v>-9.13414473418519E-2</v>
      </c>
      <c r="AV321" s="504">
        <f t="shared" ca="1" si="361"/>
        <v>-9.13414473418519E-2</v>
      </c>
      <c r="AW321" s="504">
        <f t="shared" ca="1" si="361"/>
        <v>-9.13414473418519E-2</v>
      </c>
      <c r="AX321" s="504">
        <f t="shared" ca="1" si="361"/>
        <v>-9.13414473418519E-2</v>
      </c>
      <c r="AY321" s="504">
        <f t="shared" ca="1" si="361"/>
        <v>-9.13414473418519E-2</v>
      </c>
      <c r="AZ321" s="504">
        <f t="shared" ca="1" si="361"/>
        <v>1.4909805757043815E-2</v>
      </c>
      <c r="BA321" s="504">
        <f t="shared" ca="1" si="361"/>
        <v>6.8207984665160648E-3</v>
      </c>
      <c r="BB321" s="504">
        <f t="shared" ca="1" si="361"/>
        <v>0</v>
      </c>
      <c r="BC321" s="504">
        <f t="shared" ca="1" si="361"/>
        <v>0</v>
      </c>
      <c r="BD321" s="504">
        <f t="shared" ca="1" si="361"/>
        <v>0</v>
      </c>
      <c r="BE321" s="504">
        <f t="shared" ca="1" si="361"/>
        <v>0</v>
      </c>
      <c r="BF321" s="504">
        <f t="shared" ca="1" si="361"/>
        <v>0</v>
      </c>
      <c r="BG321" s="504">
        <f t="shared" ca="1" si="361"/>
        <v>0</v>
      </c>
      <c r="BH321" s="504">
        <f t="shared" ca="1" si="361"/>
        <v>0</v>
      </c>
      <c r="BI321" s="504">
        <f t="shared" ca="1" si="361"/>
        <v>0</v>
      </c>
      <c r="BJ321" s="504">
        <f t="shared" ca="1" si="361"/>
        <v>0</v>
      </c>
      <c r="BK321" s="504">
        <f t="shared" ca="1" si="361"/>
        <v>0</v>
      </c>
      <c r="BL321" s="504">
        <f t="shared" ca="1" si="361"/>
        <v>0</v>
      </c>
      <c r="BM321" s="504">
        <f t="shared" ca="1" si="361"/>
        <v>0</v>
      </c>
      <c r="BN321" s="504"/>
      <c r="BO321" s="504"/>
      <c r="BP321" s="504">
        <f t="shared" ref="BP321" ca="1" si="362">IFERROR(BP312/BP303-1,0)</f>
        <v>-2.2330204750016236E-2</v>
      </c>
      <c r="BS321" s="84" t="s">
        <v>242</v>
      </c>
      <c r="BT321" s="51" t="s">
        <v>17</v>
      </c>
    </row>
    <row r="322" spans="1:72" x14ac:dyDescent="0.25">
      <c r="B322" s="243" t="str">
        <f t="shared" si="340"/>
        <v>Large C&amp;I</v>
      </c>
      <c r="C322" s="243" t="str">
        <f t="shared" si="340"/>
        <v>Bills</v>
      </c>
      <c r="D322" s="244" t="str">
        <f t="shared" si="340"/>
        <v>Change in Bills</v>
      </c>
      <c r="E322" s="84" t="s">
        <v>17</v>
      </c>
      <c r="F322" s="84"/>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S322" s="84"/>
      <c r="BT322" s="51" t="s">
        <v>17</v>
      </c>
    </row>
    <row r="323" spans="1:72" x14ac:dyDescent="0.25">
      <c r="A323" s="52" t="s">
        <v>17</v>
      </c>
      <c r="B323" t="s">
        <v>17</v>
      </c>
      <c r="BT323" s="51" t="s">
        <v>17</v>
      </c>
    </row>
    <row r="324" spans="1:72" x14ac:dyDescent="0.25">
      <c r="A324" s="52" t="s">
        <v>17</v>
      </c>
      <c r="B324" t="s">
        <v>17</v>
      </c>
      <c r="BT324" s="51" t="s">
        <v>17</v>
      </c>
    </row>
    <row r="325" spans="1:72" s="51" customFormat="1" ht="23.25" x14ac:dyDescent="0.25">
      <c r="A325" s="52" t="s">
        <v>17</v>
      </c>
      <c r="B325" s="195" t="s">
        <v>271</v>
      </c>
      <c r="C325" s="196"/>
      <c r="D325" s="196"/>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51" t="s">
        <v>17</v>
      </c>
    </row>
    <row r="326" spans="1:72" s="5" customFormat="1" ht="15.75" x14ac:dyDescent="0.25">
      <c r="A326" s="52" t="s">
        <v>17</v>
      </c>
      <c r="B326" s="241" t="str">
        <f t="shared" ref="B326:C329" si="363">B325</f>
        <v>Portfolio Total</v>
      </c>
      <c r="C326" s="63" t="s">
        <v>124</v>
      </c>
      <c r="D326" s="6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M326" s="63"/>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S326" s="62"/>
      <c r="BT326" s="51" t="s">
        <v>17</v>
      </c>
    </row>
    <row r="327" spans="1:72" x14ac:dyDescent="0.25">
      <c r="A327" s="52" t="s">
        <v>17</v>
      </c>
      <c r="B327" s="243" t="str">
        <f t="shared" si="363"/>
        <v>Portfolio Total</v>
      </c>
      <c r="C327" s="243" t="str">
        <f t="shared" si="363"/>
        <v>Revenue Requirements</v>
      </c>
      <c r="D327" s="114" t="str">
        <f>"Revenue Requirement before DSM ("&amp;Lookups!$D$22&amp;" Scenario)"</f>
        <v>Revenue Requirement before DSM (No EE Scenario)</v>
      </c>
      <c r="E327" s="84"/>
      <c r="F327" s="84"/>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S327" s="84"/>
      <c r="BT327" s="51" t="s">
        <v>17</v>
      </c>
    </row>
    <row r="328" spans="1:72" x14ac:dyDescent="0.25">
      <c r="A328" s="52" t="s">
        <v>17</v>
      </c>
      <c r="B328" s="243" t="str">
        <f t="shared" si="363"/>
        <v>Portfolio Total</v>
      </c>
      <c r="C328" s="243" t="str">
        <f t="shared" si="363"/>
        <v>Revenue Requirements</v>
      </c>
      <c r="D328" s="244" t="str">
        <f>D327</f>
        <v>Revenue Requirement before DSM (No EE Scenario)</v>
      </c>
      <c r="E328" s="84" t="s">
        <v>26</v>
      </c>
      <c r="F328" s="84" t="s">
        <v>32</v>
      </c>
      <c r="G328" s="65">
        <f t="shared" ref="G328:V330" si="364">SUMIFS(G$9:G$322,$D$9:$D$322,$D328,$E$9:$E$322,$E328)</f>
        <v>43337415.643864036</v>
      </c>
      <c r="H328" s="65">
        <f t="shared" si="364"/>
        <v>43337415.643864036</v>
      </c>
      <c r="I328" s="65">
        <f t="shared" si="364"/>
        <v>43337415.643864036</v>
      </c>
      <c r="J328" s="65">
        <f t="shared" si="364"/>
        <v>43337415.643864036</v>
      </c>
      <c r="K328" s="65">
        <f t="shared" si="364"/>
        <v>43337415.643864036</v>
      </c>
      <c r="L328" s="65">
        <f t="shared" si="364"/>
        <v>43337415.643864036</v>
      </c>
      <c r="M328" s="65">
        <f t="shared" si="364"/>
        <v>43337415.643864036</v>
      </c>
      <c r="N328" s="65">
        <f t="shared" si="364"/>
        <v>43337415.643864036</v>
      </c>
      <c r="O328" s="65">
        <f t="shared" si="364"/>
        <v>43337415.643864036</v>
      </c>
      <c r="P328" s="65">
        <f t="shared" si="364"/>
        <v>43337415.643864036</v>
      </c>
      <c r="Q328" s="65">
        <f t="shared" si="364"/>
        <v>43337415.643864036</v>
      </c>
      <c r="R328" s="65">
        <f t="shared" si="364"/>
        <v>43337415.643864036</v>
      </c>
      <c r="S328" s="65">
        <f t="shared" si="364"/>
        <v>43337415.643864036</v>
      </c>
      <c r="T328" s="65">
        <f t="shared" si="364"/>
        <v>43337415.643864036</v>
      </c>
      <c r="U328" s="65">
        <f t="shared" si="364"/>
        <v>43337415.643864036</v>
      </c>
      <c r="V328" s="65">
        <f t="shared" si="364"/>
        <v>43337415.643864036</v>
      </c>
      <c r="W328" s="65">
        <f t="shared" ref="W328:AG330" si="365">SUMIFS(W$9:W$322,$D$9:$D$322,$D328,$E$9:$E$322,$E328)</f>
        <v>43337415.643864036</v>
      </c>
      <c r="X328" s="65">
        <f t="shared" si="365"/>
        <v>43337415.643864036</v>
      </c>
      <c r="Y328" s="65">
        <f t="shared" si="365"/>
        <v>43337415.643864036</v>
      </c>
      <c r="Z328" s="65">
        <f t="shared" si="365"/>
        <v>43337415.643864036</v>
      </c>
      <c r="AA328" s="65">
        <f t="shared" si="365"/>
        <v>43337415.643864036</v>
      </c>
      <c r="AB328" s="65">
        <f t="shared" si="365"/>
        <v>43337415.643864036</v>
      </c>
      <c r="AC328" s="65">
        <f t="shared" si="365"/>
        <v>43337415.643864036</v>
      </c>
      <c r="AD328" s="65">
        <f t="shared" si="365"/>
        <v>43337415.643864036</v>
      </c>
      <c r="AE328" s="65">
        <f t="shared" si="365"/>
        <v>43337415.643864036</v>
      </c>
      <c r="AF328" s="65">
        <f t="shared" si="365"/>
        <v>43337415.643864036</v>
      </c>
      <c r="AG328" s="65">
        <f t="shared" si="365"/>
        <v>43337415.643864036</v>
      </c>
      <c r="AH328" s="65"/>
      <c r="AI328" s="65">
        <f>NPV(Lookups!$E$17,G328:AG328)</f>
        <v>967002409.0642128</v>
      </c>
      <c r="AJ328" s="65">
        <f>IF($C$4=Year1,-PMT(Lookups!$E$17,25,NPV(Lookups!$E$17,G328:AE328),0,1),IF($C$4=Year2,-PMT(Lookups!$F$17,25,NPV(Lookups!$F$17,H328:AF328),0,1),IF($C$4=Year3,-PMT(Lookups!$G$17,25,NPV(Lookups!$G$17,I328:AG328),0,1),-PMT(Lookups!$G$17,27,NPV(Lookups!$G$17,G328:AG328),0,1))))</f>
        <v>42733000.355465345</v>
      </c>
      <c r="AM328" s="72">
        <f t="shared" ref="AM328:BB330" si="366">SUMIFS(AM$9:AM$322,$D$9:$D$322,$D328,$E$9:$E$322,$E328)</f>
        <v>43337415.643864036</v>
      </c>
      <c r="AN328" s="72">
        <f t="shared" si="366"/>
        <v>43337415.643864036</v>
      </c>
      <c r="AO328" s="72">
        <f t="shared" si="366"/>
        <v>43337415.643864036</v>
      </c>
      <c r="AP328" s="72">
        <f t="shared" si="366"/>
        <v>43337415.643864036</v>
      </c>
      <c r="AQ328" s="72">
        <f t="shared" si="366"/>
        <v>43337415.643864036</v>
      </c>
      <c r="AR328" s="72">
        <f t="shared" si="366"/>
        <v>43337415.643864036</v>
      </c>
      <c r="AS328" s="72">
        <f t="shared" si="366"/>
        <v>43337415.643864036</v>
      </c>
      <c r="AT328" s="72">
        <f t="shared" si="366"/>
        <v>43337415.643864036</v>
      </c>
      <c r="AU328" s="72">
        <f t="shared" si="366"/>
        <v>43337415.643864036</v>
      </c>
      <c r="AV328" s="72">
        <f t="shared" si="366"/>
        <v>43337415.643864036</v>
      </c>
      <c r="AW328" s="72">
        <f t="shared" si="366"/>
        <v>43337415.643864036</v>
      </c>
      <c r="AX328" s="72">
        <f t="shared" si="366"/>
        <v>43337415.643864036</v>
      </c>
      <c r="AY328" s="72">
        <f t="shared" si="366"/>
        <v>43337415.643864036</v>
      </c>
      <c r="AZ328" s="72">
        <f t="shared" si="366"/>
        <v>43337415.643864036</v>
      </c>
      <c r="BA328" s="72">
        <f t="shared" si="366"/>
        <v>43337415.643864036</v>
      </c>
      <c r="BB328" s="72">
        <f t="shared" si="366"/>
        <v>43337415.643864036</v>
      </c>
      <c r="BC328" s="72">
        <f t="shared" ref="BC328:BM330" si="367">SUMIFS(BC$9:BC$322,$D$9:$D$322,$D328,$E$9:$E$322,$E328)</f>
        <v>43337415.643864036</v>
      </c>
      <c r="BD328" s="72">
        <f t="shared" si="367"/>
        <v>43337415.643864036</v>
      </c>
      <c r="BE328" s="72">
        <f t="shared" si="367"/>
        <v>43337415.643864036</v>
      </c>
      <c r="BF328" s="72">
        <f t="shared" si="367"/>
        <v>43337415.643864036</v>
      </c>
      <c r="BG328" s="72">
        <f t="shared" si="367"/>
        <v>43337415.643864036</v>
      </c>
      <c r="BH328" s="72">
        <f t="shared" si="367"/>
        <v>43337415.643864036</v>
      </c>
      <c r="BI328" s="72">
        <f t="shared" si="367"/>
        <v>43337415.643864036</v>
      </c>
      <c r="BJ328" s="72">
        <f t="shared" si="367"/>
        <v>43337415.643864036</v>
      </c>
      <c r="BK328" s="72">
        <f t="shared" si="367"/>
        <v>43337415.643864036</v>
      </c>
      <c r="BL328" s="72">
        <f t="shared" si="367"/>
        <v>43337415.643864036</v>
      </c>
      <c r="BM328" s="72">
        <f t="shared" si="367"/>
        <v>43337415.643864036</v>
      </c>
      <c r="BN328" s="72"/>
      <c r="BO328" s="72">
        <f>NPV(Lookups!$E$17,AM328:BM328)</f>
        <v>967002409.0642128</v>
      </c>
      <c r="BP328" s="72">
        <f>IF($C$4=Year1,-PMT(Lookups!$E$17,25,NPV(Lookups!$E$17,AM328:BK328),0,1),IF($C$4=Year2,-PMT(Lookups!$F$17,25,NPV(Lookups!$F$17,AN328:BL328),0,1),IF($C$4=Year3,-PMT(Lookups!$G$17,25,NPV(Lookups!$G$17,AO328:BM328),0,1),-PMT(Lookups!$G$17,27,NPV(Lookups!$G$17,AM328:BM328),0,1))))</f>
        <v>42733000.355465345</v>
      </c>
      <c r="BS328" s="84" t="str">
        <f>"No EE Scenario "&amp;E328&amp;" rate multiplied by No EE Scenario sales."</f>
        <v>No EE Scenario Distribution rate multiplied by No EE Scenario sales.</v>
      </c>
      <c r="BT328" s="51" t="s">
        <v>17</v>
      </c>
    </row>
    <row r="329" spans="1:72" x14ac:dyDescent="0.25">
      <c r="A329" s="52" t="s">
        <v>17</v>
      </c>
      <c r="B329" s="243" t="str">
        <f t="shared" si="363"/>
        <v>Portfolio Total</v>
      </c>
      <c r="C329" s="243" t="str">
        <f t="shared" si="363"/>
        <v>Revenue Requirements</v>
      </c>
      <c r="D329" s="244" t="str">
        <f>D328</f>
        <v>Revenue Requirement before DSM (No EE Scenario)</v>
      </c>
      <c r="E329" s="84" t="s">
        <v>407</v>
      </c>
      <c r="F329" s="84" t="s">
        <v>32</v>
      </c>
      <c r="G329" s="65">
        <f t="shared" si="364"/>
        <v>-1915965.2564594061</v>
      </c>
      <c r="H329" s="65">
        <f t="shared" si="364"/>
        <v>-1915965.2564594061</v>
      </c>
      <c r="I329" s="65">
        <f t="shared" si="364"/>
        <v>-1915965.2564594061</v>
      </c>
      <c r="J329" s="65">
        <f t="shared" si="364"/>
        <v>-1915965.2564594061</v>
      </c>
      <c r="K329" s="65">
        <f t="shared" si="364"/>
        <v>-1915965.2564594061</v>
      </c>
      <c r="L329" s="65">
        <f t="shared" si="364"/>
        <v>-1915965.2564594061</v>
      </c>
      <c r="M329" s="65">
        <f t="shared" si="364"/>
        <v>-1915965.2564594061</v>
      </c>
      <c r="N329" s="65">
        <f t="shared" si="364"/>
        <v>-1915965.2564594061</v>
      </c>
      <c r="O329" s="65">
        <f t="shared" si="364"/>
        <v>-1915965.2564594061</v>
      </c>
      <c r="P329" s="65">
        <f t="shared" si="364"/>
        <v>-1915965.2564594061</v>
      </c>
      <c r="Q329" s="65">
        <f t="shared" si="364"/>
        <v>-1915965.2564594061</v>
      </c>
      <c r="R329" s="65">
        <f t="shared" si="364"/>
        <v>-1915965.2564594061</v>
      </c>
      <c r="S329" s="65">
        <f t="shared" si="364"/>
        <v>-1915965.2564594061</v>
      </c>
      <c r="T329" s="65">
        <f t="shared" si="364"/>
        <v>-1915965.2564594061</v>
      </c>
      <c r="U329" s="65">
        <f t="shared" si="364"/>
        <v>-1915965.2564594061</v>
      </c>
      <c r="V329" s="65">
        <f t="shared" si="364"/>
        <v>-1915965.2564594061</v>
      </c>
      <c r="W329" s="65">
        <f t="shared" si="365"/>
        <v>-1915965.2564594061</v>
      </c>
      <c r="X329" s="65">
        <f t="shared" si="365"/>
        <v>-1915965.2564594061</v>
      </c>
      <c r="Y329" s="65">
        <f t="shared" si="365"/>
        <v>-1915965.2564594061</v>
      </c>
      <c r="Z329" s="65">
        <f t="shared" si="365"/>
        <v>-1915965.2564594061</v>
      </c>
      <c r="AA329" s="65">
        <f t="shared" si="365"/>
        <v>-1915965.2564594061</v>
      </c>
      <c r="AB329" s="65">
        <f t="shared" si="365"/>
        <v>-1915965.2564594061</v>
      </c>
      <c r="AC329" s="65">
        <f t="shared" si="365"/>
        <v>-1915965.2564594061</v>
      </c>
      <c r="AD329" s="65">
        <f t="shared" si="365"/>
        <v>-1915965.2564594061</v>
      </c>
      <c r="AE329" s="65">
        <f t="shared" si="365"/>
        <v>-1915965.2564594061</v>
      </c>
      <c r="AF329" s="65">
        <f t="shared" si="365"/>
        <v>-1915965.2564594061</v>
      </c>
      <c r="AG329" s="65">
        <f t="shared" si="365"/>
        <v>-1915965.2564594061</v>
      </c>
      <c r="AH329" s="65"/>
      <c r="AI329" s="65">
        <f>NPV(Lookups!$E$17,G329:AG329)</f>
        <v>-42751580.61811883</v>
      </c>
      <c r="AJ329" s="65">
        <f>IF($C$4=Year1,-PMT(Lookups!$E$17,25,NPV(Lookups!$E$17,G329:AE329),0,1),IF($C$4=Year2,-PMT(Lookups!$F$17,25,NPV(Lookups!$F$17,H329:AF329),0,1),IF($C$4=Year3,-PMT(Lookups!$G$17,25,NPV(Lookups!$G$17,I329:AG329),0,1),-PMT(Lookups!$G$17,27,NPV(Lookups!$G$17,G329:AG329),0,1))))</f>
        <v>-1889243.8039722238</v>
      </c>
      <c r="AM329" s="72">
        <f t="shared" si="366"/>
        <v>-1915965.2564594061</v>
      </c>
      <c r="AN329" s="72">
        <f t="shared" si="366"/>
        <v>-1915965.2564594061</v>
      </c>
      <c r="AO329" s="72">
        <f t="shared" si="366"/>
        <v>-1915965.2564594061</v>
      </c>
      <c r="AP329" s="72">
        <f t="shared" si="366"/>
        <v>-1915965.2564594061</v>
      </c>
      <c r="AQ329" s="72">
        <f t="shared" si="366"/>
        <v>-1915965.2564594061</v>
      </c>
      <c r="AR329" s="72">
        <f t="shared" si="366"/>
        <v>-1915965.2564594061</v>
      </c>
      <c r="AS329" s="72">
        <f t="shared" si="366"/>
        <v>-1915965.2564594061</v>
      </c>
      <c r="AT329" s="72">
        <f t="shared" si="366"/>
        <v>-1915965.2564594061</v>
      </c>
      <c r="AU329" s="72">
        <f t="shared" si="366"/>
        <v>-1915965.2564594061</v>
      </c>
      <c r="AV329" s="72">
        <f t="shared" si="366"/>
        <v>-1915965.2564594061</v>
      </c>
      <c r="AW329" s="72">
        <f t="shared" si="366"/>
        <v>-1915965.2564594061</v>
      </c>
      <c r="AX329" s="72">
        <f t="shared" si="366"/>
        <v>-1915965.2564594061</v>
      </c>
      <c r="AY329" s="72">
        <f t="shared" si="366"/>
        <v>-1915965.2564594061</v>
      </c>
      <c r="AZ329" s="72">
        <f t="shared" si="366"/>
        <v>-1915965.2564594061</v>
      </c>
      <c r="BA329" s="72">
        <f t="shared" si="366"/>
        <v>-1915965.2564594061</v>
      </c>
      <c r="BB329" s="72">
        <f t="shared" si="366"/>
        <v>-1915965.2564594061</v>
      </c>
      <c r="BC329" s="72">
        <f t="shared" si="367"/>
        <v>-1915965.2564594061</v>
      </c>
      <c r="BD329" s="72">
        <f t="shared" si="367"/>
        <v>-1915965.2564594061</v>
      </c>
      <c r="BE329" s="72">
        <f t="shared" si="367"/>
        <v>-1915965.2564594061</v>
      </c>
      <c r="BF329" s="72">
        <f t="shared" si="367"/>
        <v>-1915965.2564594061</v>
      </c>
      <c r="BG329" s="72">
        <f t="shared" si="367"/>
        <v>-1915965.2564594061</v>
      </c>
      <c r="BH329" s="72">
        <f t="shared" si="367"/>
        <v>-1915965.2564594061</v>
      </c>
      <c r="BI329" s="72">
        <f t="shared" si="367"/>
        <v>-1915965.2564594061</v>
      </c>
      <c r="BJ329" s="72">
        <f t="shared" si="367"/>
        <v>-1915965.2564594061</v>
      </c>
      <c r="BK329" s="72">
        <f t="shared" si="367"/>
        <v>-1915965.2564594061</v>
      </c>
      <c r="BL329" s="72">
        <f t="shared" si="367"/>
        <v>-1915965.2564594061</v>
      </c>
      <c r="BM329" s="72">
        <f t="shared" si="367"/>
        <v>-1915965.2564594061</v>
      </c>
      <c r="BN329" s="72"/>
      <c r="BO329" s="72">
        <f>NPV(Lookups!$E$17,AM329:BM329)</f>
        <v>-42751580.61811883</v>
      </c>
      <c r="BP329" s="72">
        <f>IF($C$4=Year1,-PMT(Lookups!$E$17,25,NPV(Lookups!$E$17,AM329:BK329),0,1),IF($C$4=Year2,-PMT(Lookups!$F$17,25,NPV(Lookups!$F$17,AN329:BL329),0,1),IF($C$4=Year3,-PMT(Lookups!$G$17,25,NPV(Lookups!$G$17,AO329:BM329),0,1),-PMT(Lookups!$G$17,27,NPV(Lookups!$G$17,AM329:BM329),0,1))))</f>
        <v>-1889243.8039722238</v>
      </c>
      <c r="BS329" s="84" t="str">
        <f>"No EE Scenario "&amp;E329&amp;" rate multiplied by No EE Scenario sales."</f>
        <v>No EE Scenario LDAC, Non-EE rate multiplied by No EE Scenario sales.</v>
      </c>
      <c r="BT329" s="51" t="s">
        <v>17</v>
      </c>
    </row>
    <row r="330" spans="1:72" x14ac:dyDescent="0.25">
      <c r="A330" s="52" t="s">
        <v>17</v>
      </c>
      <c r="B330" s="243" t="str">
        <f>B328</f>
        <v>Portfolio Total</v>
      </c>
      <c r="C330" s="243" t="str">
        <f>C328</f>
        <v>Revenue Requirements</v>
      </c>
      <c r="D330" s="244" t="str">
        <f>D328</f>
        <v>Revenue Requirement before DSM (No EE Scenario)</v>
      </c>
      <c r="E330" s="84" t="s">
        <v>197</v>
      </c>
      <c r="F330" s="84" t="s">
        <v>32</v>
      </c>
      <c r="G330" s="65">
        <f t="shared" si="364"/>
        <v>59392410.029498205</v>
      </c>
      <c r="H330" s="65">
        <f t="shared" si="364"/>
        <v>59392410.029498205</v>
      </c>
      <c r="I330" s="65">
        <f t="shared" si="364"/>
        <v>59392410.029498205</v>
      </c>
      <c r="J330" s="65">
        <f t="shared" si="364"/>
        <v>59392410.029498205</v>
      </c>
      <c r="K330" s="65">
        <f t="shared" si="364"/>
        <v>59392410.029498205</v>
      </c>
      <c r="L330" s="65">
        <f t="shared" si="364"/>
        <v>59392410.029498205</v>
      </c>
      <c r="M330" s="65">
        <f t="shared" si="364"/>
        <v>59392410.029498205</v>
      </c>
      <c r="N330" s="65">
        <f t="shared" si="364"/>
        <v>59392410.029498205</v>
      </c>
      <c r="O330" s="65">
        <f t="shared" si="364"/>
        <v>59392410.029498205</v>
      </c>
      <c r="P330" s="65">
        <f t="shared" si="364"/>
        <v>59392410.029498205</v>
      </c>
      <c r="Q330" s="65">
        <f t="shared" si="364"/>
        <v>59392410.029498205</v>
      </c>
      <c r="R330" s="65">
        <f t="shared" si="364"/>
        <v>59392410.029498205</v>
      </c>
      <c r="S330" s="65">
        <f t="shared" si="364"/>
        <v>59392410.029498205</v>
      </c>
      <c r="T330" s="65">
        <f t="shared" si="364"/>
        <v>59392410.029498205</v>
      </c>
      <c r="U330" s="65">
        <f t="shared" si="364"/>
        <v>59392410.029498205</v>
      </c>
      <c r="V330" s="65">
        <f t="shared" si="364"/>
        <v>59392410.029498205</v>
      </c>
      <c r="W330" s="65">
        <f t="shared" si="365"/>
        <v>59392410.029498205</v>
      </c>
      <c r="X330" s="65">
        <f t="shared" si="365"/>
        <v>59392410.029498205</v>
      </c>
      <c r="Y330" s="65">
        <f t="shared" si="365"/>
        <v>59392410.029498205</v>
      </c>
      <c r="Z330" s="65">
        <f t="shared" si="365"/>
        <v>59392410.029498205</v>
      </c>
      <c r="AA330" s="65">
        <f t="shared" si="365"/>
        <v>59392410.029498205</v>
      </c>
      <c r="AB330" s="65">
        <f t="shared" si="365"/>
        <v>59392410.029498205</v>
      </c>
      <c r="AC330" s="65">
        <f t="shared" si="365"/>
        <v>59392410.029498205</v>
      </c>
      <c r="AD330" s="65">
        <f t="shared" si="365"/>
        <v>59392410.029498205</v>
      </c>
      <c r="AE330" s="65">
        <f t="shared" si="365"/>
        <v>59392410.029498205</v>
      </c>
      <c r="AF330" s="65">
        <f t="shared" si="365"/>
        <v>59392410.029498205</v>
      </c>
      <c r="AG330" s="65">
        <f t="shared" si="365"/>
        <v>59392410.029498205</v>
      </c>
      <c r="AH330" s="65"/>
      <c r="AI330" s="65">
        <f>NPV(Lookups!$E$17,G330:AG330)</f>
        <v>1325242927.5114357</v>
      </c>
      <c r="AJ330" s="65">
        <f>IF($C$4=Year1,-PMT(Lookups!$E$17,25,NPV(Lookups!$E$17,G330:AE330),0,1),IF($C$4=Year2,-PMT(Lookups!$F$17,25,NPV(Lookups!$F$17,H330:AF330),0,1),IF($C$4=Year3,-PMT(Lookups!$G$17,25,NPV(Lookups!$G$17,I330:AG330),0,1),-PMT(Lookups!$G$17,27,NPV(Lookups!$G$17,G330:AG330),0,1))))</f>
        <v>58564080.049425773</v>
      </c>
      <c r="AM330" s="72">
        <f t="shared" si="366"/>
        <v>59392410.029498205</v>
      </c>
      <c r="AN330" s="72">
        <f t="shared" si="366"/>
        <v>59392410.029498205</v>
      </c>
      <c r="AO330" s="72">
        <f t="shared" si="366"/>
        <v>59392410.029498205</v>
      </c>
      <c r="AP330" s="72">
        <f t="shared" si="366"/>
        <v>59392410.029498205</v>
      </c>
      <c r="AQ330" s="72">
        <f t="shared" si="366"/>
        <v>59392410.029498205</v>
      </c>
      <c r="AR330" s="72">
        <f t="shared" si="366"/>
        <v>59392410.029498205</v>
      </c>
      <c r="AS330" s="72">
        <f t="shared" si="366"/>
        <v>59392410.029498205</v>
      </c>
      <c r="AT330" s="72">
        <f t="shared" si="366"/>
        <v>59392410.029498205</v>
      </c>
      <c r="AU330" s="72">
        <f t="shared" si="366"/>
        <v>59392410.029498205</v>
      </c>
      <c r="AV330" s="72">
        <f t="shared" si="366"/>
        <v>59392410.029498205</v>
      </c>
      <c r="AW330" s="72">
        <f t="shared" si="366"/>
        <v>59392410.029498205</v>
      </c>
      <c r="AX330" s="72">
        <f t="shared" si="366"/>
        <v>59392410.029498205</v>
      </c>
      <c r="AY330" s="72">
        <f t="shared" si="366"/>
        <v>59392410.029498205</v>
      </c>
      <c r="AZ330" s="72">
        <f t="shared" si="366"/>
        <v>59392410.029498205</v>
      </c>
      <c r="BA330" s="72">
        <f t="shared" si="366"/>
        <v>59392410.029498205</v>
      </c>
      <c r="BB330" s="72">
        <f t="shared" si="366"/>
        <v>59392410.029498205</v>
      </c>
      <c r="BC330" s="72">
        <f t="shared" si="367"/>
        <v>59392410.029498205</v>
      </c>
      <c r="BD330" s="72">
        <f t="shared" si="367"/>
        <v>59392410.029498205</v>
      </c>
      <c r="BE330" s="72">
        <f t="shared" si="367"/>
        <v>59392410.029498205</v>
      </c>
      <c r="BF330" s="72">
        <f t="shared" si="367"/>
        <v>59392410.029498205</v>
      </c>
      <c r="BG330" s="72">
        <f t="shared" si="367"/>
        <v>59392410.029498205</v>
      </c>
      <c r="BH330" s="72">
        <f t="shared" si="367"/>
        <v>59392410.029498205</v>
      </c>
      <c r="BI330" s="72">
        <f t="shared" si="367"/>
        <v>59392410.029498205</v>
      </c>
      <c r="BJ330" s="72">
        <f t="shared" si="367"/>
        <v>59392410.029498205</v>
      </c>
      <c r="BK330" s="72">
        <f t="shared" si="367"/>
        <v>59392410.029498205</v>
      </c>
      <c r="BL330" s="72">
        <f t="shared" si="367"/>
        <v>59392410.029498205</v>
      </c>
      <c r="BM330" s="72">
        <f t="shared" si="367"/>
        <v>59392410.029498205</v>
      </c>
      <c r="BN330" s="72"/>
      <c r="BO330" s="72">
        <f>NPV(Lookups!$E$17,AM330:BM330)</f>
        <v>1325242927.5114357</v>
      </c>
      <c r="BP330" s="72">
        <f>IF($C$4=Year1,-PMT(Lookups!$E$17,25,NPV(Lookups!$E$17,AM330:BK330),0,1),IF($C$4=Year2,-PMT(Lookups!$F$17,25,NPV(Lookups!$F$17,AN330:BL330),0,1),IF($C$4=Year3,-PMT(Lookups!$G$17,25,NPV(Lookups!$G$17,AO330:BM330),0,1),-PMT(Lookups!$G$17,27,NPV(Lookups!$G$17,AM330:BM330),0,1))))</f>
        <v>58564080.049425773</v>
      </c>
      <c r="BS330" s="84" t="str">
        <f>"No EE Scenario "&amp;E330&amp;" rate multiplied by No EE Scenario sales."</f>
        <v>No EE Scenario Cost of Gas rate multiplied by No EE Scenario sales.</v>
      </c>
      <c r="BT330" s="51" t="s">
        <v>17</v>
      </c>
    </row>
    <row r="331" spans="1:72" x14ac:dyDescent="0.25">
      <c r="A331" s="52" t="s">
        <v>17</v>
      </c>
      <c r="B331" s="243" t="str">
        <f t="shared" ref="B331:C333" si="368">B329</f>
        <v>Portfolio Total</v>
      </c>
      <c r="C331" s="243" t="str">
        <f t="shared" si="368"/>
        <v>Revenue Requirements</v>
      </c>
      <c r="D331" s="244" t="str">
        <f>D329</f>
        <v>Revenue Requirement before DSM (No EE Scenario)</v>
      </c>
      <c r="E331" s="84" t="s">
        <v>272</v>
      </c>
      <c r="F331" s="84" t="s">
        <v>32</v>
      </c>
      <c r="G331" s="65">
        <f>SUM(G328:G330)</f>
        <v>100813860.41690284</v>
      </c>
      <c r="H331" s="65">
        <f t="shared" ref="H331:AG331" si="369">SUM(H328:H330)</f>
        <v>100813860.41690284</v>
      </c>
      <c r="I331" s="65">
        <f t="shared" si="369"/>
        <v>100813860.41690284</v>
      </c>
      <c r="J331" s="65">
        <f t="shared" si="369"/>
        <v>100813860.41690284</v>
      </c>
      <c r="K331" s="65">
        <f t="shared" si="369"/>
        <v>100813860.41690284</v>
      </c>
      <c r="L331" s="65">
        <f t="shared" si="369"/>
        <v>100813860.41690284</v>
      </c>
      <c r="M331" s="65">
        <f t="shared" si="369"/>
        <v>100813860.41690284</v>
      </c>
      <c r="N331" s="65">
        <f t="shared" si="369"/>
        <v>100813860.41690284</v>
      </c>
      <c r="O331" s="65">
        <f t="shared" si="369"/>
        <v>100813860.41690284</v>
      </c>
      <c r="P331" s="65">
        <f t="shared" si="369"/>
        <v>100813860.41690284</v>
      </c>
      <c r="Q331" s="65">
        <f t="shared" si="369"/>
        <v>100813860.41690284</v>
      </c>
      <c r="R331" s="65">
        <f t="shared" si="369"/>
        <v>100813860.41690284</v>
      </c>
      <c r="S331" s="65">
        <f t="shared" si="369"/>
        <v>100813860.41690284</v>
      </c>
      <c r="T331" s="65">
        <f t="shared" si="369"/>
        <v>100813860.41690284</v>
      </c>
      <c r="U331" s="65">
        <f t="shared" si="369"/>
        <v>100813860.41690284</v>
      </c>
      <c r="V331" s="65">
        <f t="shared" si="369"/>
        <v>100813860.41690284</v>
      </c>
      <c r="W331" s="65">
        <f t="shared" si="369"/>
        <v>100813860.41690284</v>
      </c>
      <c r="X331" s="65">
        <f t="shared" si="369"/>
        <v>100813860.41690284</v>
      </c>
      <c r="Y331" s="65">
        <f t="shared" si="369"/>
        <v>100813860.41690284</v>
      </c>
      <c r="Z331" s="65">
        <f t="shared" si="369"/>
        <v>100813860.41690284</v>
      </c>
      <c r="AA331" s="65">
        <f t="shared" si="369"/>
        <v>100813860.41690284</v>
      </c>
      <c r="AB331" s="65">
        <f t="shared" si="369"/>
        <v>100813860.41690284</v>
      </c>
      <c r="AC331" s="65">
        <f t="shared" si="369"/>
        <v>100813860.41690284</v>
      </c>
      <c r="AD331" s="65">
        <f t="shared" si="369"/>
        <v>100813860.41690284</v>
      </c>
      <c r="AE331" s="65">
        <f t="shared" si="369"/>
        <v>100813860.41690284</v>
      </c>
      <c r="AF331" s="65">
        <f t="shared" si="369"/>
        <v>100813860.41690284</v>
      </c>
      <c r="AG331" s="65">
        <f t="shared" si="369"/>
        <v>100813860.41690284</v>
      </c>
      <c r="AH331" s="65"/>
      <c r="AI331" s="65">
        <f>NPV(Lookups!$E$17,G331:AG331)</f>
        <v>2249493755.95753</v>
      </c>
      <c r="AJ331" s="65">
        <f>IF($C$4=Year1,-PMT(Lookups!$E$17,25,NPV(Lookups!$E$17,G331:AE331),0,1),IF($C$4=Year2,-PMT(Lookups!$F$17,25,NPV(Lookups!$F$17,H331:AF331),0,1),IF($C$4=Year3,-PMT(Lookups!$G$17,25,NPV(Lookups!$G$17,I331:AG331),0,1),-PMT(Lookups!$G$17,27,NPV(Lookups!$G$17,G331:AG331),0,1))))</f>
        <v>99407836.600918904</v>
      </c>
      <c r="AM331" s="72">
        <f>SUM(AM328:AM330)</f>
        <v>100813860.41690284</v>
      </c>
      <c r="AN331" s="72">
        <f t="shared" ref="AN331:BM331" si="370">SUM(AN328:AN330)</f>
        <v>100813860.41690284</v>
      </c>
      <c r="AO331" s="72">
        <f t="shared" si="370"/>
        <v>100813860.41690284</v>
      </c>
      <c r="AP331" s="72">
        <f t="shared" si="370"/>
        <v>100813860.41690284</v>
      </c>
      <c r="AQ331" s="72">
        <f t="shared" si="370"/>
        <v>100813860.41690284</v>
      </c>
      <c r="AR331" s="72">
        <f t="shared" si="370"/>
        <v>100813860.41690284</v>
      </c>
      <c r="AS331" s="72">
        <f t="shared" si="370"/>
        <v>100813860.41690284</v>
      </c>
      <c r="AT331" s="72">
        <f t="shared" si="370"/>
        <v>100813860.41690284</v>
      </c>
      <c r="AU331" s="72">
        <f t="shared" si="370"/>
        <v>100813860.41690284</v>
      </c>
      <c r="AV331" s="72">
        <f t="shared" si="370"/>
        <v>100813860.41690284</v>
      </c>
      <c r="AW331" s="72">
        <f t="shared" si="370"/>
        <v>100813860.41690284</v>
      </c>
      <c r="AX331" s="72">
        <f t="shared" si="370"/>
        <v>100813860.41690284</v>
      </c>
      <c r="AY331" s="72">
        <f t="shared" si="370"/>
        <v>100813860.41690284</v>
      </c>
      <c r="AZ331" s="72">
        <f t="shared" si="370"/>
        <v>100813860.41690284</v>
      </c>
      <c r="BA331" s="72">
        <f t="shared" si="370"/>
        <v>100813860.41690284</v>
      </c>
      <c r="BB331" s="72">
        <f t="shared" si="370"/>
        <v>100813860.41690284</v>
      </c>
      <c r="BC331" s="72">
        <f t="shared" si="370"/>
        <v>100813860.41690284</v>
      </c>
      <c r="BD331" s="72">
        <f t="shared" si="370"/>
        <v>100813860.41690284</v>
      </c>
      <c r="BE331" s="72">
        <f t="shared" si="370"/>
        <v>100813860.41690284</v>
      </c>
      <c r="BF331" s="72">
        <f t="shared" si="370"/>
        <v>100813860.41690284</v>
      </c>
      <c r="BG331" s="72">
        <f t="shared" si="370"/>
        <v>100813860.41690284</v>
      </c>
      <c r="BH331" s="72">
        <f t="shared" si="370"/>
        <v>100813860.41690284</v>
      </c>
      <c r="BI331" s="72">
        <f t="shared" si="370"/>
        <v>100813860.41690284</v>
      </c>
      <c r="BJ331" s="72">
        <f t="shared" si="370"/>
        <v>100813860.41690284</v>
      </c>
      <c r="BK331" s="72">
        <f t="shared" si="370"/>
        <v>100813860.41690284</v>
      </c>
      <c r="BL331" s="72">
        <f t="shared" si="370"/>
        <v>100813860.41690284</v>
      </c>
      <c r="BM331" s="72">
        <f t="shared" si="370"/>
        <v>100813860.41690284</v>
      </c>
      <c r="BN331" s="72"/>
      <c r="BO331" s="72">
        <f>NPV(Lookups!$E$17,AM331:BM331)</f>
        <v>2249493755.95753</v>
      </c>
      <c r="BP331" s="72">
        <f>IF($C$4=Year1,-PMT(Lookups!$E$17,25,NPV(Lookups!$E$17,AM331:BK331),0,1),IF($C$4=Year2,-PMT(Lookups!$F$17,25,NPV(Lookups!$F$17,AN331:BL331),0,1),IF($C$4=Year3,-PMT(Lookups!$G$17,25,NPV(Lookups!$G$17,AO331:BM331),0,1),-PMT(Lookups!$G$17,27,NPV(Lookups!$G$17,AM331:BM331),0,1))))</f>
        <v>99407836.600918904</v>
      </c>
      <c r="BS331" s="84"/>
      <c r="BT331" s="51" t="s">
        <v>17</v>
      </c>
    </row>
    <row r="332" spans="1:72" x14ac:dyDescent="0.25">
      <c r="A332" s="52" t="s">
        <v>17</v>
      </c>
      <c r="B332" s="243" t="str">
        <f t="shared" si="368"/>
        <v>Portfolio Total</v>
      </c>
      <c r="C332" s="243" t="str">
        <f t="shared" si="368"/>
        <v>Revenue Requirements</v>
      </c>
      <c r="D332" s="114" t="s">
        <v>24</v>
      </c>
      <c r="E332" s="84"/>
      <c r="F332" s="84"/>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S332" s="84"/>
      <c r="BT332" s="51" t="s">
        <v>17</v>
      </c>
    </row>
    <row r="333" spans="1:72" x14ac:dyDescent="0.25">
      <c r="A333" s="52" t="s">
        <v>17</v>
      </c>
      <c r="B333" s="243" t="str">
        <f t="shared" si="368"/>
        <v>Portfolio Total</v>
      </c>
      <c r="C333" s="243" t="str">
        <f t="shared" si="368"/>
        <v>Revenue Requirements</v>
      </c>
      <c r="D333" s="244" t="str">
        <f>D332</f>
        <v>Avoided Costs</v>
      </c>
      <c r="E333" s="84" t="s">
        <v>45</v>
      </c>
      <c r="F333" s="84" t="s">
        <v>32</v>
      </c>
      <c r="G333" s="65">
        <f t="shared" ref="G333:V335" ca="1" si="371">SUMIFS(G$9:G$322,$D$9:$D$322,$D333,$E$9:$E$322,$E333)</f>
        <v>1109946.7444291364</v>
      </c>
      <c r="H333" s="65">
        <f t="shared" ca="1" si="371"/>
        <v>2264334.3547694264</v>
      </c>
      <c r="I333" s="65">
        <f t="shared" ca="1" si="371"/>
        <v>3469235.5386575558</v>
      </c>
      <c r="J333" s="65">
        <f t="shared" ca="1" si="371"/>
        <v>3469235.5386575558</v>
      </c>
      <c r="K333" s="65">
        <f t="shared" ca="1" si="371"/>
        <v>3469235.5386575558</v>
      </c>
      <c r="L333" s="65">
        <f t="shared" ca="1" si="371"/>
        <v>3469235.5386575558</v>
      </c>
      <c r="M333" s="65">
        <f t="shared" ca="1" si="371"/>
        <v>3469235.5386575558</v>
      </c>
      <c r="N333" s="65">
        <f t="shared" ca="1" si="371"/>
        <v>3469235.5386575558</v>
      </c>
      <c r="O333" s="65">
        <f t="shared" ca="1" si="371"/>
        <v>3469235.5386575558</v>
      </c>
      <c r="P333" s="65">
        <f t="shared" ca="1" si="371"/>
        <v>3469235.5386575558</v>
      </c>
      <c r="Q333" s="65">
        <f t="shared" ca="1" si="371"/>
        <v>3469235.5386575558</v>
      </c>
      <c r="R333" s="65">
        <f t="shared" ca="1" si="371"/>
        <v>3469235.5386575558</v>
      </c>
      <c r="S333" s="65">
        <f t="shared" ca="1" si="371"/>
        <v>3469235.5386575558</v>
      </c>
      <c r="T333" s="65">
        <f t="shared" ca="1" si="371"/>
        <v>2883944.8562833196</v>
      </c>
      <c r="U333" s="65">
        <f t="shared" ca="1" si="371"/>
        <v>2270362.379993977</v>
      </c>
      <c r="V333" s="65">
        <f t="shared" ca="1" si="371"/>
        <v>1363649.1257945267</v>
      </c>
      <c r="W333" s="65">
        <f t="shared" ref="W333:AG335" ca="1" si="372">SUMIFS(W$9:W$322,$D$9:$D$322,$D333,$E$9:$E$322,$E333)</f>
        <v>896522.85307877592</v>
      </c>
      <c r="X333" s="65">
        <f t="shared" ca="1" si="372"/>
        <v>413503.62424114015</v>
      </c>
      <c r="Y333" s="65">
        <f t="shared" ca="1" si="372"/>
        <v>188373.57426357843</v>
      </c>
      <c r="Z333" s="65">
        <f t="shared" ca="1" si="372"/>
        <v>188373.57426357843</v>
      </c>
      <c r="AA333" s="65">
        <f t="shared" ca="1" si="372"/>
        <v>127626.37408544704</v>
      </c>
      <c r="AB333" s="65">
        <f t="shared" ca="1" si="372"/>
        <v>65012.497763009989</v>
      </c>
      <c r="AC333" s="65">
        <f t="shared" ca="1" si="372"/>
        <v>0</v>
      </c>
      <c r="AD333" s="65">
        <f t="shared" ca="1" si="372"/>
        <v>0</v>
      </c>
      <c r="AE333" s="65">
        <f t="shared" ca="1" si="372"/>
        <v>0</v>
      </c>
      <c r="AF333" s="65">
        <f t="shared" ca="1" si="372"/>
        <v>0</v>
      </c>
      <c r="AG333" s="65">
        <f t="shared" ca="1" si="372"/>
        <v>0</v>
      </c>
      <c r="AH333" s="65"/>
      <c r="AI333" s="65">
        <f ca="1">NPV(Lookups!$E$17,G333:AG333)</f>
        <v>44189550.237353638</v>
      </c>
      <c r="AJ333" s="65">
        <f ca="1">IF($C$4=Year1,-PMT(Lookups!$E$17,25,NPV(Lookups!$E$17,G333:AE333),0,1),IF($C$4=Year2,-PMT(Lookups!$F$17,25,NPV(Lookups!$F$17,H333:AF333),0,1),IF($C$4=Year3,-PMT(Lookups!$G$17,25,NPV(Lookups!$G$17,I333:AG333),0,1),-PMT(Lookups!$G$17,27,NPV(Lookups!$G$17,G333:AG333),0,1))))</f>
        <v>1952789.4122084787</v>
      </c>
      <c r="AM333" s="72">
        <f t="shared" ref="AM333:BB335" ca="1" si="373">SUMIFS(AM$9:AM$322,$D$9:$D$322,$D333,$E$9:$E$322,$E333)</f>
        <v>1268510.5641491744</v>
      </c>
      <c r="AN333" s="72">
        <f t="shared" ca="1" si="373"/>
        <v>2587810.6864846139</v>
      </c>
      <c r="AO333" s="72">
        <f t="shared" ca="1" si="373"/>
        <v>3964840.601493557</v>
      </c>
      <c r="AP333" s="72">
        <f t="shared" ca="1" si="373"/>
        <v>3964840.601493557</v>
      </c>
      <c r="AQ333" s="72">
        <f t="shared" ca="1" si="373"/>
        <v>3964840.601493557</v>
      </c>
      <c r="AR333" s="72">
        <f t="shared" ca="1" si="373"/>
        <v>3964840.601493557</v>
      </c>
      <c r="AS333" s="72">
        <f t="shared" ca="1" si="373"/>
        <v>3964840.601493557</v>
      </c>
      <c r="AT333" s="72">
        <f t="shared" ca="1" si="373"/>
        <v>3964840.601493557</v>
      </c>
      <c r="AU333" s="72">
        <f t="shared" ca="1" si="373"/>
        <v>3964840.601493557</v>
      </c>
      <c r="AV333" s="72">
        <f t="shared" ca="1" si="373"/>
        <v>3964840.601493557</v>
      </c>
      <c r="AW333" s="72">
        <f t="shared" ca="1" si="373"/>
        <v>3964840.601493557</v>
      </c>
      <c r="AX333" s="72">
        <f t="shared" ca="1" si="373"/>
        <v>3964840.601493557</v>
      </c>
      <c r="AY333" s="72">
        <f t="shared" ca="1" si="373"/>
        <v>3964840.601493557</v>
      </c>
      <c r="AZ333" s="72">
        <f t="shared" ca="1" si="373"/>
        <v>3295936.9729071786</v>
      </c>
      <c r="BA333" s="72">
        <f t="shared" ca="1" si="373"/>
        <v>2594699.8610426923</v>
      </c>
      <c r="BB333" s="72">
        <f t="shared" ca="1" si="373"/>
        <v>1558456.1430315583</v>
      </c>
      <c r="BC333" s="72">
        <f t="shared" ref="BC333:BM335" ca="1" si="374">SUMIFS(BC$9:BC$322,$D$9:$D$322,$D333,$E$9:$E$322,$E333)</f>
        <v>1024597.5458109549</v>
      </c>
      <c r="BD333" s="72">
        <f t="shared" ca="1" si="374"/>
        <v>472575.57009580161</v>
      </c>
      <c r="BE333" s="72">
        <f t="shared" ca="1" si="374"/>
        <v>215284.08443887549</v>
      </c>
      <c r="BF333" s="72">
        <f t="shared" ca="1" si="374"/>
        <v>215284.08443887549</v>
      </c>
      <c r="BG333" s="72">
        <f t="shared" ca="1" si="374"/>
        <v>145858.71304961035</v>
      </c>
      <c r="BH333" s="72">
        <f t="shared" ca="1" si="374"/>
        <v>74299.997395959712</v>
      </c>
      <c r="BI333" s="72">
        <f t="shared" ca="1" si="374"/>
        <v>0</v>
      </c>
      <c r="BJ333" s="72">
        <f t="shared" ca="1" si="374"/>
        <v>0</v>
      </c>
      <c r="BK333" s="72">
        <f t="shared" ca="1" si="374"/>
        <v>0</v>
      </c>
      <c r="BL333" s="72">
        <f t="shared" ca="1" si="374"/>
        <v>0</v>
      </c>
      <c r="BM333" s="72">
        <f t="shared" ca="1" si="374"/>
        <v>0</v>
      </c>
      <c r="BN333" s="72"/>
      <c r="BO333" s="72">
        <f ca="1">NPV(Lookups!$E$17,AM333:BM333)</f>
        <v>50502342.975674093</v>
      </c>
      <c r="BP333" s="72">
        <f ca="1">IF($C$4=Year1,-PMT(Lookups!$E$17,25,NPV(Lookups!$E$17,AM333:BK333),0,1),IF($C$4=Year2,-PMT(Lookups!$F$17,25,NPV(Lookups!$F$17,AN333:BL333),0,1),IF($C$4=Year3,-PMT(Lookups!$G$17,25,NPV(Lookups!$G$17,AO333:BM333),0,1),-PMT(Lookups!$G$17,27,NPV(Lookups!$G$17,AM333:BM333),0,1))))</f>
        <v>2231759.321488936</v>
      </c>
      <c r="BS333" s="84" t="str">
        <f>"Avoided "&amp;E333&amp;" costs."</f>
        <v>Avoided Gas costs.</v>
      </c>
      <c r="BT333" s="51" t="s">
        <v>17</v>
      </c>
    </row>
    <row r="334" spans="1:72" x14ac:dyDescent="0.25">
      <c r="B334" s="243" t="str">
        <f t="shared" ref="B334:C334" si="375">B333</f>
        <v>Portfolio Total</v>
      </c>
      <c r="C334" s="243" t="str">
        <f t="shared" si="375"/>
        <v>Revenue Requirements</v>
      </c>
      <c r="D334" s="244" t="str">
        <f>D333</f>
        <v>Avoided Costs</v>
      </c>
      <c r="E334" s="84" t="s">
        <v>412</v>
      </c>
      <c r="F334" s="84" t="s">
        <v>32</v>
      </c>
      <c r="G334" s="65">
        <f t="shared" ca="1" si="371"/>
        <v>75678.187120168397</v>
      </c>
      <c r="H334" s="65">
        <f t="shared" ca="1" si="371"/>
        <v>154386.43327973361</v>
      </c>
      <c r="I334" s="65">
        <f t="shared" ca="1" si="371"/>
        <v>236538.78672665154</v>
      </c>
      <c r="J334" s="65">
        <f t="shared" ca="1" si="371"/>
        <v>236538.78672665154</v>
      </c>
      <c r="K334" s="65">
        <f t="shared" ca="1" si="371"/>
        <v>236538.78672665154</v>
      </c>
      <c r="L334" s="65">
        <f t="shared" ca="1" si="371"/>
        <v>236538.78672665154</v>
      </c>
      <c r="M334" s="65">
        <f t="shared" ca="1" si="371"/>
        <v>236538.78672665154</v>
      </c>
      <c r="N334" s="65">
        <f t="shared" ca="1" si="371"/>
        <v>236538.78672665154</v>
      </c>
      <c r="O334" s="65">
        <f t="shared" ca="1" si="371"/>
        <v>236538.78672665154</v>
      </c>
      <c r="P334" s="65">
        <f t="shared" ca="1" si="371"/>
        <v>236538.78672665154</v>
      </c>
      <c r="Q334" s="65">
        <f t="shared" ca="1" si="371"/>
        <v>236538.78672665154</v>
      </c>
      <c r="R334" s="65">
        <f t="shared" ca="1" si="371"/>
        <v>236538.78672665154</v>
      </c>
      <c r="S334" s="65">
        <f t="shared" ca="1" si="371"/>
        <v>236538.78672665154</v>
      </c>
      <c r="T334" s="65">
        <f t="shared" ca="1" si="371"/>
        <v>196632.60383749905</v>
      </c>
      <c r="U334" s="65">
        <f t="shared" ca="1" si="371"/>
        <v>154797.43499958931</v>
      </c>
      <c r="V334" s="65">
        <f t="shared" ca="1" si="371"/>
        <v>92976.076758717711</v>
      </c>
      <c r="W334" s="65">
        <f t="shared" ca="1" si="372"/>
        <v>61126.558164461982</v>
      </c>
      <c r="X334" s="65">
        <f t="shared" ca="1" si="372"/>
        <v>28193.428925532284</v>
      </c>
      <c r="Y334" s="65">
        <f t="shared" ca="1" si="372"/>
        <v>12843.65279069853</v>
      </c>
      <c r="Z334" s="65">
        <f t="shared" ca="1" si="372"/>
        <v>12843.65279069853</v>
      </c>
      <c r="AA334" s="65">
        <f t="shared" ca="1" si="372"/>
        <v>8701.7982330986633</v>
      </c>
      <c r="AB334" s="65">
        <f t="shared" ca="1" si="372"/>
        <v>4432.6703020234099</v>
      </c>
      <c r="AC334" s="65">
        <f t="shared" ca="1" si="372"/>
        <v>0</v>
      </c>
      <c r="AD334" s="65">
        <f t="shared" ca="1" si="372"/>
        <v>0</v>
      </c>
      <c r="AE334" s="65">
        <f t="shared" ca="1" si="372"/>
        <v>0</v>
      </c>
      <c r="AF334" s="65">
        <f t="shared" ca="1" si="372"/>
        <v>0</v>
      </c>
      <c r="AG334" s="65">
        <f t="shared" ca="1" si="372"/>
        <v>0</v>
      </c>
      <c r="AH334" s="65"/>
      <c r="AI334" s="65">
        <f ca="1">NPV(Lookups!$E$17,G334:AG334)</f>
        <v>3012923.8798195664</v>
      </c>
      <c r="AJ334" s="65">
        <f ca="1">IF($C$4=Year1,-PMT(Lookups!$E$17,25,NPV(Lookups!$E$17,G334:AE334),0,1),IF($C$4=Year2,-PMT(Lookups!$F$17,25,NPV(Lookups!$F$17,H334:AF334),0,1),IF($C$4=Year3,-PMT(Lookups!$G$17,25,NPV(Lookups!$G$17,I334:AG334),0,1),-PMT(Lookups!$G$17,27,NPV(Lookups!$G$17,G334:AG334),0,1))))</f>
        <v>133144.73265057808</v>
      </c>
      <c r="AM334" s="72">
        <f t="shared" ca="1" si="373"/>
        <v>86489.356646534594</v>
      </c>
      <c r="AN334" s="72">
        <f t="shared" ca="1" si="373"/>
        <v>176441.63771486003</v>
      </c>
      <c r="AO334" s="72">
        <f t="shared" ca="1" si="373"/>
        <v>270330.04101092438</v>
      </c>
      <c r="AP334" s="72">
        <f t="shared" ca="1" si="373"/>
        <v>270330.04101092438</v>
      </c>
      <c r="AQ334" s="72">
        <f t="shared" ca="1" si="373"/>
        <v>270330.04101092438</v>
      </c>
      <c r="AR334" s="72">
        <f t="shared" ca="1" si="373"/>
        <v>270330.04101092438</v>
      </c>
      <c r="AS334" s="72">
        <f t="shared" ca="1" si="373"/>
        <v>270330.04101092438</v>
      </c>
      <c r="AT334" s="72">
        <f t="shared" ca="1" si="373"/>
        <v>270330.04101092438</v>
      </c>
      <c r="AU334" s="72">
        <f t="shared" ca="1" si="373"/>
        <v>270330.04101092438</v>
      </c>
      <c r="AV334" s="72">
        <f t="shared" ca="1" si="373"/>
        <v>270330.04101092438</v>
      </c>
      <c r="AW334" s="72">
        <f t="shared" ca="1" si="373"/>
        <v>270330.04101092438</v>
      </c>
      <c r="AX334" s="72">
        <f t="shared" ca="1" si="373"/>
        <v>270330.04101092438</v>
      </c>
      <c r="AY334" s="72">
        <f t="shared" ca="1" si="373"/>
        <v>270330.04101092438</v>
      </c>
      <c r="AZ334" s="72">
        <f t="shared" ca="1" si="373"/>
        <v>224722.97542548945</v>
      </c>
      <c r="BA334" s="72">
        <f t="shared" ca="1" si="373"/>
        <v>176911.35416200175</v>
      </c>
      <c r="BB334" s="72">
        <f t="shared" ca="1" si="373"/>
        <v>106258.37338851533</v>
      </c>
      <c r="BC334" s="72">
        <f t="shared" ca="1" si="374"/>
        <v>69858.923578019632</v>
      </c>
      <c r="BD334" s="72">
        <f t="shared" ca="1" si="374"/>
        <v>32221.061597441018</v>
      </c>
      <c r="BE334" s="72">
        <f t="shared" ca="1" si="374"/>
        <v>14678.460302650599</v>
      </c>
      <c r="BF334" s="72">
        <f t="shared" ca="1" si="374"/>
        <v>14678.460302650599</v>
      </c>
      <c r="BG334" s="72">
        <f t="shared" ca="1" si="374"/>
        <v>9944.912253382523</v>
      </c>
      <c r="BH334" s="72">
        <f t="shared" ca="1" si="374"/>
        <v>5065.9089133608895</v>
      </c>
      <c r="BI334" s="72">
        <f t="shared" ca="1" si="374"/>
        <v>0</v>
      </c>
      <c r="BJ334" s="72">
        <f t="shared" ca="1" si="374"/>
        <v>0</v>
      </c>
      <c r="BK334" s="72">
        <f t="shared" ca="1" si="374"/>
        <v>0</v>
      </c>
      <c r="BL334" s="72">
        <f t="shared" ca="1" si="374"/>
        <v>0</v>
      </c>
      <c r="BM334" s="72">
        <f t="shared" ca="1" si="374"/>
        <v>0</v>
      </c>
      <c r="BN334" s="72"/>
      <c r="BO334" s="72">
        <f ca="1">NPV(Lookups!$E$17,AM334:BM334)</f>
        <v>3443341.5665232353</v>
      </c>
      <c r="BP334" s="72">
        <f ca="1">IF($C$4=Year1,-PMT(Lookups!$E$17,25,NPV(Lookups!$E$17,AM334:BK334),0,1),IF($C$4=Year2,-PMT(Lookups!$F$17,25,NPV(Lookups!$F$17,AN334:BL334),0,1),IF($C$4=Year3,-PMT(Lookups!$G$17,25,NPV(Lookups!$G$17,AO334:BM334),0,1),-PMT(Lookups!$G$17,27,NPV(Lookups!$G$17,AM334:BM334),0,1))))</f>
        <v>152165.40828333661</v>
      </c>
      <c r="BS334" s="84" t="str">
        <f>"Avoided "&amp;E334&amp;" costs."</f>
        <v>Avoided Gas, Retail Margin costs.</v>
      </c>
      <c r="BT334" s="51"/>
    </row>
    <row r="335" spans="1:72" x14ac:dyDescent="0.25">
      <c r="A335" s="52" t="s">
        <v>17</v>
      </c>
      <c r="B335" s="243" t="str">
        <f t="shared" ref="B335:C336" si="376">B332</f>
        <v>Portfolio Total</v>
      </c>
      <c r="C335" s="243" t="str">
        <f t="shared" si="376"/>
        <v>Revenue Requirements</v>
      </c>
      <c r="D335" s="244" t="str">
        <f>D333</f>
        <v>Avoided Costs</v>
      </c>
      <c r="E335" s="86" t="s">
        <v>175</v>
      </c>
      <c r="F335" s="84" t="s">
        <v>32</v>
      </c>
      <c r="G335" s="65">
        <f t="shared" ca="1" si="371"/>
        <v>53125.637756518219</v>
      </c>
      <c r="H335" s="65">
        <f t="shared" ca="1" si="371"/>
        <v>108395.30659132621</v>
      </c>
      <c r="I335" s="65">
        <f t="shared" ca="1" si="371"/>
        <v>165999.64331784457</v>
      </c>
      <c r="J335" s="65">
        <f t="shared" ca="1" si="371"/>
        <v>165999.64331784457</v>
      </c>
      <c r="K335" s="65">
        <f t="shared" ca="1" si="371"/>
        <v>165999.64331784457</v>
      </c>
      <c r="L335" s="65">
        <f t="shared" ca="1" si="371"/>
        <v>165999.64331784457</v>
      </c>
      <c r="M335" s="65">
        <f t="shared" ca="1" si="371"/>
        <v>165999.64331784457</v>
      </c>
      <c r="N335" s="65">
        <f t="shared" ca="1" si="371"/>
        <v>165999.64331784457</v>
      </c>
      <c r="O335" s="65">
        <f t="shared" ca="1" si="371"/>
        <v>165999.64331784457</v>
      </c>
      <c r="P335" s="65">
        <f t="shared" ca="1" si="371"/>
        <v>165999.64331784457</v>
      </c>
      <c r="Q335" s="65">
        <f t="shared" ca="1" si="371"/>
        <v>165999.64331784457</v>
      </c>
      <c r="R335" s="65">
        <f t="shared" ca="1" si="371"/>
        <v>165999.64331784457</v>
      </c>
      <c r="S335" s="65">
        <f t="shared" ca="1" si="371"/>
        <v>165999.64331784457</v>
      </c>
      <c r="T335" s="65">
        <f t="shared" ca="1" si="371"/>
        <v>134298.53117377765</v>
      </c>
      <c r="U335" s="65">
        <f t="shared" ca="1" si="371"/>
        <v>101043.66293456891</v>
      </c>
      <c r="V335" s="65">
        <f t="shared" ca="1" si="371"/>
        <v>55062.606391452609</v>
      </c>
      <c r="W335" s="65">
        <f t="shared" ca="1" si="372"/>
        <v>35774.953540925904</v>
      </c>
      <c r="X335" s="65">
        <f t="shared" ca="1" si="372"/>
        <v>15868.901366546017</v>
      </c>
      <c r="Y335" s="65">
        <f t="shared" ca="1" si="372"/>
        <v>6868.4450361513536</v>
      </c>
      <c r="Z335" s="65">
        <f t="shared" ca="1" si="372"/>
        <v>6868.4450361513536</v>
      </c>
      <c r="AA335" s="65">
        <f t="shared" ca="1" si="372"/>
        <v>4651.2900085109168</v>
      </c>
      <c r="AB335" s="65">
        <f t="shared" ca="1" si="372"/>
        <v>2367.0991853207806</v>
      </c>
      <c r="AC335" s="65">
        <f t="shared" ca="1" si="372"/>
        <v>0</v>
      </c>
      <c r="AD335" s="65">
        <f t="shared" ca="1" si="372"/>
        <v>0</v>
      </c>
      <c r="AE335" s="65">
        <f t="shared" ca="1" si="372"/>
        <v>0</v>
      </c>
      <c r="AF335" s="65">
        <f t="shared" ca="1" si="372"/>
        <v>0</v>
      </c>
      <c r="AG335" s="65">
        <f t="shared" ca="1" si="372"/>
        <v>0</v>
      </c>
      <c r="AH335" s="65"/>
      <c r="AI335" s="65">
        <f ca="1">NPV(Lookups!$E$17,G335:AG335)</f>
        <v>2083626.0474793289</v>
      </c>
      <c r="AJ335" s="65">
        <f ca="1">IF($C$4=Year1,-PMT(Lookups!$E$17,25,NPV(Lookups!$E$17,G335:AE335),0,1),IF($C$4=Year2,-PMT(Lookups!$F$17,25,NPV(Lookups!$F$17,H335:AF335),0,1),IF($C$4=Year3,-PMT(Lookups!$G$17,25,NPV(Lookups!$G$17,I335:AG335),0,1),-PMT(Lookups!$G$17,27,NPV(Lookups!$G$17,G335:AG335),0,1))))</f>
        <v>92077.942922351547</v>
      </c>
      <c r="AM335" s="72">
        <f t="shared" ca="1" si="373"/>
        <v>60715.014530595785</v>
      </c>
      <c r="AN335" s="72">
        <f t="shared" ca="1" si="373"/>
        <v>123880.35014148161</v>
      </c>
      <c r="AO335" s="72">
        <f t="shared" ca="1" si="373"/>
        <v>189713.87732573322</v>
      </c>
      <c r="AP335" s="72">
        <f t="shared" ca="1" si="373"/>
        <v>189713.87732573322</v>
      </c>
      <c r="AQ335" s="72">
        <f t="shared" ca="1" si="373"/>
        <v>189713.87732573322</v>
      </c>
      <c r="AR335" s="72">
        <f t="shared" ca="1" si="373"/>
        <v>189713.87732573322</v>
      </c>
      <c r="AS335" s="72">
        <f t="shared" ca="1" si="373"/>
        <v>189713.87732573322</v>
      </c>
      <c r="AT335" s="72">
        <f t="shared" ca="1" si="373"/>
        <v>189713.87732573322</v>
      </c>
      <c r="AU335" s="72">
        <f t="shared" ca="1" si="373"/>
        <v>189713.87732573322</v>
      </c>
      <c r="AV335" s="72">
        <f t="shared" ca="1" si="373"/>
        <v>189713.87732573322</v>
      </c>
      <c r="AW335" s="72">
        <f t="shared" ca="1" si="373"/>
        <v>189713.87732573322</v>
      </c>
      <c r="AX335" s="72">
        <f t="shared" ca="1" si="373"/>
        <v>189713.87732573322</v>
      </c>
      <c r="AY335" s="72">
        <f t="shared" ca="1" si="373"/>
        <v>189713.87732573322</v>
      </c>
      <c r="AZ335" s="72">
        <f t="shared" ca="1" si="373"/>
        <v>153484.03533078346</v>
      </c>
      <c r="BA335" s="72">
        <f t="shared" ca="1" si="373"/>
        <v>115478.47183964553</v>
      </c>
      <c r="BB335" s="72">
        <f t="shared" ca="1" si="373"/>
        <v>62928.692990945419</v>
      </c>
      <c r="BC335" s="72">
        <f t="shared" ca="1" si="374"/>
        <v>40885.661168561477</v>
      </c>
      <c r="BD335" s="72">
        <f t="shared" ca="1" si="374"/>
        <v>18135.887258968007</v>
      </c>
      <c r="BE335" s="72">
        <f t="shared" ca="1" si="374"/>
        <v>7849.6514540706439</v>
      </c>
      <c r="BF335" s="72">
        <f t="shared" ca="1" si="374"/>
        <v>7849.6514540706439</v>
      </c>
      <c r="BG335" s="72">
        <f t="shared" ca="1" si="374"/>
        <v>5315.760002769468</v>
      </c>
      <c r="BH335" s="72">
        <f t="shared" ca="1" si="374"/>
        <v>2705.2562100664245</v>
      </c>
      <c r="BI335" s="72">
        <f t="shared" ca="1" si="374"/>
        <v>0</v>
      </c>
      <c r="BJ335" s="72">
        <f t="shared" ca="1" si="374"/>
        <v>0</v>
      </c>
      <c r="BK335" s="72">
        <f t="shared" ca="1" si="374"/>
        <v>0</v>
      </c>
      <c r="BL335" s="72">
        <f t="shared" ca="1" si="374"/>
        <v>0</v>
      </c>
      <c r="BM335" s="72">
        <f t="shared" ca="1" si="374"/>
        <v>0</v>
      </c>
      <c r="BN335" s="72"/>
      <c r="BO335" s="72">
        <f ca="1">NPV(Lookups!$E$17,AM335:BM335)</f>
        <v>2381286.9033219614</v>
      </c>
      <c r="BP335" s="72">
        <f ca="1">IF($C$4=Year1,-PMT(Lookups!$E$17,25,NPV(Lookups!$E$17,AM335:BK335),0,1),IF($C$4=Year2,-PMT(Lookups!$F$17,25,NPV(Lookups!$F$17,AN335:BL335),0,1),IF($C$4=Year3,-PMT(Lookups!$G$17,25,NPV(Lookups!$G$17,AO335:BM335),0,1),-PMT(Lookups!$G$17,27,NPV(Lookups!$G$17,AM335:BM335),0,1))))</f>
        <v>105231.93441120489</v>
      </c>
      <c r="BS335" s="84" t="str">
        <f>"Avoided "&amp;E335&amp;" costs."</f>
        <v>Avoided Gas DRIPE costs.</v>
      </c>
      <c r="BT335" s="51" t="s">
        <v>17</v>
      </c>
    </row>
    <row r="336" spans="1:72" x14ac:dyDescent="0.25">
      <c r="A336" s="52" t="s">
        <v>17</v>
      </c>
      <c r="B336" s="243" t="str">
        <f t="shared" si="376"/>
        <v>Portfolio Total</v>
      </c>
      <c r="C336" s="243" t="str">
        <f t="shared" si="376"/>
        <v>Revenue Requirements</v>
      </c>
      <c r="D336" s="114" t="s">
        <v>165</v>
      </c>
      <c r="E336" s="84"/>
      <c r="F336" s="84"/>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S336" s="84"/>
      <c r="BT336" s="51" t="s">
        <v>17</v>
      </c>
    </row>
    <row r="337" spans="1:72" x14ac:dyDescent="0.25">
      <c r="A337" s="52" t="s">
        <v>17</v>
      </c>
      <c r="B337" s="243" t="str">
        <f t="shared" ref="B337:C337" si="377">B335</f>
        <v>Portfolio Total</v>
      </c>
      <c r="C337" s="243" t="str">
        <f t="shared" si="377"/>
        <v>Revenue Requirements</v>
      </c>
      <c r="D337" s="244" t="str">
        <f>D336</f>
        <v>Increased Costs and Cost Shifting</v>
      </c>
      <c r="E337" s="84" t="s">
        <v>406</v>
      </c>
      <c r="F337" s="84" t="s">
        <v>32</v>
      </c>
      <c r="G337" s="65">
        <f t="shared" ref="G337:AG337" ca="1" si="378">SUMIFS(G$9:G$322,$D$9:$D$322,$D337,$E$9:$E$322,$E337)</f>
        <v>8523487.9305614624</v>
      </c>
      <c r="H337" s="65">
        <f t="shared" ca="1" si="378"/>
        <v>8850634.3129756711</v>
      </c>
      <c r="I337" s="65">
        <f t="shared" ca="1" si="378"/>
        <v>9269128.839689333</v>
      </c>
      <c r="J337" s="65">
        <f t="shared" ca="1" si="378"/>
        <v>0</v>
      </c>
      <c r="K337" s="65">
        <f t="shared" ca="1" si="378"/>
        <v>0</v>
      </c>
      <c r="L337" s="65">
        <f t="shared" ca="1" si="378"/>
        <v>0</v>
      </c>
      <c r="M337" s="65">
        <f t="shared" ca="1" si="378"/>
        <v>0</v>
      </c>
      <c r="N337" s="65">
        <f t="shared" ca="1" si="378"/>
        <v>0</v>
      </c>
      <c r="O337" s="65">
        <f t="shared" ca="1" si="378"/>
        <v>0</v>
      </c>
      <c r="P337" s="65">
        <f t="shared" ca="1" si="378"/>
        <v>0</v>
      </c>
      <c r="Q337" s="65">
        <f t="shared" ca="1" si="378"/>
        <v>0</v>
      </c>
      <c r="R337" s="65">
        <f t="shared" ca="1" si="378"/>
        <v>0</v>
      </c>
      <c r="S337" s="65">
        <f t="shared" ca="1" si="378"/>
        <v>0</v>
      </c>
      <c r="T337" s="65">
        <f t="shared" ca="1" si="378"/>
        <v>0</v>
      </c>
      <c r="U337" s="65">
        <f t="shared" ca="1" si="378"/>
        <v>0</v>
      </c>
      <c r="V337" s="65">
        <f t="shared" ca="1" si="378"/>
        <v>0</v>
      </c>
      <c r="W337" s="65">
        <f t="shared" ca="1" si="378"/>
        <v>0</v>
      </c>
      <c r="X337" s="65">
        <f t="shared" ca="1" si="378"/>
        <v>0</v>
      </c>
      <c r="Y337" s="65">
        <f t="shared" ca="1" si="378"/>
        <v>0</v>
      </c>
      <c r="Z337" s="65">
        <f t="shared" ca="1" si="378"/>
        <v>0</v>
      </c>
      <c r="AA337" s="65">
        <f t="shared" ca="1" si="378"/>
        <v>0</v>
      </c>
      <c r="AB337" s="65">
        <f t="shared" ca="1" si="378"/>
        <v>0</v>
      </c>
      <c r="AC337" s="65">
        <f t="shared" ca="1" si="378"/>
        <v>0</v>
      </c>
      <c r="AD337" s="65">
        <f t="shared" ca="1" si="378"/>
        <v>0</v>
      </c>
      <c r="AE337" s="65">
        <f t="shared" ca="1" si="378"/>
        <v>0</v>
      </c>
      <c r="AF337" s="65">
        <f t="shared" ca="1" si="378"/>
        <v>0</v>
      </c>
      <c r="AG337" s="65">
        <f t="shared" ca="1" si="378"/>
        <v>0</v>
      </c>
      <c r="AH337" s="49"/>
      <c r="AI337" s="65">
        <f ca="1">NPV(Lookups!$E$17,G337:AG337)</f>
        <v>25896784.560175039</v>
      </c>
      <c r="AJ337" s="65">
        <f ca="1">IF($C$4=Year1,-PMT(Lookups!$E$17,25,NPV(Lookups!$E$17,G337:AE337),0,1),IF($C$4=Year2,-PMT(Lookups!$F$17,25,NPV(Lookups!$F$17,H337:AF337),0,1),IF($C$4=Year3,-PMT(Lookups!$G$17,25,NPV(Lookups!$G$17,I337:AG337),0,1),-PMT(Lookups!$G$17,27,NPV(Lookups!$G$17,G337:AG337),0,1))))</f>
        <v>1144410.0794808711</v>
      </c>
      <c r="AM337" s="71">
        <f t="shared" ref="AM337:BM337" ca="1" si="379">SUMIFS(AM$9:AM$322,$D$9:$D$322,$D337,$E$9:$E$322,$E337)</f>
        <v>10192010.370949045</v>
      </c>
      <c r="AN337" s="71">
        <f t="shared" ca="1" si="379"/>
        <v>10581234.865064761</v>
      </c>
      <c r="AO337" s="71">
        <f t="shared" ca="1" si="379"/>
        <v>11079057.412813339</v>
      </c>
      <c r="AP337" s="71">
        <f t="shared" ca="1" si="379"/>
        <v>0</v>
      </c>
      <c r="AQ337" s="71">
        <f t="shared" ca="1" si="379"/>
        <v>0</v>
      </c>
      <c r="AR337" s="71">
        <f t="shared" ca="1" si="379"/>
        <v>0</v>
      </c>
      <c r="AS337" s="71">
        <f t="shared" ca="1" si="379"/>
        <v>0</v>
      </c>
      <c r="AT337" s="71">
        <f t="shared" ca="1" si="379"/>
        <v>0</v>
      </c>
      <c r="AU337" s="71">
        <f t="shared" ca="1" si="379"/>
        <v>0</v>
      </c>
      <c r="AV337" s="71">
        <f t="shared" ca="1" si="379"/>
        <v>0</v>
      </c>
      <c r="AW337" s="71">
        <f t="shared" ca="1" si="379"/>
        <v>0</v>
      </c>
      <c r="AX337" s="71">
        <f t="shared" ca="1" si="379"/>
        <v>0</v>
      </c>
      <c r="AY337" s="71">
        <f t="shared" ca="1" si="379"/>
        <v>0</v>
      </c>
      <c r="AZ337" s="71">
        <f t="shared" ca="1" si="379"/>
        <v>0</v>
      </c>
      <c r="BA337" s="71">
        <f t="shared" ca="1" si="379"/>
        <v>0</v>
      </c>
      <c r="BB337" s="71">
        <f t="shared" ca="1" si="379"/>
        <v>0</v>
      </c>
      <c r="BC337" s="71">
        <f t="shared" ca="1" si="379"/>
        <v>0</v>
      </c>
      <c r="BD337" s="71">
        <f t="shared" ca="1" si="379"/>
        <v>0</v>
      </c>
      <c r="BE337" s="71">
        <f t="shared" ca="1" si="379"/>
        <v>0</v>
      </c>
      <c r="BF337" s="71">
        <f t="shared" ca="1" si="379"/>
        <v>0</v>
      </c>
      <c r="BG337" s="71">
        <f t="shared" ca="1" si="379"/>
        <v>0</v>
      </c>
      <c r="BH337" s="71">
        <f t="shared" ca="1" si="379"/>
        <v>0</v>
      </c>
      <c r="BI337" s="71">
        <f t="shared" ca="1" si="379"/>
        <v>0</v>
      </c>
      <c r="BJ337" s="71">
        <f t="shared" ca="1" si="379"/>
        <v>0</v>
      </c>
      <c r="BK337" s="71">
        <f t="shared" ca="1" si="379"/>
        <v>0</v>
      </c>
      <c r="BL337" s="71">
        <f t="shared" ca="1" si="379"/>
        <v>0</v>
      </c>
      <c r="BM337" s="71">
        <f t="shared" ca="1" si="379"/>
        <v>0</v>
      </c>
      <c r="BN337" s="71"/>
      <c r="BO337" s="71">
        <f ca="1">NPV(Lookups!$E$17,AM337:BM337)</f>
        <v>30959953.354259774</v>
      </c>
      <c r="BP337" s="72">
        <f ca="1">IF($C$4=Year1,-PMT(Lookups!$E$17,25,NPV(Lookups!$E$17,AM337:BK337),0,1),IF($C$4=Year2,-PMT(Lookups!$F$17,25,NPV(Lookups!$F$17,AN337:BL337),0,1),IF($C$4=Year3,-PMT(Lookups!$G$17,25,NPV(Lookups!$G$17,AO337:BM337),0,1),-PMT(Lookups!$G$17,27,NPV(Lookups!$G$17,AM337:BM337),0,1))))</f>
        <v>1368157.6025990236</v>
      </c>
      <c r="BS337" s="84" t="s">
        <v>404</v>
      </c>
      <c r="BT337" s="51" t="s">
        <v>17</v>
      </c>
    </row>
    <row r="338" spans="1:72" x14ac:dyDescent="0.25">
      <c r="A338" s="52" t="s">
        <v>17</v>
      </c>
      <c r="B338" s="243" t="str">
        <f>B336</f>
        <v>Portfolio Total</v>
      </c>
      <c r="C338" s="243" t="str">
        <f>C336</f>
        <v>Revenue Requirements</v>
      </c>
      <c r="D338" s="114" t="s">
        <v>125</v>
      </c>
      <c r="E338" s="84"/>
      <c r="F338" s="84"/>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S338" s="84"/>
      <c r="BT338" s="51" t="s">
        <v>17</v>
      </c>
    </row>
    <row r="339" spans="1:72" x14ac:dyDescent="0.25">
      <c r="A339" s="1"/>
      <c r="B339" s="243" t="str">
        <f t="shared" ref="B339:C340" si="380">B338</f>
        <v>Portfolio Total</v>
      </c>
      <c r="C339" s="243" t="str">
        <f t="shared" si="380"/>
        <v>Revenue Requirements</v>
      </c>
      <c r="D339" s="244" t="str">
        <f>D338</f>
        <v>Revenue Requirement after DSM Scenario</v>
      </c>
      <c r="E339" s="84" t="s">
        <v>26</v>
      </c>
      <c r="F339" s="84" t="s">
        <v>32</v>
      </c>
      <c r="G339" s="64">
        <f ca="1">G328-G334</f>
        <v>43261737.456743866</v>
      </c>
      <c r="H339" s="64">
        <f ca="1">H328-H334</f>
        <v>43183029.210584305</v>
      </c>
      <c r="I339" s="64">
        <f t="shared" ref="I339:AG339" ca="1" si="381">I328-I334</f>
        <v>43100876.857137382</v>
      </c>
      <c r="J339" s="64">
        <f t="shared" ca="1" si="381"/>
        <v>43100876.857137382</v>
      </c>
      <c r="K339" s="64">
        <f t="shared" ca="1" si="381"/>
        <v>43100876.857137382</v>
      </c>
      <c r="L339" s="64">
        <f t="shared" ca="1" si="381"/>
        <v>43100876.857137382</v>
      </c>
      <c r="M339" s="64">
        <f t="shared" ca="1" si="381"/>
        <v>43100876.857137382</v>
      </c>
      <c r="N339" s="64">
        <f t="shared" ca="1" si="381"/>
        <v>43100876.857137382</v>
      </c>
      <c r="O339" s="64">
        <f t="shared" ca="1" si="381"/>
        <v>43100876.857137382</v>
      </c>
      <c r="P339" s="64">
        <f t="shared" ca="1" si="381"/>
        <v>43100876.857137382</v>
      </c>
      <c r="Q339" s="64">
        <f t="shared" ca="1" si="381"/>
        <v>43100876.857137382</v>
      </c>
      <c r="R339" s="64">
        <f t="shared" ca="1" si="381"/>
        <v>43100876.857137382</v>
      </c>
      <c r="S339" s="64">
        <f t="shared" ca="1" si="381"/>
        <v>43100876.857137382</v>
      </c>
      <c r="T339" s="64">
        <f t="shared" ca="1" si="381"/>
        <v>43140783.040026538</v>
      </c>
      <c r="U339" s="64">
        <f t="shared" ca="1" si="381"/>
        <v>43182618.208864443</v>
      </c>
      <c r="V339" s="64">
        <f t="shared" ca="1" si="381"/>
        <v>43244439.567105316</v>
      </c>
      <c r="W339" s="64">
        <f t="shared" ca="1" si="381"/>
        <v>43276289.085699573</v>
      </c>
      <c r="X339" s="64">
        <f t="shared" ca="1" si="381"/>
        <v>43309222.214938506</v>
      </c>
      <c r="Y339" s="64">
        <f t="shared" ca="1" si="381"/>
        <v>43324571.99107334</v>
      </c>
      <c r="Z339" s="64">
        <f t="shared" ca="1" si="381"/>
        <v>43324571.99107334</v>
      </c>
      <c r="AA339" s="64">
        <f t="shared" ca="1" si="381"/>
        <v>43328713.845630936</v>
      </c>
      <c r="AB339" s="64">
        <f t="shared" ca="1" si="381"/>
        <v>43332982.97356201</v>
      </c>
      <c r="AC339" s="64">
        <f t="shared" ca="1" si="381"/>
        <v>43337415.643864036</v>
      </c>
      <c r="AD339" s="64">
        <f t="shared" ca="1" si="381"/>
        <v>43337415.643864036</v>
      </c>
      <c r="AE339" s="64">
        <f t="shared" ca="1" si="381"/>
        <v>43337415.643864036</v>
      </c>
      <c r="AF339" s="64">
        <f t="shared" ca="1" si="381"/>
        <v>43337415.643864036</v>
      </c>
      <c r="AG339" s="64">
        <f t="shared" ca="1" si="381"/>
        <v>43337415.643864036</v>
      </c>
      <c r="AH339" s="64"/>
      <c r="AI339" s="64">
        <f ca="1">NPV(Lookups!$E$17,G339:AG339)</f>
        <v>963989485.18439305</v>
      </c>
      <c r="AJ339" s="65">
        <f ca="1">IF($C$4=Year1,-PMT(Lookups!$E$17,25,NPV(Lookups!$E$17,G339:AE339),0,1),IF($C$4=Year2,-PMT(Lookups!$F$17,25,NPV(Lookups!$F$17,H339:AF339),0,1),IF($C$4=Year3,-PMT(Lookups!$G$17,25,NPV(Lookups!$G$17,I339:AG339),0,1),-PMT(Lookups!$G$17,27,NPV(Lookups!$G$17,G339:AG339),0,1))))</f>
        <v>42599855.62281476</v>
      </c>
      <c r="AM339" s="71">
        <f t="shared" ref="AM339:BM339" ca="1" si="382">AM328-AM334</f>
        <v>43250926.287217498</v>
      </c>
      <c r="AN339" s="71">
        <f t="shared" ca="1" si="382"/>
        <v>43160974.006149173</v>
      </c>
      <c r="AO339" s="71">
        <f t="shared" ca="1" si="382"/>
        <v>43067085.602853112</v>
      </c>
      <c r="AP339" s="71">
        <f t="shared" ca="1" si="382"/>
        <v>43067085.602853112</v>
      </c>
      <c r="AQ339" s="71">
        <f t="shared" ca="1" si="382"/>
        <v>43067085.602853112</v>
      </c>
      <c r="AR339" s="71">
        <f t="shared" ca="1" si="382"/>
        <v>43067085.602853112</v>
      </c>
      <c r="AS339" s="71">
        <f t="shared" ca="1" si="382"/>
        <v>43067085.602853112</v>
      </c>
      <c r="AT339" s="71">
        <f t="shared" ca="1" si="382"/>
        <v>43067085.602853112</v>
      </c>
      <c r="AU339" s="71">
        <f t="shared" ca="1" si="382"/>
        <v>43067085.602853112</v>
      </c>
      <c r="AV339" s="71">
        <f t="shared" ca="1" si="382"/>
        <v>43067085.602853112</v>
      </c>
      <c r="AW339" s="71">
        <f t="shared" ca="1" si="382"/>
        <v>43067085.602853112</v>
      </c>
      <c r="AX339" s="71">
        <f t="shared" ca="1" si="382"/>
        <v>43067085.602853112</v>
      </c>
      <c r="AY339" s="71">
        <f t="shared" ca="1" si="382"/>
        <v>43067085.602853112</v>
      </c>
      <c r="AZ339" s="71">
        <f t="shared" ca="1" si="382"/>
        <v>43112692.668438546</v>
      </c>
      <c r="BA339" s="71">
        <f t="shared" ca="1" si="382"/>
        <v>43160504.289702035</v>
      </c>
      <c r="BB339" s="71">
        <f t="shared" ca="1" si="382"/>
        <v>43231157.270475522</v>
      </c>
      <c r="BC339" s="71">
        <f t="shared" ca="1" si="382"/>
        <v>43267556.720286019</v>
      </c>
      <c r="BD339" s="71">
        <f t="shared" ca="1" si="382"/>
        <v>43305194.582266591</v>
      </c>
      <c r="BE339" s="71">
        <f t="shared" ca="1" si="382"/>
        <v>43322737.183561385</v>
      </c>
      <c r="BF339" s="71">
        <f t="shared" ca="1" si="382"/>
        <v>43322737.183561385</v>
      </c>
      <c r="BG339" s="71">
        <f t="shared" ca="1" si="382"/>
        <v>43327470.731610656</v>
      </c>
      <c r="BH339" s="71">
        <f t="shared" ca="1" si="382"/>
        <v>43332349.734950677</v>
      </c>
      <c r="BI339" s="71">
        <f t="shared" ca="1" si="382"/>
        <v>43337415.643864036</v>
      </c>
      <c r="BJ339" s="71">
        <f t="shared" ca="1" si="382"/>
        <v>43337415.643864036</v>
      </c>
      <c r="BK339" s="71">
        <f t="shared" ca="1" si="382"/>
        <v>43337415.643864036</v>
      </c>
      <c r="BL339" s="71">
        <f t="shared" ca="1" si="382"/>
        <v>43337415.643864036</v>
      </c>
      <c r="BM339" s="71">
        <f t="shared" ca="1" si="382"/>
        <v>43337415.643864036</v>
      </c>
      <c r="BN339" s="71"/>
      <c r="BO339" s="71">
        <f ca="1">NPV(Lookups!$E$17,AM339:BM339)</f>
        <v>963559067.49768949</v>
      </c>
      <c r="BP339" s="71">
        <f ca="1">IF($C$4=Year1,-PMT(Lookups!$E$17,25,NPV(Lookups!$E$17,AM339:BK339),0,1),IF($C$4=Year2,-PMT(Lookups!$F$17,25,NPV(Lookups!$F$17,AN339:BL339),0,1),IF($C$4=Year3,-PMT(Lookups!$G$17,25,NPV(Lookups!$G$17,AO339:BM339),0,1),-PMT(Lookups!$G$17,27,NPV(Lookups!$G$17,AM339:BM339),0,1))))</f>
        <v>42580834.947182015</v>
      </c>
      <c r="BS339" s="84" t="s">
        <v>229</v>
      </c>
      <c r="BT339" s="51" t="s">
        <v>17</v>
      </c>
    </row>
    <row r="340" spans="1:72" x14ac:dyDescent="0.25">
      <c r="A340" s="1"/>
      <c r="B340" s="243" t="str">
        <f t="shared" si="380"/>
        <v>Portfolio Total</v>
      </c>
      <c r="C340" s="243" t="str">
        <f t="shared" si="380"/>
        <v>Revenue Requirements</v>
      </c>
      <c r="D340" s="244" t="str">
        <f>D339</f>
        <v>Revenue Requirement after DSM Scenario</v>
      </c>
      <c r="E340" s="84" t="s">
        <v>407</v>
      </c>
      <c r="F340" s="84" t="s">
        <v>32</v>
      </c>
      <c r="G340" s="64">
        <f>G329</f>
        <v>-1915965.2564594061</v>
      </c>
      <c r="H340" s="64">
        <f t="shared" ref="H340:AG340" si="383">H329</f>
        <v>-1915965.2564594061</v>
      </c>
      <c r="I340" s="64">
        <f t="shared" si="383"/>
        <v>-1915965.2564594061</v>
      </c>
      <c r="J340" s="64">
        <f t="shared" si="383"/>
        <v>-1915965.2564594061</v>
      </c>
      <c r="K340" s="64">
        <f t="shared" si="383"/>
        <v>-1915965.2564594061</v>
      </c>
      <c r="L340" s="64">
        <f t="shared" si="383"/>
        <v>-1915965.2564594061</v>
      </c>
      <c r="M340" s="64">
        <f t="shared" si="383"/>
        <v>-1915965.2564594061</v>
      </c>
      <c r="N340" s="64">
        <f t="shared" si="383"/>
        <v>-1915965.2564594061</v>
      </c>
      <c r="O340" s="64">
        <f t="shared" si="383"/>
        <v>-1915965.2564594061</v>
      </c>
      <c r="P340" s="64">
        <f t="shared" si="383"/>
        <v>-1915965.2564594061</v>
      </c>
      <c r="Q340" s="64">
        <f t="shared" si="383"/>
        <v>-1915965.2564594061</v>
      </c>
      <c r="R340" s="64">
        <f t="shared" si="383"/>
        <v>-1915965.2564594061</v>
      </c>
      <c r="S340" s="64">
        <f t="shared" si="383"/>
        <v>-1915965.2564594061</v>
      </c>
      <c r="T340" s="64">
        <f t="shared" si="383"/>
        <v>-1915965.2564594061</v>
      </c>
      <c r="U340" s="64">
        <f t="shared" si="383"/>
        <v>-1915965.2564594061</v>
      </c>
      <c r="V340" s="64">
        <f t="shared" si="383"/>
        <v>-1915965.2564594061</v>
      </c>
      <c r="W340" s="64">
        <f t="shared" si="383"/>
        <v>-1915965.2564594061</v>
      </c>
      <c r="X340" s="64">
        <f t="shared" si="383"/>
        <v>-1915965.2564594061</v>
      </c>
      <c r="Y340" s="64">
        <f t="shared" si="383"/>
        <v>-1915965.2564594061</v>
      </c>
      <c r="Z340" s="64">
        <f t="shared" si="383"/>
        <v>-1915965.2564594061</v>
      </c>
      <c r="AA340" s="64">
        <f t="shared" si="383"/>
        <v>-1915965.2564594061</v>
      </c>
      <c r="AB340" s="64">
        <f t="shared" si="383"/>
        <v>-1915965.2564594061</v>
      </c>
      <c r="AC340" s="64">
        <f t="shared" si="383"/>
        <v>-1915965.2564594061</v>
      </c>
      <c r="AD340" s="64">
        <f t="shared" si="383"/>
        <v>-1915965.2564594061</v>
      </c>
      <c r="AE340" s="64">
        <f t="shared" si="383"/>
        <v>-1915965.2564594061</v>
      </c>
      <c r="AF340" s="64">
        <f t="shared" si="383"/>
        <v>-1915965.2564594061</v>
      </c>
      <c r="AG340" s="64">
        <f t="shared" si="383"/>
        <v>-1915965.2564594061</v>
      </c>
      <c r="AH340" s="64"/>
      <c r="AI340" s="64">
        <f>NPV(Lookups!$E$17,G340:AG340)</f>
        <v>-42751580.61811883</v>
      </c>
      <c r="AJ340" s="65">
        <f>IF($C$4=Year1,-PMT(Lookups!$E$17,25,NPV(Lookups!$E$17,G340:AE340),0,1),IF($C$4=Year2,-PMT(Lookups!$F$17,25,NPV(Lookups!$F$17,H340:AF340),0,1),IF($C$4=Year3,-PMT(Lookups!$G$17,25,NPV(Lookups!$G$17,I340:AG340),0,1),-PMT(Lookups!$G$17,27,NPV(Lookups!$G$17,G340:AG340),0,1))))</f>
        <v>-1889243.8039722238</v>
      </c>
      <c r="AM340" s="71">
        <f t="shared" ref="AM340:BM340" si="384">AM329</f>
        <v>-1915965.2564594061</v>
      </c>
      <c r="AN340" s="71">
        <f t="shared" si="384"/>
        <v>-1915965.2564594061</v>
      </c>
      <c r="AO340" s="71">
        <f t="shared" si="384"/>
        <v>-1915965.2564594061</v>
      </c>
      <c r="AP340" s="71">
        <f t="shared" si="384"/>
        <v>-1915965.2564594061</v>
      </c>
      <c r="AQ340" s="71">
        <f t="shared" si="384"/>
        <v>-1915965.2564594061</v>
      </c>
      <c r="AR340" s="71">
        <f t="shared" si="384"/>
        <v>-1915965.2564594061</v>
      </c>
      <c r="AS340" s="71">
        <f t="shared" si="384"/>
        <v>-1915965.2564594061</v>
      </c>
      <c r="AT340" s="71">
        <f t="shared" si="384"/>
        <v>-1915965.2564594061</v>
      </c>
      <c r="AU340" s="71">
        <f t="shared" si="384"/>
        <v>-1915965.2564594061</v>
      </c>
      <c r="AV340" s="71">
        <f t="shared" si="384"/>
        <v>-1915965.2564594061</v>
      </c>
      <c r="AW340" s="71">
        <f t="shared" si="384"/>
        <v>-1915965.2564594061</v>
      </c>
      <c r="AX340" s="71">
        <f t="shared" si="384"/>
        <v>-1915965.2564594061</v>
      </c>
      <c r="AY340" s="71">
        <f t="shared" si="384"/>
        <v>-1915965.2564594061</v>
      </c>
      <c r="AZ340" s="71">
        <f t="shared" si="384"/>
        <v>-1915965.2564594061</v>
      </c>
      <c r="BA340" s="71">
        <f t="shared" si="384"/>
        <v>-1915965.2564594061</v>
      </c>
      <c r="BB340" s="71">
        <f t="shared" si="384"/>
        <v>-1915965.2564594061</v>
      </c>
      <c r="BC340" s="71">
        <f t="shared" si="384"/>
        <v>-1915965.2564594061</v>
      </c>
      <c r="BD340" s="71">
        <f t="shared" si="384"/>
        <v>-1915965.2564594061</v>
      </c>
      <c r="BE340" s="71">
        <f t="shared" si="384"/>
        <v>-1915965.2564594061</v>
      </c>
      <c r="BF340" s="71">
        <f t="shared" si="384"/>
        <v>-1915965.2564594061</v>
      </c>
      <c r="BG340" s="71">
        <f t="shared" si="384"/>
        <v>-1915965.2564594061</v>
      </c>
      <c r="BH340" s="71">
        <f t="shared" si="384"/>
        <v>-1915965.2564594061</v>
      </c>
      <c r="BI340" s="71">
        <f t="shared" si="384"/>
        <v>-1915965.2564594061</v>
      </c>
      <c r="BJ340" s="71">
        <f t="shared" si="384"/>
        <v>-1915965.2564594061</v>
      </c>
      <c r="BK340" s="71">
        <f t="shared" si="384"/>
        <v>-1915965.2564594061</v>
      </c>
      <c r="BL340" s="71">
        <f t="shared" si="384"/>
        <v>-1915965.2564594061</v>
      </c>
      <c r="BM340" s="71">
        <f t="shared" si="384"/>
        <v>-1915965.2564594061</v>
      </c>
      <c r="BN340" s="71"/>
      <c r="BO340" s="71">
        <f>NPV(Lookups!$E$17,AM340:BM340)</f>
        <v>-42751580.61811883</v>
      </c>
      <c r="BP340" s="71">
        <f>IF($C$4=Year1,-PMT(Lookups!$E$17,25,NPV(Lookups!$E$17,AM340:BK340),0,1),IF($C$4=Year2,-PMT(Lookups!$F$17,25,NPV(Lookups!$F$17,AN340:BL340),0,1),IF($C$4=Year3,-PMT(Lookups!$G$17,25,NPV(Lookups!$G$17,AO340:BM340),0,1),-PMT(Lookups!$G$17,27,NPV(Lookups!$G$17,AM340:BM340),0,1))))</f>
        <v>-1889243.8039722238</v>
      </c>
      <c r="BS340" s="84" t="s">
        <v>230</v>
      </c>
      <c r="BT340" s="51" t="s">
        <v>17</v>
      </c>
    </row>
    <row r="341" spans="1:72" x14ac:dyDescent="0.25">
      <c r="A341" s="1"/>
      <c r="B341" s="243" t="str">
        <f>B339</f>
        <v>Portfolio Total</v>
      </c>
      <c r="C341" s="243" t="str">
        <f>C339</f>
        <v>Revenue Requirements</v>
      </c>
      <c r="D341" s="244" t="str">
        <f>D339</f>
        <v>Revenue Requirement after DSM Scenario</v>
      </c>
      <c r="E341" s="84" t="s">
        <v>197</v>
      </c>
      <c r="F341" s="84" t="s">
        <v>32</v>
      </c>
      <c r="G341" s="64">
        <f ca="1">G330-G333-G335</f>
        <v>58229337.647312552</v>
      </c>
      <c r="H341" s="64">
        <f t="shared" ref="H341:AG341" ca="1" si="385">H330-H333-H335</f>
        <v>57019680.368137456</v>
      </c>
      <c r="I341" s="64">
        <f t="shared" ca="1" si="385"/>
        <v>55757174.84752281</v>
      </c>
      <c r="J341" s="64">
        <f t="shared" ca="1" si="385"/>
        <v>55757174.84752281</v>
      </c>
      <c r="K341" s="64">
        <f t="shared" ca="1" si="385"/>
        <v>55757174.84752281</v>
      </c>
      <c r="L341" s="64">
        <f t="shared" ca="1" si="385"/>
        <v>55757174.84752281</v>
      </c>
      <c r="M341" s="64">
        <f t="shared" ca="1" si="385"/>
        <v>55757174.84752281</v>
      </c>
      <c r="N341" s="64">
        <f t="shared" ca="1" si="385"/>
        <v>55757174.84752281</v>
      </c>
      <c r="O341" s="64">
        <f t="shared" ca="1" si="385"/>
        <v>55757174.84752281</v>
      </c>
      <c r="P341" s="64">
        <f t="shared" ca="1" si="385"/>
        <v>55757174.84752281</v>
      </c>
      <c r="Q341" s="64">
        <f t="shared" ca="1" si="385"/>
        <v>55757174.84752281</v>
      </c>
      <c r="R341" s="64">
        <f t="shared" ca="1" si="385"/>
        <v>55757174.84752281</v>
      </c>
      <c r="S341" s="64">
        <f t="shared" ca="1" si="385"/>
        <v>55757174.84752281</v>
      </c>
      <c r="T341" s="64">
        <f t="shared" ca="1" si="385"/>
        <v>56374166.642041102</v>
      </c>
      <c r="U341" s="64">
        <f t="shared" ca="1" si="385"/>
        <v>57021003.986569658</v>
      </c>
      <c r="V341" s="64">
        <f t="shared" ca="1" si="385"/>
        <v>57973698.297312222</v>
      </c>
      <c r="W341" s="64">
        <f t="shared" ca="1" si="385"/>
        <v>58460112.222878501</v>
      </c>
      <c r="X341" s="64">
        <f t="shared" ca="1" si="385"/>
        <v>58963037.503890514</v>
      </c>
      <c r="Y341" s="64">
        <f t="shared" ca="1" si="385"/>
        <v>59197168.010198474</v>
      </c>
      <c r="Z341" s="64">
        <f t="shared" ca="1" si="385"/>
        <v>59197168.010198474</v>
      </c>
      <c r="AA341" s="64">
        <f t="shared" ca="1" si="385"/>
        <v>59260132.365404248</v>
      </c>
      <c r="AB341" s="64">
        <f t="shared" ca="1" si="385"/>
        <v>59325030.432549879</v>
      </c>
      <c r="AC341" s="64">
        <f t="shared" ca="1" si="385"/>
        <v>59392410.029498205</v>
      </c>
      <c r="AD341" s="64">
        <f t="shared" ca="1" si="385"/>
        <v>59392410.029498205</v>
      </c>
      <c r="AE341" s="64">
        <f t="shared" ca="1" si="385"/>
        <v>59392410.029498205</v>
      </c>
      <c r="AF341" s="64">
        <f t="shared" ca="1" si="385"/>
        <v>59392410.029498205</v>
      </c>
      <c r="AG341" s="64">
        <f t="shared" ca="1" si="385"/>
        <v>59392410.029498205</v>
      </c>
      <c r="AH341" s="64"/>
      <c r="AI341" s="64">
        <f ca="1">NPV(Lookups!$E$17,G341:AG341)</f>
        <v>1278969751.2266028</v>
      </c>
      <c r="AJ341" s="65">
        <f ca="1">IF($C$4=Year1,-PMT(Lookups!$E$17,25,NPV(Lookups!$E$17,G341:AE341),0,1),IF($C$4=Year2,-PMT(Lookups!$F$17,25,NPV(Lookups!$F$17,H341:AF341),0,1),IF($C$4=Year3,-PMT(Lookups!$G$17,25,NPV(Lookups!$G$17,I341:AG341),0,1),-PMT(Lookups!$G$17,27,NPV(Lookups!$G$17,G341:AG341),0,1))))</f>
        <v>56519212.694294944</v>
      </c>
      <c r="AM341" s="71">
        <f t="shared" ref="AM341:BM341" ca="1" si="386">AM330-AM333-AM335</f>
        <v>58063184.450818434</v>
      </c>
      <c r="AN341" s="71">
        <f t="shared" ca="1" si="386"/>
        <v>56680718.992872111</v>
      </c>
      <c r="AO341" s="71">
        <f t="shared" ca="1" si="386"/>
        <v>55237855.550678909</v>
      </c>
      <c r="AP341" s="71">
        <f t="shared" ca="1" si="386"/>
        <v>55237855.550678909</v>
      </c>
      <c r="AQ341" s="71">
        <f t="shared" ca="1" si="386"/>
        <v>55237855.550678909</v>
      </c>
      <c r="AR341" s="71">
        <f t="shared" ca="1" si="386"/>
        <v>55237855.550678909</v>
      </c>
      <c r="AS341" s="71">
        <f t="shared" ca="1" si="386"/>
        <v>55237855.550678909</v>
      </c>
      <c r="AT341" s="71">
        <f t="shared" ca="1" si="386"/>
        <v>55237855.550678909</v>
      </c>
      <c r="AU341" s="71">
        <f t="shared" ca="1" si="386"/>
        <v>55237855.550678909</v>
      </c>
      <c r="AV341" s="71">
        <f t="shared" ca="1" si="386"/>
        <v>55237855.550678909</v>
      </c>
      <c r="AW341" s="71">
        <f t="shared" ca="1" si="386"/>
        <v>55237855.550678909</v>
      </c>
      <c r="AX341" s="71">
        <f t="shared" ca="1" si="386"/>
        <v>55237855.550678909</v>
      </c>
      <c r="AY341" s="71">
        <f t="shared" ca="1" si="386"/>
        <v>55237855.550678909</v>
      </c>
      <c r="AZ341" s="71">
        <f t="shared" ca="1" si="386"/>
        <v>55942989.021260247</v>
      </c>
      <c r="BA341" s="71">
        <f t="shared" ca="1" si="386"/>
        <v>56682231.696615867</v>
      </c>
      <c r="BB341" s="71">
        <f t="shared" ca="1" si="386"/>
        <v>57771025.193475701</v>
      </c>
      <c r="BC341" s="71">
        <f t="shared" ca="1" si="386"/>
        <v>58326926.822518691</v>
      </c>
      <c r="BD341" s="71">
        <f t="shared" ca="1" si="386"/>
        <v>58901698.572143435</v>
      </c>
      <c r="BE341" s="71">
        <f t="shared" ca="1" si="386"/>
        <v>59169276.293605261</v>
      </c>
      <c r="BF341" s="71">
        <f t="shared" ca="1" si="386"/>
        <v>59169276.293605261</v>
      </c>
      <c r="BG341" s="71">
        <f t="shared" ca="1" si="386"/>
        <v>59241235.556445822</v>
      </c>
      <c r="BH341" s="71">
        <f t="shared" ca="1" si="386"/>
        <v>59315404.775892176</v>
      </c>
      <c r="BI341" s="71">
        <f t="shared" ca="1" si="386"/>
        <v>59392410.029498205</v>
      </c>
      <c r="BJ341" s="71">
        <f t="shared" ca="1" si="386"/>
        <v>59392410.029498205</v>
      </c>
      <c r="BK341" s="71">
        <f t="shared" ca="1" si="386"/>
        <v>59392410.029498205</v>
      </c>
      <c r="BL341" s="71">
        <f t="shared" ca="1" si="386"/>
        <v>59392410.029498205</v>
      </c>
      <c r="BM341" s="71">
        <f t="shared" ca="1" si="386"/>
        <v>59392410.029498205</v>
      </c>
      <c r="BN341" s="71"/>
      <c r="BO341" s="71">
        <f ca="1">NPV(Lookups!$E$17,AM341:BM341)</f>
        <v>1272359297.6324396</v>
      </c>
      <c r="BP341" s="71">
        <f ca="1">IF($C$4=Year1,-PMT(Lookups!$E$17,25,NPV(Lookups!$E$17,AM341:BK341),0,1),IF($C$4=Year2,-PMT(Lookups!$F$17,25,NPV(Lookups!$F$17,AN341:BL341),0,1),IF($C$4=Year3,-PMT(Lookups!$G$17,25,NPV(Lookups!$G$17,AO341:BM341),0,1),-PMT(Lookups!$G$17,27,NPV(Lookups!$G$17,AM341:BM341),0,1))))</f>
        <v>56227088.793525629</v>
      </c>
      <c r="BS341" s="84" t="s">
        <v>231</v>
      </c>
      <c r="BT341" s="51" t="s">
        <v>17</v>
      </c>
    </row>
    <row r="342" spans="1:72" x14ac:dyDescent="0.25">
      <c r="A342" s="52" t="s">
        <v>17</v>
      </c>
      <c r="B342" s="243" t="str">
        <f t="shared" ref="B342:C346" si="387">B340</f>
        <v>Portfolio Total</v>
      </c>
      <c r="C342" s="243" t="str">
        <f t="shared" si="387"/>
        <v>Revenue Requirements</v>
      </c>
      <c r="D342" s="244" t="str">
        <f t="shared" ref="D342:D346" si="388">D341</f>
        <v>Revenue Requirement after DSM Scenario</v>
      </c>
      <c r="E342" s="84" t="s">
        <v>272</v>
      </c>
      <c r="F342" s="84" t="s">
        <v>32</v>
      </c>
      <c r="G342" s="64">
        <f ca="1">SUM(G339:G341)</f>
        <v>99575109.847597003</v>
      </c>
      <c r="H342" s="64">
        <f ca="1">SUM(H339:H341)</f>
        <v>98286744.322262347</v>
      </c>
      <c r="I342" s="64">
        <f t="shared" ref="I342:AG342" ca="1" si="389">SUM(I339:I341)</f>
        <v>96942086.448200792</v>
      </c>
      <c r="J342" s="64">
        <f t="shared" ca="1" si="389"/>
        <v>96942086.448200792</v>
      </c>
      <c r="K342" s="64">
        <f t="shared" ca="1" si="389"/>
        <v>96942086.448200792</v>
      </c>
      <c r="L342" s="64">
        <f t="shared" ca="1" si="389"/>
        <v>96942086.448200792</v>
      </c>
      <c r="M342" s="64">
        <f t="shared" ca="1" si="389"/>
        <v>96942086.448200792</v>
      </c>
      <c r="N342" s="64">
        <f t="shared" ca="1" si="389"/>
        <v>96942086.448200792</v>
      </c>
      <c r="O342" s="64">
        <f t="shared" ca="1" si="389"/>
        <v>96942086.448200792</v>
      </c>
      <c r="P342" s="64">
        <f t="shared" ca="1" si="389"/>
        <v>96942086.448200792</v>
      </c>
      <c r="Q342" s="64">
        <f t="shared" ca="1" si="389"/>
        <v>96942086.448200792</v>
      </c>
      <c r="R342" s="64">
        <f t="shared" ca="1" si="389"/>
        <v>96942086.448200792</v>
      </c>
      <c r="S342" s="64">
        <f t="shared" ca="1" si="389"/>
        <v>96942086.448200792</v>
      </c>
      <c r="T342" s="64">
        <f t="shared" ca="1" si="389"/>
        <v>97598984.425608233</v>
      </c>
      <c r="U342" s="64">
        <f t="shared" ca="1" si="389"/>
        <v>98287656.938974693</v>
      </c>
      <c r="V342" s="64">
        <f t="shared" ca="1" si="389"/>
        <v>99302172.607958138</v>
      </c>
      <c r="W342" s="64">
        <f t="shared" ca="1" si="389"/>
        <v>99820436.052118659</v>
      </c>
      <c r="X342" s="64">
        <f t="shared" ca="1" si="389"/>
        <v>100356294.46236962</v>
      </c>
      <c r="Y342" s="64">
        <f t="shared" ca="1" si="389"/>
        <v>100605774.7448124</v>
      </c>
      <c r="Z342" s="64">
        <f t="shared" ca="1" si="389"/>
        <v>100605774.7448124</v>
      </c>
      <c r="AA342" s="64">
        <f t="shared" ca="1" si="389"/>
        <v>100672880.95457578</v>
      </c>
      <c r="AB342" s="64">
        <f t="shared" ca="1" si="389"/>
        <v>100742048.14965248</v>
      </c>
      <c r="AC342" s="64">
        <f t="shared" ca="1" si="389"/>
        <v>100813860.41690284</v>
      </c>
      <c r="AD342" s="64">
        <f t="shared" ca="1" si="389"/>
        <v>100813860.41690284</v>
      </c>
      <c r="AE342" s="64">
        <f t="shared" ca="1" si="389"/>
        <v>100813860.41690284</v>
      </c>
      <c r="AF342" s="64">
        <f t="shared" ca="1" si="389"/>
        <v>100813860.41690284</v>
      </c>
      <c r="AG342" s="64">
        <f t="shared" ca="1" si="389"/>
        <v>100813860.41690284</v>
      </c>
      <c r="AH342" s="64"/>
      <c r="AI342" s="64">
        <f ca="1">NPV(Lookups!$E$17,G342:AG342)</f>
        <v>2200207655.7928772</v>
      </c>
      <c r="AJ342" s="65">
        <f ca="1">IF($C$4=Year1,-PMT(Lookups!$E$17,25,NPV(Lookups!$E$17,G342:AE342),0,1),IF($C$4=Year2,-PMT(Lookups!$F$17,25,NPV(Lookups!$F$17,H342:AF342),0,1),IF($C$4=Year3,-PMT(Lookups!$G$17,25,NPV(Lookups!$G$17,I342:AG342),0,1),-PMT(Lookups!$G$17,27,NPV(Lookups!$G$17,G342:AG342),0,1))))</f>
        <v>97229824.51313749</v>
      </c>
      <c r="AM342" s="71">
        <f t="shared" ref="AM342:BM342" ca="1" si="390">SUM(AM339:AM341)</f>
        <v>99398145.481576532</v>
      </c>
      <c r="AN342" s="71">
        <f t="shared" ca="1" si="390"/>
        <v>97925727.742561877</v>
      </c>
      <c r="AO342" s="71">
        <f t="shared" ca="1" si="390"/>
        <v>96388975.897072613</v>
      </c>
      <c r="AP342" s="71">
        <f t="shared" ca="1" si="390"/>
        <v>96388975.897072613</v>
      </c>
      <c r="AQ342" s="71">
        <f t="shared" ca="1" si="390"/>
        <v>96388975.897072613</v>
      </c>
      <c r="AR342" s="71">
        <f t="shared" ca="1" si="390"/>
        <v>96388975.897072613</v>
      </c>
      <c r="AS342" s="71">
        <f t="shared" ca="1" si="390"/>
        <v>96388975.897072613</v>
      </c>
      <c r="AT342" s="71">
        <f t="shared" ca="1" si="390"/>
        <v>96388975.897072613</v>
      </c>
      <c r="AU342" s="71">
        <f t="shared" ca="1" si="390"/>
        <v>96388975.897072613</v>
      </c>
      <c r="AV342" s="71">
        <f t="shared" ca="1" si="390"/>
        <v>96388975.897072613</v>
      </c>
      <c r="AW342" s="71">
        <f t="shared" ca="1" si="390"/>
        <v>96388975.897072613</v>
      </c>
      <c r="AX342" s="71">
        <f t="shared" ca="1" si="390"/>
        <v>96388975.897072613</v>
      </c>
      <c r="AY342" s="71">
        <f t="shared" ca="1" si="390"/>
        <v>96388975.897072613</v>
      </c>
      <c r="AZ342" s="71">
        <f t="shared" ca="1" si="390"/>
        <v>97139716.433239385</v>
      </c>
      <c r="BA342" s="71">
        <f t="shared" ca="1" si="390"/>
        <v>97926770.729858488</v>
      </c>
      <c r="BB342" s="71">
        <f t="shared" ca="1" si="390"/>
        <v>99086217.207491815</v>
      </c>
      <c r="BC342" s="71">
        <f t="shared" ca="1" si="390"/>
        <v>99678518.286345303</v>
      </c>
      <c r="BD342" s="71">
        <f t="shared" ca="1" si="390"/>
        <v>100290927.89795062</v>
      </c>
      <c r="BE342" s="71">
        <f t="shared" ca="1" si="390"/>
        <v>100576048.22070724</v>
      </c>
      <c r="BF342" s="71">
        <f t="shared" ca="1" si="390"/>
        <v>100576048.22070724</v>
      </c>
      <c r="BG342" s="71">
        <f t="shared" ca="1" si="390"/>
        <v>100652741.03159708</v>
      </c>
      <c r="BH342" s="71">
        <f t="shared" ca="1" si="390"/>
        <v>100731789.25438344</v>
      </c>
      <c r="BI342" s="71">
        <f t="shared" ca="1" si="390"/>
        <v>100813860.41690284</v>
      </c>
      <c r="BJ342" s="71">
        <f t="shared" ca="1" si="390"/>
        <v>100813860.41690284</v>
      </c>
      <c r="BK342" s="71">
        <f t="shared" ca="1" si="390"/>
        <v>100813860.41690284</v>
      </c>
      <c r="BL342" s="71">
        <f t="shared" ca="1" si="390"/>
        <v>100813860.41690284</v>
      </c>
      <c r="BM342" s="71">
        <f t="shared" ca="1" si="390"/>
        <v>100813860.41690284</v>
      </c>
      <c r="BN342" s="71"/>
      <c r="BO342" s="71">
        <f ca="1">NPV(Lookups!$E$17,AM342:BM342)</f>
        <v>2193166784.5120106</v>
      </c>
      <c r="BP342" s="71">
        <f ca="1">IF($C$4=Year1,-PMT(Lookups!$E$17,25,NPV(Lookups!$E$17,AM342:BK342),0,1),IF($C$4=Year2,-PMT(Lookups!$F$17,25,NPV(Lookups!$F$17,AN342:BL342),0,1),IF($C$4=Year3,-PMT(Lookups!$G$17,25,NPV(Lookups!$G$17,AO342:BM342),0,1),-PMT(Lookups!$G$17,27,NPV(Lookups!$G$17,AM342:BM342),0,1))))</f>
        <v>96918679.936735421</v>
      </c>
      <c r="BS342" s="84"/>
      <c r="BT342" s="51" t="s">
        <v>17</v>
      </c>
    </row>
    <row r="343" spans="1:72" x14ac:dyDescent="0.25">
      <c r="A343" s="52" t="s">
        <v>17</v>
      </c>
      <c r="B343" s="243" t="str">
        <f t="shared" si="387"/>
        <v>Portfolio Total</v>
      </c>
      <c r="C343" s="243" t="str">
        <f t="shared" si="387"/>
        <v>Revenue Requirements</v>
      </c>
      <c r="D343" s="114" t="s">
        <v>273</v>
      </c>
      <c r="E343" s="84"/>
      <c r="F343" s="8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S343" s="84"/>
      <c r="BT343" s="51" t="s">
        <v>17</v>
      </c>
    </row>
    <row r="344" spans="1:72" x14ac:dyDescent="0.25">
      <c r="A344" s="52" t="s">
        <v>17</v>
      </c>
      <c r="B344" s="243" t="str">
        <f t="shared" si="387"/>
        <v>Portfolio Total</v>
      </c>
      <c r="C344" s="243" t="str">
        <f t="shared" si="387"/>
        <v>Revenue Requirements</v>
      </c>
      <c r="D344" s="244" t="str">
        <f t="shared" ref="D344:D345" si="391">D343</f>
        <v>Change in Revenue</v>
      </c>
      <c r="E344" s="84" t="s">
        <v>273</v>
      </c>
      <c r="F344" s="84" t="s">
        <v>32</v>
      </c>
      <c r="G344" s="64">
        <f ca="1">G342-G331</f>
        <v>-1238750.5693058372</v>
      </c>
      <c r="H344" s="64">
        <f t="shared" ref="H344:AG344" ca="1" si="392">H342-H331</f>
        <v>-2527116.0946404934</v>
      </c>
      <c r="I344" s="64">
        <f t="shared" ca="1" si="392"/>
        <v>-3871773.9687020481</v>
      </c>
      <c r="J344" s="64">
        <f t="shared" ca="1" si="392"/>
        <v>-3871773.9687020481</v>
      </c>
      <c r="K344" s="64">
        <f t="shared" ca="1" si="392"/>
        <v>-3871773.9687020481</v>
      </c>
      <c r="L344" s="64">
        <f t="shared" ca="1" si="392"/>
        <v>-3871773.9687020481</v>
      </c>
      <c r="M344" s="64">
        <f t="shared" ca="1" si="392"/>
        <v>-3871773.9687020481</v>
      </c>
      <c r="N344" s="64">
        <f t="shared" ca="1" si="392"/>
        <v>-3871773.9687020481</v>
      </c>
      <c r="O344" s="64">
        <f t="shared" ca="1" si="392"/>
        <v>-3871773.9687020481</v>
      </c>
      <c r="P344" s="64">
        <f t="shared" ca="1" si="392"/>
        <v>-3871773.9687020481</v>
      </c>
      <c r="Q344" s="64">
        <f t="shared" ca="1" si="392"/>
        <v>-3871773.9687020481</v>
      </c>
      <c r="R344" s="64">
        <f t="shared" ca="1" si="392"/>
        <v>-3871773.9687020481</v>
      </c>
      <c r="S344" s="64">
        <f t="shared" ca="1" si="392"/>
        <v>-3871773.9687020481</v>
      </c>
      <c r="T344" s="64">
        <f t="shared" ca="1" si="392"/>
        <v>-3214875.9912946075</v>
      </c>
      <c r="U344" s="64">
        <f t="shared" ca="1" si="392"/>
        <v>-2526203.4779281467</v>
      </c>
      <c r="V344" s="64">
        <f t="shared" ca="1" si="392"/>
        <v>-1511687.8089447021</v>
      </c>
      <c r="W344" s="64">
        <f t="shared" ca="1" si="392"/>
        <v>-993424.36478418112</v>
      </c>
      <c r="X344" s="64">
        <f t="shared" ca="1" si="392"/>
        <v>-457565.95453321934</v>
      </c>
      <c r="Y344" s="64">
        <f t="shared" ca="1" si="392"/>
        <v>-208085.67209044099</v>
      </c>
      <c r="Z344" s="64">
        <f t="shared" ca="1" si="392"/>
        <v>-208085.67209044099</v>
      </c>
      <c r="AA344" s="64">
        <f t="shared" ca="1" si="392"/>
        <v>-140979.46232706308</v>
      </c>
      <c r="AB344" s="64">
        <f t="shared" ca="1" si="392"/>
        <v>-71812.267250359058</v>
      </c>
      <c r="AC344" s="64">
        <f t="shared" ca="1" si="392"/>
        <v>0</v>
      </c>
      <c r="AD344" s="64">
        <f t="shared" ca="1" si="392"/>
        <v>0</v>
      </c>
      <c r="AE344" s="64">
        <f t="shared" ca="1" si="392"/>
        <v>0</v>
      </c>
      <c r="AF344" s="64">
        <f t="shared" ca="1" si="392"/>
        <v>0</v>
      </c>
      <c r="AG344" s="64">
        <f t="shared" ca="1" si="392"/>
        <v>0</v>
      </c>
      <c r="AH344" s="64"/>
      <c r="AI344" s="64">
        <f ca="1">NPV(Lookups!$E$17,G344:AG344)</f>
        <v>-49286100.164652579</v>
      </c>
      <c r="AJ344" s="65">
        <f ca="1">IF($C$4=Year1,-PMT(Lookups!$E$17,25,NPV(Lookups!$E$17,G344:AE344),0,1),IF($C$4=Year2,-PMT(Lookups!$F$17,25,NPV(Lookups!$F$17,H344:AF344),0,1),IF($C$4=Year3,-PMT(Lookups!$G$17,25,NPV(Lookups!$G$17,I344:AG344),0,1),-PMT(Lookups!$G$17,27,NPV(Lookups!$G$17,G344:AG344),0,1))))</f>
        <v>-2178012.0877814102</v>
      </c>
      <c r="AM344" s="71">
        <f ca="1">AM342-AM331</f>
        <v>-1415714.935326308</v>
      </c>
      <c r="AN344" s="71">
        <f t="shared" ref="AN344:BM344" ca="1" si="393">AN342-AN331</f>
        <v>-2888132.6743409634</v>
      </c>
      <c r="AO344" s="71">
        <f t="shared" ca="1" si="393"/>
        <v>-4424884.5198302269</v>
      </c>
      <c r="AP344" s="71">
        <f t="shared" ca="1" si="393"/>
        <v>-4424884.5198302269</v>
      </c>
      <c r="AQ344" s="71">
        <f t="shared" ca="1" si="393"/>
        <v>-4424884.5198302269</v>
      </c>
      <c r="AR344" s="71">
        <f t="shared" ca="1" si="393"/>
        <v>-4424884.5198302269</v>
      </c>
      <c r="AS344" s="71">
        <f t="shared" ca="1" si="393"/>
        <v>-4424884.5198302269</v>
      </c>
      <c r="AT344" s="71">
        <f t="shared" ca="1" si="393"/>
        <v>-4424884.5198302269</v>
      </c>
      <c r="AU344" s="71">
        <f t="shared" ca="1" si="393"/>
        <v>-4424884.5198302269</v>
      </c>
      <c r="AV344" s="71">
        <f t="shared" ca="1" si="393"/>
        <v>-4424884.5198302269</v>
      </c>
      <c r="AW344" s="71">
        <f t="shared" ca="1" si="393"/>
        <v>-4424884.5198302269</v>
      </c>
      <c r="AX344" s="71">
        <f t="shared" ca="1" si="393"/>
        <v>-4424884.5198302269</v>
      </c>
      <c r="AY344" s="71">
        <f t="shared" ca="1" si="393"/>
        <v>-4424884.5198302269</v>
      </c>
      <c r="AZ344" s="71">
        <f t="shared" ca="1" si="393"/>
        <v>-3674143.9836634547</v>
      </c>
      <c r="BA344" s="71">
        <f t="shared" ca="1" si="393"/>
        <v>-2887089.6870443523</v>
      </c>
      <c r="BB344" s="71">
        <f t="shared" ca="1" si="393"/>
        <v>-1727643.209411025</v>
      </c>
      <c r="BC344" s="71">
        <f t="shared" ca="1" si="393"/>
        <v>-1135342.1305575371</v>
      </c>
      <c r="BD344" s="71">
        <f t="shared" ca="1" si="393"/>
        <v>-522932.51895222068</v>
      </c>
      <c r="BE344" s="71">
        <f t="shared" ca="1" si="393"/>
        <v>-237812.19619560242</v>
      </c>
      <c r="BF344" s="71">
        <f t="shared" ca="1" si="393"/>
        <v>-237812.19619560242</v>
      </c>
      <c r="BG344" s="71">
        <f t="shared" ca="1" si="393"/>
        <v>-161119.38530576229</v>
      </c>
      <c r="BH344" s="71">
        <f t="shared" ca="1" si="393"/>
        <v>-82071.162519395351</v>
      </c>
      <c r="BI344" s="71">
        <f t="shared" ca="1" si="393"/>
        <v>0</v>
      </c>
      <c r="BJ344" s="71">
        <f t="shared" ca="1" si="393"/>
        <v>0</v>
      </c>
      <c r="BK344" s="71">
        <f t="shared" ca="1" si="393"/>
        <v>0</v>
      </c>
      <c r="BL344" s="71">
        <f t="shared" ca="1" si="393"/>
        <v>0</v>
      </c>
      <c r="BM344" s="71">
        <f t="shared" ca="1" si="393"/>
        <v>0</v>
      </c>
      <c r="BN344" s="71"/>
      <c r="BO344" s="71">
        <f ca="1">NPV(Lookups!$E$17,AM344:BM344)</f>
        <v>-56326971.44551947</v>
      </c>
      <c r="BP344" s="71">
        <f ca="1">IF($C$4=Year1,-PMT(Lookups!$E$17,25,NPV(Lookups!$E$17,AM344:BK344),0,1),IF($C$4=Year2,-PMT(Lookups!$F$17,25,NPV(Lookups!$F$17,AN344:BL344),0,1),IF($C$4=Year3,-PMT(Lookups!$G$17,25,NPV(Lookups!$G$17,AO344:BM344),0,1),-PMT(Lookups!$G$17,27,NPV(Lookups!$G$17,AM344:BM344),0,1))))</f>
        <v>-2489156.6641834853</v>
      </c>
      <c r="BS344" s="84"/>
      <c r="BT344" s="51" t="s">
        <v>17</v>
      </c>
    </row>
    <row r="345" spans="1:72" x14ac:dyDescent="0.25">
      <c r="A345" s="52" t="s">
        <v>17</v>
      </c>
      <c r="B345" s="243" t="str">
        <f t="shared" si="387"/>
        <v>Portfolio Total</v>
      </c>
      <c r="C345" s="243" t="str">
        <f t="shared" si="387"/>
        <v>Revenue Requirements</v>
      </c>
      <c r="D345" s="244" t="str">
        <f t="shared" si="391"/>
        <v>Change in Revenue</v>
      </c>
      <c r="E345" s="84" t="s">
        <v>273</v>
      </c>
      <c r="F345" s="84" t="s">
        <v>16</v>
      </c>
      <c r="G345" s="224">
        <f ca="1">IFERROR(G342/G331-1,0)</f>
        <v>-1.2287502573387621E-2</v>
      </c>
      <c r="H345" s="224">
        <f t="shared" ref="H345:AI345" ca="1" si="394">IFERROR(H342/H331-1,0)</f>
        <v>-2.5067149340278538E-2</v>
      </c>
      <c r="I345" s="224">
        <f t="shared" ca="1" si="394"/>
        <v>-3.8405175168283567E-2</v>
      </c>
      <c r="J345" s="224">
        <f t="shared" ca="1" si="394"/>
        <v>-3.8405175168283567E-2</v>
      </c>
      <c r="K345" s="224">
        <f t="shared" ca="1" si="394"/>
        <v>-3.8405175168283567E-2</v>
      </c>
      <c r="L345" s="224">
        <f t="shared" ca="1" si="394"/>
        <v>-3.8405175168283567E-2</v>
      </c>
      <c r="M345" s="224">
        <f t="shared" ca="1" si="394"/>
        <v>-3.8405175168283567E-2</v>
      </c>
      <c r="N345" s="224">
        <f t="shared" ca="1" si="394"/>
        <v>-3.8405175168283567E-2</v>
      </c>
      <c r="O345" s="224">
        <f t="shared" ca="1" si="394"/>
        <v>-3.8405175168283567E-2</v>
      </c>
      <c r="P345" s="224">
        <f t="shared" ca="1" si="394"/>
        <v>-3.8405175168283567E-2</v>
      </c>
      <c r="Q345" s="224">
        <f t="shared" ca="1" si="394"/>
        <v>-3.8405175168283567E-2</v>
      </c>
      <c r="R345" s="224">
        <f t="shared" ca="1" si="394"/>
        <v>-3.8405175168283567E-2</v>
      </c>
      <c r="S345" s="224">
        <f t="shared" ca="1" si="394"/>
        <v>-3.8405175168283567E-2</v>
      </c>
      <c r="T345" s="224">
        <f t="shared" ca="1" si="394"/>
        <v>-3.1889226124264036E-2</v>
      </c>
      <c r="U345" s="224">
        <f t="shared" ca="1" si="394"/>
        <v>-2.505809684780802E-2</v>
      </c>
      <c r="V345" s="224">
        <f t="shared" ca="1" si="394"/>
        <v>-1.4994841013857729E-2</v>
      </c>
      <c r="W345" s="224">
        <f t="shared" ca="1" si="394"/>
        <v>-9.8540454722793047E-3</v>
      </c>
      <c r="X345" s="224">
        <f t="shared" ca="1" si="394"/>
        <v>-4.5387206941686076E-3</v>
      </c>
      <c r="Y345" s="224">
        <f t="shared" ca="1" si="394"/>
        <v>-2.0640581684892023E-3</v>
      </c>
      <c r="Z345" s="224">
        <f t="shared" ca="1" si="394"/>
        <v>-2.0640581684892023E-3</v>
      </c>
      <c r="AA345" s="224">
        <f t="shared" ca="1" si="394"/>
        <v>-1.3984134894156064E-3</v>
      </c>
      <c r="AB345" s="224">
        <f t="shared" ca="1" si="394"/>
        <v>-7.1232533853371471E-4</v>
      </c>
      <c r="AC345" s="224">
        <f t="shared" ca="1" si="394"/>
        <v>0</v>
      </c>
      <c r="AD345" s="224">
        <f t="shared" ca="1" si="394"/>
        <v>0</v>
      </c>
      <c r="AE345" s="224">
        <f t="shared" ca="1" si="394"/>
        <v>0</v>
      </c>
      <c r="AF345" s="224">
        <f t="shared" ca="1" si="394"/>
        <v>0</v>
      </c>
      <c r="AG345" s="224">
        <f t="shared" ca="1" si="394"/>
        <v>0</v>
      </c>
      <c r="AH345" s="224">
        <f t="shared" si="394"/>
        <v>0</v>
      </c>
      <c r="AI345" s="224">
        <f t="shared" ca="1" si="394"/>
        <v>-2.1909863067689828E-2</v>
      </c>
      <c r="AJ345" s="224">
        <f ca="1">IFERROR(AJ342/AJ331-1,0)</f>
        <v>-2.1909863067689828E-2</v>
      </c>
      <c r="AK345" s="212"/>
      <c r="AL345" s="212"/>
      <c r="AM345" s="504">
        <f ca="1">IFERROR(AM342/AM331-1,0)</f>
        <v>-1.4042860073722019E-2</v>
      </c>
      <c r="AN345" s="504">
        <f t="shared" ref="AN345:BM345" ca="1" si="395">IFERROR(AN342/AN331-1,0)</f>
        <v>-2.8648170622545988E-2</v>
      </c>
      <c r="AO345" s="504">
        <f t="shared" ca="1" si="395"/>
        <v>-4.3891628606738009E-2</v>
      </c>
      <c r="AP345" s="504">
        <f t="shared" ca="1" si="395"/>
        <v>-4.3891628606738009E-2</v>
      </c>
      <c r="AQ345" s="504">
        <f t="shared" ca="1" si="395"/>
        <v>-4.3891628606738009E-2</v>
      </c>
      <c r="AR345" s="504">
        <f t="shared" ca="1" si="395"/>
        <v>-4.3891628606738009E-2</v>
      </c>
      <c r="AS345" s="504">
        <f t="shared" ca="1" si="395"/>
        <v>-4.3891628606738009E-2</v>
      </c>
      <c r="AT345" s="504">
        <f t="shared" ca="1" si="395"/>
        <v>-4.3891628606738009E-2</v>
      </c>
      <c r="AU345" s="504">
        <f t="shared" ca="1" si="395"/>
        <v>-4.3891628606738009E-2</v>
      </c>
      <c r="AV345" s="504">
        <f t="shared" ca="1" si="395"/>
        <v>-4.3891628606738009E-2</v>
      </c>
      <c r="AW345" s="504">
        <f t="shared" ca="1" si="395"/>
        <v>-4.3891628606738009E-2</v>
      </c>
      <c r="AX345" s="504">
        <f t="shared" ca="1" si="395"/>
        <v>-4.3891628606738009E-2</v>
      </c>
      <c r="AY345" s="504">
        <f t="shared" ca="1" si="395"/>
        <v>-4.3891628606738009E-2</v>
      </c>
      <c r="AZ345" s="504">
        <f t="shared" ca="1" si="395"/>
        <v>-3.6444829792942168E-2</v>
      </c>
      <c r="BA345" s="504">
        <f t="shared" ca="1" si="395"/>
        <v>-2.8637824948922308E-2</v>
      </c>
      <c r="BB345" s="504">
        <f t="shared" ca="1" si="395"/>
        <v>-1.7136961150645114E-2</v>
      </c>
      <c r="BC345" s="504">
        <f t="shared" ca="1" si="395"/>
        <v>-1.1261766247840033E-2</v>
      </c>
      <c r="BD345" s="504">
        <f t="shared" ca="1" si="395"/>
        <v>-5.1871093596624895E-3</v>
      </c>
      <c r="BE345" s="504">
        <f t="shared" ca="1" si="395"/>
        <v>-2.3589236163773508E-3</v>
      </c>
      <c r="BF345" s="504">
        <f t="shared" ca="1" si="395"/>
        <v>-2.3589236163773508E-3</v>
      </c>
      <c r="BG345" s="504">
        <f t="shared" ca="1" si="395"/>
        <v>-1.598186842954652E-3</v>
      </c>
      <c r="BH345" s="504">
        <f t="shared" ca="1" si="395"/>
        <v>-8.1408610066113773E-4</v>
      </c>
      <c r="BI345" s="504">
        <f t="shared" ca="1" si="395"/>
        <v>0</v>
      </c>
      <c r="BJ345" s="504">
        <f t="shared" ca="1" si="395"/>
        <v>0</v>
      </c>
      <c r="BK345" s="504">
        <f t="shared" ca="1" si="395"/>
        <v>0</v>
      </c>
      <c r="BL345" s="504">
        <f t="shared" ca="1" si="395"/>
        <v>0</v>
      </c>
      <c r="BM345" s="504">
        <f t="shared" ca="1" si="395"/>
        <v>0</v>
      </c>
      <c r="BN345" s="504"/>
      <c r="BO345" s="504">
        <f ca="1">IFERROR(BO342/BO331-1,0)</f>
        <v>-2.5039843429813358E-2</v>
      </c>
      <c r="BP345" s="504">
        <f ca="1">IFERROR(BP342/BP331-1,0)</f>
        <v>-2.5039843429813358E-2</v>
      </c>
      <c r="BS345" s="84"/>
      <c r="BT345" s="51" t="s">
        <v>17</v>
      </c>
    </row>
    <row r="346" spans="1:72" x14ac:dyDescent="0.25">
      <c r="A346" s="52" t="s">
        <v>17</v>
      </c>
      <c r="B346" s="243" t="str">
        <f t="shared" si="387"/>
        <v>Portfolio Total</v>
      </c>
      <c r="C346" s="243" t="str">
        <f t="shared" si="387"/>
        <v>Revenue Requirements</v>
      </c>
      <c r="D346" s="244" t="str">
        <f t="shared" si="388"/>
        <v>Change in Revenue</v>
      </c>
      <c r="E346" s="84" t="s">
        <v>17</v>
      </c>
      <c r="F346" s="84"/>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S346" s="84"/>
      <c r="BT346" s="51" t="s">
        <v>17</v>
      </c>
    </row>
    <row r="348" spans="1:72" x14ac:dyDescent="0.25">
      <c r="H348" s="22"/>
    </row>
  </sheetData>
  <autoFilter ref="A8:BT346" xr:uid="{00000000-0009-0000-0000-000007000000}"/>
  <pageMargins left="0.7" right="0.7" top="0.75" bottom="0.75" header="0.3" footer="0.3"/>
  <pageSetup scale="18" fitToWidth="2" fitToHeight="4" orientation="landscape" horizontalDpi="300" verticalDpi="300" r:id="rId1"/>
  <colBreaks count="2" manualBreakCount="2">
    <brk id="38" min="1" max="517" man="1"/>
    <brk id="70" min="1" max="51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DEA3811-D191-420A-810F-F6EECEDF5B3C}">
          <x14:formula1>
            <xm:f>Lookups!$D$37:$D$40</xm:f>
          </x14:formula1>
          <xm:sqref>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3" tint="0.39997558519241921"/>
    <pageSetUpPr fitToPage="1"/>
  </sheetPr>
  <dimension ref="A1:U82"/>
  <sheetViews>
    <sheetView showGridLines="0" zoomScale="85" zoomScaleNormal="85" workbookViewId="0">
      <selection activeCell="T14" sqref="T14"/>
    </sheetView>
  </sheetViews>
  <sheetFormatPr defaultRowHeight="15" x14ac:dyDescent="0.25"/>
  <cols>
    <col min="1" max="2" width="2.7109375" customWidth="1"/>
    <col min="3" max="3" width="28" bestFit="1" customWidth="1"/>
    <col min="4" max="4" width="9.42578125" customWidth="1"/>
    <col min="5" max="7" width="19.28515625" style="6" customWidth="1"/>
    <col min="8" max="8" width="27.140625" style="6" customWidth="1"/>
    <col min="9" max="11" width="19.28515625" style="6" customWidth="1"/>
    <col min="12" max="12" width="27.140625" style="6" customWidth="1"/>
    <col min="13" max="18" width="2.7109375" customWidth="1"/>
    <col min="19" max="20" width="4.42578125" style="512" bestFit="1" customWidth="1"/>
  </cols>
  <sheetData>
    <row r="1" spans="1:20" x14ac:dyDescent="0.25">
      <c r="E1"/>
      <c r="F1"/>
      <c r="G1"/>
      <c r="H1"/>
      <c r="I1"/>
      <c r="J1"/>
      <c r="K1"/>
      <c r="L1"/>
    </row>
    <row r="2" spans="1:20" ht="26.25" x14ac:dyDescent="0.25">
      <c r="B2" s="2" t="s">
        <v>113</v>
      </c>
      <c r="H2" s="128"/>
    </row>
    <row r="3" spans="1:20" ht="21" x14ac:dyDescent="0.25">
      <c r="B3" s="245" t="str">
        <f>Lookups!$E$6</f>
        <v>Liberty</v>
      </c>
      <c r="E3"/>
      <c r="F3"/>
      <c r="G3" s="1"/>
      <c r="H3"/>
      <c r="I3"/>
      <c r="J3"/>
      <c r="K3"/>
      <c r="L3"/>
    </row>
    <row r="5" spans="1:20" ht="18.75" x14ac:dyDescent="0.3">
      <c r="A5" s="546"/>
      <c r="B5" s="714" t="s">
        <v>271</v>
      </c>
      <c r="C5" s="715"/>
      <c r="D5" s="715"/>
      <c r="E5" s="716"/>
      <c r="F5" s="716"/>
      <c r="G5" s="716"/>
      <c r="H5" s="716"/>
      <c r="I5" s="716"/>
      <c r="J5" s="716"/>
      <c r="K5" s="716"/>
      <c r="L5" s="716"/>
      <c r="S5" s="532" t="s">
        <v>253</v>
      </c>
    </row>
    <row r="6" spans="1:20" ht="15" customHeight="1" x14ac:dyDescent="0.25">
      <c r="B6" s="717"/>
      <c r="C6" s="761" t="str" cm="1">
        <f t="array" aca="1" ref="C6" ca="1">"Over the long-term, "&amp;Lookups!$E$6&amp;"'s Proposed "&amp;Year1&amp;"-"&amp;Year3&amp;" Plan will change its revenue requirements by "&amp;TEXT(INDIRECT($H$78&amp;$H$79&amp;$S6),"0.0%")&amp;" on average, or "&amp;TEXT(INDIRECT($H$78&amp;$H$81&amp;$S7)/1000000,"$0.0")&amp;"M (NPV) in total. This change in revenue is distributed across each rate class differently, depending on the rate class' structure."</f>
        <v>Over the long-term, Liberty's Proposed 2021-2023 Plan will change its revenue requirements by -2.2% on average, or -$49.3M (NPV) in total. This change in revenue is distributed across each rate class differently, depending on the rate class' structure.</v>
      </c>
      <c r="D6" s="761"/>
      <c r="E6" s="761"/>
      <c r="F6" s="761"/>
      <c r="G6" s="761"/>
      <c r="H6" s="761"/>
      <c r="I6" s="761"/>
      <c r="J6" s="761"/>
      <c r="K6" s="761"/>
      <c r="L6" s="762"/>
      <c r="S6" s="515">
        <f>ROW('Yr1'!E345)</f>
        <v>345</v>
      </c>
    </row>
    <row r="7" spans="1:20" x14ac:dyDescent="0.25">
      <c r="B7" s="719"/>
      <c r="C7" s="763"/>
      <c r="D7" s="763"/>
      <c r="E7" s="763"/>
      <c r="F7" s="763"/>
      <c r="G7" s="763"/>
      <c r="H7" s="763"/>
      <c r="I7" s="763"/>
      <c r="J7" s="763"/>
      <c r="K7" s="763"/>
      <c r="L7" s="764"/>
      <c r="S7" s="557">
        <f>S6-1</f>
        <v>344</v>
      </c>
    </row>
    <row r="8" spans="1:20" x14ac:dyDescent="0.25">
      <c r="B8" s="717"/>
      <c r="C8" s="761" t="str" cm="1">
        <f t="array" aca="1" ref="C8" ca="1">"Over the long-term, "&amp;Lookups!$E$6&amp;"'s Alternative "&amp;Year1&amp;"-"&amp;Year3&amp;" Plan will change its revenue requirements by "&amp;TEXT(INDIRECT($L$78&amp;$L$79&amp;$S6),"0.0%")&amp;" on average, or "&amp;TEXT(INDIRECT($L$78&amp;$L$81&amp;$S7)/1000000,"$0.0")&amp;"M (NPV) in total. This change in revenue is distributed across each rate class differently, depending on the rate class' structure."</f>
        <v>Over the long-term, Liberty's Alternative 2021-2023 Plan will change its revenue requirements by -2.5% on average, or -$56.3M (NPV) in total. This change in revenue is distributed across each rate class differently, depending on the rate class' structure.</v>
      </c>
      <c r="D8" s="761"/>
      <c r="E8" s="761"/>
      <c r="F8" s="761"/>
      <c r="G8" s="761"/>
      <c r="H8" s="761"/>
      <c r="I8" s="761"/>
      <c r="J8" s="761"/>
      <c r="K8" s="761"/>
      <c r="L8" s="762"/>
    </row>
    <row r="9" spans="1:20" x14ac:dyDescent="0.25">
      <c r="B9" s="718"/>
      <c r="C9" s="765"/>
      <c r="D9" s="765"/>
      <c r="E9" s="765"/>
      <c r="F9" s="765"/>
      <c r="G9" s="765"/>
      <c r="H9" s="765"/>
      <c r="I9" s="765"/>
      <c r="J9" s="765"/>
      <c r="K9" s="765"/>
      <c r="L9" s="766"/>
    </row>
    <row r="10" spans="1:20" ht="15" customHeight="1" x14ac:dyDescent="0.25">
      <c r="B10" s="717"/>
      <c r="C10" s="767" t="s">
        <v>414</v>
      </c>
      <c r="D10" s="767"/>
      <c r="E10" s="767"/>
      <c r="F10" s="767"/>
      <c r="G10" s="767"/>
      <c r="H10" s="767"/>
      <c r="I10" s="767"/>
      <c r="J10" s="767"/>
      <c r="K10" s="767"/>
      <c r="L10" s="768"/>
    </row>
    <row r="11" spans="1:20" ht="15" customHeight="1" x14ac:dyDescent="0.25">
      <c r="B11" s="719"/>
      <c r="C11" s="769"/>
      <c r="D11" s="769"/>
      <c r="E11" s="769"/>
      <c r="F11" s="769"/>
      <c r="G11" s="769"/>
      <c r="H11" s="769"/>
      <c r="I11" s="769"/>
      <c r="J11" s="769"/>
      <c r="K11" s="769"/>
      <c r="L11" s="770"/>
    </row>
    <row r="12" spans="1:20" x14ac:dyDescent="0.25">
      <c r="B12" s="718"/>
      <c r="C12" s="771"/>
      <c r="D12" s="771"/>
      <c r="E12" s="771"/>
      <c r="F12" s="771"/>
      <c r="G12" s="771"/>
      <c r="H12" s="771"/>
      <c r="I12" s="771"/>
      <c r="J12" s="771"/>
      <c r="K12" s="771"/>
      <c r="L12" s="772"/>
    </row>
    <row r="13" spans="1:20" x14ac:dyDescent="0.25">
      <c r="E13" s="713"/>
      <c r="F13" s="713"/>
      <c r="G13" s="713"/>
      <c r="H13" s="713"/>
      <c r="I13" s="713"/>
      <c r="J13" s="713"/>
      <c r="K13" s="713"/>
      <c r="L13" s="713"/>
    </row>
    <row r="15" spans="1:20" s="219" customFormat="1" ht="23.25" x14ac:dyDescent="0.35">
      <c r="B15" s="603"/>
      <c r="C15" s="604"/>
      <c r="D15" s="605"/>
      <c r="E15" s="537" t="str">
        <f>Lookups!$D$23&amp;" v "&amp;Lookups!$D$22</f>
        <v>Proposed EE v No EE</v>
      </c>
      <c r="F15" s="538"/>
      <c r="G15" s="538"/>
      <c r="H15" s="539"/>
      <c r="I15" s="540" t="str">
        <f>Lookups!$D$24&amp;" v "&amp;Lookups!$D$22</f>
        <v>Alternative EE v No EE</v>
      </c>
      <c r="J15" s="511"/>
      <c r="K15" s="511"/>
      <c r="L15" s="511"/>
      <c r="S15" s="513"/>
      <c r="T15" s="513"/>
    </row>
    <row r="16" spans="1:20" s="9" customFormat="1" ht="31.5" x14ac:dyDescent="0.25">
      <c r="B16" s="606"/>
      <c r="C16" s="607"/>
      <c r="D16" s="608"/>
      <c r="E16" s="541" t="str">
        <f>"Impact from "&amp;Lookups!$D$37&amp;" programs in "&amp;Lookups!$D$37</f>
        <v>Impact from 2021 programs in 2021</v>
      </c>
      <c r="F16" s="541" t="str">
        <f>"Impact from "&amp;Lookups!$D$38&amp;" programs in "&amp;Lookups!$D$38</f>
        <v>Impact from 2022 programs in 2022</v>
      </c>
      <c r="G16" s="541" t="str">
        <f>"Impact from "&amp;Lookups!$D$39&amp;" programs in "&amp;Lookups!$D$39</f>
        <v>Impact from 2023 programs in 2023</v>
      </c>
      <c r="H16" s="542" t="str">
        <f>"Average Impact from "&amp;Year1&amp;"-"&amp;Year3&amp;" Plan over Long-Term"</f>
        <v>Average Impact from 2021-2023 Plan over Long-Term</v>
      </c>
      <c r="I16" s="543" t="str">
        <f>E16</f>
        <v>Impact from 2021 programs in 2021</v>
      </c>
      <c r="J16" s="543" t="str">
        <f t="shared" ref="J16:L16" si="0">F16</f>
        <v>Impact from 2022 programs in 2022</v>
      </c>
      <c r="K16" s="543" t="str">
        <f t="shared" si="0"/>
        <v>Impact from 2023 programs in 2023</v>
      </c>
      <c r="L16" s="544" t="str">
        <f t="shared" si="0"/>
        <v>Average Impact from 2021-2023 Plan over Long-Term</v>
      </c>
      <c r="T16" s="514"/>
    </row>
    <row r="17" spans="1:20" ht="18.75" x14ac:dyDescent="0.3">
      <c r="A17" s="546"/>
      <c r="B17" s="551" t="str">
        <f>Lookups!$D$26</f>
        <v>Residential</v>
      </c>
      <c r="C17" s="552"/>
      <c r="D17" s="552"/>
      <c r="E17" s="553"/>
      <c r="F17" s="553"/>
      <c r="G17" s="553"/>
      <c r="H17" s="553"/>
      <c r="I17" s="553"/>
      <c r="J17" s="553"/>
      <c r="K17" s="553"/>
      <c r="L17" s="553"/>
    </row>
    <row r="18" spans="1:20" x14ac:dyDescent="0.25">
      <c r="C18" s="547" t="s">
        <v>259</v>
      </c>
      <c r="D18" s="230"/>
      <c r="E18" s="231"/>
      <c r="F18" s="231"/>
      <c r="G18" s="231"/>
      <c r="H18" s="232"/>
      <c r="I18" s="231"/>
      <c r="J18" s="231"/>
      <c r="K18" s="231"/>
      <c r="L18" s="231"/>
      <c r="S18" s="516"/>
    </row>
    <row r="19" spans="1:20" s="215" customFormat="1" x14ac:dyDescent="0.25">
      <c r="C19" s="228" t="s">
        <v>30</v>
      </c>
      <c r="D19" s="475" t="s">
        <v>251</v>
      </c>
      <c r="E19" s="477">
        <f t="shared" ref="E19:L19" ca="1" si="1">INDIRECT(E$78&amp;E$79&amp;$S19)*100</f>
        <v>6.7574711891543515</v>
      </c>
      <c r="F19" s="477">
        <f t="shared" ca="1" si="1"/>
        <v>6.9583107094464136</v>
      </c>
      <c r="G19" s="477">
        <f t="shared" ca="1" si="1"/>
        <v>7.1770910622253936</v>
      </c>
      <c r="H19" s="548">
        <f t="shared" ca="1" si="1"/>
        <v>1.3810259526928208</v>
      </c>
      <c r="I19" s="477">
        <f t="shared" ca="1" si="1"/>
        <v>8.0927655119063413</v>
      </c>
      <c r="J19" s="477">
        <f t="shared" ca="1" si="1"/>
        <v>8.3335491104550297</v>
      </c>
      <c r="K19" s="477">
        <f t="shared" ca="1" si="1"/>
        <v>8.5957768381298649</v>
      </c>
      <c r="L19" s="554">
        <f t="shared" ca="1" si="1"/>
        <v>1.6290404821261613</v>
      </c>
      <c r="S19" s="515">
        <f>ROW('Yr1'!E59)</f>
        <v>59</v>
      </c>
      <c r="T19" s="518"/>
    </row>
    <row r="20" spans="1:20" x14ac:dyDescent="0.25">
      <c r="C20" s="220"/>
      <c r="D20" s="221" t="s">
        <v>16</v>
      </c>
      <c r="E20" s="227">
        <f t="shared" ref="E20:L20" ca="1" si="2">INDIRECT(E$78&amp;E$79&amp;$S20)</f>
        <v>4.9411876295778701E-2</v>
      </c>
      <c r="F20" s="227">
        <f t="shared" ca="1" si="2"/>
        <v>5.0880451929205428E-2</v>
      </c>
      <c r="G20" s="227">
        <f t="shared" ca="1" si="2"/>
        <v>5.2480214240410383E-2</v>
      </c>
      <c r="H20" s="549">
        <f t="shared" ca="1" si="2"/>
        <v>1.024114713435309E-2</v>
      </c>
      <c r="I20" s="227">
        <f t="shared" ca="1" si="2"/>
        <v>5.9175794786496594E-2</v>
      </c>
      <c r="J20" s="227">
        <f t="shared" ca="1" si="2"/>
        <v>6.0936448891043105E-2</v>
      </c>
      <c r="K20" s="227">
        <f t="shared" ca="1" si="2"/>
        <v>6.2853906424859662E-2</v>
      </c>
      <c r="L20" s="555">
        <f t="shared" ca="1" si="2"/>
        <v>1.2080325668566427E-2</v>
      </c>
      <c r="S20" s="516">
        <f>S19+1</f>
        <v>60</v>
      </c>
    </row>
    <row r="21" spans="1:20" x14ac:dyDescent="0.25">
      <c r="C21" s="503" t="s">
        <v>390</v>
      </c>
      <c r="D21" s="230"/>
      <c r="E21" s="231"/>
      <c r="F21" s="231"/>
      <c r="G21" s="231"/>
      <c r="H21" s="232"/>
      <c r="I21" s="231"/>
      <c r="J21" s="231"/>
      <c r="K21" s="231"/>
      <c r="L21" s="231"/>
      <c r="S21" s="516"/>
    </row>
    <row r="22" spans="1:20" x14ac:dyDescent="0.25">
      <c r="C22" s="228" t="s">
        <v>80</v>
      </c>
      <c r="D22" s="218" t="s">
        <v>32</v>
      </c>
      <c r="E22" s="226">
        <f t="shared" ref="E22:L29" ca="1" si="3">INDIRECT(E$78&amp;E$79&amp;$S22)</f>
        <v>45.004758119767985</v>
      </c>
      <c r="F22" s="226">
        <f t="shared" ca="1" si="3"/>
        <v>46.34234932491313</v>
      </c>
      <c r="G22" s="226">
        <f t="shared" ca="1" si="3"/>
        <v>47.799426474421125</v>
      </c>
      <c r="H22" s="550">
        <f t="shared" ca="1" si="3"/>
        <v>9.1976328449342155</v>
      </c>
      <c r="I22" s="226">
        <f t="shared" ca="1" si="3"/>
        <v>53.897818309296213</v>
      </c>
      <c r="J22" s="226">
        <f t="shared" ca="1" si="3"/>
        <v>55.50143707563052</v>
      </c>
      <c r="K22" s="226">
        <f t="shared" ca="1" si="3"/>
        <v>57.247873741944886</v>
      </c>
      <c r="L22" s="556">
        <f t="shared" ca="1" si="3"/>
        <v>10.849409610960254</v>
      </c>
      <c r="S22" s="515">
        <f>ROW('Yr1'!E77)</f>
        <v>77</v>
      </c>
    </row>
    <row r="23" spans="1:20" x14ac:dyDescent="0.25">
      <c r="C23" s="229"/>
      <c r="D23" s="221" t="s">
        <v>16</v>
      </c>
      <c r="E23" s="227">
        <f t="shared" ca="1" si="3"/>
        <v>4.7652462355112668E-2</v>
      </c>
      <c r="F23" s="227">
        <f t="shared" ca="1" si="3"/>
        <v>4.9068746259585128E-2</v>
      </c>
      <c r="G23" s="227">
        <f t="shared" ca="1" si="3"/>
        <v>5.0611545663831414E-2</v>
      </c>
      <c r="H23" s="549">
        <f t="shared" ca="1" si="3"/>
        <v>9.8764895178575784E-3</v>
      </c>
      <c r="I23" s="227">
        <f t="shared" ca="1" si="3"/>
        <v>5.7068715960464367E-2</v>
      </c>
      <c r="J23" s="227">
        <f t="shared" ca="1" si="3"/>
        <v>5.8766678266835015E-2</v>
      </c>
      <c r="K23" s="227">
        <f t="shared" ca="1" si="3"/>
        <v>6.0615860686072942E-2</v>
      </c>
      <c r="L23" s="555">
        <f t="shared" ca="1" si="3"/>
        <v>1.1650180226166373E-2</v>
      </c>
      <c r="S23" s="516">
        <f>S22+1</f>
        <v>78</v>
      </c>
    </row>
    <row r="24" spans="1:20" x14ac:dyDescent="0.25">
      <c r="C24" s="228" t="s">
        <v>78</v>
      </c>
      <c r="D24" s="218" t="s">
        <v>32</v>
      </c>
      <c r="E24" s="226">
        <f t="shared" ca="1" si="3"/>
        <v>38.657310484870777</v>
      </c>
      <c r="F24" s="226">
        <f t="shared" ca="1" si="3"/>
        <v>39.898758841027302</v>
      </c>
      <c r="G24" s="226">
        <f t="shared" ca="1" si="3"/>
        <v>41.222885743894494</v>
      </c>
      <c r="H24" s="550">
        <f t="shared" ca="1" si="3"/>
        <v>-1.6552759838273285</v>
      </c>
      <c r="I24" s="226">
        <f t="shared" ca="1" si="3"/>
        <v>46.56365574532424</v>
      </c>
      <c r="J24" s="226">
        <f t="shared" ca="1" si="3"/>
        <v>48.053897030548796</v>
      </c>
      <c r="K24" s="226">
        <f t="shared" ca="1" si="3"/>
        <v>49.644136704148877</v>
      </c>
      <c r="L24" s="556">
        <f t="shared" ca="1" si="3"/>
        <v>-1.5878839780638696</v>
      </c>
      <c r="S24" s="516">
        <f t="shared" ref="S24:S29" si="4">S23+1</f>
        <v>79</v>
      </c>
    </row>
    <row r="25" spans="1:20" x14ac:dyDescent="0.25">
      <c r="C25" s="229"/>
      <c r="D25" s="221" t="s">
        <v>16</v>
      </c>
      <c r="E25" s="227">
        <f t="shared" ca="1" si="3"/>
        <v>4.0931583894483259E-2</v>
      </c>
      <c r="F25" s="227">
        <f t="shared" ca="1" si="3"/>
        <v>4.2246068707403106E-2</v>
      </c>
      <c r="G25" s="227">
        <f t="shared" ca="1" si="3"/>
        <v>4.364809618246146E-2</v>
      </c>
      <c r="H25" s="549">
        <f t="shared" ca="1" si="3"/>
        <v>-1.7774481955357135E-3</v>
      </c>
      <c r="I25" s="227">
        <f t="shared" ca="1" si="3"/>
        <v>4.9303072502146605E-2</v>
      </c>
      <c r="J25" s="227">
        <f t="shared" ca="1" si="3"/>
        <v>5.0880987142976508E-2</v>
      </c>
      <c r="K25" s="227">
        <f t="shared" ca="1" si="3"/>
        <v>5.2564783242494917E-2</v>
      </c>
      <c r="L25" s="555">
        <f t="shared" ca="1" si="3"/>
        <v>-1.7050821368194136E-3</v>
      </c>
      <c r="S25" s="516">
        <f t="shared" si="4"/>
        <v>80</v>
      </c>
    </row>
    <row r="26" spans="1:20" x14ac:dyDescent="0.25">
      <c r="C26" s="228" t="str">
        <f>'EE Inputs'!$N$15&amp;" Participant"</f>
        <v>Low Savings Participant</v>
      </c>
      <c r="D26" s="218" t="s">
        <v>32</v>
      </c>
      <c r="E26" s="226">
        <f t="shared" ca="1" si="3"/>
        <v>36.934338538570387</v>
      </c>
      <c r="F26" s="226">
        <f t="shared" ca="1" si="3"/>
        <v>38.258553831664017</v>
      </c>
      <c r="G26" s="226">
        <f t="shared" ca="1" si="3"/>
        <v>39.701060209676939</v>
      </c>
      <c r="H26" s="550">
        <f t="shared" ca="1" si="3"/>
        <v>4.584967026387738</v>
      </c>
      <c r="I26" s="226">
        <f t="shared" ca="1" si="3"/>
        <v>44.106598089584736</v>
      </c>
      <c r="J26" s="226">
        <f t="shared" ca="1" si="3"/>
        <v>45.690973430723034</v>
      </c>
      <c r="K26" s="226">
        <f t="shared" ca="1" si="3"/>
        <v>47.416452857041577</v>
      </c>
      <c r="L26" s="556">
        <f t="shared" ca="1" si="3"/>
        <v>5.2947524045264833</v>
      </c>
      <c r="S26" s="516">
        <f t="shared" si="4"/>
        <v>81</v>
      </c>
    </row>
    <row r="27" spans="1:20" x14ac:dyDescent="0.25">
      <c r="C27" s="229"/>
      <c r="D27" s="221" t="s">
        <v>16</v>
      </c>
      <c r="E27" s="227">
        <f t="shared" ca="1" si="3"/>
        <v>3.9107246663484307E-2</v>
      </c>
      <c r="F27" s="227">
        <f t="shared" ca="1" si="3"/>
        <v>4.0509367728912116E-2</v>
      </c>
      <c r="G27" s="227">
        <f t="shared" ca="1" si="3"/>
        <v>4.2036739139115875E-2</v>
      </c>
      <c r="H27" s="549">
        <f t="shared" ca="1" si="3"/>
        <v>4.9233731699545036E-3</v>
      </c>
      <c r="I27" s="227">
        <f t="shared" ca="1" si="3"/>
        <v>4.6701462087245904E-2</v>
      </c>
      <c r="J27" s="227">
        <f t="shared" ca="1" si="3"/>
        <v>4.8379048845940353E-2</v>
      </c>
      <c r="K27" s="227">
        <f t="shared" ca="1" si="3"/>
        <v>5.0206041076147345E-2</v>
      </c>
      <c r="L27" s="555">
        <f t="shared" ca="1" si="3"/>
        <v>5.6855462165745774E-3</v>
      </c>
      <c r="S27" s="516">
        <f t="shared" si="4"/>
        <v>82</v>
      </c>
    </row>
    <row r="28" spans="1:20" x14ac:dyDescent="0.25">
      <c r="C28" s="228" t="str">
        <f>'EE Inputs'!$N$16&amp;" Participant"</f>
        <v>High Savings Participant</v>
      </c>
      <c r="D28" s="218" t="s">
        <v>32</v>
      </c>
      <c r="E28" s="226">
        <f t="shared" ca="1" si="3"/>
        <v>-11.488178948615769</v>
      </c>
      <c r="F28" s="226">
        <f t="shared" ca="1" si="3"/>
        <v>-10.244219127830775</v>
      </c>
      <c r="G28" s="226">
        <f t="shared" ca="1" si="3"/>
        <v>-8.8891373787882912</v>
      </c>
      <c r="H28" s="550">
        <f t="shared" ca="1" si="3"/>
        <v>-23.091027884891044</v>
      </c>
      <c r="I28" s="226">
        <f t="shared" ca="1" si="3"/>
        <v>-14.640723228684578</v>
      </c>
      <c r="J28" s="226">
        <f t="shared" ca="1" si="3"/>
        <v>-13.171808438722337</v>
      </c>
      <c r="K28" s="226">
        <f t="shared" ca="1" si="3"/>
        <v>-11.572072452378393</v>
      </c>
      <c r="L28" s="556">
        <f t="shared" ca="1" si="3"/>
        <v>-28.033190834076382</v>
      </c>
      <c r="S28" s="516">
        <f t="shared" si="4"/>
        <v>83</v>
      </c>
    </row>
    <row r="29" spans="1:20" x14ac:dyDescent="0.25">
      <c r="C29" s="229"/>
      <c r="D29" s="221" t="s">
        <v>16</v>
      </c>
      <c r="E29" s="227">
        <f t="shared" ca="1" si="3"/>
        <v>-1.2164047486286855E-2</v>
      </c>
      <c r="F29" s="227">
        <f t="shared" ca="1" si="3"/>
        <v>-1.0846903455127288E-2</v>
      </c>
      <c r="G29" s="227">
        <f t="shared" ca="1" si="3"/>
        <v>-9.4121000091782481E-3</v>
      </c>
      <c r="H29" s="549">
        <f t="shared" ca="1" si="3"/>
        <v>-2.4795324917463724E-2</v>
      </c>
      <c r="I29" s="227">
        <f t="shared" ca="1" si="3"/>
        <v>-1.5502061152064539E-2</v>
      </c>
      <c r="J29" s="227">
        <f t="shared" ca="1" si="3"/>
        <v>-1.394672767942895E-2</v>
      </c>
      <c r="K29" s="227">
        <f t="shared" ca="1" si="3"/>
        <v>-1.2252876583406902E-2</v>
      </c>
      <c r="L29" s="555">
        <f t="shared" ca="1" si="3"/>
        <v>-3.0102257840977531E-2</v>
      </c>
      <c r="S29" s="516">
        <f t="shared" si="4"/>
        <v>84</v>
      </c>
    </row>
    <row r="30" spans="1:20" s="5" customFormat="1" x14ac:dyDescent="0.25">
      <c r="D30" s="222"/>
      <c r="E30" s="225"/>
      <c r="F30" s="225"/>
      <c r="G30" s="225"/>
      <c r="H30" s="225"/>
      <c r="I30" s="225"/>
      <c r="J30" s="225"/>
      <c r="K30" s="225"/>
      <c r="L30" s="225"/>
      <c r="S30" s="517"/>
      <c r="T30" s="517"/>
    </row>
    <row r="31" spans="1:20" ht="18.75" x14ac:dyDescent="0.25">
      <c r="B31" s="551" t="str">
        <f>Lookups!$D$27</f>
        <v>Low-Income</v>
      </c>
      <c r="C31" s="552"/>
      <c r="D31" s="552"/>
      <c r="E31" s="553"/>
      <c r="F31" s="553"/>
      <c r="G31" s="553"/>
      <c r="H31" s="553"/>
      <c r="I31" s="553"/>
      <c r="J31" s="553"/>
      <c r="K31" s="553"/>
      <c r="L31" s="553"/>
    </row>
    <row r="32" spans="1:20" x14ac:dyDescent="0.25">
      <c r="C32" s="547" t="str">
        <f>C18</f>
        <v>Change in Annual Rates</v>
      </c>
      <c r="D32" s="230"/>
      <c r="E32" s="231"/>
      <c r="F32" s="231"/>
      <c r="G32" s="231"/>
      <c r="H32" s="232"/>
      <c r="I32" s="231"/>
      <c r="J32" s="231"/>
      <c r="K32" s="231"/>
      <c r="L32" s="231"/>
    </row>
    <row r="33" spans="2:21" s="215" customFormat="1" x14ac:dyDescent="0.25">
      <c r="C33" s="228" t="str">
        <f>C19</f>
        <v>Rates</v>
      </c>
      <c r="D33" s="475" t="s">
        <v>251</v>
      </c>
      <c r="E33" s="477">
        <f t="shared" ref="E33:L33" ca="1" si="5">INDIRECT(E$78&amp;E$79&amp;$S33)*100</f>
        <v>6.6915534199636255</v>
      </c>
      <c r="F33" s="477">
        <f t="shared" ca="1" si="5"/>
        <v>6.8953640744258804</v>
      </c>
      <c r="G33" s="477">
        <f t="shared" ca="1" si="5"/>
        <v>7.1178381487657871</v>
      </c>
      <c r="H33" s="548">
        <f t="shared" ca="1" si="5"/>
        <v>1.4017069048441129</v>
      </c>
      <c r="I33" s="477">
        <f t="shared" ca="1" si="5"/>
        <v>8.0178213733644093</v>
      </c>
      <c r="J33" s="477">
        <f t="shared" ca="1" si="5"/>
        <v>8.2620366058231305</v>
      </c>
      <c r="K33" s="477">
        <f t="shared" ca="1" si="5"/>
        <v>8.5285342484441191</v>
      </c>
      <c r="L33" s="554">
        <f t="shared" ca="1" si="5"/>
        <v>1.6563238478105817</v>
      </c>
      <c r="S33" s="516">
        <f>S19+$T$33</f>
        <v>138</v>
      </c>
      <c r="T33" s="515">
        <f>ROW('Yr1'!E88)-ROW('Yr1'!E9)</f>
        <v>79</v>
      </c>
    </row>
    <row r="34" spans="2:21" x14ac:dyDescent="0.25">
      <c r="C34" s="220"/>
      <c r="D34" s="221" t="s">
        <v>16</v>
      </c>
      <c r="E34" s="227">
        <f t="shared" ref="E34:L34" ca="1" si="6">INDIRECT(E$78&amp;E$79&amp;$S34)</f>
        <v>7.4263711844386959E-2</v>
      </c>
      <c r="F34" s="227">
        <f t="shared" ca="1" si="6"/>
        <v>7.6525628437422721E-2</v>
      </c>
      <c r="G34" s="227">
        <f t="shared" ca="1" si="6"/>
        <v>7.8994674040546053E-2</v>
      </c>
      <c r="H34" s="549">
        <f t="shared" ca="1" si="6"/>
        <v>1.5776350216022417E-2</v>
      </c>
      <c r="I34" s="227">
        <f t="shared" ca="1" si="6"/>
        <v>8.8982802455836563E-2</v>
      </c>
      <c r="J34" s="227">
        <f t="shared" ca="1" si="6"/>
        <v>9.1693134199915205E-2</v>
      </c>
      <c r="K34" s="227">
        <f t="shared" ca="1" si="6"/>
        <v>9.4650758969041071E-2</v>
      </c>
      <c r="L34" s="555">
        <f t="shared" ca="1" si="6"/>
        <v>1.8642089158514619E-2</v>
      </c>
      <c r="S34" s="516">
        <f>S20+$T$33</f>
        <v>139</v>
      </c>
    </row>
    <row r="35" spans="2:21" x14ac:dyDescent="0.25">
      <c r="C35" s="503" t="s">
        <v>390</v>
      </c>
      <c r="D35" s="230"/>
      <c r="E35" s="231"/>
      <c r="F35" s="231"/>
      <c r="G35" s="231"/>
      <c r="H35" s="232"/>
      <c r="I35" s="231"/>
      <c r="J35" s="231"/>
      <c r="K35" s="231"/>
      <c r="L35" s="231"/>
      <c r="S35" s="516"/>
    </row>
    <row r="36" spans="2:21" x14ac:dyDescent="0.25">
      <c r="C36" s="228" t="s">
        <v>80</v>
      </c>
      <c r="D36" s="218" t="s">
        <v>32</v>
      </c>
      <c r="E36" s="226">
        <f t="shared" ref="E36:L43" ca="1" si="7">INDIRECT(E$78&amp;E$79&amp;$S36)</f>
        <v>44.565745776957783</v>
      </c>
      <c r="F36" s="226">
        <f t="shared" ca="1" si="7"/>
        <v>45.923124735676424</v>
      </c>
      <c r="G36" s="226">
        <f t="shared" ca="1" si="7"/>
        <v>47.404802070780192</v>
      </c>
      <c r="H36" s="550">
        <f t="shared" ca="1" si="7"/>
        <v>9.3353679862618293</v>
      </c>
      <c r="I36" s="226">
        <f t="shared" ca="1" si="7"/>
        <v>53.398690346607054</v>
      </c>
      <c r="J36" s="226">
        <f t="shared" ca="1" si="7"/>
        <v>55.025163794782088</v>
      </c>
      <c r="K36" s="226">
        <f t="shared" ca="1" si="7"/>
        <v>56.800038094637898</v>
      </c>
      <c r="L36" s="556">
        <f t="shared" ca="1" si="7"/>
        <v>11.031116826418488</v>
      </c>
      <c r="S36" s="516">
        <f t="shared" ref="S36:S43" si="8">S22+$T$33</f>
        <v>156</v>
      </c>
    </row>
    <row r="37" spans="2:21" x14ac:dyDescent="0.25">
      <c r="C37" s="229"/>
      <c r="D37" s="221" t="s">
        <v>16</v>
      </c>
      <c r="E37" s="227">
        <f t="shared" ca="1" si="7"/>
        <v>7.2761993122719471E-2</v>
      </c>
      <c r="F37" s="227">
        <f t="shared" ca="1" si="7"/>
        <v>7.4978170519447218E-2</v>
      </c>
      <c r="G37" s="227">
        <f t="shared" ca="1" si="7"/>
        <v>7.739728848072791E-2</v>
      </c>
      <c r="H37" s="549">
        <f t="shared" ca="1" si="7"/>
        <v>1.5457329796889407E-2</v>
      </c>
      <c r="I37" s="227">
        <f t="shared" ca="1" si="7"/>
        <v>8.7183442619980678E-2</v>
      </c>
      <c r="J37" s="227">
        <f t="shared" ca="1" si="7"/>
        <v>8.9838967570526673E-2</v>
      </c>
      <c r="K37" s="227">
        <f t="shared" ca="1" si="7"/>
        <v>9.2736784926621851E-2</v>
      </c>
      <c r="L37" s="555">
        <f t="shared" ca="1" si="7"/>
        <v>1.8265119389497375E-2</v>
      </c>
      <c r="S37" s="516">
        <f t="shared" si="8"/>
        <v>157</v>
      </c>
    </row>
    <row r="38" spans="2:21" x14ac:dyDescent="0.25">
      <c r="C38" s="228" t="s">
        <v>78</v>
      </c>
      <c r="D38" s="218" t="s">
        <v>32</v>
      </c>
      <c r="E38" s="226">
        <f t="shared" ca="1" si="7"/>
        <v>31.414307241455617</v>
      </c>
      <c r="F38" s="226">
        <f t="shared" ca="1" si="7"/>
        <v>32.335042152620304</v>
      </c>
      <c r="G38" s="226">
        <f t="shared" ca="1" si="7"/>
        <v>33.252634408852259</v>
      </c>
      <c r="H38" s="550">
        <f t="shared" ca="1" si="7"/>
        <v>-19.59158041687455</v>
      </c>
      <c r="I38" s="226">
        <f t="shared" ca="1" si="7"/>
        <v>38.14118023635092</v>
      </c>
      <c r="J38" s="226">
        <f t="shared" ca="1" si="7"/>
        <v>39.254492121347994</v>
      </c>
      <c r="K38" s="226">
        <f t="shared" ca="1" si="7"/>
        <v>40.367230281344291</v>
      </c>
      <c r="L38" s="556">
        <f t="shared" ca="1" si="7"/>
        <v>-22.1309275807373</v>
      </c>
      <c r="S38" s="516">
        <f t="shared" si="8"/>
        <v>158</v>
      </c>
    </row>
    <row r="39" spans="2:21" x14ac:dyDescent="0.25">
      <c r="C39" s="229"/>
      <c r="D39" s="221" t="s">
        <v>16</v>
      </c>
      <c r="E39" s="227">
        <f t="shared" ca="1" si="7"/>
        <v>5.1289786978940599E-2</v>
      </c>
      <c r="F39" s="227">
        <f t="shared" ca="1" si="7"/>
        <v>5.2793060538173897E-2</v>
      </c>
      <c r="G39" s="227">
        <f t="shared" ca="1" si="7"/>
        <v>5.429120311995761E-2</v>
      </c>
      <c r="H39" s="549">
        <f t="shared" ca="1" si="7"/>
        <v>-3.2439376807809062E-2</v>
      </c>
      <c r="I39" s="227">
        <f t="shared" ca="1" si="7"/>
        <v>6.2272677045262625E-2</v>
      </c>
      <c r="J39" s="227">
        <f t="shared" ca="1" si="7"/>
        <v>6.4090368869046177E-2</v>
      </c>
      <c r="K39" s="227">
        <f t="shared" ca="1" si="7"/>
        <v>6.5907123978458104E-2</v>
      </c>
      <c r="L39" s="555">
        <f t="shared" ca="1" si="7"/>
        <v>-3.6643980915369023E-2</v>
      </c>
      <c r="S39" s="516">
        <f t="shared" si="8"/>
        <v>159</v>
      </c>
    </row>
    <row r="40" spans="2:21" x14ac:dyDescent="0.25">
      <c r="C40" s="228" t="str">
        <f>'EE Inputs'!$N$15&amp;" Participant"</f>
        <v>Low Savings Participant</v>
      </c>
      <c r="D40" s="218" t="s">
        <v>32</v>
      </c>
      <c r="E40" s="226">
        <f t="shared" ca="1" si="7"/>
        <v>38.724822319188206</v>
      </c>
      <c r="F40" s="226">
        <f t="shared" ca="1" si="7"/>
        <v>40.068627488319635</v>
      </c>
      <c r="G40" s="226">
        <f t="shared" ca="1" si="7"/>
        <v>41.535488050072445</v>
      </c>
      <c r="H40" s="550">
        <f t="shared" ca="1" si="7"/>
        <v>5.1154259582299604</v>
      </c>
      <c r="I40" s="226">
        <f t="shared" ca="1" si="7"/>
        <v>46.283586862447805</v>
      </c>
      <c r="J40" s="226">
        <f t="shared" ca="1" si="7"/>
        <v>47.890542629244692</v>
      </c>
      <c r="K40" s="226">
        <f t="shared" ca="1" si="7"/>
        <v>49.644118437502243</v>
      </c>
      <c r="L40" s="556">
        <f t="shared" ca="1" si="7"/>
        <v>5.9471164326392545</v>
      </c>
      <c r="S40" s="516">
        <f t="shared" si="8"/>
        <v>160</v>
      </c>
    </row>
    <row r="41" spans="2:21" x14ac:dyDescent="0.25">
      <c r="C41" s="229"/>
      <c r="D41" s="221" t="s">
        <v>16</v>
      </c>
      <c r="E41" s="227">
        <f t="shared" ca="1" si="7"/>
        <v>6.3225582925713342E-2</v>
      </c>
      <c r="F41" s="227">
        <f t="shared" ca="1" si="7"/>
        <v>6.541959854847379E-2</v>
      </c>
      <c r="G41" s="227">
        <f t="shared" ca="1" si="7"/>
        <v>6.7814525330141873E-2</v>
      </c>
      <c r="H41" s="549">
        <f t="shared" ca="1" si="7"/>
        <v>8.470027770120403E-3</v>
      </c>
      <c r="I41" s="227">
        <f t="shared" ca="1" si="7"/>
        <v>7.5566692989606388E-2</v>
      </c>
      <c r="J41" s="227">
        <f t="shared" ca="1" si="7"/>
        <v>7.8190351640745615E-2</v>
      </c>
      <c r="K41" s="227">
        <f t="shared" ca="1" si="7"/>
        <v>8.105339518856769E-2</v>
      </c>
      <c r="L41" s="555">
        <f t="shared" ca="1" si="7"/>
        <v>9.8471254882599446E-3</v>
      </c>
      <c r="S41" s="516">
        <f t="shared" si="8"/>
        <v>161</v>
      </c>
    </row>
    <row r="42" spans="2:21" x14ac:dyDescent="0.25">
      <c r="C42" s="228" t="str">
        <f>'EE Inputs'!$N$16&amp;" Participant"</f>
        <v>High Savings Participant</v>
      </c>
      <c r="D42" s="218" t="s">
        <v>32</v>
      </c>
      <c r="E42" s="226">
        <f t="shared" ca="1" si="7"/>
        <v>3.6792815725707442</v>
      </c>
      <c r="F42" s="226">
        <f t="shared" ca="1" si="7"/>
        <v>4.9416440041790111</v>
      </c>
      <c r="G42" s="226">
        <f t="shared" ca="1" si="7"/>
        <v>6.3196039258256178</v>
      </c>
      <c r="H42" s="550">
        <f t="shared" ca="1" si="7"/>
        <v>-20.204226209961291</v>
      </c>
      <c r="I42" s="226">
        <f t="shared" ca="1" si="7"/>
        <v>3.5929659574920834</v>
      </c>
      <c r="J42" s="226">
        <f t="shared" ca="1" si="7"/>
        <v>5.0828156360204275</v>
      </c>
      <c r="K42" s="226">
        <f t="shared" ca="1" si="7"/>
        <v>6.7086004946883122</v>
      </c>
      <c r="L42" s="556">
        <f t="shared" ca="1" si="7"/>
        <v>-24.556885930036508</v>
      </c>
      <c r="S42" s="516">
        <f t="shared" si="8"/>
        <v>162</v>
      </c>
    </row>
    <row r="43" spans="2:21" x14ac:dyDescent="0.25">
      <c r="C43" s="229"/>
      <c r="D43" s="221" t="s">
        <v>16</v>
      </c>
      <c r="E43" s="227">
        <f t="shared" ca="1" si="7"/>
        <v>6.007121743677013E-3</v>
      </c>
      <c r="F43" s="227">
        <f t="shared" ca="1" si="7"/>
        <v>8.0681667226336629E-3</v>
      </c>
      <c r="G43" s="227">
        <f t="shared" ca="1" si="7"/>
        <v>1.031794642662498E-2</v>
      </c>
      <c r="H43" s="549">
        <f t="shared" ca="1" si="7"/>
        <v>-3.3453784390493957E-2</v>
      </c>
      <c r="I43" s="227">
        <f t="shared" ca="1" si="7"/>
        <v>5.866195207359759E-3</v>
      </c>
      <c r="J43" s="227">
        <f t="shared" ca="1" si="7"/>
        <v>8.2986560620599281E-3</v>
      </c>
      <c r="K43" s="227">
        <f t="shared" ca="1" si="7"/>
        <v>1.0953056760243163E-2</v>
      </c>
      <c r="L43" s="555">
        <f t="shared" ca="1" si="7"/>
        <v>-4.066083791916586E-2</v>
      </c>
      <c r="S43" s="516">
        <f t="shared" si="8"/>
        <v>163</v>
      </c>
    </row>
    <row r="45" spans="2:21" ht="18.75" x14ac:dyDescent="0.25">
      <c r="B45" s="551" t="str">
        <f>Lookups!$D$28</f>
        <v>Small C&amp;I</v>
      </c>
      <c r="C45" s="552"/>
      <c r="D45" s="552"/>
      <c r="E45" s="553"/>
      <c r="F45" s="553"/>
      <c r="G45" s="553"/>
      <c r="H45" s="553"/>
      <c r="I45" s="553"/>
      <c r="J45" s="553"/>
      <c r="K45" s="553"/>
      <c r="L45" s="553"/>
    </row>
    <row r="46" spans="2:21" x14ac:dyDescent="0.25">
      <c r="C46" s="547" t="str">
        <f>C32</f>
        <v>Change in Annual Rates</v>
      </c>
      <c r="D46" s="230"/>
      <c r="E46" s="231"/>
      <c r="F46" s="231"/>
      <c r="G46" s="231"/>
      <c r="H46" s="232"/>
      <c r="I46" s="231"/>
      <c r="J46" s="231"/>
      <c r="K46" s="231"/>
      <c r="L46" s="231"/>
    </row>
    <row r="47" spans="2:21" s="215" customFormat="1" ht="15.75" x14ac:dyDescent="0.25">
      <c r="C47" s="228" t="str">
        <f>C33</f>
        <v>Rates</v>
      </c>
      <c r="D47" s="475" t="s">
        <v>251</v>
      </c>
      <c r="E47" s="477">
        <f t="shared" ref="E47:L47" ca="1" si="9">INDIRECT(E$78&amp;E$79&amp;$S47)*100</f>
        <v>14.789526126986408</v>
      </c>
      <c r="F47" s="477">
        <f t="shared" ca="1" si="9"/>
        <v>15.501098350121945</v>
      </c>
      <c r="G47" s="477">
        <f t="shared" ca="1" si="9"/>
        <v>16.476243417112556</v>
      </c>
      <c r="H47" s="548">
        <f t="shared" ca="1" si="9"/>
        <v>3.0352658084869177</v>
      </c>
      <c r="I47" s="477">
        <f t="shared" ca="1" si="9"/>
        <v>17.717786236123988</v>
      </c>
      <c r="J47" s="477">
        <f t="shared" ca="1" si="9"/>
        <v>18.570127972152008</v>
      </c>
      <c r="K47" s="477">
        <f t="shared" ca="1" si="9"/>
        <v>19.738917430393464</v>
      </c>
      <c r="L47" s="554">
        <f t="shared" ca="1" si="9"/>
        <v>3.5885706283206247</v>
      </c>
      <c r="S47" s="516">
        <f>S33+$T$33</f>
        <v>217</v>
      </c>
      <c r="T47" s="513"/>
      <c r="U47" s="219"/>
    </row>
    <row r="48" spans="2:21" ht="15.75" x14ac:dyDescent="0.25">
      <c r="C48" s="220"/>
      <c r="D48" s="221" t="s">
        <v>16</v>
      </c>
      <c r="E48" s="227">
        <f t="shared" ref="E48:L48" ca="1" si="10">INDIRECT(E$78&amp;E$79&amp;$S48)</f>
        <v>0.11369149942461498</v>
      </c>
      <c r="F48" s="227">
        <f t="shared" ca="1" si="10"/>
        <v>0.11916156738369388</v>
      </c>
      <c r="G48" s="227">
        <f t="shared" ca="1" si="10"/>
        <v>0.12665779842387459</v>
      </c>
      <c r="H48" s="549">
        <f t="shared" ca="1" si="10"/>
        <v>2.3663015482880967E-2</v>
      </c>
      <c r="I48" s="227">
        <f t="shared" ca="1" si="10"/>
        <v>0.13620190845696833</v>
      </c>
      <c r="J48" s="227">
        <f t="shared" ca="1" si="10"/>
        <v>0.14275411365672674</v>
      </c>
      <c r="K48" s="227">
        <f t="shared" ca="1" si="10"/>
        <v>0.15173894690143008</v>
      </c>
      <c r="L48" s="555">
        <f t="shared" ca="1" si="10"/>
        <v>2.797659503227945E-2</v>
      </c>
      <c r="S48" s="516">
        <f>S34+$T$33</f>
        <v>218</v>
      </c>
      <c r="T48" s="513"/>
      <c r="U48" s="219"/>
    </row>
    <row r="49" spans="2:20" x14ac:dyDescent="0.25">
      <c r="C49" s="503" t="s">
        <v>390</v>
      </c>
      <c r="D49" s="230"/>
      <c r="E49" s="231"/>
      <c r="F49" s="231"/>
      <c r="G49" s="231"/>
      <c r="H49" s="232"/>
      <c r="I49" s="231"/>
      <c r="J49" s="231"/>
      <c r="K49" s="231"/>
      <c r="L49" s="231"/>
      <c r="S49" s="516"/>
    </row>
    <row r="50" spans="2:20" x14ac:dyDescent="0.25">
      <c r="C50" s="228" t="s">
        <v>80</v>
      </c>
      <c r="D50" s="218" t="s">
        <v>32</v>
      </c>
      <c r="E50" s="226">
        <f t="shared" ref="E50:L57" ca="1" si="11">INDIRECT(E$78&amp;E$79&amp;$S50)</f>
        <v>288.98098102507947</v>
      </c>
      <c r="F50" s="226">
        <f t="shared" ca="1" si="11"/>
        <v>302.88479628909272</v>
      </c>
      <c r="G50" s="226">
        <f t="shared" ca="1" si="11"/>
        <v>321.93871158571028</v>
      </c>
      <c r="H50" s="550">
        <f t="shared" ca="1" si="11"/>
        <v>59.30778873353669</v>
      </c>
      <c r="I50" s="226">
        <f t="shared" ca="1" si="11"/>
        <v>346.19792440578158</v>
      </c>
      <c r="J50" s="226">
        <f t="shared" ca="1" si="11"/>
        <v>362.85231542082192</v>
      </c>
      <c r="K50" s="226">
        <f t="shared" ca="1" si="11"/>
        <v>385.68995885539289</v>
      </c>
      <c r="L50" s="556">
        <f t="shared" ca="1" si="11"/>
        <v>70.119126992014813</v>
      </c>
      <c r="S50" s="516">
        <f t="shared" ref="S50:S57" si="12">S36+$T$33</f>
        <v>235</v>
      </c>
    </row>
    <row r="51" spans="2:20" x14ac:dyDescent="0.25">
      <c r="C51" s="229"/>
      <c r="D51" s="221" t="s">
        <v>16</v>
      </c>
      <c r="E51" s="227">
        <f t="shared" ca="1" si="11"/>
        <v>0.10855168473888921</v>
      </c>
      <c r="F51" s="227">
        <f t="shared" ca="1" si="11"/>
        <v>0.11377445948985443</v>
      </c>
      <c r="G51" s="227">
        <f t="shared" ca="1" si="11"/>
        <v>0.12093179766132534</v>
      </c>
      <c r="H51" s="549">
        <f t="shared" ca="1" si="11"/>
        <v>2.2593247601350619E-2</v>
      </c>
      <c r="I51" s="227">
        <f t="shared" ca="1" si="11"/>
        <v>0.13004443342274064</v>
      </c>
      <c r="J51" s="227">
        <f t="shared" ca="1" si="11"/>
        <v>0.13630042368400264</v>
      </c>
      <c r="K51" s="227">
        <f t="shared" ca="1" si="11"/>
        <v>0.14487906668498796</v>
      </c>
      <c r="L51" s="555">
        <f t="shared" ca="1" si="11"/>
        <v>2.6711816972958768E-2</v>
      </c>
      <c r="S51" s="516">
        <f t="shared" si="12"/>
        <v>236</v>
      </c>
    </row>
    <row r="52" spans="2:20" x14ac:dyDescent="0.25">
      <c r="C52" s="228" t="s">
        <v>78</v>
      </c>
      <c r="D52" s="218" t="s">
        <v>32</v>
      </c>
      <c r="E52" s="226">
        <f t="shared" ca="1" si="11"/>
        <v>244.47478432340222</v>
      </c>
      <c r="F52" s="226">
        <f t="shared" ca="1" si="11"/>
        <v>255.68579224975974</v>
      </c>
      <c r="G52" s="226">
        <f t="shared" ca="1" si="11"/>
        <v>272.15889490129621</v>
      </c>
      <c r="H52" s="550">
        <f t="shared" ca="1" si="11"/>
        <v>-19.512847698738476</v>
      </c>
      <c r="I52" s="226">
        <f t="shared" ca="1" si="11"/>
        <v>294.05434313986598</v>
      </c>
      <c r="J52" s="226">
        <f t="shared" ca="1" si="11"/>
        <v>307.49724891081996</v>
      </c>
      <c r="K52" s="226">
        <f t="shared" ca="1" si="11"/>
        <v>327.22714185704854</v>
      </c>
      <c r="L52" s="556">
        <f t="shared" ca="1" si="11"/>
        <v>-20.533754276381018</v>
      </c>
      <c r="S52" s="516">
        <f t="shared" si="12"/>
        <v>237</v>
      </c>
    </row>
    <row r="53" spans="2:20" x14ac:dyDescent="0.25">
      <c r="C53" s="229"/>
      <c r="D53" s="221" t="s">
        <v>16</v>
      </c>
      <c r="E53" s="227">
        <f t="shared" ca="1" si="11"/>
        <v>9.1833551192002982E-2</v>
      </c>
      <c r="F53" s="227">
        <f t="shared" ca="1" si="11"/>
        <v>9.604481033338419E-2</v>
      </c>
      <c r="G53" s="227">
        <f t="shared" ca="1" si="11"/>
        <v>0.10223270214328073</v>
      </c>
      <c r="H53" s="549">
        <f t="shared" ca="1" si="11"/>
        <v>-7.4334013943053723E-3</v>
      </c>
      <c r="I53" s="227">
        <f t="shared" ca="1" si="11"/>
        <v>0.11045742262827218</v>
      </c>
      <c r="J53" s="227">
        <f t="shared" ca="1" si="11"/>
        <v>0.1155070631411077</v>
      </c>
      <c r="K53" s="227">
        <f t="shared" ca="1" si="11"/>
        <v>0.12291832291133153</v>
      </c>
      <c r="L53" s="555">
        <f t="shared" ca="1" si="11"/>
        <v>-7.8223148166240986E-3</v>
      </c>
      <c r="S53" s="516">
        <f t="shared" si="12"/>
        <v>238</v>
      </c>
    </row>
    <row r="54" spans="2:20" x14ac:dyDescent="0.25">
      <c r="C54" s="228" t="str">
        <f>'EE Inputs'!$N$15&amp;" Participant"</f>
        <v>Low Savings Participant</v>
      </c>
      <c r="D54" s="218" t="s">
        <v>32</v>
      </c>
      <c r="E54" s="226">
        <f t="shared" ca="1" si="11"/>
        <v>175.24037969575829</v>
      </c>
      <c r="F54" s="226">
        <f t="shared" ca="1" si="11"/>
        <v>188.44900419657051</v>
      </c>
      <c r="G54" s="226">
        <f t="shared" ca="1" si="11"/>
        <v>206.55022372835765</v>
      </c>
      <c r="H54" s="550">
        <f t="shared" ca="1" si="11"/>
        <v>-6.0321995117960094</v>
      </c>
      <c r="I54" s="226">
        <f t="shared" ca="1" si="11"/>
        <v>206.27618620775365</v>
      </c>
      <c r="J54" s="226">
        <f t="shared" ca="1" si="11"/>
        <v>221.9313137618924</v>
      </c>
      <c r="K54" s="226">
        <f t="shared" ca="1" si="11"/>
        <v>243.3986985903889</v>
      </c>
      <c r="L54" s="556">
        <f t="shared" ca="1" si="11"/>
        <v>-8.9267502638369702</v>
      </c>
      <c r="S54" s="516">
        <f t="shared" si="12"/>
        <v>239</v>
      </c>
    </row>
    <row r="55" spans="2:20" x14ac:dyDescent="0.25">
      <c r="C55" s="229"/>
      <c r="D55" s="221" t="s">
        <v>16</v>
      </c>
      <c r="E55" s="227">
        <f t="shared" ca="1" si="11"/>
        <v>6.5826610397610619E-2</v>
      </c>
      <c r="F55" s="227">
        <f t="shared" ca="1" si="11"/>
        <v>7.0788246411027211E-2</v>
      </c>
      <c r="G55" s="227">
        <f t="shared" ca="1" si="11"/>
        <v>7.7587717673924805E-2</v>
      </c>
      <c r="H55" s="549">
        <f t="shared" ca="1" si="11"/>
        <v>-2.2979608591223721E-3</v>
      </c>
      <c r="I55" s="227">
        <f t="shared" ca="1" si="11"/>
        <v>7.7484779292174899E-2</v>
      </c>
      <c r="J55" s="227">
        <f t="shared" ca="1" si="11"/>
        <v>8.3365410137761664E-2</v>
      </c>
      <c r="K55" s="227">
        <f t="shared" ca="1" si="11"/>
        <v>9.1429334558687847E-2</v>
      </c>
      <c r="L55" s="555">
        <f t="shared" ca="1" si="11"/>
        <v>-3.4006373073938168E-3</v>
      </c>
      <c r="S55" s="516">
        <f t="shared" si="12"/>
        <v>240</v>
      </c>
    </row>
    <row r="56" spans="2:20" x14ac:dyDescent="0.25">
      <c r="C56" s="228" t="str">
        <f>'EE Inputs'!$N$16&amp;" Participant"</f>
        <v>High Savings Participant</v>
      </c>
      <c r="D56" s="218" t="s">
        <v>32</v>
      </c>
      <c r="E56" s="226">
        <f t="shared" ca="1" si="11"/>
        <v>61.499778366437113</v>
      </c>
      <c r="F56" s="226">
        <f t="shared" ca="1" si="11"/>
        <v>74.013212104048307</v>
      </c>
      <c r="G56" s="226">
        <f t="shared" ca="1" si="11"/>
        <v>91.161735871004112</v>
      </c>
      <c r="H56" s="550">
        <f t="shared" ca="1" si="11"/>
        <v>-71.372187757129026</v>
      </c>
      <c r="I56" s="226">
        <f t="shared" ca="1" si="11"/>
        <v>66.354448009725729</v>
      </c>
      <c r="J56" s="226">
        <f t="shared" ca="1" si="11"/>
        <v>81.010312102961962</v>
      </c>
      <c r="K56" s="226">
        <f t="shared" ca="1" si="11"/>
        <v>101.10743832538492</v>
      </c>
      <c r="L56" s="556">
        <f t="shared" ca="1" si="11"/>
        <v>-87.972627519688743</v>
      </c>
      <c r="S56" s="516">
        <f t="shared" si="12"/>
        <v>241</v>
      </c>
    </row>
    <row r="57" spans="2:20" x14ac:dyDescent="0.25">
      <c r="C57" s="229"/>
      <c r="D57" s="221" t="s">
        <v>16</v>
      </c>
      <c r="E57" s="227">
        <f t="shared" ca="1" si="11"/>
        <v>2.3101536056331806E-2</v>
      </c>
      <c r="F57" s="227">
        <f t="shared" ca="1" si="11"/>
        <v>2.7802033332200216E-2</v>
      </c>
      <c r="G57" s="227">
        <f t="shared" ca="1" si="11"/>
        <v>3.4243637686524053E-2</v>
      </c>
      <c r="H57" s="549">
        <f t="shared" ca="1" si="11"/>
        <v>-2.7189169319595363E-2</v>
      </c>
      <c r="I57" s="227">
        <f t="shared" ca="1" si="11"/>
        <v>2.4925125161609385E-2</v>
      </c>
      <c r="J57" s="227">
        <f t="shared" ca="1" si="11"/>
        <v>3.0430396591520248E-2</v>
      </c>
      <c r="K57" s="227">
        <f t="shared" ca="1" si="11"/>
        <v>3.7979602432387516E-2</v>
      </c>
      <c r="L57" s="555">
        <f t="shared" ca="1" si="11"/>
        <v>-3.3513091587746402E-2</v>
      </c>
      <c r="S57" s="516">
        <f t="shared" si="12"/>
        <v>242</v>
      </c>
    </row>
    <row r="59" spans="2:20" ht="18.75" x14ac:dyDescent="0.25">
      <c r="B59" s="551" t="str">
        <f>Lookups!$D$29</f>
        <v>Large C&amp;I</v>
      </c>
      <c r="C59" s="552"/>
      <c r="D59" s="552"/>
      <c r="E59" s="553"/>
      <c r="F59" s="553"/>
      <c r="G59" s="553"/>
      <c r="H59" s="553"/>
      <c r="I59" s="553"/>
      <c r="J59" s="553"/>
      <c r="K59" s="553"/>
      <c r="L59" s="553"/>
    </row>
    <row r="60" spans="2:20" x14ac:dyDescent="0.25">
      <c r="C60" s="547" t="str">
        <f>C46</f>
        <v>Change in Annual Rates</v>
      </c>
      <c r="D60" s="230"/>
      <c r="E60" s="231"/>
      <c r="F60" s="231"/>
      <c r="G60" s="231"/>
      <c r="H60" s="232"/>
      <c r="I60" s="231"/>
      <c r="J60" s="231"/>
      <c r="K60" s="231"/>
      <c r="L60" s="231"/>
    </row>
    <row r="61" spans="2:20" s="215" customFormat="1" x14ac:dyDescent="0.25">
      <c r="C61" s="228" t="str">
        <f>C47</f>
        <v>Rates</v>
      </c>
      <c r="D61" s="475" t="s">
        <v>251</v>
      </c>
      <c r="E61" s="477">
        <f t="shared" ref="E61:L61" ca="1" si="13">INDIRECT(E$78&amp;E$79&amp;$S61)*100</f>
        <v>14.659211586306986</v>
      </c>
      <c r="F61" s="477">
        <f t="shared" ca="1" si="13"/>
        <v>15.362481206052125</v>
      </c>
      <c r="G61" s="477">
        <f t="shared" ca="1" si="13"/>
        <v>16.338342099498206</v>
      </c>
      <c r="H61" s="548">
        <f t="shared" ca="1" si="13"/>
        <v>2.7499983832909725</v>
      </c>
      <c r="I61" s="477">
        <f t="shared" ca="1" si="13"/>
        <v>17.573544752602388</v>
      </c>
      <c r="J61" s="477">
        <f t="shared" ca="1" si="13"/>
        <v>18.416900297913408</v>
      </c>
      <c r="K61" s="477">
        <f t="shared" ca="1" si="13"/>
        <v>19.587228349420705</v>
      </c>
      <c r="L61" s="554">
        <f t="shared" ca="1" si="13"/>
        <v>3.2991275741777923</v>
      </c>
      <c r="S61" s="516">
        <f>S47+$T$33</f>
        <v>296</v>
      </c>
      <c r="T61" s="518"/>
    </row>
    <row r="62" spans="2:20" x14ac:dyDescent="0.25">
      <c r="C62" s="220"/>
      <c r="D62" s="221" t="s">
        <v>16</v>
      </c>
      <c r="E62" s="227">
        <f t="shared" ref="E62:L62" ca="1" si="14">INDIRECT(E$78&amp;E$79&amp;$S62)</f>
        <v>0.18673704380105294</v>
      </c>
      <c r="F62" s="227">
        <f t="shared" ca="1" si="14"/>
        <v>0.19569567633139773</v>
      </c>
      <c r="G62" s="227">
        <f t="shared" ca="1" si="14"/>
        <v>0.20812672539091159</v>
      </c>
      <c r="H62" s="549">
        <f t="shared" ca="1" si="14"/>
        <v>3.5526459390037957E-2</v>
      </c>
      <c r="I62" s="227">
        <f t="shared" ca="1" si="14"/>
        <v>0.22386141143305505</v>
      </c>
      <c r="J62" s="227">
        <f t="shared" ca="1" si="14"/>
        <v>0.23460453499583322</v>
      </c>
      <c r="K62" s="227">
        <f t="shared" ca="1" si="14"/>
        <v>0.24951281292941996</v>
      </c>
      <c r="L62" s="555">
        <f t="shared" ca="1" si="14"/>
        <v>4.2620505706014056E-2</v>
      </c>
      <c r="S62" s="516">
        <f>S48+$T$33</f>
        <v>297</v>
      </c>
    </row>
    <row r="63" spans="2:20" x14ac:dyDescent="0.25">
      <c r="C63" s="503" t="s">
        <v>390</v>
      </c>
      <c r="D63" s="230"/>
      <c r="E63" s="231"/>
      <c r="F63" s="231"/>
      <c r="G63" s="231"/>
      <c r="H63" s="232"/>
      <c r="I63" s="231"/>
      <c r="J63" s="231"/>
      <c r="K63" s="231"/>
      <c r="L63" s="231"/>
      <c r="S63" s="516"/>
    </row>
    <row r="64" spans="2:20" x14ac:dyDescent="0.25">
      <c r="C64" s="228" t="s">
        <v>80</v>
      </c>
      <c r="D64" s="218" t="s">
        <v>32</v>
      </c>
      <c r="E64" s="226">
        <f t="shared" ref="E64:L71" ca="1" si="15">INDIRECT(E$78&amp;E$79&amp;$S64)</f>
        <v>28269.693436414585</v>
      </c>
      <c r="F64" s="226">
        <f t="shared" ca="1" si="15"/>
        <v>29625.920300068683</v>
      </c>
      <c r="G64" s="226">
        <f t="shared" ca="1" si="15"/>
        <v>31507.828350299387</v>
      </c>
      <c r="H64" s="550">
        <f t="shared" ca="1" si="15"/>
        <v>5303.2600551921323</v>
      </c>
      <c r="I64" s="226">
        <f t="shared" ca="1" si="15"/>
        <v>33889.86643805838</v>
      </c>
      <c r="J64" s="226">
        <f t="shared" ca="1" si="15"/>
        <v>35516.243312658713</v>
      </c>
      <c r="K64" s="226">
        <f t="shared" ca="1" si="15"/>
        <v>37773.17336932366</v>
      </c>
      <c r="L64" s="556">
        <f t="shared" ca="1" si="15"/>
        <v>6362.2333698182238</v>
      </c>
      <c r="S64" s="516">
        <f t="shared" ref="S64:S71" si="16">S50+$T$33</f>
        <v>314</v>
      </c>
    </row>
    <row r="65" spans="3:19" x14ac:dyDescent="0.25">
      <c r="C65" s="229"/>
      <c r="D65" s="221" t="s">
        <v>16</v>
      </c>
      <c r="E65" s="227">
        <f t="shared" ca="1" si="15"/>
        <v>0.18615940297664735</v>
      </c>
      <c r="F65" s="227">
        <f t="shared" ca="1" si="15"/>
        <v>0.19509032342707999</v>
      </c>
      <c r="G65" s="227">
        <f t="shared" ca="1" si="15"/>
        <v>0.20748291904810712</v>
      </c>
      <c r="H65" s="549">
        <f t="shared" ca="1" si="15"/>
        <v>3.5416564037340281E-2</v>
      </c>
      <c r="I65" s="227">
        <f t="shared" ca="1" si="15"/>
        <v>0.22316893238540247</v>
      </c>
      <c r="J65" s="227">
        <f t="shared" ca="1" si="15"/>
        <v>0.23387882383405278</v>
      </c>
      <c r="K65" s="227">
        <f t="shared" ca="1" si="15"/>
        <v>0.24874098542253331</v>
      </c>
      <c r="L65" s="555">
        <f t="shared" ca="1" si="15"/>
        <v>4.2488666069102621E-2</v>
      </c>
      <c r="S65" s="516">
        <f t="shared" si="16"/>
        <v>315</v>
      </c>
    </row>
    <row r="66" spans="3:19" x14ac:dyDescent="0.25">
      <c r="C66" s="228" t="s">
        <v>78</v>
      </c>
      <c r="D66" s="218" t="s">
        <v>32</v>
      </c>
      <c r="E66" s="226">
        <f t="shared" ca="1" si="15"/>
        <v>13344.970545256656</v>
      </c>
      <c r="F66" s="226">
        <f t="shared" ca="1" si="15"/>
        <v>13856.982793779724</v>
      </c>
      <c r="G66" s="226">
        <f t="shared" ca="1" si="15"/>
        <v>14693.12743875233</v>
      </c>
      <c r="H66" s="550">
        <f t="shared" ca="1" si="15"/>
        <v>-15986.28377960107</v>
      </c>
      <c r="I66" s="226">
        <f t="shared" ca="1" si="15"/>
        <v>16273.812972244719</v>
      </c>
      <c r="J66" s="226">
        <f t="shared" ca="1" si="15"/>
        <v>16880.200118183362</v>
      </c>
      <c r="K66" s="226">
        <f t="shared" ca="1" si="15"/>
        <v>17867.023276609019</v>
      </c>
      <c r="L66" s="556">
        <f t="shared" ca="1" si="15"/>
        <v>-18217.519271800385</v>
      </c>
      <c r="S66" s="516">
        <f t="shared" si="16"/>
        <v>316</v>
      </c>
    </row>
    <row r="67" spans="3:19" x14ac:dyDescent="0.25">
      <c r="C67" s="229"/>
      <c r="D67" s="221" t="s">
        <v>16</v>
      </c>
      <c r="E67" s="227">
        <f t="shared" ca="1" si="15"/>
        <v>8.7878269887634142E-2</v>
      </c>
      <c r="F67" s="227">
        <f t="shared" ca="1" si="15"/>
        <v>9.1249933422513863E-2</v>
      </c>
      <c r="G67" s="227">
        <f t="shared" ca="1" si="15"/>
        <v>9.6756048593530153E-2</v>
      </c>
      <c r="H67" s="549">
        <f t="shared" ca="1" si="15"/>
        <v>-0.10676060334718418</v>
      </c>
      <c r="I67" s="227">
        <f t="shared" ca="1" si="15"/>
        <v>0.10716505694979772</v>
      </c>
      <c r="J67" s="227">
        <f t="shared" ca="1" si="15"/>
        <v>0.11115819077399558</v>
      </c>
      <c r="K67" s="227">
        <f t="shared" ca="1" si="15"/>
        <v>0.11765654246037838</v>
      </c>
      <c r="L67" s="555">
        <f t="shared" ca="1" si="15"/>
        <v>-0.12166138020320438</v>
      </c>
      <c r="S67" s="516">
        <f t="shared" si="16"/>
        <v>317</v>
      </c>
    </row>
    <row r="68" spans="3:19" x14ac:dyDescent="0.25">
      <c r="C68" s="228" t="str">
        <f>'EE Inputs'!$N$15&amp;" Participant"</f>
        <v>Low Savings Participant</v>
      </c>
      <c r="D68" s="218" t="s">
        <v>32</v>
      </c>
      <c r="E68" s="226">
        <f t="shared" ca="1" si="15"/>
        <v>19698.731940447324</v>
      </c>
      <c r="F68" s="226">
        <f t="shared" ca="1" si="15"/>
        <v>20987.147460918728</v>
      </c>
      <c r="G68" s="226">
        <f t="shared" ca="1" si="15"/>
        <v>22774.960108637897</v>
      </c>
      <c r="H68" s="550">
        <f t="shared" ca="1" si="15"/>
        <v>1311.1842394134148</v>
      </c>
      <c r="I68" s="226">
        <f t="shared" ca="1" si="15"/>
        <v>23267.50226279904</v>
      </c>
      <c r="J68" s="226">
        <f t="shared" ca="1" si="15"/>
        <v>24796.296524923324</v>
      </c>
      <c r="K68" s="226">
        <f t="shared" ca="1" si="15"/>
        <v>26917.810778188403</v>
      </c>
      <c r="L68" s="556">
        <f t="shared" ca="1" si="15"/>
        <v>1509.2593761345061</v>
      </c>
      <c r="S68" s="516">
        <f t="shared" si="16"/>
        <v>318</v>
      </c>
    </row>
    <row r="69" spans="3:19" x14ac:dyDescent="0.25">
      <c r="C69" s="229"/>
      <c r="D69" s="221" t="s">
        <v>16</v>
      </c>
      <c r="E69" s="227">
        <f t="shared" ca="1" si="15"/>
        <v>0.12971856895720846</v>
      </c>
      <c r="F69" s="227">
        <f t="shared" ca="1" si="15"/>
        <v>0.13820294338511951</v>
      </c>
      <c r="G69" s="227">
        <f t="shared" ca="1" si="15"/>
        <v>0.14997590922509541</v>
      </c>
      <c r="H69" s="549">
        <f t="shared" ca="1" si="15"/>
        <v>8.7564328538767278E-3</v>
      </c>
      <c r="I69" s="227">
        <f t="shared" ca="1" si="15"/>
        <v>0.15321935979755041</v>
      </c>
      <c r="J69" s="227">
        <f t="shared" ca="1" si="15"/>
        <v>0.16328665775928175</v>
      </c>
      <c r="K69" s="227">
        <f t="shared" ca="1" si="15"/>
        <v>0.17725708965245346</v>
      </c>
      <c r="L69" s="555">
        <f t="shared" ca="1" si="15"/>
        <v>1.007923065954297E-2</v>
      </c>
      <c r="S69" s="516">
        <f t="shared" si="16"/>
        <v>319</v>
      </c>
    </row>
    <row r="70" spans="3:19" x14ac:dyDescent="0.25">
      <c r="C70" s="228" t="str">
        <f>'EE Inputs'!$N$16&amp;" Participant"</f>
        <v>High Savings Participant</v>
      </c>
      <c r="D70" s="218" t="s">
        <v>32</v>
      </c>
      <c r="E70" s="226">
        <f t="shared" ca="1" si="15"/>
        <v>11127.770444480033</v>
      </c>
      <c r="F70" s="226">
        <f t="shared" ca="1" si="15"/>
        <v>12348.374621768715</v>
      </c>
      <c r="G70" s="226">
        <f t="shared" ca="1" si="15"/>
        <v>14042.091866976349</v>
      </c>
      <c r="H70" s="550">
        <f t="shared" ca="1" si="15"/>
        <v>-2680.8915763653195</v>
      </c>
      <c r="I70" s="226">
        <f t="shared" ca="1" si="15"/>
        <v>12645.138087539672</v>
      </c>
      <c r="J70" s="226">
        <f t="shared" ca="1" si="15"/>
        <v>14076.349737187964</v>
      </c>
      <c r="K70" s="226">
        <f t="shared" ca="1" si="15"/>
        <v>16062.448187053145</v>
      </c>
      <c r="L70" s="556">
        <f t="shared" ca="1" si="15"/>
        <v>-3343.7146175492162</v>
      </c>
      <c r="S70" s="516">
        <f t="shared" si="16"/>
        <v>320</v>
      </c>
    </row>
    <row r="71" spans="3:19" x14ac:dyDescent="0.25">
      <c r="C71" s="229"/>
      <c r="D71" s="221" t="s">
        <v>16</v>
      </c>
      <c r="E71" s="227">
        <f t="shared" ca="1" si="15"/>
        <v>7.3277734937769345E-2</v>
      </c>
      <c r="F71" s="227">
        <f t="shared" ca="1" si="15"/>
        <v>8.1315563343158592E-2</v>
      </c>
      <c r="G71" s="227">
        <f t="shared" ca="1" si="15"/>
        <v>9.2468899402083249E-2</v>
      </c>
      <c r="H71" s="549">
        <f t="shared" ca="1" si="15"/>
        <v>-1.7903698329586937E-2</v>
      </c>
      <c r="I71" s="227">
        <f t="shared" ca="1" si="15"/>
        <v>8.3269787209698354E-2</v>
      </c>
      <c r="J71" s="227">
        <f t="shared" ca="1" si="15"/>
        <v>9.2694491684510716E-2</v>
      </c>
      <c r="K71" s="227">
        <f t="shared" ca="1" si="15"/>
        <v>0.10577319388237361</v>
      </c>
      <c r="L71" s="555">
        <f t="shared" ca="1" si="15"/>
        <v>-2.2330204750016236E-2</v>
      </c>
      <c r="S71" s="516">
        <f t="shared" si="16"/>
        <v>321</v>
      </c>
    </row>
    <row r="72" spans="3:19" x14ac:dyDescent="0.25">
      <c r="C72" s="5"/>
      <c r="D72" s="222"/>
    </row>
    <row r="77" spans="3:19" x14ac:dyDescent="0.25">
      <c r="D77" s="532" t="s">
        <v>253</v>
      </c>
    </row>
    <row r="78" spans="3:19" s="512" customFormat="1" x14ac:dyDescent="0.25">
      <c r="D78" s="512" t="s">
        <v>120</v>
      </c>
      <c r="E78" s="519" t="s">
        <v>116</v>
      </c>
      <c r="F78" s="519" t="s">
        <v>117</v>
      </c>
      <c r="G78" s="519" t="s">
        <v>118</v>
      </c>
      <c r="H78" s="519" t="s">
        <v>119</v>
      </c>
      <c r="I78" s="520" t="str">
        <f>E78</f>
        <v>'Yr1'!</v>
      </c>
      <c r="J78" s="520" t="str">
        <f>F78</f>
        <v>'Yr2'!</v>
      </c>
      <c r="K78" s="520" t="str">
        <f>G78</f>
        <v>'Yr3'!</v>
      </c>
      <c r="L78" s="520" t="str">
        <f>H78</f>
        <v>'YrAll'!</v>
      </c>
    </row>
    <row r="79" spans="3:19" s="512" customFormat="1" x14ac:dyDescent="0.25">
      <c r="D79" s="521" t="s">
        <v>121</v>
      </c>
      <c r="E79" s="520" t="str">
        <f>LEFT(ADDRESS(1,COLUMN('Yr1'!G6),4,1),1)</f>
        <v>G</v>
      </c>
      <c r="F79" s="520" t="str">
        <f>LEFT(ADDRESS(1,COLUMN('Yr2'!H6),4,1),1)</f>
        <v>H</v>
      </c>
      <c r="G79" s="520" t="str">
        <f>LEFT(ADDRESS(1,COLUMN('Yr3'!I6),4,1),1)</f>
        <v>I</v>
      </c>
      <c r="H79" s="520" t="str">
        <f>LEFT(ADDRESS(1,COLUMN(YrAll!AJ6),4,1),2)</f>
        <v>AJ</v>
      </c>
      <c r="I79" s="520" t="str">
        <f>LEFT(ADDRESS(1,COLUMN('Yr1'!AM6),4,1),2)</f>
        <v>AM</v>
      </c>
      <c r="J79" s="520" t="str">
        <f>LEFT(ADDRESS(1,COLUMN('Yr2'!AN6),4,1),2)</f>
        <v>AN</v>
      </c>
      <c r="K79" s="520" t="str">
        <f>LEFT(ADDRESS(1,COLUMN('Yr3'!AO6),4,1),2)</f>
        <v>AO</v>
      </c>
      <c r="L79" s="520" t="str">
        <f>LEFT(ADDRESS(1,COLUMN(YrAll!BP6),4,1),2)</f>
        <v>BP</v>
      </c>
    </row>
    <row r="81" spans="4:12" x14ac:dyDescent="0.25">
      <c r="D81" s="557" t="s">
        <v>15</v>
      </c>
      <c r="E81" s="557">
        <f>Year1</f>
        <v>2021</v>
      </c>
      <c r="F81" s="557">
        <f>Year2</f>
        <v>2022</v>
      </c>
      <c r="G81" s="557">
        <f>Year3</f>
        <v>2023</v>
      </c>
      <c r="H81" s="520" t="str">
        <f>LEFT(ADDRESS(1,COLUMN('Yr1'!AI8),4,1),2)</f>
        <v>AI</v>
      </c>
      <c r="I81" s="557">
        <f>E81</f>
        <v>2021</v>
      </c>
      <c r="J81" s="557">
        <f t="shared" ref="J81:K81" si="17">F81</f>
        <v>2022</v>
      </c>
      <c r="K81" s="557">
        <f t="shared" si="17"/>
        <v>2023</v>
      </c>
      <c r="L81" s="520" t="str">
        <f>LEFT(ADDRESS(1,COLUMN('Yr1'!BO8),4,1),2)</f>
        <v>BO</v>
      </c>
    </row>
    <row r="82" spans="4:12" x14ac:dyDescent="0.25">
      <c r="D82" s="557" t="s">
        <v>37</v>
      </c>
      <c r="E82" s="557" t="str">
        <f>Lookups!$D$23</f>
        <v>Proposed EE</v>
      </c>
      <c r="F82" s="557" t="str">
        <f>Lookups!$D$23</f>
        <v>Proposed EE</v>
      </c>
      <c r="G82" s="557" t="str">
        <f>Lookups!$D$23</f>
        <v>Proposed EE</v>
      </c>
      <c r="H82" s="557"/>
      <c r="I82" s="557" t="str">
        <f>Lookups!$D$24</f>
        <v>Alternative EE</v>
      </c>
      <c r="J82" s="557" t="str">
        <f>Lookups!$D$24</f>
        <v>Alternative EE</v>
      </c>
      <c r="K82" s="557" t="str">
        <f>Lookups!$D$24</f>
        <v>Alternative EE</v>
      </c>
    </row>
  </sheetData>
  <mergeCells count="3">
    <mergeCell ref="C6:L7"/>
    <mergeCell ref="C8:L9"/>
    <mergeCell ref="C10:L12"/>
  </mergeCells>
  <pageMargins left="0.7" right="0.7" top="0.75" bottom="0.75" header="0.3" footer="0.3"/>
  <pageSetup scale="43" orientation="portrait" r:id="rId1"/>
  <colBreaks count="1" manualBreakCount="1">
    <brk id="12" min="1" max="7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4"/>
  </sheetPr>
  <dimension ref="A1:DO74"/>
  <sheetViews>
    <sheetView showGridLines="0" topLeftCell="A19" zoomScale="85" zoomScaleNormal="85" workbookViewId="0">
      <selection activeCell="BL74" sqref="BL74"/>
    </sheetView>
  </sheetViews>
  <sheetFormatPr defaultRowHeight="15" outlineLevelCol="1" x14ac:dyDescent="0.25"/>
  <cols>
    <col min="1" max="74" width="2.7109375" customWidth="1"/>
    <col min="75" max="75" width="2.7109375" style="115" customWidth="1"/>
    <col min="76" max="76" width="25.7109375" style="115" bestFit="1" customWidth="1"/>
    <col min="77" max="77" width="8.85546875" style="115" customWidth="1"/>
    <col min="78" max="78" width="12.28515625" style="115" bestFit="1" customWidth="1"/>
    <col min="79" max="81" width="12" style="115" bestFit="1" customWidth="1"/>
    <col min="82" max="94" width="12" style="115" customWidth="1"/>
    <col min="95" max="103" width="12" style="115" hidden="1" customWidth="1" outlineLevel="1"/>
    <col min="104" max="104" width="4.5703125" style="115" hidden="1" customWidth="1" outlineLevel="1"/>
    <col min="105" max="105" width="4" style="115" customWidth="1" collapsed="1"/>
    <col min="106" max="106" width="11.140625" style="115" customWidth="1"/>
    <col min="107" max="107" width="2.7109375" style="116" customWidth="1"/>
    <col min="108" max="108" width="2.7109375" customWidth="1"/>
    <col min="109" max="109" width="6" style="512" bestFit="1" customWidth="1"/>
    <col min="110" max="110" width="2.85546875" style="522" bestFit="1" customWidth="1"/>
    <col min="111" max="111" width="6" style="512" bestFit="1" customWidth="1"/>
    <col min="112" max="112" width="2.140625" bestFit="1" customWidth="1"/>
    <col min="113" max="114" width="10.5703125" bestFit="1" customWidth="1"/>
    <col min="115" max="115" width="8" bestFit="1" customWidth="1"/>
    <col min="118" max="118" width="11.5703125" bestFit="1" customWidth="1"/>
    <col min="119" max="119" width="10.7109375" bestFit="1" customWidth="1"/>
  </cols>
  <sheetData>
    <row r="1" spans="1:119" x14ac:dyDescent="0.25">
      <c r="Q1" s="1"/>
      <c r="T1" s="1"/>
      <c r="U1" s="1"/>
      <c r="AX1" s="1"/>
      <c r="BX1"/>
      <c r="BZ1" s="153"/>
      <c r="CA1" s="153"/>
    </row>
    <row r="2" spans="1:119" s="115" customFormat="1" ht="26.25" x14ac:dyDescent="0.25">
      <c r="B2" s="2" t="s">
        <v>79</v>
      </c>
      <c r="Q2" s="128"/>
      <c r="T2" s="128"/>
      <c r="AD2" s="128"/>
      <c r="AK2" s="128"/>
      <c r="AQ2" s="128"/>
      <c r="AX2" s="128"/>
      <c r="BV2" s="361" t="s">
        <v>74</v>
      </c>
      <c r="BY2" s="128"/>
      <c r="BZ2" s="128"/>
      <c r="CA2" s="153"/>
      <c r="DC2" s="214"/>
      <c r="DE2" s="523"/>
      <c r="DF2" s="524"/>
      <c r="DG2" s="523"/>
    </row>
    <row r="3" spans="1:119" s="115" customFormat="1" ht="21" x14ac:dyDescent="0.25">
      <c r="B3" s="245" t="str">
        <f>Lookups!$E$6</f>
        <v>Liberty</v>
      </c>
      <c r="Q3" s="128"/>
      <c r="T3" s="128"/>
      <c r="V3" s="128"/>
      <c r="AD3" s="128"/>
      <c r="AK3" s="128"/>
      <c r="AQ3" s="128"/>
      <c r="AX3" s="128"/>
      <c r="BW3" s="100"/>
      <c r="DC3" s="214"/>
      <c r="DE3" s="523"/>
      <c r="DF3" s="524"/>
      <c r="DG3" s="523"/>
      <c r="DI3" s="424"/>
      <c r="DJ3" s="425"/>
      <c r="DK3" s="429"/>
      <c r="DM3" s="6"/>
    </row>
    <row r="4" spans="1:119" s="6" customFormat="1" x14ac:dyDescent="0.25">
      <c r="B4" s="348"/>
      <c r="C4" s="773" t="s">
        <v>20</v>
      </c>
      <c r="D4" s="774"/>
      <c r="E4" s="774"/>
      <c r="F4" s="774"/>
      <c r="G4" s="775"/>
      <c r="H4" t="s">
        <v>27</v>
      </c>
      <c r="I4" s="349"/>
      <c r="J4" s="349"/>
      <c r="K4" s="349"/>
      <c r="L4" s="349"/>
      <c r="M4" s="349"/>
      <c r="N4" s="349"/>
      <c r="O4" s="349"/>
      <c r="P4" s="349"/>
      <c r="Q4" s="128"/>
      <c r="R4" s="349"/>
      <c r="S4" s="349"/>
      <c r="T4" s="128"/>
      <c r="U4" s="349"/>
      <c r="V4" s="128"/>
      <c r="W4" s="349"/>
      <c r="X4" s="349"/>
      <c r="Y4" s="349"/>
      <c r="Z4" s="349"/>
      <c r="AA4" s="349"/>
      <c r="AB4" s="349"/>
      <c r="AC4" s="349"/>
      <c r="AD4" s="349"/>
      <c r="AE4" s="349"/>
      <c r="AF4" s="349"/>
      <c r="AG4" s="349"/>
      <c r="AH4" s="349"/>
      <c r="AI4" s="349"/>
      <c r="AJ4" s="349"/>
      <c r="AK4" s="128"/>
      <c r="AL4" s="349"/>
      <c r="AM4" s="349"/>
      <c r="AN4" s="349"/>
      <c r="AO4" s="349"/>
      <c r="AP4" s="349"/>
      <c r="AQ4" s="128"/>
      <c r="AR4" s="349"/>
      <c r="AS4" s="349"/>
      <c r="AT4" s="349"/>
      <c r="AU4" s="349"/>
      <c r="AV4" s="349"/>
      <c r="AW4" s="349"/>
      <c r="AX4" s="128"/>
      <c r="AY4" s="349"/>
      <c r="AZ4" s="349"/>
      <c r="BA4" s="349"/>
      <c r="BB4" s="349"/>
      <c r="BC4" s="349"/>
      <c r="BD4" s="349"/>
      <c r="BE4" s="349"/>
      <c r="BF4" s="349"/>
      <c r="BG4" s="349"/>
      <c r="BH4" s="349"/>
      <c r="BI4" s="349"/>
      <c r="BJ4" s="349"/>
      <c r="BK4" s="349"/>
      <c r="BL4" s="349"/>
      <c r="BM4" s="349"/>
      <c r="BN4" s="349"/>
      <c r="BO4" s="349"/>
      <c r="BP4" s="349"/>
      <c r="BQ4" s="349"/>
      <c r="BW4" s="349"/>
      <c r="DA4" s="349"/>
      <c r="DB4" s="349"/>
      <c r="DC4" s="116"/>
      <c r="DE4" s="512"/>
      <c r="DF4" s="522"/>
      <c r="DG4" s="512"/>
      <c r="DI4" s="426"/>
      <c r="DJ4" s="422"/>
      <c r="DK4" s="410"/>
    </row>
    <row r="5" spans="1:119" x14ac:dyDescent="0.25">
      <c r="C5" s="773" t="s">
        <v>389</v>
      </c>
      <c r="D5" s="774"/>
      <c r="E5" s="774"/>
      <c r="F5" s="774"/>
      <c r="G5" s="775"/>
      <c r="H5" t="s">
        <v>73</v>
      </c>
      <c r="M5" s="154"/>
      <c r="V5" s="1"/>
      <c r="AK5" s="1"/>
      <c r="DI5" s="426"/>
      <c r="DJ5" s="423"/>
      <c r="DK5" s="410"/>
      <c r="DM5" s="6"/>
    </row>
    <row r="6" spans="1:119" x14ac:dyDescent="0.25">
      <c r="M6" s="154"/>
      <c r="AK6" s="1"/>
      <c r="AX6" s="1"/>
      <c r="BW6"/>
      <c r="BX6"/>
      <c r="BY6"/>
      <c r="BZ6" s="420">
        <f>IF($C$5=Lookups!$D$40,Lookups!$D$37,$C$5)</f>
        <v>2021</v>
      </c>
      <c r="CA6" s="117">
        <f>BZ6+1</f>
        <v>2022</v>
      </c>
      <c r="CB6" s="117">
        <f t="shared" ref="CB6:CZ6" si="0">CA6+1</f>
        <v>2023</v>
      </c>
      <c r="CC6" s="117">
        <f t="shared" si="0"/>
        <v>2024</v>
      </c>
      <c r="CD6" s="117">
        <f t="shared" si="0"/>
        <v>2025</v>
      </c>
      <c r="CE6" s="117">
        <f t="shared" si="0"/>
        <v>2026</v>
      </c>
      <c r="CF6" s="117">
        <f t="shared" si="0"/>
        <v>2027</v>
      </c>
      <c r="CG6" s="117">
        <f t="shared" si="0"/>
        <v>2028</v>
      </c>
      <c r="CH6" s="117">
        <f t="shared" si="0"/>
        <v>2029</v>
      </c>
      <c r="CI6" s="117">
        <f t="shared" si="0"/>
        <v>2030</v>
      </c>
      <c r="CJ6" s="117">
        <f t="shared" si="0"/>
        <v>2031</v>
      </c>
      <c r="CK6" s="117">
        <f t="shared" si="0"/>
        <v>2032</v>
      </c>
      <c r="CL6" s="117">
        <f t="shared" si="0"/>
        <v>2033</v>
      </c>
      <c r="CM6" s="117">
        <f t="shared" si="0"/>
        <v>2034</v>
      </c>
      <c r="CN6" s="117">
        <f t="shared" si="0"/>
        <v>2035</v>
      </c>
      <c r="CO6" s="117">
        <f t="shared" si="0"/>
        <v>2036</v>
      </c>
      <c r="CP6" s="117">
        <f t="shared" si="0"/>
        <v>2037</v>
      </c>
      <c r="CQ6" s="117">
        <f t="shared" si="0"/>
        <v>2038</v>
      </c>
      <c r="CR6" s="117">
        <f t="shared" si="0"/>
        <v>2039</v>
      </c>
      <c r="CS6" s="117">
        <f t="shared" si="0"/>
        <v>2040</v>
      </c>
      <c r="CT6" s="117">
        <f t="shared" si="0"/>
        <v>2041</v>
      </c>
      <c r="CU6" s="117">
        <f t="shared" si="0"/>
        <v>2042</v>
      </c>
      <c r="CV6" s="117">
        <f t="shared" si="0"/>
        <v>2043</v>
      </c>
      <c r="CW6" s="117">
        <f t="shared" si="0"/>
        <v>2044</v>
      </c>
      <c r="CX6" s="117">
        <f t="shared" si="0"/>
        <v>2045</v>
      </c>
      <c r="CY6" s="117">
        <f t="shared" si="0"/>
        <v>2046</v>
      </c>
      <c r="CZ6" s="117">
        <f t="shared" si="0"/>
        <v>2047</v>
      </c>
      <c r="DA6"/>
      <c r="DB6" s="4" t="s">
        <v>418</v>
      </c>
      <c r="DC6"/>
      <c r="DI6" s="427"/>
      <c r="DJ6" s="423"/>
      <c r="DK6" s="410"/>
      <c r="DM6" s="6"/>
    </row>
    <row r="7" spans="1:119" s="96" customFormat="1" ht="18.75" x14ac:dyDescent="0.3">
      <c r="A7"/>
      <c r="C7" s="91" t="str">
        <f>"Total Rates: "&amp;Lookups!$D$23</f>
        <v>Total Rates: Proposed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c r="AK7" s="91" t="str">
        <f>"Change in Rates: "&amp;Lookups!$D$23&amp;" v "&amp;Lookups!$D$22</f>
        <v>Change in Rates: 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c r="BS7"/>
      <c r="BT7"/>
      <c r="BU7"/>
      <c r="BV7" s="118" t="str">
        <f>Lookups!$D$22</f>
        <v>No EE</v>
      </c>
      <c r="BW7" s="118"/>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20"/>
      <c r="DE7" s="525"/>
      <c r="DF7" s="522"/>
      <c r="DG7" s="525"/>
    </row>
    <row r="8" spans="1:119" x14ac:dyDescent="0.25">
      <c r="BV8" s="343"/>
      <c r="BW8" s="158" t="s">
        <v>30</v>
      </c>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E8" s="532" t="s">
        <v>253</v>
      </c>
      <c r="DI8" s="428"/>
      <c r="DL8" s="96"/>
      <c r="DM8" s="96"/>
    </row>
    <row r="9" spans="1:119" x14ac:dyDescent="0.25">
      <c r="BV9" s="343"/>
      <c r="BW9" s="344"/>
      <c r="BX9" s="121" t="s">
        <v>95</v>
      </c>
      <c r="BY9" s="121" t="s">
        <v>247</v>
      </c>
      <c r="BZ9" s="150" cm="1">
        <f t="array" aca="1" ref="BZ9" ca="1">IFERROR(INDIRECT("Yr"&amp;IF($C$5=Year1,1,IF($C$5=Year2,2,IF($C$5=Year3,3,IF($C$5=Lookups!$D$40,"All"))))&amp;"!"&amp;BZ$71&amp;$DE9)*100,0)</f>
        <v>22.33803664496018</v>
      </c>
      <c r="CA9" s="150" cm="1">
        <f t="array" aca="1" ref="CA9" ca="1">IFERROR(INDIRECT("Yr"&amp;IF($C$5=Year1,1,IF($C$5=Year2,2,IF($C$5=Year3,3,IF($C$5=Lookups!$D$40,"All"))))&amp;"!"&amp;CA$71&amp;$DE9)*100,0)</f>
        <v>22.33803664496018</v>
      </c>
      <c r="CB9" s="150" cm="1">
        <f t="array" aca="1" ref="CB9" ca="1">IFERROR(INDIRECT("Yr"&amp;IF($C$5=Year1,1,IF($C$5=Year2,2,IF($C$5=Year3,3,IF($C$5=Lookups!$D$40,"All"))))&amp;"!"&amp;CB$71&amp;$DE9)*100,0)</f>
        <v>22.33803664496018</v>
      </c>
      <c r="CC9" s="150" cm="1">
        <f t="array" aca="1" ref="CC9" ca="1">IFERROR(INDIRECT("Yr"&amp;IF($C$5=Year1,1,IF($C$5=Year2,2,IF($C$5=Year3,3,IF($C$5=Lookups!$D$40,"All"))))&amp;"!"&amp;CC$71&amp;$DE9)*100,0)</f>
        <v>22.33803664496018</v>
      </c>
      <c r="CD9" s="150" cm="1">
        <f t="array" aca="1" ref="CD9" ca="1">IFERROR(INDIRECT("Yr"&amp;IF($C$5=Year1,1,IF($C$5=Year2,2,IF($C$5=Year3,3,IF($C$5=Lookups!$D$40,"All"))))&amp;"!"&amp;CD$71&amp;$DE9)*100,0)</f>
        <v>22.33803664496018</v>
      </c>
      <c r="CE9" s="150" cm="1">
        <f t="array" aca="1" ref="CE9" ca="1">IFERROR(INDIRECT("Yr"&amp;IF($C$5=Year1,1,IF($C$5=Year2,2,IF($C$5=Year3,3,IF($C$5=Lookups!$D$40,"All"))))&amp;"!"&amp;CE$71&amp;$DE9)*100,0)</f>
        <v>22.33803664496018</v>
      </c>
      <c r="CF9" s="150" cm="1">
        <f t="array" aca="1" ref="CF9" ca="1">IFERROR(INDIRECT("Yr"&amp;IF($C$5=Year1,1,IF($C$5=Year2,2,IF($C$5=Year3,3,IF($C$5=Lookups!$D$40,"All"))))&amp;"!"&amp;CF$71&amp;$DE9)*100,0)</f>
        <v>22.33803664496018</v>
      </c>
      <c r="CG9" s="150" cm="1">
        <f t="array" aca="1" ref="CG9" ca="1">IFERROR(INDIRECT("Yr"&amp;IF($C$5=Year1,1,IF($C$5=Year2,2,IF($C$5=Year3,3,IF($C$5=Lookups!$D$40,"All"))))&amp;"!"&amp;CG$71&amp;$DE9)*100,0)</f>
        <v>22.33803664496018</v>
      </c>
      <c r="CH9" s="150" cm="1">
        <f t="array" aca="1" ref="CH9" ca="1">IFERROR(INDIRECT("Yr"&amp;IF($C$5=Year1,1,IF($C$5=Year2,2,IF($C$5=Year3,3,IF($C$5=Lookups!$D$40,"All"))))&amp;"!"&amp;CH$71&amp;$DE9)*100,0)</f>
        <v>22.33803664496018</v>
      </c>
      <c r="CI9" s="150" cm="1">
        <f t="array" aca="1" ref="CI9" ca="1">IFERROR(INDIRECT("Yr"&amp;IF($C$5=Year1,1,IF($C$5=Year2,2,IF($C$5=Year3,3,IF($C$5=Lookups!$D$40,"All"))))&amp;"!"&amp;CI$71&amp;$DE9)*100,0)</f>
        <v>22.33803664496018</v>
      </c>
      <c r="CJ9" s="150" cm="1">
        <f t="array" aca="1" ref="CJ9" ca="1">IFERROR(INDIRECT("Yr"&amp;IF($C$5=Year1,1,IF($C$5=Year2,2,IF($C$5=Year3,3,IF($C$5=Lookups!$D$40,"All"))))&amp;"!"&amp;CJ$71&amp;$DE9)*100,0)</f>
        <v>22.33803664496018</v>
      </c>
      <c r="CK9" s="150" cm="1">
        <f t="array" aca="1" ref="CK9" ca="1">IFERROR(INDIRECT("Yr"&amp;IF($C$5=Year1,1,IF($C$5=Year2,2,IF($C$5=Year3,3,IF($C$5=Lookups!$D$40,"All"))))&amp;"!"&amp;CK$71&amp;$DE9)*100,0)</f>
        <v>22.33803664496018</v>
      </c>
      <c r="CL9" s="150" cm="1">
        <f t="array" aca="1" ref="CL9" ca="1">IFERROR(INDIRECT("Yr"&amp;IF($C$5=Year1,1,IF($C$5=Year2,2,IF($C$5=Year3,3,IF($C$5=Lookups!$D$40,"All"))))&amp;"!"&amp;CL$71&amp;$DE9)*100,0)</f>
        <v>22.33803664496018</v>
      </c>
      <c r="CM9" s="150" cm="1">
        <f t="array" aca="1" ref="CM9" ca="1">IFERROR(INDIRECT("Yr"&amp;IF($C$5=Year1,1,IF($C$5=Year2,2,IF($C$5=Year3,3,IF($C$5=Lookups!$D$40,"All"))))&amp;"!"&amp;CM$71&amp;$DE9)*100,0)</f>
        <v>22.33803664496018</v>
      </c>
      <c r="CN9" s="150" cm="1">
        <f t="array" aca="1" ref="CN9" ca="1">IFERROR(INDIRECT("Yr"&amp;IF($C$5=Year1,1,IF($C$5=Year2,2,IF($C$5=Year3,3,IF($C$5=Lookups!$D$40,"All"))))&amp;"!"&amp;CN$71&amp;$DE9)*100,0)</f>
        <v>22.33803664496018</v>
      </c>
      <c r="CO9" s="150" cm="1">
        <f t="array" aca="1" ref="CO9" ca="1">IFERROR(INDIRECT("Yr"&amp;IF($C$5=Year1,1,IF($C$5=Year2,2,IF($C$5=Year3,3,IF($C$5=Lookups!$D$40,"All"))))&amp;"!"&amp;CO$71&amp;$DE9)*100,0)</f>
        <v>22.33803664496018</v>
      </c>
      <c r="CP9" s="150" cm="1">
        <f t="array" aca="1" ref="CP9" ca="1">IFERROR(INDIRECT("Yr"&amp;IF($C$5=Year1,1,IF($C$5=Year2,2,IF($C$5=Year3,3,IF($C$5=Lookups!$D$40,"All"))))&amp;"!"&amp;CP$71&amp;$DE9)*100,0)</f>
        <v>22.33803664496018</v>
      </c>
      <c r="CQ9" s="150" cm="1">
        <f t="array" aca="1" ref="CQ9" ca="1">IFERROR(INDIRECT("Yr"&amp;IF($C$5=Year1,1,IF($C$5=Year2,2,IF($C$5=Year3,3,IF($C$5=Lookups!$D$40,"All"))))&amp;"!"&amp;CQ$71&amp;$DE9)*100,0)</f>
        <v>22.33803664496018</v>
      </c>
      <c r="CR9" s="150" cm="1">
        <f t="array" aca="1" ref="CR9" ca="1">IFERROR(INDIRECT("Yr"&amp;IF($C$5=Year1,1,IF($C$5=Year2,2,IF($C$5=Year3,3,IF($C$5=Lookups!$D$40,"All"))))&amp;"!"&amp;CR$71&amp;$DE9)*100,0)</f>
        <v>22.33803664496018</v>
      </c>
      <c r="CS9" s="150" cm="1">
        <f t="array" aca="1" ref="CS9" ca="1">IFERROR(INDIRECT("Yr"&amp;IF($C$5=Year1,1,IF($C$5=Year2,2,IF($C$5=Year3,3,IF($C$5=Lookups!$D$40,"All"))))&amp;"!"&amp;CS$71&amp;$DE9)*100,0)</f>
        <v>22.33803664496018</v>
      </c>
      <c r="CT9" s="150" cm="1">
        <f t="array" aca="1" ref="CT9" ca="1">IFERROR(INDIRECT("Yr"&amp;IF($C$5=Year1,1,IF($C$5=Year2,2,IF($C$5=Year3,3,IF($C$5=Lookups!$D$40,"All"))))&amp;"!"&amp;CT$71&amp;$DE9)*100,0)</f>
        <v>22.33803664496018</v>
      </c>
      <c r="CU9" s="150" cm="1">
        <f t="array" aca="1" ref="CU9" ca="1">IFERROR(INDIRECT("Yr"&amp;IF($C$5=Year1,1,IF($C$5=Year2,2,IF($C$5=Year3,3,IF($C$5=Lookups!$D$40,"All"))))&amp;"!"&amp;CU$71&amp;$DE9)*100,0)</f>
        <v>22.33803664496018</v>
      </c>
      <c r="CV9" s="150" cm="1">
        <f t="array" aca="1" ref="CV9" ca="1">IFERROR(INDIRECT("Yr"&amp;IF($C$5=Year1,1,IF($C$5=Year2,2,IF($C$5=Year3,3,IF($C$5=Lookups!$D$40,"All"))))&amp;"!"&amp;CV$71&amp;$DE9)*100,0)</f>
        <v>22.33803664496018</v>
      </c>
      <c r="CW9" s="150" cm="1">
        <f t="array" aca="1" ref="CW9" ca="1">IFERROR(INDIRECT("Yr"&amp;IF($C$5=Year1,1,IF($C$5=Year2,2,IF($C$5=Year3,3,IF($C$5=Lookups!$D$40,"All"))))&amp;"!"&amp;CW$71&amp;$DE9)*100,0)</f>
        <v>22.33803664496018</v>
      </c>
      <c r="CX9" s="150" cm="1">
        <f t="array" aca="1" ref="CX9" ca="1">IFERROR(INDIRECT("Yr"&amp;IF($C$5=Year1,1,IF($C$5=Year2,2,IF($C$5=Year3,3,IF($C$5=Lookups!$D$40,"All"))))&amp;"!"&amp;CX$71&amp;$DE9)*100,0)</f>
        <v>22.33803664496018</v>
      </c>
      <c r="CY9" s="150" cm="1">
        <f t="array" aca="1" ref="CY9" ca="1">IFERROR(INDIRECT("Yr"&amp;IF($C$5=Year1,1,IF($C$5=Year2,2,IF($C$5=Year3,3,IF($C$5=Lookups!$D$40,"All"))))&amp;"!"&amp;CY$71&amp;$DE9)*100,0)</f>
        <v>22.33803664496018</v>
      </c>
      <c r="CZ9" s="150" cm="1">
        <f t="array" aca="1" ref="CZ9" ca="1">IFERROR(INDIRECT("Yr"&amp;IF($C$5=Year1,1,IF($C$5=Year2,2,IF($C$5=Year3,3,IF($C$5=Lookups!$D$40,"All"))))&amp;"!"&amp;CZ$71&amp;$DE9)*100,0)</f>
        <v>22.33803664496018</v>
      </c>
      <c r="DA9" s="150"/>
      <c r="DB9" s="150"/>
      <c r="DE9" s="515">
        <f>ROW('Yr1'!E41)+($DG$9*IF($C$4=Lookups!$D$26,0,IF($C$4=Lookups!$D$27,1,IF($C$4=Lookups!$D$28,2,IF($C$4=Lookups!$D$29,3)))))</f>
        <v>41</v>
      </c>
      <c r="DG9" s="515">
        <f>'Output Summary'!T33</f>
        <v>79</v>
      </c>
      <c r="DI9" s="22"/>
      <c r="DJ9" s="431"/>
      <c r="DK9" s="421"/>
      <c r="DL9" s="96"/>
      <c r="DM9" s="96"/>
      <c r="DN9" s="410"/>
      <c r="DO9" s="22"/>
    </row>
    <row r="10" spans="1:119" x14ac:dyDescent="0.25">
      <c r="BV10" s="343"/>
      <c r="BW10" s="344"/>
      <c r="BX10" s="121" t="s">
        <v>26</v>
      </c>
      <c r="BY10" s="121" t="s">
        <v>182</v>
      </c>
      <c r="BZ10" s="150" cm="1">
        <f t="array" aca="1" ref="BZ10" ca="1">IFERROR(INDIRECT("Yr"&amp;IF($C$5=Year1,1,IF($C$5=Year2,2,IF($C$5=Year3,3,IF($C$5=Lookups!$D$40,"All"))))&amp;"!"&amp;BZ$71&amp;$DE10)*100,0)</f>
        <v>55.69</v>
      </c>
      <c r="CA10" s="150" cm="1">
        <f t="array" aca="1" ref="CA10" ca="1">IFERROR(INDIRECT("Yr"&amp;IF($C$5=Year1,1,IF($C$5=Year2,2,IF($C$5=Year3,3,IF($C$5=Lookups!$D$40,"All"))))&amp;"!"&amp;CA$71&amp;$DE10)*100,0)</f>
        <v>55.69</v>
      </c>
      <c r="CB10" s="150" cm="1">
        <f t="array" aca="1" ref="CB10" ca="1">IFERROR(INDIRECT("Yr"&amp;IF($C$5=Year1,1,IF($C$5=Year2,2,IF($C$5=Year3,3,IF($C$5=Lookups!$D$40,"All"))))&amp;"!"&amp;CB$71&amp;$DE10)*100,0)</f>
        <v>55.69</v>
      </c>
      <c r="CC10" s="150" cm="1">
        <f t="array" aca="1" ref="CC10" ca="1">IFERROR(INDIRECT("Yr"&amp;IF($C$5=Year1,1,IF($C$5=Year2,2,IF($C$5=Year3,3,IF($C$5=Lookups!$D$40,"All"))))&amp;"!"&amp;CC$71&amp;$DE10)*100,0)</f>
        <v>55.69</v>
      </c>
      <c r="CD10" s="150" cm="1">
        <f t="array" aca="1" ref="CD10" ca="1">IFERROR(INDIRECT("Yr"&amp;IF($C$5=Year1,1,IF($C$5=Year2,2,IF($C$5=Year3,3,IF($C$5=Lookups!$D$40,"All"))))&amp;"!"&amp;CD$71&amp;$DE10)*100,0)</f>
        <v>55.69</v>
      </c>
      <c r="CE10" s="150" cm="1">
        <f t="array" aca="1" ref="CE10" ca="1">IFERROR(INDIRECT("Yr"&amp;IF($C$5=Year1,1,IF($C$5=Year2,2,IF($C$5=Year3,3,IF($C$5=Lookups!$D$40,"All"))))&amp;"!"&amp;CE$71&amp;$DE10)*100,0)</f>
        <v>55.69</v>
      </c>
      <c r="CF10" s="150" cm="1">
        <f t="array" aca="1" ref="CF10" ca="1">IFERROR(INDIRECT("Yr"&amp;IF($C$5=Year1,1,IF($C$5=Year2,2,IF($C$5=Year3,3,IF($C$5=Lookups!$D$40,"All"))))&amp;"!"&amp;CF$71&amp;$DE10)*100,0)</f>
        <v>55.69</v>
      </c>
      <c r="CG10" s="150" cm="1">
        <f t="array" aca="1" ref="CG10" ca="1">IFERROR(INDIRECT("Yr"&amp;IF($C$5=Year1,1,IF($C$5=Year2,2,IF($C$5=Year3,3,IF($C$5=Lookups!$D$40,"All"))))&amp;"!"&amp;CG$71&amp;$DE10)*100,0)</f>
        <v>55.69</v>
      </c>
      <c r="CH10" s="150" cm="1">
        <f t="array" aca="1" ref="CH10" ca="1">IFERROR(INDIRECT("Yr"&amp;IF($C$5=Year1,1,IF($C$5=Year2,2,IF($C$5=Year3,3,IF($C$5=Lookups!$D$40,"All"))))&amp;"!"&amp;CH$71&amp;$DE10)*100,0)</f>
        <v>55.69</v>
      </c>
      <c r="CI10" s="150" cm="1">
        <f t="array" aca="1" ref="CI10" ca="1">IFERROR(INDIRECT("Yr"&amp;IF($C$5=Year1,1,IF($C$5=Year2,2,IF($C$5=Year3,3,IF($C$5=Lookups!$D$40,"All"))))&amp;"!"&amp;CI$71&amp;$DE10)*100,0)</f>
        <v>55.69</v>
      </c>
      <c r="CJ10" s="150" cm="1">
        <f t="array" aca="1" ref="CJ10" ca="1">IFERROR(INDIRECT("Yr"&amp;IF($C$5=Year1,1,IF($C$5=Year2,2,IF($C$5=Year3,3,IF($C$5=Lookups!$D$40,"All"))))&amp;"!"&amp;CJ$71&amp;$DE10)*100,0)</f>
        <v>55.69</v>
      </c>
      <c r="CK10" s="150" cm="1">
        <f t="array" aca="1" ref="CK10" ca="1">IFERROR(INDIRECT("Yr"&amp;IF($C$5=Year1,1,IF($C$5=Year2,2,IF($C$5=Year3,3,IF($C$5=Lookups!$D$40,"All"))))&amp;"!"&amp;CK$71&amp;$DE10)*100,0)</f>
        <v>55.69</v>
      </c>
      <c r="CL10" s="150" cm="1">
        <f t="array" aca="1" ref="CL10" ca="1">IFERROR(INDIRECT("Yr"&amp;IF($C$5=Year1,1,IF($C$5=Year2,2,IF($C$5=Year3,3,IF($C$5=Lookups!$D$40,"All"))))&amp;"!"&amp;CL$71&amp;$DE10)*100,0)</f>
        <v>55.69</v>
      </c>
      <c r="CM10" s="150" cm="1">
        <f t="array" aca="1" ref="CM10" ca="1">IFERROR(INDIRECT("Yr"&amp;IF($C$5=Year1,1,IF($C$5=Year2,2,IF($C$5=Year3,3,IF($C$5=Lookups!$D$40,"All"))))&amp;"!"&amp;CM$71&amp;$DE10)*100,0)</f>
        <v>55.69</v>
      </c>
      <c r="CN10" s="150" cm="1">
        <f t="array" aca="1" ref="CN10" ca="1">IFERROR(INDIRECT("Yr"&amp;IF($C$5=Year1,1,IF($C$5=Year2,2,IF($C$5=Year3,3,IF($C$5=Lookups!$D$40,"All"))))&amp;"!"&amp;CN$71&amp;$DE10)*100,0)</f>
        <v>55.69</v>
      </c>
      <c r="CO10" s="150" cm="1">
        <f t="array" aca="1" ref="CO10" ca="1">IFERROR(INDIRECT("Yr"&amp;IF($C$5=Year1,1,IF($C$5=Year2,2,IF($C$5=Year3,3,IF($C$5=Lookups!$D$40,"All"))))&amp;"!"&amp;CO$71&amp;$DE10)*100,0)</f>
        <v>55.69</v>
      </c>
      <c r="CP10" s="150" cm="1">
        <f t="array" aca="1" ref="CP10" ca="1">IFERROR(INDIRECT("Yr"&amp;IF($C$5=Year1,1,IF($C$5=Year2,2,IF($C$5=Year3,3,IF($C$5=Lookups!$D$40,"All"))))&amp;"!"&amp;CP$71&amp;$DE10)*100,0)</f>
        <v>55.69</v>
      </c>
      <c r="CQ10" s="150" cm="1">
        <f t="array" aca="1" ref="CQ10" ca="1">IFERROR(INDIRECT("Yr"&amp;IF($C$5=Year1,1,IF($C$5=Year2,2,IF($C$5=Year3,3,IF($C$5=Lookups!$D$40,"All"))))&amp;"!"&amp;CQ$71&amp;$DE10)*100,0)</f>
        <v>55.69</v>
      </c>
      <c r="CR10" s="150" cm="1">
        <f t="array" aca="1" ref="CR10" ca="1">IFERROR(INDIRECT("Yr"&amp;IF($C$5=Year1,1,IF($C$5=Year2,2,IF($C$5=Year3,3,IF($C$5=Lookups!$D$40,"All"))))&amp;"!"&amp;CR$71&amp;$DE10)*100,0)</f>
        <v>55.69</v>
      </c>
      <c r="CS10" s="150" cm="1">
        <f t="array" aca="1" ref="CS10" ca="1">IFERROR(INDIRECT("Yr"&amp;IF($C$5=Year1,1,IF($C$5=Year2,2,IF($C$5=Year3,3,IF($C$5=Lookups!$D$40,"All"))))&amp;"!"&amp;CS$71&amp;$DE10)*100,0)</f>
        <v>55.69</v>
      </c>
      <c r="CT10" s="150" cm="1">
        <f t="array" aca="1" ref="CT10" ca="1">IFERROR(INDIRECT("Yr"&amp;IF($C$5=Year1,1,IF($C$5=Year2,2,IF($C$5=Year3,3,IF($C$5=Lookups!$D$40,"All"))))&amp;"!"&amp;CT$71&amp;$DE10)*100,0)</f>
        <v>55.69</v>
      </c>
      <c r="CU10" s="150" cm="1">
        <f t="array" aca="1" ref="CU10" ca="1">IFERROR(INDIRECT("Yr"&amp;IF($C$5=Year1,1,IF($C$5=Year2,2,IF($C$5=Year3,3,IF($C$5=Lookups!$D$40,"All"))))&amp;"!"&amp;CU$71&amp;$DE10)*100,0)</f>
        <v>55.69</v>
      </c>
      <c r="CV10" s="150" cm="1">
        <f t="array" aca="1" ref="CV10" ca="1">IFERROR(INDIRECT("Yr"&amp;IF($C$5=Year1,1,IF($C$5=Year2,2,IF($C$5=Year3,3,IF($C$5=Lookups!$D$40,"All"))))&amp;"!"&amp;CV$71&amp;$DE10)*100,0)</f>
        <v>55.69</v>
      </c>
      <c r="CW10" s="150" cm="1">
        <f t="array" aca="1" ref="CW10" ca="1">IFERROR(INDIRECT("Yr"&amp;IF($C$5=Year1,1,IF($C$5=Year2,2,IF($C$5=Year3,3,IF($C$5=Lookups!$D$40,"All"))))&amp;"!"&amp;CW$71&amp;$DE10)*100,0)</f>
        <v>55.69</v>
      </c>
      <c r="CX10" s="150" cm="1">
        <f t="array" aca="1" ref="CX10" ca="1">IFERROR(INDIRECT("Yr"&amp;IF($C$5=Year1,1,IF($C$5=Year2,2,IF($C$5=Year3,3,IF($C$5=Lookups!$D$40,"All"))))&amp;"!"&amp;CX$71&amp;$DE10)*100,0)</f>
        <v>55.69</v>
      </c>
      <c r="CY10" s="150" cm="1">
        <f t="array" aca="1" ref="CY10" ca="1">IFERROR(INDIRECT("Yr"&amp;IF($C$5=Year1,1,IF($C$5=Year2,2,IF($C$5=Year3,3,IF($C$5=Lookups!$D$40,"All"))))&amp;"!"&amp;CY$71&amp;$DE10)*100,0)</f>
        <v>55.69</v>
      </c>
      <c r="CZ10" s="150" cm="1">
        <f t="array" aca="1" ref="CZ10" ca="1">IFERROR(INDIRECT("Yr"&amp;IF($C$5=Year1,1,IF($C$5=Year2,2,IF($C$5=Year3,3,IF($C$5=Lookups!$D$40,"All"))))&amp;"!"&amp;CZ$71&amp;$DE10)*100,0)</f>
        <v>55.69</v>
      </c>
      <c r="DA10" s="150"/>
      <c r="DB10" s="150"/>
      <c r="DE10" s="516">
        <f>DE9+DF10</f>
        <v>38</v>
      </c>
      <c r="DF10" s="526">
        <v>-3</v>
      </c>
      <c r="DI10" s="22"/>
      <c r="DJ10" s="22"/>
      <c r="DK10" s="421"/>
      <c r="DL10" s="96"/>
      <c r="DM10" s="96"/>
      <c r="DN10" s="410"/>
      <c r="DO10" s="22"/>
    </row>
    <row r="11" spans="1:119" x14ac:dyDescent="0.25">
      <c r="BV11" s="343"/>
      <c r="BW11" s="344"/>
      <c r="BX11" s="121" t="s">
        <v>407</v>
      </c>
      <c r="BY11" s="121" t="s">
        <v>182</v>
      </c>
      <c r="BZ11" s="150" cm="1">
        <f t="array" aca="1" ref="BZ11" ca="1">IFERROR(INDIRECT("Yr"&amp;IF($C$5=Year1,1,IF($C$5=Year2,2,IF($C$5=Year3,3,IF($C$5=Lookups!$D$40,"All"))))&amp;"!"&amp;BZ$71&amp;$DE11)*100,0)</f>
        <v>-3.3000000000000003</v>
      </c>
      <c r="CA11" s="150" cm="1">
        <f t="array" aca="1" ref="CA11" ca="1">IFERROR(INDIRECT("Yr"&amp;IF($C$5=Year1,1,IF($C$5=Year2,2,IF($C$5=Year3,3,IF($C$5=Lookups!$D$40,"All"))))&amp;"!"&amp;CA$71&amp;$DE11)*100,0)</f>
        <v>-3.3000000000000003</v>
      </c>
      <c r="CB11" s="150" cm="1">
        <f t="array" aca="1" ref="CB11" ca="1">IFERROR(INDIRECT("Yr"&amp;IF($C$5=Year1,1,IF($C$5=Year2,2,IF($C$5=Year3,3,IF($C$5=Lookups!$D$40,"All"))))&amp;"!"&amp;CB$71&amp;$DE11)*100,0)</f>
        <v>-3.3000000000000003</v>
      </c>
      <c r="CC11" s="150" cm="1">
        <f t="array" aca="1" ref="CC11" ca="1">IFERROR(INDIRECT("Yr"&amp;IF($C$5=Year1,1,IF($C$5=Year2,2,IF($C$5=Year3,3,IF($C$5=Lookups!$D$40,"All"))))&amp;"!"&amp;CC$71&amp;$DE11)*100,0)</f>
        <v>-3.3000000000000003</v>
      </c>
      <c r="CD11" s="150" cm="1">
        <f t="array" aca="1" ref="CD11" ca="1">IFERROR(INDIRECT("Yr"&amp;IF($C$5=Year1,1,IF($C$5=Year2,2,IF($C$5=Year3,3,IF($C$5=Lookups!$D$40,"All"))))&amp;"!"&amp;CD$71&amp;$DE11)*100,0)</f>
        <v>-3.3000000000000003</v>
      </c>
      <c r="CE11" s="150" cm="1">
        <f t="array" aca="1" ref="CE11" ca="1">IFERROR(INDIRECT("Yr"&amp;IF($C$5=Year1,1,IF($C$5=Year2,2,IF($C$5=Year3,3,IF($C$5=Lookups!$D$40,"All"))))&amp;"!"&amp;CE$71&amp;$DE11)*100,0)</f>
        <v>-3.3000000000000003</v>
      </c>
      <c r="CF11" s="150" cm="1">
        <f t="array" aca="1" ref="CF11" ca="1">IFERROR(INDIRECT("Yr"&amp;IF($C$5=Year1,1,IF($C$5=Year2,2,IF($C$5=Year3,3,IF($C$5=Lookups!$D$40,"All"))))&amp;"!"&amp;CF$71&amp;$DE11)*100,0)</f>
        <v>-3.3000000000000003</v>
      </c>
      <c r="CG11" s="150" cm="1">
        <f t="array" aca="1" ref="CG11" ca="1">IFERROR(INDIRECT("Yr"&amp;IF($C$5=Year1,1,IF($C$5=Year2,2,IF($C$5=Year3,3,IF($C$5=Lookups!$D$40,"All"))))&amp;"!"&amp;CG$71&amp;$DE11)*100,0)</f>
        <v>-3.3000000000000003</v>
      </c>
      <c r="CH11" s="150" cm="1">
        <f t="array" aca="1" ref="CH11" ca="1">IFERROR(INDIRECT("Yr"&amp;IF($C$5=Year1,1,IF($C$5=Year2,2,IF($C$5=Year3,3,IF($C$5=Lookups!$D$40,"All"))))&amp;"!"&amp;CH$71&amp;$DE11)*100,0)</f>
        <v>-3.3000000000000003</v>
      </c>
      <c r="CI11" s="150" cm="1">
        <f t="array" aca="1" ref="CI11" ca="1">IFERROR(INDIRECT("Yr"&amp;IF($C$5=Year1,1,IF($C$5=Year2,2,IF($C$5=Year3,3,IF($C$5=Lookups!$D$40,"All"))))&amp;"!"&amp;CI$71&amp;$DE11)*100,0)</f>
        <v>-3.3000000000000003</v>
      </c>
      <c r="CJ11" s="150" cm="1">
        <f t="array" aca="1" ref="CJ11" ca="1">IFERROR(INDIRECT("Yr"&amp;IF($C$5=Year1,1,IF($C$5=Year2,2,IF($C$5=Year3,3,IF($C$5=Lookups!$D$40,"All"))))&amp;"!"&amp;CJ$71&amp;$DE11)*100,0)</f>
        <v>-3.3000000000000003</v>
      </c>
      <c r="CK11" s="150" cm="1">
        <f t="array" aca="1" ref="CK11" ca="1">IFERROR(INDIRECT("Yr"&amp;IF($C$5=Year1,1,IF($C$5=Year2,2,IF($C$5=Year3,3,IF($C$5=Lookups!$D$40,"All"))))&amp;"!"&amp;CK$71&amp;$DE11)*100,0)</f>
        <v>-3.3000000000000003</v>
      </c>
      <c r="CL11" s="150" cm="1">
        <f t="array" aca="1" ref="CL11" ca="1">IFERROR(INDIRECT("Yr"&amp;IF($C$5=Year1,1,IF($C$5=Year2,2,IF($C$5=Year3,3,IF($C$5=Lookups!$D$40,"All"))))&amp;"!"&amp;CL$71&amp;$DE11)*100,0)</f>
        <v>-3.3000000000000003</v>
      </c>
      <c r="CM11" s="150" cm="1">
        <f t="array" aca="1" ref="CM11" ca="1">IFERROR(INDIRECT("Yr"&amp;IF($C$5=Year1,1,IF($C$5=Year2,2,IF($C$5=Year3,3,IF($C$5=Lookups!$D$40,"All"))))&amp;"!"&amp;CM$71&amp;$DE11)*100,0)</f>
        <v>-3.3000000000000003</v>
      </c>
      <c r="CN11" s="150" cm="1">
        <f t="array" aca="1" ref="CN11" ca="1">IFERROR(INDIRECT("Yr"&amp;IF($C$5=Year1,1,IF($C$5=Year2,2,IF($C$5=Year3,3,IF($C$5=Lookups!$D$40,"All"))))&amp;"!"&amp;CN$71&amp;$DE11)*100,0)</f>
        <v>-3.3000000000000003</v>
      </c>
      <c r="CO11" s="150" cm="1">
        <f t="array" aca="1" ref="CO11" ca="1">IFERROR(INDIRECT("Yr"&amp;IF($C$5=Year1,1,IF($C$5=Year2,2,IF($C$5=Year3,3,IF($C$5=Lookups!$D$40,"All"))))&amp;"!"&amp;CO$71&amp;$DE11)*100,0)</f>
        <v>-3.3000000000000003</v>
      </c>
      <c r="CP11" s="150" cm="1">
        <f t="array" aca="1" ref="CP11" ca="1">IFERROR(INDIRECT("Yr"&amp;IF($C$5=Year1,1,IF($C$5=Year2,2,IF($C$5=Year3,3,IF($C$5=Lookups!$D$40,"All"))))&amp;"!"&amp;CP$71&amp;$DE11)*100,0)</f>
        <v>-3.3000000000000003</v>
      </c>
      <c r="CQ11" s="150" cm="1">
        <f t="array" aca="1" ref="CQ11" ca="1">IFERROR(INDIRECT("Yr"&amp;IF($C$5=Year1,1,IF($C$5=Year2,2,IF($C$5=Year3,3,IF($C$5=Lookups!$D$40,"All"))))&amp;"!"&amp;CQ$71&amp;$DE11)*100,0)</f>
        <v>-3.3000000000000003</v>
      </c>
      <c r="CR11" s="150" cm="1">
        <f t="array" aca="1" ref="CR11" ca="1">IFERROR(INDIRECT("Yr"&amp;IF($C$5=Year1,1,IF($C$5=Year2,2,IF($C$5=Year3,3,IF($C$5=Lookups!$D$40,"All"))))&amp;"!"&amp;CR$71&amp;$DE11)*100,0)</f>
        <v>-3.3000000000000003</v>
      </c>
      <c r="CS11" s="150" cm="1">
        <f t="array" aca="1" ref="CS11" ca="1">IFERROR(INDIRECT("Yr"&amp;IF($C$5=Year1,1,IF($C$5=Year2,2,IF($C$5=Year3,3,IF($C$5=Lookups!$D$40,"All"))))&amp;"!"&amp;CS$71&amp;$DE11)*100,0)</f>
        <v>-3.3000000000000003</v>
      </c>
      <c r="CT11" s="150" cm="1">
        <f t="array" aca="1" ref="CT11" ca="1">IFERROR(INDIRECT("Yr"&amp;IF($C$5=Year1,1,IF($C$5=Year2,2,IF($C$5=Year3,3,IF($C$5=Lookups!$D$40,"All"))))&amp;"!"&amp;CT$71&amp;$DE11)*100,0)</f>
        <v>-3.3000000000000003</v>
      </c>
      <c r="CU11" s="150" cm="1">
        <f t="array" aca="1" ref="CU11" ca="1">IFERROR(INDIRECT("Yr"&amp;IF($C$5=Year1,1,IF($C$5=Year2,2,IF($C$5=Year3,3,IF($C$5=Lookups!$D$40,"All"))))&amp;"!"&amp;CU$71&amp;$DE11)*100,0)</f>
        <v>-3.3000000000000003</v>
      </c>
      <c r="CV11" s="150" cm="1">
        <f t="array" aca="1" ref="CV11" ca="1">IFERROR(INDIRECT("Yr"&amp;IF($C$5=Year1,1,IF($C$5=Year2,2,IF($C$5=Year3,3,IF($C$5=Lookups!$D$40,"All"))))&amp;"!"&amp;CV$71&amp;$DE11)*100,0)</f>
        <v>-3.3000000000000003</v>
      </c>
      <c r="CW11" s="150" cm="1">
        <f t="array" aca="1" ref="CW11" ca="1">IFERROR(INDIRECT("Yr"&amp;IF($C$5=Year1,1,IF($C$5=Year2,2,IF($C$5=Year3,3,IF($C$5=Lookups!$D$40,"All"))))&amp;"!"&amp;CW$71&amp;$DE11)*100,0)</f>
        <v>-3.3000000000000003</v>
      </c>
      <c r="CX11" s="150" cm="1">
        <f t="array" aca="1" ref="CX11" ca="1">IFERROR(INDIRECT("Yr"&amp;IF($C$5=Year1,1,IF($C$5=Year2,2,IF($C$5=Year3,3,IF($C$5=Lookups!$D$40,"All"))))&amp;"!"&amp;CX$71&amp;$DE11)*100,0)</f>
        <v>-3.3000000000000003</v>
      </c>
      <c r="CY11" s="150" cm="1">
        <f t="array" aca="1" ref="CY11" ca="1">IFERROR(INDIRECT("Yr"&amp;IF($C$5=Year1,1,IF($C$5=Year2,2,IF($C$5=Year3,3,IF($C$5=Lookups!$D$40,"All"))))&amp;"!"&amp;CY$71&amp;$DE11)*100,0)</f>
        <v>-3.3000000000000003</v>
      </c>
      <c r="CZ11" s="150" cm="1">
        <f t="array" aca="1" ref="CZ11" ca="1">IFERROR(INDIRECT("Yr"&amp;IF($C$5=Year1,1,IF($C$5=Year2,2,IF($C$5=Year3,3,IF($C$5=Lookups!$D$40,"All"))))&amp;"!"&amp;CZ$71&amp;$DE11)*100,0)</f>
        <v>-3.3000000000000003</v>
      </c>
      <c r="DA11" s="150"/>
      <c r="DB11" s="150"/>
      <c r="DE11" s="516">
        <f t="shared" ref="DE11" si="1">DE10+DF11</f>
        <v>39</v>
      </c>
      <c r="DF11" s="526">
        <v>1</v>
      </c>
      <c r="DI11" s="22"/>
      <c r="DJ11" s="22"/>
      <c r="DK11" s="421"/>
      <c r="DL11" s="96"/>
      <c r="DM11" s="96"/>
      <c r="DN11" s="410"/>
      <c r="DO11" s="22"/>
    </row>
    <row r="12" spans="1:119" x14ac:dyDescent="0.25">
      <c r="BV12" s="343"/>
      <c r="BW12" s="344"/>
      <c r="BX12" s="121" t="s">
        <v>197</v>
      </c>
      <c r="BY12" s="121" t="s">
        <v>182</v>
      </c>
      <c r="BZ12" s="150" cm="1">
        <f t="array" aca="1" ref="BZ12" ca="1">IFERROR(INDIRECT("Yr"&amp;IF($C$5=Year1,1,IF($C$5=Year2,2,IF($C$5=Year3,3,IF($C$5=Lookups!$D$40,"All"))))&amp;"!"&amp;BZ$71&amp;$DE12)*100,0)</f>
        <v>62.029999999999994</v>
      </c>
      <c r="CA12" s="150" cm="1">
        <f t="array" aca="1" ref="CA12" ca="1">IFERROR(INDIRECT("Yr"&amp;IF($C$5=Year1,1,IF($C$5=Year2,2,IF($C$5=Year3,3,IF($C$5=Lookups!$D$40,"All"))))&amp;"!"&amp;CA$71&amp;$DE12)*100,0)</f>
        <v>62.029999999999994</v>
      </c>
      <c r="CB12" s="150" cm="1">
        <f t="array" aca="1" ref="CB12" ca="1">IFERROR(INDIRECT("Yr"&amp;IF($C$5=Year1,1,IF($C$5=Year2,2,IF($C$5=Year3,3,IF($C$5=Lookups!$D$40,"All"))))&amp;"!"&amp;CB$71&amp;$DE12)*100,0)</f>
        <v>62.029999999999994</v>
      </c>
      <c r="CC12" s="150" cm="1">
        <f t="array" aca="1" ref="CC12" ca="1">IFERROR(INDIRECT("Yr"&amp;IF($C$5=Year1,1,IF($C$5=Year2,2,IF($C$5=Year3,3,IF($C$5=Lookups!$D$40,"All"))))&amp;"!"&amp;CC$71&amp;$DE12)*100,0)</f>
        <v>62.029999999999994</v>
      </c>
      <c r="CD12" s="150" cm="1">
        <f t="array" aca="1" ref="CD12" ca="1">IFERROR(INDIRECT("Yr"&amp;IF($C$5=Year1,1,IF($C$5=Year2,2,IF($C$5=Year3,3,IF($C$5=Lookups!$D$40,"All"))))&amp;"!"&amp;CD$71&amp;$DE12)*100,0)</f>
        <v>62.029999999999994</v>
      </c>
      <c r="CE12" s="150" cm="1">
        <f t="array" aca="1" ref="CE12" ca="1">IFERROR(INDIRECT("Yr"&amp;IF($C$5=Year1,1,IF($C$5=Year2,2,IF($C$5=Year3,3,IF($C$5=Lookups!$D$40,"All"))))&amp;"!"&amp;CE$71&amp;$DE12)*100,0)</f>
        <v>62.029999999999994</v>
      </c>
      <c r="CF12" s="150" cm="1">
        <f t="array" aca="1" ref="CF12" ca="1">IFERROR(INDIRECT("Yr"&amp;IF($C$5=Year1,1,IF($C$5=Year2,2,IF($C$5=Year3,3,IF($C$5=Lookups!$D$40,"All"))))&amp;"!"&amp;CF$71&amp;$DE12)*100,0)</f>
        <v>62.029999999999994</v>
      </c>
      <c r="CG12" s="150" cm="1">
        <f t="array" aca="1" ref="CG12" ca="1">IFERROR(INDIRECT("Yr"&amp;IF($C$5=Year1,1,IF($C$5=Year2,2,IF($C$5=Year3,3,IF($C$5=Lookups!$D$40,"All"))))&amp;"!"&amp;CG$71&amp;$DE12)*100,0)</f>
        <v>62.029999999999994</v>
      </c>
      <c r="CH12" s="150" cm="1">
        <f t="array" aca="1" ref="CH12" ca="1">IFERROR(INDIRECT("Yr"&amp;IF($C$5=Year1,1,IF($C$5=Year2,2,IF($C$5=Year3,3,IF($C$5=Lookups!$D$40,"All"))))&amp;"!"&amp;CH$71&amp;$DE12)*100,0)</f>
        <v>62.029999999999994</v>
      </c>
      <c r="CI12" s="150" cm="1">
        <f t="array" aca="1" ref="CI12" ca="1">IFERROR(INDIRECT("Yr"&amp;IF($C$5=Year1,1,IF($C$5=Year2,2,IF($C$5=Year3,3,IF($C$5=Lookups!$D$40,"All"))))&amp;"!"&amp;CI$71&amp;$DE12)*100,0)</f>
        <v>62.029999999999994</v>
      </c>
      <c r="CJ12" s="150" cm="1">
        <f t="array" aca="1" ref="CJ12" ca="1">IFERROR(INDIRECT("Yr"&amp;IF($C$5=Year1,1,IF($C$5=Year2,2,IF($C$5=Year3,3,IF($C$5=Lookups!$D$40,"All"))))&amp;"!"&amp;CJ$71&amp;$DE12)*100,0)</f>
        <v>62.029999999999994</v>
      </c>
      <c r="CK12" s="150" cm="1">
        <f t="array" aca="1" ref="CK12" ca="1">IFERROR(INDIRECT("Yr"&amp;IF($C$5=Year1,1,IF($C$5=Year2,2,IF($C$5=Year3,3,IF($C$5=Lookups!$D$40,"All"))))&amp;"!"&amp;CK$71&amp;$DE12)*100,0)</f>
        <v>62.029999999999994</v>
      </c>
      <c r="CL12" s="150" cm="1">
        <f t="array" aca="1" ref="CL12" ca="1">IFERROR(INDIRECT("Yr"&amp;IF($C$5=Year1,1,IF($C$5=Year2,2,IF($C$5=Year3,3,IF($C$5=Lookups!$D$40,"All"))))&amp;"!"&amp;CL$71&amp;$DE12)*100,0)</f>
        <v>62.029999999999994</v>
      </c>
      <c r="CM12" s="150" cm="1">
        <f t="array" aca="1" ref="CM12" ca="1">IFERROR(INDIRECT("Yr"&amp;IF($C$5=Year1,1,IF($C$5=Year2,2,IF($C$5=Year3,3,IF($C$5=Lookups!$D$40,"All"))))&amp;"!"&amp;CM$71&amp;$DE12)*100,0)</f>
        <v>62.029999999999994</v>
      </c>
      <c r="CN12" s="150" cm="1">
        <f t="array" aca="1" ref="CN12" ca="1">IFERROR(INDIRECT("Yr"&amp;IF($C$5=Year1,1,IF($C$5=Year2,2,IF($C$5=Year3,3,IF($C$5=Lookups!$D$40,"All"))))&amp;"!"&amp;CN$71&amp;$DE12)*100,0)</f>
        <v>62.029999999999994</v>
      </c>
      <c r="CO12" s="150" cm="1">
        <f t="array" aca="1" ref="CO12" ca="1">IFERROR(INDIRECT("Yr"&amp;IF($C$5=Year1,1,IF($C$5=Year2,2,IF($C$5=Year3,3,IF($C$5=Lookups!$D$40,"All"))))&amp;"!"&amp;CO$71&amp;$DE12)*100,0)</f>
        <v>62.029999999999994</v>
      </c>
      <c r="CP12" s="150" cm="1">
        <f t="array" aca="1" ref="CP12" ca="1">IFERROR(INDIRECT("Yr"&amp;IF($C$5=Year1,1,IF($C$5=Year2,2,IF($C$5=Year3,3,IF($C$5=Lookups!$D$40,"All"))))&amp;"!"&amp;CP$71&amp;$DE12)*100,0)</f>
        <v>62.029999999999994</v>
      </c>
      <c r="CQ12" s="150" cm="1">
        <f t="array" aca="1" ref="CQ12" ca="1">IFERROR(INDIRECT("Yr"&amp;IF($C$5=Year1,1,IF($C$5=Year2,2,IF($C$5=Year3,3,IF($C$5=Lookups!$D$40,"All"))))&amp;"!"&amp;CQ$71&amp;$DE12)*100,0)</f>
        <v>62.029999999999994</v>
      </c>
      <c r="CR12" s="150" cm="1">
        <f t="array" aca="1" ref="CR12" ca="1">IFERROR(INDIRECT("Yr"&amp;IF($C$5=Year1,1,IF($C$5=Year2,2,IF($C$5=Year3,3,IF($C$5=Lookups!$D$40,"All"))))&amp;"!"&amp;CR$71&amp;$DE12)*100,0)</f>
        <v>62.029999999999994</v>
      </c>
      <c r="CS12" s="150" cm="1">
        <f t="array" aca="1" ref="CS12" ca="1">IFERROR(INDIRECT("Yr"&amp;IF($C$5=Year1,1,IF($C$5=Year2,2,IF($C$5=Year3,3,IF($C$5=Lookups!$D$40,"All"))))&amp;"!"&amp;CS$71&amp;$DE12)*100,0)</f>
        <v>62.029999999999994</v>
      </c>
      <c r="CT12" s="150" cm="1">
        <f t="array" aca="1" ref="CT12" ca="1">IFERROR(INDIRECT("Yr"&amp;IF($C$5=Year1,1,IF($C$5=Year2,2,IF($C$5=Year3,3,IF($C$5=Lookups!$D$40,"All"))))&amp;"!"&amp;CT$71&amp;$DE12)*100,0)</f>
        <v>62.029999999999994</v>
      </c>
      <c r="CU12" s="150" cm="1">
        <f t="array" aca="1" ref="CU12" ca="1">IFERROR(INDIRECT("Yr"&amp;IF($C$5=Year1,1,IF($C$5=Year2,2,IF($C$5=Year3,3,IF($C$5=Lookups!$D$40,"All"))))&amp;"!"&amp;CU$71&amp;$DE12)*100,0)</f>
        <v>62.029999999999994</v>
      </c>
      <c r="CV12" s="150" cm="1">
        <f t="array" aca="1" ref="CV12" ca="1">IFERROR(INDIRECT("Yr"&amp;IF($C$5=Year1,1,IF($C$5=Year2,2,IF($C$5=Year3,3,IF($C$5=Lookups!$D$40,"All"))))&amp;"!"&amp;CV$71&amp;$DE12)*100,0)</f>
        <v>62.029999999999994</v>
      </c>
      <c r="CW12" s="150" cm="1">
        <f t="array" aca="1" ref="CW12" ca="1">IFERROR(INDIRECT("Yr"&amp;IF($C$5=Year1,1,IF($C$5=Year2,2,IF($C$5=Year3,3,IF($C$5=Lookups!$D$40,"All"))))&amp;"!"&amp;CW$71&amp;$DE12)*100,0)</f>
        <v>62.029999999999994</v>
      </c>
      <c r="CX12" s="150" cm="1">
        <f t="array" aca="1" ref="CX12" ca="1">IFERROR(INDIRECT("Yr"&amp;IF($C$5=Year1,1,IF($C$5=Year2,2,IF($C$5=Year3,3,IF($C$5=Lookups!$D$40,"All"))))&amp;"!"&amp;CX$71&amp;$DE12)*100,0)</f>
        <v>62.029999999999994</v>
      </c>
      <c r="CY12" s="150" cm="1">
        <f t="array" aca="1" ref="CY12" ca="1">IFERROR(INDIRECT("Yr"&amp;IF($C$5=Year1,1,IF($C$5=Year2,2,IF($C$5=Year3,3,IF($C$5=Lookups!$D$40,"All"))))&amp;"!"&amp;CY$71&amp;$DE12)*100,0)</f>
        <v>62.029999999999994</v>
      </c>
      <c r="CZ12" s="150" cm="1">
        <f t="array" aca="1" ref="CZ12" ca="1">IFERROR(INDIRECT("Yr"&amp;IF($C$5=Year1,1,IF($C$5=Year2,2,IF($C$5=Year3,3,IF($C$5=Lookups!$D$40,"All"))))&amp;"!"&amp;CZ$71&amp;$DE12)*100,0)</f>
        <v>62.029999999999994</v>
      </c>
      <c r="DA12" s="150"/>
      <c r="DB12" s="150"/>
      <c r="DE12" s="516">
        <f>DE11+DF12</f>
        <v>40</v>
      </c>
      <c r="DF12" s="526">
        <v>1</v>
      </c>
      <c r="DI12" s="22"/>
      <c r="DJ12" s="22"/>
      <c r="DK12" s="421"/>
      <c r="DL12" s="96"/>
      <c r="DM12" s="96"/>
      <c r="DN12" s="410"/>
      <c r="DO12" s="22"/>
    </row>
    <row r="13" spans="1:119" x14ac:dyDescent="0.25">
      <c r="BV13" s="343"/>
      <c r="BW13" s="344"/>
      <c r="BX13" s="121" t="s">
        <v>405</v>
      </c>
      <c r="BY13" s="121" t="s">
        <v>182</v>
      </c>
      <c r="BZ13" s="150" cm="1">
        <f t="array" aca="1" ref="BZ13" ca="1">IFERROR(INDIRECT("Yr"&amp;IF($C$5=Year1,1,IF($C$5=Year2,2,IF($C$5=Year3,3,IF($C$5=Lookups!$D$40,"All"))))&amp;"!"&amp;BZ$71&amp;$DE13)*100,0)</f>
        <v>0</v>
      </c>
      <c r="CA13" s="150" cm="1">
        <f t="array" aca="1" ref="CA13" ca="1">IFERROR(INDIRECT("Yr"&amp;IF($C$5=Year1,1,IF($C$5=Year2,2,IF($C$5=Year3,3,IF($C$5=Lookups!$D$40,"All"))))&amp;"!"&amp;CA$71&amp;$DE13)*100,0)</f>
        <v>0</v>
      </c>
      <c r="CB13" s="150" cm="1">
        <f t="array" aca="1" ref="CB13" ca="1">IFERROR(INDIRECT("Yr"&amp;IF($C$5=Year1,1,IF($C$5=Year2,2,IF($C$5=Year3,3,IF($C$5=Lookups!$D$40,"All"))))&amp;"!"&amp;CB$71&amp;$DE13)*100,0)</f>
        <v>0</v>
      </c>
      <c r="CC13" s="150" cm="1">
        <f t="array" aca="1" ref="CC13" ca="1">IFERROR(INDIRECT("Yr"&amp;IF($C$5=Year1,1,IF($C$5=Year2,2,IF($C$5=Year3,3,IF($C$5=Lookups!$D$40,"All"))))&amp;"!"&amp;CC$71&amp;$DE13)*100,0)</f>
        <v>0</v>
      </c>
      <c r="CD13" s="150" cm="1">
        <f t="array" aca="1" ref="CD13" ca="1">IFERROR(INDIRECT("Yr"&amp;IF($C$5=Year1,1,IF($C$5=Year2,2,IF($C$5=Year3,3,IF($C$5=Lookups!$D$40,"All"))))&amp;"!"&amp;CD$71&amp;$DE13)*100,0)</f>
        <v>0</v>
      </c>
      <c r="CE13" s="150" cm="1">
        <f t="array" aca="1" ref="CE13" ca="1">IFERROR(INDIRECT("Yr"&amp;IF($C$5=Year1,1,IF($C$5=Year2,2,IF($C$5=Year3,3,IF($C$5=Lookups!$D$40,"All"))))&amp;"!"&amp;CE$71&amp;$DE13)*100,0)</f>
        <v>0</v>
      </c>
      <c r="CF13" s="150" cm="1">
        <f t="array" aca="1" ref="CF13" ca="1">IFERROR(INDIRECT("Yr"&amp;IF($C$5=Year1,1,IF($C$5=Year2,2,IF($C$5=Year3,3,IF($C$5=Lookups!$D$40,"All"))))&amp;"!"&amp;CF$71&amp;$DE13)*100,0)</f>
        <v>0</v>
      </c>
      <c r="CG13" s="150" cm="1">
        <f t="array" aca="1" ref="CG13" ca="1">IFERROR(INDIRECT("Yr"&amp;IF($C$5=Year1,1,IF($C$5=Year2,2,IF($C$5=Year3,3,IF($C$5=Lookups!$D$40,"All"))))&amp;"!"&amp;CG$71&amp;$DE13)*100,0)</f>
        <v>0</v>
      </c>
      <c r="CH13" s="150" cm="1">
        <f t="array" aca="1" ref="CH13" ca="1">IFERROR(INDIRECT("Yr"&amp;IF($C$5=Year1,1,IF($C$5=Year2,2,IF($C$5=Year3,3,IF($C$5=Lookups!$D$40,"All"))))&amp;"!"&amp;CH$71&amp;$DE13)*100,0)</f>
        <v>0</v>
      </c>
      <c r="CI13" s="150" cm="1">
        <f t="array" aca="1" ref="CI13" ca="1">IFERROR(INDIRECT("Yr"&amp;IF($C$5=Year1,1,IF($C$5=Year2,2,IF($C$5=Year3,3,IF($C$5=Lookups!$D$40,"All"))))&amp;"!"&amp;CI$71&amp;$DE13)*100,0)</f>
        <v>0</v>
      </c>
      <c r="CJ13" s="150" cm="1">
        <f t="array" aca="1" ref="CJ13" ca="1">IFERROR(INDIRECT("Yr"&amp;IF($C$5=Year1,1,IF($C$5=Year2,2,IF($C$5=Year3,3,IF($C$5=Lookups!$D$40,"All"))))&amp;"!"&amp;CJ$71&amp;$DE13)*100,0)</f>
        <v>0</v>
      </c>
      <c r="CK13" s="150" cm="1">
        <f t="array" aca="1" ref="CK13" ca="1">IFERROR(INDIRECT("Yr"&amp;IF($C$5=Year1,1,IF($C$5=Year2,2,IF($C$5=Year3,3,IF($C$5=Lookups!$D$40,"All"))))&amp;"!"&amp;CK$71&amp;$DE13)*100,0)</f>
        <v>0</v>
      </c>
      <c r="CL13" s="150" cm="1">
        <f t="array" aca="1" ref="CL13" ca="1">IFERROR(INDIRECT("Yr"&amp;IF($C$5=Year1,1,IF($C$5=Year2,2,IF($C$5=Year3,3,IF($C$5=Lookups!$D$40,"All"))))&amp;"!"&amp;CL$71&amp;$DE13)*100,0)</f>
        <v>0</v>
      </c>
      <c r="CM13" s="150" cm="1">
        <f t="array" aca="1" ref="CM13" ca="1">IFERROR(INDIRECT("Yr"&amp;IF($C$5=Year1,1,IF($C$5=Year2,2,IF($C$5=Year3,3,IF($C$5=Lookups!$D$40,"All"))))&amp;"!"&amp;CM$71&amp;$DE13)*100,0)</f>
        <v>0</v>
      </c>
      <c r="CN13" s="150" cm="1">
        <f t="array" aca="1" ref="CN13" ca="1">IFERROR(INDIRECT("Yr"&amp;IF($C$5=Year1,1,IF($C$5=Year2,2,IF($C$5=Year3,3,IF($C$5=Lookups!$D$40,"All"))))&amp;"!"&amp;CN$71&amp;$DE13)*100,0)</f>
        <v>0</v>
      </c>
      <c r="CO13" s="150" cm="1">
        <f t="array" aca="1" ref="CO13" ca="1">IFERROR(INDIRECT("Yr"&amp;IF($C$5=Year1,1,IF($C$5=Year2,2,IF($C$5=Year3,3,IF($C$5=Lookups!$D$40,"All"))))&amp;"!"&amp;CO$71&amp;$DE13)*100,0)</f>
        <v>0</v>
      </c>
      <c r="CP13" s="150" cm="1">
        <f t="array" aca="1" ref="CP13" ca="1">IFERROR(INDIRECT("Yr"&amp;IF($C$5=Year1,1,IF($C$5=Year2,2,IF($C$5=Year3,3,IF($C$5=Lookups!$D$40,"All"))))&amp;"!"&amp;CP$71&amp;$DE13)*100,0)</f>
        <v>0</v>
      </c>
      <c r="CQ13" s="150" cm="1">
        <f t="array" aca="1" ref="CQ13" ca="1">IFERROR(INDIRECT("Yr"&amp;IF($C$5=Year1,1,IF($C$5=Year2,2,IF($C$5=Year3,3,IF($C$5=Lookups!$D$40,"All"))))&amp;"!"&amp;CQ$71&amp;$DE13)*100,0)</f>
        <v>0</v>
      </c>
      <c r="CR13" s="150" cm="1">
        <f t="array" aca="1" ref="CR13" ca="1">IFERROR(INDIRECT("Yr"&amp;IF($C$5=Year1,1,IF($C$5=Year2,2,IF($C$5=Year3,3,IF($C$5=Lookups!$D$40,"All"))))&amp;"!"&amp;CR$71&amp;$DE13)*100,0)</f>
        <v>0</v>
      </c>
      <c r="CS13" s="150" cm="1">
        <f t="array" aca="1" ref="CS13" ca="1">IFERROR(INDIRECT("Yr"&amp;IF($C$5=Year1,1,IF($C$5=Year2,2,IF($C$5=Year3,3,IF($C$5=Lookups!$D$40,"All"))))&amp;"!"&amp;CS$71&amp;$DE13)*100,0)</f>
        <v>0</v>
      </c>
      <c r="CT13" s="150" cm="1">
        <f t="array" aca="1" ref="CT13" ca="1">IFERROR(INDIRECT("Yr"&amp;IF($C$5=Year1,1,IF($C$5=Year2,2,IF($C$5=Year3,3,IF($C$5=Lookups!$D$40,"All"))))&amp;"!"&amp;CT$71&amp;$DE13)*100,0)</f>
        <v>0</v>
      </c>
      <c r="CU13" s="150" cm="1">
        <f t="array" aca="1" ref="CU13" ca="1">IFERROR(INDIRECT("Yr"&amp;IF($C$5=Year1,1,IF($C$5=Year2,2,IF($C$5=Year3,3,IF($C$5=Lookups!$D$40,"All"))))&amp;"!"&amp;CU$71&amp;$DE13)*100,0)</f>
        <v>0</v>
      </c>
      <c r="CV13" s="150" cm="1">
        <f t="array" aca="1" ref="CV13" ca="1">IFERROR(INDIRECT("Yr"&amp;IF($C$5=Year1,1,IF($C$5=Year2,2,IF($C$5=Year3,3,IF($C$5=Lookups!$D$40,"All"))))&amp;"!"&amp;CV$71&amp;$DE13)*100,0)</f>
        <v>0</v>
      </c>
      <c r="CW13" s="150" cm="1">
        <f t="array" aca="1" ref="CW13" ca="1">IFERROR(INDIRECT("Yr"&amp;IF($C$5=Year1,1,IF($C$5=Year2,2,IF($C$5=Year3,3,IF($C$5=Lookups!$D$40,"All"))))&amp;"!"&amp;CW$71&amp;$DE13)*100,0)</f>
        <v>0</v>
      </c>
      <c r="CX13" s="150" cm="1">
        <f t="array" aca="1" ref="CX13" ca="1">IFERROR(INDIRECT("Yr"&amp;IF($C$5=Year1,1,IF($C$5=Year2,2,IF($C$5=Year3,3,IF($C$5=Lookups!$D$40,"All"))))&amp;"!"&amp;CX$71&amp;$DE13)*100,0)</f>
        <v>0</v>
      </c>
      <c r="CY13" s="150" cm="1">
        <f t="array" aca="1" ref="CY13" ca="1">IFERROR(INDIRECT("Yr"&amp;IF($C$5=Year1,1,IF($C$5=Year2,2,IF($C$5=Year3,3,IF($C$5=Lookups!$D$40,"All"))))&amp;"!"&amp;CY$71&amp;$DE13)*100,0)</f>
        <v>0</v>
      </c>
      <c r="CZ13" s="150" cm="1">
        <f t="array" aca="1" ref="CZ13" ca="1">IFERROR(INDIRECT("Yr"&amp;IF($C$5=Year1,1,IF($C$5=Year2,2,IF($C$5=Year3,3,IF($C$5=Lookups!$D$40,"All"))))&amp;"!"&amp;CZ$71&amp;$DE13)*100,0)</f>
        <v>0</v>
      </c>
      <c r="DA13" s="122"/>
      <c r="DB13" s="150"/>
      <c r="DE13" s="527"/>
      <c r="DI13" s="22"/>
      <c r="DJ13" s="22"/>
      <c r="DK13" s="421"/>
      <c r="DL13" s="96"/>
      <c r="DM13" s="96"/>
      <c r="DN13" s="410"/>
      <c r="DO13" s="22"/>
    </row>
    <row r="14" spans="1:119" x14ac:dyDescent="0.25">
      <c r="BV14" s="343"/>
      <c r="BW14" s="344"/>
      <c r="BX14" s="121"/>
      <c r="BY14" s="121"/>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E14" s="527"/>
      <c r="DL14" s="96"/>
      <c r="DM14" s="96"/>
      <c r="DO14" s="22"/>
    </row>
    <row r="15" spans="1:119" ht="18.75" x14ac:dyDescent="0.3">
      <c r="BV15" s="91" t="str">
        <f>Lookups!$D$23&amp;" v "&amp;Lookups!$D$22</f>
        <v>Proposed EE v No EE</v>
      </c>
      <c r="BW15" s="91"/>
      <c r="BX15" s="124"/>
      <c r="BY15" s="124"/>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E15" s="528"/>
    </row>
    <row r="16" spans="1:119" x14ac:dyDescent="0.25">
      <c r="BV16" s="343"/>
      <c r="BW16" s="159" t="s">
        <v>30</v>
      </c>
      <c r="BX16" s="126"/>
      <c r="BY16" s="126"/>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E16" s="527"/>
    </row>
    <row r="17" spans="3:116" x14ac:dyDescent="0.25">
      <c r="BV17" s="343"/>
      <c r="BW17" s="345"/>
      <c r="BX17" s="126" t="s">
        <v>95</v>
      </c>
      <c r="BY17" s="126" t="s">
        <v>409</v>
      </c>
      <c r="BZ17" s="151" cm="1">
        <f t="array" aca="1" ref="BZ17" ca="1">IFERROR(INDIRECT("Yr"&amp;IF($C$5=Year1,1,IF($C$5=Year2,2,IF($C$5=Year3,3,IF($C$5=Lookups!$D$40,"All"))))&amp;"!"&amp;BZ$71&amp;$DE17)*100,0)</f>
        <v>22.33803664496018</v>
      </c>
      <c r="CA17" s="151" cm="1">
        <f t="array" aca="1" ref="CA17" ca="1">IFERROR(INDIRECT("Yr"&amp;IF($C$5=Year1,1,IF($C$5=Year2,2,IF($C$5=Year3,3,IF($C$5=Lookups!$D$40,"All"))))&amp;"!"&amp;CA$71&amp;$DE17)*100,0)</f>
        <v>22.33803664496018</v>
      </c>
      <c r="CB17" s="151" cm="1">
        <f t="array" aca="1" ref="CB17" ca="1">IFERROR(INDIRECT("Yr"&amp;IF($C$5=Year1,1,IF($C$5=Year2,2,IF($C$5=Year3,3,IF($C$5=Lookups!$D$40,"All"))))&amp;"!"&amp;CB$71&amp;$DE17)*100,0)</f>
        <v>22.33803664496018</v>
      </c>
      <c r="CC17" s="151" cm="1">
        <f t="array" aca="1" ref="CC17" ca="1">IFERROR(INDIRECT("Yr"&amp;IF($C$5=Year1,1,IF($C$5=Year2,2,IF($C$5=Year3,3,IF($C$5=Lookups!$D$40,"All"))))&amp;"!"&amp;CC$71&amp;$DE17)*100,0)</f>
        <v>22.33803664496018</v>
      </c>
      <c r="CD17" s="151" cm="1">
        <f t="array" aca="1" ref="CD17" ca="1">IFERROR(INDIRECT("Yr"&amp;IF($C$5=Year1,1,IF($C$5=Year2,2,IF($C$5=Year3,3,IF($C$5=Lookups!$D$40,"All"))))&amp;"!"&amp;CD$71&amp;$DE17)*100,0)</f>
        <v>22.33803664496018</v>
      </c>
      <c r="CE17" s="151" cm="1">
        <f t="array" aca="1" ref="CE17" ca="1">IFERROR(INDIRECT("Yr"&amp;IF($C$5=Year1,1,IF($C$5=Year2,2,IF($C$5=Year3,3,IF($C$5=Lookups!$D$40,"All"))))&amp;"!"&amp;CE$71&amp;$DE17)*100,0)</f>
        <v>22.33803664496018</v>
      </c>
      <c r="CF17" s="151" cm="1">
        <f t="array" aca="1" ref="CF17" ca="1">IFERROR(INDIRECT("Yr"&amp;IF($C$5=Year1,1,IF($C$5=Year2,2,IF($C$5=Year3,3,IF($C$5=Lookups!$D$40,"All"))))&amp;"!"&amp;CF$71&amp;$DE17)*100,0)</f>
        <v>22.33803664496018</v>
      </c>
      <c r="CG17" s="151" cm="1">
        <f t="array" aca="1" ref="CG17" ca="1">IFERROR(INDIRECT("Yr"&amp;IF($C$5=Year1,1,IF($C$5=Year2,2,IF($C$5=Year3,3,IF($C$5=Lookups!$D$40,"All"))))&amp;"!"&amp;CG$71&amp;$DE17)*100,0)</f>
        <v>22.33803664496018</v>
      </c>
      <c r="CH17" s="151" cm="1">
        <f t="array" aca="1" ref="CH17" ca="1">IFERROR(INDIRECT("Yr"&amp;IF($C$5=Year1,1,IF($C$5=Year2,2,IF($C$5=Year3,3,IF($C$5=Lookups!$D$40,"All"))))&amp;"!"&amp;CH$71&amp;$DE17)*100,0)</f>
        <v>22.33803664496018</v>
      </c>
      <c r="CI17" s="151" cm="1">
        <f t="array" aca="1" ref="CI17" ca="1">IFERROR(INDIRECT("Yr"&amp;IF($C$5=Year1,1,IF($C$5=Year2,2,IF($C$5=Year3,3,IF($C$5=Lookups!$D$40,"All"))))&amp;"!"&amp;CI$71&amp;$DE17)*100,0)</f>
        <v>22.33803664496018</v>
      </c>
      <c r="CJ17" s="151" cm="1">
        <f t="array" aca="1" ref="CJ17" ca="1">IFERROR(INDIRECT("Yr"&amp;IF($C$5=Year1,1,IF($C$5=Year2,2,IF($C$5=Year3,3,IF($C$5=Lookups!$D$40,"All"))))&amp;"!"&amp;CJ$71&amp;$DE17)*100,0)</f>
        <v>22.33803664496018</v>
      </c>
      <c r="CK17" s="151" cm="1">
        <f t="array" aca="1" ref="CK17" ca="1">IFERROR(INDIRECT("Yr"&amp;IF($C$5=Year1,1,IF($C$5=Year2,2,IF($C$5=Year3,3,IF($C$5=Lookups!$D$40,"All"))))&amp;"!"&amp;CK$71&amp;$DE17)*100,0)</f>
        <v>22.33803664496018</v>
      </c>
      <c r="CL17" s="151" cm="1">
        <f t="array" aca="1" ref="CL17" ca="1">IFERROR(INDIRECT("Yr"&amp;IF($C$5=Year1,1,IF($C$5=Year2,2,IF($C$5=Year3,3,IF($C$5=Lookups!$D$40,"All"))))&amp;"!"&amp;CL$71&amp;$DE17)*100,0)</f>
        <v>22.33803664496018</v>
      </c>
      <c r="CM17" s="151" cm="1">
        <f t="array" aca="1" ref="CM17" ca="1">IFERROR(INDIRECT("Yr"&amp;IF($C$5=Year1,1,IF($C$5=Year2,2,IF($C$5=Year3,3,IF($C$5=Lookups!$D$40,"All"))))&amp;"!"&amp;CM$71&amp;$DE17)*100,0)</f>
        <v>22.33803664496018</v>
      </c>
      <c r="CN17" s="151" cm="1">
        <f t="array" aca="1" ref="CN17" ca="1">IFERROR(INDIRECT("Yr"&amp;IF($C$5=Year1,1,IF($C$5=Year2,2,IF($C$5=Year3,3,IF($C$5=Lookups!$D$40,"All"))))&amp;"!"&amp;CN$71&amp;$DE17)*100,0)</f>
        <v>22.33803664496018</v>
      </c>
      <c r="CO17" s="151" cm="1">
        <f t="array" aca="1" ref="CO17" ca="1">IFERROR(INDIRECT("Yr"&amp;IF($C$5=Year1,1,IF($C$5=Year2,2,IF($C$5=Year3,3,IF($C$5=Lookups!$D$40,"All"))))&amp;"!"&amp;CO$71&amp;$DE17)*100,0)</f>
        <v>22.33803664496018</v>
      </c>
      <c r="CP17" s="151" cm="1">
        <f t="array" aca="1" ref="CP17" ca="1">IFERROR(INDIRECT("Yr"&amp;IF($C$5=Year1,1,IF($C$5=Year2,2,IF($C$5=Year3,3,IF($C$5=Lookups!$D$40,"All"))))&amp;"!"&amp;CP$71&amp;$DE17)*100,0)</f>
        <v>22.33803664496018</v>
      </c>
      <c r="CQ17" s="151" cm="1">
        <f t="array" aca="1" ref="CQ17" ca="1">IFERROR(INDIRECT("Yr"&amp;IF($C$5=Year1,1,IF($C$5=Year2,2,IF($C$5=Year3,3,IF($C$5=Lookups!$D$40,"All"))))&amp;"!"&amp;CQ$71&amp;$DE17)*100,0)</f>
        <v>22.33803664496018</v>
      </c>
      <c r="CR17" s="151" cm="1">
        <f t="array" aca="1" ref="CR17" ca="1">IFERROR(INDIRECT("Yr"&amp;IF($C$5=Year1,1,IF($C$5=Year2,2,IF($C$5=Year3,3,IF($C$5=Lookups!$D$40,"All"))))&amp;"!"&amp;CR$71&amp;$DE17)*100,0)</f>
        <v>22.33803664496018</v>
      </c>
      <c r="CS17" s="151" cm="1">
        <f t="array" aca="1" ref="CS17" ca="1">IFERROR(INDIRECT("Yr"&amp;IF($C$5=Year1,1,IF($C$5=Year2,2,IF($C$5=Year3,3,IF($C$5=Lookups!$D$40,"All"))))&amp;"!"&amp;CS$71&amp;$DE17)*100,0)</f>
        <v>22.33803664496018</v>
      </c>
      <c r="CT17" s="151" cm="1">
        <f t="array" aca="1" ref="CT17" ca="1">IFERROR(INDIRECT("Yr"&amp;IF($C$5=Year1,1,IF($C$5=Year2,2,IF($C$5=Year3,3,IF($C$5=Lookups!$D$40,"All"))))&amp;"!"&amp;CT$71&amp;$DE17)*100,0)</f>
        <v>22.33803664496018</v>
      </c>
      <c r="CU17" s="151" cm="1">
        <f t="array" aca="1" ref="CU17" ca="1">IFERROR(INDIRECT("Yr"&amp;IF($C$5=Year1,1,IF($C$5=Year2,2,IF($C$5=Year3,3,IF($C$5=Lookups!$D$40,"All"))))&amp;"!"&amp;CU$71&amp;$DE17)*100,0)</f>
        <v>22.33803664496018</v>
      </c>
      <c r="CV17" s="151" cm="1">
        <f t="array" aca="1" ref="CV17" ca="1">IFERROR(INDIRECT("Yr"&amp;IF($C$5=Year1,1,IF($C$5=Year2,2,IF($C$5=Year3,3,IF($C$5=Lookups!$D$40,"All"))))&amp;"!"&amp;CV$71&amp;$DE17)*100,0)</f>
        <v>22.33803664496018</v>
      </c>
      <c r="CW17" s="151" cm="1">
        <f t="array" aca="1" ref="CW17" ca="1">IFERROR(INDIRECT("Yr"&amp;IF($C$5=Year1,1,IF($C$5=Year2,2,IF($C$5=Year3,3,IF($C$5=Lookups!$D$40,"All"))))&amp;"!"&amp;CW$71&amp;$DE17)*100,0)</f>
        <v>22.33803664496018</v>
      </c>
      <c r="CX17" s="151" cm="1">
        <f t="array" aca="1" ref="CX17" ca="1">IFERROR(INDIRECT("Yr"&amp;IF($C$5=Year1,1,IF($C$5=Year2,2,IF($C$5=Year3,3,IF($C$5=Lookups!$D$40,"All"))))&amp;"!"&amp;CX$71&amp;$DE17)*100,0)</f>
        <v>22.33803664496018</v>
      </c>
      <c r="CY17" s="151" cm="1">
        <f t="array" aca="1" ref="CY17" ca="1">IFERROR(INDIRECT("Yr"&amp;IF($C$5=Year1,1,IF($C$5=Year2,2,IF($C$5=Year3,3,IF($C$5=Lookups!$D$40,"All"))))&amp;"!"&amp;CY$71&amp;$DE17)*100,0)</f>
        <v>22.33803664496018</v>
      </c>
      <c r="CZ17" s="151" cm="1">
        <f t="array" aca="1" ref="CZ17" ca="1">IFERROR(INDIRECT("Yr"&amp;IF($C$5=Year1,1,IF($C$5=Year2,2,IF($C$5=Year3,3,IF($C$5=Lookups!$D$40,"All"))))&amp;"!"&amp;CZ$71&amp;$DE17)*100,0)</f>
        <v>22.33803664496018</v>
      </c>
      <c r="DA17" s="151"/>
      <c r="DB17" s="151">
        <f ca="1">IF($C$5=Lookups!$D$40,-PMT(Lookups!$E$17,27,NPV(Lookups!$E$17,BZ17:CZ17),0,1),-PMT(Lookups!$E$17,25,NPV(Lookups!$E$17,BZ17:CX17),0,1))</f>
        <v>22.026494051558309</v>
      </c>
      <c r="DE17" s="515">
        <f>ROW('Yr1'!E56)+($DG$9*IF($C$4=Lookups!$D$26,0,IF($C$4=Lookups!$D$27,1,IF($C$4=Lookups!$D$28,2,IF($C$4=Lookups!$D$29,3)))))</f>
        <v>56</v>
      </c>
      <c r="DI17" s="419"/>
    </row>
    <row r="18" spans="3:116" x14ac:dyDescent="0.25">
      <c r="BV18" s="343"/>
      <c r="BW18" s="345"/>
      <c r="BX18" s="126" t="s">
        <v>26</v>
      </c>
      <c r="BY18" s="126" t="s">
        <v>409</v>
      </c>
      <c r="BZ18" s="151" cm="1">
        <f t="array" aca="1" ref="BZ18" ca="1">IFERROR(INDIRECT("Yr"&amp;IF($C$5=Year1,1,IF($C$5=Year2,2,IF($C$5=Year3,3,IF($C$5=Lookups!$D$40,"All"))))&amp;"!"&amp;BZ$71&amp;$DE18)*100,0)</f>
        <v>56.019109774755847</v>
      </c>
      <c r="CA18" s="151" cm="1">
        <f t="array" aca="1" ref="CA18" ca="1">IFERROR(INDIRECT("Yr"&amp;IF($C$5=Year1,1,IF($C$5=Year2,2,IF($C$5=Year3,3,IF($C$5=Lookups!$D$40,"All"))))&amp;"!"&amp;CA$71&amp;$DE18)*100,0)</f>
        <v>56.357049220755137</v>
      </c>
      <c r="CB18" s="151" cm="1">
        <f t="array" aca="1" ref="CB18" ca="1">IFERROR(INDIRECT("Yr"&amp;IF($C$5=Year1,1,IF($C$5=Year2,2,IF($C$5=Year3,3,IF($C$5=Lookups!$D$40,"All"))))&amp;"!"&amp;CB$71&amp;$DE18)*100,0)</f>
        <v>56.70596318225742</v>
      </c>
      <c r="CC18" s="151" cm="1">
        <f t="array" aca="1" ref="CC18" ca="1">IFERROR(INDIRECT("Yr"&amp;IF($C$5=Year1,1,IF($C$5=Year2,2,IF($C$5=Year3,3,IF($C$5=Lookups!$D$40,"All"))))&amp;"!"&amp;CC$71&amp;$DE18)*100,0)</f>
        <v>56.70596318225742</v>
      </c>
      <c r="CD18" s="151" cm="1">
        <f t="array" aca="1" ref="CD18" ca="1">IFERROR(INDIRECT("Yr"&amp;IF($C$5=Year1,1,IF($C$5=Year2,2,IF($C$5=Year3,3,IF($C$5=Lookups!$D$40,"All"))))&amp;"!"&amp;CD$71&amp;$DE18)*100,0)</f>
        <v>56.70596318225742</v>
      </c>
      <c r="CE18" s="151" cm="1">
        <f t="array" aca="1" ref="CE18" ca="1">IFERROR(INDIRECT("Yr"&amp;IF($C$5=Year1,1,IF($C$5=Year2,2,IF($C$5=Year3,3,IF($C$5=Lookups!$D$40,"All"))))&amp;"!"&amp;CE$71&amp;$DE18)*100,0)</f>
        <v>56.70596318225742</v>
      </c>
      <c r="CF18" s="151" cm="1">
        <f t="array" aca="1" ref="CF18" ca="1">IFERROR(INDIRECT("Yr"&amp;IF($C$5=Year1,1,IF($C$5=Year2,2,IF($C$5=Year3,3,IF($C$5=Lookups!$D$40,"All"))))&amp;"!"&amp;CF$71&amp;$DE18)*100,0)</f>
        <v>56.70596318225742</v>
      </c>
      <c r="CG18" s="151" cm="1">
        <f t="array" aca="1" ref="CG18" ca="1">IFERROR(INDIRECT("Yr"&amp;IF($C$5=Year1,1,IF($C$5=Year2,2,IF($C$5=Year3,3,IF($C$5=Lookups!$D$40,"All"))))&amp;"!"&amp;CG$71&amp;$DE18)*100,0)</f>
        <v>56.70596318225742</v>
      </c>
      <c r="CH18" s="151" cm="1">
        <f t="array" aca="1" ref="CH18" ca="1">IFERROR(INDIRECT("Yr"&amp;IF($C$5=Year1,1,IF($C$5=Year2,2,IF($C$5=Year3,3,IF($C$5=Lookups!$D$40,"All"))))&amp;"!"&amp;CH$71&amp;$DE18)*100,0)</f>
        <v>56.70596318225742</v>
      </c>
      <c r="CI18" s="151" cm="1">
        <f t="array" aca="1" ref="CI18" ca="1">IFERROR(INDIRECT("Yr"&amp;IF($C$5=Year1,1,IF($C$5=Year2,2,IF($C$5=Year3,3,IF($C$5=Lookups!$D$40,"All"))))&amp;"!"&amp;CI$71&amp;$DE18)*100,0)</f>
        <v>56.70596318225742</v>
      </c>
      <c r="CJ18" s="151" cm="1">
        <f t="array" aca="1" ref="CJ18" ca="1">IFERROR(INDIRECT("Yr"&amp;IF($C$5=Year1,1,IF($C$5=Year2,2,IF($C$5=Year3,3,IF($C$5=Lookups!$D$40,"All"))))&amp;"!"&amp;CJ$71&amp;$DE18)*100,0)</f>
        <v>56.70596318225742</v>
      </c>
      <c r="CK18" s="151" cm="1">
        <f t="array" aca="1" ref="CK18" ca="1">IFERROR(INDIRECT("Yr"&amp;IF($C$5=Year1,1,IF($C$5=Year2,2,IF($C$5=Year3,3,IF($C$5=Lookups!$D$40,"All"))))&amp;"!"&amp;CK$71&amp;$DE18)*100,0)</f>
        <v>56.70596318225742</v>
      </c>
      <c r="CL18" s="151" cm="1">
        <f t="array" aca="1" ref="CL18" ca="1">IFERROR(INDIRECT("Yr"&amp;IF($C$5=Year1,1,IF($C$5=Year2,2,IF($C$5=Year3,3,IF($C$5=Lookups!$D$40,"All"))))&amp;"!"&amp;CL$71&amp;$DE18)*100,0)</f>
        <v>56.70596318225742</v>
      </c>
      <c r="CM18" s="151" cm="1">
        <f t="array" aca="1" ref="CM18" ca="1">IFERROR(INDIRECT("Yr"&amp;IF($C$5=Year1,1,IF($C$5=Year2,2,IF($C$5=Year3,3,IF($C$5=Lookups!$D$40,"All"))))&amp;"!"&amp;CM$71&amp;$DE18)*100,0)</f>
        <v>56.70596318225742</v>
      </c>
      <c r="CN18" s="151" cm="1">
        <f t="array" aca="1" ref="CN18" ca="1">IFERROR(INDIRECT("Yr"&amp;IF($C$5=Year1,1,IF($C$5=Year2,2,IF($C$5=Year3,3,IF($C$5=Lookups!$D$40,"All"))))&amp;"!"&amp;CN$71&amp;$DE18)*100,0)</f>
        <v>56.70596318225742</v>
      </c>
      <c r="CO18" s="151" cm="1">
        <f t="array" aca="1" ref="CO18" ca="1">IFERROR(INDIRECT("Yr"&amp;IF($C$5=Year1,1,IF($C$5=Year2,2,IF($C$5=Year3,3,IF($C$5=Lookups!$D$40,"All"))))&amp;"!"&amp;CO$71&amp;$DE18)*100,0)</f>
        <v>56.368011618395585</v>
      </c>
      <c r="CP18" s="151" cm="1">
        <f t="array" aca="1" ref="CP18" ca="1">IFERROR(INDIRECT("Yr"&amp;IF($C$5=Year1,1,IF($C$5=Year2,2,IF($C$5=Year3,3,IF($C$5=Lookups!$D$40,"All"))))&amp;"!"&amp;CP$71&amp;$DE18)*100,0)</f>
        <v>56.029929463711383</v>
      </c>
      <c r="CQ18" s="151" cm="1">
        <f t="array" aca="1" ref="CQ18" ca="1">IFERROR(INDIRECT("Yr"&amp;IF($C$5=Year1,1,IF($C$5=Year2,2,IF($C$5=Year3,3,IF($C$5=Lookups!$D$40,"All"))))&amp;"!"&amp;CQ$71&amp;$DE18)*100,0)</f>
        <v>55.69</v>
      </c>
      <c r="CR18" s="151" cm="1">
        <f t="array" aca="1" ref="CR18" ca="1">IFERROR(INDIRECT("Yr"&amp;IF($C$5=Year1,1,IF($C$5=Year2,2,IF($C$5=Year3,3,IF($C$5=Lookups!$D$40,"All"))))&amp;"!"&amp;CR$71&amp;$DE18)*100,0)</f>
        <v>55.69</v>
      </c>
      <c r="CS18" s="151" cm="1">
        <f t="array" aca="1" ref="CS18" ca="1">IFERROR(INDIRECT("Yr"&amp;IF($C$5=Year1,1,IF($C$5=Year2,2,IF($C$5=Year3,3,IF($C$5=Lookups!$D$40,"All"))))&amp;"!"&amp;CS$71&amp;$DE18)*100,0)</f>
        <v>55.69</v>
      </c>
      <c r="CT18" s="151" cm="1">
        <f t="array" aca="1" ref="CT18" ca="1">IFERROR(INDIRECT("Yr"&amp;IF($C$5=Year1,1,IF($C$5=Year2,2,IF($C$5=Year3,3,IF($C$5=Lookups!$D$40,"All"))))&amp;"!"&amp;CT$71&amp;$DE18)*100,0)</f>
        <v>55.69</v>
      </c>
      <c r="CU18" s="151" cm="1">
        <f t="array" aca="1" ref="CU18" ca="1">IFERROR(INDIRECT("Yr"&amp;IF($C$5=Year1,1,IF($C$5=Year2,2,IF($C$5=Year3,3,IF($C$5=Lookups!$D$40,"All"))))&amp;"!"&amp;CU$71&amp;$DE18)*100,0)</f>
        <v>55.69</v>
      </c>
      <c r="CV18" s="151" cm="1">
        <f t="array" aca="1" ref="CV18" ca="1">IFERROR(INDIRECT("Yr"&amp;IF($C$5=Year1,1,IF($C$5=Year2,2,IF($C$5=Year3,3,IF($C$5=Lookups!$D$40,"All"))))&amp;"!"&amp;CV$71&amp;$DE18)*100,0)</f>
        <v>55.69</v>
      </c>
      <c r="CW18" s="151" cm="1">
        <f t="array" aca="1" ref="CW18" ca="1">IFERROR(INDIRECT("Yr"&amp;IF($C$5=Year1,1,IF($C$5=Year2,2,IF($C$5=Year3,3,IF($C$5=Lookups!$D$40,"All"))))&amp;"!"&amp;CW$71&amp;$DE18)*100,0)</f>
        <v>55.69</v>
      </c>
      <c r="CX18" s="151" cm="1">
        <f t="array" aca="1" ref="CX18" ca="1">IFERROR(INDIRECT("Yr"&amp;IF($C$5=Year1,1,IF($C$5=Year2,2,IF($C$5=Year3,3,IF($C$5=Lookups!$D$40,"All"))))&amp;"!"&amp;CX$71&amp;$DE18)*100,0)</f>
        <v>55.69</v>
      </c>
      <c r="CY18" s="151" cm="1">
        <f t="array" aca="1" ref="CY18" ca="1">IFERROR(INDIRECT("Yr"&amp;IF($C$5=Year1,1,IF($C$5=Year2,2,IF($C$5=Year3,3,IF($C$5=Lookups!$D$40,"All"))))&amp;"!"&amp;CY$71&amp;$DE18)*100,0)</f>
        <v>55.69</v>
      </c>
      <c r="CZ18" s="151" cm="1">
        <f t="array" aca="1" ref="CZ18" ca="1">IFERROR(INDIRECT("Yr"&amp;IF($C$5=Year1,1,IF($C$5=Year2,2,IF($C$5=Year3,3,IF($C$5=Lookups!$D$40,"All"))))&amp;"!"&amp;CZ$71&amp;$DE18)*100,0)</f>
        <v>55.69</v>
      </c>
      <c r="DA18" s="151"/>
      <c r="DB18" s="151">
        <f ca="1">IF($C$5=Lookups!$D$40,-PMT(Lookups!$E$17,27,NPV(Lookups!$E$17,BZ18:CZ18),0,1),-PMT(Lookups!$E$17,25,NPV(Lookups!$E$17,BZ18:CX18),0,1))</f>
        <v>55.507134576277288</v>
      </c>
      <c r="DE18" s="516">
        <f>DE17+DF18</f>
        <v>52</v>
      </c>
      <c r="DF18" s="526">
        <v>-4</v>
      </c>
      <c r="DI18" s="419"/>
    </row>
    <row r="19" spans="3:116" x14ac:dyDescent="0.25">
      <c r="BV19" s="343"/>
      <c r="BW19" s="345"/>
      <c r="BX19" s="126" t="s">
        <v>407</v>
      </c>
      <c r="BY19" s="126" t="s">
        <v>409</v>
      </c>
      <c r="BZ19" s="151" cm="1">
        <f t="array" aca="1" ref="BZ19" ca="1">IFERROR(INDIRECT("Yr"&amp;IF($C$5=Year1,1,IF($C$5=Year2,2,IF($C$5=Year3,3,IF($C$5=Lookups!$D$40,"All"))))&amp;"!"&amp;BZ$71&amp;$DE19)*100,0)</f>
        <v>-3.3213062159716276</v>
      </c>
      <c r="CA19" s="151" cm="1">
        <f t="array" aca="1" ref="CA19" ca="1">IFERROR(INDIRECT("Yr"&amp;IF($C$5=Year1,1,IF($C$5=Year2,2,IF($C$5=Year3,3,IF($C$5=Lookups!$D$40,"All"))))&amp;"!"&amp;CA$71&amp;$DE19)*100,0)</f>
        <v>-3.3431819178023034</v>
      </c>
      <c r="CB19" s="151" cm="1">
        <f t="array" aca="1" ref="CB19" ca="1">IFERROR(INDIRECT("Yr"&amp;IF($C$5=Year1,1,IF($C$5=Year2,2,IF($C$5=Year3,3,IF($C$5=Lookups!$D$40,"All"))))&amp;"!"&amp;CB$71&amp;$DE19)*100,0)</f>
        <v>-3.3657671536912739</v>
      </c>
      <c r="CC19" s="151" cm="1">
        <f t="array" aca="1" ref="CC19" ca="1">IFERROR(INDIRECT("Yr"&amp;IF($C$5=Year1,1,IF($C$5=Year2,2,IF($C$5=Year3,3,IF($C$5=Lookups!$D$40,"All"))))&amp;"!"&amp;CC$71&amp;$DE19)*100,0)</f>
        <v>-3.3657671536912739</v>
      </c>
      <c r="CD19" s="151" cm="1">
        <f t="array" aca="1" ref="CD19" ca="1">IFERROR(INDIRECT("Yr"&amp;IF($C$5=Year1,1,IF($C$5=Year2,2,IF($C$5=Year3,3,IF($C$5=Lookups!$D$40,"All"))))&amp;"!"&amp;CD$71&amp;$DE19)*100,0)</f>
        <v>-3.3657671536912739</v>
      </c>
      <c r="CE19" s="151" cm="1">
        <f t="array" aca="1" ref="CE19" ca="1">IFERROR(INDIRECT("Yr"&amp;IF($C$5=Year1,1,IF($C$5=Year2,2,IF($C$5=Year3,3,IF($C$5=Lookups!$D$40,"All"))))&amp;"!"&amp;CE$71&amp;$DE19)*100,0)</f>
        <v>-3.3657671536912739</v>
      </c>
      <c r="CF19" s="151" cm="1">
        <f t="array" aca="1" ref="CF19" ca="1">IFERROR(INDIRECT("Yr"&amp;IF($C$5=Year1,1,IF($C$5=Year2,2,IF($C$5=Year3,3,IF($C$5=Lookups!$D$40,"All"))))&amp;"!"&amp;CF$71&amp;$DE19)*100,0)</f>
        <v>-3.3657671536912739</v>
      </c>
      <c r="CG19" s="151" cm="1">
        <f t="array" aca="1" ref="CG19" ca="1">IFERROR(INDIRECT("Yr"&amp;IF($C$5=Year1,1,IF($C$5=Year2,2,IF($C$5=Year3,3,IF($C$5=Lookups!$D$40,"All"))))&amp;"!"&amp;CG$71&amp;$DE19)*100,0)</f>
        <v>-3.3657671536912739</v>
      </c>
      <c r="CH19" s="151" cm="1">
        <f t="array" aca="1" ref="CH19" ca="1">IFERROR(INDIRECT("Yr"&amp;IF($C$5=Year1,1,IF($C$5=Year2,2,IF($C$5=Year3,3,IF($C$5=Lookups!$D$40,"All"))))&amp;"!"&amp;CH$71&amp;$DE19)*100,0)</f>
        <v>-3.3657671536912739</v>
      </c>
      <c r="CI19" s="151" cm="1">
        <f t="array" aca="1" ref="CI19" ca="1">IFERROR(INDIRECT("Yr"&amp;IF($C$5=Year1,1,IF($C$5=Year2,2,IF($C$5=Year3,3,IF($C$5=Lookups!$D$40,"All"))))&amp;"!"&amp;CI$71&amp;$DE19)*100,0)</f>
        <v>-3.3657671536912739</v>
      </c>
      <c r="CJ19" s="151" cm="1">
        <f t="array" aca="1" ref="CJ19" ca="1">IFERROR(INDIRECT("Yr"&amp;IF($C$5=Year1,1,IF($C$5=Year2,2,IF($C$5=Year3,3,IF($C$5=Lookups!$D$40,"All"))))&amp;"!"&amp;CJ$71&amp;$DE19)*100,0)</f>
        <v>-3.3657671536912739</v>
      </c>
      <c r="CK19" s="151" cm="1">
        <f t="array" aca="1" ref="CK19" ca="1">IFERROR(INDIRECT("Yr"&amp;IF($C$5=Year1,1,IF($C$5=Year2,2,IF($C$5=Year3,3,IF($C$5=Lookups!$D$40,"All"))))&amp;"!"&amp;CK$71&amp;$DE19)*100,0)</f>
        <v>-3.3657671536912739</v>
      </c>
      <c r="CL19" s="151" cm="1">
        <f t="array" aca="1" ref="CL19" ca="1">IFERROR(INDIRECT("Yr"&amp;IF($C$5=Year1,1,IF($C$5=Year2,2,IF($C$5=Year3,3,IF($C$5=Lookups!$D$40,"All"))))&amp;"!"&amp;CL$71&amp;$DE19)*100,0)</f>
        <v>-3.3657671536912739</v>
      </c>
      <c r="CM19" s="151" cm="1">
        <f t="array" aca="1" ref="CM19" ca="1">IFERROR(INDIRECT("Yr"&amp;IF($C$5=Year1,1,IF($C$5=Year2,2,IF($C$5=Year3,3,IF($C$5=Lookups!$D$40,"All"))))&amp;"!"&amp;CM$71&amp;$DE19)*100,0)</f>
        <v>-3.3657671536912739</v>
      </c>
      <c r="CN19" s="151" cm="1">
        <f t="array" aca="1" ref="CN19" ca="1">IFERROR(INDIRECT("Yr"&amp;IF($C$5=Year1,1,IF($C$5=Year2,2,IF($C$5=Year3,3,IF($C$5=Lookups!$D$40,"All"))))&amp;"!"&amp;CN$71&amp;$DE19)*100,0)</f>
        <v>-3.3657671536912739</v>
      </c>
      <c r="CO19" s="151" cm="1">
        <f t="array" aca="1" ref="CO19" ca="1">IFERROR(INDIRECT("Yr"&amp;IF($C$5=Year1,1,IF($C$5=Year2,2,IF($C$5=Year3,3,IF($C$5=Lookups!$D$40,"All"))))&amp;"!"&amp;CO$71&amp;$DE19)*100,0)</f>
        <v>-3.3438885636482096</v>
      </c>
      <c r="CP19" s="151" cm="1">
        <f t="array" aca="1" ref="CP19" ca="1">IFERROR(INDIRECT("Yr"&amp;IF($C$5=Year1,1,IF($C$5=Year2,2,IF($C$5=Year3,3,IF($C$5=Lookups!$D$40,"All"))))&amp;"!"&amp;CP$71&amp;$DE19)*100,0)</f>
        <v>-3.3220036434072795</v>
      </c>
      <c r="CQ19" s="151" cm="1">
        <f t="array" aca="1" ref="CQ19" ca="1">IFERROR(INDIRECT("Yr"&amp;IF($C$5=Year1,1,IF($C$5=Year2,2,IF($C$5=Year3,3,IF($C$5=Lookups!$D$40,"All"))))&amp;"!"&amp;CQ$71&amp;$DE19)*100,0)</f>
        <v>-3.3000000000000003</v>
      </c>
      <c r="CR19" s="151" cm="1">
        <f t="array" aca="1" ref="CR19" ca="1">IFERROR(INDIRECT("Yr"&amp;IF($C$5=Year1,1,IF($C$5=Year2,2,IF($C$5=Year3,3,IF($C$5=Lookups!$D$40,"All"))))&amp;"!"&amp;CR$71&amp;$DE19)*100,0)</f>
        <v>-3.3000000000000003</v>
      </c>
      <c r="CS19" s="151" cm="1">
        <f t="array" aca="1" ref="CS19" ca="1">IFERROR(INDIRECT("Yr"&amp;IF($C$5=Year1,1,IF($C$5=Year2,2,IF($C$5=Year3,3,IF($C$5=Lookups!$D$40,"All"))))&amp;"!"&amp;CS$71&amp;$DE19)*100,0)</f>
        <v>-3.3000000000000003</v>
      </c>
      <c r="CT19" s="151" cm="1">
        <f t="array" aca="1" ref="CT19" ca="1">IFERROR(INDIRECT("Yr"&amp;IF($C$5=Year1,1,IF($C$5=Year2,2,IF($C$5=Year3,3,IF($C$5=Lookups!$D$40,"All"))))&amp;"!"&amp;CT$71&amp;$DE19)*100,0)</f>
        <v>-3.3000000000000003</v>
      </c>
      <c r="CU19" s="151" cm="1">
        <f t="array" aca="1" ref="CU19" ca="1">IFERROR(INDIRECT("Yr"&amp;IF($C$5=Year1,1,IF($C$5=Year2,2,IF($C$5=Year3,3,IF($C$5=Lookups!$D$40,"All"))))&amp;"!"&amp;CU$71&amp;$DE19)*100,0)</f>
        <v>-3.3000000000000003</v>
      </c>
      <c r="CV19" s="151" cm="1">
        <f t="array" aca="1" ref="CV19" ca="1">IFERROR(INDIRECT("Yr"&amp;IF($C$5=Year1,1,IF($C$5=Year2,2,IF($C$5=Year3,3,IF($C$5=Lookups!$D$40,"All"))))&amp;"!"&amp;CV$71&amp;$DE19)*100,0)</f>
        <v>-3.3000000000000003</v>
      </c>
      <c r="CW19" s="151" cm="1">
        <f t="array" aca="1" ref="CW19" ca="1">IFERROR(INDIRECT("Yr"&amp;IF($C$5=Year1,1,IF($C$5=Year2,2,IF($C$5=Year3,3,IF($C$5=Lookups!$D$40,"All"))))&amp;"!"&amp;CW$71&amp;$DE19)*100,0)</f>
        <v>-3.3000000000000003</v>
      </c>
      <c r="CX19" s="151" cm="1">
        <f t="array" aca="1" ref="CX19" ca="1">IFERROR(INDIRECT("Yr"&amp;IF($C$5=Year1,1,IF($C$5=Year2,2,IF($C$5=Year3,3,IF($C$5=Lookups!$D$40,"All"))))&amp;"!"&amp;CX$71&amp;$DE19)*100,0)</f>
        <v>-3.3000000000000003</v>
      </c>
      <c r="CY19" s="151" cm="1">
        <f t="array" aca="1" ref="CY19" ca="1">IFERROR(INDIRECT("Yr"&amp;IF($C$5=Year1,1,IF($C$5=Year2,2,IF($C$5=Year3,3,IF($C$5=Lookups!$D$40,"All"))))&amp;"!"&amp;CY$71&amp;$DE19)*100,0)</f>
        <v>-3.3000000000000003</v>
      </c>
      <c r="CZ19" s="151" cm="1">
        <f t="array" aca="1" ref="CZ19" ca="1">IFERROR(INDIRECT("Yr"&amp;IF($C$5=Year1,1,IF($C$5=Year2,2,IF($C$5=Year3,3,IF($C$5=Lookups!$D$40,"All"))))&amp;"!"&amp;CZ$71&amp;$DE19)*100,0)</f>
        <v>-3.3000000000000003</v>
      </c>
      <c r="DA19" s="151"/>
      <c r="DB19" s="151">
        <f ca="1">IF($C$5=Lookups!$D$40,-PMT(Lookups!$E$17,27,NPV(Lookups!$E$17,BZ19:CZ19),0,1),-PMT(Lookups!$E$17,25,NPV(Lookups!$E$17,BZ19:CX19),0,1))</f>
        <v>-3.2924165546230135</v>
      </c>
      <c r="DE19" s="516">
        <f t="shared" ref="DE19:DE21" si="2">DE18+DF19</f>
        <v>53</v>
      </c>
      <c r="DF19" s="529">
        <f>DF11</f>
        <v>1</v>
      </c>
      <c r="DI19" s="419"/>
    </row>
    <row r="20" spans="3:116" x14ac:dyDescent="0.25">
      <c r="BV20" s="343"/>
      <c r="BW20" s="345"/>
      <c r="BX20" s="126" t="s">
        <v>197</v>
      </c>
      <c r="BY20" s="126" t="s">
        <v>409</v>
      </c>
      <c r="BZ20" s="151" cm="1">
        <f t="array" aca="1" ref="BZ20" ca="1">IFERROR(INDIRECT("Yr"&amp;IF($C$5=Year1,1,IF($C$5=Year2,2,IF($C$5=Year3,3,IF($C$5=Lookups!$D$40,"All"))))&amp;"!"&amp;BZ$71&amp;$DE20)*100,0)</f>
        <v>62.011027931184273</v>
      </c>
      <c r="CA20" s="151" cm="1">
        <f t="array" aca="1" ref="CA20" ca="1">IFERROR(INDIRECT("Yr"&amp;IF($C$5=Year1,1,IF($C$5=Year2,2,IF($C$5=Year3,3,IF($C$5=Lookups!$D$40,"All"))))&amp;"!"&amp;CA$71&amp;$DE20)*100,0)</f>
        <v>61.991666971791879</v>
      </c>
      <c r="CB20" s="151" cm="1">
        <f t="array" aca="1" ref="CB20" ca="1">IFERROR(INDIRECT("Yr"&amp;IF($C$5=Year1,1,IF($C$5=Year2,2,IF($C$5=Year3,3,IF($C$5=Lookups!$D$40,"All"))))&amp;"!"&amp;CB$71&amp;$DE20)*100,0)</f>
        <v>61.971736312700166</v>
      </c>
      <c r="CC20" s="151" cm="1">
        <f t="array" aca="1" ref="CC20" ca="1">IFERROR(INDIRECT("Yr"&amp;IF($C$5=Year1,1,IF($C$5=Year2,2,IF($C$5=Year3,3,IF($C$5=Lookups!$D$40,"All"))))&amp;"!"&amp;CC$71&amp;$DE20)*100,0)</f>
        <v>61.971736312700166</v>
      </c>
      <c r="CD20" s="151" cm="1">
        <f t="array" aca="1" ref="CD20" ca="1">IFERROR(INDIRECT("Yr"&amp;IF($C$5=Year1,1,IF($C$5=Year2,2,IF($C$5=Year3,3,IF($C$5=Lookups!$D$40,"All"))))&amp;"!"&amp;CD$71&amp;$DE20)*100,0)</f>
        <v>61.971736312700166</v>
      </c>
      <c r="CE20" s="151" cm="1">
        <f t="array" aca="1" ref="CE20" ca="1">IFERROR(INDIRECT("Yr"&amp;IF($C$5=Year1,1,IF($C$5=Year2,2,IF($C$5=Year3,3,IF($C$5=Lookups!$D$40,"All"))))&amp;"!"&amp;CE$71&amp;$DE20)*100,0)</f>
        <v>61.971736312700166</v>
      </c>
      <c r="CF20" s="151" cm="1">
        <f t="array" aca="1" ref="CF20" ca="1">IFERROR(INDIRECT("Yr"&amp;IF($C$5=Year1,1,IF($C$5=Year2,2,IF($C$5=Year3,3,IF($C$5=Lookups!$D$40,"All"))))&amp;"!"&amp;CF$71&amp;$DE20)*100,0)</f>
        <v>61.971736312700166</v>
      </c>
      <c r="CG20" s="151" cm="1">
        <f t="array" aca="1" ref="CG20" ca="1">IFERROR(INDIRECT("Yr"&amp;IF($C$5=Year1,1,IF($C$5=Year2,2,IF($C$5=Year3,3,IF($C$5=Lookups!$D$40,"All"))))&amp;"!"&amp;CG$71&amp;$DE20)*100,0)</f>
        <v>61.971736312700166</v>
      </c>
      <c r="CH20" s="151" cm="1">
        <f t="array" aca="1" ref="CH20" ca="1">IFERROR(INDIRECT("Yr"&amp;IF($C$5=Year1,1,IF($C$5=Year2,2,IF($C$5=Year3,3,IF($C$5=Lookups!$D$40,"All"))))&amp;"!"&amp;CH$71&amp;$DE20)*100,0)</f>
        <v>61.971736312700166</v>
      </c>
      <c r="CI20" s="151" cm="1">
        <f t="array" aca="1" ref="CI20" ca="1">IFERROR(INDIRECT("Yr"&amp;IF($C$5=Year1,1,IF($C$5=Year2,2,IF($C$5=Year3,3,IF($C$5=Lookups!$D$40,"All"))))&amp;"!"&amp;CI$71&amp;$DE20)*100,0)</f>
        <v>61.971736312700166</v>
      </c>
      <c r="CJ20" s="151" cm="1">
        <f t="array" aca="1" ref="CJ20" ca="1">IFERROR(INDIRECT("Yr"&amp;IF($C$5=Year1,1,IF($C$5=Year2,2,IF($C$5=Year3,3,IF($C$5=Lookups!$D$40,"All"))))&amp;"!"&amp;CJ$71&amp;$DE20)*100,0)</f>
        <v>61.971736312700166</v>
      </c>
      <c r="CK20" s="151" cm="1">
        <f t="array" aca="1" ref="CK20" ca="1">IFERROR(INDIRECT("Yr"&amp;IF($C$5=Year1,1,IF($C$5=Year2,2,IF($C$5=Year3,3,IF($C$5=Lookups!$D$40,"All"))))&amp;"!"&amp;CK$71&amp;$DE20)*100,0)</f>
        <v>61.971736312700166</v>
      </c>
      <c r="CL20" s="151" cm="1">
        <f t="array" aca="1" ref="CL20" ca="1">IFERROR(INDIRECT("Yr"&amp;IF($C$5=Year1,1,IF($C$5=Year2,2,IF($C$5=Year3,3,IF($C$5=Lookups!$D$40,"All"))))&amp;"!"&amp;CL$71&amp;$DE20)*100,0)</f>
        <v>61.971736312700166</v>
      </c>
      <c r="CM20" s="151" cm="1">
        <f t="array" aca="1" ref="CM20" ca="1">IFERROR(INDIRECT("Yr"&amp;IF($C$5=Year1,1,IF($C$5=Year2,2,IF($C$5=Year3,3,IF($C$5=Lookups!$D$40,"All"))))&amp;"!"&amp;CM$71&amp;$DE20)*100,0)</f>
        <v>61.971736312700166</v>
      </c>
      <c r="CN20" s="151" cm="1">
        <f t="array" aca="1" ref="CN20" ca="1">IFERROR(INDIRECT("Yr"&amp;IF($C$5=Year1,1,IF($C$5=Year2,2,IF($C$5=Year3,3,IF($C$5=Lookups!$D$40,"All"))))&amp;"!"&amp;CN$71&amp;$DE20)*100,0)</f>
        <v>61.971736312700166</v>
      </c>
      <c r="CO20" s="151" cm="1">
        <f t="array" aca="1" ref="CO20" ca="1">IFERROR(INDIRECT("Yr"&amp;IF($C$5=Year1,1,IF($C$5=Year2,2,IF($C$5=Year3,3,IF($C$5=Lookups!$D$40,"All"))))&amp;"!"&amp;CO$71&amp;$DE20)*100,0)</f>
        <v>61.991216110176197</v>
      </c>
      <c r="CP20" s="151" cm="1">
        <f t="array" aca="1" ref="CP20" ca="1">IFERROR(INDIRECT("Yr"&amp;IF($C$5=Year1,1,IF($C$5=Year2,2,IF($C$5=Year3,3,IF($C$5=Lookups!$D$40,"All"))))&amp;"!"&amp;CP$71&amp;$DE20)*100,0)</f>
        <v>62.010584085874157</v>
      </c>
      <c r="CQ20" s="151" cm="1">
        <f t="array" aca="1" ref="CQ20" ca="1">IFERROR(INDIRECT("Yr"&amp;IF($C$5=Year1,1,IF($C$5=Year2,2,IF($C$5=Year3,3,IF($C$5=Lookups!$D$40,"All"))))&amp;"!"&amp;CQ$71&amp;$DE20)*100,0)</f>
        <v>62.029999999999994</v>
      </c>
      <c r="CR20" s="151" cm="1">
        <f t="array" aca="1" ref="CR20" ca="1">IFERROR(INDIRECT("Yr"&amp;IF($C$5=Year1,1,IF($C$5=Year2,2,IF($C$5=Year3,3,IF($C$5=Lookups!$D$40,"All"))))&amp;"!"&amp;CR$71&amp;$DE20)*100,0)</f>
        <v>62.029999999999994</v>
      </c>
      <c r="CS20" s="151" cm="1">
        <f t="array" aca="1" ref="CS20" ca="1">IFERROR(INDIRECT("Yr"&amp;IF($C$5=Year1,1,IF($C$5=Year2,2,IF($C$5=Year3,3,IF($C$5=Lookups!$D$40,"All"))))&amp;"!"&amp;CS$71&amp;$DE20)*100,0)</f>
        <v>62.029999999999994</v>
      </c>
      <c r="CT20" s="151" cm="1">
        <f t="array" aca="1" ref="CT20" ca="1">IFERROR(INDIRECT("Yr"&amp;IF($C$5=Year1,1,IF($C$5=Year2,2,IF($C$5=Year3,3,IF($C$5=Lookups!$D$40,"All"))))&amp;"!"&amp;CT$71&amp;$DE20)*100,0)</f>
        <v>62.029999999999994</v>
      </c>
      <c r="CU20" s="151" cm="1">
        <f t="array" aca="1" ref="CU20" ca="1">IFERROR(INDIRECT("Yr"&amp;IF($C$5=Year1,1,IF($C$5=Year2,2,IF($C$5=Year3,3,IF($C$5=Lookups!$D$40,"All"))))&amp;"!"&amp;CU$71&amp;$DE20)*100,0)</f>
        <v>62.029999999999994</v>
      </c>
      <c r="CV20" s="151" cm="1">
        <f t="array" aca="1" ref="CV20" ca="1">IFERROR(INDIRECT("Yr"&amp;IF($C$5=Year1,1,IF($C$5=Year2,2,IF($C$5=Year3,3,IF($C$5=Lookups!$D$40,"All"))))&amp;"!"&amp;CV$71&amp;$DE20)*100,0)</f>
        <v>62.029999999999994</v>
      </c>
      <c r="CW20" s="151" cm="1">
        <f t="array" aca="1" ref="CW20" ca="1">IFERROR(INDIRECT("Yr"&amp;IF($C$5=Year1,1,IF($C$5=Year2,2,IF($C$5=Year3,3,IF($C$5=Lookups!$D$40,"All"))))&amp;"!"&amp;CW$71&amp;$DE20)*100,0)</f>
        <v>62.029999999999994</v>
      </c>
      <c r="CX20" s="151" cm="1">
        <f t="array" aca="1" ref="CX20" ca="1">IFERROR(INDIRECT("Yr"&amp;IF($C$5=Year1,1,IF($C$5=Year2,2,IF($C$5=Year3,3,IF($C$5=Lookups!$D$40,"All"))))&amp;"!"&amp;CX$71&amp;$DE20)*100,0)</f>
        <v>62.029999999999994</v>
      </c>
      <c r="CY20" s="151" cm="1">
        <f t="array" aca="1" ref="CY20" ca="1">IFERROR(INDIRECT("Yr"&amp;IF($C$5=Year1,1,IF($C$5=Year2,2,IF($C$5=Year3,3,IF($C$5=Lookups!$D$40,"All"))))&amp;"!"&amp;CY$71&amp;$DE20)*100,0)</f>
        <v>62.029999999999994</v>
      </c>
      <c r="CZ20" s="151" cm="1">
        <f t="array" aca="1" ref="CZ20" ca="1">IFERROR(INDIRECT("Yr"&amp;IF($C$5=Year1,1,IF($C$5=Year2,2,IF($C$5=Year3,3,IF($C$5=Lookups!$D$40,"All"))))&amp;"!"&amp;CZ$71&amp;$DE20)*100,0)</f>
        <v>62.029999999999994</v>
      </c>
      <c r="DA20" s="151"/>
      <c r="DB20" s="151">
        <f ca="1">IF($C$5=Lookups!$D$40,-PMT(Lookups!$E$17,27,NPV(Lookups!$E$17,BZ20:CZ20),0,1),-PMT(Lookups!$E$17,25,NPV(Lookups!$E$17,BZ20:CX20),0,1))</f>
        <v>61.130827825231037</v>
      </c>
      <c r="DE20" s="516">
        <f t="shared" si="2"/>
        <v>54</v>
      </c>
      <c r="DF20" s="526">
        <v>1</v>
      </c>
      <c r="DI20" s="419"/>
    </row>
    <row r="21" spans="3:116" x14ac:dyDescent="0.25">
      <c r="BV21" s="343"/>
      <c r="BW21" s="345"/>
      <c r="BX21" s="126" t="s">
        <v>405</v>
      </c>
      <c r="BY21" s="126" t="s">
        <v>409</v>
      </c>
      <c r="BZ21" s="151" cm="1">
        <f t="array" aca="1" ref="BZ21" ca="1">IFERROR(INDIRECT("Yr"&amp;IF($C$5=Year1,1,IF($C$5=Year2,2,IF($C$5=Year3,3,IF($C$5=Lookups!$D$40,"All"))))&amp;"!"&amp;BZ$71&amp;$DE21)*100,0)</f>
        <v>6.468639699185835</v>
      </c>
      <c r="CA21" s="151" cm="1">
        <f t="array" aca="1" ref="CA21" ca="1">IFERROR(INDIRECT("Yr"&amp;IF($C$5=Year1,1,IF($C$5=Year2,2,IF($C$5=Year3,3,IF($C$5=Lookups!$D$40,"All"))))&amp;"!"&amp;CA$71&amp;$DE21)*100,0)</f>
        <v>6.6654138295917704</v>
      </c>
      <c r="CB21" s="151" cm="1">
        <f t="array" aca="1" ref="CB21" ca="1">IFERROR(INDIRECT("Yr"&amp;IF($C$5=Year1,1,IF($C$5=Year2,2,IF($C$5=Year3,3,IF($C$5=Lookups!$D$40,"All"))))&amp;"!"&amp;CB$71&amp;$DE21)*100,0)</f>
        <v>6.8785811560470815</v>
      </c>
      <c r="CC21" s="151" cm="1">
        <f t="array" aca="1" ref="CC21" ca="1">IFERROR(INDIRECT("Yr"&amp;IF($C$5=Year1,1,IF($C$5=Year2,2,IF($C$5=Year3,3,IF($C$5=Lookups!$D$40,"All"))))&amp;"!"&amp;CC$71&amp;$DE21)*100,0)</f>
        <v>0</v>
      </c>
      <c r="CD21" s="151" cm="1">
        <f t="array" aca="1" ref="CD21" ca="1">IFERROR(INDIRECT("Yr"&amp;IF($C$5=Year1,1,IF($C$5=Year2,2,IF($C$5=Year3,3,IF($C$5=Lookups!$D$40,"All"))))&amp;"!"&amp;CD$71&amp;$DE21)*100,0)</f>
        <v>0</v>
      </c>
      <c r="CE21" s="151" cm="1">
        <f t="array" aca="1" ref="CE21" ca="1">IFERROR(INDIRECT("Yr"&amp;IF($C$5=Year1,1,IF($C$5=Year2,2,IF($C$5=Year3,3,IF($C$5=Lookups!$D$40,"All"))))&amp;"!"&amp;CE$71&amp;$DE21)*100,0)</f>
        <v>0</v>
      </c>
      <c r="CF21" s="151" cm="1">
        <f t="array" aca="1" ref="CF21" ca="1">IFERROR(INDIRECT("Yr"&amp;IF($C$5=Year1,1,IF($C$5=Year2,2,IF($C$5=Year3,3,IF($C$5=Lookups!$D$40,"All"))))&amp;"!"&amp;CF$71&amp;$DE21)*100,0)</f>
        <v>0</v>
      </c>
      <c r="CG21" s="151" cm="1">
        <f t="array" aca="1" ref="CG21" ca="1">IFERROR(INDIRECT("Yr"&amp;IF($C$5=Year1,1,IF($C$5=Year2,2,IF($C$5=Year3,3,IF($C$5=Lookups!$D$40,"All"))))&amp;"!"&amp;CG$71&amp;$DE21)*100,0)</f>
        <v>0</v>
      </c>
      <c r="CH21" s="151" cm="1">
        <f t="array" aca="1" ref="CH21" ca="1">IFERROR(INDIRECT("Yr"&amp;IF($C$5=Year1,1,IF($C$5=Year2,2,IF($C$5=Year3,3,IF($C$5=Lookups!$D$40,"All"))))&amp;"!"&amp;CH$71&amp;$DE21)*100,0)</f>
        <v>0</v>
      </c>
      <c r="CI21" s="151" cm="1">
        <f t="array" aca="1" ref="CI21" ca="1">IFERROR(INDIRECT("Yr"&amp;IF($C$5=Year1,1,IF($C$5=Year2,2,IF($C$5=Year3,3,IF($C$5=Lookups!$D$40,"All"))))&amp;"!"&amp;CI$71&amp;$DE21)*100,0)</f>
        <v>0</v>
      </c>
      <c r="CJ21" s="151" cm="1">
        <f t="array" aca="1" ref="CJ21" ca="1">IFERROR(INDIRECT("Yr"&amp;IF($C$5=Year1,1,IF($C$5=Year2,2,IF($C$5=Year3,3,IF($C$5=Lookups!$D$40,"All"))))&amp;"!"&amp;CJ$71&amp;$DE21)*100,0)</f>
        <v>0</v>
      </c>
      <c r="CK21" s="151" cm="1">
        <f t="array" aca="1" ref="CK21" ca="1">IFERROR(INDIRECT("Yr"&amp;IF($C$5=Year1,1,IF($C$5=Year2,2,IF($C$5=Year3,3,IF($C$5=Lookups!$D$40,"All"))))&amp;"!"&amp;CK$71&amp;$DE21)*100,0)</f>
        <v>0</v>
      </c>
      <c r="CL21" s="151" cm="1">
        <f t="array" aca="1" ref="CL21" ca="1">IFERROR(INDIRECT("Yr"&amp;IF($C$5=Year1,1,IF($C$5=Year2,2,IF($C$5=Year3,3,IF($C$5=Lookups!$D$40,"All"))))&amp;"!"&amp;CL$71&amp;$DE21)*100,0)</f>
        <v>0</v>
      </c>
      <c r="CM21" s="151" cm="1">
        <f t="array" aca="1" ref="CM21" ca="1">IFERROR(INDIRECT("Yr"&amp;IF($C$5=Year1,1,IF($C$5=Year2,2,IF($C$5=Year3,3,IF($C$5=Lookups!$D$40,"All"))))&amp;"!"&amp;CM$71&amp;$DE21)*100,0)</f>
        <v>0</v>
      </c>
      <c r="CN21" s="151" cm="1">
        <f t="array" aca="1" ref="CN21" ca="1">IFERROR(INDIRECT("Yr"&amp;IF($C$5=Year1,1,IF($C$5=Year2,2,IF($C$5=Year3,3,IF($C$5=Lookups!$D$40,"All"))))&amp;"!"&amp;CN$71&amp;$DE21)*100,0)</f>
        <v>0</v>
      </c>
      <c r="CO21" s="151" cm="1">
        <f t="array" aca="1" ref="CO21" ca="1">IFERROR(INDIRECT("Yr"&amp;IF($C$5=Year1,1,IF($C$5=Year2,2,IF($C$5=Year3,3,IF($C$5=Lookups!$D$40,"All"))))&amp;"!"&amp;CO$71&amp;$DE21)*100,0)</f>
        <v>0</v>
      </c>
      <c r="CP21" s="151" cm="1">
        <f t="array" aca="1" ref="CP21" ca="1">IFERROR(INDIRECT("Yr"&amp;IF($C$5=Year1,1,IF($C$5=Year2,2,IF($C$5=Year3,3,IF($C$5=Lookups!$D$40,"All"))))&amp;"!"&amp;CP$71&amp;$DE21)*100,0)</f>
        <v>0</v>
      </c>
      <c r="CQ21" s="151" cm="1">
        <f t="array" aca="1" ref="CQ21" ca="1">IFERROR(INDIRECT("Yr"&amp;IF($C$5=Year1,1,IF($C$5=Year2,2,IF($C$5=Year3,3,IF($C$5=Lookups!$D$40,"All"))))&amp;"!"&amp;CQ$71&amp;$DE21)*100,0)</f>
        <v>0</v>
      </c>
      <c r="CR21" s="151" cm="1">
        <f t="array" aca="1" ref="CR21" ca="1">IFERROR(INDIRECT("Yr"&amp;IF($C$5=Year1,1,IF($C$5=Year2,2,IF($C$5=Year3,3,IF($C$5=Lookups!$D$40,"All"))))&amp;"!"&amp;CR$71&amp;$DE21)*100,0)</f>
        <v>0</v>
      </c>
      <c r="CS21" s="151" cm="1">
        <f t="array" aca="1" ref="CS21" ca="1">IFERROR(INDIRECT("Yr"&amp;IF($C$5=Year1,1,IF($C$5=Year2,2,IF($C$5=Year3,3,IF($C$5=Lookups!$D$40,"All"))))&amp;"!"&amp;CS$71&amp;$DE21)*100,0)</f>
        <v>0</v>
      </c>
      <c r="CT21" s="151" cm="1">
        <f t="array" aca="1" ref="CT21" ca="1">IFERROR(INDIRECT("Yr"&amp;IF($C$5=Year1,1,IF($C$5=Year2,2,IF($C$5=Year3,3,IF($C$5=Lookups!$D$40,"All"))))&amp;"!"&amp;CT$71&amp;$DE21)*100,0)</f>
        <v>0</v>
      </c>
      <c r="CU21" s="151" cm="1">
        <f t="array" aca="1" ref="CU21" ca="1">IFERROR(INDIRECT("Yr"&amp;IF($C$5=Year1,1,IF($C$5=Year2,2,IF($C$5=Year3,3,IF($C$5=Lookups!$D$40,"All"))))&amp;"!"&amp;CU$71&amp;$DE21)*100,0)</f>
        <v>0</v>
      </c>
      <c r="CV21" s="151" cm="1">
        <f t="array" aca="1" ref="CV21" ca="1">IFERROR(INDIRECT("Yr"&amp;IF($C$5=Year1,1,IF($C$5=Year2,2,IF($C$5=Year3,3,IF($C$5=Lookups!$D$40,"All"))))&amp;"!"&amp;CV$71&amp;$DE21)*100,0)</f>
        <v>0</v>
      </c>
      <c r="CW21" s="151" cm="1">
        <f t="array" aca="1" ref="CW21" ca="1">IFERROR(INDIRECT("Yr"&amp;IF($C$5=Year1,1,IF($C$5=Year2,2,IF($C$5=Year3,3,IF($C$5=Lookups!$D$40,"All"))))&amp;"!"&amp;CW$71&amp;$DE21)*100,0)</f>
        <v>0</v>
      </c>
      <c r="CX21" s="151" cm="1">
        <f t="array" aca="1" ref="CX21" ca="1">IFERROR(INDIRECT("Yr"&amp;IF($C$5=Year1,1,IF($C$5=Year2,2,IF($C$5=Year3,3,IF($C$5=Lookups!$D$40,"All"))))&amp;"!"&amp;CX$71&amp;$DE21)*100,0)</f>
        <v>0</v>
      </c>
      <c r="CY21" s="151" cm="1">
        <f t="array" aca="1" ref="CY21" ca="1">IFERROR(INDIRECT("Yr"&amp;IF($C$5=Year1,1,IF($C$5=Year2,2,IF($C$5=Year3,3,IF($C$5=Lookups!$D$40,"All"))))&amp;"!"&amp;CY$71&amp;$DE21)*100,0)</f>
        <v>0</v>
      </c>
      <c r="CZ21" s="151" cm="1">
        <f t="array" aca="1" ref="CZ21" ca="1">IFERROR(INDIRECT("Yr"&amp;IF($C$5=Year1,1,IF($C$5=Year2,2,IF($C$5=Year3,3,IF($C$5=Lookups!$D$40,"All"))))&amp;"!"&amp;CZ$71&amp;$DE21)*100,0)</f>
        <v>0</v>
      </c>
      <c r="DA21" s="151"/>
      <c r="DB21" s="151">
        <f ca="1">IF($C$5=Lookups!$D$40,-PMT(Lookups!$E$17,27,NPV(Lookups!$E$17,BZ21:CZ21),0,1),-PMT(Lookups!$E$17,25,NPV(Lookups!$E$17,BZ21:CX21),0,1))</f>
        <v>0.85969511791399111</v>
      </c>
      <c r="DE21" s="516">
        <f t="shared" si="2"/>
        <v>55</v>
      </c>
      <c r="DF21" s="526">
        <v>1</v>
      </c>
      <c r="DI21" s="419"/>
    </row>
    <row r="22" spans="3:116" x14ac:dyDescent="0.25">
      <c r="BV22" s="343"/>
      <c r="BW22" s="159" t="s">
        <v>72</v>
      </c>
      <c r="BX22" s="126"/>
      <c r="BY22" s="126"/>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E22" s="527"/>
    </row>
    <row r="23" spans="3:116" ht="18.75" x14ac:dyDescent="0.3">
      <c r="C23" s="92" t="str">
        <f>"Total Rates: "&amp;Lookups!$D$24</f>
        <v>Total Rates: Alternative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K23" s="92" t="str">
        <f>"Change in Rates: "&amp;Lookups!$D$24&amp;" v "&amp;Lookups!$D$22</f>
        <v>Change in Rates: 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V23" s="343"/>
      <c r="BW23" s="345"/>
      <c r="BX23" s="155" t="s">
        <v>224</v>
      </c>
      <c r="BY23" s="126" t="s">
        <v>409</v>
      </c>
      <c r="BZ23" s="151" cm="1">
        <f t="array" aca="1" ref="BZ23" ca="1">IFERROR(INDIRECT("Yr"&amp;IF($C$5=Year1,1,IF($C$5=Year2,2,IF($C$5=Year3,3,IF($C$5=Lookups!$D$40,"All"))))&amp;"!"&amp;BZ$71&amp;$DE23)*100,0)</f>
        <v>-0.44658182562492177</v>
      </c>
      <c r="CA23" s="151" cm="1">
        <f t="array" aca="1" ref="CA23" ca="1">IFERROR(INDIRECT("Yr"&amp;IF($C$5=Year1,1,IF($C$5=Year2,2,IF($C$5=Year3,3,IF($C$5=Lookups!$D$40,"All"))))&amp;"!"&amp;CA$71&amp;$DE23)*100,0)</f>
        <v>-0.904615884081305</v>
      </c>
      <c r="CB23" s="151" cm="1">
        <f t="array" aca="1" ref="CB23" ca="1">IFERROR(INDIRECT("Yr"&amp;IF($C$5=Year1,1,IF($C$5=Year2,2,IF($C$5=Year3,3,IF($C$5=Lookups!$D$40,"All"))))&amp;"!"&amp;CB$71&amp;$DE23)*100,0)</f>
        <v>-1.3773079449666557</v>
      </c>
      <c r="CC23" s="151" cm="1">
        <f t="array" aca="1" ref="CC23" ca="1">IFERROR(INDIRECT("Yr"&amp;IF($C$5=Year1,1,IF($C$5=Year2,2,IF($C$5=Year3,3,IF($C$5=Lookups!$D$40,"All"))))&amp;"!"&amp;CC$71&amp;$DE23)*100,0)</f>
        <v>-1.3773079449666557</v>
      </c>
      <c r="CD23" s="151" cm="1">
        <f t="array" aca="1" ref="CD23" ca="1">IFERROR(INDIRECT("Yr"&amp;IF($C$5=Year1,1,IF($C$5=Year2,2,IF($C$5=Year3,3,IF($C$5=Lookups!$D$40,"All"))))&amp;"!"&amp;CD$71&amp;$DE23)*100,0)</f>
        <v>-1.3773079449666557</v>
      </c>
      <c r="CE23" s="151" cm="1">
        <f t="array" aca="1" ref="CE23" ca="1">IFERROR(INDIRECT("Yr"&amp;IF($C$5=Year1,1,IF($C$5=Year2,2,IF($C$5=Year3,3,IF($C$5=Lookups!$D$40,"All"))))&amp;"!"&amp;CE$71&amp;$DE23)*100,0)</f>
        <v>-1.3773079449666557</v>
      </c>
      <c r="CF23" s="151" cm="1">
        <f t="array" aca="1" ref="CF23" ca="1">IFERROR(INDIRECT("Yr"&amp;IF($C$5=Year1,1,IF($C$5=Year2,2,IF($C$5=Year3,3,IF($C$5=Lookups!$D$40,"All"))))&amp;"!"&amp;CF$71&amp;$DE23)*100,0)</f>
        <v>-1.3773079449666557</v>
      </c>
      <c r="CG23" s="151" cm="1">
        <f t="array" aca="1" ref="CG23" ca="1">IFERROR(INDIRECT("Yr"&amp;IF($C$5=Year1,1,IF($C$5=Year2,2,IF($C$5=Year3,3,IF($C$5=Lookups!$D$40,"All"))))&amp;"!"&amp;CG$71&amp;$DE23)*100,0)</f>
        <v>-1.3773079449666557</v>
      </c>
      <c r="CH23" s="151" cm="1">
        <f t="array" aca="1" ref="CH23" ca="1">IFERROR(INDIRECT("Yr"&amp;IF($C$5=Year1,1,IF($C$5=Year2,2,IF($C$5=Year3,3,IF($C$5=Lookups!$D$40,"All"))))&amp;"!"&amp;CH$71&amp;$DE23)*100,0)</f>
        <v>-1.3773079449666557</v>
      </c>
      <c r="CI23" s="151" cm="1">
        <f t="array" aca="1" ref="CI23" ca="1">IFERROR(INDIRECT("Yr"&amp;IF($C$5=Year1,1,IF($C$5=Year2,2,IF($C$5=Year3,3,IF($C$5=Lookups!$D$40,"All"))))&amp;"!"&amp;CI$71&amp;$DE23)*100,0)</f>
        <v>-1.3773079449666557</v>
      </c>
      <c r="CJ23" s="151" cm="1">
        <f t="array" aca="1" ref="CJ23" ca="1">IFERROR(INDIRECT("Yr"&amp;IF($C$5=Year1,1,IF($C$5=Year2,2,IF($C$5=Year3,3,IF($C$5=Lookups!$D$40,"All"))))&amp;"!"&amp;CJ$71&amp;$DE23)*100,0)</f>
        <v>-1.3773079449666557</v>
      </c>
      <c r="CK23" s="151" cm="1">
        <f t="array" aca="1" ref="CK23" ca="1">IFERROR(INDIRECT("Yr"&amp;IF($C$5=Year1,1,IF($C$5=Year2,2,IF($C$5=Year3,3,IF($C$5=Lookups!$D$40,"All"))))&amp;"!"&amp;CK$71&amp;$DE23)*100,0)</f>
        <v>-1.3773079449666557</v>
      </c>
      <c r="CL23" s="151" cm="1">
        <f t="array" aca="1" ref="CL23" ca="1">IFERROR(INDIRECT("Yr"&amp;IF($C$5=Year1,1,IF($C$5=Year2,2,IF($C$5=Year3,3,IF($C$5=Lookups!$D$40,"All"))))&amp;"!"&amp;CL$71&amp;$DE23)*100,0)</f>
        <v>-1.3773079449666557</v>
      </c>
      <c r="CM23" s="151" cm="1">
        <f t="array" aca="1" ref="CM23" ca="1">IFERROR(INDIRECT("Yr"&amp;IF($C$5=Year1,1,IF($C$5=Year2,2,IF($C$5=Year3,3,IF($C$5=Lookups!$D$40,"All"))))&amp;"!"&amp;CM$71&amp;$DE23)*100,0)</f>
        <v>-1.3773079449666557</v>
      </c>
      <c r="CN23" s="151" cm="1">
        <f t="array" aca="1" ref="CN23" ca="1">IFERROR(INDIRECT("Yr"&amp;IF($C$5=Year1,1,IF($C$5=Year2,2,IF($C$5=Year3,3,IF($C$5=Lookups!$D$40,"All"))))&amp;"!"&amp;CN$71&amp;$DE23)*100,0)</f>
        <v>-1.3773079449666557</v>
      </c>
      <c r="CO23" s="151" cm="1">
        <f t="array" aca="1" ref="CO23" ca="1">IFERROR(INDIRECT("Yr"&amp;IF($C$5=Year1,1,IF($C$5=Year2,2,IF($C$5=Year3,3,IF($C$5=Lookups!$D$40,"All"))))&amp;"!"&amp;CO$71&amp;$DE23)*100,0)</f>
        <v>-0.91873675050363013</v>
      </c>
      <c r="CP23" s="151" cm="1">
        <f t="array" aca="1" ref="CP23" ca="1">IFERROR(INDIRECT("Yr"&amp;IF($C$5=Year1,1,IF($C$5=Year2,2,IF($C$5=Year3,3,IF($C$5=Lookups!$D$40,"All"))))&amp;"!"&amp;CP$71&amp;$DE23)*100,0)</f>
        <v>-0.46051409379465524</v>
      </c>
      <c r="CQ23" s="151" cm="1">
        <f t="array" aca="1" ref="CQ23" ca="1">IFERROR(INDIRECT("Yr"&amp;IF($C$5=Year1,1,IF($C$5=Year2,2,IF($C$5=Year3,3,IF($C$5=Lookups!$D$40,"All"))))&amp;"!"&amp;CQ$71&amp;$DE23)*100,0)</f>
        <v>0</v>
      </c>
      <c r="CR23" s="151" cm="1">
        <f t="array" aca="1" ref="CR23" ca="1">IFERROR(INDIRECT("Yr"&amp;IF($C$5=Year1,1,IF($C$5=Year2,2,IF($C$5=Year3,3,IF($C$5=Lookups!$D$40,"All"))))&amp;"!"&amp;CR$71&amp;$DE23)*100,0)</f>
        <v>0</v>
      </c>
      <c r="CS23" s="151" cm="1">
        <f t="array" aca="1" ref="CS23" ca="1">IFERROR(INDIRECT("Yr"&amp;IF($C$5=Year1,1,IF($C$5=Year2,2,IF($C$5=Year3,3,IF($C$5=Lookups!$D$40,"All"))))&amp;"!"&amp;CS$71&amp;$DE23)*100,0)</f>
        <v>0</v>
      </c>
      <c r="CT23" s="151" cm="1">
        <f t="array" aca="1" ref="CT23" ca="1">IFERROR(INDIRECT("Yr"&amp;IF($C$5=Year1,1,IF($C$5=Year2,2,IF($C$5=Year3,3,IF($C$5=Lookups!$D$40,"All"))))&amp;"!"&amp;CT$71&amp;$DE23)*100,0)</f>
        <v>0</v>
      </c>
      <c r="CU23" s="151" cm="1">
        <f t="array" aca="1" ref="CU23" ca="1">IFERROR(INDIRECT("Yr"&amp;IF($C$5=Year1,1,IF($C$5=Year2,2,IF($C$5=Year3,3,IF($C$5=Lookups!$D$40,"All"))))&amp;"!"&amp;CU$71&amp;$DE23)*100,0)</f>
        <v>0</v>
      </c>
      <c r="CV23" s="151" cm="1">
        <f t="array" aca="1" ref="CV23" ca="1">IFERROR(INDIRECT("Yr"&amp;IF($C$5=Year1,1,IF($C$5=Year2,2,IF($C$5=Year3,3,IF($C$5=Lookups!$D$40,"All"))))&amp;"!"&amp;CV$71&amp;$DE23)*100,0)</f>
        <v>0</v>
      </c>
      <c r="CW23" s="151" cm="1">
        <f t="array" aca="1" ref="CW23" ca="1">IFERROR(INDIRECT("Yr"&amp;IF($C$5=Year1,1,IF($C$5=Year2,2,IF($C$5=Year3,3,IF($C$5=Lookups!$D$40,"All"))))&amp;"!"&amp;CW$71&amp;$DE23)*100,0)</f>
        <v>0</v>
      </c>
      <c r="CX23" s="151" cm="1">
        <f t="array" aca="1" ref="CX23" ca="1">IFERROR(INDIRECT("Yr"&amp;IF($C$5=Year1,1,IF($C$5=Year2,2,IF($C$5=Year3,3,IF($C$5=Lookups!$D$40,"All"))))&amp;"!"&amp;CX$71&amp;$DE23)*100,0)</f>
        <v>0</v>
      </c>
      <c r="CY23" s="151" cm="1">
        <f t="array" aca="1" ref="CY23" ca="1">IFERROR(INDIRECT("Yr"&amp;IF($C$5=Year1,1,IF($C$5=Year2,2,IF($C$5=Year3,3,IF($C$5=Lookups!$D$40,"All"))))&amp;"!"&amp;CY$71&amp;$DE23)*100,0)</f>
        <v>0</v>
      </c>
      <c r="CZ23" s="151" cm="1">
        <f t="array" aca="1" ref="CZ23" ca="1">IFERROR(INDIRECT("Yr"&amp;IF($C$5=Year1,1,IF($C$5=Year2,2,IF($C$5=Year3,3,IF($C$5=Lookups!$D$40,"All"))))&amp;"!"&amp;CZ$71&amp;$DE23)*100,0)</f>
        <v>0</v>
      </c>
      <c r="DA23" s="151"/>
      <c r="DB23" s="151"/>
      <c r="DE23" s="515">
        <f>ROW('Yr1'!E44)+($DG$9*IF($C$4=Lookups!$D$26,0,IF($C$4=Lookups!$D$27,1,IF($C$4=Lookups!$D$28,2,IF($C$4=Lookups!$D$29,3)))))</f>
        <v>44</v>
      </c>
      <c r="DK23" s="421"/>
      <c r="DL23" s="421"/>
    </row>
    <row r="24" spans="3:116" x14ac:dyDescent="0.25">
      <c r="BV24" s="343"/>
      <c r="BW24" s="345"/>
      <c r="BX24" s="155" t="s">
        <v>412</v>
      </c>
      <c r="BY24" s="126" t="s">
        <v>409</v>
      </c>
      <c r="BZ24" s="151" cm="1">
        <f t="array" aca="1" ref="BZ24" ca="1">IFERROR(INDIRECT("Yr"&amp;IF($C$5=Year1,1,IF($C$5=Year2,2,IF($C$5=Year3,3,IF($C$5=Lookups!$D$40,"All"))))&amp;"!"&amp;BZ$71&amp;$DE24)*100,0)</f>
        <v>-3.0448760838062847E-2</v>
      </c>
      <c r="CA24" s="151" cm="1">
        <f t="array" aca="1" ref="CA24" ca="1">IFERROR(INDIRECT("Yr"&amp;IF($C$5=Year1,1,IF($C$5=Year2,2,IF($C$5=Year3,3,IF($C$5=Lookups!$D$40,"All"))))&amp;"!"&amp;CA$71&amp;$DE24)*100,0)</f>
        <v>-6.1678355732816242E-2</v>
      </c>
      <c r="CB24" s="151" cm="1">
        <f t="array" aca="1" ref="CB24" ca="1">IFERROR(INDIRECT("Yr"&amp;IF($C$5=Year1,1,IF($C$5=Year2,2,IF($C$5=Year3,3,IF($C$5=Lookups!$D$40,"All"))))&amp;"!"&amp;CB$71&amp;$DE24)*100,0)</f>
        <v>-9.3907359884090172E-2</v>
      </c>
      <c r="CC24" s="151" cm="1">
        <f t="array" aca="1" ref="CC24" ca="1">IFERROR(INDIRECT("Yr"&amp;IF($C$5=Year1,1,IF($C$5=Year2,2,IF($C$5=Year3,3,IF($C$5=Lookups!$D$40,"All"))))&amp;"!"&amp;CC$71&amp;$DE24)*100,0)</f>
        <v>-9.3907359884090172E-2</v>
      </c>
      <c r="CD24" s="151" cm="1">
        <f t="array" aca="1" ref="CD24" ca="1">IFERROR(INDIRECT("Yr"&amp;IF($C$5=Year1,1,IF($C$5=Year2,2,IF($C$5=Year3,3,IF($C$5=Lookups!$D$40,"All"))))&amp;"!"&amp;CD$71&amp;$DE24)*100,0)</f>
        <v>-9.3907359884090172E-2</v>
      </c>
      <c r="CE24" s="151" cm="1">
        <f t="array" aca="1" ref="CE24" ca="1">IFERROR(INDIRECT("Yr"&amp;IF($C$5=Year1,1,IF($C$5=Year2,2,IF($C$5=Year3,3,IF($C$5=Lookups!$D$40,"All"))))&amp;"!"&amp;CE$71&amp;$DE24)*100,0)</f>
        <v>-9.3907359884090172E-2</v>
      </c>
      <c r="CF24" s="151" cm="1">
        <f t="array" aca="1" ref="CF24" ca="1">IFERROR(INDIRECT("Yr"&amp;IF($C$5=Year1,1,IF($C$5=Year2,2,IF($C$5=Year3,3,IF($C$5=Lookups!$D$40,"All"))))&amp;"!"&amp;CF$71&amp;$DE24)*100,0)</f>
        <v>-9.3907359884090172E-2</v>
      </c>
      <c r="CG24" s="151" cm="1">
        <f t="array" aca="1" ref="CG24" ca="1">IFERROR(INDIRECT("Yr"&amp;IF($C$5=Year1,1,IF($C$5=Year2,2,IF($C$5=Year3,3,IF($C$5=Lookups!$D$40,"All"))))&amp;"!"&amp;CG$71&amp;$DE24)*100,0)</f>
        <v>-9.3907359884090172E-2</v>
      </c>
      <c r="CH24" s="151" cm="1">
        <f t="array" aca="1" ref="CH24" ca="1">IFERROR(INDIRECT("Yr"&amp;IF($C$5=Year1,1,IF($C$5=Year2,2,IF($C$5=Year3,3,IF($C$5=Lookups!$D$40,"All"))))&amp;"!"&amp;CH$71&amp;$DE24)*100,0)</f>
        <v>-9.3907359884090172E-2</v>
      </c>
      <c r="CI24" s="151" cm="1">
        <f t="array" aca="1" ref="CI24" ca="1">IFERROR(INDIRECT("Yr"&amp;IF($C$5=Year1,1,IF($C$5=Year2,2,IF($C$5=Year3,3,IF($C$5=Lookups!$D$40,"All"))))&amp;"!"&amp;CI$71&amp;$DE24)*100,0)</f>
        <v>-9.3907359884090172E-2</v>
      </c>
      <c r="CJ24" s="151" cm="1">
        <f t="array" aca="1" ref="CJ24" ca="1">IFERROR(INDIRECT("Yr"&amp;IF($C$5=Year1,1,IF($C$5=Year2,2,IF($C$5=Year3,3,IF($C$5=Lookups!$D$40,"All"))))&amp;"!"&amp;CJ$71&amp;$DE24)*100,0)</f>
        <v>-9.3907359884090172E-2</v>
      </c>
      <c r="CK24" s="151" cm="1">
        <f t="array" aca="1" ref="CK24" ca="1">IFERROR(INDIRECT("Yr"&amp;IF($C$5=Year1,1,IF($C$5=Year2,2,IF($C$5=Year3,3,IF($C$5=Lookups!$D$40,"All"))))&amp;"!"&amp;CK$71&amp;$DE24)*100,0)</f>
        <v>-9.3907359884090172E-2</v>
      </c>
      <c r="CL24" s="151" cm="1">
        <f t="array" aca="1" ref="CL24" ca="1">IFERROR(INDIRECT("Yr"&amp;IF($C$5=Year1,1,IF($C$5=Year2,2,IF($C$5=Year3,3,IF($C$5=Lookups!$D$40,"All"))))&amp;"!"&amp;CL$71&amp;$DE24)*100,0)</f>
        <v>-9.3907359884090172E-2</v>
      </c>
      <c r="CM24" s="151" cm="1">
        <f t="array" aca="1" ref="CM24" ca="1">IFERROR(INDIRECT("Yr"&amp;IF($C$5=Year1,1,IF($C$5=Year2,2,IF($C$5=Year3,3,IF($C$5=Lookups!$D$40,"All"))))&amp;"!"&amp;CM$71&amp;$DE24)*100,0)</f>
        <v>-9.3907359884090172E-2</v>
      </c>
      <c r="CN24" s="151" cm="1">
        <f t="array" aca="1" ref="CN24" ca="1">IFERROR(INDIRECT("Yr"&amp;IF($C$5=Year1,1,IF($C$5=Year2,2,IF($C$5=Year3,3,IF($C$5=Lookups!$D$40,"All"))))&amp;"!"&amp;CN$71&amp;$DE24)*100,0)</f>
        <v>-9.3907359884090172E-2</v>
      </c>
      <c r="CO24" s="151" cm="1">
        <f t="array" aca="1" ref="CO24" ca="1">IFERROR(INDIRECT("Yr"&amp;IF($C$5=Year1,1,IF($C$5=Year2,2,IF($C$5=Year3,3,IF($C$5=Lookups!$D$40,"All"))))&amp;"!"&amp;CO$71&amp;$DE24)*100,0)</f>
        <v>-6.2641142079792947E-2</v>
      </c>
      <c r="CP24" s="151" cm="1">
        <f t="array" aca="1" ref="CP24" ca="1">IFERROR(INDIRECT("Yr"&amp;IF($C$5=Year1,1,IF($C$5=Year2,2,IF($C$5=Year3,3,IF($C$5=Lookups!$D$40,"All"))))&amp;"!"&amp;CP$71&amp;$DE24)*100,0)</f>
        <v>-3.139868821327195E-2</v>
      </c>
      <c r="CQ24" s="151" cm="1">
        <f t="array" aca="1" ref="CQ24" ca="1">IFERROR(INDIRECT("Yr"&amp;IF($C$5=Year1,1,IF($C$5=Year2,2,IF($C$5=Year3,3,IF($C$5=Lookups!$D$40,"All"))))&amp;"!"&amp;CQ$71&amp;$DE24)*100,0)</f>
        <v>0</v>
      </c>
      <c r="CR24" s="151" cm="1">
        <f t="array" aca="1" ref="CR24" ca="1">IFERROR(INDIRECT("Yr"&amp;IF($C$5=Year1,1,IF($C$5=Year2,2,IF($C$5=Year3,3,IF($C$5=Lookups!$D$40,"All"))))&amp;"!"&amp;CR$71&amp;$DE24)*100,0)</f>
        <v>0</v>
      </c>
      <c r="CS24" s="151" cm="1">
        <f t="array" aca="1" ref="CS24" ca="1">IFERROR(INDIRECT("Yr"&amp;IF($C$5=Year1,1,IF($C$5=Year2,2,IF($C$5=Year3,3,IF($C$5=Lookups!$D$40,"All"))))&amp;"!"&amp;CS$71&amp;$DE24)*100,0)</f>
        <v>0</v>
      </c>
      <c r="CT24" s="151" cm="1">
        <f t="array" aca="1" ref="CT24" ca="1">IFERROR(INDIRECT("Yr"&amp;IF($C$5=Year1,1,IF($C$5=Year2,2,IF($C$5=Year3,3,IF($C$5=Lookups!$D$40,"All"))))&amp;"!"&amp;CT$71&amp;$DE24)*100,0)</f>
        <v>0</v>
      </c>
      <c r="CU24" s="151" cm="1">
        <f t="array" aca="1" ref="CU24" ca="1">IFERROR(INDIRECT("Yr"&amp;IF($C$5=Year1,1,IF($C$5=Year2,2,IF($C$5=Year3,3,IF($C$5=Lookups!$D$40,"All"))))&amp;"!"&amp;CU$71&amp;$DE24)*100,0)</f>
        <v>0</v>
      </c>
      <c r="CV24" s="151" cm="1">
        <f t="array" aca="1" ref="CV24" ca="1">IFERROR(INDIRECT("Yr"&amp;IF($C$5=Year1,1,IF($C$5=Year2,2,IF($C$5=Year3,3,IF($C$5=Lookups!$D$40,"All"))))&amp;"!"&amp;CV$71&amp;$DE24)*100,0)</f>
        <v>0</v>
      </c>
      <c r="CW24" s="151" cm="1">
        <f t="array" aca="1" ref="CW24" ca="1">IFERROR(INDIRECT("Yr"&amp;IF($C$5=Year1,1,IF($C$5=Year2,2,IF($C$5=Year3,3,IF($C$5=Lookups!$D$40,"All"))))&amp;"!"&amp;CW$71&amp;$DE24)*100,0)</f>
        <v>0</v>
      </c>
      <c r="CX24" s="151" cm="1">
        <f t="array" aca="1" ref="CX24" ca="1">IFERROR(INDIRECT("Yr"&amp;IF($C$5=Year1,1,IF($C$5=Year2,2,IF($C$5=Year3,3,IF($C$5=Lookups!$D$40,"All"))))&amp;"!"&amp;CX$71&amp;$DE24)*100,0)</f>
        <v>0</v>
      </c>
      <c r="CY24" s="151" cm="1">
        <f t="array" aca="1" ref="CY24" ca="1">IFERROR(INDIRECT("Yr"&amp;IF($C$5=Year1,1,IF($C$5=Year2,2,IF($C$5=Year3,3,IF($C$5=Lookups!$D$40,"All"))))&amp;"!"&amp;CY$71&amp;$DE24)*100,0)</f>
        <v>0</v>
      </c>
      <c r="CZ24" s="151" cm="1">
        <f t="array" aca="1" ref="CZ24" ca="1">IFERROR(INDIRECT("Yr"&amp;IF($C$5=Year1,1,IF($C$5=Year2,2,IF($C$5=Year3,3,IF($C$5=Lookups!$D$40,"All"))))&amp;"!"&amp;CZ$71&amp;$DE24)*100,0)</f>
        <v>0</v>
      </c>
      <c r="DA24" s="151"/>
      <c r="DB24" s="151"/>
      <c r="DE24" s="516">
        <f>DE23+DF24</f>
        <v>45</v>
      </c>
      <c r="DF24" s="526">
        <v>1</v>
      </c>
      <c r="DK24" s="421"/>
      <c r="DL24" s="421"/>
    </row>
    <row r="25" spans="3:116" x14ac:dyDescent="0.25">
      <c r="BV25" s="343"/>
      <c r="BW25" s="345"/>
      <c r="BX25" s="155" t="s">
        <v>175</v>
      </c>
      <c r="BY25" s="126" t="s">
        <v>409</v>
      </c>
      <c r="BZ25" s="151" cm="1">
        <f t="array" aca="1" ref="BZ25" ca="1">IFERROR(INDIRECT("Yr"&amp;IF($C$5=Year1,1,IF($C$5=Year2,2,IF($C$5=Year3,3,IF($C$5=Lookups!$D$40,"All"))))&amp;"!"&amp;BZ$71&amp;$DE25)*100,0)</f>
        <v>-1.8972068815722599E-2</v>
      </c>
      <c r="CA25" s="151" cm="1">
        <f t="array" aca="1" ref="CA25" ca="1">IFERROR(INDIRECT("Yr"&amp;IF($C$5=Year1,1,IF($C$5=Year2,2,IF($C$5=Year3,3,IF($C$5=Lookups!$D$40,"All"))))&amp;"!"&amp;CA$71&amp;$DE25)*100,0)</f>
        <v>-3.8333028208114649E-2</v>
      </c>
      <c r="CB25" s="151" cm="1">
        <f t="array" aca="1" ref="CB25" ca="1">IFERROR(INDIRECT("Yr"&amp;IF($C$5=Year1,1,IF($C$5=Year2,2,IF($C$5=Year3,3,IF($C$5=Lookups!$D$40,"All"))))&amp;"!"&amp;CB$71&amp;$DE25)*100,0)</f>
        <v>-5.8263687299827435E-2</v>
      </c>
      <c r="CC25" s="151" cm="1">
        <f t="array" aca="1" ref="CC25" ca="1">IFERROR(INDIRECT("Yr"&amp;IF($C$5=Year1,1,IF($C$5=Year2,2,IF($C$5=Year3,3,IF($C$5=Lookups!$D$40,"All"))))&amp;"!"&amp;CC$71&amp;$DE25)*100,0)</f>
        <v>-5.8263687299827435E-2</v>
      </c>
      <c r="CD25" s="151" cm="1">
        <f t="array" aca="1" ref="CD25" ca="1">IFERROR(INDIRECT("Yr"&amp;IF($C$5=Year1,1,IF($C$5=Year2,2,IF($C$5=Year3,3,IF($C$5=Lookups!$D$40,"All"))))&amp;"!"&amp;CD$71&amp;$DE25)*100,0)</f>
        <v>-5.8263687299827435E-2</v>
      </c>
      <c r="CE25" s="151" cm="1">
        <f t="array" aca="1" ref="CE25" ca="1">IFERROR(INDIRECT("Yr"&amp;IF($C$5=Year1,1,IF($C$5=Year2,2,IF($C$5=Year3,3,IF($C$5=Lookups!$D$40,"All"))))&amp;"!"&amp;CE$71&amp;$DE25)*100,0)</f>
        <v>-5.8263687299827435E-2</v>
      </c>
      <c r="CF25" s="151" cm="1">
        <f t="array" aca="1" ref="CF25" ca="1">IFERROR(INDIRECT("Yr"&amp;IF($C$5=Year1,1,IF($C$5=Year2,2,IF($C$5=Year3,3,IF($C$5=Lookups!$D$40,"All"))))&amp;"!"&amp;CF$71&amp;$DE25)*100,0)</f>
        <v>-5.8263687299827435E-2</v>
      </c>
      <c r="CG25" s="151" cm="1">
        <f t="array" aca="1" ref="CG25" ca="1">IFERROR(INDIRECT("Yr"&amp;IF($C$5=Year1,1,IF($C$5=Year2,2,IF($C$5=Year3,3,IF($C$5=Lookups!$D$40,"All"))))&amp;"!"&amp;CG$71&amp;$DE25)*100,0)</f>
        <v>-5.8263687299827435E-2</v>
      </c>
      <c r="CH25" s="151" cm="1">
        <f t="array" aca="1" ref="CH25" ca="1">IFERROR(INDIRECT("Yr"&amp;IF($C$5=Year1,1,IF($C$5=Year2,2,IF($C$5=Year3,3,IF($C$5=Lookups!$D$40,"All"))))&amp;"!"&amp;CH$71&amp;$DE25)*100,0)</f>
        <v>-5.8263687299827435E-2</v>
      </c>
      <c r="CI25" s="151" cm="1">
        <f t="array" aca="1" ref="CI25" ca="1">IFERROR(INDIRECT("Yr"&amp;IF($C$5=Year1,1,IF($C$5=Year2,2,IF($C$5=Year3,3,IF($C$5=Lookups!$D$40,"All"))))&amp;"!"&amp;CI$71&amp;$DE25)*100,0)</f>
        <v>-5.8263687299827435E-2</v>
      </c>
      <c r="CJ25" s="151" cm="1">
        <f t="array" aca="1" ref="CJ25" ca="1">IFERROR(INDIRECT("Yr"&amp;IF($C$5=Year1,1,IF($C$5=Year2,2,IF($C$5=Year3,3,IF($C$5=Lookups!$D$40,"All"))))&amp;"!"&amp;CJ$71&amp;$DE25)*100,0)</f>
        <v>-5.8263687299827435E-2</v>
      </c>
      <c r="CK25" s="151" cm="1">
        <f t="array" aca="1" ref="CK25" ca="1">IFERROR(INDIRECT("Yr"&amp;IF($C$5=Year1,1,IF($C$5=Year2,2,IF($C$5=Year3,3,IF($C$5=Lookups!$D$40,"All"))))&amp;"!"&amp;CK$71&amp;$DE25)*100,0)</f>
        <v>-5.8263687299827435E-2</v>
      </c>
      <c r="CL25" s="151" cm="1">
        <f t="array" aca="1" ref="CL25" ca="1">IFERROR(INDIRECT("Yr"&amp;IF($C$5=Year1,1,IF($C$5=Year2,2,IF($C$5=Year3,3,IF($C$5=Lookups!$D$40,"All"))))&amp;"!"&amp;CL$71&amp;$DE25)*100,0)</f>
        <v>-5.8263687299827435E-2</v>
      </c>
      <c r="CM25" s="151" cm="1">
        <f t="array" aca="1" ref="CM25" ca="1">IFERROR(INDIRECT("Yr"&amp;IF($C$5=Year1,1,IF($C$5=Year2,2,IF($C$5=Year3,3,IF($C$5=Lookups!$D$40,"All"))))&amp;"!"&amp;CM$71&amp;$DE25)*100,0)</f>
        <v>-5.8263687299827435E-2</v>
      </c>
      <c r="CN25" s="151" cm="1">
        <f t="array" aca="1" ref="CN25" ca="1">IFERROR(INDIRECT("Yr"&amp;IF($C$5=Year1,1,IF($C$5=Year2,2,IF($C$5=Year3,3,IF($C$5=Lookups!$D$40,"All"))))&amp;"!"&amp;CN$71&amp;$DE25)*100,0)</f>
        <v>-5.8263687299827435E-2</v>
      </c>
      <c r="CO25" s="151" cm="1">
        <f t="array" aca="1" ref="CO25" ca="1">IFERROR(INDIRECT("Yr"&amp;IF($C$5=Year1,1,IF($C$5=Year2,2,IF($C$5=Year3,3,IF($C$5=Lookups!$D$40,"All"))))&amp;"!"&amp;CO$71&amp;$DE25)*100,0)</f>
        <v>-3.8783889823796401E-2</v>
      </c>
      <c r="CP25" s="151" cm="1">
        <f t="array" aca="1" ref="CP25" ca="1">IFERROR(INDIRECT("Yr"&amp;IF($C$5=Year1,1,IF($C$5=Year2,2,IF($C$5=Year3,3,IF($C$5=Lookups!$D$40,"All"))))&amp;"!"&amp;CP$71&amp;$DE25)*100,0)</f>
        <v>-1.9415914125841035E-2</v>
      </c>
      <c r="CQ25" s="151" cm="1">
        <f t="array" aca="1" ref="CQ25" ca="1">IFERROR(INDIRECT("Yr"&amp;IF($C$5=Year1,1,IF($C$5=Year2,2,IF($C$5=Year3,3,IF($C$5=Lookups!$D$40,"All"))))&amp;"!"&amp;CQ$71&amp;$DE25)*100,0)</f>
        <v>0</v>
      </c>
      <c r="CR25" s="151" cm="1">
        <f t="array" aca="1" ref="CR25" ca="1">IFERROR(INDIRECT("Yr"&amp;IF($C$5=Year1,1,IF($C$5=Year2,2,IF($C$5=Year3,3,IF($C$5=Lookups!$D$40,"All"))))&amp;"!"&amp;CR$71&amp;$DE25)*100,0)</f>
        <v>0</v>
      </c>
      <c r="CS25" s="151" cm="1">
        <f t="array" aca="1" ref="CS25" ca="1">IFERROR(INDIRECT("Yr"&amp;IF($C$5=Year1,1,IF($C$5=Year2,2,IF($C$5=Year3,3,IF($C$5=Lookups!$D$40,"All"))))&amp;"!"&amp;CS$71&amp;$DE25)*100,0)</f>
        <v>0</v>
      </c>
      <c r="CT25" s="151" cm="1">
        <f t="array" aca="1" ref="CT25" ca="1">IFERROR(INDIRECT("Yr"&amp;IF($C$5=Year1,1,IF($C$5=Year2,2,IF($C$5=Year3,3,IF($C$5=Lookups!$D$40,"All"))))&amp;"!"&amp;CT$71&amp;$DE25)*100,0)</f>
        <v>0</v>
      </c>
      <c r="CU25" s="151" cm="1">
        <f t="array" aca="1" ref="CU25" ca="1">IFERROR(INDIRECT("Yr"&amp;IF($C$5=Year1,1,IF($C$5=Year2,2,IF($C$5=Year3,3,IF($C$5=Lookups!$D$40,"All"))))&amp;"!"&amp;CU$71&amp;$DE25)*100,0)</f>
        <v>0</v>
      </c>
      <c r="CV25" s="151" cm="1">
        <f t="array" aca="1" ref="CV25" ca="1">IFERROR(INDIRECT("Yr"&amp;IF($C$5=Year1,1,IF($C$5=Year2,2,IF($C$5=Year3,3,IF($C$5=Lookups!$D$40,"All"))))&amp;"!"&amp;CV$71&amp;$DE25)*100,0)</f>
        <v>0</v>
      </c>
      <c r="CW25" s="151" cm="1">
        <f t="array" aca="1" ref="CW25" ca="1">IFERROR(INDIRECT("Yr"&amp;IF($C$5=Year1,1,IF($C$5=Year2,2,IF($C$5=Year3,3,IF($C$5=Lookups!$D$40,"All"))))&amp;"!"&amp;CW$71&amp;$DE25)*100,0)</f>
        <v>0</v>
      </c>
      <c r="CX25" s="151" cm="1">
        <f t="array" aca="1" ref="CX25" ca="1">IFERROR(INDIRECT("Yr"&amp;IF($C$5=Year1,1,IF($C$5=Year2,2,IF($C$5=Year3,3,IF($C$5=Lookups!$D$40,"All"))))&amp;"!"&amp;CX$71&amp;$DE25)*100,0)</f>
        <v>0</v>
      </c>
      <c r="CY25" s="151" cm="1">
        <f t="array" aca="1" ref="CY25" ca="1">IFERROR(INDIRECT("Yr"&amp;IF($C$5=Year1,1,IF($C$5=Year2,2,IF($C$5=Year3,3,IF($C$5=Lookups!$D$40,"All"))))&amp;"!"&amp;CY$71&amp;$DE25)*100,0)</f>
        <v>0</v>
      </c>
      <c r="CZ25" s="151" cm="1">
        <f t="array" aca="1" ref="CZ25" ca="1">IFERROR(INDIRECT("Yr"&amp;IF($C$5=Year1,1,IF($C$5=Year2,2,IF($C$5=Year3,3,IF($C$5=Lookups!$D$40,"All"))))&amp;"!"&amp;CZ$71&amp;$DE25)*100,0)</f>
        <v>0</v>
      </c>
      <c r="DA25" s="151"/>
      <c r="DB25" s="151"/>
      <c r="DE25" s="516">
        <f>DE24+DF25</f>
        <v>46</v>
      </c>
      <c r="DF25" s="526">
        <v>1</v>
      </c>
      <c r="DK25" s="421"/>
      <c r="DL25" s="421"/>
    </row>
    <row r="26" spans="3:116" x14ac:dyDescent="0.25">
      <c r="BV26" s="343"/>
      <c r="BW26" s="345"/>
      <c r="BX26" s="334" t="s">
        <v>405</v>
      </c>
      <c r="BY26" s="335" t="s">
        <v>409</v>
      </c>
      <c r="BZ26" s="151" cm="1">
        <f t="array" aca="1" ref="BZ26" ca="1">IFERROR(INDIRECT("Yr"&amp;IF($C$5=Year1,1,IF($C$5=Year2,2,IF($C$5=Year3,3,IF($C$5=Lookups!$D$40,"All"))))&amp;"!"&amp;BZ$71&amp;$DE26)*100,0)</f>
        <v>6.468639699185835</v>
      </c>
      <c r="CA26" s="151" cm="1">
        <f t="array" aca="1" ref="CA26" ca="1">IFERROR(INDIRECT("Yr"&amp;IF($C$5=Year1,1,IF($C$5=Year2,2,IF($C$5=Year3,3,IF($C$5=Lookups!$D$40,"All"))))&amp;"!"&amp;CA$71&amp;$DE26)*100,0)</f>
        <v>6.6654138295917704</v>
      </c>
      <c r="CB26" s="151" cm="1">
        <f t="array" aca="1" ref="CB26" ca="1">IFERROR(INDIRECT("Yr"&amp;IF($C$5=Year1,1,IF($C$5=Year2,2,IF($C$5=Year3,3,IF($C$5=Lookups!$D$40,"All"))))&amp;"!"&amp;CB$71&amp;$DE26)*100,0)</f>
        <v>6.8785811560470815</v>
      </c>
      <c r="CC26" s="151" cm="1">
        <f t="array" aca="1" ref="CC26" ca="1">IFERROR(INDIRECT("Yr"&amp;IF($C$5=Year1,1,IF($C$5=Year2,2,IF($C$5=Year3,3,IF($C$5=Lookups!$D$40,"All"))))&amp;"!"&amp;CC$71&amp;$DE26)*100,0)</f>
        <v>0</v>
      </c>
      <c r="CD26" s="151" cm="1">
        <f t="array" aca="1" ref="CD26" ca="1">IFERROR(INDIRECT("Yr"&amp;IF($C$5=Year1,1,IF($C$5=Year2,2,IF($C$5=Year3,3,IF($C$5=Lookups!$D$40,"All"))))&amp;"!"&amp;CD$71&amp;$DE26)*100,0)</f>
        <v>0</v>
      </c>
      <c r="CE26" s="151" cm="1">
        <f t="array" aca="1" ref="CE26" ca="1">IFERROR(INDIRECT("Yr"&amp;IF($C$5=Year1,1,IF($C$5=Year2,2,IF($C$5=Year3,3,IF($C$5=Lookups!$D$40,"All"))))&amp;"!"&amp;CE$71&amp;$DE26)*100,0)</f>
        <v>0</v>
      </c>
      <c r="CF26" s="151" cm="1">
        <f t="array" aca="1" ref="CF26" ca="1">IFERROR(INDIRECT("Yr"&amp;IF($C$5=Year1,1,IF($C$5=Year2,2,IF($C$5=Year3,3,IF($C$5=Lookups!$D$40,"All"))))&amp;"!"&amp;CF$71&amp;$DE26)*100,0)</f>
        <v>0</v>
      </c>
      <c r="CG26" s="151" cm="1">
        <f t="array" aca="1" ref="CG26" ca="1">IFERROR(INDIRECT("Yr"&amp;IF($C$5=Year1,1,IF($C$5=Year2,2,IF($C$5=Year3,3,IF($C$5=Lookups!$D$40,"All"))))&amp;"!"&amp;CG$71&amp;$DE26)*100,0)</f>
        <v>0</v>
      </c>
      <c r="CH26" s="151" cm="1">
        <f t="array" aca="1" ref="CH26" ca="1">IFERROR(INDIRECT("Yr"&amp;IF($C$5=Year1,1,IF($C$5=Year2,2,IF($C$5=Year3,3,IF($C$5=Lookups!$D$40,"All"))))&amp;"!"&amp;CH$71&amp;$DE26)*100,0)</f>
        <v>0</v>
      </c>
      <c r="CI26" s="151" cm="1">
        <f t="array" aca="1" ref="CI26" ca="1">IFERROR(INDIRECT("Yr"&amp;IF($C$5=Year1,1,IF($C$5=Year2,2,IF($C$5=Year3,3,IF($C$5=Lookups!$D$40,"All"))))&amp;"!"&amp;CI$71&amp;$DE26)*100,0)</f>
        <v>0</v>
      </c>
      <c r="CJ26" s="151" cm="1">
        <f t="array" aca="1" ref="CJ26" ca="1">IFERROR(INDIRECT("Yr"&amp;IF($C$5=Year1,1,IF($C$5=Year2,2,IF($C$5=Year3,3,IF($C$5=Lookups!$D$40,"All"))))&amp;"!"&amp;CJ$71&amp;$DE26)*100,0)</f>
        <v>0</v>
      </c>
      <c r="CK26" s="151" cm="1">
        <f t="array" aca="1" ref="CK26" ca="1">IFERROR(INDIRECT("Yr"&amp;IF($C$5=Year1,1,IF($C$5=Year2,2,IF($C$5=Year3,3,IF($C$5=Lookups!$D$40,"All"))))&amp;"!"&amp;CK$71&amp;$DE26)*100,0)</f>
        <v>0</v>
      </c>
      <c r="CL26" s="151" cm="1">
        <f t="array" aca="1" ref="CL26" ca="1">IFERROR(INDIRECT("Yr"&amp;IF($C$5=Year1,1,IF($C$5=Year2,2,IF($C$5=Year3,3,IF($C$5=Lookups!$D$40,"All"))))&amp;"!"&amp;CL$71&amp;$DE26)*100,0)</f>
        <v>0</v>
      </c>
      <c r="CM26" s="151" cm="1">
        <f t="array" aca="1" ref="CM26" ca="1">IFERROR(INDIRECT("Yr"&amp;IF($C$5=Year1,1,IF($C$5=Year2,2,IF($C$5=Year3,3,IF($C$5=Lookups!$D$40,"All"))))&amp;"!"&amp;CM$71&amp;$DE26)*100,0)</f>
        <v>0</v>
      </c>
      <c r="CN26" s="151" cm="1">
        <f t="array" aca="1" ref="CN26" ca="1">IFERROR(INDIRECT("Yr"&amp;IF($C$5=Year1,1,IF($C$5=Year2,2,IF($C$5=Year3,3,IF($C$5=Lookups!$D$40,"All"))))&amp;"!"&amp;CN$71&amp;$DE26)*100,0)</f>
        <v>0</v>
      </c>
      <c r="CO26" s="151" cm="1">
        <f t="array" aca="1" ref="CO26" ca="1">IFERROR(INDIRECT("Yr"&amp;IF($C$5=Year1,1,IF($C$5=Year2,2,IF($C$5=Year3,3,IF($C$5=Lookups!$D$40,"All"))))&amp;"!"&amp;CO$71&amp;$DE26)*100,0)</f>
        <v>0</v>
      </c>
      <c r="CP26" s="151" cm="1">
        <f t="array" aca="1" ref="CP26" ca="1">IFERROR(INDIRECT("Yr"&amp;IF($C$5=Year1,1,IF($C$5=Year2,2,IF($C$5=Year3,3,IF($C$5=Lookups!$D$40,"All"))))&amp;"!"&amp;CP$71&amp;$DE26)*100,0)</f>
        <v>0</v>
      </c>
      <c r="CQ26" s="151" cm="1">
        <f t="array" aca="1" ref="CQ26" ca="1">IFERROR(INDIRECT("Yr"&amp;IF($C$5=Year1,1,IF($C$5=Year2,2,IF($C$5=Year3,3,IF($C$5=Lookups!$D$40,"All"))))&amp;"!"&amp;CQ$71&amp;$DE26)*100,0)</f>
        <v>0</v>
      </c>
      <c r="CR26" s="151" cm="1">
        <f t="array" aca="1" ref="CR26" ca="1">IFERROR(INDIRECT("Yr"&amp;IF($C$5=Year1,1,IF($C$5=Year2,2,IF($C$5=Year3,3,IF($C$5=Lookups!$D$40,"All"))))&amp;"!"&amp;CR$71&amp;$DE26)*100,0)</f>
        <v>0</v>
      </c>
      <c r="CS26" s="151" cm="1">
        <f t="array" aca="1" ref="CS26" ca="1">IFERROR(INDIRECT("Yr"&amp;IF($C$5=Year1,1,IF($C$5=Year2,2,IF($C$5=Year3,3,IF($C$5=Lookups!$D$40,"All"))))&amp;"!"&amp;CS$71&amp;$DE26)*100,0)</f>
        <v>0</v>
      </c>
      <c r="CT26" s="151" cm="1">
        <f t="array" aca="1" ref="CT26" ca="1">IFERROR(INDIRECT("Yr"&amp;IF($C$5=Year1,1,IF($C$5=Year2,2,IF($C$5=Year3,3,IF($C$5=Lookups!$D$40,"All"))))&amp;"!"&amp;CT$71&amp;$DE26)*100,0)</f>
        <v>0</v>
      </c>
      <c r="CU26" s="151" cm="1">
        <f t="array" aca="1" ref="CU26" ca="1">IFERROR(INDIRECT("Yr"&amp;IF($C$5=Year1,1,IF($C$5=Year2,2,IF($C$5=Year3,3,IF($C$5=Lookups!$D$40,"All"))))&amp;"!"&amp;CU$71&amp;$DE26)*100,0)</f>
        <v>0</v>
      </c>
      <c r="CV26" s="151" cm="1">
        <f t="array" aca="1" ref="CV26" ca="1">IFERROR(INDIRECT("Yr"&amp;IF($C$5=Year1,1,IF($C$5=Year2,2,IF($C$5=Year3,3,IF($C$5=Lookups!$D$40,"All"))))&amp;"!"&amp;CV$71&amp;$DE26)*100,0)</f>
        <v>0</v>
      </c>
      <c r="CW26" s="151" cm="1">
        <f t="array" aca="1" ref="CW26" ca="1">IFERROR(INDIRECT("Yr"&amp;IF($C$5=Year1,1,IF($C$5=Year2,2,IF($C$5=Year3,3,IF($C$5=Lookups!$D$40,"All"))))&amp;"!"&amp;CW$71&amp;$DE26)*100,0)</f>
        <v>0</v>
      </c>
      <c r="CX26" s="151" cm="1">
        <f t="array" aca="1" ref="CX26" ca="1">IFERROR(INDIRECT("Yr"&amp;IF($C$5=Year1,1,IF($C$5=Year2,2,IF($C$5=Year3,3,IF($C$5=Lookups!$D$40,"All"))))&amp;"!"&amp;CX$71&amp;$DE26)*100,0)</f>
        <v>0</v>
      </c>
      <c r="CY26" s="151" cm="1">
        <f t="array" aca="1" ref="CY26" ca="1">IFERROR(INDIRECT("Yr"&amp;IF($C$5=Year1,1,IF($C$5=Year2,2,IF($C$5=Year3,3,IF($C$5=Lookups!$D$40,"All"))))&amp;"!"&amp;CY$71&amp;$DE26)*100,0)</f>
        <v>0</v>
      </c>
      <c r="CZ26" s="151" cm="1">
        <f t="array" aca="1" ref="CZ26" ca="1">IFERROR(INDIRECT("Yr"&amp;IF($C$5=Year1,1,IF($C$5=Year2,2,IF($C$5=Year3,3,IF($C$5=Lookups!$D$40,"All"))))&amp;"!"&amp;CZ$71&amp;$DE26)*100,0)</f>
        <v>0</v>
      </c>
      <c r="DA26" s="151"/>
      <c r="DB26" s="151"/>
      <c r="DE26" s="516">
        <f t="shared" ref="DE26:DE27" si="3">DE25+DF26</f>
        <v>49</v>
      </c>
      <c r="DF26" s="526">
        <v>3</v>
      </c>
      <c r="DK26" s="421"/>
      <c r="DL26" s="421"/>
    </row>
    <row r="27" spans="3:116" x14ac:dyDescent="0.25">
      <c r="BV27" s="343"/>
      <c r="BW27" s="345"/>
      <c r="BX27" s="336" t="s">
        <v>69</v>
      </c>
      <c r="BY27" s="337" t="s">
        <v>409</v>
      </c>
      <c r="BZ27" s="472" cm="1">
        <f t="array" aca="1" ref="BZ27" ca="1">IFERROR(INDIRECT("Yr"&amp;IF($C$5=Year1,1,IF($C$5=Year2,2,IF($C$5=Year3,3,IF($C$5=Lookups!$D$40,"All"))))&amp;"!"&amp;BZ$71&amp;$DE27)*100,0)</f>
        <v>0.3593632064576413</v>
      </c>
      <c r="CA27" s="472" cm="1">
        <f t="array" aca="1" ref="CA27" ca="1">IFERROR(INDIRECT("Yr"&amp;IF($C$5=Year1,1,IF($C$5=Year2,2,IF($C$5=Year3,3,IF($C$5=Lookups!$D$40,"All"))))&amp;"!"&amp;CA$71&amp;$DE27)*100,0)</f>
        <v>0.7279309133829015</v>
      </c>
      <c r="CB27" s="472" cm="1">
        <f t="array" aca="1" ref="CB27" ca="1">IFERROR(INDIRECT("Yr"&amp;IF($C$5=Year1,1,IF($C$5=Year2,2,IF($C$5=Year3,3,IF($C$5=Lookups!$D$40,"All"))))&amp;"!"&amp;CB$71&amp;$DE27)*100,0)</f>
        <v>1.1080355905574657</v>
      </c>
      <c r="CC27" s="472" cm="1">
        <f t="array" aca="1" ref="CC27" ca="1">IFERROR(INDIRECT("Yr"&amp;IF($C$5=Year1,1,IF($C$5=Year2,2,IF($C$5=Year3,3,IF($C$5=Lookups!$D$40,"All"))))&amp;"!"&amp;CC$71&amp;$DE27)*100,0)</f>
        <v>1.1080355905574657</v>
      </c>
      <c r="CD27" s="472" cm="1">
        <f t="array" aca="1" ref="CD27" ca="1">IFERROR(INDIRECT("Yr"&amp;IF($C$5=Year1,1,IF($C$5=Year2,2,IF($C$5=Year3,3,IF($C$5=Lookups!$D$40,"All"))))&amp;"!"&amp;CD$71&amp;$DE27)*100,0)</f>
        <v>1.1080355905574657</v>
      </c>
      <c r="CE27" s="472" cm="1">
        <f t="array" aca="1" ref="CE27" ca="1">IFERROR(INDIRECT("Yr"&amp;IF($C$5=Year1,1,IF($C$5=Year2,2,IF($C$5=Year3,3,IF($C$5=Lookups!$D$40,"All"))))&amp;"!"&amp;CE$71&amp;$DE27)*100,0)</f>
        <v>1.1080355905574657</v>
      </c>
      <c r="CF27" s="472" cm="1">
        <f t="array" aca="1" ref="CF27" ca="1">IFERROR(INDIRECT("Yr"&amp;IF($C$5=Year1,1,IF($C$5=Year2,2,IF($C$5=Year3,3,IF($C$5=Lookups!$D$40,"All"))))&amp;"!"&amp;CF$71&amp;$DE27)*100,0)</f>
        <v>1.1080355905574657</v>
      </c>
      <c r="CG27" s="472" cm="1">
        <f t="array" aca="1" ref="CG27" ca="1">IFERROR(INDIRECT("Yr"&amp;IF($C$5=Year1,1,IF($C$5=Year2,2,IF($C$5=Year3,3,IF($C$5=Lookups!$D$40,"All"))))&amp;"!"&amp;CG$71&amp;$DE27)*100,0)</f>
        <v>1.1080355905574657</v>
      </c>
      <c r="CH27" s="472" cm="1">
        <f t="array" aca="1" ref="CH27" ca="1">IFERROR(INDIRECT("Yr"&amp;IF($C$5=Year1,1,IF($C$5=Year2,2,IF($C$5=Year3,3,IF($C$5=Lookups!$D$40,"All"))))&amp;"!"&amp;CH$71&amp;$DE27)*100,0)</f>
        <v>1.1080355905574657</v>
      </c>
      <c r="CI27" s="472" cm="1">
        <f t="array" aca="1" ref="CI27" ca="1">IFERROR(INDIRECT("Yr"&amp;IF($C$5=Year1,1,IF($C$5=Year2,2,IF($C$5=Year3,3,IF($C$5=Lookups!$D$40,"All"))))&amp;"!"&amp;CI$71&amp;$DE27)*100,0)</f>
        <v>1.1080355905574657</v>
      </c>
      <c r="CJ27" s="472" cm="1">
        <f t="array" aca="1" ref="CJ27" ca="1">IFERROR(INDIRECT("Yr"&amp;IF($C$5=Year1,1,IF($C$5=Year2,2,IF($C$5=Year3,3,IF($C$5=Lookups!$D$40,"All"))))&amp;"!"&amp;CJ$71&amp;$DE27)*100,0)</f>
        <v>1.1080355905574657</v>
      </c>
      <c r="CK27" s="472" cm="1">
        <f t="array" aca="1" ref="CK27" ca="1">IFERROR(INDIRECT("Yr"&amp;IF($C$5=Year1,1,IF($C$5=Year2,2,IF($C$5=Year3,3,IF($C$5=Lookups!$D$40,"All"))))&amp;"!"&amp;CK$71&amp;$DE27)*100,0)</f>
        <v>1.1080355905574657</v>
      </c>
      <c r="CL27" s="472" cm="1">
        <f t="array" aca="1" ref="CL27" ca="1">IFERROR(INDIRECT("Yr"&amp;IF($C$5=Year1,1,IF($C$5=Year2,2,IF($C$5=Year3,3,IF($C$5=Lookups!$D$40,"All"))))&amp;"!"&amp;CL$71&amp;$DE27)*100,0)</f>
        <v>1.1080355905574657</v>
      </c>
      <c r="CM27" s="472" cm="1">
        <f t="array" aca="1" ref="CM27" ca="1">IFERROR(INDIRECT("Yr"&amp;IF($C$5=Year1,1,IF($C$5=Year2,2,IF($C$5=Year3,3,IF($C$5=Lookups!$D$40,"All"))))&amp;"!"&amp;CM$71&amp;$DE27)*100,0)</f>
        <v>1.1080355905574657</v>
      </c>
      <c r="CN27" s="472" cm="1">
        <f t="array" aca="1" ref="CN27" ca="1">IFERROR(INDIRECT("Yr"&amp;IF($C$5=Year1,1,IF($C$5=Year2,2,IF($C$5=Year3,3,IF($C$5=Lookups!$D$40,"All"))))&amp;"!"&amp;CN$71&amp;$DE27)*100,0)</f>
        <v>1.1080355905574657</v>
      </c>
      <c r="CO27" s="472" cm="1">
        <f t="array" aca="1" ref="CO27" ca="1">IFERROR(INDIRECT("Yr"&amp;IF($C$5=Year1,1,IF($C$5=Year2,2,IF($C$5=Year3,3,IF($C$5=Lookups!$D$40,"All"))))&amp;"!"&amp;CO$71&amp;$DE27)*100,0)</f>
        <v>0.73983059499383996</v>
      </c>
      <c r="CP27" s="472" cm="1">
        <f t="array" aca="1" ref="CP27" ca="1">IFERROR(INDIRECT("Yr"&amp;IF($C$5=Year1,1,IF($C$5=Year2,2,IF($C$5=Year3,3,IF($C$5=Lookups!$D$40,"All"))))&amp;"!"&amp;CP$71&amp;$DE27)*100,0)</f>
        <v>0.37112017938366604</v>
      </c>
      <c r="CQ27" s="472" cm="1">
        <f t="array" aca="1" ref="CQ27" ca="1">IFERROR(INDIRECT("Yr"&amp;IF($C$5=Year1,1,IF($C$5=Year2,2,IF($C$5=Year3,3,IF($C$5=Lookups!$D$40,"All"))))&amp;"!"&amp;CQ$71&amp;$DE27)*100,0)</f>
        <v>0</v>
      </c>
      <c r="CR27" s="472" cm="1">
        <f t="array" aca="1" ref="CR27" ca="1">IFERROR(INDIRECT("Yr"&amp;IF($C$5=Year1,1,IF($C$5=Year2,2,IF($C$5=Year3,3,IF($C$5=Lookups!$D$40,"All"))))&amp;"!"&amp;CR$71&amp;$DE27)*100,0)</f>
        <v>0</v>
      </c>
      <c r="CS27" s="472" cm="1">
        <f t="array" aca="1" ref="CS27" ca="1">IFERROR(INDIRECT("Yr"&amp;IF($C$5=Year1,1,IF($C$5=Year2,2,IF($C$5=Year3,3,IF($C$5=Lookups!$D$40,"All"))))&amp;"!"&amp;CS$71&amp;$DE27)*100,0)</f>
        <v>0</v>
      </c>
      <c r="CT27" s="472" cm="1">
        <f t="array" aca="1" ref="CT27" ca="1">IFERROR(INDIRECT("Yr"&amp;IF($C$5=Year1,1,IF($C$5=Year2,2,IF($C$5=Year3,3,IF($C$5=Lookups!$D$40,"All"))))&amp;"!"&amp;CT$71&amp;$DE27)*100,0)</f>
        <v>0</v>
      </c>
      <c r="CU27" s="472" cm="1">
        <f t="array" aca="1" ref="CU27" ca="1">IFERROR(INDIRECT("Yr"&amp;IF($C$5=Year1,1,IF($C$5=Year2,2,IF($C$5=Year3,3,IF($C$5=Lookups!$D$40,"All"))))&amp;"!"&amp;CU$71&amp;$DE27)*100,0)</f>
        <v>0</v>
      </c>
      <c r="CV27" s="472" cm="1">
        <f t="array" aca="1" ref="CV27" ca="1">IFERROR(INDIRECT("Yr"&amp;IF($C$5=Year1,1,IF($C$5=Year2,2,IF($C$5=Year3,3,IF($C$5=Lookups!$D$40,"All"))))&amp;"!"&amp;CV$71&amp;$DE27)*100,0)</f>
        <v>0</v>
      </c>
      <c r="CW27" s="472" cm="1">
        <f t="array" aca="1" ref="CW27" ca="1">IFERROR(INDIRECT("Yr"&amp;IF($C$5=Year1,1,IF($C$5=Year2,2,IF($C$5=Year3,3,IF($C$5=Lookups!$D$40,"All"))))&amp;"!"&amp;CW$71&amp;$DE27)*100,0)</f>
        <v>0</v>
      </c>
      <c r="CX27" s="472" cm="1">
        <f t="array" aca="1" ref="CX27" ca="1">IFERROR(INDIRECT("Yr"&amp;IF($C$5=Year1,1,IF($C$5=Year2,2,IF($C$5=Year3,3,IF($C$5=Lookups!$D$40,"All"))))&amp;"!"&amp;CX$71&amp;$DE27)*100,0)</f>
        <v>0</v>
      </c>
      <c r="CY27" s="472" cm="1">
        <f t="array" aca="1" ref="CY27" ca="1">IFERROR(INDIRECT("Yr"&amp;IF($C$5=Year1,1,IF($C$5=Year2,2,IF($C$5=Year3,3,IF($C$5=Lookups!$D$40,"All"))))&amp;"!"&amp;CY$71&amp;$DE27)*100,0)</f>
        <v>0</v>
      </c>
      <c r="CZ27" s="472" cm="1">
        <f t="array" aca="1" ref="CZ27" ca="1">IFERROR(INDIRECT("Yr"&amp;IF($C$5=Year1,1,IF($C$5=Year2,2,IF($C$5=Year3,3,IF($C$5=Lookups!$D$40,"All"))))&amp;"!"&amp;CZ$71&amp;$DE27)*100,0)</f>
        <v>0</v>
      </c>
      <c r="DA27" s="151"/>
      <c r="DB27" s="472"/>
      <c r="DE27" s="516">
        <f t="shared" si="3"/>
        <v>50</v>
      </c>
      <c r="DF27" s="526">
        <v>1</v>
      </c>
      <c r="DK27" s="421"/>
      <c r="DL27" s="421"/>
    </row>
    <row r="28" spans="3:116" x14ac:dyDescent="0.25">
      <c r="BV28" s="343"/>
      <c r="BW28" s="345"/>
      <c r="BX28" s="155" t="s">
        <v>98</v>
      </c>
      <c r="BY28" s="126" t="s">
        <v>409</v>
      </c>
      <c r="BZ28" s="151">
        <f t="shared" ref="BZ28:CZ28" ca="1" si="4">SUM(BZ23:BZ25)</f>
        <v>-0.49600265527870724</v>
      </c>
      <c r="CA28" s="151">
        <f t="shared" ca="1" si="4"/>
        <v>-1.0046272680222359</v>
      </c>
      <c r="CB28" s="151">
        <f t="shared" ca="1" si="4"/>
        <v>-1.5294789921505734</v>
      </c>
      <c r="CC28" s="151">
        <f t="shared" ca="1" si="4"/>
        <v>-1.5294789921505734</v>
      </c>
      <c r="CD28" s="151">
        <f t="shared" ca="1" si="4"/>
        <v>-1.5294789921505734</v>
      </c>
      <c r="CE28" s="151">
        <f t="shared" ca="1" si="4"/>
        <v>-1.5294789921505734</v>
      </c>
      <c r="CF28" s="151">
        <f t="shared" ca="1" si="4"/>
        <v>-1.5294789921505734</v>
      </c>
      <c r="CG28" s="151">
        <f t="shared" ca="1" si="4"/>
        <v>-1.5294789921505734</v>
      </c>
      <c r="CH28" s="151">
        <f t="shared" ca="1" si="4"/>
        <v>-1.5294789921505734</v>
      </c>
      <c r="CI28" s="151">
        <f t="shared" ca="1" si="4"/>
        <v>-1.5294789921505734</v>
      </c>
      <c r="CJ28" s="151">
        <f t="shared" ca="1" si="4"/>
        <v>-1.5294789921505734</v>
      </c>
      <c r="CK28" s="151">
        <f t="shared" ca="1" si="4"/>
        <v>-1.5294789921505734</v>
      </c>
      <c r="CL28" s="151">
        <f t="shared" ca="1" si="4"/>
        <v>-1.5294789921505734</v>
      </c>
      <c r="CM28" s="151">
        <f t="shared" ca="1" si="4"/>
        <v>-1.5294789921505734</v>
      </c>
      <c r="CN28" s="151">
        <f t="shared" ca="1" si="4"/>
        <v>-1.5294789921505734</v>
      </c>
      <c r="CO28" s="151">
        <f t="shared" ca="1" si="4"/>
        <v>-1.0201617824072196</v>
      </c>
      <c r="CP28" s="151">
        <f t="shared" ca="1" si="4"/>
        <v>-0.51132869613376819</v>
      </c>
      <c r="CQ28" s="151">
        <f t="shared" ca="1" si="4"/>
        <v>0</v>
      </c>
      <c r="CR28" s="151">
        <f t="shared" ca="1" si="4"/>
        <v>0</v>
      </c>
      <c r="CS28" s="151">
        <f t="shared" ca="1" si="4"/>
        <v>0</v>
      </c>
      <c r="CT28" s="151">
        <f t="shared" ca="1" si="4"/>
        <v>0</v>
      </c>
      <c r="CU28" s="151">
        <f t="shared" ca="1" si="4"/>
        <v>0</v>
      </c>
      <c r="CV28" s="151">
        <f t="shared" ca="1" si="4"/>
        <v>0</v>
      </c>
      <c r="CW28" s="151">
        <f t="shared" ca="1" si="4"/>
        <v>0</v>
      </c>
      <c r="CX28" s="151">
        <f t="shared" ca="1" si="4"/>
        <v>0</v>
      </c>
      <c r="CY28" s="151">
        <f t="shared" ca="1" si="4"/>
        <v>0</v>
      </c>
      <c r="CZ28" s="151">
        <f t="shared" ca="1" si="4"/>
        <v>0</v>
      </c>
      <c r="DA28" s="151"/>
      <c r="DB28" s="151"/>
      <c r="DE28" s="516" t="s">
        <v>408</v>
      </c>
      <c r="DF28" s="529"/>
      <c r="DK28" s="421"/>
      <c r="DL28" s="421"/>
    </row>
    <row r="29" spans="3:116" x14ac:dyDescent="0.25">
      <c r="BV29" s="343"/>
      <c r="BW29" s="345"/>
      <c r="BX29" s="126" t="s">
        <v>99</v>
      </c>
      <c r="BY29" s="126" t="s">
        <v>409</v>
      </c>
      <c r="BZ29" s="151" cm="1">
        <f t="array" aca="1" ref="BZ29" ca="1">IFERROR(INDIRECT("Yr"&amp;IF($C$5=Year1,1,IF($C$5=Year2,2,IF($C$5=Year3,3,IF($C$5=Lookups!$D$40,"All"))))&amp;"!"&amp;BZ$71&amp;$DE29)*100,0)</f>
        <v>6.7574711891543515</v>
      </c>
      <c r="CA29" s="151" cm="1">
        <f t="array" aca="1" ref="CA29" ca="1">IFERROR(INDIRECT("Yr"&amp;IF($C$5=Year1,1,IF($C$5=Year2,2,IF($C$5=Year3,3,IF($C$5=Lookups!$D$40,"All"))))&amp;"!"&amp;CA$71&amp;$DE29)*100,0)</f>
        <v>7.2509481043365298</v>
      </c>
      <c r="CB29" s="151" cm="1">
        <f t="array" aca="1" ref="CB29" ca="1">IFERROR(INDIRECT("Yr"&amp;IF($C$5=Year1,1,IF($C$5=Year2,2,IF($C$5=Year3,3,IF($C$5=Lookups!$D$40,"All"))))&amp;"!"&amp;CB$71&amp;$DE29)*100,0)</f>
        <v>7.770513497313436</v>
      </c>
      <c r="CC29" s="151" cm="1">
        <f t="array" aca="1" ref="CC29" ca="1">IFERROR(INDIRECT("Yr"&amp;IF($C$5=Year1,1,IF($C$5=Year2,2,IF($C$5=Year3,3,IF($C$5=Lookups!$D$40,"All"))))&amp;"!"&amp;CC$71&amp;$DE29)*100,0)</f>
        <v>0.8919323412663438</v>
      </c>
      <c r="CD29" s="151" cm="1">
        <f t="array" aca="1" ref="CD29" ca="1">IFERROR(INDIRECT("Yr"&amp;IF($C$5=Year1,1,IF($C$5=Year2,2,IF($C$5=Year3,3,IF($C$5=Lookups!$D$40,"All"))))&amp;"!"&amp;CD$71&amp;$DE29)*100,0)</f>
        <v>0.8919323412663438</v>
      </c>
      <c r="CE29" s="151" cm="1">
        <f t="array" aca="1" ref="CE29" ca="1">IFERROR(INDIRECT("Yr"&amp;IF($C$5=Year1,1,IF($C$5=Year2,2,IF($C$5=Year3,3,IF($C$5=Lookups!$D$40,"All"))))&amp;"!"&amp;CE$71&amp;$DE29)*100,0)</f>
        <v>0.8919323412663438</v>
      </c>
      <c r="CF29" s="151" cm="1">
        <f t="array" aca="1" ref="CF29" ca="1">IFERROR(INDIRECT("Yr"&amp;IF($C$5=Year1,1,IF($C$5=Year2,2,IF($C$5=Year3,3,IF($C$5=Lookups!$D$40,"All"))))&amp;"!"&amp;CF$71&amp;$DE29)*100,0)</f>
        <v>0.8919323412663438</v>
      </c>
      <c r="CG29" s="151" cm="1">
        <f t="array" aca="1" ref="CG29" ca="1">IFERROR(INDIRECT("Yr"&amp;IF($C$5=Year1,1,IF($C$5=Year2,2,IF($C$5=Year3,3,IF($C$5=Lookups!$D$40,"All"))))&amp;"!"&amp;CG$71&amp;$DE29)*100,0)</f>
        <v>0.8919323412663438</v>
      </c>
      <c r="CH29" s="151" cm="1">
        <f t="array" aca="1" ref="CH29" ca="1">IFERROR(INDIRECT("Yr"&amp;IF($C$5=Year1,1,IF($C$5=Year2,2,IF($C$5=Year3,3,IF($C$5=Lookups!$D$40,"All"))))&amp;"!"&amp;CH$71&amp;$DE29)*100,0)</f>
        <v>0.8919323412663438</v>
      </c>
      <c r="CI29" s="151" cm="1">
        <f t="array" aca="1" ref="CI29" ca="1">IFERROR(INDIRECT("Yr"&amp;IF($C$5=Year1,1,IF($C$5=Year2,2,IF($C$5=Year3,3,IF($C$5=Lookups!$D$40,"All"))))&amp;"!"&amp;CI$71&amp;$DE29)*100,0)</f>
        <v>0.8919323412663438</v>
      </c>
      <c r="CJ29" s="151" cm="1">
        <f t="array" aca="1" ref="CJ29" ca="1">IFERROR(INDIRECT("Yr"&amp;IF($C$5=Year1,1,IF($C$5=Year2,2,IF($C$5=Year3,3,IF($C$5=Lookups!$D$40,"All"))))&amp;"!"&amp;CJ$71&amp;$DE29)*100,0)</f>
        <v>0.8919323412663438</v>
      </c>
      <c r="CK29" s="151" cm="1">
        <f t="array" aca="1" ref="CK29" ca="1">IFERROR(INDIRECT("Yr"&amp;IF($C$5=Year1,1,IF($C$5=Year2,2,IF($C$5=Year3,3,IF($C$5=Lookups!$D$40,"All"))))&amp;"!"&amp;CK$71&amp;$DE29)*100,0)</f>
        <v>0.8919323412663438</v>
      </c>
      <c r="CL29" s="151" cm="1">
        <f t="array" aca="1" ref="CL29" ca="1">IFERROR(INDIRECT("Yr"&amp;IF($C$5=Year1,1,IF($C$5=Year2,2,IF($C$5=Year3,3,IF($C$5=Lookups!$D$40,"All"))))&amp;"!"&amp;CL$71&amp;$DE29)*100,0)</f>
        <v>0.8919323412663438</v>
      </c>
      <c r="CM29" s="151" cm="1">
        <f t="array" aca="1" ref="CM29" ca="1">IFERROR(INDIRECT("Yr"&amp;IF($C$5=Year1,1,IF($C$5=Year2,2,IF($C$5=Year3,3,IF($C$5=Lookups!$D$40,"All"))))&amp;"!"&amp;CM$71&amp;$DE29)*100,0)</f>
        <v>0.8919323412663438</v>
      </c>
      <c r="CN29" s="151" cm="1">
        <f t="array" aca="1" ref="CN29" ca="1">IFERROR(INDIRECT("Yr"&amp;IF($C$5=Year1,1,IF($C$5=Year2,2,IF($C$5=Year3,3,IF($C$5=Lookups!$D$40,"All"))))&amp;"!"&amp;CN$71&amp;$DE29)*100,0)</f>
        <v>0.8919323412663438</v>
      </c>
      <c r="CO29" s="151" cm="1">
        <f t="array" aca="1" ref="CO29" ca="1">IFERROR(INDIRECT("Yr"&amp;IF($C$5=Year1,1,IF($C$5=Year2,2,IF($C$5=Year3,3,IF($C$5=Lookups!$D$40,"All"))))&amp;"!"&amp;CO$71&amp;$DE29)*100,0)</f>
        <v>0.59533916492360284</v>
      </c>
      <c r="CP29" s="151" cm="1">
        <f t="array" aca="1" ref="CP29" ca="1">IFERROR(INDIRECT("Yr"&amp;IF($C$5=Year1,1,IF($C$5=Year2,2,IF($C$5=Year3,3,IF($C$5=Lookups!$D$40,"All"))))&amp;"!"&amp;CP$71&amp;$DE29)*100,0)</f>
        <v>0.29850990617830142</v>
      </c>
      <c r="CQ29" s="151" cm="1">
        <f t="array" aca="1" ref="CQ29" ca="1">IFERROR(INDIRECT("Yr"&amp;IF($C$5=Year1,1,IF($C$5=Year2,2,IF($C$5=Year3,3,IF($C$5=Lookups!$D$40,"All"))))&amp;"!"&amp;CQ$71&amp;$DE29)*100,0)</f>
        <v>0</v>
      </c>
      <c r="CR29" s="151" cm="1">
        <f t="array" aca="1" ref="CR29" ca="1">IFERROR(INDIRECT("Yr"&amp;IF($C$5=Year1,1,IF($C$5=Year2,2,IF($C$5=Year3,3,IF($C$5=Lookups!$D$40,"All"))))&amp;"!"&amp;CR$71&amp;$DE29)*100,0)</f>
        <v>0</v>
      </c>
      <c r="CS29" s="151" cm="1">
        <f t="array" aca="1" ref="CS29" ca="1">IFERROR(INDIRECT("Yr"&amp;IF($C$5=Year1,1,IF($C$5=Year2,2,IF($C$5=Year3,3,IF($C$5=Lookups!$D$40,"All"))))&amp;"!"&amp;CS$71&amp;$DE29)*100,0)</f>
        <v>0</v>
      </c>
      <c r="CT29" s="151" cm="1">
        <f t="array" aca="1" ref="CT29" ca="1">IFERROR(INDIRECT("Yr"&amp;IF($C$5=Year1,1,IF($C$5=Year2,2,IF($C$5=Year3,3,IF($C$5=Lookups!$D$40,"All"))))&amp;"!"&amp;CT$71&amp;$DE29)*100,0)</f>
        <v>0</v>
      </c>
      <c r="CU29" s="151" cm="1">
        <f t="array" aca="1" ref="CU29" ca="1">IFERROR(INDIRECT("Yr"&amp;IF($C$5=Year1,1,IF($C$5=Year2,2,IF($C$5=Year3,3,IF($C$5=Lookups!$D$40,"All"))))&amp;"!"&amp;CU$71&amp;$DE29)*100,0)</f>
        <v>0</v>
      </c>
      <c r="CV29" s="151" cm="1">
        <f t="array" aca="1" ref="CV29" ca="1">IFERROR(INDIRECT("Yr"&amp;IF($C$5=Year1,1,IF($C$5=Year2,2,IF($C$5=Year3,3,IF($C$5=Lookups!$D$40,"All"))))&amp;"!"&amp;CV$71&amp;$DE29)*100,0)</f>
        <v>0</v>
      </c>
      <c r="CW29" s="151" cm="1">
        <f t="array" aca="1" ref="CW29" ca="1">IFERROR(INDIRECT("Yr"&amp;IF($C$5=Year1,1,IF($C$5=Year2,2,IF($C$5=Year3,3,IF($C$5=Lookups!$D$40,"All"))))&amp;"!"&amp;CW$71&amp;$DE29)*100,0)</f>
        <v>0</v>
      </c>
      <c r="CX29" s="151" cm="1">
        <f t="array" aca="1" ref="CX29" ca="1">IFERROR(INDIRECT("Yr"&amp;IF($C$5=Year1,1,IF($C$5=Year2,2,IF($C$5=Year3,3,IF($C$5=Lookups!$D$40,"All"))))&amp;"!"&amp;CX$71&amp;$DE29)*100,0)</f>
        <v>0</v>
      </c>
      <c r="CY29" s="151" cm="1">
        <f t="array" aca="1" ref="CY29" ca="1">IFERROR(INDIRECT("Yr"&amp;IF($C$5=Year1,1,IF($C$5=Year2,2,IF($C$5=Year3,3,IF($C$5=Lookups!$D$40,"All"))))&amp;"!"&amp;CY$71&amp;$DE29)*100,0)</f>
        <v>0</v>
      </c>
      <c r="CZ29" s="151" cm="1">
        <f t="array" aca="1" ref="CZ29" ca="1">IFERROR(INDIRECT("Yr"&amp;IF($C$5=Year1,1,IF($C$5=Year2,2,IF($C$5=Year3,3,IF($C$5=Lookups!$D$40,"All"))))&amp;"!"&amp;CZ$71&amp;$DE29)*100,0)</f>
        <v>0</v>
      </c>
      <c r="DA29" s="151"/>
      <c r="DB29" s="151"/>
      <c r="DE29" s="515">
        <f>ROW('Yr1'!E59)+($DG$9*IF($C$4=Lookups!$D$26,0,IF($C$4=Lookups!$D$27,1,IF($C$4=Lookups!$D$28,2,IF($C$4=Lookups!$D$29,3)))))</f>
        <v>59</v>
      </c>
      <c r="DF29" s="529"/>
    </row>
    <row r="30" spans="3:116" x14ac:dyDescent="0.25">
      <c r="BV30" s="343"/>
      <c r="BW30" s="345"/>
      <c r="BX30" s="126" t="s">
        <v>100</v>
      </c>
      <c r="BY30" s="126" t="s">
        <v>409</v>
      </c>
      <c r="BZ30" s="151">
        <f ca="1">IF($C$5=Lookups!$D$40,AVERAGE($BZ29:$CZ29),AVERAGE($BZ29:$CX29))</f>
        <v>1.2361470354482351</v>
      </c>
      <c r="CA30" s="151">
        <f ca="1">IF($C$5=Lookups!$D$40,AVERAGE($BZ29:$CZ29),AVERAGE($BZ29:$CX29))</f>
        <v>1.2361470354482351</v>
      </c>
      <c r="CB30" s="151">
        <f ca="1">IF($C$5=Lookups!$D$40,AVERAGE($BZ29:$CZ29),AVERAGE($BZ29:$CX29))</f>
        <v>1.2361470354482351</v>
      </c>
      <c r="CC30" s="151">
        <f ca="1">IF($C$5=Lookups!$D$40,AVERAGE($BZ29:$CZ29),AVERAGE($BZ29:$CX29))</f>
        <v>1.2361470354482351</v>
      </c>
      <c r="CD30" s="151">
        <f ca="1">IF($C$5=Lookups!$D$40,AVERAGE($BZ29:$CZ29),AVERAGE($BZ29:$CX29))</f>
        <v>1.2361470354482351</v>
      </c>
      <c r="CE30" s="151">
        <f ca="1">IF($C$5=Lookups!$D$40,AVERAGE($BZ29:$CZ29),AVERAGE($BZ29:$CX29))</f>
        <v>1.2361470354482351</v>
      </c>
      <c r="CF30" s="151">
        <f ca="1">IF($C$5=Lookups!$D$40,AVERAGE($BZ29:$CZ29),AVERAGE($BZ29:$CX29))</f>
        <v>1.2361470354482351</v>
      </c>
      <c r="CG30" s="151">
        <f ca="1">IF($C$5=Lookups!$D$40,AVERAGE($BZ29:$CZ29),AVERAGE($BZ29:$CX29))</f>
        <v>1.2361470354482351</v>
      </c>
      <c r="CH30" s="151">
        <f ca="1">IF($C$5=Lookups!$D$40,AVERAGE($BZ29:$CZ29),AVERAGE($BZ29:$CX29))</f>
        <v>1.2361470354482351</v>
      </c>
      <c r="CI30" s="151">
        <f ca="1">IF($C$5=Lookups!$D$40,AVERAGE($BZ29:$CZ29),AVERAGE($BZ29:$CX29))</f>
        <v>1.2361470354482351</v>
      </c>
      <c r="CJ30" s="151">
        <f ca="1">IF($C$5=Lookups!$D$40,AVERAGE($BZ29:$CZ29),AVERAGE($BZ29:$CX29))</f>
        <v>1.2361470354482351</v>
      </c>
      <c r="CK30" s="151">
        <f ca="1">IF($C$5=Lookups!$D$40,AVERAGE($BZ29:$CZ29),AVERAGE($BZ29:$CX29))</f>
        <v>1.2361470354482351</v>
      </c>
      <c r="CL30" s="151">
        <f ca="1">IF($C$5=Lookups!$D$40,AVERAGE($BZ29:$CZ29),AVERAGE($BZ29:$CX29))</f>
        <v>1.2361470354482351</v>
      </c>
      <c r="CM30" s="151">
        <f ca="1">IF($C$5=Lookups!$D$40,AVERAGE($BZ29:$CZ29),AVERAGE($BZ29:$CX29))</f>
        <v>1.2361470354482351</v>
      </c>
      <c r="CN30" s="151">
        <f ca="1">IF($C$5=Lookups!$D$40,AVERAGE($BZ29:$CZ29),AVERAGE($BZ29:$CX29))</f>
        <v>1.2361470354482351</v>
      </c>
      <c r="CO30" s="151">
        <f ca="1">IF($C$5=Lookups!$D$40,AVERAGE($BZ29:$CZ29),AVERAGE($BZ29:$CX29))</f>
        <v>1.2361470354482351</v>
      </c>
      <c r="CP30" s="151">
        <f ca="1">IF($C$5=Lookups!$D$40,AVERAGE($BZ29:$CZ29),AVERAGE($BZ29:$CX29))</f>
        <v>1.2361470354482351</v>
      </c>
      <c r="CQ30" s="151">
        <f ca="1">IF($C$5=Lookups!$D$40,AVERAGE($BZ29:$CZ29),AVERAGE($BZ29:$CX29))</f>
        <v>1.2361470354482351</v>
      </c>
      <c r="CR30" s="151">
        <f ca="1">IF($C$5=Lookups!$D$40,AVERAGE($BZ29:$CZ29),AVERAGE($BZ29:$CX29))</f>
        <v>1.2361470354482351</v>
      </c>
      <c r="CS30" s="151">
        <f ca="1">IF($C$5=Lookups!$D$40,AVERAGE($BZ29:$CZ29),AVERAGE($BZ29:$CX29))</f>
        <v>1.2361470354482351</v>
      </c>
      <c r="CT30" s="151">
        <f ca="1">IF($C$5=Lookups!$D$40,AVERAGE($BZ29:$CZ29),AVERAGE($BZ29:$CX29))</f>
        <v>1.2361470354482351</v>
      </c>
      <c r="CU30" s="151">
        <f ca="1">IF($C$5=Lookups!$D$40,AVERAGE($BZ29:$CZ29),AVERAGE($BZ29:$CX29))</f>
        <v>1.2361470354482351</v>
      </c>
      <c r="CV30" s="151">
        <f ca="1">IF($C$5=Lookups!$D$40,AVERAGE($BZ29:$CZ29),AVERAGE($BZ29:$CX29))</f>
        <v>1.2361470354482351</v>
      </c>
      <c r="CW30" s="151">
        <f ca="1">IF($C$5=Lookups!$D$40,AVERAGE($BZ29:$CZ29),AVERAGE($BZ29:$CX29))</f>
        <v>1.2361470354482351</v>
      </c>
      <c r="CX30" s="151">
        <f ca="1">IF($C$5=Lookups!$D$40,AVERAGE($BZ29:$CZ29),AVERAGE($BZ29:$CX29))</f>
        <v>1.2361470354482351</v>
      </c>
      <c r="CY30" s="151">
        <f ca="1">IF($C$5=Lookups!$D$40,AVERAGE($BZ29:$CZ29),AVERAGE($BZ29:$CX29))</f>
        <v>1.2361470354482351</v>
      </c>
      <c r="CZ30" s="151">
        <f ca="1">IF($C$5=Lookups!$D$40,AVERAGE($BZ29:$CZ29),AVERAGE($BZ29:$CX29))</f>
        <v>1.2361470354482351</v>
      </c>
      <c r="DA30" s="151"/>
      <c r="DB30" s="151"/>
      <c r="DE30" s="516" t="s">
        <v>408</v>
      </c>
      <c r="DF30" s="529"/>
    </row>
    <row r="31" spans="3:116" x14ac:dyDescent="0.25">
      <c r="BV31" s="343"/>
      <c r="BW31" s="345"/>
      <c r="BX31" s="126" t="s">
        <v>99</v>
      </c>
      <c r="BY31" s="156" t="s">
        <v>16</v>
      </c>
      <c r="BZ31" s="183" cm="1">
        <f t="array" aca="1" ref="BZ31" ca="1">IFERROR(INDIRECT("Yr"&amp;IF($C$5=Year1,1,IF($C$5=Year2,2,IF($C$5=Year3,3,IF($C$5=Lookups!$D$40,"All"))))&amp;"!"&amp;BZ$71&amp;$DE31),0)</f>
        <v>4.9411876295778701E-2</v>
      </c>
      <c r="CA31" s="183" cm="1">
        <f t="array" aca="1" ref="CA31" ca="1">IFERROR(INDIRECT("Yr"&amp;IF($C$5=Year1,1,IF($C$5=Year2,2,IF($C$5=Year3,3,IF($C$5=Lookups!$D$40,"All"))))&amp;"!"&amp;CA$71&amp;$DE31),0)</f>
        <v>5.3020270561216387E-2</v>
      </c>
      <c r="CB31" s="183" cm="1">
        <f t="array" aca="1" ref="CB31" ca="1">IFERROR(INDIRECT("Yr"&amp;IF($C$5=Year1,1,IF($C$5=Year2,2,IF($C$5=Year3,3,IF($C$5=Lookups!$D$40,"All"))))&amp;"!"&amp;CB$71&amp;$DE31),0)</f>
        <v>5.6819428590413334E-2</v>
      </c>
      <c r="CC31" s="183" cm="1">
        <f t="array" aca="1" ref="CC31" ca="1">IFERROR(INDIRECT("Yr"&amp;IF($C$5=Year1,1,IF($C$5=Year2,2,IF($C$5=Year3,3,IF($C$5=Lookups!$D$40,"All"))))&amp;"!"&amp;CC$71&amp;$DE31),0)</f>
        <v>6.5219738682116279E-3</v>
      </c>
      <c r="CD31" s="183" cm="1">
        <f t="array" aca="1" ref="CD31" ca="1">IFERROR(INDIRECT("Yr"&amp;IF($C$5=Year1,1,IF($C$5=Year2,2,IF($C$5=Year3,3,IF($C$5=Lookups!$D$40,"All"))))&amp;"!"&amp;CD$71&amp;$DE31),0)</f>
        <v>6.5219738682116279E-3</v>
      </c>
      <c r="CE31" s="183" cm="1">
        <f t="array" aca="1" ref="CE31" ca="1">IFERROR(INDIRECT("Yr"&amp;IF($C$5=Year1,1,IF($C$5=Year2,2,IF($C$5=Year3,3,IF($C$5=Lookups!$D$40,"All"))))&amp;"!"&amp;CE$71&amp;$DE31),0)</f>
        <v>6.5219738682116279E-3</v>
      </c>
      <c r="CF31" s="183" cm="1">
        <f t="array" aca="1" ref="CF31" ca="1">IFERROR(INDIRECT("Yr"&amp;IF($C$5=Year1,1,IF($C$5=Year2,2,IF($C$5=Year3,3,IF($C$5=Lookups!$D$40,"All"))))&amp;"!"&amp;CF$71&amp;$DE31),0)</f>
        <v>6.5219738682116279E-3</v>
      </c>
      <c r="CG31" s="183" cm="1">
        <f t="array" aca="1" ref="CG31" ca="1">IFERROR(INDIRECT("Yr"&amp;IF($C$5=Year1,1,IF($C$5=Year2,2,IF($C$5=Year3,3,IF($C$5=Lookups!$D$40,"All"))))&amp;"!"&amp;CG$71&amp;$DE31),0)</f>
        <v>6.5219738682116279E-3</v>
      </c>
      <c r="CH31" s="183" cm="1">
        <f t="array" aca="1" ref="CH31" ca="1">IFERROR(INDIRECT("Yr"&amp;IF($C$5=Year1,1,IF($C$5=Year2,2,IF($C$5=Year3,3,IF($C$5=Lookups!$D$40,"All"))))&amp;"!"&amp;CH$71&amp;$DE31),0)</f>
        <v>6.5219738682116279E-3</v>
      </c>
      <c r="CI31" s="183" cm="1">
        <f t="array" aca="1" ref="CI31" ca="1">IFERROR(INDIRECT("Yr"&amp;IF($C$5=Year1,1,IF($C$5=Year2,2,IF($C$5=Year3,3,IF($C$5=Lookups!$D$40,"All"))))&amp;"!"&amp;CI$71&amp;$DE31),0)</f>
        <v>6.5219738682116279E-3</v>
      </c>
      <c r="CJ31" s="183" cm="1">
        <f t="array" aca="1" ref="CJ31" ca="1">IFERROR(INDIRECT("Yr"&amp;IF($C$5=Year1,1,IF($C$5=Year2,2,IF($C$5=Year3,3,IF($C$5=Lookups!$D$40,"All"))))&amp;"!"&amp;CJ$71&amp;$DE31),0)</f>
        <v>6.5219738682116279E-3</v>
      </c>
      <c r="CK31" s="183" cm="1">
        <f t="array" aca="1" ref="CK31" ca="1">IFERROR(INDIRECT("Yr"&amp;IF($C$5=Year1,1,IF($C$5=Year2,2,IF($C$5=Year3,3,IF($C$5=Lookups!$D$40,"All"))))&amp;"!"&amp;CK$71&amp;$DE31),0)</f>
        <v>6.5219738682116279E-3</v>
      </c>
      <c r="CL31" s="183" cm="1">
        <f t="array" aca="1" ref="CL31" ca="1">IFERROR(INDIRECT("Yr"&amp;IF($C$5=Year1,1,IF($C$5=Year2,2,IF($C$5=Year3,3,IF($C$5=Lookups!$D$40,"All"))))&amp;"!"&amp;CL$71&amp;$DE31),0)</f>
        <v>6.5219738682116279E-3</v>
      </c>
      <c r="CM31" s="183" cm="1">
        <f t="array" aca="1" ref="CM31" ca="1">IFERROR(INDIRECT("Yr"&amp;IF($C$5=Year1,1,IF($C$5=Year2,2,IF($C$5=Year3,3,IF($C$5=Lookups!$D$40,"All"))))&amp;"!"&amp;CM$71&amp;$DE31),0)</f>
        <v>6.5219738682116279E-3</v>
      </c>
      <c r="CN31" s="183" cm="1">
        <f t="array" aca="1" ref="CN31" ca="1">IFERROR(INDIRECT("Yr"&amp;IF($C$5=Year1,1,IF($C$5=Year2,2,IF($C$5=Year3,3,IF($C$5=Lookups!$D$40,"All"))))&amp;"!"&amp;CN$71&amp;$DE31),0)</f>
        <v>6.5219738682116279E-3</v>
      </c>
      <c r="CO31" s="183" cm="1">
        <f t="array" aca="1" ref="CO31" ca="1">IFERROR(INDIRECT("Yr"&amp;IF($C$5=Year1,1,IF($C$5=Year2,2,IF($C$5=Year3,3,IF($C$5=Lookups!$D$40,"All"))))&amp;"!"&amp;CO$71&amp;$DE31),0)</f>
        <v>4.3532298322559448E-3</v>
      </c>
      <c r="CP31" s="183" cm="1">
        <f t="array" aca="1" ref="CP31" ca="1">IFERROR(INDIRECT("Yr"&amp;IF($C$5=Year1,1,IF($C$5=Year2,2,IF($C$5=Year3,3,IF($C$5=Lookups!$D$40,"All"))))&amp;"!"&amp;CP$71&amp;$DE31),0)</f>
        <v>2.1827595182084547E-3</v>
      </c>
      <c r="CQ31" s="183" cm="1">
        <f t="array" aca="1" ref="CQ31" ca="1">IFERROR(INDIRECT("Yr"&amp;IF($C$5=Year1,1,IF($C$5=Year2,2,IF($C$5=Year3,3,IF($C$5=Lookups!$D$40,"All"))))&amp;"!"&amp;CQ$71&amp;$DE31),0)</f>
        <v>0</v>
      </c>
      <c r="CR31" s="183" cm="1">
        <f t="array" aca="1" ref="CR31" ca="1">IFERROR(INDIRECT("Yr"&amp;IF($C$5=Year1,1,IF($C$5=Year2,2,IF($C$5=Year3,3,IF($C$5=Lookups!$D$40,"All"))))&amp;"!"&amp;CR$71&amp;$DE31),0)</f>
        <v>0</v>
      </c>
      <c r="CS31" s="183" cm="1">
        <f t="array" aca="1" ref="CS31" ca="1">IFERROR(INDIRECT("Yr"&amp;IF($C$5=Year1,1,IF($C$5=Year2,2,IF($C$5=Year3,3,IF($C$5=Lookups!$D$40,"All"))))&amp;"!"&amp;CS$71&amp;$DE31),0)</f>
        <v>0</v>
      </c>
      <c r="CT31" s="183" cm="1">
        <f t="array" aca="1" ref="CT31" ca="1">IFERROR(INDIRECT("Yr"&amp;IF($C$5=Year1,1,IF($C$5=Year2,2,IF($C$5=Year3,3,IF($C$5=Lookups!$D$40,"All"))))&amp;"!"&amp;CT$71&amp;$DE31),0)</f>
        <v>0</v>
      </c>
      <c r="CU31" s="183" cm="1">
        <f t="array" aca="1" ref="CU31" ca="1">IFERROR(INDIRECT("Yr"&amp;IF($C$5=Year1,1,IF($C$5=Year2,2,IF($C$5=Year3,3,IF($C$5=Lookups!$D$40,"All"))))&amp;"!"&amp;CU$71&amp;$DE31),0)</f>
        <v>0</v>
      </c>
      <c r="CV31" s="183" cm="1">
        <f t="array" aca="1" ref="CV31" ca="1">IFERROR(INDIRECT("Yr"&amp;IF($C$5=Year1,1,IF($C$5=Year2,2,IF($C$5=Year3,3,IF($C$5=Lookups!$D$40,"All"))))&amp;"!"&amp;CV$71&amp;$DE31),0)</f>
        <v>0</v>
      </c>
      <c r="CW31" s="183" cm="1">
        <f t="array" aca="1" ref="CW31" ca="1">IFERROR(INDIRECT("Yr"&amp;IF($C$5=Year1,1,IF($C$5=Year2,2,IF($C$5=Year3,3,IF($C$5=Lookups!$D$40,"All"))))&amp;"!"&amp;CW$71&amp;$DE31),0)</f>
        <v>0</v>
      </c>
      <c r="CX31" s="183" cm="1">
        <f t="array" aca="1" ref="CX31" ca="1">IFERROR(INDIRECT("Yr"&amp;IF($C$5=Year1,1,IF($C$5=Year2,2,IF($C$5=Year3,3,IF($C$5=Lookups!$D$40,"All"))))&amp;"!"&amp;CX$71&amp;$DE31),0)</f>
        <v>0</v>
      </c>
      <c r="CY31" s="183" cm="1">
        <f t="array" aca="1" ref="CY31" ca="1">IFERROR(INDIRECT("Yr"&amp;IF($C$5=Year1,1,IF($C$5=Year2,2,IF($C$5=Year3,3,IF($C$5=Lookups!$D$40,"All"))))&amp;"!"&amp;CY$71&amp;$DE31),0)</f>
        <v>0</v>
      </c>
      <c r="CZ31" s="183" cm="1">
        <f t="array" aca="1" ref="CZ31" ca="1">IFERROR(INDIRECT("Yr"&amp;IF($C$5=Year1,1,IF($C$5=Year2,2,IF($C$5=Year3,3,IF($C$5=Lookups!$D$40,"All"))))&amp;"!"&amp;CZ$71&amp;$DE31),0)</f>
        <v>0</v>
      </c>
      <c r="DA31" s="157"/>
      <c r="DB31" s="183"/>
      <c r="DE31" s="516">
        <f>DE29+DF31</f>
        <v>60</v>
      </c>
      <c r="DF31" s="526">
        <v>1</v>
      </c>
    </row>
    <row r="32" spans="3:116" x14ac:dyDescent="0.25">
      <c r="BV32" s="343"/>
      <c r="BW32" s="345"/>
      <c r="BX32" s="126" t="s">
        <v>100</v>
      </c>
      <c r="BY32" s="156" t="s">
        <v>16</v>
      </c>
      <c r="BZ32" s="157">
        <f ca="1">IF($C$5=Lookups!$D$40,AVERAGE($BZ31:$CZ31),AVERAGE($BZ31:$CX31))</f>
        <v>9.0389352302374954E-3</v>
      </c>
      <c r="CA32" s="157">
        <f ca="1">IF($C$5=Lookups!$D$40,AVERAGE($BZ31:$CZ31),AVERAGE($BZ31:$CX31))</f>
        <v>9.0389352302374954E-3</v>
      </c>
      <c r="CB32" s="157">
        <f ca="1">IF($C$5=Lookups!$D$40,AVERAGE($BZ31:$CZ31),AVERAGE($BZ31:$CX31))</f>
        <v>9.0389352302374954E-3</v>
      </c>
      <c r="CC32" s="157">
        <f ca="1">IF($C$5=Lookups!$D$40,AVERAGE($BZ31:$CZ31),AVERAGE($BZ31:$CX31))</f>
        <v>9.0389352302374954E-3</v>
      </c>
      <c r="CD32" s="157">
        <f ca="1">IF($C$5=Lookups!$D$40,AVERAGE($BZ31:$CZ31),AVERAGE($BZ31:$CX31))</f>
        <v>9.0389352302374954E-3</v>
      </c>
      <c r="CE32" s="157">
        <f ca="1">IF($C$5=Lookups!$D$40,AVERAGE($BZ31:$CZ31),AVERAGE($BZ31:$CX31))</f>
        <v>9.0389352302374954E-3</v>
      </c>
      <c r="CF32" s="157">
        <f ca="1">IF($C$5=Lookups!$D$40,AVERAGE($BZ31:$CZ31),AVERAGE($BZ31:$CX31))</f>
        <v>9.0389352302374954E-3</v>
      </c>
      <c r="CG32" s="157">
        <f ca="1">IF($C$5=Lookups!$D$40,AVERAGE($BZ31:$CZ31),AVERAGE($BZ31:$CX31))</f>
        <v>9.0389352302374954E-3</v>
      </c>
      <c r="CH32" s="157">
        <f ca="1">IF($C$5=Lookups!$D$40,AVERAGE($BZ31:$CZ31),AVERAGE($BZ31:$CX31))</f>
        <v>9.0389352302374954E-3</v>
      </c>
      <c r="CI32" s="157">
        <f ca="1">IF($C$5=Lookups!$D$40,AVERAGE($BZ31:$CZ31),AVERAGE($BZ31:$CX31))</f>
        <v>9.0389352302374954E-3</v>
      </c>
      <c r="CJ32" s="157">
        <f ca="1">IF($C$5=Lookups!$D$40,AVERAGE($BZ31:$CZ31),AVERAGE($BZ31:$CX31))</f>
        <v>9.0389352302374954E-3</v>
      </c>
      <c r="CK32" s="157">
        <f ca="1">IF($C$5=Lookups!$D$40,AVERAGE($BZ31:$CZ31),AVERAGE($BZ31:$CX31))</f>
        <v>9.0389352302374954E-3</v>
      </c>
      <c r="CL32" s="157">
        <f ca="1">IF($C$5=Lookups!$D$40,AVERAGE($BZ31:$CZ31),AVERAGE($BZ31:$CX31))</f>
        <v>9.0389352302374954E-3</v>
      </c>
      <c r="CM32" s="157">
        <f ca="1">IF($C$5=Lookups!$D$40,AVERAGE($BZ31:$CZ31),AVERAGE($BZ31:$CX31))</f>
        <v>9.0389352302374954E-3</v>
      </c>
      <c r="CN32" s="157">
        <f ca="1">IF($C$5=Lookups!$D$40,AVERAGE($BZ31:$CZ31),AVERAGE($BZ31:$CX31))</f>
        <v>9.0389352302374954E-3</v>
      </c>
      <c r="CO32" s="157">
        <f ca="1">IF($C$5=Lookups!$D$40,AVERAGE($BZ31:$CZ31),AVERAGE($BZ31:$CX31))</f>
        <v>9.0389352302374954E-3</v>
      </c>
      <c r="CP32" s="157">
        <f ca="1">IF($C$5=Lookups!$D$40,AVERAGE($BZ31:$CZ31),AVERAGE($BZ31:$CX31))</f>
        <v>9.0389352302374954E-3</v>
      </c>
      <c r="CQ32" s="157">
        <f ca="1">IF($C$5=Lookups!$D$40,AVERAGE($BZ31:$CZ31),AVERAGE($BZ31:$CX31))</f>
        <v>9.0389352302374954E-3</v>
      </c>
      <c r="CR32" s="157">
        <f ca="1">IF($C$5=Lookups!$D$40,AVERAGE($BZ31:$CZ31),AVERAGE($BZ31:$CX31))</f>
        <v>9.0389352302374954E-3</v>
      </c>
      <c r="CS32" s="157">
        <f ca="1">IF($C$5=Lookups!$D$40,AVERAGE($BZ31:$CZ31),AVERAGE($BZ31:$CX31))</f>
        <v>9.0389352302374954E-3</v>
      </c>
      <c r="CT32" s="157">
        <f ca="1">IF($C$5=Lookups!$D$40,AVERAGE($BZ31:$CZ31),AVERAGE($BZ31:$CX31))</f>
        <v>9.0389352302374954E-3</v>
      </c>
      <c r="CU32" s="157">
        <f ca="1">IF($C$5=Lookups!$D$40,AVERAGE($BZ31:$CZ31),AVERAGE($BZ31:$CX31))</f>
        <v>9.0389352302374954E-3</v>
      </c>
      <c r="CV32" s="157">
        <f ca="1">IF($C$5=Lookups!$D$40,AVERAGE($BZ31:$CZ31),AVERAGE($BZ31:$CX31))</f>
        <v>9.0389352302374954E-3</v>
      </c>
      <c r="CW32" s="157">
        <f ca="1">IF($C$5=Lookups!$D$40,AVERAGE($BZ31:$CZ31),AVERAGE($BZ31:$CX31))</f>
        <v>9.0389352302374954E-3</v>
      </c>
      <c r="CX32" s="157">
        <f ca="1">IF($C$5=Lookups!$D$40,AVERAGE($BZ31:$CZ31),AVERAGE($BZ31:$CX31))</f>
        <v>9.0389352302374954E-3</v>
      </c>
      <c r="CY32" s="157">
        <f ca="1">IF($C$5=Lookups!$D$40,AVERAGE($BZ31:$CZ31),AVERAGE($BZ31:$CX31))</f>
        <v>9.0389352302374954E-3</v>
      </c>
      <c r="CZ32" s="157">
        <f ca="1">IF($C$5=Lookups!$D$40,AVERAGE($BZ31:$CZ31),AVERAGE($BZ31:$CX31))</f>
        <v>9.0389352302374954E-3</v>
      </c>
      <c r="DA32" s="157"/>
      <c r="DB32" s="157"/>
      <c r="DE32" s="516" t="s">
        <v>408</v>
      </c>
    </row>
    <row r="33" spans="3:114" x14ac:dyDescent="0.25">
      <c r="BV33" s="343"/>
      <c r="BW33" s="345"/>
      <c r="BX33" s="180" t="str">
        <f ca="1">"Levelized net change "&amp;TEXT(DB33,"0.0%")</f>
        <v>Levelized net change 1.0%</v>
      </c>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57"/>
      <c r="DB33" s="722" cm="1">
        <f t="array" aca="1" ref="DB33" ca="1">IFERROR(INDIRECT("Yr"&amp;IF($C$5=Year1,1,IF($C$5=Year2,2,IF($C$5=Year3,3,IF($C$5=Lookups!$D$40,"All"))))&amp;"!"&amp;DB$73&amp;$DE33),0)</f>
        <v>1.024114713435309E-2</v>
      </c>
      <c r="DE33" s="527">
        <f>DE31</f>
        <v>60</v>
      </c>
    </row>
    <row r="34" spans="3:114" x14ac:dyDescent="0.25">
      <c r="BV34" s="343"/>
      <c r="BW34" s="345"/>
      <c r="BX34" s="126"/>
      <c r="BY34" s="126"/>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E34" s="527"/>
    </row>
    <row r="35" spans="3:114" ht="18.75" x14ac:dyDescent="0.3">
      <c r="BV35" s="92" t="str">
        <f>Lookups!$D$24&amp;" v "&amp;Lookups!$D$22</f>
        <v>Alternative EE v No EE</v>
      </c>
      <c r="BW35" s="92"/>
      <c r="BX35" s="129"/>
      <c r="BY35" s="129"/>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E35" s="528"/>
    </row>
    <row r="36" spans="3:114" x14ac:dyDescent="0.25">
      <c r="BV36" s="343"/>
      <c r="BW36" s="160" t="s">
        <v>30</v>
      </c>
      <c r="BX36" s="131"/>
      <c r="BY36" s="131"/>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E36" s="527"/>
    </row>
    <row r="37" spans="3:114" x14ac:dyDescent="0.25">
      <c r="BV37" s="343"/>
      <c r="BW37" s="346"/>
      <c r="BX37" s="131" t="s">
        <v>95</v>
      </c>
      <c r="BY37" s="131" t="s">
        <v>409</v>
      </c>
      <c r="BZ37" s="152" cm="1">
        <f t="array" aca="1" ref="BZ37" ca="1">IFERROR(INDIRECT("Yr"&amp;IF($C$5=Year1,1,IF($C$5=Year2,2,IF($C$5=Year3,3,IF($C$5=Lookups!$D$40,"All"))))&amp;"!"&amp;BZ$72&amp;$DE37)*100,0)</f>
        <v>22.33803664496018</v>
      </c>
      <c r="CA37" s="152" cm="1">
        <f t="array" aca="1" ref="CA37" ca="1">IFERROR(INDIRECT("Yr"&amp;IF($C$5=Year1,1,IF($C$5=Year2,2,IF($C$5=Year3,3,IF($C$5=Lookups!$D$40,"All"))))&amp;"!"&amp;CA$72&amp;$DE37)*100,0)</f>
        <v>22.33803664496018</v>
      </c>
      <c r="CB37" s="152" cm="1">
        <f t="array" aca="1" ref="CB37" ca="1">IFERROR(INDIRECT("Yr"&amp;IF($C$5=Year1,1,IF($C$5=Year2,2,IF($C$5=Year3,3,IF($C$5=Lookups!$D$40,"All"))))&amp;"!"&amp;CB$72&amp;$DE37)*100,0)</f>
        <v>22.33803664496018</v>
      </c>
      <c r="CC37" s="152" cm="1">
        <f t="array" aca="1" ref="CC37" ca="1">IFERROR(INDIRECT("Yr"&amp;IF($C$5=Year1,1,IF($C$5=Year2,2,IF($C$5=Year3,3,IF($C$5=Lookups!$D$40,"All"))))&amp;"!"&amp;CC$72&amp;$DE37)*100,0)</f>
        <v>22.33803664496018</v>
      </c>
      <c r="CD37" s="152" cm="1">
        <f t="array" aca="1" ref="CD37" ca="1">IFERROR(INDIRECT("Yr"&amp;IF($C$5=Year1,1,IF($C$5=Year2,2,IF($C$5=Year3,3,IF($C$5=Lookups!$D$40,"All"))))&amp;"!"&amp;CD$72&amp;$DE37)*100,0)</f>
        <v>22.33803664496018</v>
      </c>
      <c r="CE37" s="152" cm="1">
        <f t="array" aca="1" ref="CE37" ca="1">IFERROR(INDIRECT("Yr"&amp;IF($C$5=Year1,1,IF($C$5=Year2,2,IF($C$5=Year3,3,IF($C$5=Lookups!$D$40,"All"))))&amp;"!"&amp;CE$72&amp;$DE37)*100,0)</f>
        <v>22.33803664496018</v>
      </c>
      <c r="CF37" s="152" cm="1">
        <f t="array" aca="1" ref="CF37" ca="1">IFERROR(INDIRECT("Yr"&amp;IF($C$5=Year1,1,IF($C$5=Year2,2,IF($C$5=Year3,3,IF($C$5=Lookups!$D$40,"All"))))&amp;"!"&amp;CF$72&amp;$DE37)*100,0)</f>
        <v>22.33803664496018</v>
      </c>
      <c r="CG37" s="152" cm="1">
        <f t="array" aca="1" ref="CG37" ca="1">IFERROR(INDIRECT("Yr"&amp;IF($C$5=Year1,1,IF($C$5=Year2,2,IF($C$5=Year3,3,IF($C$5=Lookups!$D$40,"All"))))&amp;"!"&amp;CG$72&amp;$DE37)*100,0)</f>
        <v>22.33803664496018</v>
      </c>
      <c r="CH37" s="152" cm="1">
        <f t="array" aca="1" ref="CH37" ca="1">IFERROR(INDIRECT("Yr"&amp;IF($C$5=Year1,1,IF($C$5=Year2,2,IF($C$5=Year3,3,IF($C$5=Lookups!$D$40,"All"))))&amp;"!"&amp;CH$72&amp;$DE37)*100,0)</f>
        <v>22.33803664496018</v>
      </c>
      <c r="CI37" s="152" cm="1">
        <f t="array" aca="1" ref="CI37" ca="1">IFERROR(INDIRECT("Yr"&amp;IF($C$5=Year1,1,IF($C$5=Year2,2,IF($C$5=Year3,3,IF($C$5=Lookups!$D$40,"All"))))&amp;"!"&amp;CI$72&amp;$DE37)*100,0)</f>
        <v>22.33803664496018</v>
      </c>
      <c r="CJ37" s="152" cm="1">
        <f t="array" aca="1" ref="CJ37" ca="1">IFERROR(INDIRECT("Yr"&amp;IF($C$5=Year1,1,IF($C$5=Year2,2,IF($C$5=Year3,3,IF($C$5=Lookups!$D$40,"All"))))&amp;"!"&amp;CJ$72&amp;$DE37)*100,0)</f>
        <v>22.33803664496018</v>
      </c>
      <c r="CK37" s="152" cm="1">
        <f t="array" aca="1" ref="CK37" ca="1">IFERROR(INDIRECT("Yr"&amp;IF($C$5=Year1,1,IF($C$5=Year2,2,IF($C$5=Year3,3,IF($C$5=Lookups!$D$40,"All"))))&amp;"!"&amp;CK$72&amp;$DE37)*100,0)</f>
        <v>22.33803664496018</v>
      </c>
      <c r="CL37" s="152" cm="1">
        <f t="array" aca="1" ref="CL37" ca="1">IFERROR(INDIRECT("Yr"&amp;IF($C$5=Year1,1,IF($C$5=Year2,2,IF($C$5=Year3,3,IF($C$5=Lookups!$D$40,"All"))))&amp;"!"&amp;CL$72&amp;$DE37)*100,0)</f>
        <v>22.33803664496018</v>
      </c>
      <c r="CM37" s="152" cm="1">
        <f t="array" aca="1" ref="CM37" ca="1">IFERROR(INDIRECT("Yr"&amp;IF($C$5=Year1,1,IF($C$5=Year2,2,IF($C$5=Year3,3,IF($C$5=Lookups!$D$40,"All"))))&amp;"!"&amp;CM$72&amp;$DE37)*100,0)</f>
        <v>22.33803664496018</v>
      </c>
      <c r="CN37" s="152" cm="1">
        <f t="array" aca="1" ref="CN37" ca="1">IFERROR(INDIRECT("Yr"&amp;IF($C$5=Year1,1,IF($C$5=Year2,2,IF($C$5=Year3,3,IF($C$5=Lookups!$D$40,"All"))))&amp;"!"&amp;CN$72&amp;$DE37)*100,0)</f>
        <v>22.33803664496018</v>
      </c>
      <c r="CO37" s="152" cm="1">
        <f t="array" aca="1" ref="CO37" ca="1">IFERROR(INDIRECT("Yr"&amp;IF($C$5=Year1,1,IF($C$5=Year2,2,IF($C$5=Year3,3,IF($C$5=Lookups!$D$40,"All"))))&amp;"!"&amp;CO$72&amp;$DE37)*100,0)</f>
        <v>22.33803664496018</v>
      </c>
      <c r="CP37" s="152" cm="1">
        <f t="array" aca="1" ref="CP37" ca="1">IFERROR(INDIRECT("Yr"&amp;IF($C$5=Year1,1,IF($C$5=Year2,2,IF($C$5=Year3,3,IF($C$5=Lookups!$D$40,"All"))))&amp;"!"&amp;CP$72&amp;$DE37)*100,0)</f>
        <v>22.33803664496018</v>
      </c>
      <c r="CQ37" s="152" cm="1">
        <f t="array" aca="1" ref="CQ37" ca="1">IFERROR(INDIRECT("Yr"&amp;IF($C$5=Year1,1,IF($C$5=Year2,2,IF($C$5=Year3,3,IF($C$5=Lookups!$D$40,"All"))))&amp;"!"&amp;CQ$72&amp;$DE37)*100,0)</f>
        <v>22.33803664496018</v>
      </c>
      <c r="CR37" s="152" cm="1">
        <f t="array" aca="1" ref="CR37" ca="1">IFERROR(INDIRECT("Yr"&amp;IF($C$5=Year1,1,IF($C$5=Year2,2,IF($C$5=Year3,3,IF($C$5=Lookups!$D$40,"All"))))&amp;"!"&amp;CR$72&amp;$DE37)*100,0)</f>
        <v>22.33803664496018</v>
      </c>
      <c r="CS37" s="152" cm="1">
        <f t="array" aca="1" ref="CS37" ca="1">IFERROR(INDIRECT("Yr"&amp;IF($C$5=Year1,1,IF($C$5=Year2,2,IF($C$5=Year3,3,IF($C$5=Lookups!$D$40,"All"))))&amp;"!"&amp;CS$72&amp;$DE37)*100,0)</f>
        <v>22.33803664496018</v>
      </c>
      <c r="CT37" s="152" cm="1">
        <f t="array" aca="1" ref="CT37" ca="1">IFERROR(INDIRECT("Yr"&amp;IF($C$5=Year1,1,IF($C$5=Year2,2,IF($C$5=Year3,3,IF($C$5=Lookups!$D$40,"All"))))&amp;"!"&amp;CT$72&amp;$DE37)*100,0)</f>
        <v>22.33803664496018</v>
      </c>
      <c r="CU37" s="152" cm="1">
        <f t="array" aca="1" ref="CU37" ca="1">IFERROR(INDIRECT("Yr"&amp;IF($C$5=Year1,1,IF($C$5=Year2,2,IF($C$5=Year3,3,IF($C$5=Lookups!$D$40,"All"))))&amp;"!"&amp;CU$72&amp;$DE37)*100,0)</f>
        <v>22.33803664496018</v>
      </c>
      <c r="CV37" s="152" cm="1">
        <f t="array" aca="1" ref="CV37" ca="1">IFERROR(INDIRECT("Yr"&amp;IF($C$5=Year1,1,IF($C$5=Year2,2,IF($C$5=Year3,3,IF($C$5=Lookups!$D$40,"All"))))&amp;"!"&amp;CV$72&amp;$DE37)*100,0)</f>
        <v>22.33803664496018</v>
      </c>
      <c r="CW37" s="152" cm="1">
        <f t="array" aca="1" ref="CW37" ca="1">IFERROR(INDIRECT("Yr"&amp;IF($C$5=Year1,1,IF($C$5=Year2,2,IF($C$5=Year3,3,IF($C$5=Lookups!$D$40,"All"))))&amp;"!"&amp;CW$72&amp;$DE37)*100,0)</f>
        <v>22.33803664496018</v>
      </c>
      <c r="CX37" s="152" cm="1">
        <f t="array" aca="1" ref="CX37" ca="1">IFERROR(INDIRECT("Yr"&amp;IF($C$5=Year1,1,IF($C$5=Year2,2,IF($C$5=Year3,3,IF($C$5=Lookups!$D$40,"All"))))&amp;"!"&amp;CX$72&amp;$DE37)*100,0)</f>
        <v>22.33803664496018</v>
      </c>
      <c r="CY37" s="152" cm="1">
        <f t="array" aca="1" ref="CY37" ca="1">IFERROR(INDIRECT("Yr"&amp;IF($C$5=Year1,1,IF($C$5=Year2,2,IF($C$5=Year3,3,IF($C$5=Lookups!$D$40,"All"))))&amp;"!"&amp;CY$72&amp;$DE37)*100,0)</f>
        <v>22.33803664496018</v>
      </c>
      <c r="CZ37" s="152" cm="1">
        <f t="array" aca="1" ref="CZ37" ca="1">IFERROR(INDIRECT("Yr"&amp;IF($C$5=Year1,1,IF($C$5=Year2,2,IF($C$5=Year3,3,IF($C$5=Lookups!$D$40,"All"))))&amp;"!"&amp;CZ$72&amp;$DE37)*100,0)</f>
        <v>22.33803664496018</v>
      </c>
      <c r="DA37" s="152"/>
      <c r="DB37" s="152">
        <f ca="1">IF($C$5=Lookups!$D$40,-PMT(Lookups!$E$17,27,NPV(Lookups!$E$17,BZ37:CZ37),0,1),-PMT(Lookups!$E$17,25,NPV(Lookups!$E$17,BZ37:CX37),0,1))</f>
        <v>22.026494051558309</v>
      </c>
      <c r="DE37" s="516">
        <f t="shared" ref="DE37:DE43" si="5">DE17</f>
        <v>56</v>
      </c>
    </row>
    <row r="38" spans="3:114" x14ac:dyDescent="0.25">
      <c r="BV38" s="343"/>
      <c r="BW38" s="346"/>
      <c r="BX38" s="131" t="s">
        <v>26</v>
      </c>
      <c r="BY38" s="131" t="s">
        <v>409</v>
      </c>
      <c r="BZ38" s="152" cm="1">
        <f t="array" aca="1" ref="BZ38" ca="1">IFERROR(INDIRECT("Yr"&amp;IF($C$5=Year1,1,IF($C$5=Year2,2,IF($C$5=Year3,3,IF($C$5=Lookups!$D$40,"All"))))&amp;"!"&amp;BZ$72&amp;$DE38)*100,0)</f>
        <v>56.066472695329374</v>
      </c>
      <c r="CA38" s="152" cm="1">
        <f t="array" aca="1" ref="CA38" ca="1">IFERROR(INDIRECT("Yr"&amp;IF($C$5=Year1,1,IF($C$5=Year2,2,IF($C$5=Year3,3,IF($C$5=Lookups!$D$40,"All"))))&amp;"!"&amp;CA$72&amp;$DE38)*100,0)</f>
        <v>56.453769717276501</v>
      </c>
      <c r="CB38" s="152" cm="1">
        <f t="array" aca="1" ref="CB38" ca="1">IFERROR(INDIRECT("Yr"&amp;IF($C$5=Year1,1,IF($C$5=Year2,2,IF($C$5=Year3,3,IF($C$5=Lookups!$D$40,"All"))))&amp;"!"&amp;CB$72&amp;$DE38)*100,0)</f>
        <v>56.854415945195861</v>
      </c>
      <c r="CC38" s="152" cm="1">
        <f t="array" aca="1" ref="CC38" ca="1">IFERROR(INDIRECT("Yr"&amp;IF($C$5=Year1,1,IF($C$5=Year2,2,IF($C$5=Year3,3,IF($C$5=Lookups!$D$40,"All"))))&amp;"!"&amp;CC$72&amp;$DE38)*100,0)</f>
        <v>56.854415945195861</v>
      </c>
      <c r="CD38" s="152" cm="1">
        <f t="array" aca="1" ref="CD38" ca="1">IFERROR(INDIRECT("Yr"&amp;IF($C$5=Year1,1,IF($C$5=Year2,2,IF($C$5=Year3,3,IF($C$5=Lookups!$D$40,"All"))))&amp;"!"&amp;CD$72&amp;$DE38)*100,0)</f>
        <v>56.854415945195861</v>
      </c>
      <c r="CE38" s="152" cm="1">
        <f t="array" aca="1" ref="CE38" ca="1">IFERROR(INDIRECT("Yr"&amp;IF($C$5=Year1,1,IF($C$5=Year2,2,IF($C$5=Year3,3,IF($C$5=Lookups!$D$40,"All"))))&amp;"!"&amp;CE$72&amp;$DE38)*100,0)</f>
        <v>56.854415945195861</v>
      </c>
      <c r="CF38" s="152" cm="1">
        <f t="array" aca="1" ref="CF38" ca="1">IFERROR(INDIRECT("Yr"&amp;IF($C$5=Year1,1,IF($C$5=Year2,2,IF($C$5=Year3,3,IF($C$5=Lookups!$D$40,"All"))))&amp;"!"&amp;CF$72&amp;$DE38)*100,0)</f>
        <v>56.854415945195861</v>
      </c>
      <c r="CG38" s="152" cm="1">
        <f t="array" aca="1" ref="CG38" ca="1">IFERROR(INDIRECT("Yr"&amp;IF($C$5=Year1,1,IF($C$5=Year2,2,IF($C$5=Year3,3,IF($C$5=Lookups!$D$40,"All"))))&amp;"!"&amp;CG$72&amp;$DE38)*100,0)</f>
        <v>56.854415945195861</v>
      </c>
      <c r="CH38" s="152" cm="1">
        <f t="array" aca="1" ref="CH38" ca="1">IFERROR(INDIRECT("Yr"&amp;IF($C$5=Year1,1,IF($C$5=Year2,2,IF($C$5=Year3,3,IF($C$5=Lookups!$D$40,"All"))))&amp;"!"&amp;CH$72&amp;$DE38)*100,0)</f>
        <v>56.854415945195861</v>
      </c>
      <c r="CI38" s="152" cm="1">
        <f t="array" aca="1" ref="CI38" ca="1">IFERROR(INDIRECT("Yr"&amp;IF($C$5=Year1,1,IF($C$5=Year2,2,IF($C$5=Year3,3,IF($C$5=Lookups!$D$40,"All"))))&amp;"!"&amp;CI$72&amp;$DE38)*100,0)</f>
        <v>56.854415945195861</v>
      </c>
      <c r="CJ38" s="152" cm="1">
        <f t="array" aca="1" ref="CJ38" ca="1">IFERROR(INDIRECT("Yr"&amp;IF($C$5=Year1,1,IF($C$5=Year2,2,IF($C$5=Year3,3,IF($C$5=Lookups!$D$40,"All"))))&amp;"!"&amp;CJ$72&amp;$DE38)*100,0)</f>
        <v>56.854415945195861</v>
      </c>
      <c r="CK38" s="152" cm="1">
        <f t="array" aca="1" ref="CK38" ca="1">IFERROR(INDIRECT("Yr"&amp;IF($C$5=Year1,1,IF($C$5=Year2,2,IF($C$5=Year3,3,IF($C$5=Lookups!$D$40,"All"))))&amp;"!"&amp;CK$72&amp;$DE38)*100,0)</f>
        <v>56.854415945195861</v>
      </c>
      <c r="CL38" s="152" cm="1">
        <f t="array" aca="1" ref="CL38" ca="1">IFERROR(INDIRECT("Yr"&amp;IF($C$5=Year1,1,IF($C$5=Year2,2,IF($C$5=Year3,3,IF($C$5=Lookups!$D$40,"All"))))&amp;"!"&amp;CL$72&amp;$DE38)*100,0)</f>
        <v>56.854415945195861</v>
      </c>
      <c r="CM38" s="152" cm="1">
        <f t="array" aca="1" ref="CM38" ca="1">IFERROR(INDIRECT("Yr"&amp;IF($C$5=Year1,1,IF($C$5=Year2,2,IF($C$5=Year3,3,IF($C$5=Lookups!$D$40,"All"))))&amp;"!"&amp;CM$72&amp;$DE38)*100,0)</f>
        <v>56.854415945195861</v>
      </c>
      <c r="CN38" s="152" cm="1">
        <f t="array" aca="1" ref="CN38" ca="1">IFERROR(INDIRECT("Yr"&amp;IF($C$5=Year1,1,IF($C$5=Year2,2,IF($C$5=Year3,3,IF($C$5=Lookups!$D$40,"All"))))&amp;"!"&amp;CN$72&amp;$DE38)*100,0)</f>
        <v>56.854415945195861</v>
      </c>
      <c r="CO38" s="152" cm="1">
        <f t="array" aca="1" ref="CO38" ca="1">IFERROR(INDIRECT("Yr"&amp;IF($C$5=Year1,1,IF($C$5=Year2,2,IF($C$5=Year3,3,IF($C$5=Lookups!$D$40,"All"))))&amp;"!"&amp;CO$72&amp;$DE38)*100,0)</f>
        <v>56.466345429065804</v>
      </c>
      <c r="CP38" s="152" cm="1">
        <f t="array" aca="1" ref="CP38" ca="1">IFERROR(INDIRECT("Yr"&amp;IF($C$5=Year1,1,IF($C$5=Year2,2,IF($C$5=Year3,3,IF($C$5=Lookups!$D$40,"All"))))&amp;"!"&amp;CP$72&amp;$DE38)*100,0)</f>
        <v>56.078861221022635</v>
      </c>
      <c r="CQ38" s="152" cm="1">
        <f t="array" aca="1" ref="CQ38" ca="1">IFERROR(INDIRECT("Yr"&amp;IF($C$5=Year1,1,IF($C$5=Year2,2,IF($C$5=Year3,3,IF($C$5=Lookups!$D$40,"All"))))&amp;"!"&amp;CQ$72&amp;$DE38)*100,0)</f>
        <v>55.69</v>
      </c>
      <c r="CR38" s="152" cm="1">
        <f t="array" aca="1" ref="CR38" ca="1">IFERROR(INDIRECT("Yr"&amp;IF($C$5=Year1,1,IF($C$5=Year2,2,IF($C$5=Year3,3,IF($C$5=Lookups!$D$40,"All"))))&amp;"!"&amp;CR$72&amp;$DE38)*100,0)</f>
        <v>55.69</v>
      </c>
      <c r="CS38" s="152" cm="1">
        <f t="array" aca="1" ref="CS38" ca="1">IFERROR(INDIRECT("Yr"&amp;IF($C$5=Year1,1,IF($C$5=Year2,2,IF($C$5=Year3,3,IF($C$5=Lookups!$D$40,"All"))))&amp;"!"&amp;CS$72&amp;$DE38)*100,0)</f>
        <v>55.69</v>
      </c>
      <c r="CT38" s="152" cm="1">
        <f t="array" aca="1" ref="CT38" ca="1">IFERROR(INDIRECT("Yr"&amp;IF($C$5=Year1,1,IF($C$5=Year2,2,IF($C$5=Year3,3,IF($C$5=Lookups!$D$40,"All"))))&amp;"!"&amp;CT$72&amp;$DE38)*100,0)</f>
        <v>55.69</v>
      </c>
      <c r="CU38" s="152" cm="1">
        <f t="array" aca="1" ref="CU38" ca="1">IFERROR(INDIRECT("Yr"&amp;IF($C$5=Year1,1,IF($C$5=Year2,2,IF($C$5=Year3,3,IF($C$5=Lookups!$D$40,"All"))))&amp;"!"&amp;CU$72&amp;$DE38)*100,0)</f>
        <v>55.69</v>
      </c>
      <c r="CV38" s="152" cm="1">
        <f t="array" aca="1" ref="CV38" ca="1">IFERROR(INDIRECT("Yr"&amp;IF($C$5=Year1,1,IF($C$5=Year2,2,IF($C$5=Year3,3,IF($C$5=Lookups!$D$40,"All"))))&amp;"!"&amp;CV$72&amp;$DE38)*100,0)</f>
        <v>55.69</v>
      </c>
      <c r="CW38" s="152" cm="1">
        <f t="array" aca="1" ref="CW38" ca="1">IFERROR(INDIRECT("Yr"&amp;IF($C$5=Year1,1,IF($C$5=Year2,2,IF($C$5=Year3,3,IF($C$5=Lookups!$D$40,"All"))))&amp;"!"&amp;CW$72&amp;$DE38)*100,0)</f>
        <v>55.69</v>
      </c>
      <c r="CX38" s="152" cm="1">
        <f t="array" aca="1" ref="CX38" ca="1">IFERROR(INDIRECT("Yr"&amp;IF($C$5=Year1,1,IF($C$5=Year2,2,IF($C$5=Year3,3,IF($C$5=Lookups!$D$40,"All"))))&amp;"!"&amp;CX$72&amp;$DE38)*100,0)</f>
        <v>55.69</v>
      </c>
      <c r="CY38" s="152" cm="1">
        <f t="array" aca="1" ref="CY38" ca="1">IFERROR(INDIRECT("Yr"&amp;IF($C$5=Year1,1,IF($C$5=Year2,2,IF($C$5=Year3,3,IF($C$5=Lookups!$D$40,"All"))))&amp;"!"&amp;CY$72&amp;$DE38)*100,0)</f>
        <v>55.69</v>
      </c>
      <c r="CZ38" s="152" cm="1">
        <f t="array" aca="1" ref="CZ38" ca="1">IFERROR(INDIRECT("Yr"&amp;IF($C$5=Year1,1,IF($C$5=Year2,2,IF($C$5=Year3,3,IF($C$5=Lookups!$D$40,"All"))))&amp;"!"&amp;CZ$72&amp;$DE38)*100,0)</f>
        <v>55.69</v>
      </c>
      <c r="DA38" s="152"/>
      <c r="DB38" s="152">
        <f ca="1">IF($C$5=Lookups!$D$40,-PMT(Lookups!$E$17,27,NPV(Lookups!$E$17,BZ38:CZ38),0,1),-PMT(Lookups!$E$17,25,NPV(Lookups!$E$17,BZ38:CX38),0,1))</f>
        <v>55.593789275099738</v>
      </c>
      <c r="DE38" s="516">
        <f t="shared" si="5"/>
        <v>52</v>
      </c>
    </row>
    <row r="39" spans="3:114" ht="18.75" x14ac:dyDescent="0.3">
      <c r="C39" s="94" t="str">
        <f>"Total Rates: "&amp;Lookups!$D$22</f>
        <v>Total Rates: No EE</v>
      </c>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K39" s="101" t="str">
        <f>"Change in Rates: "&amp;Lookups!$D$23&amp;" v "&amp;Lookups!$D$24</f>
        <v>Change in Rates: 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V39" s="343"/>
      <c r="BW39" s="346"/>
      <c r="BX39" s="131" t="s">
        <v>407</v>
      </c>
      <c r="BY39" s="131" t="s">
        <v>409</v>
      </c>
      <c r="BZ39" s="152" cm="1">
        <f t="array" aca="1" ref="BZ39" ca="1">IFERROR(INDIRECT("Yr"&amp;IF($C$5=Year1,1,IF($C$5=Year2,2,IF($C$5=Year3,3,IF($C$5=Lookups!$D$40,"All"))))&amp;"!"&amp;BZ$72&amp;$DE39)*100,0)</f>
        <v>-3.3243724409585189</v>
      </c>
      <c r="CA39" s="152" cm="1">
        <f t="array" aca="1" ref="CA39" ca="1">IFERROR(INDIRECT("Yr"&amp;IF($C$5=Year1,1,IF($C$5=Year2,2,IF($C$5=Year3,3,IF($C$5=Lookups!$D$40,"All"))))&amp;"!"&amp;CA$72&amp;$DE39)*100,0)</f>
        <v>-3.3494431896854415</v>
      </c>
      <c r="CB39" s="152" cm="1">
        <f t="array" aca="1" ref="CB39" ca="1">IFERROR(INDIRECT("Yr"&amp;IF($C$5=Year1,1,IF($C$5=Year2,2,IF($C$5=Year3,3,IF($C$5=Lookups!$D$40,"All"))))&amp;"!"&amp;CB$72&amp;$DE39)*100,0)</f>
        <v>-3.3753770646078998</v>
      </c>
      <c r="CC39" s="152" cm="1">
        <f t="array" aca="1" ref="CC39" ca="1">IFERROR(INDIRECT("Yr"&amp;IF($C$5=Year1,1,IF($C$5=Year2,2,IF($C$5=Year3,3,IF($C$5=Lookups!$D$40,"All"))))&amp;"!"&amp;CC$72&amp;$DE39)*100,0)</f>
        <v>-3.3753770646078998</v>
      </c>
      <c r="CD39" s="152" cm="1">
        <f t="array" aca="1" ref="CD39" ca="1">IFERROR(INDIRECT("Yr"&amp;IF($C$5=Year1,1,IF($C$5=Year2,2,IF($C$5=Year3,3,IF($C$5=Lookups!$D$40,"All"))))&amp;"!"&amp;CD$72&amp;$DE39)*100,0)</f>
        <v>-3.3753770646078998</v>
      </c>
      <c r="CE39" s="152" cm="1">
        <f t="array" aca="1" ref="CE39" ca="1">IFERROR(INDIRECT("Yr"&amp;IF($C$5=Year1,1,IF($C$5=Year2,2,IF($C$5=Year3,3,IF($C$5=Lookups!$D$40,"All"))))&amp;"!"&amp;CE$72&amp;$DE39)*100,0)</f>
        <v>-3.3753770646078998</v>
      </c>
      <c r="CF39" s="152" cm="1">
        <f t="array" aca="1" ref="CF39" ca="1">IFERROR(INDIRECT("Yr"&amp;IF($C$5=Year1,1,IF($C$5=Year2,2,IF($C$5=Year3,3,IF($C$5=Lookups!$D$40,"All"))))&amp;"!"&amp;CF$72&amp;$DE39)*100,0)</f>
        <v>-3.3753770646078998</v>
      </c>
      <c r="CG39" s="152" cm="1">
        <f t="array" aca="1" ref="CG39" ca="1">IFERROR(INDIRECT("Yr"&amp;IF($C$5=Year1,1,IF($C$5=Year2,2,IF($C$5=Year3,3,IF($C$5=Lookups!$D$40,"All"))))&amp;"!"&amp;CG$72&amp;$DE39)*100,0)</f>
        <v>-3.3753770646078998</v>
      </c>
      <c r="CH39" s="152" cm="1">
        <f t="array" aca="1" ref="CH39" ca="1">IFERROR(INDIRECT("Yr"&amp;IF($C$5=Year1,1,IF($C$5=Year2,2,IF($C$5=Year3,3,IF($C$5=Lookups!$D$40,"All"))))&amp;"!"&amp;CH$72&amp;$DE39)*100,0)</f>
        <v>-3.3753770646078998</v>
      </c>
      <c r="CI39" s="152" cm="1">
        <f t="array" aca="1" ref="CI39" ca="1">IFERROR(INDIRECT("Yr"&amp;IF($C$5=Year1,1,IF($C$5=Year2,2,IF($C$5=Year3,3,IF($C$5=Lookups!$D$40,"All"))))&amp;"!"&amp;CI$72&amp;$DE39)*100,0)</f>
        <v>-3.3753770646078998</v>
      </c>
      <c r="CJ39" s="152" cm="1">
        <f t="array" aca="1" ref="CJ39" ca="1">IFERROR(INDIRECT("Yr"&amp;IF($C$5=Year1,1,IF($C$5=Year2,2,IF($C$5=Year3,3,IF($C$5=Lookups!$D$40,"All"))))&amp;"!"&amp;CJ$72&amp;$DE39)*100,0)</f>
        <v>-3.3753770646078998</v>
      </c>
      <c r="CK39" s="152" cm="1">
        <f t="array" aca="1" ref="CK39" ca="1">IFERROR(INDIRECT("Yr"&amp;IF($C$5=Year1,1,IF($C$5=Year2,2,IF($C$5=Year3,3,IF($C$5=Lookups!$D$40,"All"))))&amp;"!"&amp;CK$72&amp;$DE39)*100,0)</f>
        <v>-3.3753770646078998</v>
      </c>
      <c r="CL39" s="152" cm="1">
        <f t="array" aca="1" ref="CL39" ca="1">IFERROR(INDIRECT("Yr"&amp;IF($C$5=Year1,1,IF($C$5=Year2,2,IF($C$5=Year3,3,IF($C$5=Lookups!$D$40,"All"))))&amp;"!"&amp;CL$72&amp;$DE39)*100,0)</f>
        <v>-3.3753770646078998</v>
      </c>
      <c r="CM39" s="152" cm="1">
        <f t="array" aca="1" ref="CM39" ca="1">IFERROR(INDIRECT("Yr"&amp;IF($C$5=Year1,1,IF($C$5=Year2,2,IF($C$5=Year3,3,IF($C$5=Lookups!$D$40,"All"))))&amp;"!"&amp;CM$72&amp;$DE39)*100,0)</f>
        <v>-3.3753770646078998</v>
      </c>
      <c r="CN39" s="152" cm="1">
        <f t="array" aca="1" ref="CN39" ca="1">IFERROR(INDIRECT("Yr"&amp;IF($C$5=Year1,1,IF($C$5=Year2,2,IF($C$5=Year3,3,IF($C$5=Lookups!$D$40,"All"))))&amp;"!"&amp;CN$72&amp;$DE39)*100,0)</f>
        <v>-3.3753770646078998</v>
      </c>
      <c r="CO39" s="152" cm="1">
        <f t="array" aca="1" ref="CO39" ca="1">IFERROR(INDIRECT("Yr"&amp;IF($C$5=Year1,1,IF($C$5=Year2,2,IF($C$5=Year3,3,IF($C$5=Lookups!$D$40,"All"))))&amp;"!"&amp;CO$72&amp;$DE39)*100,0)</f>
        <v>-3.3502538376218083</v>
      </c>
      <c r="CP39" s="152" cm="1">
        <f t="array" aca="1" ref="CP39" ca="1">IFERROR(INDIRECT("Yr"&amp;IF($C$5=Year1,1,IF($C$5=Year2,2,IF($C$5=Year3,3,IF($C$5=Lookups!$D$40,"All"))))&amp;"!"&amp;CP$72&amp;$DE39)*100,0)</f>
        <v>-3.3251709973854049</v>
      </c>
      <c r="CQ39" s="152" cm="1">
        <f t="array" aca="1" ref="CQ39" ca="1">IFERROR(INDIRECT("Yr"&amp;IF($C$5=Year1,1,IF($C$5=Year2,2,IF($C$5=Year3,3,IF($C$5=Lookups!$D$40,"All"))))&amp;"!"&amp;CQ$72&amp;$DE39)*100,0)</f>
        <v>-3.3000000000000003</v>
      </c>
      <c r="CR39" s="152" cm="1">
        <f t="array" aca="1" ref="CR39" ca="1">IFERROR(INDIRECT("Yr"&amp;IF($C$5=Year1,1,IF($C$5=Year2,2,IF($C$5=Year3,3,IF($C$5=Lookups!$D$40,"All"))))&amp;"!"&amp;CR$72&amp;$DE39)*100,0)</f>
        <v>-3.3000000000000003</v>
      </c>
      <c r="CS39" s="152" cm="1">
        <f t="array" aca="1" ref="CS39" ca="1">IFERROR(INDIRECT("Yr"&amp;IF($C$5=Year1,1,IF($C$5=Year2,2,IF($C$5=Year3,3,IF($C$5=Lookups!$D$40,"All"))))&amp;"!"&amp;CS$72&amp;$DE39)*100,0)</f>
        <v>-3.3000000000000003</v>
      </c>
      <c r="CT39" s="152" cm="1">
        <f t="array" aca="1" ref="CT39" ca="1">IFERROR(INDIRECT("Yr"&amp;IF($C$5=Year1,1,IF($C$5=Year2,2,IF($C$5=Year3,3,IF($C$5=Lookups!$D$40,"All"))))&amp;"!"&amp;CT$72&amp;$DE39)*100,0)</f>
        <v>-3.3000000000000003</v>
      </c>
      <c r="CU39" s="152" cm="1">
        <f t="array" aca="1" ref="CU39" ca="1">IFERROR(INDIRECT("Yr"&amp;IF($C$5=Year1,1,IF($C$5=Year2,2,IF($C$5=Year3,3,IF($C$5=Lookups!$D$40,"All"))))&amp;"!"&amp;CU$72&amp;$DE39)*100,0)</f>
        <v>-3.3000000000000003</v>
      </c>
      <c r="CV39" s="152" cm="1">
        <f t="array" aca="1" ref="CV39" ca="1">IFERROR(INDIRECT("Yr"&amp;IF($C$5=Year1,1,IF($C$5=Year2,2,IF($C$5=Year3,3,IF($C$5=Lookups!$D$40,"All"))))&amp;"!"&amp;CV$72&amp;$DE39)*100,0)</f>
        <v>-3.3000000000000003</v>
      </c>
      <c r="CW39" s="152" cm="1">
        <f t="array" aca="1" ref="CW39" ca="1">IFERROR(INDIRECT("Yr"&amp;IF($C$5=Year1,1,IF($C$5=Year2,2,IF($C$5=Year3,3,IF($C$5=Lookups!$D$40,"All"))))&amp;"!"&amp;CW$72&amp;$DE39)*100,0)</f>
        <v>-3.3000000000000003</v>
      </c>
      <c r="CX39" s="152" cm="1">
        <f t="array" aca="1" ref="CX39" ca="1">IFERROR(INDIRECT("Yr"&amp;IF($C$5=Year1,1,IF($C$5=Year2,2,IF($C$5=Year3,3,IF($C$5=Lookups!$D$40,"All"))))&amp;"!"&amp;CX$72&amp;$DE39)*100,0)</f>
        <v>-3.3000000000000003</v>
      </c>
      <c r="CY39" s="152" cm="1">
        <f t="array" aca="1" ref="CY39" ca="1">IFERROR(INDIRECT("Yr"&amp;IF($C$5=Year1,1,IF($C$5=Year2,2,IF($C$5=Year3,3,IF($C$5=Lookups!$D$40,"All"))))&amp;"!"&amp;CY$72&amp;$DE39)*100,0)</f>
        <v>-3.3000000000000003</v>
      </c>
      <c r="CZ39" s="152" cm="1">
        <f t="array" aca="1" ref="CZ39" ca="1">IFERROR(INDIRECT("Yr"&amp;IF($C$5=Year1,1,IF($C$5=Year2,2,IF($C$5=Year3,3,IF($C$5=Lookups!$D$40,"All"))))&amp;"!"&amp;CZ$72&amp;$DE39)*100,0)</f>
        <v>-3.3000000000000003</v>
      </c>
      <c r="DA39" s="152"/>
      <c r="DB39" s="152">
        <f ca="1">IF($C$5=Lookups!$D$40,-PMT(Lookups!$E$17,27,NPV(Lookups!$E$17,BZ39:CZ39),0,1),-PMT(Lookups!$E$17,25,NPV(Lookups!$E$17,BZ39:CX39),0,1))</f>
        <v>-3.2980260457478332</v>
      </c>
      <c r="DE39" s="516">
        <f t="shared" si="5"/>
        <v>53</v>
      </c>
    </row>
    <row r="40" spans="3:114" x14ac:dyDescent="0.25">
      <c r="BV40" s="343"/>
      <c r="BW40" s="346"/>
      <c r="BX40" s="131" t="s">
        <v>197</v>
      </c>
      <c r="BY40" s="131" t="s">
        <v>409</v>
      </c>
      <c r="BZ40" s="152" cm="1">
        <f t="array" aca="1" ref="BZ40" ca="1">IFERROR(INDIRECT("Yr"&amp;IF($C$5=Year1,1,IF($C$5=Year2,2,IF($C$5=Year3,3,IF($C$5=Lookups!$D$40,"All"))))&amp;"!"&amp;BZ$72&amp;$DE40)*100,0)</f>
        <v>62.008297618512451</v>
      </c>
      <c r="CA40" s="152" cm="1">
        <f t="array" aca="1" ref="CA40" ca="1">IFERROR(INDIRECT("Yr"&amp;IF($C$5=Year1,1,IF($C$5=Year2,2,IF($C$5=Year3,3,IF($C$5=Lookups!$D$40,"All"))))&amp;"!"&amp;CA$72&amp;$DE40)*100,0)</f>
        <v>61.986108776974923</v>
      </c>
      <c r="CB40" s="152" cm="1">
        <f t="array" aca="1" ref="CB40" ca="1">IFERROR(INDIRECT("Yr"&amp;IF($C$5=Year1,1,IF($C$5=Year2,2,IF($C$5=Year3,3,IF($C$5=Lookups!$D$40,"All"))))&amp;"!"&amp;CB$72&amp;$DE40)*100,0)</f>
        <v>61.963222809937776</v>
      </c>
      <c r="CC40" s="152" cm="1">
        <f t="array" aca="1" ref="CC40" ca="1">IFERROR(INDIRECT("Yr"&amp;IF($C$5=Year1,1,IF($C$5=Year2,2,IF($C$5=Year3,3,IF($C$5=Lookups!$D$40,"All"))))&amp;"!"&amp;CC$72&amp;$DE40)*100,0)</f>
        <v>61.963222809937776</v>
      </c>
      <c r="CD40" s="152" cm="1">
        <f t="array" aca="1" ref="CD40" ca="1">IFERROR(INDIRECT("Yr"&amp;IF($C$5=Year1,1,IF($C$5=Year2,2,IF($C$5=Year3,3,IF($C$5=Lookups!$D$40,"All"))))&amp;"!"&amp;CD$72&amp;$DE40)*100,0)</f>
        <v>61.963222809937776</v>
      </c>
      <c r="CE40" s="152" cm="1">
        <f t="array" aca="1" ref="CE40" ca="1">IFERROR(INDIRECT("Yr"&amp;IF($C$5=Year1,1,IF($C$5=Year2,2,IF($C$5=Year3,3,IF($C$5=Lookups!$D$40,"All"))))&amp;"!"&amp;CE$72&amp;$DE40)*100,0)</f>
        <v>61.963222809937776</v>
      </c>
      <c r="CF40" s="152" cm="1">
        <f t="array" aca="1" ref="CF40" ca="1">IFERROR(INDIRECT("Yr"&amp;IF($C$5=Year1,1,IF($C$5=Year2,2,IF($C$5=Year3,3,IF($C$5=Lookups!$D$40,"All"))))&amp;"!"&amp;CF$72&amp;$DE40)*100,0)</f>
        <v>61.963222809937776</v>
      </c>
      <c r="CG40" s="152" cm="1">
        <f t="array" aca="1" ref="CG40" ca="1">IFERROR(INDIRECT("Yr"&amp;IF($C$5=Year1,1,IF($C$5=Year2,2,IF($C$5=Year3,3,IF($C$5=Lookups!$D$40,"All"))))&amp;"!"&amp;CG$72&amp;$DE40)*100,0)</f>
        <v>61.963222809937776</v>
      </c>
      <c r="CH40" s="152" cm="1">
        <f t="array" aca="1" ref="CH40" ca="1">IFERROR(INDIRECT("Yr"&amp;IF($C$5=Year1,1,IF($C$5=Year2,2,IF($C$5=Year3,3,IF($C$5=Lookups!$D$40,"All"))))&amp;"!"&amp;CH$72&amp;$DE40)*100,0)</f>
        <v>61.963222809937776</v>
      </c>
      <c r="CI40" s="152" cm="1">
        <f t="array" aca="1" ref="CI40" ca="1">IFERROR(INDIRECT("Yr"&amp;IF($C$5=Year1,1,IF($C$5=Year2,2,IF($C$5=Year3,3,IF($C$5=Lookups!$D$40,"All"))))&amp;"!"&amp;CI$72&amp;$DE40)*100,0)</f>
        <v>61.963222809937776</v>
      </c>
      <c r="CJ40" s="152" cm="1">
        <f t="array" aca="1" ref="CJ40" ca="1">IFERROR(INDIRECT("Yr"&amp;IF($C$5=Year1,1,IF($C$5=Year2,2,IF($C$5=Year3,3,IF($C$5=Lookups!$D$40,"All"))))&amp;"!"&amp;CJ$72&amp;$DE40)*100,0)</f>
        <v>61.963222809937776</v>
      </c>
      <c r="CK40" s="152" cm="1">
        <f t="array" aca="1" ref="CK40" ca="1">IFERROR(INDIRECT("Yr"&amp;IF($C$5=Year1,1,IF($C$5=Year2,2,IF($C$5=Year3,3,IF($C$5=Lookups!$D$40,"All"))))&amp;"!"&amp;CK$72&amp;$DE40)*100,0)</f>
        <v>61.963222809937776</v>
      </c>
      <c r="CL40" s="152" cm="1">
        <f t="array" aca="1" ref="CL40" ca="1">IFERROR(INDIRECT("Yr"&amp;IF($C$5=Year1,1,IF($C$5=Year2,2,IF($C$5=Year3,3,IF($C$5=Lookups!$D$40,"All"))))&amp;"!"&amp;CL$72&amp;$DE40)*100,0)</f>
        <v>61.963222809937776</v>
      </c>
      <c r="CM40" s="152" cm="1">
        <f t="array" aca="1" ref="CM40" ca="1">IFERROR(INDIRECT("Yr"&amp;IF($C$5=Year1,1,IF($C$5=Year2,2,IF($C$5=Year3,3,IF($C$5=Lookups!$D$40,"All"))))&amp;"!"&amp;CM$72&amp;$DE40)*100,0)</f>
        <v>61.963222809937776</v>
      </c>
      <c r="CN40" s="152" cm="1">
        <f t="array" aca="1" ref="CN40" ca="1">IFERROR(INDIRECT("Yr"&amp;IF($C$5=Year1,1,IF($C$5=Year2,2,IF($C$5=Year3,3,IF($C$5=Lookups!$D$40,"All"))))&amp;"!"&amp;CN$72&amp;$DE40)*100,0)</f>
        <v>61.963222809937776</v>
      </c>
      <c r="CO40" s="152" cm="1">
        <f t="array" aca="1" ref="CO40" ca="1">IFERROR(INDIRECT("Yr"&amp;IF($C$5=Year1,1,IF($C$5=Year2,2,IF($C$5=Year3,3,IF($C$5=Lookups!$D$40,"All"))))&amp;"!"&amp;CO$72&amp;$DE40)*100,0)</f>
        <v>61.985591180491348</v>
      </c>
      <c r="CP40" s="152" cm="1">
        <f t="array" aca="1" ref="CP40" ca="1">IFERROR(INDIRECT("Yr"&amp;IF($C$5=Year1,1,IF($C$5=Year2,2,IF($C$5=Year3,3,IF($C$5=Lookups!$D$40,"All"))))&amp;"!"&amp;CP$72&amp;$DE40)*100,0)</f>
        <v>62.00778922723611</v>
      </c>
      <c r="CQ40" s="152" cm="1">
        <f t="array" aca="1" ref="CQ40" ca="1">IFERROR(INDIRECT("Yr"&amp;IF($C$5=Year1,1,IF($C$5=Year2,2,IF($C$5=Year3,3,IF($C$5=Lookups!$D$40,"All"))))&amp;"!"&amp;CQ$72&amp;$DE40)*100,0)</f>
        <v>62.029999999999994</v>
      </c>
      <c r="CR40" s="152" cm="1">
        <f t="array" aca="1" ref="CR40" ca="1">IFERROR(INDIRECT("Yr"&amp;IF($C$5=Year1,1,IF($C$5=Year2,2,IF($C$5=Year3,3,IF($C$5=Lookups!$D$40,"All"))))&amp;"!"&amp;CR$72&amp;$DE40)*100,0)</f>
        <v>62.029999999999994</v>
      </c>
      <c r="CS40" s="152" cm="1">
        <f t="array" aca="1" ref="CS40" ca="1">IFERROR(INDIRECT("Yr"&amp;IF($C$5=Year1,1,IF($C$5=Year2,2,IF($C$5=Year3,3,IF($C$5=Lookups!$D$40,"All"))))&amp;"!"&amp;CS$72&amp;$DE40)*100,0)</f>
        <v>62.029999999999994</v>
      </c>
      <c r="CT40" s="152" cm="1">
        <f t="array" aca="1" ref="CT40" ca="1">IFERROR(INDIRECT("Yr"&amp;IF($C$5=Year1,1,IF($C$5=Year2,2,IF($C$5=Year3,3,IF($C$5=Lookups!$D$40,"All"))))&amp;"!"&amp;CT$72&amp;$DE40)*100,0)</f>
        <v>62.029999999999994</v>
      </c>
      <c r="CU40" s="152" cm="1">
        <f t="array" aca="1" ref="CU40" ca="1">IFERROR(INDIRECT("Yr"&amp;IF($C$5=Year1,1,IF($C$5=Year2,2,IF($C$5=Year3,3,IF($C$5=Lookups!$D$40,"All"))))&amp;"!"&amp;CU$72&amp;$DE40)*100,0)</f>
        <v>62.029999999999994</v>
      </c>
      <c r="CV40" s="152" cm="1">
        <f t="array" aca="1" ref="CV40" ca="1">IFERROR(INDIRECT("Yr"&amp;IF($C$5=Year1,1,IF($C$5=Year2,2,IF($C$5=Year3,3,IF($C$5=Lookups!$D$40,"All"))))&amp;"!"&amp;CV$72&amp;$DE40)*100,0)</f>
        <v>62.029999999999994</v>
      </c>
      <c r="CW40" s="152" cm="1">
        <f t="array" aca="1" ref="CW40" ca="1">IFERROR(INDIRECT("Yr"&amp;IF($C$5=Year1,1,IF($C$5=Year2,2,IF($C$5=Year3,3,IF($C$5=Lookups!$D$40,"All"))))&amp;"!"&amp;CW$72&amp;$DE40)*100,0)</f>
        <v>62.029999999999994</v>
      </c>
      <c r="CX40" s="152" cm="1">
        <f t="array" aca="1" ref="CX40" ca="1">IFERROR(INDIRECT("Yr"&amp;IF($C$5=Year1,1,IF($C$5=Year2,2,IF($C$5=Year3,3,IF($C$5=Lookups!$D$40,"All"))))&amp;"!"&amp;CX$72&amp;$DE40)*100,0)</f>
        <v>62.029999999999994</v>
      </c>
      <c r="CY40" s="152" cm="1">
        <f t="array" aca="1" ref="CY40" ca="1">IFERROR(INDIRECT("Yr"&amp;IF($C$5=Year1,1,IF($C$5=Year2,2,IF($C$5=Year3,3,IF($C$5=Lookups!$D$40,"All"))))&amp;"!"&amp;CY$72&amp;$DE40)*100,0)</f>
        <v>62.029999999999994</v>
      </c>
      <c r="CZ40" s="152" cm="1">
        <f t="array" aca="1" ref="CZ40" ca="1">IFERROR(INDIRECT("Yr"&amp;IF($C$5=Year1,1,IF($C$5=Year2,2,IF($C$5=Year3,3,IF($C$5=Lookups!$D$40,"All"))))&amp;"!"&amp;CZ$72&amp;$DE40)*100,0)</f>
        <v>62.029999999999994</v>
      </c>
      <c r="DA40" s="152"/>
      <c r="DB40" s="152">
        <f ca="1">IF($C$5=Lookups!$D$40,-PMT(Lookups!$E$17,27,NPV(Lookups!$E$17,BZ40:CZ40),0,1),-PMT(Lookups!$E$17,25,NPV(Lookups!$E$17,BZ40:CX40),0,1))</f>
        <v>61.125858123383978</v>
      </c>
      <c r="DE40" s="516">
        <f t="shared" si="5"/>
        <v>54</v>
      </c>
    </row>
    <row r="41" spans="3:114" x14ac:dyDescent="0.25">
      <c r="BV41" s="343"/>
      <c r="BW41" s="346"/>
      <c r="BX41" s="131" t="s">
        <v>405</v>
      </c>
      <c r="BY41" s="131" t="s">
        <v>409</v>
      </c>
      <c r="BZ41" s="152" cm="1">
        <f t="array" aca="1" ref="BZ41" ca="1">IFERROR(INDIRECT("Yr"&amp;IF($C$5=Year1,1,IF($C$5=Year2,2,IF($C$5=Year3,3,IF($C$5=Lookups!$D$40,"All"))))&amp;"!"&amp;BZ$72&amp;$DE41)*100,0)</f>
        <v>7.7623676390230019</v>
      </c>
      <c r="CA41" s="152" cm="1">
        <f t="array" aca="1" ref="CA41" ca="1">IFERROR(INDIRECT("Yr"&amp;IF($C$5=Year1,1,IF($C$5=Year2,2,IF($C$5=Year3,3,IF($C$5=Lookups!$D$40,"All"))))&amp;"!"&amp;CA$72&amp;$DE41)*100,0)</f>
        <v>7.998496595510125</v>
      </c>
      <c r="CB41" s="152" cm="1">
        <f t="array" aca="1" ref="CB41" ca="1">IFERROR(INDIRECT("Yr"&amp;IF($C$5=Year1,1,IF($C$5=Year2,2,IF($C$5=Year3,3,IF($C$5=Lookups!$D$40,"All"))))&amp;"!"&amp;CB$72&amp;$DE41)*100,0)</f>
        <v>8.2542973872564964</v>
      </c>
      <c r="CC41" s="152" cm="1">
        <f t="array" aca="1" ref="CC41" ca="1">IFERROR(INDIRECT("Yr"&amp;IF($C$5=Year1,1,IF($C$5=Year2,2,IF($C$5=Year3,3,IF($C$5=Lookups!$D$40,"All"))))&amp;"!"&amp;CC$72&amp;$DE41)*100,0)</f>
        <v>0</v>
      </c>
      <c r="CD41" s="152" cm="1">
        <f t="array" aca="1" ref="CD41" ca="1">IFERROR(INDIRECT("Yr"&amp;IF($C$5=Year1,1,IF($C$5=Year2,2,IF($C$5=Year3,3,IF($C$5=Lookups!$D$40,"All"))))&amp;"!"&amp;CD$72&amp;$DE41)*100,0)</f>
        <v>0</v>
      </c>
      <c r="CE41" s="152" cm="1">
        <f t="array" aca="1" ref="CE41" ca="1">IFERROR(INDIRECT("Yr"&amp;IF($C$5=Year1,1,IF($C$5=Year2,2,IF($C$5=Year3,3,IF($C$5=Lookups!$D$40,"All"))))&amp;"!"&amp;CE$72&amp;$DE41)*100,0)</f>
        <v>0</v>
      </c>
      <c r="CF41" s="152" cm="1">
        <f t="array" aca="1" ref="CF41" ca="1">IFERROR(INDIRECT("Yr"&amp;IF($C$5=Year1,1,IF($C$5=Year2,2,IF($C$5=Year3,3,IF($C$5=Lookups!$D$40,"All"))))&amp;"!"&amp;CF$72&amp;$DE41)*100,0)</f>
        <v>0</v>
      </c>
      <c r="CG41" s="152" cm="1">
        <f t="array" aca="1" ref="CG41" ca="1">IFERROR(INDIRECT("Yr"&amp;IF($C$5=Year1,1,IF($C$5=Year2,2,IF($C$5=Year3,3,IF($C$5=Lookups!$D$40,"All"))))&amp;"!"&amp;CG$72&amp;$DE41)*100,0)</f>
        <v>0</v>
      </c>
      <c r="CH41" s="152" cm="1">
        <f t="array" aca="1" ref="CH41" ca="1">IFERROR(INDIRECT("Yr"&amp;IF($C$5=Year1,1,IF($C$5=Year2,2,IF($C$5=Year3,3,IF($C$5=Lookups!$D$40,"All"))))&amp;"!"&amp;CH$72&amp;$DE41)*100,0)</f>
        <v>0</v>
      </c>
      <c r="CI41" s="152" cm="1">
        <f t="array" aca="1" ref="CI41" ca="1">IFERROR(INDIRECT("Yr"&amp;IF($C$5=Year1,1,IF($C$5=Year2,2,IF($C$5=Year3,3,IF($C$5=Lookups!$D$40,"All"))))&amp;"!"&amp;CI$72&amp;$DE41)*100,0)</f>
        <v>0</v>
      </c>
      <c r="CJ41" s="152" cm="1">
        <f t="array" aca="1" ref="CJ41" ca="1">IFERROR(INDIRECT("Yr"&amp;IF($C$5=Year1,1,IF($C$5=Year2,2,IF($C$5=Year3,3,IF($C$5=Lookups!$D$40,"All"))))&amp;"!"&amp;CJ$72&amp;$DE41)*100,0)</f>
        <v>0</v>
      </c>
      <c r="CK41" s="152" cm="1">
        <f t="array" aca="1" ref="CK41" ca="1">IFERROR(INDIRECT("Yr"&amp;IF($C$5=Year1,1,IF($C$5=Year2,2,IF($C$5=Year3,3,IF($C$5=Lookups!$D$40,"All"))))&amp;"!"&amp;CK$72&amp;$DE41)*100,0)</f>
        <v>0</v>
      </c>
      <c r="CL41" s="152" cm="1">
        <f t="array" aca="1" ref="CL41" ca="1">IFERROR(INDIRECT("Yr"&amp;IF($C$5=Year1,1,IF($C$5=Year2,2,IF($C$5=Year3,3,IF($C$5=Lookups!$D$40,"All"))))&amp;"!"&amp;CL$72&amp;$DE41)*100,0)</f>
        <v>0</v>
      </c>
      <c r="CM41" s="152" cm="1">
        <f t="array" aca="1" ref="CM41" ca="1">IFERROR(INDIRECT("Yr"&amp;IF($C$5=Year1,1,IF($C$5=Year2,2,IF($C$5=Year3,3,IF($C$5=Lookups!$D$40,"All"))))&amp;"!"&amp;CM$72&amp;$DE41)*100,0)</f>
        <v>0</v>
      </c>
      <c r="CN41" s="152" cm="1">
        <f t="array" aca="1" ref="CN41" ca="1">IFERROR(INDIRECT("Yr"&amp;IF($C$5=Year1,1,IF($C$5=Year2,2,IF($C$5=Year3,3,IF($C$5=Lookups!$D$40,"All"))))&amp;"!"&amp;CN$72&amp;$DE41)*100,0)</f>
        <v>0</v>
      </c>
      <c r="CO41" s="152" cm="1">
        <f t="array" aca="1" ref="CO41" ca="1">IFERROR(INDIRECT("Yr"&amp;IF($C$5=Year1,1,IF($C$5=Year2,2,IF($C$5=Year3,3,IF($C$5=Lookups!$D$40,"All"))))&amp;"!"&amp;CO$72&amp;$DE41)*100,0)</f>
        <v>0</v>
      </c>
      <c r="CP41" s="152" cm="1">
        <f t="array" aca="1" ref="CP41" ca="1">IFERROR(INDIRECT("Yr"&amp;IF($C$5=Year1,1,IF($C$5=Year2,2,IF($C$5=Year3,3,IF($C$5=Lookups!$D$40,"All"))))&amp;"!"&amp;CP$72&amp;$DE41)*100,0)</f>
        <v>0</v>
      </c>
      <c r="CQ41" s="152" cm="1">
        <f t="array" aca="1" ref="CQ41" ca="1">IFERROR(INDIRECT("Yr"&amp;IF($C$5=Year1,1,IF($C$5=Year2,2,IF($C$5=Year3,3,IF($C$5=Lookups!$D$40,"All"))))&amp;"!"&amp;CQ$72&amp;$DE41)*100,0)</f>
        <v>0</v>
      </c>
      <c r="CR41" s="152" cm="1">
        <f t="array" aca="1" ref="CR41" ca="1">IFERROR(INDIRECT("Yr"&amp;IF($C$5=Year1,1,IF($C$5=Year2,2,IF($C$5=Year3,3,IF($C$5=Lookups!$D$40,"All"))))&amp;"!"&amp;CR$72&amp;$DE41)*100,0)</f>
        <v>0</v>
      </c>
      <c r="CS41" s="152" cm="1">
        <f t="array" aca="1" ref="CS41" ca="1">IFERROR(INDIRECT("Yr"&amp;IF($C$5=Year1,1,IF($C$5=Year2,2,IF($C$5=Year3,3,IF($C$5=Lookups!$D$40,"All"))))&amp;"!"&amp;CS$72&amp;$DE41)*100,0)</f>
        <v>0</v>
      </c>
      <c r="CT41" s="152" cm="1">
        <f t="array" aca="1" ref="CT41" ca="1">IFERROR(INDIRECT("Yr"&amp;IF($C$5=Year1,1,IF($C$5=Year2,2,IF($C$5=Year3,3,IF($C$5=Lookups!$D$40,"All"))))&amp;"!"&amp;CT$72&amp;$DE41)*100,0)</f>
        <v>0</v>
      </c>
      <c r="CU41" s="152" cm="1">
        <f t="array" aca="1" ref="CU41" ca="1">IFERROR(INDIRECT("Yr"&amp;IF($C$5=Year1,1,IF($C$5=Year2,2,IF($C$5=Year3,3,IF($C$5=Lookups!$D$40,"All"))))&amp;"!"&amp;CU$72&amp;$DE41)*100,0)</f>
        <v>0</v>
      </c>
      <c r="CV41" s="152" cm="1">
        <f t="array" aca="1" ref="CV41" ca="1">IFERROR(INDIRECT("Yr"&amp;IF($C$5=Year1,1,IF($C$5=Year2,2,IF($C$5=Year3,3,IF($C$5=Lookups!$D$40,"All"))))&amp;"!"&amp;CV$72&amp;$DE41)*100,0)</f>
        <v>0</v>
      </c>
      <c r="CW41" s="152" cm="1">
        <f t="array" aca="1" ref="CW41" ca="1">IFERROR(INDIRECT("Yr"&amp;IF($C$5=Year1,1,IF($C$5=Year2,2,IF($C$5=Year3,3,IF($C$5=Lookups!$D$40,"All"))))&amp;"!"&amp;CW$72&amp;$DE41)*100,0)</f>
        <v>0</v>
      </c>
      <c r="CX41" s="152" cm="1">
        <f t="array" aca="1" ref="CX41" ca="1">IFERROR(INDIRECT("Yr"&amp;IF($C$5=Year1,1,IF($C$5=Year2,2,IF($C$5=Year3,3,IF($C$5=Lookups!$D$40,"All"))))&amp;"!"&amp;CX$72&amp;$DE41)*100,0)</f>
        <v>0</v>
      </c>
      <c r="CY41" s="152" cm="1">
        <f t="array" aca="1" ref="CY41" ca="1">IFERROR(INDIRECT("Yr"&amp;IF($C$5=Year1,1,IF($C$5=Year2,2,IF($C$5=Year3,3,IF($C$5=Lookups!$D$40,"All"))))&amp;"!"&amp;CY$72&amp;$DE41)*100,0)</f>
        <v>0</v>
      </c>
      <c r="CZ41" s="152" cm="1">
        <f t="array" aca="1" ref="CZ41" ca="1">IFERROR(INDIRECT("Yr"&amp;IF($C$5=Year1,1,IF($C$5=Year2,2,IF($C$5=Year3,3,IF($C$5=Lookups!$D$40,"All"))))&amp;"!"&amp;CZ$72&amp;$DE41)*100,0)</f>
        <v>0</v>
      </c>
      <c r="DA41" s="152"/>
      <c r="DB41" s="152">
        <f ca="1">IF($C$5=Lookups!$D$40,-PMT(Lookups!$E$17,27,NPV(Lookups!$E$17,BZ41:CZ41),0,1),-PMT(Lookups!$E$17,25,NPV(Lookups!$E$17,BZ41:CX41),0,1))</f>
        <v>1.0316341414967893</v>
      </c>
      <c r="DE41" s="516">
        <f t="shared" si="5"/>
        <v>55</v>
      </c>
    </row>
    <row r="42" spans="3:114" x14ac:dyDescent="0.25">
      <c r="BV42" s="343"/>
      <c r="BW42" s="160" t="s">
        <v>72</v>
      </c>
      <c r="BX42" s="131"/>
      <c r="BY42" s="131"/>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E42" s="516">
        <f t="shared" si="5"/>
        <v>0</v>
      </c>
    </row>
    <row r="43" spans="3:114" x14ac:dyDescent="0.25">
      <c r="BV43" s="343"/>
      <c r="BW43" s="346"/>
      <c r="BX43" s="131" t="s">
        <v>224</v>
      </c>
      <c r="BY43" s="131" t="s">
        <v>409</v>
      </c>
      <c r="BZ43" s="338" cm="1">
        <f t="array" aca="1" ref="BZ43" ca="1">IFERROR(INDIRECT("Yr"&amp;IF($C$5=Year1,1,IF($C$5=Year2,2,IF($C$5=Year3,3,IF($C$5=Lookups!$D$40,"All"))))&amp;"!"&amp;BZ$72&amp;$DE43)*100,0)</f>
        <v>-0.51085041063533032</v>
      </c>
      <c r="CA43" s="338" cm="1">
        <f t="array" aca="1" ref="CA43" ca="1">IFERROR(INDIRECT("Yr"&amp;IF($C$5=Year1,1,IF($C$5=Year2,2,IF($C$5=Year3,3,IF($C$5=Lookups!$D$40,"All"))))&amp;"!"&amp;CA$72&amp;$DE43)*100,0)</f>
        <v>-1.0357829625322748</v>
      </c>
      <c r="CB43" s="338" cm="1">
        <f t="array" aca="1" ref="CB43" ca="1">IFERROR(INDIRECT("Yr"&amp;IF($C$5=Year1,1,IF($C$5=Year2,2,IF($C$5=Year3,3,IF($C$5=Lookups!$D$40,"All"))))&amp;"!"&amp;CB$72&amp;$DE43)*100,0)</f>
        <v>-1.5785604838559497</v>
      </c>
      <c r="CC43" s="338" cm="1">
        <f t="array" aca="1" ref="CC43" ca="1">IFERROR(INDIRECT("Yr"&amp;IF($C$5=Year1,1,IF($C$5=Year2,2,IF($C$5=Year3,3,IF($C$5=Lookups!$D$40,"All"))))&amp;"!"&amp;CC$72&amp;$DE43)*100,0)</f>
        <v>-1.5785604838559497</v>
      </c>
      <c r="CD43" s="338" cm="1">
        <f t="array" aca="1" ref="CD43" ca="1">IFERROR(INDIRECT("Yr"&amp;IF($C$5=Year1,1,IF($C$5=Year2,2,IF($C$5=Year3,3,IF($C$5=Lookups!$D$40,"All"))))&amp;"!"&amp;CD$72&amp;$DE43)*100,0)</f>
        <v>-1.5785604838559497</v>
      </c>
      <c r="CE43" s="338" cm="1">
        <f t="array" aca="1" ref="CE43" ca="1">IFERROR(INDIRECT("Yr"&amp;IF($C$5=Year1,1,IF($C$5=Year2,2,IF($C$5=Year3,3,IF($C$5=Lookups!$D$40,"All"))))&amp;"!"&amp;CE$72&amp;$DE43)*100,0)</f>
        <v>-1.5785604838559497</v>
      </c>
      <c r="CF43" s="338" cm="1">
        <f t="array" aca="1" ref="CF43" ca="1">IFERROR(INDIRECT("Yr"&amp;IF($C$5=Year1,1,IF($C$5=Year2,2,IF($C$5=Year3,3,IF($C$5=Lookups!$D$40,"All"))))&amp;"!"&amp;CF$72&amp;$DE43)*100,0)</f>
        <v>-1.5785604838559497</v>
      </c>
      <c r="CG43" s="338" cm="1">
        <f t="array" aca="1" ref="CG43" ca="1">IFERROR(INDIRECT("Yr"&amp;IF($C$5=Year1,1,IF($C$5=Year2,2,IF($C$5=Year3,3,IF($C$5=Lookups!$D$40,"All"))))&amp;"!"&amp;CG$72&amp;$DE43)*100,0)</f>
        <v>-1.5785604838559497</v>
      </c>
      <c r="CH43" s="338" cm="1">
        <f t="array" aca="1" ref="CH43" ca="1">IFERROR(INDIRECT("Yr"&amp;IF($C$5=Year1,1,IF($C$5=Year2,2,IF($C$5=Year3,3,IF($C$5=Lookups!$D$40,"All"))))&amp;"!"&amp;CH$72&amp;$DE43)*100,0)</f>
        <v>-1.5785604838559497</v>
      </c>
      <c r="CI43" s="338" cm="1">
        <f t="array" aca="1" ref="CI43" ca="1">IFERROR(INDIRECT("Yr"&amp;IF($C$5=Year1,1,IF($C$5=Year2,2,IF($C$5=Year3,3,IF($C$5=Lookups!$D$40,"All"))))&amp;"!"&amp;CI$72&amp;$DE43)*100,0)</f>
        <v>-1.5785604838559497</v>
      </c>
      <c r="CJ43" s="338" cm="1">
        <f t="array" aca="1" ref="CJ43" ca="1">IFERROR(INDIRECT("Yr"&amp;IF($C$5=Year1,1,IF($C$5=Year2,2,IF($C$5=Year3,3,IF($C$5=Lookups!$D$40,"All"))))&amp;"!"&amp;CJ$72&amp;$DE43)*100,0)</f>
        <v>-1.5785604838559497</v>
      </c>
      <c r="CK43" s="338" cm="1">
        <f t="array" aca="1" ref="CK43" ca="1">IFERROR(INDIRECT("Yr"&amp;IF($C$5=Year1,1,IF($C$5=Year2,2,IF($C$5=Year3,3,IF($C$5=Lookups!$D$40,"All"))))&amp;"!"&amp;CK$72&amp;$DE43)*100,0)</f>
        <v>-1.5785604838559497</v>
      </c>
      <c r="CL43" s="338" cm="1">
        <f t="array" aca="1" ref="CL43" ca="1">IFERROR(INDIRECT("Yr"&amp;IF($C$5=Year1,1,IF($C$5=Year2,2,IF($C$5=Year3,3,IF($C$5=Lookups!$D$40,"All"))))&amp;"!"&amp;CL$72&amp;$DE43)*100,0)</f>
        <v>-1.5785604838559497</v>
      </c>
      <c r="CM43" s="338" cm="1">
        <f t="array" aca="1" ref="CM43" ca="1">IFERROR(INDIRECT("Yr"&amp;IF($C$5=Year1,1,IF($C$5=Year2,2,IF($C$5=Year3,3,IF($C$5=Lookups!$D$40,"All"))))&amp;"!"&amp;CM$72&amp;$DE43)*100,0)</f>
        <v>-1.5785604838559497</v>
      </c>
      <c r="CN43" s="338" cm="1">
        <f t="array" aca="1" ref="CN43" ca="1">IFERROR(INDIRECT("Yr"&amp;IF($C$5=Year1,1,IF($C$5=Year2,2,IF($C$5=Year3,3,IF($C$5=Lookups!$D$40,"All"))))&amp;"!"&amp;CN$72&amp;$DE43)*100,0)</f>
        <v>-1.5785604838559497</v>
      </c>
      <c r="CO43" s="338" cm="1">
        <f t="array" aca="1" ref="CO43" ca="1">IFERROR(INDIRECT("Yr"&amp;IF($C$5=Year1,1,IF($C$5=Year2,2,IF($C$5=Year3,3,IF($C$5=Lookups!$D$40,"All"))))&amp;"!"&amp;CO$72&amp;$DE43)*100,0)</f>
        <v>-1.0519835610724166</v>
      </c>
      <c r="CP43" s="338" cm="1">
        <f t="array" aca="1" ref="CP43" ca="1">IFERROR(INDIRECT("Yr"&amp;IF($C$5=Year1,1,IF($C$5=Year2,2,IF($C$5=Year3,3,IF($C$5=Lookups!$D$40,"All"))))&amp;"!"&amp;CP$72&amp;$DE43)*100,0)</f>
        <v>-0.5268036223043181</v>
      </c>
      <c r="CQ43" s="338" cm="1">
        <f t="array" aca="1" ref="CQ43" ca="1">IFERROR(INDIRECT("Yr"&amp;IF($C$5=Year1,1,IF($C$5=Year2,2,IF($C$5=Year3,3,IF($C$5=Lookups!$D$40,"All"))))&amp;"!"&amp;CQ$72&amp;$DE43)*100,0)</f>
        <v>0</v>
      </c>
      <c r="CR43" s="338" cm="1">
        <f t="array" aca="1" ref="CR43" ca="1">IFERROR(INDIRECT("Yr"&amp;IF($C$5=Year1,1,IF($C$5=Year2,2,IF($C$5=Year3,3,IF($C$5=Lookups!$D$40,"All"))))&amp;"!"&amp;CR$72&amp;$DE43)*100,0)</f>
        <v>0</v>
      </c>
      <c r="CS43" s="338" cm="1">
        <f t="array" aca="1" ref="CS43" ca="1">IFERROR(INDIRECT("Yr"&amp;IF($C$5=Year1,1,IF($C$5=Year2,2,IF($C$5=Year3,3,IF($C$5=Lookups!$D$40,"All"))))&amp;"!"&amp;CS$72&amp;$DE43)*100,0)</f>
        <v>0</v>
      </c>
      <c r="CT43" s="338" cm="1">
        <f t="array" aca="1" ref="CT43" ca="1">IFERROR(INDIRECT("Yr"&amp;IF($C$5=Year1,1,IF($C$5=Year2,2,IF($C$5=Year3,3,IF($C$5=Lookups!$D$40,"All"))))&amp;"!"&amp;CT$72&amp;$DE43)*100,0)</f>
        <v>0</v>
      </c>
      <c r="CU43" s="338" cm="1">
        <f t="array" aca="1" ref="CU43" ca="1">IFERROR(INDIRECT("Yr"&amp;IF($C$5=Year1,1,IF($C$5=Year2,2,IF($C$5=Year3,3,IF($C$5=Lookups!$D$40,"All"))))&amp;"!"&amp;CU$72&amp;$DE43)*100,0)</f>
        <v>0</v>
      </c>
      <c r="CV43" s="338" cm="1">
        <f t="array" aca="1" ref="CV43" ca="1">IFERROR(INDIRECT("Yr"&amp;IF($C$5=Year1,1,IF($C$5=Year2,2,IF($C$5=Year3,3,IF($C$5=Lookups!$D$40,"All"))))&amp;"!"&amp;CV$72&amp;$DE43)*100,0)</f>
        <v>0</v>
      </c>
      <c r="CW43" s="338" cm="1">
        <f t="array" aca="1" ref="CW43" ca="1">IFERROR(INDIRECT("Yr"&amp;IF($C$5=Year1,1,IF($C$5=Year2,2,IF($C$5=Year3,3,IF($C$5=Lookups!$D$40,"All"))))&amp;"!"&amp;CW$72&amp;$DE43)*100,0)</f>
        <v>0</v>
      </c>
      <c r="CX43" s="338" cm="1">
        <f t="array" aca="1" ref="CX43" ca="1">IFERROR(INDIRECT("Yr"&amp;IF($C$5=Year1,1,IF($C$5=Year2,2,IF($C$5=Year3,3,IF($C$5=Lookups!$D$40,"All"))))&amp;"!"&amp;CX$72&amp;$DE43)*100,0)</f>
        <v>0</v>
      </c>
      <c r="CY43" s="338" cm="1">
        <f t="array" aca="1" ref="CY43" ca="1">IFERROR(INDIRECT("Yr"&amp;IF($C$5=Year1,1,IF($C$5=Year2,2,IF($C$5=Year3,3,IF($C$5=Lookups!$D$40,"All"))))&amp;"!"&amp;CY$72&amp;$DE43)*100,0)</f>
        <v>0</v>
      </c>
      <c r="CZ43" s="338" cm="1">
        <f t="array" aca="1" ref="CZ43" ca="1">IFERROR(INDIRECT("Yr"&amp;IF($C$5=Year1,1,IF($C$5=Year2,2,IF($C$5=Year3,3,IF($C$5=Lookups!$D$40,"All"))))&amp;"!"&amp;CZ$72&amp;$DE43)*100,0)</f>
        <v>0</v>
      </c>
      <c r="DA43" s="152"/>
      <c r="DB43" s="338"/>
      <c r="DE43" s="516">
        <f t="shared" si="5"/>
        <v>44</v>
      </c>
    </row>
    <row r="44" spans="3:114" x14ac:dyDescent="0.25">
      <c r="BV44" s="343"/>
      <c r="BW44" s="346"/>
      <c r="BX44" s="131" t="s">
        <v>412</v>
      </c>
      <c r="BY44" s="131" t="s">
        <v>409</v>
      </c>
      <c r="BZ44" s="338" cm="1">
        <f t="array" aca="1" ref="BZ44" ca="1">IFERROR(INDIRECT("Yr"&amp;IF($C$5=Year1,1,IF($C$5=Year2,2,IF($C$5=Year3,3,IF($C$5=Lookups!$D$40,"All"))))&amp;"!"&amp;BZ$72&amp;$DE44)*100,0)</f>
        <v>0</v>
      </c>
      <c r="CA44" s="338" cm="1">
        <f t="array" aca="1" ref="CA44" ca="1">IFERROR(INDIRECT("Yr"&amp;IF($C$5=Year1,1,IF($C$5=Year2,2,IF($C$5=Year3,3,IF($C$5=Lookups!$D$40,"All"))))&amp;"!"&amp;CA$72&amp;$DE44)*100,0)</f>
        <v>0</v>
      </c>
      <c r="CB44" s="338" cm="1">
        <f t="array" aca="1" ref="CB44" ca="1">IFERROR(INDIRECT("Yr"&amp;IF($C$5=Year1,1,IF($C$5=Year2,2,IF($C$5=Year3,3,IF($C$5=Lookups!$D$40,"All"))))&amp;"!"&amp;CB$72&amp;$DE44)*100,0)</f>
        <v>0</v>
      </c>
      <c r="CC44" s="338" cm="1">
        <f t="array" aca="1" ref="CC44" ca="1">IFERROR(INDIRECT("Yr"&amp;IF($C$5=Year1,1,IF($C$5=Year2,2,IF($C$5=Year3,3,IF($C$5=Lookups!$D$40,"All"))))&amp;"!"&amp;CC$72&amp;$DE44)*100,0)</f>
        <v>0</v>
      </c>
      <c r="CD44" s="338" cm="1">
        <f t="array" aca="1" ref="CD44" ca="1">IFERROR(INDIRECT("Yr"&amp;IF($C$5=Year1,1,IF($C$5=Year2,2,IF($C$5=Year3,3,IF($C$5=Lookups!$D$40,"All"))))&amp;"!"&amp;CD$72&amp;$DE44)*100,0)</f>
        <v>0</v>
      </c>
      <c r="CE44" s="338" cm="1">
        <f t="array" aca="1" ref="CE44" ca="1">IFERROR(INDIRECT("Yr"&amp;IF($C$5=Year1,1,IF($C$5=Year2,2,IF($C$5=Year3,3,IF($C$5=Lookups!$D$40,"All"))))&amp;"!"&amp;CE$72&amp;$DE44)*100,0)</f>
        <v>0</v>
      </c>
      <c r="CF44" s="338" cm="1">
        <f t="array" aca="1" ref="CF44" ca="1">IFERROR(INDIRECT("Yr"&amp;IF($C$5=Year1,1,IF($C$5=Year2,2,IF($C$5=Year3,3,IF($C$5=Lookups!$D$40,"All"))))&amp;"!"&amp;CF$72&amp;$DE44)*100,0)</f>
        <v>0</v>
      </c>
      <c r="CG44" s="338" cm="1">
        <f t="array" aca="1" ref="CG44" ca="1">IFERROR(INDIRECT("Yr"&amp;IF($C$5=Year1,1,IF($C$5=Year2,2,IF($C$5=Year3,3,IF($C$5=Lookups!$D$40,"All"))))&amp;"!"&amp;CG$72&amp;$DE44)*100,0)</f>
        <v>0</v>
      </c>
      <c r="CH44" s="338" cm="1">
        <f t="array" aca="1" ref="CH44" ca="1">IFERROR(INDIRECT("Yr"&amp;IF($C$5=Year1,1,IF($C$5=Year2,2,IF($C$5=Year3,3,IF($C$5=Lookups!$D$40,"All"))))&amp;"!"&amp;CH$72&amp;$DE44)*100,0)</f>
        <v>0</v>
      </c>
      <c r="CI44" s="338" cm="1">
        <f t="array" aca="1" ref="CI44" ca="1">IFERROR(INDIRECT("Yr"&amp;IF($C$5=Year1,1,IF($C$5=Year2,2,IF($C$5=Year3,3,IF($C$5=Lookups!$D$40,"All"))))&amp;"!"&amp;CI$72&amp;$DE44)*100,0)</f>
        <v>0</v>
      </c>
      <c r="CJ44" s="338" cm="1">
        <f t="array" aca="1" ref="CJ44" ca="1">IFERROR(INDIRECT("Yr"&amp;IF($C$5=Year1,1,IF($C$5=Year2,2,IF($C$5=Year3,3,IF($C$5=Lookups!$D$40,"All"))))&amp;"!"&amp;CJ$72&amp;$DE44)*100,0)</f>
        <v>0</v>
      </c>
      <c r="CK44" s="338" cm="1">
        <f t="array" aca="1" ref="CK44" ca="1">IFERROR(INDIRECT("Yr"&amp;IF($C$5=Year1,1,IF($C$5=Year2,2,IF($C$5=Year3,3,IF($C$5=Lookups!$D$40,"All"))))&amp;"!"&amp;CK$72&amp;$DE44)*100,0)</f>
        <v>0</v>
      </c>
      <c r="CL44" s="338" cm="1">
        <f t="array" aca="1" ref="CL44" ca="1">IFERROR(INDIRECT("Yr"&amp;IF($C$5=Year1,1,IF($C$5=Year2,2,IF($C$5=Year3,3,IF($C$5=Lookups!$D$40,"All"))))&amp;"!"&amp;CL$72&amp;$DE44)*100,0)</f>
        <v>0</v>
      </c>
      <c r="CM44" s="338" cm="1">
        <f t="array" aca="1" ref="CM44" ca="1">IFERROR(INDIRECT("Yr"&amp;IF($C$5=Year1,1,IF($C$5=Year2,2,IF($C$5=Year3,3,IF($C$5=Lookups!$D$40,"All"))))&amp;"!"&amp;CM$72&amp;$DE44)*100,0)</f>
        <v>0</v>
      </c>
      <c r="CN44" s="338" cm="1">
        <f t="array" aca="1" ref="CN44" ca="1">IFERROR(INDIRECT("Yr"&amp;IF($C$5=Year1,1,IF($C$5=Year2,2,IF($C$5=Year3,3,IF($C$5=Lookups!$D$40,"All"))))&amp;"!"&amp;CN$72&amp;$DE44)*100,0)</f>
        <v>0</v>
      </c>
      <c r="CO44" s="338" cm="1">
        <f t="array" aca="1" ref="CO44" ca="1">IFERROR(INDIRECT("Yr"&amp;IF($C$5=Year1,1,IF($C$5=Year2,2,IF($C$5=Year3,3,IF($C$5=Lookups!$D$40,"All"))))&amp;"!"&amp;CO$72&amp;$DE44)*100,0)</f>
        <v>0</v>
      </c>
      <c r="CP44" s="338" cm="1">
        <f t="array" aca="1" ref="CP44" ca="1">IFERROR(INDIRECT("Yr"&amp;IF($C$5=Year1,1,IF($C$5=Year2,2,IF($C$5=Year3,3,IF($C$5=Lookups!$D$40,"All"))))&amp;"!"&amp;CP$72&amp;$DE44)*100,0)</f>
        <v>0</v>
      </c>
      <c r="CQ44" s="338" cm="1">
        <f t="array" aca="1" ref="CQ44" ca="1">IFERROR(INDIRECT("Yr"&amp;IF($C$5=Year1,1,IF($C$5=Year2,2,IF($C$5=Year3,3,IF($C$5=Lookups!$D$40,"All"))))&amp;"!"&amp;CQ$72&amp;$DE44)*100,0)</f>
        <v>0</v>
      </c>
      <c r="CR44" s="338" cm="1">
        <f t="array" aca="1" ref="CR44" ca="1">IFERROR(INDIRECT("Yr"&amp;IF($C$5=Year1,1,IF($C$5=Year2,2,IF($C$5=Year3,3,IF($C$5=Lookups!$D$40,"All"))))&amp;"!"&amp;CR$72&amp;$DE44)*100,0)</f>
        <v>0</v>
      </c>
      <c r="CS44" s="338" cm="1">
        <f t="array" aca="1" ref="CS44" ca="1">IFERROR(INDIRECT("Yr"&amp;IF($C$5=Year1,1,IF($C$5=Year2,2,IF($C$5=Year3,3,IF($C$5=Lookups!$D$40,"All"))))&amp;"!"&amp;CS$72&amp;$DE44)*100,0)</f>
        <v>0</v>
      </c>
      <c r="CT44" s="338" cm="1">
        <f t="array" aca="1" ref="CT44" ca="1">IFERROR(INDIRECT("Yr"&amp;IF($C$5=Year1,1,IF($C$5=Year2,2,IF($C$5=Year3,3,IF($C$5=Lookups!$D$40,"All"))))&amp;"!"&amp;CT$72&amp;$DE44)*100,0)</f>
        <v>0</v>
      </c>
      <c r="CU44" s="338" cm="1">
        <f t="array" aca="1" ref="CU44" ca="1">IFERROR(INDIRECT("Yr"&amp;IF($C$5=Year1,1,IF($C$5=Year2,2,IF($C$5=Year3,3,IF($C$5=Lookups!$D$40,"All"))))&amp;"!"&amp;CU$72&amp;$DE44)*100,0)</f>
        <v>0</v>
      </c>
      <c r="CV44" s="338" cm="1">
        <f t="array" aca="1" ref="CV44" ca="1">IFERROR(INDIRECT("Yr"&amp;IF($C$5=Year1,1,IF($C$5=Year2,2,IF($C$5=Year3,3,IF($C$5=Lookups!$D$40,"All"))))&amp;"!"&amp;CV$72&amp;$DE44)*100,0)</f>
        <v>0</v>
      </c>
      <c r="CW44" s="338" cm="1">
        <f t="array" aca="1" ref="CW44" ca="1">IFERROR(INDIRECT("Yr"&amp;IF($C$5=Year1,1,IF($C$5=Year2,2,IF($C$5=Year3,3,IF($C$5=Lookups!$D$40,"All"))))&amp;"!"&amp;CW$72&amp;$DE44)*100,0)</f>
        <v>0</v>
      </c>
      <c r="CX44" s="338" cm="1">
        <f t="array" aca="1" ref="CX44" ca="1">IFERROR(INDIRECT("Yr"&amp;IF($C$5=Year1,1,IF($C$5=Year2,2,IF($C$5=Year3,3,IF($C$5=Lookups!$D$40,"All"))))&amp;"!"&amp;CX$72&amp;$DE44)*100,0)</f>
        <v>0</v>
      </c>
      <c r="CY44" s="338" cm="1">
        <f t="array" aca="1" ref="CY44" ca="1">IFERROR(INDIRECT("Yr"&amp;IF($C$5=Year1,1,IF($C$5=Year2,2,IF($C$5=Year3,3,IF($C$5=Lookups!$D$40,"All"))))&amp;"!"&amp;CY$72&amp;$DE44)*100,0)</f>
        <v>0</v>
      </c>
      <c r="CZ44" s="338" cm="1">
        <f t="array" aca="1" ref="CZ44" ca="1">IFERROR(INDIRECT("Yr"&amp;IF($C$5=Year1,1,IF($C$5=Year2,2,IF($C$5=Year3,3,IF($C$5=Lookups!$D$40,"All"))))&amp;"!"&amp;CZ$72&amp;$DE44)*100,0)</f>
        <v>0</v>
      </c>
      <c r="DA44" s="152"/>
      <c r="DB44" s="338"/>
      <c r="DE44" s="516"/>
      <c r="DJ44" s="5"/>
    </row>
    <row r="45" spans="3:114" x14ac:dyDescent="0.25">
      <c r="BV45" s="343"/>
      <c r="BW45" s="346"/>
      <c r="BX45" s="131" t="s">
        <v>175</v>
      </c>
      <c r="BY45" s="131" t="s">
        <v>409</v>
      </c>
      <c r="BZ45" s="338" cm="1">
        <f t="array" aca="1" ref="BZ45" ca="1">IFERROR(INDIRECT("Yr"&amp;IF($C$5=Year1,1,IF($C$5=Year2,2,IF($C$5=Year3,3,IF($C$5=Lookups!$D$40,"All"))))&amp;"!"&amp;BZ$72&amp;$DE45)*100,0)</f>
        <v>-2.1702381487538908E-2</v>
      </c>
      <c r="CA45" s="338" cm="1">
        <f t="array" aca="1" ref="CA45" ca="1">IFERROR(INDIRECT("Yr"&amp;IF($C$5=Year1,1,IF($C$5=Year2,2,IF($C$5=Year3,3,IF($C$5=Lookups!$D$40,"All"))))&amp;"!"&amp;CA$72&amp;$DE45)*100,0)</f>
        <v>-4.3891223025070911E-2</v>
      </c>
      <c r="CB45" s="338" cm="1">
        <f t="array" aca="1" ref="CB45" ca="1">IFERROR(INDIRECT("Yr"&amp;IF($C$5=Year1,1,IF($C$5=Year2,2,IF($C$5=Year3,3,IF($C$5=Lookups!$D$40,"All"))))&amp;"!"&amp;CB$72&amp;$DE45)*100,0)</f>
        <v>-6.6777190062222408E-2</v>
      </c>
      <c r="CC45" s="338" cm="1">
        <f t="array" aca="1" ref="CC45" ca="1">IFERROR(INDIRECT("Yr"&amp;IF($C$5=Year1,1,IF($C$5=Year2,2,IF($C$5=Year3,3,IF($C$5=Lookups!$D$40,"All"))))&amp;"!"&amp;CC$72&amp;$DE45)*100,0)</f>
        <v>-6.6777190062222408E-2</v>
      </c>
      <c r="CD45" s="338" cm="1">
        <f t="array" aca="1" ref="CD45" ca="1">IFERROR(INDIRECT("Yr"&amp;IF($C$5=Year1,1,IF($C$5=Year2,2,IF($C$5=Year3,3,IF($C$5=Lookups!$D$40,"All"))))&amp;"!"&amp;CD$72&amp;$DE45)*100,0)</f>
        <v>-6.6777190062222408E-2</v>
      </c>
      <c r="CE45" s="338" cm="1">
        <f t="array" aca="1" ref="CE45" ca="1">IFERROR(INDIRECT("Yr"&amp;IF($C$5=Year1,1,IF($C$5=Year2,2,IF($C$5=Year3,3,IF($C$5=Lookups!$D$40,"All"))))&amp;"!"&amp;CE$72&amp;$DE45)*100,0)</f>
        <v>-6.6777190062222408E-2</v>
      </c>
      <c r="CF45" s="338" cm="1">
        <f t="array" aca="1" ref="CF45" ca="1">IFERROR(INDIRECT("Yr"&amp;IF($C$5=Year1,1,IF($C$5=Year2,2,IF($C$5=Year3,3,IF($C$5=Lookups!$D$40,"All"))))&amp;"!"&amp;CF$72&amp;$DE45)*100,0)</f>
        <v>-6.6777190062222408E-2</v>
      </c>
      <c r="CG45" s="338" cm="1">
        <f t="array" aca="1" ref="CG45" ca="1">IFERROR(INDIRECT("Yr"&amp;IF($C$5=Year1,1,IF($C$5=Year2,2,IF($C$5=Year3,3,IF($C$5=Lookups!$D$40,"All"))))&amp;"!"&amp;CG$72&amp;$DE45)*100,0)</f>
        <v>-6.6777190062222408E-2</v>
      </c>
      <c r="CH45" s="338" cm="1">
        <f t="array" aca="1" ref="CH45" ca="1">IFERROR(INDIRECT("Yr"&amp;IF($C$5=Year1,1,IF($C$5=Year2,2,IF($C$5=Year3,3,IF($C$5=Lookups!$D$40,"All"))))&amp;"!"&amp;CH$72&amp;$DE45)*100,0)</f>
        <v>-6.6777190062222408E-2</v>
      </c>
      <c r="CI45" s="338" cm="1">
        <f t="array" aca="1" ref="CI45" ca="1">IFERROR(INDIRECT("Yr"&amp;IF($C$5=Year1,1,IF($C$5=Year2,2,IF($C$5=Year3,3,IF($C$5=Lookups!$D$40,"All"))))&amp;"!"&amp;CI$72&amp;$DE45)*100,0)</f>
        <v>-6.6777190062222408E-2</v>
      </c>
      <c r="CJ45" s="338" cm="1">
        <f t="array" aca="1" ref="CJ45" ca="1">IFERROR(INDIRECT("Yr"&amp;IF($C$5=Year1,1,IF($C$5=Year2,2,IF($C$5=Year3,3,IF($C$5=Lookups!$D$40,"All"))))&amp;"!"&amp;CJ$72&amp;$DE45)*100,0)</f>
        <v>-6.6777190062222408E-2</v>
      </c>
      <c r="CK45" s="338" cm="1">
        <f t="array" aca="1" ref="CK45" ca="1">IFERROR(INDIRECT("Yr"&amp;IF($C$5=Year1,1,IF($C$5=Year2,2,IF($C$5=Year3,3,IF($C$5=Lookups!$D$40,"All"))))&amp;"!"&amp;CK$72&amp;$DE45)*100,0)</f>
        <v>-6.6777190062222408E-2</v>
      </c>
      <c r="CL45" s="338" cm="1">
        <f t="array" aca="1" ref="CL45" ca="1">IFERROR(INDIRECT("Yr"&amp;IF($C$5=Year1,1,IF($C$5=Year2,2,IF($C$5=Year3,3,IF($C$5=Lookups!$D$40,"All"))))&amp;"!"&amp;CL$72&amp;$DE45)*100,0)</f>
        <v>-6.6777190062222408E-2</v>
      </c>
      <c r="CM45" s="338" cm="1">
        <f t="array" aca="1" ref="CM45" ca="1">IFERROR(INDIRECT("Yr"&amp;IF($C$5=Year1,1,IF($C$5=Year2,2,IF($C$5=Year3,3,IF($C$5=Lookups!$D$40,"All"))))&amp;"!"&amp;CM$72&amp;$DE45)*100,0)</f>
        <v>-6.6777190062222408E-2</v>
      </c>
      <c r="CN45" s="338" cm="1">
        <f t="array" aca="1" ref="CN45" ca="1">IFERROR(INDIRECT("Yr"&amp;IF($C$5=Year1,1,IF($C$5=Year2,2,IF($C$5=Year3,3,IF($C$5=Lookups!$D$40,"All"))))&amp;"!"&amp;CN$72&amp;$DE45)*100,0)</f>
        <v>-6.6777190062222408E-2</v>
      </c>
      <c r="CO45" s="338" cm="1">
        <f t="array" aca="1" ref="CO45" ca="1">IFERROR(INDIRECT("Yr"&amp;IF($C$5=Year1,1,IF($C$5=Year2,2,IF($C$5=Year3,3,IF($C$5=Lookups!$D$40,"All"))))&amp;"!"&amp;CO$72&amp;$DE45)*100,0)</f>
        <v>-4.440881950864814E-2</v>
      </c>
      <c r="CP45" s="338" cm="1">
        <f t="array" aca="1" ref="CP45" ca="1">IFERROR(INDIRECT("Yr"&amp;IF($C$5=Year1,1,IF($C$5=Year2,2,IF($C$5=Year3,3,IF($C$5=Lookups!$D$40,"All"))))&amp;"!"&amp;CP$72&amp;$DE45)*100,0)</f>
        <v>-2.2210772763891776E-2</v>
      </c>
      <c r="CQ45" s="338" cm="1">
        <f t="array" aca="1" ref="CQ45" ca="1">IFERROR(INDIRECT("Yr"&amp;IF($C$5=Year1,1,IF($C$5=Year2,2,IF($C$5=Year3,3,IF($C$5=Lookups!$D$40,"All"))))&amp;"!"&amp;CQ$72&amp;$DE45)*100,0)</f>
        <v>0</v>
      </c>
      <c r="CR45" s="338" cm="1">
        <f t="array" aca="1" ref="CR45" ca="1">IFERROR(INDIRECT("Yr"&amp;IF($C$5=Year1,1,IF($C$5=Year2,2,IF($C$5=Year3,3,IF($C$5=Lookups!$D$40,"All"))))&amp;"!"&amp;CR$72&amp;$DE45)*100,0)</f>
        <v>0</v>
      </c>
      <c r="CS45" s="338" cm="1">
        <f t="array" aca="1" ref="CS45" ca="1">IFERROR(INDIRECT("Yr"&amp;IF($C$5=Year1,1,IF($C$5=Year2,2,IF($C$5=Year3,3,IF($C$5=Lookups!$D$40,"All"))))&amp;"!"&amp;CS$72&amp;$DE45)*100,0)</f>
        <v>0</v>
      </c>
      <c r="CT45" s="338" cm="1">
        <f t="array" aca="1" ref="CT45" ca="1">IFERROR(INDIRECT("Yr"&amp;IF($C$5=Year1,1,IF($C$5=Year2,2,IF($C$5=Year3,3,IF($C$5=Lookups!$D$40,"All"))))&amp;"!"&amp;CT$72&amp;$DE45)*100,0)</f>
        <v>0</v>
      </c>
      <c r="CU45" s="338" cm="1">
        <f t="array" aca="1" ref="CU45" ca="1">IFERROR(INDIRECT("Yr"&amp;IF($C$5=Year1,1,IF($C$5=Year2,2,IF($C$5=Year3,3,IF($C$5=Lookups!$D$40,"All"))))&amp;"!"&amp;CU$72&amp;$DE45)*100,0)</f>
        <v>0</v>
      </c>
      <c r="CV45" s="338" cm="1">
        <f t="array" aca="1" ref="CV45" ca="1">IFERROR(INDIRECT("Yr"&amp;IF($C$5=Year1,1,IF($C$5=Year2,2,IF($C$5=Year3,3,IF($C$5=Lookups!$D$40,"All"))))&amp;"!"&amp;CV$72&amp;$DE45)*100,0)</f>
        <v>0</v>
      </c>
      <c r="CW45" s="338" cm="1">
        <f t="array" aca="1" ref="CW45" ca="1">IFERROR(INDIRECT("Yr"&amp;IF($C$5=Year1,1,IF($C$5=Year2,2,IF($C$5=Year3,3,IF($C$5=Lookups!$D$40,"All"))))&amp;"!"&amp;CW$72&amp;$DE45)*100,0)</f>
        <v>0</v>
      </c>
      <c r="CX45" s="338" cm="1">
        <f t="array" aca="1" ref="CX45" ca="1">IFERROR(INDIRECT("Yr"&amp;IF($C$5=Year1,1,IF($C$5=Year2,2,IF($C$5=Year3,3,IF($C$5=Lookups!$D$40,"All"))))&amp;"!"&amp;CX$72&amp;$DE45)*100,0)</f>
        <v>0</v>
      </c>
      <c r="CY45" s="338" cm="1">
        <f t="array" aca="1" ref="CY45" ca="1">IFERROR(INDIRECT("Yr"&amp;IF($C$5=Year1,1,IF($C$5=Year2,2,IF($C$5=Year3,3,IF($C$5=Lookups!$D$40,"All"))))&amp;"!"&amp;CY$72&amp;$DE45)*100,0)</f>
        <v>0</v>
      </c>
      <c r="CZ45" s="338" cm="1">
        <f t="array" aca="1" ref="CZ45" ca="1">IFERROR(INDIRECT("Yr"&amp;IF($C$5=Year1,1,IF($C$5=Year2,2,IF($C$5=Year3,3,IF($C$5=Lookups!$D$40,"All"))))&amp;"!"&amp;CZ$72&amp;$DE45)*100,0)</f>
        <v>0</v>
      </c>
      <c r="DA45" s="152"/>
      <c r="DB45" s="338"/>
      <c r="DE45" s="516">
        <f t="shared" ref="DE45:DE52" si="6">DE25</f>
        <v>46</v>
      </c>
    </row>
    <row r="46" spans="3:114" x14ac:dyDescent="0.25">
      <c r="BV46" s="343"/>
      <c r="BW46" s="346"/>
      <c r="BX46" s="131" t="s">
        <v>405</v>
      </c>
      <c r="BY46" s="131" t="s">
        <v>409</v>
      </c>
      <c r="BZ46" s="338" cm="1">
        <f t="array" aca="1" ref="BZ46" ca="1">IFERROR(INDIRECT("Yr"&amp;IF($C$5=Year1,1,IF($C$5=Year2,2,IF($C$5=Year3,3,IF($C$5=Lookups!$D$40,"All"))))&amp;"!"&amp;BZ$72&amp;$DE46)*100,0)</f>
        <v>7.7623676390230019</v>
      </c>
      <c r="CA46" s="338" cm="1">
        <f t="array" aca="1" ref="CA46" ca="1">IFERROR(INDIRECT("Yr"&amp;IF($C$5=Year1,1,IF($C$5=Year2,2,IF($C$5=Year3,3,IF($C$5=Lookups!$D$40,"All"))))&amp;"!"&amp;CA$72&amp;$DE46)*100,0)</f>
        <v>7.998496595510125</v>
      </c>
      <c r="CB46" s="338" cm="1">
        <f t="array" aca="1" ref="CB46" ca="1">IFERROR(INDIRECT("Yr"&amp;IF($C$5=Year1,1,IF($C$5=Year2,2,IF($C$5=Year3,3,IF($C$5=Lookups!$D$40,"All"))))&amp;"!"&amp;CB$72&amp;$DE46)*100,0)</f>
        <v>8.2542973872564964</v>
      </c>
      <c r="CC46" s="338" cm="1">
        <f t="array" aca="1" ref="CC46" ca="1">IFERROR(INDIRECT("Yr"&amp;IF($C$5=Year1,1,IF($C$5=Year2,2,IF($C$5=Year3,3,IF($C$5=Lookups!$D$40,"All"))))&amp;"!"&amp;CC$72&amp;$DE46)*100,0)</f>
        <v>0</v>
      </c>
      <c r="CD46" s="338" cm="1">
        <f t="array" aca="1" ref="CD46" ca="1">IFERROR(INDIRECT("Yr"&amp;IF($C$5=Year1,1,IF($C$5=Year2,2,IF($C$5=Year3,3,IF($C$5=Lookups!$D$40,"All"))))&amp;"!"&amp;CD$72&amp;$DE46)*100,0)</f>
        <v>0</v>
      </c>
      <c r="CE46" s="338" cm="1">
        <f t="array" aca="1" ref="CE46" ca="1">IFERROR(INDIRECT("Yr"&amp;IF($C$5=Year1,1,IF($C$5=Year2,2,IF($C$5=Year3,3,IF($C$5=Lookups!$D$40,"All"))))&amp;"!"&amp;CE$72&amp;$DE46)*100,0)</f>
        <v>0</v>
      </c>
      <c r="CF46" s="338" cm="1">
        <f t="array" aca="1" ref="CF46" ca="1">IFERROR(INDIRECT("Yr"&amp;IF($C$5=Year1,1,IF($C$5=Year2,2,IF($C$5=Year3,3,IF($C$5=Lookups!$D$40,"All"))))&amp;"!"&amp;CF$72&amp;$DE46)*100,0)</f>
        <v>0</v>
      </c>
      <c r="CG46" s="338" cm="1">
        <f t="array" aca="1" ref="CG46" ca="1">IFERROR(INDIRECT("Yr"&amp;IF($C$5=Year1,1,IF($C$5=Year2,2,IF($C$5=Year3,3,IF($C$5=Lookups!$D$40,"All"))))&amp;"!"&amp;CG$72&amp;$DE46)*100,0)</f>
        <v>0</v>
      </c>
      <c r="CH46" s="338" cm="1">
        <f t="array" aca="1" ref="CH46" ca="1">IFERROR(INDIRECT("Yr"&amp;IF($C$5=Year1,1,IF($C$5=Year2,2,IF($C$5=Year3,3,IF($C$5=Lookups!$D$40,"All"))))&amp;"!"&amp;CH$72&amp;$DE46)*100,0)</f>
        <v>0</v>
      </c>
      <c r="CI46" s="338" cm="1">
        <f t="array" aca="1" ref="CI46" ca="1">IFERROR(INDIRECT("Yr"&amp;IF($C$5=Year1,1,IF($C$5=Year2,2,IF($C$5=Year3,3,IF($C$5=Lookups!$D$40,"All"))))&amp;"!"&amp;CI$72&amp;$DE46)*100,0)</f>
        <v>0</v>
      </c>
      <c r="CJ46" s="338" cm="1">
        <f t="array" aca="1" ref="CJ46" ca="1">IFERROR(INDIRECT("Yr"&amp;IF($C$5=Year1,1,IF($C$5=Year2,2,IF($C$5=Year3,3,IF($C$5=Lookups!$D$40,"All"))))&amp;"!"&amp;CJ$72&amp;$DE46)*100,0)</f>
        <v>0</v>
      </c>
      <c r="CK46" s="338" cm="1">
        <f t="array" aca="1" ref="CK46" ca="1">IFERROR(INDIRECT("Yr"&amp;IF($C$5=Year1,1,IF($C$5=Year2,2,IF($C$5=Year3,3,IF($C$5=Lookups!$D$40,"All"))))&amp;"!"&amp;CK$72&amp;$DE46)*100,0)</f>
        <v>0</v>
      </c>
      <c r="CL46" s="338" cm="1">
        <f t="array" aca="1" ref="CL46" ca="1">IFERROR(INDIRECT("Yr"&amp;IF($C$5=Year1,1,IF($C$5=Year2,2,IF($C$5=Year3,3,IF($C$5=Lookups!$D$40,"All"))))&amp;"!"&amp;CL$72&amp;$DE46)*100,0)</f>
        <v>0</v>
      </c>
      <c r="CM46" s="338" cm="1">
        <f t="array" aca="1" ref="CM46" ca="1">IFERROR(INDIRECT("Yr"&amp;IF($C$5=Year1,1,IF($C$5=Year2,2,IF($C$5=Year3,3,IF($C$5=Lookups!$D$40,"All"))))&amp;"!"&amp;CM$72&amp;$DE46)*100,0)</f>
        <v>0</v>
      </c>
      <c r="CN46" s="338" cm="1">
        <f t="array" aca="1" ref="CN46" ca="1">IFERROR(INDIRECT("Yr"&amp;IF($C$5=Year1,1,IF($C$5=Year2,2,IF($C$5=Year3,3,IF($C$5=Lookups!$D$40,"All"))))&amp;"!"&amp;CN$72&amp;$DE46)*100,0)</f>
        <v>0</v>
      </c>
      <c r="CO46" s="338" cm="1">
        <f t="array" aca="1" ref="CO46" ca="1">IFERROR(INDIRECT("Yr"&amp;IF($C$5=Year1,1,IF($C$5=Year2,2,IF($C$5=Year3,3,IF($C$5=Lookups!$D$40,"All"))))&amp;"!"&amp;CO$72&amp;$DE46)*100,0)</f>
        <v>0</v>
      </c>
      <c r="CP46" s="338" cm="1">
        <f t="array" aca="1" ref="CP46" ca="1">IFERROR(INDIRECT("Yr"&amp;IF($C$5=Year1,1,IF($C$5=Year2,2,IF($C$5=Year3,3,IF($C$5=Lookups!$D$40,"All"))))&amp;"!"&amp;CP$72&amp;$DE46)*100,0)</f>
        <v>0</v>
      </c>
      <c r="CQ46" s="338" cm="1">
        <f t="array" aca="1" ref="CQ46" ca="1">IFERROR(INDIRECT("Yr"&amp;IF($C$5=Year1,1,IF($C$5=Year2,2,IF($C$5=Year3,3,IF($C$5=Lookups!$D$40,"All"))))&amp;"!"&amp;CQ$72&amp;$DE46)*100,0)</f>
        <v>0</v>
      </c>
      <c r="CR46" s="338" cm="1">
        <f t="array" aca="1" ref="CR46" ca="1">IFERROR(INDIRECT("Yr"&amp;IF($C$5=Year1,1,IF($C$5=Year2,2,IF($C$5=Year3,3,IF($C$5=Lookups!$D$40,"All"))))&amp;"!"&amp;CR$72&amp;$DE46)*100,0)</f>
        <v>0</v>
      </c>
      <c r="CS46" s="338" cm="1">
        <f t="array" aca="1" ref="CS46" ca="1">IFERROR(INDIRECT("Yr"&amp;IF($C$5=Year1,1,IF($C$5=Year2,2,IF($C$5=Year3,3,IF($C$5=Lookups!$D$40,"All"))))&amp;"!"&amp;CS$72&amp;$DE46)*100,0)</f>
        <v>0</v>
      </c>
      <c r="CT46" s="338" cm="1">
        <f t="array" aca="1" ref="CT46" ca="1">IFERROR(INDIRECT("Yr"&amp;IF($C$5=Year1,1,IF($C$5=Year2,2,IF($C$5=Year3,3,IF($C$5=Lookups!$D$40,"All"))))&amp;"!"&amp;CT$72&amp;$DE46)*100,0)</f>
        <v>0</v>
      </c>
      <c r="CU46" s="338" cm="1">
        <f t="array" aca="1" ref="CU46" ca="1">IFERROR(INDIRECT("Yr"&amp;IF($C$5=Year1,1,IF($C$5=Year2,2,IF($C$5=Year3,3,IF($C$5=Lookups!$D$40,"All"))))&amp;"!"&amp;CU$72&amp;$DE46)*100,0)</f>
        <v>0</v>
      </c>
      <c r="CV46" s="338" cm="1">
        <f t="array" aca="1" ref="CV46" ca="1">IFERROR(INDIRECT("Yr"&amp;IF($C$5=Year1,1,IF($C$5=Year2,2,IF($C$5=Year3,3,IF($C$5=Lookups!$D$40,"All"))))&amp;"!"&amp;CV$72&amp;$DE46)*100,0)</f>
        <v>0</v>
      </c>
      <c r="CW46" s="338" cm="1">
        <f t="array" aca="1" ref="CW46" ca="1">IFERROR(INDIRECT("Yr"&amp;IF($C$5=Year1,1,IF($C$5=Year2,2,IF($C$5=Year3,3,IF($C$5=Lookups!$D$40,"All"))))&amp;"!"&amp;CW$72&amp;$DE46)*100,0)</f>
        <v>0</v>
      </c>
      <c r="CX46" s="338" cm="1">
        <f t="array" aca="1" ref="CX46" ca="1">IFERROR(INDIRECT("Yr"&amp;IF($C$5=Year1,1,IF($C$5=Year2,2,IF($C$5=Year3,3,IF($C$5=Lookups!$D$40,"All"))))&amp;"!"&amp;CX$72&amp;$DE46)*100,0)</f>
        <v>0</v>
      </c>
      <c r="CY46" s="338" cm="1">
        <f t="array" aca="1" ref="CY46" ca="1">IFERROR(INDIRECT("Yr"&amp;IF($C$5=Year1,1,IF($C$5=Year2,2,IF($C$5=Year3,3,IF($C$5=Lookups!$D$40,"All"))))&amp;"!"&amp;CY$72&amp;$DE46)*100,0)</f>
        <v>0</v>
      </c>
      <c r="CZ46" s="338" cm="1">
        <f t="array" aca="1" ref="CZ46" ca="1">IFERROR(INDIRECT("Yr"&amp;IF($C$5=Year1,1,IF($C$5=Year2,2,IF($C$5=Year3,3,IF($C$5=Lookups!$D$40,"All"))))&amp;"!"&amp;CZ$72&amp;$DE46)*100,0)</f>
        <v>0</v>
      </c>
      <c r="DA46" s="152"/>
      <c r="DB46" s="338"/>
      <c r="DE46" s="516">
        <f t="shared" si="6"/>
        <v>49</v>
      </c>
    </row>
    <row r="47" spans="3:114" x14ac:dyDescent="0.25">
      <c r="BV47" s="343"/>
      <c r="BW47" s="346"/>
      <c r="BX47" s="350" t="s">
        <v>69</v>
      </c>
      <c r="BY47" s="350" t="s">
        <v>409</v>
      </c>
      <c r="BZ47" s="473" cm="1">
        <f t="array" aca="1" ref="BZ47" ca="1">IFERROR(INDIRECT("Yr"&amp;IF($C$5=Year1,1,IF($C$5=Year2,2,IF($C$5=Year3,3,IF($C$5=Lookups!$D$40,"All"))))&amp;"!"&amp;BZ$72&amp;$DE47)*100,0)</f>
        <v>0.41104804584570775</v>
      </c>
      <c r="CA47" s="473" cm="1">
        <f t="array" aca="1" ref="CA47" ca="1">IFERROR(INDIRECT("Yr"&amp;IF($C$5=Year1,1,IF($C$5=Year2,2,IF($C$5=Year3,3,IF($C$5=Lookups!$D$40,"All"))))&amp;"!"&amp;CA$72&amp;$DE47)*100,0)</f>
        <v>0.83334879456536948</v>
      </c>
      <c r="CB47" s="473" cm="1">
        <f t="array" aca="1" ref="CB47" ca="1">IFERROR(INDIRECT("Yr"&amp;IF($C$5=Year1,1,IF($C$5=Year2,2,IF($C$5=Year3,3,IF($C$5=Lookups!$D$40,"All"))))&amp;"!"&amp;CB$72&amp;$DE47)*100,0)</f>
        <v>1.2696415546816109</v>
      </c>
      <c r="CC47" s="473" cm="1">
        <f t="array" aca="1" ref="CC47" ca="1">IFERROR(INDIRECT("Yr"&amp;IF($C$5=Year1,1,IF($C$5=Year2,2,IF($C$5=Year3,3,IF($C$5=Lookups!$D$40,"All"))))&amp;"!"&amp;CC$72&amp;$DE47)*100,0)</f>
        <v>1.2696415546816109</v>
      </c>
      <c r="CD47" s="473" cm="1">
        <f t="array" aca="1" ref="CD47" ca="1">IFERROR(INDIRECT("Yr"&amp;IF($C$5=Year1,1,IF($C$5=Year2,2,IF($C$5=Year3,3,IF($C$5=Lookups!$D$40,"All"))))&amp;"!"&amp;CD$72&amp;$DE47)*100,0)</f>
        <v>1.2696415546816109</v>
      </c>
      <c r="CE47" s="473" cm="1">
        <f t="array" aca="1" ref="CE47" ca="1">IFERROR(INDIRECT("Yr"&amp;IF($C$5=Year1,1,IF($C$5=Year2,2,IF($C$5=Year3,3,IF($C$5=Lookups!$D$40,"All"))))&amp;"!"&amp;CE$72&amp;$DE47)*100,0)</f>
        <v>1.2696415546816109</v>
      </c>
      <c r="CF47" s="473" cm="1">
        <f t="array" aca="1" ref="CF47" ca="1">IFERROR(INDIRECT("Yr"&amp;IF($C$5=Year1,1,IF($C$5=Year2,2,IF($C$5=Year3,3,IF($C$5=Lookups!$D$40,"All"))))&amp;"!"&amp;CF$72&amp;$DE47)*100,0)</f>
        <v>1.2696415546816109</v>
      </c>
      <c r="CG47" s="473" cm="1">
        <f t="array" aca="1" ref="CG47" ca="1">IFERROR(INDIRECT("Yr"&amp;IF($C$5=Year1,1,IF($C$5=Year2,2,IF($C$5=Year3,3,IF($C$5=Lookups!$D$40,"All"))))&amp;"!"&amp;CG$72&amp;$DE47)*100,0)</f>
        <v>1.2696415546816109</v>
      </c>
      <c r="CH47" s="473" cm="1">
        <f t="array" aca="1" ref="CH47" ca="1">IFERROR(INDIRECT("Yr"&amp;IF($C$5=Year1,1,IF($C$5=Year2,2,IF($C$5=Year3,3,IF($C$5=Lookups!$D$40,"All"))))&amp;"!"&amp;CH$72&amp;$DE47)*100,0)</f>
        <v>1.2696415546816109</v>
      </c>
      <c r="CI47" s="473" cm="1">
        <f t="array" aca="1" ref="CI47" ca="1">IFERROR(INDIRECT("Yr"&amp;IF($C$5=Year1,1,IF($C$5=Year2,2,IF($C$5=Year3,3,IF($C$5=Lookups!$D$40,"All"))))&amp;"!"&amp;CI$72&amp;$DE47)*100,0)</f>
        <v>1.2696415546816109</v>
      </c>
      <c r="CJ47" s="473" cm="1">
        <f t="array" aca="1" ref="CJ47" ca="1">IFERROR(INDIRECT("Yr"&amp;IF($C$5=Year1,1,IF($C$5=Year2,2,IF($C$5=Year3,3,IF($C$5=Lookups!$D$40,"All"))))&amp;"!"&amp;CJ$72&amp;$DE47)*100,0)</f>
        <v>1.2696415546816109</v>
      </c>
      <c r="CK47" s="473" cm="1">
        <f t="array" aca="1" ref="CK47" ca="1">IFERROR(INDIRECT("Yr"&amp;IF($C$5=Year1,1,IF($C$5=Year2,2,IF($C$5=Year3,3,IF($C$5=Lookups!$D$40,"All"))))&amp;"!"&amp;CK$72&amp;$DE47)*100,0)</f>
        <v>1.2696415546816109</v>
      </c>
      <c r="CL47" s="473" cm="1">
        <f t="array" aca="1" ref="CL47" ca="1">IFERROR(INDIRECT("Yr"&amp;IF($C$5=Year1,1,IF($C$5=Year2,2,IF($C$5=Year3,3,IF($C$5=Lookups!$D$40,"All"))))&amp;"!"&amp;CL$72&amp;$DE47)*100,0)</f>
        <v>1.2696415546816109</v>
      </c>
      <c r="CM47" s="473" cm="1">
        <f t="array" aca="1" ref="CM47" ca="1">IFERROR(INDIRECT("Yr"&amp;IF($C$5=Year1,1,IF($C$5=Year2,2,IF($C$5=Year3,3,IF($C$5=Lookups!$D$40,"All"))))&amp;"!"&amp;CM$72&amp;$DE47)*100,0)</f>
        <v>1.2696415546816109</v>
      </c>
      <c r="CN47" s="473" cm="1">
        <f t="array" aca="1" ref="CN47" ca="1">IFERROR(INDIRECT("Yr"&amp;IF($C$5=Year1,1,IF($C$5=Year2,2,IF($C$5=Year3,3,IF($C$5=Lookups!$D$40,"All"))))&amp;"!"&amp;CN$72&amp;$DE47)*100,0)</f>
        <v>1.2696415546816109</v>
      </c>
      <c r="CO47" s="473" cm="1">
        <f t="array" aca="1" ref="CO47" ca="1">IFERROR(INDIRECT("Yr"&amp;IF($C$5=Year1,1,IF($C$5=Year2,2,IF($C$5=Year3,3,IF($C$5=Lookups!$D$40,"All"))))&amp;"!"&amp;CO$72&amp;$DE47)*100,0)</f>
        <v>0.84699568803523473</v>
      </c>
      <c r="CP47" s="473" cm="1">
        <f t="array" aca="1" ref="CP47" ca="1">IFERROR(INDIRECT("Yr"&amp;IF($C$5=Year1,1,IF($C$5=Year2,2,IF($C$5=Year3,3,IF($C$5=Lookups!$D$40,"All"))))&amp;"!"&amp;CP$72&amp;$DE47)*100,0)</f>
        <v>0.42450775321953849</v>
      </c>
      <c r="CQ47" s="473" cm="1">
        <f t="array" aca="1" ref="CQ47" ca="1">IFERROR(INDIRECT("Yr"&amp;IF($C$5=Year1,1,IF($C$5=Year2,2,IF($C$5=Year3,3,IF($C$5=Lookups!$D$40,"All"))))&amp;"!"&amp;CQ$72&amp;$DE47)*100,0)</f>
        <v>0</v>
      </c>
      <c r="CR47" s="473" cm="1">
        <f t="array" aca="1" ref="CR47" ca="1">IFERROR(INDIRECT("Yr"&amp;IF($C$5=Year1,1,IF($C$5=Year2,2,IF($C$5=Year3,3,IF($C$5=Lookups!$D$40,"All"))))&amp;"!"&amp;CR$72&amp;$DE47)*100,0)</f>
        <v>0</v>
      </c>
      <c r="CS47" s="473" cm="1">
        <f t="array" aca="1" ref="CS47" ca="1">IFERROR(INDIRECT("Yr"&amp;IF($C$5=Year1,1,IF($C$5=Year2,2,IF($C$5=Year3,3,IF($C$5=Lookups!$D$40,"All"))))&amp;"!"&amp;CS$72&amp;$DE47)*100,0)</f>
        <v>0</v>
      </c>
      <c r="CT47" s="473" cm="1">
        <f t="array" aca="1" ref="CT47" ca="1">IFERROR(INDIRECT("Yr"&amp;IF($C$5=Year1,1,IF($C$5=Year2,2,IF($C$5=Year3,3,IF($C$5=Lookups!$D$40,"All"))))&amp;"!"&amp;CT$72&amp;$DE47)*100,0)</f>
        <v>0</v>
      </c>
      <c r="CU47" s="473" cm="1">
        <f t="array" aca="1" ref="CU47" ca="1">IFERROR(INDIRECT("Yr"&amp;IF($C$5=Year1,1,IF($C$5=Year2,2,IF($C$5=Year3,3,IF($C$5=Lookups!$D$40,"All"))))&amp;"!"&amp;CU$72&amp;$DE47)*100,0)</f>
        <v>0</v>
      </c>
      <c r="CV47" s="473" cm="1">
        <f t="array" aca="1" ref="CV47" ca="1">IFERROR(INDIRECT("Yr"&amp;IF($C$5=Year1,1,IF($C$5=Year2,2,IF($C$5=Year3,3,IF($C$5=Lookups!$D$40,"All"))))&amp;"!"&amp;CV$72&amp;$DE47)*100,0)</f>
        <v>0</v>
      </c>
      <c r="CW47" s="473" cm="1">
        <f t="array" aca="1" ref="CW47" ca="1">IFERROR(INDIRECT("Yr"&amp;IF($C$5=Year1,1,IF($C$5=Year2,2,IF($C$5=Year3,3,IF($C$5=Lookups!$D$40,"All"))))&amp;"!"&amp;CW$72&amp;$DE47)*100,0)</f>
        <v>0</v>
      </c>
      <c r="CX47" s="473" cm="1">
        <f t="array" aca="1" ref="CX47" ca="1">IFERROR(INDIRECT("Yr"&amp;IF($C$5=Year1,1,IF($C$5=Year2,2,IF($C$5=Year3,3,IF($C$5=Lookups!$D$40,"All"))))&amp;"!"&amp;CX$72&amp;$DE47)*100,0)</f>
        <v>0</v>
      </c>
      <c r="CY47" s="473" cm="1">
        <f t="array" aca="1" ref="CY47" ca="1">IFERROR(INDIRECT("Yr"&amp;IF($C$5=Year1,1,IF($C$5=Year2,2,IF($C$5=Year3,3,IF($C$5=Lookups!$D$40,"All"))))&amp;"!"&amp;CY$72&amp;$DE47)*100,0)</f>
        <v>0</v>
      </c>
      <c r="CZ47" s="473" cm="1">
        <f t="array" aca="1" ref="CZ47" ca="1">IFERROR(INDIRECT("Yr"&amp;IF($C$5=Year1,1,IF($C$5=Year2,2,IF($C$5=Year3,3,IF($C$5=Lookups!$D$40,"All"))))&amp;"!"&amp;CZ$72&amp;$DE47)*100,0)</f>
        <v>0</v>
      </c>
      <c r="DA47" s="152"/>
      <c r="DB47" s="473"/>
      <c r="DE47" s="516">
        <f t="shared" si="6"/>
        <v>50</v>
      </c>
    </row>
    <row r="48" spans="3:114" x14ac:dyDescent="0.25">
      <c r="BV48" s="343"/>
      <c r="BW48" s="346"/>
      <c r="BX48" s="165" t="s">
        <v>98</v>
      </c>
      <c r="BY48" s="131" t="s">
        <v>409</v>
      </c>
      <c r="BZ48" s="338">
        <f t="shared" ref="BZ48:CZ48" ca="1" si="7">SUM(BZ43:BZ45)</f>
        <v>-0.53255279212286921</v>
      </c>
      <c r="CA48" s="338">
        <f t="shared" ca="1" si="7"/>
        <v>-1.0796741855573457</v>
      </c>
      <c r="CB48" s="338">
        <f t="shared" ca="1" si="7"/>
        <v>-1.6453376739181722</v>
      </c>
      <c r="CC48" s="338">
        <f t="shared" ca="1" si="7"/>
        <v>-1.6453376739181722</v>
      </c>
      <c r="CD48" s="338">
        <f t="shared" ca="1" si="7"/>
        <v>-1.6453376739181722</v>
      </c>
      <c r="CE48" s="338">
        <f t="shared" ca="1" si="7"/>
        <v>-1.6453376739181722</v>
      </c>
      <c r="CF48" s="338">
        <f t="shared" ca="1" si="7"/>
        <v>-1.6453376739181722</v>
      </c>
      <c r="CG48" s="338">
        <f t="shared" ca="1" si="7"/>
        <v>-1.6453376739181722</v>
      </c>
      <c r="CH48" s="338">
        <f t="shared" ca="1" si="7"/>
        <v>-1.6453376739181722</v>
      </c>
      <c r="CI48" s="338">
        <f t="shared" ca="1" si="7"/>
        <v>-1.6453376739181722</v>
      </c>
      <c r="CJ48" s="338">
        <f t="shared" ca="1" si="7"/>
        <v>-1.6453376739181722</v>
      </c>
      <c r="CK48" s="338">
        <f t="shared" ca="1" si="7"/>
        <v>-1.6453376739181722</v>
      </c>
      <c r="CL48" s="338">
        <f t="shared" ca="1" si="7"/>
        <v>-1.6453376739181722</v>
      </c>
      <c r="CM48" s="338">
        <f t="shared" ca="1" si="7"/>
        <v>-1.6453376739181722</v>
      </c>
      <c r="CN48" s="338">
        <f t="shared" ca="1" si="7"/>
        <v>-1.6453376739181722</v>
      </c>
      <c r="CO48" s="338">
        <f t="shared" ca="1" si="7"/>
        <v>-1.0963923805810647</v>
      </c>
      <c r="CP48" s="338">
        <f t="shared" ca="1" si="7"/>
        <v>-0.54901439506820993</v>
      </c>
      <c r="CQ48" s="338">
        <f t="shared" ca="1" si="7"/>
        <v>0</v>
      </c>
      <c r="CR48" s="338">
        <f t="shared" ca="1" si="7"/>
        <v>0</v>
      </c>
      <c r="CS48" s="338">
        <f t="shared" ca="1" si="7"/>
        <v>0</v>
      </c>
      <c r="CT48" s="338">
        <f t="shared" ca="1" si="7"/>
        <v>0</v>
      </c>
      <c r="CU48" s="338">
        <f t="shared" ca="1" si="7"/>
        <v>0</v>
      </c>
      <c r="CV48" s="338">
        <f t="shared" ca="1" si="7"/>
        <v>0</v>
      </c>
      <c r="CW48" s="338">
        <f t="shared" ca="1" si="7"/>
        <v>0</v>
      </c>
      <c r="CX48" s="338">
        <f t="shared" ca="1" si="7"/>
        <v>0</v>
      </c>
      <c r="CY48" s="338">
        <f t="shared" ca="1" si="7"/>
        <v>0</v>
      </c>
      <c r="CZ48" s="338">
        <f t="shared" ca="1" si="7"/>
        <v>0</v>
      </c>
      <c r="DA48" s="152"/>
      <c r="DB48" s="338"/>
      <c r="DC48" s="123"/>
      <c r="DE48" s="516" t="str">
        <f t="shared" si="6"/>
        <v>Calculation</v>
      </c>
    </row>
    <row r="49" spans="3:117" x14ac:dyDescent="0.25">
      <c r="BV49" s="351"/>
      <c r="BW49" s="352"/>
      <c r="BX49" s="353" t="s">
        <v>99</v>
      </c>
      <c r="BY49" s="353" t="s">
        <v>409</v>
      </c>
      <c r="BZ49" s="338" cm="1">
        <f t="array" aca="1" ref="BZ49" ca="1">IFERROR(INDIRECT("Yr"&amp;IF($C$5=Year1,1,IF($C$5=Year2,2,IF($C$5=Year3,3,IF($C$5=Lookups!$D$40,"All"))))&amp;"!"&amp;BZ$72&amp;$DE49)*100,0)</f>
        <v>8.0927655119063413</v>
      </c>
      <c r="CA49" s="338" cm="1">
        <f t="array" aca="1" ref="CA49" ca="1">IFERROR(INDIRECT("Yr"&amp;IF($C$5=Year1,1,IF($C$5=Year2,2,IF($C$5=Year3,3,IF($C$5=Lookups!$D$40,"All"))))&amp;"!"&amp;CA$72&amp;$DE49)*100,0)</f>
        <v>8.66893190007616</v>
      </c>
      <c r="CB49" s="338" cm="1">
        <f t="array" aca="1" ref="CB49" ca="1">IFERROR(INDIRECT("Yr"&amp;IF($C$5=Year1,1,IF($C$5=Year2,2,IF($C$5=Year3,3,IF($C$5=Lookups!$D$40,"All"))))&amp;"!"&amp;CB$72&amp;$DE49)*100,0)</f>
        <v>9.2765590777822649</v>
      </c>
      <c r="CC49" s="338" cm="1">
        <f t="array" aca="1" ref="CC49" ca="1">IFERROR(INDIRECT("Yr"&amp;IF($C$5=Year1,1,IF($C$5=Year2,2,IF($C$5=Year3,3,IF($C$5=Lookups!$D$40,"All"))))&amp;"!"&amp;CC$72&amp;$DE49)*100,0)</f>
        <v>1.022261690525772</v>
      </c>
      <c r="CD49" s="338" cm="1">
        <f t="array" aca="1" ref="CD49" ca="1">IFERROR(INDIRECT("Yr"&amp;IF($C$5=Year1,1,IF($C$5=Year2,2,IF($C$5=Year3,3,IF($C$5=Lookups!$D$40,"All"))))&amp;"!"&amp;CD$72&amp;$DE49)*100,0)</f>
        <v>1.022261690525772</v>
      </c>
      <c r="CE49" s="338" cm="1">
        <f t="array" aca="1" ref="CE49" ca="1">IFERROR(INDIRECT("Yr"&amp;IF($C$5=Year1,1,IF($C$5=Year2,2,IF($C$5=Year3,3,IF($C$5=Lookups!$D$40,"All"))))&amp;"!"&amp;CE$72&amp;$DE49)*100,0)</f>
        <v>1.022261690525772</v>
      </c>
      <c r="CF49" s="338" cm="1">
        <f t="array" aca="1" ref="CF49" ca="1">IFERROR(INDIRECT("Yr"&amp;IF($C$5=Year1,1,IF($C$5=Year2,2,IF($C$5=Year3,3,IF($C$5=Lookups!$D$40,"All"))))&amp;"!"&amp;CF$72&amp;$DE49)*100,0)</f>
        <v>1.022261690525772</v>
      </c>
      <c r="CG49" s="338" cm="1">
        <f t="array" aca="1" ref="CG49" ca="1">IFERROR(INDIRECT("Yr"&amp;IF($C$5=Year1,1,IF($C$5=Year2,2,IF($C$5=Year3,3,IF($C$5=Lookups!$D$40,"All"))))&amp;"!"&amp;CG$72&amp;$DE49)*100,0)</f>
        <v>1.022261690525772</v>
      </c>
      <c r="CH49" s="338" cm="1">
        <f t="array" aca="1" ref="CH49" ca="1">IFERROR(INDIRECT("Yr"&amp;IF($C$5=Year1,1,IF($C$5=Year2,2,IF($C$5=Year3,3,IF($C$5=Lookups!$D$40,"All"))))&amp;"!"&amp;CH$72&amp;$DE49)*100,0)</f>
        <v>1.022261690525772</v>
      </c>
      <c r="CI49" s="338" cm="1">
        <f t="array" aca="1" ref="CI49" ca="1">IFERROR(INDIRECT("Yr"&amp;IF($C$5=Year1,1,IF($C$5=Year2,2,IF($C$5=Year3,3,IF($C$5=Lookups!$D$40,"All"))))&amp;"!"&amp;CI$72&amp;$DE49)*100,0)</f>
        <v>1.022261690525772</v>
      </c>
      <c r="CJ49" s="338" cm="1">
        <f t="array" aca="1" ref="CJ49" ca="1">IFERROR(INDIRECT("Yr"&amp;IF($C$5=Year1,1,IF($C$5=Year2,2,IF($C$5=Year3,3,IF($C$5=Lookups!$D$40,"All"))))&amp;"!"&amp;CJ$72&amp;$DE49)*100,0)</f>
        <v>1.022261690525772</v>
      </c>
      <c r="CK49" s="338" cm="1">
        <f t="array" aca="1" ref="CK49" ca="1">IFERROR(INDIRECT("Yr"&amp;IF($C$5=Year1,1,IF($C$5=Year2,2,IF($C$5=Year3,3,IF($C$5=Lookups!$D$40,"All"))))&amp;"!"&amp;CK$72&amp;$DE49)*100,0)</f>
        <v>1.022261690525772</v>
      </c>
      <c r="CL49" s="338" cm="1">
        <f t="array" aca="1" ref="CL49" ca="1">IFERROR(INDIRECT("Yr"&amp;IF($C$5=Year1,1,IF($C$5=Year2,2,IF($C$5=Year3,3,IF($C$5=Lookups!$D$40,"All"))))&amp;"!"&amp;CL$72&amp;$DE49)*100,0)</f>
        <v>1.022261690525772</v>
      </c>
      <c r="CM49" s="338" cm="1">
        <f t="array" aca="1" ref="CM49" ca="1">IFERROR(INDIRECT("Yr"&amp;IF($C$5=Year1,1,IF($C$5=Year2,2,IF($C$5=Year3,3,IF($C$5=Lookups!$D$40,"All"))))&amp;"!"&amp;CM$72&amp;$DE49)*100,0)</f>
        <v>1.022261690525772</v>
      </c>
      <c r="CN49" s="338" cm="1">
        <f t="array" aca="1" ref="CN49" ca="1">IFERROR(INDIRECT("Yr"&amp;IF($C$5=Year1,1,IF($C$5=Year2,2,IF($C$5=Year3,3,IF($C$5=Lookups!$D$40,"All"))))&amp;"!"&amp;CN$72&amp;$DE49)*100,0)</f>
        <v>1.022261690525772</v>
      </c>
      <c r="CO49" s="338" cm="1">
        <f t="array" aca="1" ref="CO49" ca="1">IFERROR(INDIRECT("Yr"&amp;IF($C$5=Year1,1,IF($C$5=Year2,2,IF($C$5=Year3,3,IF($C$5=Lookups!$D$40,"All"))))&amp;"!"&amp;CO$72&amp;$DE49)*100,0)</f>
        <v>0.68168277193536575</v>
      </c>
      <c r="CP49" s="338" cm="1">
        <f t="array" aca="1" ref="CP49" ca="1">IFERROR(INDIRECT("Yr"&amp;IF($C$5=Year1,1,IF($C$5=Year2,2,IF($C$5=Year3,3,IF($C$5=Lookups!$D$40,"All"))))&amp;"!"&amp;CP$72&amp;$DE49)*100,0)</f>
        <v>0.34147945087337206</v>
      </c>
      <c r="CQ49" s="338" cm="1">
        <f t="array" aca="1" ref="CQ49" ca="1">IFERROR(INDIRECT("Yr"&amp;IF($C$5=Year1,1,IF($C$5=Year2,2,IF($C$5=Year3,3,IF($C$5=Lookups!$D$40,"All"))))&amp;"!"&amp;CQ$72&amp;$DE49)*100,0)</f>
        <v>0</v>
      </c>
      <c r="CR49" s="338" cm="1">
        <f t="array" aca="1" ref="CR49" ca="1">IFERROR(INDIRECT("Yr"&amp;IF($C$5=Year1,1,IF($C$5=Year2,2,IF($C$5=Year3,3,IF($C$5=Lookups!$D$40,"All"))))&amp;"!"&amp;CR$72&amp;$DE49)*100,0)</f>
        <v>0</v>
      </c>
      <c r="CS49" s="338" cm="1">
        <f t="array" aca="1" ref="CS49" ca="1">IFERROR(INDIRECT("Yr"&amp;IF($C$5=Year1,1,IF($C$5=Year2,2,IF($C$5=Year3,3,IF($C$5=Lookups!$D$40,"All"))))&amp;"!"&amp;CS$72&amp;$DE49)*100,0)</f>
        <v>0</v>
      </c>
      <c r="CT49" s="338" cm="1">
        <f t="array" aca="1" ref="CT49" ca="1">IFERROR(INDIRECT("Yr"&amp;IF($C$5=Year1,1,IF($C$5=Year2,2,IF($C$5=Year3,3,IF($C$5=Lookups!$D$40,"All"))))&amp;"!"&amp;CT$72&amp;$DE49)*100,0)</f>
        <v>0</v>
      </c>
      <c r="CU49" s="338" cm="1">
        <f t="array" aca="1" ref="CU49" ca="1">IFERROR(INDIRECT("Yr"&amp;IF($C$5=Year1,1,IF($C$5=Year2,2,IF($C$5=Year3,3,IF($C$5=Lookups!$D$40,"All"))))&amp;"!"&amp;CU$72&amp;$DE49)*100,0)</f>
        <v>0</v>
      </c>
      <c r="CV49" s="338" cm="1">
        <f t="array" aca="1" ref="CV49" ca="1">IFERROR(INDIRECT("Yr"&amp;IF($C$5=Year1,1,IF($C$5=Year2,2,IF($C$5=Year3,3,IF($C$5=Lookups!$D$40,"All"))))&amp;"!"&amp;CV$72&amp;$DE49)*100,0)</f>
        <v>0</v>
      </c>
      <c r="CW49" s="338" cm="1">
        <f t="array" aca="1" ref="CW49" ca="1">IFERROR(INDIRECT("Yr"&amp;IF($C$5=Year1,1,IF($C$5=Year2,2,IF($C$5=Year3,3,IF($C$5=Lookups!$D$40,"All"))))&amp;"!"&amp;CW$72&amp;$DE49)*100,0)</f>
        <v>0</v>
      </c>
      <c r="CX49" s="338" cm="1">
        <f t="array" aca="1" ref="CX49" ca="1">IFERROR(INDIRECT("Yr"&amp;IF($C$5=Year1,1,IF($C$5=Year2,2,IF($C$5=Year3,3,IF($C$5=Lookups!$D$40,"All"))))&amp;"!"&amp;CX$72&amp;$DE49)*100,0)</f>
        <v>0</v>
      </c>
      <c r="CY49" s="338" cm="1">
        <f t="array" aca="1" ref="CY49" ca="1">IFERROR(INDIRECT("Yr"&amp;IF($C$5=Year1,1,IF($C$5=Year2,2,IF($C$5=Year3,3,IF($C$5=Lookups!$D$40,"All"))))&amp;"!"&amp;CY$72&amp;$DE49)*100,0)</f>
        <v>0</v>
      </c>
      <c r="CZ49" s="338" cm="1">
        <f t="array" aca="1" ref="CZ49" ca="1">IFERROR(INDIRECT("Yr"&amp;IF($C$5=Year1,1,IF($C$5=Year2,2,IF($C$5=Year3,3,IF($C$5=Lookups!$D$40,"All"))))&amp;"!"&amp;CZ$72&amp;$DE49)*100,0)</f>
        <v>0</v>
      </c>
      <c r="DA49" s="353"/>
      <c r="DB49" s="338"/>
      <c r="DC49" s="355"/>
      <c r="DD49" s="5"/>
      <c r="DE49" s="516">
        <f t="shared" si="6"/>
        <v>59</v>
      </c>
      <c r="DF49" s="530"/>
    </row>
    <row r="50" spans="3:117" x14ac:dyDescent="0.25">
      <c r="BV50" s="343"/>
      <c r="BW50" s="346"/>
      <c r="BX50" s="131" t="s">
        <v>100</v>
      </c>
      <c r="BY50" s="353" t="s">
        <v>409</v>
      </c>
      <c r="BZ50" s="152">
        <f ca="1">IF($C$5=Lookups!$D$40,AVERAGE($BZ49:$CZ49),AVERAGE($BZ49:$CX49))</f>
        <v>1.4566132962549181</v>
      </c>
      <c r="CA50" s="152">
        <f ca="1">IF($C$5=Lookups!$D$40,AVERAGE($BZ49:$CZ49),AVERAGE($BZ49:$CX49))</f>
        <v>1.4566132962549181</v>
      </c>
      <c r="CB50" s="152">
        <f ca="1">IF($C$5=Lookups!$D$40,AVERAGE($BZ49:$CZ49),AVERAGE($BZ49:$CX49))</f>
        <v>1.4566132962549181</v>
      </c>
      <c r="CC50" s="152">
        <f ca="1">IF($C$5=Lookups!$D$40,AVERAGE($BZ49:$CZ49),AVERAGE($BZ49:$CX49))</f>
        <v>1.4566132962549181</v>
      </c>
      <c r="CD50" s="152">
        <f ca="1">IF($C$5=Lookups!$D$40,AVERAGE($BZ49:$CZ49),AVERAGE($BZ49:$CX49))</f>
        <v>1.4566132962549181</v>
      </c>
      <c r="CE50" s="152">
        <f ca="1">IF($C$5=Lookups!$D$40,AVERAGE($BZ49:$CZ49),AVERAGE($BZ49:$CX49))</f>
        <v>1.4566132962549181</v>
      </c>
      <c r="CF50" s="152">
        <f ca="1">IF($C$5=Lookups!$D$40,AVERAGE($BZ49:$CZ49),AVERAGE($BZ49:$CX49))</f>
        <v>1.4566132962549181</v>
      </c>
      <c r="CG50" s="152">
        <f ca="1">IF($C$5=Lookups!$D$40,AVERAGE($BZ49:$CZ49),AVERAGE($BZ49:$CX49))</f>
        <v>1.4566132962549181</v>
      </c>
      <c r="CH50" s="152">
        <f ca="1">IF($C$5=Lookups!$D$40,AVERAGE($BZ49:$CZ49),AVERAGE($BZ49:$CX49))</f>
        <v>1.4566132962549181</v>
      </c>
      <c r="CI50" s="152">
        <f ca="1">IF($C$5=Lookups!$D$40,AVERAGE($BZ49:$CZ49),AVERAGE($BZ49:$CX49))</f>
        <v>1.4566132962549181</v>
      </c>
      <c r="CJ50" s="152">
        <f ca="1">IF($C$5=Lookups!$D$40,AVERAGE($BZ49:$CZ49),AVERAGE($BZ49:$CX49))</f>
        <v>1.4566132962549181</v>
      </c>
      <c r="CK50" s="152">
        <f ca="1">IF($C$5=Lookups!$D$40,AVERAGE($BZ49:$CZ49),AVERAGE($BZ49:$CX49))</f>
        <v>1.4566132962549181</v>
      </c>
      <c r="CL50" s="152">
        <f ca="1">IF($C$5=Lookups!$D$40,AVERAGE($BZ49:$CZ49),AVERAGE($BZ49:$CX49))</f>
        <v>1.4566132962549181</v>
      </c>
      <c r="CM50" s="152">
        <f ca="1">IF($C$5=Lookups!$D$40,AVERAGE($BZ49:$CZ49),AVERAGE($BZ49:$CX49))</f>
        <v>1.4566132962549181</v>
      </c>
      <c r="CN50" s="152">
        <f ca="1">IF($C$5=Lookups!$D$40,AVERAGE($BZ49:$CZ49),AVERAGE($BZ49:$CX49))</f>
        <v>1.4566132962549181</v>
      </c>
      <c r="CO50" s="152">
        <f ca="1">IF($C$5=Lookups!$D$40,AVERAGE($BZ49:$CZ49),AVERAGE($BZ49:$CX49))</f>
        <v>1.4566132962549181</v>
      </c>
      <c r="CP50" s="152">
        <f ca="1">IF($C$5=Lookups!$D$40,AVERAGE($BZ49:$CZ49),AVERAGE($BZ49:$CX49))</f>
        <v>1.4566132962549181</v>
      </c>
      <c r="CQ50" s="152">
        <f ca="1">IF($C$5=Lookups!$D$40,AVERAGE($BZ49:$CZ49),AVERAGE($BZ49:$CX49))</f>
        <v>1.4566132962549181</v>
      </c>
      <c r="CR50" s="152">
        <f ca="1">IF($C$5=Lookups!$D$40,AVERAGE($BZ49:$CZ49),AVERAGE($BZ49:$CX49))</f>
        <v>1.4566132962549181</v>
      </c>
      <c r="CS50" s="152">
        <f ca="1">IF($C$5=Lookups!$D$40,AVERAGE($BZ49:$CZ49),AVERAGE($BZ49:$CX49))</f>
        <v>1.4566132962549181</v>
      </c>
      <c r="CT50" s="152">
        <f ca="1">IF($C$5=Lookups!$D$40,AVERAGE($BZ49:$CZ49),AVERAGE($BZ49:$CX49))</f>
        <v>1.4566132962549181</v>
      </c>
      <c r="CU50" s="152">
        <f ca="1">IF($C$5=Lookups!$D$40,AVERAGE($BZ49:$CZ49),AVERAGE($BZ49:$CX49))</f>
        <v>1.4566132962549181</v>
      </c>
      <c r="CV50" s="152">
        <f ca="1">IF($C$5=Lookups!$D$40,AVERAGE($BZ49:$CZ49),AVERAGE($BZ49:$CX49))</f>
        <v>1.4566132962549181</v>
      </c>
      <c r="CW50" s="152">
        <f ca="1">IF($C$5=Lookups!$D$40,AVERAGE($BZ49:$CZ49),AVERAGE($BZ49:$CX49))</f>
        <v>1.4566132962549181</v>
      </c>
      <c r="CX50" s="152">
        <f ca="1">IF($C$5=Lookups!$D$40,AVERAGE($BZ49:$CZ49),AVERAGE($BZ49:$CX49))</f>
        <v>1.4566132962549181</v>
      </c>
      <c r="CY50" s="152">
        <f ca="1">IF($C$5=Lookups!$D$40,AVERAGE($BZ49:$CZ49),AVERAGE($BZ49:$CX49))</f>
        <v>1.4566132962549181</v>
      </c>
      <c r="CZ50" s="152">
        <f ca="1">IF($C$5=Lookups!$D$40,AVERAGE($BZ49:$CZ49),AVERAGE($BZ49:$CX49))</f>
        <v>1.4566132962549181</v>
      </c>
      <c r="DA50" s="131"/>
      <c r="DB50" s="152"/>
      <c r="DC50" s="123"/>
      <c r="DE50" s="516" t="str">
        <f t="shared" si="6"/>
        <v>Calculation</v>
      </c>
    </row>
    <row r="51" spans="3:117" x14ac:dyDescent="0.25">
      <c r="BV51" s="343"/>
      <c r="BW51" s="346"/>
      <c r="BX51" s="131" t="s">
        <v>99</v>
      </c>
      <c r="BY51" s="161" t="s">
        <v>16</v>
      </c>
      <c r="BZ51" s="236" cm="1">
        <f t="array" aca="1" ref="BZ51" ca="1">IFERROR(INDIRECT("Yr"&amp;IF($C$5=Year1,1,IF($C$5=Year2,2,IF($C$5=Year3,3,IF($C$5=Lookups!$D$40,"All"))))&amp;"!"&amp;BZ$72&amp;$DE51),0)</f>
        <v>5.9175794786496594E-2</v>
      </c>
      <c r="CA51" s="236" cm="1">
        <f t="array" aca="1" ref="CA51" ca="1">IFERROR(INDIRECT("Yr"&amp;IF($C$5=Year1,1,IF($C$5=Year2,2,IF($C$5=Year3,3,IF($C$5=Lookups!$D$40,"All"))))&amp;"!"&amp;CA$72&amp;$DE51),0)</f>
        <v>6.3388829737163643E-2</v>
      </c>
      <c r="CB51" s="236" cm="1">
        <f t="array" aca="1" ref="CB51" ca="1">IFERROR(INDIRECT("Yr"&amp;IF($C$5=Year1,1,IF($C$5=Year2,2,IF($C$5=Year3,3,IF($C$5=Lookups!$D$40,"All"))))&amp;"!"&amp;CB$72&amp;$DE51),0)</f>
        <v>6.7831911786400578E-2</v>
      </c>
      <c r="CC51" s="236" cm="1">
        <f t="array" aca="1" ref="CC51" ca="1">IFERROR(INDIRECT("Yr"&amp;IF($C$5=Year1,1,IF($C$5=Year2,2,IF($C$5=Year3,3,IF($C$5=Lookups!$D$40,"All"))))&amp;"!"&amp;CC$72&amp;$DE51),0)</f>
        <v>7.4749661197586192E-3</v>
      </c>
      <c r="CD51" s="236" cm="1">
        <f t="array" aca="1" ref="CD51" ca="1">IFERROR(INDIRECT("Yr"&amp;IF($C$5=Year1,1,IF($C$5=Year2,2,IF($C$5=Year3,3,IF($C$5=Lookups!$D$40,"All"))))&amp;"!"&amp;CD$72&amp;$DE51),0)</f>
        <v>7.4749661197586192E-3</v>
      </c>
      <c r="CE51" s="236" cm="1">
        <f t="array" aca="1" ref="CE51" ca="1">IFERROR(INDIRECT("Yr"&amp;IF($C$5=Year1,1,IF($C$5=Year2,2,IF($C$5=Year3,3,IF($C$5=Lookups!$D$40,"All"))))&amp;"!"&amp;CE$72&amp;$DE51),0)</f>
        <v>7.4749661197586192E-3</v>
      </c>
      <c r="CF51" s="236" cm="1">
        <f t="array" aca="1" ref="CF51" ca="1">IFERROR(INDIRECT("Yr"&amp;IF($C$5=Year1,1,IF($C$5=Year2,2,IF($C$5=Year3,3,IF($C$5=Lookups!$D$40,"All"))))&amp;"!"&amp;CF$72&amp;$DE51),0)</f>
        <v>7.4749661197586192E-3</v>
      </c>
      <c r="CG51" s="236" cm="1">
        <f t="array" aca="1" ref="CG51" ca="1">IFERROR(INDIRECT("Yr"&amp;IF($C$5=Year1,1,IF($C$5=Year2,2,IF($C$5=Year3,3,IF($C$5=Lookups!$D$40,"All"))))&amp;"!"&amp;CG$72&amp;$DE51),0)</f>
        <v>7.4749661197586192E-3</v>
      </c>
      <c r="CH51" s="236" cm="1">
        <f t="array" aca="1" ref="CH51" ca="1">IFERROR(INDIRECT("Yr"&amp;IF($C$5=Year1,1,IF($C$5=Year2,2,IF($C$5=Year3,3,IF($C$5=Lookups!$D$40,"All"))))&amp;"!"&amp;CH$72&amp;$DE51),0)</f>
        <v>7.4749661197586192E-3</v>
      </c>
      <c r="CI51" s="236" cm="1">
        <f t="array" aca="1" ref="CI51" ca="1">IFERROR(INDIRECT("Yr"&amp;IF($C$5=Year1,1,IF($C$5=Year2,2,IF($C$5=Year3,3,IF($C$5=Lookups!$D$40,"All"))))&amp;"!"&amp;CI$72&amp;$DE51),0)</f>
        <v>7.4749661197586192E-3</v>
      </c>
      <c r="CJ51" s="236" cm="1">
        <f t="array" aca="1" ref="CJ51" ca="1">IFERROR(INDIRECT("Yr"&amp;IF($C$5=Year1,1,IF($C$5=Year2,2,IF($C$5=Year3,3,IF($C$5=Lookups!$D$40,"All"))))&amp;"!"&amp;CJ$72&amp;$DE51),0)</f>
        <v>7.4749661197586192E-3</v>
      </c>
      <c r="CK51" s="236" cm="1">
        <f t="array" aca="1" ref="CK51" ca="1">IFERROR(INDIRECT("Yr"&amp;IF($C$5=Year1,1,IF($C$5=Year2,2,IF($C$5=Year3,3,IF($C$5=Lookups!$D$40,"All"))))&amp;"!"&amp;CK$72&amp;$DE51),0)</f>
        <v>7.4749661197586192E-3</v>
      </c>
      <c r="CL51" s="236" cm="1">
        <f t="array" aca="1" ref="CL51" ca="1">IFERROR(INDIRECT("Yr"&amp;IF($C$5=Year1,1,IF($C$5=Year2,2,IF($C$5=Year3,3,IF($C$5=Lookups!$D$40,"All"))))&amp;"!"&amp;CL$72&amp;$DE51),0)</f>
        <v>7.4749661197586192E-3</v>
      </c>
      <c r="CM51" s="236" cm="1">
        <f t="array" aca="1" ref="CM51" ca="1">IFERROR(INDIRECT("Yr"&amp;IF($C$5=Year1,1,IF($C$5=Year2,2,IF($C$5=Year3,3,IF($C$5=Lookups!$D$40,"All"))))&amp;"!"&amp;CM$72&amp;$DE51),0)</f>
        <v>7.4749661197586192E-3</v>
      </c>
      <c r="CN51" s="236" cm="1">
        <f t="array" aca="1" ref="CN51" ca="1">IFERROR(INDIRECT("Yr"&amp;IF($C$5=Year1,1,IF($C$5=Year2,2,IF($C$5=Year3,3,IF($C$5=Lookups!$D$40,"All"))))&amp;"!"&amp;CN$72&amp;$DE51),0)</f>
        <v>7.4749661197586192E-3</v>
      </c>
      <c r="CO51" s="236" cm="1">
        <f t="array" aca="1" ref="CO51" ca="1">IFERROR(INDIRECT("Yr"&amp;IF($C$5=Year1,1,IF($C$5=Year2,2,IF($C$5=Year3,3,IF($C$5=Lookups!$D$40,"All"))))&amp;"!"&amp;CO$72&amp;$DE51),0)</f>
        <v>4.9845902197696024E-3</v>
      </c>
      <c r="CP51" s="236" cm="1">
        <f t="array" aca="1" ref="CP51" ca="1">IFERROR(INDIRECT("Yr"&amp;IF($C$5=Year1,1,IF($C$5=Year2,2,IF($C$5=Year3,3,IF($C$5=Lookups!$D$40,"All"))))&amp;"!"&amp;CP$72&amp;$DE51),0)</f>
        <v>2.4969607582177034E-3</v>
      </c>
      <c r="CQ51" s="236" cm="1">
        <f t="array" aca="1" ref="CQ51" ca="1">IFERROR(INDIRECT("Yr"&amp;IF($C$5=Year1,1,IF($C$5=Year2,2,IF($C$5=Year3,3,IF($C$5=Lookups!$D$40,"All"))))&amp;"!"&amp;CQ$72&amp;$DE51),0)</f>
        <v>0</v>
      </c>
      <c r="CR51" s="236" cm="1">
        <f t="array" aca="1" ref="CR51" ca="1">IFERROR(INDIRECT("Yr"&amp;IF($C$5=Year1,1,IF($C$5=Year2,2,IF($C$5=Year3,3,IF($C$5=Lookups!$D$40,"All"))))&amp;"!"&amp;CR$72&amp;$DE51),0)</f>
        <v>0</v>
      </c>
      <c r="CS51" s="236" cm="1">
        <f t="array" aca="1" ref="CS51" ca="1">IFERROR(INDIRECT("Yr"&amp;IF($C$5=Year1,1,IF($C$5=Year2,2,IF($C$5=Year3,3,IF($C$5=Lookups!$D$40,"All"))))&amp;"!"&amp;CS$72&amp;$DE51),0)</f>
        <v>0</v>
      </c>
      <c r="CT51" s="236" cm="1">
        <f t="array" aca="1" ref="CT51" ca="1">IFERROR(INDIRECT("Yr"&amp;IF($C$5=Year1,1,IF($C$5=Year2,2,IF($C$5=Year3,3,IF($C$5=Lookups!$D$40,"All"))))&amp;"!"&amp;CT$72&amp;$DE51),0)</f>
        <v>0</v>
      </c>
      <c r="CU51" s="236" cm="1">
        <f t="array" aca="1" ref="CU51" ca="1">IFERROR(INDIRECT("Yr"&amp;IF($C$5=Year1,1,IF($C$5=Year2,2,IF($C$5=Year3,3,IF($C$5=Lookups!$D$40,"All"))))&amp;"!"&amp;CU$72&amp;$DE51),0)</f>
        <v>0</v>
      </c>
      <c r="CV51" s="236" cm="1">
        <f t="array" aca="1" ref="CV51" ca="1">IFERROR(INDIRECT("Yr"&amp;IF($C$5=Year1,1,IF($C$5=Year2,2,IF($C$5=Year3,3,IF($C$5=Lookups!$D$40,"All"))))&amp;"!"&amp;CV$72&amp;$DE51),0)</f>
        <v>0</v>
      </c>
      <c r="CW51" s="236" cm="1">
        <f t="array" aca="1" ref="CW51" ca="1">IFERROR(INDIRECT("Yr"&amp;IF($C$5=Year1,1,IF($C$5=Year2,2,IF($C$5=Year3,3,IF($C$5=Lookups!$D$40,"All"))))&amp;"!"&amp;CW$72&amp;$DE51),0)</f>
        <v>0</v>
      </c>
      <c r="CX51" s="236" cm="1">
        <f t="array" aca="1" ref="CX51" ca="1">IFERROR(INDIRECT("Yr"&amp;IF($C$5=Year1,1,IF($C$5=Year2,2,IF($C$5=Year3,3,IF($C$5=Lookups!$D$40,"All"))))&amp;"!"&amp;CX$72&amp;$DE51),0)</f>
        <v>0</v>
      </c>
      <c r="CY51" s="236" cm="1">
        <f t="array" aca="1" ref="CY51" ca="1">IFERROR(INDIRECT("Yr"&amp;IF($C$5=Year1,1,IF($C$5=Year2,2,IF($C$5=Year3,3,IF($C$5=Lookups!$D$40,"All"))))&amp;"!"&amp;CY$72&amp;$DE51),0)</f>
        <v>0</v>
      </c>
      <c r="CZ51" s="236" cm="1">
        <f t="array" aca="1" ref="CZ51" ca="1">IFERROR(INDIRECT("Yr"&amp;IF($C$5=Year1,1,IF($C$5=Year2,2,IF($C$5=Year3,3,IF($C$5=Lookups!$D$40,"All"))))&amp;"!"&amp;CZ$72&amp;$DE51),0)</f>
        <v>0</v>
      </c>
      <c r="DA51" s="162"/>
      <c r="DB51" s="236"/>
      <c r="DC51" s="123"/>
      <c r="DE51" s="516">
        <f t="shared" si="6"/>
        <v>60</v>
      </c>
    </row>
    <row r="52" spans="3:117" x14ac:dyDescent="0.25">
      <c r="BV52" s="343"/>
      <c r="BW52" s="346"/>
      <c r="BX52" s="131" t="s">
        <v>100</v>
      </c>
      <c r="BY52" s="161" t="s">
        <v>16</v>
      </c>
      <c r="BZ52" s="163">
        <f ca="1">IF($C$5=Lookups!$D$40,AVERAGE($BZ51:$CZ51),AVERAGE($BZ51:$CX51))</f>
        <v>1.0651025212042651E-2</v>
      </c>
      <c r="CA52" s="236">
        <f ca="1">IF($C$5=Lookups!$D$40,AVERAGE($BZ51:$CZ51),AVERAGE($BZ51:$CX51))</f>
        <v>1.0651025212042651E-2</v>
      </c>
      <c r="CB52" s="236">
        <f ca="1">IF($C$5=Lookups!$D$40,AVERAGE($BZ51:$CZ51),AVERAGE($BZ51:$CX51))</f>
        <v>1.0651025212042651E-2</v>
      </c>
      <c r="CC52" s="236">
        <f ca="1">IF($C$5=Lookups!$D$40,AVERAGE($BZ51:$CZ51),AVERAGE($BZ51:$CX51))</f>
        <v>1.0651025212042651E-2</v>
      </c>
      <c r="CD52" s="236">
        <f ca="1">IF($C$5=Lookups!$D$40,AVERAGE($BZ51:$CZ51),AVERAGE($BZ51:$CX51))</f>
        <v>1.0651025212042651E-2</v>
      </c>
      <c r="CE52" s="236">
        <f ca="1">IF($C$5=Lookups!$D$40,AVERAGE($BZ51:$CZ51),AVERAGE($BZ51:$CX51))</f>
        <v>1.0651025212042651E-2</v>
      </c>
      <c r="CF52" s="236">
        <f ca="1">IF($C$5=Lookups!$D$40,AVERAGE($BZ51:$CZ51),AVERAGE($BZ51:$CX51))</f>
        <v>1.0651025212042651E-2</v>
      </c>
      <c r="CG52" s="236">
        <f ca="1">IF($C$5=Lookups!$D$40,AVERAGE($BZ51:$CZ51),AVERAGE($BZ51:$CX51))</f>
        <v>1.0651025212042651E-2</v>
      </c>
      <c r="CH52" s="236">
        <f ca="1">IF($C$5=Lookups!$D$40,AVERAGE($BZ51:$CZ51),AVERAGE($BZ51:$CX51))</f>
        <v>1.0651025212042651E-2</v>
      </c>
      <c r="CI52" s="236">
        <f ca="1">IF($C$5=Lookups!$D$40,AVERAGE($BZ51:$CZ51),AVERAGE($BZ51:$CX51))</f>
        <v>1.0651025212042651E-2</v>
      </c>
      <c r="CJ52" s="236">
        <f ca="1">IF($C$5=Lookups!$D$40,AVERAGE($BZ51:$CZ51),AVERAGE($BZ51:$CX51))</f>
        <v>1.0651025212042651E-2</v>
      </c>
      <c r="CK52" s="236">
        <f ca="1">IF($C$5=Lookups!$D$40,AVERAGE($BZ51:$CZ51),AVERAGE($BZ51:$CX51))</f>
        <v>1.0651025212042651E-2</v>
      </c>
      <c r="CL52" s="236">
        <f ca="1">IF($C$5=Lookups!$D$40,AVERAGE($BZ51:$CZ51),AVERAGE($BZ51:$CX51))</f>
        <v>1.0651025212042651E-2</v>
      </c>
      <c r="CM52" s="236">
        <f ca="1">IF($C$5=Lookups!$D$40,AVERAGE($BZ51:$CZ51),AVERAGE($BZ51:$CX51))</f>
        <v>1.0651025212042651E-2</v>
      </c>
      <c r="CN52" s="236">
        <f ca="1">IF($C$5=Lookups!$D$40,AVERAGE($BZ51:$CZ51),AVERAGE($BZ51:$CX51))</f>
        <v>1.0651025212042651E-2</v>
      </c>
      <c r="CO52" s="236">
        <f ca="1">IF($C$5=Lookups!$D$40,AVERAGE($BZ51:$CZ51),AVERAGE($BZ51:$CX51))</f>
        <v>1.0651025212042651E-2</v>
      </c>
      <c r="CP52" s="236">
        <f ca="1">IF($C$5=Lookups!$D$40,AVERAGE($BZ51:$CZ51),AVERAGE($BZ51:$CX51))</f>
        <v>1.0651025212042651E-2</v>
      </c>
      <c r="CQ52" s="236">
        <f ca="1">IF($C$5=Lookups!$D$40,AVERAGE($BZ51:$CZ51),AVERAGE($BZ51:$CX51))</f>
        <v>1.0651025212042651E-2</v>
      </c>
      <c r="CR52" s="236">
        <f ca="1">IF($C$5=Lookups!$D$40,AVERAGE($BZ51:$CZ51),AVERAGE($BZ51:$CX51))</f>
        <v>1.0651025212042651E-2</v>
      </c>
      <c r="CS52" s="236">
        <f ca="1">IF($C$5=Lookups!$D$40,AVERAGE($BZ51:$CZ51),AVERAGE($BZ51:$CX51))</f>
        <v>1.0651025212042651E-2</v>
      </c>
      <c r="CT52" s="236">
        <f ca="1">IF($C$5=Lookups!$D$40,AVERAGE($BZ51:$CZ51),AVERAGE($BZ51:$CX51))</f>
        <v>1.0651025212042651E-2</v>
      </c>
      <c r="CU52" s="236">
        <f ca="1">IF($C$5=Lookups!$D$40,AVERAGE($BZ51:$CZ51),AVERAGE($BZ51:$CX51))</f>
        <v>1.0651025212042651E-2</v>
      </c>
      <c r="CV52" s="236">
        <f ca="1">IF($C$5=Lookups!$D$40,AVERAGE($BZ51:$CZ51),AVERAGE($BZ51:$CX51))</f>
        <v>1.0651025212042651E-2</v>
      </c>
      <c r="CW52" s="236">
        <f ca="1">IF($C$5=Lookups!$D$40,AVERAGE($BZ51:$CZ51),AVERAGE($BZ51:$CX51))</f>
        <v>1.0651025212042651E-2</v>
      </c>
      <c r="CX52" s="236">
        <f ca="1">IF($C$5=Lookups!$D$40,AVERAGE($BZ51:$CZ51),AVERAGE($BZ51:$CX51))</f>
        <v>1.0651025212042651E-2</v>
      </c>
      <c r="CY52" s="236">
        <f ca="1">IF($C$5=Lookups!$D$40,AVERAGE($BZ51:$CZ51),AVERAGE($BZ51:$CX51))</f>
        <v>1.0651025212042651E-2</v>
      </c>
      <c r="CZ52" s="236">
        <f ca="1">IF($C$5=Lookups!$D$40,AVERAGE($BZ51:$CZ51),AVERAGE($BZ51:$CX51))</f>
        <v>1.0651025212042651E-2</v>
      </c>
      <c r="DA52" s="162"/>
      <c r="DB52" s="236"/>
      <c r="DC52" s="123"/>
      <c r="DE52" s="516" t="str">
        <f t="shared" si="6"/>
        <v>Calculation</v>
      </c>
    </row>
    <row r="53" spans="3:117" x14ac:dyDescent="0.25">
      <c r="BV53" s="343"/>
      <c r="BW53" s="346"/>
      <c r="BX53" s="182" t="str">
        <f ca="1">"Levelized net change "&amp;TEXT(DB53,"0.0%")</f>
        <v>Levelized net change 1.2%</v>
      </c>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2"/>
      <c r="DB53" s="723" cm="1">
        <f t="array" aca="1" ref="DB53" ca="1">IFERROR(INDIRECT("Yr"&amp;IF($C$5=Year1,1,IF($C$5=Year2,2,IF($C$5=Year3,3,IF($C$5=Lookups!$D$40,"All"))))&amp;"!"&amp;DB$74&amp;$DE53),0)</f>
        <v>1.2080325668566427E-2</v>
      </c>
      <c r="DC53" s="123"/>
      <c r="DE53" s="516">
        <f>DE33</f>
        <v>60</v>
      </c>
    </row>
    <row r="54" spans="3:117" x14ac:dyDescent="0.25">
      <c r="BT54" s="5"/>
      <c r="BV54" s="343"/>
      <c r="BW54" s="346"/>
      <c r="BX54" s="131"/>
      <c r="BY54" s="131"/>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23"/>
      <c r="DE54" s="516"/>
    </row>
    <row r="55" spans="3:117" ht="18.75" x14ac:dyDescent="0.25">
      <c r="C55" s="411" t="s">
        <v>28</v>
      </c>
      <c r="D55" s="196"/>
      <c r="E55" s="196"/>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V55" s="166" t="str">
        <f>Lookups!$D$23&amp;" v "&amp;Lookups!$D$24</f>
        <v>Proposed EE v Alternative EE</v>
      </c>
      <c r="BW55" s="166"/>
      <c r="BX55" s="167"/>
      <c r="BY55" s="167"/>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23"/>
      <c r="DE55" s="516"/>
    </row>
    <row r="56" spans="3:117" x14ac:dyDescent="0.25">
      <c r="C56" s="412" t="s">
        <v>252</v>
      </c>
      <c r="D56" s="412"/>
      <c r="E56" s="412"/>
      <c r="F56" s="413"/>
      <c r="G56" s="413"/>
      <c r="H56" s="413"/>
      <c r="I56" s="413"/>
      <c r="J56" s="413"/>
      <c r="K56" s="413"/>
      <c r="L56" s="414"/>
      <c r="M56" s="413"/>
      <c r="N56" s="412"/>
      <c r="BV56" s="343"/>
      <c r="BW56" s="169" t="s">
        <v>72</v>
      </c>
      <c r="BX56" s="170"/>
      <c r="BY56" s="170"/>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23"/>
      <c r="DE56" s="516"/>
    </row>
    <row r="57" spans="3:117" x14ac:dyDescent="0.25">
      <c r="C57" s="412" t="s">
        <v>225</v>
      </c>
      <c r="D57" s="412"/>
      <c r="E57" s="412"/>
      <c r="F57" s="413"/>
      <c r="G57" s="413"/>
      <c r="H57" s="413"/>
      <c r="I57" s="413"/>
      <c r="J57" s="413"/>
      <c r="K57" s="413"/>
      <c r="L57" s="414"/>
      <c r="M57" s="413"/>
      <c r="N57" s="412"/>
      <c r="BV57" s="343"/>
      <c r="BW57" s="347"/>
      <c r="BX57" s="170" t="s">
        <v>224</v>
      </c>
      <c r="BY57" s="170" t="s">
        <v>409</v>
      </c>
      <c r="BZ57" s="172">
        <f ca="1">BZ43-BZ23</f>
        <v>-6.4268585010408552E-2</v>
      </c>
      <c r="CA57" s="172">
        <f t="shared" ref="CA57:CZ57" ca="1" si="8">CA43-CA23</f>
        <v>-0.13116707845096975</v>
      </c>
      <c r="CB57" s="172">
        <f t="shared" ca="1" si="8"/>
        <v>-0.20125253888929406</v>
      </c>
      <c r="CC57" s="172">
        <f t="shared" ca="1" si="8"/>
        <v>-0.20125253888929406</v>
      </c>
      <c r="CD57" s="172">
        <f t="shared" ca="1" si="8"/>
        <v>-0.20125253888929406</v>
      </c>
      <c r="CE57" s="172">
        <f t="shared" ca="1" si="8"/>
        <v>-0.20125253888929406</v>
      </c>
      <c r="CF57" s="172">
        <f t="shared" ca="1" si="8"/>
        <v>-0.20125253888929406</v>
      </c>
      <c r="CG57" s="172">
        <f t="shared" ca="1" si="8"/>
        <v>-0.20125253888929406</v>
      </c>
      <c r="CH57" s="172">
        <f t="shared" ca="1" si="8"/>
        <v>-0.20125253888929406</v>
      </c>
      <c r="CI57" s="172">
        <f t="shared" ca="1" si="8"/>
        <v>-0.20125253888929406</v>
      </c>
      <c r="CJ57" s="172">
        <f t="shared" ca="1" si="8"/>
        <v>-0.20125253888929406</v>
      </c>
      <c r="CK57" s="172">
        <f t="shared" ca="1" si="8"/>
        <v>-0.20125253888929406</v>
      </c>
      <c r="CL57" s="172">
        <f t="shared" ca="1" si="8"/>
        <v>-0.20125253888929406</v>
      </c>
      <c r="CM57" s="172">
        <f t="shared" ca="1" si="8"/>
        <v>-0.20125253888929406</v>
      </c>
      <c r="CN57" s="172">
        <f t="shared" ca="1" si="8"/>
        <v>-0.20125253888929406</v>
      </c>
      <c r="CO57" s="172">
        <f t="shared" ca="1" si="8"/>
        <v>-0.13324681056878651</v>
      </c>
      <c r="CP57" s="172">
        <f t="shared" ca="1" si="8"/>
        <v>-6.6289528509662854E-2</v>
      </c>
      <c r="CQ57" s="172">
        <f t="shared" ca="1" si="8"/>
        <v>0</v>
      </c>
      <c r="CR57" s="172">
        <f t="shared" ca="1" si="8"/>
        <v>0</v>
      </c>
      <c r="CS57" s="172">
        <f t="shared" ca="1" si="8"/>
        <v>0</v>
      </c>
      <c r="CT57" s="172">
        <f t="shared" ca="1" si="8"/>
        <v>0</v>
      </c>
      <c r="CU57" s="172">
        <f t="shared" ca="1" si="8"/>
        <v>0</v>
      </c>
      <c r="CV57" s="172">
        <f t="shared" ca="1" si="8"/>
        <v>0</v>
      </c>
      <c r="CW57" s="172">
        <f t="shared" ca="1" si="8"/>
        <v>0</v>
      </c>
      <c r="CX57" s="172">
        <f t="shared" ca="1" si="8"/>
        <v>0</v>
      </c>
      <c r="CY57" s="172">
        <f t="shared" ca="1" si="8"/>
        <v>0</v>
      </c>
      <c r="CZ57" s="172">
        <f t="shared" ca="1" si="8"/>
        <v>0</v>
      </c>
      <c r="DA57" s="172"/>
      <c r="DB57" s="172">
        <f ca="1">IF($C$5=Lookups!$D$40,-PMT(Lookups!$E$17,27,NPV(Lookups!$E$17,BZ57:CZ57),0,1),-PMT(Lookups!$E$17,25,NPV(Lookups!$E$17,BZ57:CX57),0,1))</f>
        <v>-0.11747579834327938</v>
      </c>
      <c r="DC57" s="123"/>
      <c r="DE57" s="516"/>
    </row>
    <row r="58" spans="3:117" ht="15" customHeight="1" x14ac:dyDescent="0.25">
      <c r="C58" s="415" t="s">
        <v>164</v>
      </c>
      <c r="D58" s="415"/>
      <c r="E58" s="415"/>
      <c r="F58" s="415"/>
      <c r="G58" s="415"/>
      <c r="H58" s="415"/>
      <c r="I58" s="415"/>
      <c r="J58" s="415"/>
      <c r="K58" s="415"/>
      <c r="L58" s="415"/>
      <c r="M58" s="415"/>
      <c r="N58" s="415"/>
      <c r="BV58" s="343"/>
      <c r="BW58" s="347"/>
      <c r="BX58" s="170" t="s">
        <v>412</v>
      </c>
      <c r="BY58" s="170" t="s">
        <v>409</v>
      </c>
      <c r="BZ58" s="172">
        <f t="shared" ref="BZ58:BZ63" ca="1" si="9">BZ44-BZ24</f>
        <v>3.0448760838062847E-2</v>
      </c>
      <c r="CA58" s="172">
        <f t="shared" ref="CA58:CZ58" ca="1" si="10">CA44-CA24</f>
        <v>6.1678355732816242E-2</v>
      </c>
      <c r="CB58" s="172">
        <f t="shared" ca="1" si="10"/>
        <v>9.3907359884090172E-2</v>
      </c>
      <c r="CC58" s="172">
        <f t="shared" ca="1" si="10"/>
        <v>9.3907359884090172E-2</v>
      </c>
      <c r="CD58" s="172">
        <f t="shared" ca="1" si="10"/>
        <v>9.3907359884090172E-2</v>
      </c>
      <c r="CE58" s="172">
        <f t="shared" ca="1" si="10"/>
        <v>9.3907359884090172E-2</v>
      </c>
      <c r="CF58" s="172">
        <f t="shared" ca="1" si="10"/>
        <v>9.3907359884090172E-2</v>
      </c>
      <c r="CG58" s="172">
        <f t="shared" ca="1" si="10"/>
        <v>9.3907359884090172E-2</v>
      </c>
      <c r="CH58" s="172">
        <f t="shared" ca="1" si="10"/>
        <v>9.3907359884090172E-2</v>
      </c>
      <c r="CI58" s="172">
        <f t="shared" ca="1" si="10"/>
        <v>9.3907359884090172E-2</v>
      </c>
      <c r="CJ58" s="172">
        <f t="shared" ca="1" si="10"/>
        <v>9.3907359884090172E-2</v>
      </c>
      <c r="CK58" s="172">
        <f t="shared" ca="1" si="10"/>
        <v>9.3907359884090172E-2</v>
      </c>
      <c r="CL58" s="172">
        <f t="shared" ca="1" si="10"/>
        <v>9.3907359884090172E-2</v>
      </c>
      <c r="CM58" s="172">
        <f t="shared" ca="1" si="10"/>
        <v>9.3907359884090172E-2</v>
      </c>
      <c r="CN58" s="172">
        <f t="shared" ca="1" si="10"/>
        <v>9.3907359884090172E-2</v>
      </c>
      <c r="CO58" s="172">
        <f t="shared" ca="1" si="10"/>
        <v>6.2641142079792947E-2</v>
      </c>
      <c r="CP58" s="172">
        <f t="shared" ca="1" si="10"/>
        <v>3.139868821327195E-2</v>
      </c>
      <c r="CQ58" s="172">
        <f t="shared" ca="1" si="10"/>
        <v>0</v>
      </c>
      <c r="CR58" s="172">
        <f t="shared" ca="1" si="10"/>
        <v>0</v>
      </c>
      <c r="CS58" s="172">
        <f t="shared" ca="1" si="10"/>
        <v>0</v>
      </c>
      <c r="CT58" s="172">
        <f t="shared" ca="1" si="10"/>
        <v>0</v>
      </c>
      <c r="CU58" s="172">
        <f t="shared" ca="1" si="10"/>
        <v>0</v>
      </c>
      <c r="CV58" s="172">
        <f t="shared" ca="1" si="10"/>
        <v>0</v>
      </c>
      <c r="CW58" s="172">
        <f t="shared" ca="1" si="10"/>
        <v>0</v>
      </c>
      <c r="CX58" s="172">
        <f t="shared" ca="1" si="10"/>
        <v>0</v>
      </c>
      <c r="CY58" s="172">
        <f t="shared" ca="1" si="10"/>
        <v>0</v>
      </c>
      <c r="CZ58" s="172">
        <f t="shared" ca="1" si="10"/>
        <v>0</v>
      </c>
      <c r="DA58" s="172"/>
      <c r="DB58" s="172">
        <f ca="1">IF($C$5=Lookups!$D$40,-PMT(Lookups!$E$17,27,NPV(Lookups!$E$17,BZ58:CZ58),0,1),-PMT(Lookups!$E$17,25,NPV(Lookups!$E$17,BZ58:CX58),0,1))</f>
        <v>5.4889037951666407E-2</v>
      </c>
      <c r="DC58" s="123"/>
      <c r="DE58" s="516"/>
    </row>
    <row r="59" spans="3:117" x14ac:dyDescent="0.25">
      <c r="D59" s="415"/>
      <c r="E59" s="415"/>
      <c r="F59" s="415"/>
      <c r="G59" s="415"/>
      <c r="H59" s="415"/>
      <c r="I59" s="415"/>
      <c r="J59" s="415"/>
      <c r="K59" s="415"/>
      <c r="L59" s="415"/>
      <c r="M59" s="415"/>
      <c r="N59" s="415"/>
      <c r="BV59" s="343"/>
      <c r="BW59" s="347"/>
      <c r="BX59" s="170" t="s">
        <v>175</v>
      </c>
      <c r="BY59" s="170" t="s">
        <v>409</v>
      </c>
      <c r="BZ59" s="172">
        <f t="shared" ca="1" si="9"/>
        <v>-2.7303126718163095E-3</v>
      </c>
      <c r="CA59" s="172">
        <f t="shared" ref="CA59:CZ59" ca="1" si="11">CA45-CA25</f>
        <v>-5.558194816956262E-3</v>
      </c>
      <c r="CB59" s="172">
        <f t="shared" ca="1" si="11"/>
        <v>-8.5135027623949727E-3</v>
      </c>
      <c r="CC59" s="172">
        <f t="shared" ca="1" si="11"/>
        <v>-8.5135027623949727E-3</v>
      </c>
      <c r="CD59" s="172">
        <f t="shared" ca="1" si="11"/>
        <v>-8.5135027623949727E-3</v>
      </c>
      <c r="CE59" s="172">
        <f t="shared" ca="1" si="11"/>
        <v>-8.5135027623949727E-3</v>
      </c>
      <c r="CF59" s="172">
        <f t="shared" ca="1" si="11"/>
        <v>-8.5135027623949727E-3</v>
      </c>
      <c r="CG59" s="172">
        <f t="shared" ca="1" si="11"/>
        <v>-8.5135027623949727E-3</v>
      </c>
      <c r="CH59" s="172">
        <f t="shared" ca="1" si="11"/>
        <v>-8.5135027623949727E-3</v>
      </c>
      <c r="CI59" s="172">
        <f t="shared" ca="1" si="11"/>
        <v>-8.5135027623949727E-3</v>
      </c>
      <c r="CJ59" s="172">
        <f t="shared" ca="1" si="11"/>
        <v>-8.5135027623949727E-3</v>
      </c>
      <c r="CK59" s="172">
        <f t="shared" ca="1" si="11"/>
        <v>-8.5135027623949727E-3</v>
      </c>
      <c r="CL59" s="172">
        <f t="shared" ca="1" si="11"/>
        <v>-8.5135027623949727E-3</v>
      </c>
      <c r="CM59" s="172">
        <f t="shared" ca="1" si="11"/>
        <v>-8.5135027623949727E-3</v>
      </c>
      <c r="CN59" s="172">
        <f t="shared" ca="1" si="11"/>
        <v>-8.5135027623949727E-3</v>
      </c>
      <c r="CO59" s="172">
        <f t="shared" ca="1" si="11"/>
        <v>-5.6249296848517386E-3</v>
      </c>
      <c r="CP59" s="172">
        <f t="shared" ca="1" si="11"/>
        <v>-2.7948586380507415E-3</v>
      </c>
      <c r="CQ59" s="172">
        <f t="shared" ca="1" si="11"/>
        <v>0</v>
      </c>
      <c r="CR59" s="172">
        <f t="shared" ca="1" si="11"/>
        <v>0</v>
      </c>
      <c r="CS59" s="172">
        <f t="shared" ca="1" si="11"/>
        <v>0</v>
      </c>
      <c r="CT59" s="172">
        <f t="shared" ca="1" si="11"/>
        <v>0</v>
      </c>
      <c r="CU59" s="172">
        <f t="shared" ca="1" si="11"/>
        <v>0</v>
      </c>
      <c r="CV59" s="172">
        <f t="shared" ca="1" si="11"/>
        <v>0</v>
      </c>
      <c r="CW59" s="172">
        <f t="shared" ca="1" si="11"/>
        <v>0</v>
      </c>
      <c r="CX59" s="172">
        <f t="shared" ca="1" si="11"/>
        <v>0</v>
      </c>
      <c r="CY59" s="172">
        <f t="shared" ca="1" si="11"/>
        <v>0</v>
      </c>
      <c r="CZ59" s="172">
        <f t="shared" ca="1" si="11"/>
        <v>0</v>
      </c>
      <c r="DA59" s="172"/>
      <c r="DB59" s="172">
        <f ca="1">IF($C$5=Lookups!$D$40,-PMT(Lookups!$E$17,27,NPV(Lookups!$E$17,BZ59:CZ59),0,1),-PMT(Lookups!$E$17,25,NPV(Lookups!$E$17,BZ59:CX59),0,1))</f>
        <v>-4.9697018470753725E-3</v>
      </c>
      <c r="DC59" s="123"/>
      <c r="DE59" s="516"/>
      <c r="DK59" s="5"/>
      <c r="DL59" s="5"/>
      <c r="DM59" s="5"/>
    </row>
    <row r="60" spans="3:117" x14ac:dyDescent="0.25">
      <c r="BV60" s="343"/>
      <c r="BW60" s="347"/>
      <c r="BX60" s="170" t="s">
        <v>405</v>
      </c>
      <c r="BY60" s="170" t="s">
        <v>409</v>
      </c>
      <c r="BZ60" s="172">
        <f t="shared" ca="1" si="9"/>
        <v>1.2937279398371668</v>
      </c>
      <c r="CA60" s="172">
        <f t="shared" ref="CA60:CZ60" ca="1" si="12">CA46-CA26</f>
        <v>1.3330827659183546</v>
      </c>
      <c r="CB60" s="172">
        <f t="shared" ca="1" si="12"/>
        <v>1.3757162312094149</v>
      </c>
      <c r="CC60" s="172">
        <f t="shared" ca="1" si="12"/>
        <v>0</v>
      </c>
      <c r="CD60" s="172">
        <f t="shared" ca="1" si="12"/>
        <v>0</v>
      </c>
      <c r="CE60" s="172">
        <f t="shared" ca="1" si="12"/>
        <v>0</v>
      </c>
      <c r="CF60" s="172">
        <f t="shared" ca="1" si="12"/>
        <v>0</v>
      </c>
      <c r="CG60" s="172">
        <f t="shared" ca="1" si="12"/>
        <v>0</v>
      </c>
      <c r="CH60" s="172">
        <f t="shared" ca="1" si="12"/>
        <v>0</v>
      </c>
      <c r="CI60" s="172">
        <f t="shared" ca="1" si="12"/>
        <v>0</v>
      </c>
      <c r="CJ60" s="172">
        <f t="shared" ca="1" si="12"/>
        <v>0</v>
      </c>
      <c r="CK60" s="172">
        <f t="shared" ca="1" si="12"/>
        <v>0</v>
      </c>
      <c r="CL60" s="172">
        <f t="shared" ca="1" si="12"/>
        <v>0</v>
      </c>
      <c r="CM60" s="172">
        <f t="shared" ca="1" si="12"/>
        <v>0</v>
      </c>
      <c r="CN60" s="172">
        <f t="shared" ca="1" si="12"/>
        <v>0</v>
      </c>
      <c r="CO60" s="172">
        <f t="shared" ca="1" si="12"/>
        <v>0</v>
      </c>
      <c r="CP60" s="172">
        <f t="shared" ca="1" si="12"/>
        <v>0</v>
      </c>
      <c r="CQ60" s="172">
        <f t="shared" ca="1" si="12"/>
        <v>0</v>
      </c>
      <c r="CR60" s="172">
        <f t="shared" ca="1" si="12"/>
        <v>0</v>
      </c>
      <c r="CS60" s="172">
        <f t="shared" ca="1" si="12"/>
        <v>0</v>
      </c>
      <c r="CT60" s="172">
        <f t="shared" ca="1" si="12"/>
        <v>0</v>
      </c>
      <c r="CU60" s="172">
        <f t="shared" ca="1" si="12"/>
        <v>0</v>
      </c>
      <c r="CV60" s="172">
        <f t="shared" ca="1" si="12"/>
        <v>0</v>
      </c>
      <c r="CW60" s="172">
        <f t="shared" ca="1" si="12"/>
        <v>0</v>
      </c>
      <c r="CX60" s="172">
        <f t="shared" ca="1" si="12"/>
        <v>0</v>
      </c>
      <c r="CY60" s="172">
        <f t="shared" ca="1" si="12"/>
        <v>0</v>
      </c>
      <c r="CZ60" s="172">
        <f t="shared" ca="1" si="12"/>
        <v>0</v>
      </c>
      <c r="DA60" s="172"/>
      <c r="DB60" s="172">
        <f ca="1">IF($C$5=Lookups!$D$40,-PMT(Lookups!$E$17,27,NPV(Lookups!$E$17,BZ60:CZ60),0,1),-PMT(Lookups!$E$17,25,NPV(Lookups!$E$17,BZ60:CX60),0,1))</f>
        <v>0.17193902358279814</v>
      </c>
      <c r="DC60" s="123"/>
      <c r="DE60" s="516"/>
    </row>
    <row r="61" spans="3:117" x14ac:dyDescent="0.25">
      <c r="BV61" s="343"/>
      <c r="BW61" s="347"/>
      <c r="BX61" s="170" t="s">
        <v>69</v>
      </c>
      <c r="BY61" s="170" t="s">
        <v>409</v>
      </c>
      <c r="BZ61" s="172">
        <f t="shared" ca="1" si="9"/>
        <v>5.168483938806645E-2</v>
      </c>
      <c r="CA61" s="172">
        <f t="shared" ref="CA61:CZ61" ca="1" si="13">CA47-CA27</f>
        <v>0.10541788118246798</v>
      </c>
      <c r="CB61" s="172">
        <f t="shared" ca="1" si="13"/>
        <v>0.16160596412414518</v>
      </c>
      <c r="CC61" s="172">
        <f t="shared" ca="1" si="13"/>
        <v>0.16160596412414518</v>
      </c>
      <c r="CD61" s="172">
        <f t="shared" ca="1" si="13"/>
        <v>0.16160596412414518</v>
      </c>
      <c r="CE61" s="172">
        <f t="shared" ca="1" si="13"/>
        <v>0.16160596412414518</v>
      </c>
      <c r="CF61" s="172">
        <f t="shared" ca="1" si="13"/>
        <v>0.16160596412414518</v>
      </c>
      <c r="CG61" s="172">
        <f t="shared" ca="1" si="13"/>
        <v>0.16160596412414518</v>
      </c>
      <c r="CH61" s="172">
        <f t="shared" ca="1" si="13"/>
        <v>0.16160596412414518</v>
      </c>
      <c r="CI61" s="172">
        <f t="shared" ca="1" si="13"/>
        <v>0.16160596412414518</v>
      </c>
      <c r="CJ61" s="172">
        <f t="shared" ca="1" si="13"/>
        <v>0.16160596412414518</v>
      </c>
      <c r="CK61" s="172">
        <f t="shared" ca="1" si="13"/>
        <v>0.16160596412414518</v>
      </c>
      <c r="CL61" s="172">
        <f t="shared" ca="1" si="13"/>
        <v>0.16160596412414518</v>
      </c>
      <c r="CM61" s="172">
        <f t="shared" ca="1" si="13"/>
        <v>0.16160596412414518</v>
      </c>
      <c r="CN61" s="172">
        <f t="shared" ca="1" si="13"/>
        <v>0.16160596412414518</v>
      </c>
      <c r="CO61" s="172">
        <f t="shared" ca="1" si="13"/>
        <v>0.10716509304139477</v>
      </c>
      <c r="CP61" s="172">
        <f t="shared" ca="1" si="13"/>
        <v>5.3387573835872448E-2</v>
      </c>
      <c r="CQ61" s="172">
        <f t="shared" ca="1" si="13"/>
        <v>0</v>
      </c>
      <c r="CR61" s="172">
        <f t="shared" ca="1" si="13"/>
        <v>0</v>
      </c>
      <c r="CS61" s="172">
        <f t="shared" ca="1" si="13"/>
        <v>0</v>
      </c>
      <c r="CT61" s="172">
        <f t="shared" ca="1" si="13"/>
        <v>0</v>
      </c>
      <c r="CU61" s="172">
        <f t="shared" ca="1" si="13"/>
        <v>0</v>
      </c>
      <c r="CV61" s="172">
        <f t="shared" ca="1" si="13"/>
        <v>0</v>
      </c>
      <c r="CW61" s="172">
        <f t="shared" ca="1" si="13"/>
        <v>0</v>
      </c>
      <c r="CX61" s="172">
        <f t="shared" ca="1" si="13"/>
        <v>0</v>
      </c>
      <c r="CY61" s="172">
        <f t="shared" ca="1" si="13"/>
        <v>0</v>
      </c>
      <c r="CZ61" s="172">
        <f t="shared" ca="1" si="13"/>
        <v>0</v>
      </c>
      <c r="DA61" s="172"/>
      <c r="DB61" s="172">
        <f ca="1">IF($C$5=Lookups!$D$40,-PMT(Lookups!$E$17,27,NPV(Lookups!$E$17,BZ61:CZ61),0,1),-PMT(Lookups!$E$17,25,NPV(Lookups!$E$17,BZ61:CX61),0,1))</f>
        <v>9.4351809162816949E-2</v>
      </c>
      <c r="DC61" s="123"/>
      <c r="DE61" s="516"/>
    </row>
    <row r="62" spans="3:117" x14ac:dyDescent="0.25">
      <c r="BV62" s="343"/>
      <c r="BW62" s="347"/>
      <c r="BX62" s="173" t="s">
        <v>98</v>
      </c>
      <c r="BY62" s="170" t="s">
        <v>409</v>
      </c>
      <c r="BZ62" s="172">
        <f t="shared" ca="1" si="9"/>
        <v>-3.6550136844161973E-2</v>
      </c>
      <c r="CA62" s="172">
        <f t="shared" ref="CA62:CZ62" ca="1" si="14">CA48-CA28</f>
        <v>-7.5046917535109836E-2</v>
      </c>
      <c r="CB62" s="172">
        <f t="shared" ca="1" si="14"/>
        <v>-0.11585868176759884</v>
      </c>
      <c r="CC62" s="172">
        <f t="shared" ca="1" si="14"/>
        <v>-0.11585868176759884</v>
      </c>
      <c r="CD62" s="172">
        <f t="shared" ca="1" si="14"/>
        <v>-0.11585868176759884</v>
      </c>
      <c r="CE62" s="172">
        <f t="shared" ca="1" si="14"/>
        <v>-0.11585868176759884</v>
      </c>
      <c r="CF62" s="172">
        <f t="shared" ca="1" si="14"/>
        <v>-0.11585868176759884</v>
      </c>
      <c r="CG62" s="172">
        <f t="shared" ca="1" si="14"/>
        <v>-0.11585868176759884</v>
      </c>
      <c r="CH62" s="172">
        <f t="shared" ca="1" si="14"/>
        <v>-0.11585868176759884</v>
      </c>
      <c r="CI62" s="172">
        <f t="shared" ca="1" si="14"/>
        <v>-0.11585868176759884</v>
      </c>
      <c r="CJ62" s="172">
        <f t="shared" ca="1" si="14"/>
        <v>-0.11585868176759884</v>
      </c>
      <c r="CK62" s="172">
        <f t="shared" ca="1" si="14"/>
        <v>-0.11585868176759884</v>
      </c>
      <c r="CL62" s="172">
        <f t="shared" ca="1" si="14"/>
        <v>-0.11585868176759884</v>
      </c>
      <c r="CM62" s="172">
        <f t="shared" ca="1" si="14"/>
        <v>-0.11585868176759884</v>
      </c>
      <c r="CN62" s="172">
        <f t="shared" ca="1" si="14"/>
        <v>-0.11585868176759884</v>
      </c>
      <c r="CO62" s="172">
        <f t="shared" ca="1" si="14"/>
        <v>-7.6230598173845143E-2</v>
      </c>
      <c r="CP62" s="172">
        <f t="shared" ca="1" si="14"/>
        <v>-3.7685698934441736E-2</v>
      </c>
      <c r="CQ62" s="172">
        <f t="shared" ca="1" si="14"/>
        <v>0</v>
      </c>
      <c r="CR62" s="172">
        <f t="shared" ca="1" si="14"/>
        <v>0</v>
      </c>
      <c r="CS62" s="172">
        <f t="shared" ca="1" si="14"/>
        <v>0</v>
      </c>
      <c r="CT62" s="172">
        <f t="shared" ca="1" si="14"/>
        <v>0</v>
      </c>
      <c r="CU62" s="172">
        <f t="shared" ca="1" si="14"/>
        <v>0</v>
      </c>
      <c r="CV62" s="172">
        <f t="shared" ca="1" si="14"/>
        <v>0</v>
      </c>
      <c r="CW62" s="172">
        <f t="shared" ca="1" si="14"/>
        <v>0</v>
      </c>
      <c r="CX62" s="172">
        <f t="shared" ca="1" si="14"/>
        <v>0</v>
      </c>
      <c r="CY62" s="172">
        <f t="shared" ca="1" si="14"/>
        <v>0</v>
      </c>
      <c r="CZ62" s="172">
        <f t="shared" ca="1" si="14"/>
        <v>0</v>
      </c>
      <c r="DA62" s="172"/>
      <c r="DB62" s="172">
        <f ca="1">IF($C$5=Lookups!$D$40,-PMT(Lookups!$E$17,27,NPV(Lookups!$E$17,BZ62:CZ62),0,1),-PMT(Lookups!$E$17,25,NPV(Lookups!$E$17,BZ62:CX62),0,1))</f>
        <v>-6.7556462238688331E-2</v>
      </c>
      <c r="DC62" s="123"/>
      <c r="DE62" s="516"/>
    </row>
    <row r="63" spans="3:117" x14ac:dyDescent="0.25">
      <c r="BV63" s="343"/>
      <c r="BW63" s="347"/>
      <c r="BX63" s="170" t="s">
        <v>99</v>
      </c>
      <c r="BY63" s="170" t="s">
        <v>409</v>
      </c>
      <c r="BZ63" s="172">
        <f t="shared" ca="1" si="9"/>
        <v>1.3352943227519898</v>
      </c>
      <c r="CA63" s="172">
        <f t="shared" ref="CA63:CZ63" ca="1" si="15">CA49-CA29</f>
        <v>1.4179837957396302</v>
      </c>
      <c r="CB63" s="172">
        <f t="shared" ca="1" si="15"/>
        <v>1.5060455804688289</v>
      </c>
      <c r="CC63" s="172">
        <f t="shared" ca="1" si="15"/>
        <v>0.13032934925942818</v>
      </c>
      <c r="CD63" s="172">
        <f t="shared" ca="1" si="15"/>
        <v>0.13032934925942818</v>
      </c>
      <c r="CE63" s="172">
        <f t="shared" ca="1" si="15"/>
        <v>0.13032934925942818</v>
      </c>
      <c r="CF63" s="172">
        <f t="shared" ca="1" si="15"/>
        <v>0.13032934925942818</v>
      </c>
      <c r="CG63" s="172">
        <f t="shared" ca="1" si="15"/>
        <v>0.13032934925942818</v>
      </c>
      <c r="CH63" s="172">
        <f t="shared" ca="1" si="15"/>
        <v>0.13032934925942818</v>
      </c>
      <c r="CI63" s="172">
        <f t="shared" ca="1" si="15"/>
        <v>0.13032934925942818</v>
      </c>
      <c r="CJ63" s="172">
        <f t="shared" ca="1" si="15"/>
        <v>0.13032934925942818</v>
      </c>
      <c r="CK63" s="172">
        <f t="shared" ca="1" si="15"/>
        <v>0.13032934925942818</v>
      </c>
      <c r="CL63" s="172">
        <f t="shared" ca="1" si="15"/>
        <v>0.13032934925942818</v>
      </c>
      <c r="CM63" s="172">
        <f t="shared" ca="1" si="15"/>
        <v>0.13032934925942818</v>
      </c>
      <c r="CN63" s="172">
        <f t="shared" ca="1" si="15"/>
        <v>0.13032934925942818</v>
      </c>
      <c r="CO63" s="172">
        <f t="shared" ca="1" si="15"/>
        <v>8.6343607011762913E-2</v>
      </c>
      <c r="CP63" s="172">
        <f t="shared" ca="1" si="15"/>
        <v>4.2969544695070638E-2</v>
      </c>
      <c r="CQ63" s="172">
        <f t="shared" ca="1" si="15"/>
        <v>0</v>
      </c>
      <c r="CR63" s="172">
        <f t="shared" ca="1" si="15"/>
        <v>0</v>
      </c>
      <c r="CS63" s="172">
        <f t="shared" ca="1" si="15"/>
        <v>0</v>
      </c>
      <c r="CT63" s="172">
        <f t="shared" ca="1" si="15"/>
        <v>0</v>
      </c>
      <c r="CU63" s="172">
        <f t="shared" ca="1" si="15"/>
        <v>0</v>
      </c>
      <c r="CV63" s="172">
        <f t="shared" ca="1" si="15"/>
        <v>0</v>
      </c>
      <c r="CW63" s="172">
        <f t="shared" ca="1" si="15"/>
        <v>0</v>
      </c>
      <c r="CX63" s="172">
        <f t="shared" ca="1" si="15"/>
        <v>0</v>
      </c>
      <c r="CY63" s="172">
        <f t="shared" ca="1" si="15"/>
        <v>0</v>
      </c>
      <c r="CZ63" s="172">
        <f t="shared" ca="1" si="15"/>
        <v>0</v>
      </c>
      <c r="DA63" s="170"/>
      <c r="DB63" s="172">
        <f ca="1">IF($C$5=Lookups!$D$40,-PMT(Lookups!$E$17,27,NPV(Lookups!$E$17,BZ63:CZ63),0,1),-PMT(Lookups!$E$17,25,NPV(Lookups!$E$17,BZ63:CX63),0,1))</f>
        <v>0.24801452943334004</v>
      </c>
      <c r="DC63" s="123"/>
      <c r="DE63" s="516"/>
    </row>
    <row r="64" spans="3:117" x14ac:dyDescent="0.25">
      <c r="BV64" s="343"/>
      <c r="BW64" s="347"/>
      <c r="BX64" s="170" t="s">
        <v>100</v>
      </c>
      <c r="BY64" s="170" t="s">
        <v>409</v>
      </c>
      <c r="BZ64" s="172">
        <f ca="1">IF($C$5=Lookups!$D$40,AVERAGE($BZ63:$CZ63),AVERAGE($BZ63:$CX63))</f>
        <v>0.22046626080668225</v>
      </c>
      <c r="CA64" s="172">
        <f ca="1">IF($C$5=Lookups!$D$40,AVERAGE($BZ63:$CZ63),AVERAGE($BZ63:$CX63))</f>
        <v>0.22046626080668225</v>
      </c>
      <c r="CB64" s="172">
        <f ca="1">IF($C$5=Lookups!$D$40,AVERAGE($BZ63:$CZ63),AVERAGE($BZ63:$CX63))</f>
        <v>0.22046626080668225</v>
      </c>
      <c r="CC64" s="172">
        <f ca="1">IF($C$5=Lookups!$D$40,AVERAGE($BZ63:$CZ63),AVERAGE($BZ63:$CX63))</f>
        <v>0.22046626080668225</v>
      </c>
      <c r="CD64" s="172">
        <f ca="1">IF($C$5=Lookups!$D$40,AVERAGE($BZ63:$CZ63),AVERAGE($BZ63:$CX63))</f>
        <v>0.22046626080668225</v>
      </c>
      <c r="CE64" s="172">
        <f ca="1">IF($C$5=Lookups!$D$40,AVERAGE($BZ63:$CZ63),AVERAGE($BZ63:$CX63))</f>
        <v>0.22046626080668225</v>
      </c>
      <c r="CF64" s="172">
        <f ca="1">IF($C$5=Lookups!$D$40,AVERAGE($BZ63:$CZ63),AVERAGE($BZ63:$CX63))</f>
        <v>0.22046626080668225</v>
      </c>
      <c r="CG64" s="172">
        <f ca="1">IF($C$5=Lookups!$D$40,AVERAGE($BZ63:$CZ63),AVERAGE($BZ63:$CX63))</f>
        <v>0.22046626080668225</v>
      </c>
      <c r="CH64" s="172">
        <f ca="1">IF($C$5=Lookups!$D$40,AVERAGE($BZ63:$CZ63),AVERAGE($BZ63:$CX63))</f>
        <v>0.22046626080668225</v>
      </c>
      <c r="CI64" s="172">
        <f ca="1">IF($C$5=Lookups!$D$40,AVERAGE($BZ63:$CZ63),AVERAGE($BZ63:$CX63))</f>
        <v>0.22046626080668225</v>
      </c>
      <c r="CJ64" s="172">
        <f ca="1">IF($C$5=Lookups!$D$40,AVERAGE($BZ63:$CZ63),AVERAGE($BZ63:$CX63))</f>
        <v>0.22046626080668225</v>
      </c>
      <c r="CK64" s="172">
        <f ca="1">IF($C$5=Lookups!$D$40,AVERAGE($BZ63:$CZ63),AVERAGE($BZ63:$CX63))</f>
        <v>0.22046626080668225</v>
      </c>
      <c r="CL64" s="172">
        <f ca="1">IF($C$5=Lookups!$D$40,AVERAGE($BZ63:$CZ63),AVERAGE($BZ63:$CX63))</f>
        <v>0.22046626080668225</v>
      </c>
      <c r="CM64" s="172">
        <f ca="1">IF($C$5=Lookups!$D$40,AVERAGE($BZ63:$CZ63),AVERAGE($BZ63:$CX63))</f>
        <v>0.22046626080668225</v>
      </c>
      <c r="CN64" s="172">
        <f ca="1">IF($C$5=Lookups!$D$40,AVERAGE($BZ63:$CZ63),AVERAGE($BZ63:$CX63))</f>
        <v>0.22046626080668225</v>
      </c>
      <c r="CO64" s="172">
        <f ca="1">IF($C$5=Lookups!$D$40,AVERAGE($BZ63:$CZ63),AVERAGE($BZ63:$CX63))</f>
        <v>0.22046626080668225</v>
      </c>
      <c r="CP64" s="172">
        <f ca="1">IF($C$5=Lookups!$D$40,AVERAGE($BZ63:$CZ63),AVERAGE($BZ63:$CX63))</f>
        <v>0.22046626080668225</v>
      </c>
      <c r="CQ64" s="172">
        <f ca="1">IF($C$5=Lookups!$D$40,AVERAGE($BZ63:$CZ63),AVERAGE($BZ63:$CX63))</f>
        <v>0.22046626080668225</v>
      </c>
      <c r="CR64" s="172">
        <f ca="1">IF($C$5=Lookups!$D$40,AVERAGE($BZ63:$CZ63),AVERAGE($BZ63:$CX63))</f>
        <v>0.22046626080668225</v>
      </c>
      <c r="CS64" s="172">
        <f ca="1">IF($C$5=Lookups!$D$40,AVERAGE($BZ63:$CZ63),AVERAGE($BZ63:$CX63))</f>
        <v>0.22046626080668225</v>
      </c>
      <c r="CT64" s="172">
        <f ca="1">IF($C$5=Lookups!$D$40,AVERAGE($BZ63:$CZ63),AVERAGE($BZ63:$CX63))</f>
        <v>0.22046626080668225</v>
      </c>
      <c r="CU64" s="172">
        <f ca="1">IF($C$5=Lookups!$D$40,AVERAGE($BZ63:$CZ63),AVERAGE($BZ63:$CX63))</f>
        <v>0.22046626080668225</v>
      </c>
      <c r="CV64" s="172">
        <f ca="1">IF($C$5=Lookups!$D$40,AVERAGE($BZ63:$CZ63),AVERAGE($BZ63:$CX63))</f>
        <v>0.22046626080668225</v>
      </c>
      <c r="CW64" s="172">
        <f ca="1">IF($C$5=Lookups!$D$40,AVERAGE($BZ63:$CZ63),AVERAGE($BZ63:$CX63))</f>
        <v>0.22046626080668225</v>
      </c>
      <c r="CX64" s="172">
        <f ca="1">IF($C$5=Lookups!$D$40,AVERAGE($BZ63:$CZ63),AVERAGE($BZ63:$CX63))</f>
        <v>0.22046626080668225</v>
      </c>
      <c r="CY64" s="172">
        <f ca="1">IF($C$5=Lookups!$D$40,AVERAGE($BZ63:$CZ63),AVERAGE($BZ63:$CX63))</f>
        <v>0.22046626080668225</v>
      </c>
      <c r="CZ64" s="172">
        <f ca="1">IF($C$5=Lookups!$D$40,AVERAGE($BZ63:$CZ63),AVERAGE($BZ63:$CX63))</f>
        <v>0.22046626080668225</v>
      </c>
      <c r="DA64" s="170"/>
      <c r="DB64" s="172">
        <f ca="1">IF($C$5=Lookups!$D$40,-PMT(Lookups!$E$17,27,NPV(Lookups!$E$17,BZ64:CZ64),0,1),-PMT(Lookups!$E$17,25,NPV(Lookups!$E$17,BZ64:CX64),0,1))</f>
        <v>0.21739147712085535</v>
      </c>
      <c r="DC64" s="123"/>
      <c r="DE64" s="516"/>
    </row>
    <row r="65" spans="70:119" x14ac:dyDescent="0.25">
      <c r="BV65" s="343"/>
      <c r="BW65" s="347"/>
      <c r="BX65" s="170" t="s">
        <v>99</v>
      </c>
      <c r="BY65" s="174" t="s">
        <v>16</v>
      </c>
      <c r="BZ65" s="237">
        <f t="shared" ref="BZ65:CZ65" ca="1" si="16">IFERROR(SUM(BZ37:BZ41)/SUM(BZ$17:BZ$21)-1,0)</f>
        <v>9.3041814289185343E-3</v>
      </c>
      <c r="CA65" s="237">
        <f t="shared" ca="1" si="16"/>
        <v>9.846495329497662E-3</v>
      </c>
      <c r="CB65" s="237">
        <f t="shared" ca="1" si="16"/>
        <v>1.0420401913575184E-2</v>
      </c>
      <c r="CC65" s="237">
        <f t="shared" ca="1" si="16"/>
        <v>9.4681713493471875E-4</v>
      </c>
      <c r="CD65" s="237">
        <f t="shared" ca="1" si="16"/>
        <v>9.4681713493471875E-4</v>
      </c>
      <c r="CE65" s="237">
        <f t="shared" ca="1" si="16"/>
        <v>9.4681713493471875E-4</v>
      </c>
      <c r="CF65" s="237">
        <f t="shared" ca="1" si="16"/>
        <v>9.4681713493471875E-4</v>
      </c>
      <c r="CG65" s="237">
        <f t="shared" ca="1" si="16"/>
        <v>9.4681713493471875E-4</v>
      </c>
      <c r="CH65" s="237">
        <f t="shared" ca="1" si="16"/>
        <v>9.4681713493471875E-4</v>
      </c>
      <c r="CI65" s="237">
        <f t="shared" ca="1" si="16"/>
        <v>9.4681713493471875E-4</v>
      </c>
      <c r="CJ65" s="237">
        <f t="shared" ca="1" si="16"/>
        <v>9.4681713493471875E-4</v>
      </c>
      <c r="CK65" s="237">
        <f t="shared" ca="1" si="16"/>
        <v>9.4681713493471875E-4</v>
      </c>
      <c r="CL65" s="237">
        <f t="shared" ca="1" si="16"/>
        <v>9.4681713493471875E-4</v>
      </c>
      <c r="CM65" s="237">
        <f t="shared" ca="1" si="16"/>
        <v>9.4681713493471875E-4</v>
      </c>
      <c r="CN65" s="237">
        <f t="shared" ca="1" si="16"/>
        <v>9.4681713493471875E-4</v>
      </c>
      <c r="CO65" s="237">
        <f t="shared" ca="1" si="16"/>
        <v>6.2862384344519739E-4</v>
      </c>
      <c r="CP65" s="237">
        <f t="shared" ca="1" si="16"/>
        <v>3.1351690799441556E-4</v>
      </c>
      <c r="CQ65" s="237">
        <f t="shared" ca="1" si="16"/>
        <v>0</v>
      </c>
      <c r="CR65" s="237">
        <f t="shared" ca="1" si="16"/>
        <v>0</v>
      </c>
      <c r="CS65" s="237">
        <f t="shared" ca="1" si="16"/>
        <v>0</v>
      </c>
      <c r="CT65" s="237">
        <f t="shared" ca="1" si="16"/>
        <v>0</v>
      </c>
      <c r="CU65" s="237">
        <f t="shared" ca="1" si="16"/>
        <v>0</v>
      </c>
      <c r="CV65" s="237">
        <f t="shared" ca="1" si="16"/>
        <v>0</v>
      </c>
      <c r="CW65" s="237">
        <f t="shared" ca="1" si="16"/>
        <v>0</v>
      </c>
      <c r="CX65" s="237">
        <f t="shared" ca="1" si="16"/>
        <v>0</v>
      </c>
      <c r="CY65" s="237">
        <f t="shared" ca="1" si="16"/>
        <v>0</v>
      </c>
      <c r="CZ65" s="237">
        <f t="shared" ca="1" si="16"/>
        <v>0</v>
      </c>
      <c r="DA65" s="176"/>
      <c r="DB65" s="172">
        <f ca="1">IF($C$5=Lookups!$D$40,-PMT(Lookups!$E$17,27,NPV(Lookups!$E$17,BZ65:CZ65),0,1),-PMT(Lookups!$E$17,25,NPV(Lookups!$E$17,BZ65:CX65),0,1))</f>
        <v>1.7429887966321483E-3</v>
      </c>
      <c r="DC65" s="123"/>
      <c r="DE65" s="516"/>
    </row>
    <row r="66" spans="70:119" x14ac:dyDescent="0.25">
      <c r="BV66" s="343"/>
      <c r="BW66" s="347"/>
      <c r="BX66" s="170" t="s">
        <v>100</v>
      </c>
      <c r="BY66" s="174" t="s">
        <v>16</v>
      </c>
      <c r="BZ66" s="237">
        <f ca="1">IF($C$5=Lookups!$D$40,AVERAGE($BZ65:$CZ65),AVERAGE($BZ65:$CX65))</f>
        <v>1.5509268534313933E-3</v>
      </c>
      <c r="CA66" s="237">
        <f ca="1">IF($C$5=Lookups!$D$40,AVERAGE($BZ65:$CZ65),AVERAGE($BZ65:$CX65))</f>
        <v>1.5509268534313933E-3</v>
      </c>
      <c r="CB66" s="237">
        <f ca="1">IF($C$5=Lookups!$D$40,AVERAGE($BZ65:$CZ65),AVERAGE($BZ65:$CX65))</f>
        <v>1.5509268534313933E-3</v>
      </c>
      <c r="CC66" s="237">
        <f ca="1">IF($C$5=Lookups!$D$40,AVERAGE($BZ65:$CZ65),AVERAGE($BZ65:$CX65))</f>
        <v>1.5509268534313933E-3</v>
      </c>
      <c r="CD66" s="237">
        <f ca="1">IF($C$5=Lookups!$D$40,AVERAGE($BZ65:$CZ65),AVERAGE($BZ65:$CX65))</f>
        <v>1.5509268534313933E-3</v>
      </c>
      <c r="CE66" s="237">
        <f ca="1">IF($C$5=Lookups!$D$40,AVERAGE($BZ65:$CZ65),AVERAGE($BZ65:$CX65))</f>
        <v>1.5509268534313933E-3</v>
      </c>
      <c r="CF66" s="237">
        <f ca="1">IF($C$5=Lookups!$D$40,AVERAGE($BZ65:$CZ65),AVERAGE($BZ65:$CX65))</f>
        <v>1.5509268534313933E-3</v>
      </c>
      <c r="CG66" s="237">
        <f ca="1">IF($C$5=Lookups!$D$40,AVERAGE($BZ65:$CZ65),AVERAGE($BZ65:$CX65))</f>
        <v>1.5509268534313933E-3</v>
      </c>
      <c r="CH66" s="237">
        <f ca="1">IF($C$5=Lookups!$D$40,AVERAGE($BZ65:$CZ65),AVERAGE($BZ65:$CX65))</f>
        <v>1.5509268534313933E-3</v>
      </c>
      <c r="CI66" s="237">
        <f ca="1">IF($C$5=Lookups!$D$40,AVERAGE($BZ65:$CZ65),AVERAGE($BZ65:$CX65))</f>
        <v>1.5509268534313933E-3</v>
      </c>
      <c r="CJ66" s="237">
        <f ca="1">IF($C$5=Lookups!$D$40,AVERAGE($BZ65:$CZ65),AVERAGE($BZ65:$CX65))</f>
        <v>1.5509268534313933E-3</v>
      </c>
      <c r="CK66" s="237">
        <f ca="1">IF($C$5=Lookups!$D$40,AVERAGE($BZ65:$CZ65),AVERAGE($BZ65:$CX65))</f>
        <v>1.5509268534313933E-3</v>
      </c>
      <c r="CL66" s="237">
        <f ca="1">IF($C$5=Lookups!$D$40,AVERAGE($BZ65:$CZ65),AVERAGE($BZ65:$CX65))</f>
        <v>1.5509268534313933E-3</v>
      </c>
      <c r="CM66" s="237">
        <f ca="1">IF($C$5=Lookups!$D$40,AVERAGE($BZ65:$CZ65),AVERAGE($BZ65:$CX65))</f>
        <v>1.5509268534313933E-3</v>
      </c>
      <c r="CN66" s="237">
        <f ca="1">IF($C$5=Lookups!$D$40,AVERAGE($BZ65:$CZ65),AVERAGE($BZ65:$CX65))</f>
        <v>1.5509268534313933E-3</v>
      </c>
      <c r="CO66" s="237">
        <f ca="1">IF($C$5=Lookups!$D$40,AVERAGE($BZ65:$CZ65),AVERAGE($BZ65:$CX65))</f>
        <v>1.5509268534313933E-3</v>
      </c>
      <c r="CP66" s="237">
        <f ca="1">IF($C$5=Lookups!$D$40,AVERAGE($BZ65:$CZ65),AVERAGE($BZ65:$CX65))</f>
        <v>1.5509268534313933E-3</v>
      </c>
      <c r="CQ66" s="237">
        <f ca="1">IF($C$5=Lookups!$D$40,AVERAGE($BZ65:$CZ65),AVERAGE($BZ65:$CX65))</f>
        <v>1.5509268534313933E-3</v>
      </c>
      <c r="CR66" s="237">
        <f ca="1">IF($C$5=Lookups!$D$40,AVERAGE($BZ65:$CZ65),AVERAGE($BZ65:$CX65))</f>
        <v>1.5509268534313933E-3</v>
      </c>
      <c r="CS66" s="237">
        <f ca="1">IF($C$5=Lookups!$D$40,AVERAGE($BZ65:$CZ65),AVERAGE($BZ65:$CX65))</f>
        <v>1.5509268534313933E-3</v>
      </c>
      <c r="CT66" s="237">
        <f ca="1">IF($C$5=Lookups!$D$40,AVERAGE($BZ65:$CZ65),AVERAGE($BZ65:$CX65))</f>
        <v>1.5509268534313933E-3</v>
      </c>
      <c r="CU66" s="237">
        <f ca="1">IF($C$5=Lookups!$D$40,AVERAGE($BZ65:$CZ65),AVERAGE($BZ65:$CX65))</f>
        <v>1.5509268534313933E-3</v>
      </c>
      <c r="CV66" s="237">
        <f ca="1">IF($C$5=Lookups!$D$40,AVERAGE($BZ65:$CZ65),AVERAGE($BZ65:$CX65))</f>
        <v>1.5509268534313933E-3</v>
      </c>
      <c r="CW66" s="237">
        <f ca="1">IF($C$5=Lookups!$D$40,AVERAGE($BZ65:$CZ65),AVERAGE($BZ65:$CX65))</f>
        <v>1.5509268534313933E-3</v>
      </c>
      <c r="CX66" s="237">
        <f ca="1">IF($C$5=Lookups!$D$40,AVERAGE($BZ65:$CZ65),AVERAGE($BZ65:$CX65))</f>
        <v>1.5509268534313933E-3</v>
      </c>
      <c r="CY66" s="237">
        <f ca="1">IF($C$5=Lookups!$D$40,AVERAGE($BZ65:$CZ65),AVERAGE($BZ65:$CX65))</f>
        <v>1.5509268534313933E-3</v>
      </c>
      <c r="CZ66" s="237">
        <f ca="1">IF($C$5=Lookups!$D$40,AVERAGE($BZ65:$CZ65),AVERAGE($BZ65:$CX65))</f>
        <v>1.5509268534313933E-3</v>
      </c>
      <c r="DA66" s="176"/>
      <c r="DB66" s="724">
        <f ca="1">IFERROR(SUM($DB$37:$DB$41)/SUM($DB$17:$DB$21)-1,0)</f>
        <v>1.8205341758554816E-3</v>
      </c>
      <c r="DC66" s="123"/>
      <c r="DE66" s="516"/>
    </row>
    <row r="67" spans="70:119" x14ac:dyDescent="0.25">
      <c r="BV67" s="343"/>
      <c r="BW67" s="347"/>
      <c r="BX67" s="181" t="str">
        <f ca="1">"Levelized net change "&amp;TEXT(DB66,"0.0%")</f>
        <v>Levelized net change 0.2%</v>
      </c>
      <c r="BY67" s="174"/>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6"/>
      <c r="DB67" s="176"/>
      <c r="DC67" s="123"/>
      <c r="DE67" s="516"/>
      <c r="DN67" s="5"/>
      <c r="DO67" s="5"/>
    </row>
    <row r="68" spans="70:119" x14ac:dyDescent="0.25">
      <c r="BV68" s="343"/>
      <c r="BW68" s="347"/>
      <c r="BX68" s="170"/>
      <c r="BY68" s="170"/>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row>
    <row r="69" spans="70:119" s="5" customFormat="1" x14ac:dyDescent="0.25">
      <c r="BR69"/>
      <c r="BS69"/>
      <c r="BT69"/>
      <c r="BU69"/>
      <c r="BV69" s="343"/>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6"/>
      <c r="DD69"/>
      <c r="DE69" s="512"/>
      <c r="DF69" s="522"/>
      <c r="DG69" s="512"/>
      <c r="DH69"/>
      <c r="DI69"/>
      <c r="DJ69"/>
      <c r="DK69"/>
      <c r="DL69"/>
      <c r="DM69"/>
      <c r="DN69"/>
      <c r="DO69"/>
    </row>
    <row r="70" spans="70:119" x14ac:dyDescent="0.25">
      <c r="BV70" s="343"/>
      <c r="BX70" s="532" t="s">
        <v>253</v>
      </c>
    </row>
    <row r="71" spans="70:119" x14ac:dyDescent="0.25">
      <c r="BV71" s="343"/>
      <c r="BX71" s="531" t="str">
        <f>Lookups!$D$23</f>
        <v>Proposed EE</v>
      </c>
      <c r="BY71" s="523"/>
      <c r="BZ71" s="523" t="str">
        <f>IFERROR(LEFT(ADDRESS(1,COLUMN('Yr1'!$G$6)+MATCH(BZ6,'Yr1'!$G$7:$AG$7,0)-1,4,1),LEN(ADDRESS(1,COLUMN('Yr1'!$G$6)+MATCH(BZ6,'Yr1'!$G$7:$AG$7,0)-1,4,1))-1),"")</f>
        <v>G</v>
      </c>
      <c r="CA71" s="523" t="str">
        <f>IFERROR(LEFT(ADDRESS(1,COLUMN('Yr1'!$G$6)+MATCH(CA6,'Yr1'!$G$7:$AG$7,0)-1,4,1),LEN(ADDRESS(1,COLUMN('Yr1'!$G$6)+MATCH(CA6,'Yr1'!$G$7:$AG$7,0)-1,4,1))-1),"")</f>
        <v>H</v>
      </c>
      <c r="CB71" s="523" t="str">
        <f>IFERROR(LEFT(ADDRESS(1,COLUMN('Yr1'!$G$6)+MATCH(CB6,'Yr1'!$G$7:$AG$7,0)-1,4,1),LEN(ADDRESS(1,COLUMN('Yr1'!$G$6)+MATCH(CB6,'Yr1'!$G$7:$AG$7,0)-1,4,1))-1),"")</f>
        <v>I</v>
      </c>
      <c r="CC71" s="523" t="str">
        <f>IFERROR(LEFT(ADDRESS(1,COLUMN('Yr1'!$G$6)+MATCH(CC6,'Yr1'!$G$7:$AG$7,0)-1,4,1),LEN(ADDRESS(1,COLUMN('Yr1'!$G$6)+MATCH(CC6,'Yr1'!$G$7:$AG$7,0)-1,4,1))-1),"")</f>
        <v>J</v>
      </c>
      <c r="CD71" s="523" t="str">
        <f>IFERROR(LEFT(ADDRESS(1,COLUMN('Yr1'!$G$6)+MATCH(CD6,'Yr1'!$G$7:$AG$7,0)-1,4,1),LEN(ADDRESS(1,COLUMN('Yr1'!$G$6)+MATCH(CD6,'Yr1'!$G$7:$AG$7,0)-1,4,1))-1),"")</f>
        <v>K</v>
      </c>
      <c r="CE71" s="523" t="str">
        <f>IFERROR(LEFT(ADDRESS(1,COLUMN('Yr1'!$G$6)+MATCH(CE6,'Yr1'!$G$7:$AG$7,0)-1,4,1),LEN(ADDRESS(1,COLUMN('Yr1'!$G$6)+MATCH(CE6,'Yr1'!$G$7:$AG$7,0)-1,4,1))-1),"")</f>
        <v>L</v>
      </c>
      <c r="CF71" s="523" t="str">
        <f>IFERROR(LEFT(ADDRESS(1,COLUMN('Yr1'!$G$6)+MATCH(CF6,'Yr1'!$G$7:$AG$7,0)-1,4,1),LEN(ADDRESS(1,COLUMN('Yr1'!$G$6)+MATCH(CF6,'Yr1'!$G$7:$AG$7,0)-1,4,1))-1),"")</f>
        <v>M</v>
      </c>
      <c r="CG71" s="523" t="str">
        <f>IFERROR(LEFT(ADDRESS(1,COLUMN('Yr1'!$G$6)+MATCH(CG6,'Yr1'!$G$7:$AG$7,0)-1,4,1),LEN(ADDRESS(1,COLUMN('Yr1'!$G$6)+MATCH(CG6,'Yr1'!$G$7:$AG$7,0)-1,4,1))-1),"")</f>
        <v>N</v>
      </c>
      <c r="CH71" s="523" t="str">
        <f>IFERROR(LEFT(ADDRESS(1,COLUMN('Yr1'!$G$6)+MATCH(CH6,'Yr1'!$G$7:$AG$7,0)-1,4,1),LEN(ADDRESS(1,COLUMN('Yr1'!$G$6)+MATCH(CH6,'Yr1'!$G$7:$AG$7,0)-1,4,1))-1),"")</f>
        <v>O</v>
      </c>
      <c r="CI71" s="523" t="str">
        <f>IFERROR(LEFT(ADDRESS(1,COLUMN('Yr1'!$G$6)+MATCH(CI6,'Yr1'!$G$7:$AG$7,0)-1,4,1),LEN(ADDRESS(1,COLUMN('Yr1'!$G$6)+MATCH(CI6,'Yr1'!$G$7:$AG$7,0)-1,4,1))-1),"")</f>
        <v>P</v>
      </c>
      <c r="CJ71" s="523" t="str">
        <f>IFERROR(LEFT(ADDRESS(1,COLUMN('Yr1'!$G$6)+MATCH(CJ6,'Yr1'!$G$7:$AG$7,0)-1,4,1),LEN(ADDRESS(1,COLUMN('Yr1'!$G$6)+MATCH(CJ6,'Yr1'!$G$7:$AG$7,0)-1,4,1))-1),"")</f>
        <v>Q</v>
      </c>
      <c r="CK71" s="523" t="str">
        <f>IFERROR(LEFT(ADDRESS(1,COLUMN('Yr1'!$G$6)+MATCH(CK6,'Yr1'!$G$7:$AG$7,0)-1,4,1),LEN(ADDRESS(1,COLUMN('Yr1'!$G$6)+MATCH(CK6,'Yr1'!$G$7:$AG$7,0)-1,4,1))-1),"")</f>
        <v>R</v>
      </c>
      <c r="CL71" s="523" t="str">
        <f>IFERROR(LEFT(ADDRESS(1,COLUMN('Yr1'!$G$6)+MATCH(CL6,'Yr1'!$G$7:$AG$7,0)-1,4,1),LEN(ADDRESS(1,COLUMN('Yr1'!$G$6)+MATCH(CL6,'Yr1'!$G$7:$AG$7,0)-1,4,1))-1),"")</f>
        <v>S</v>
      </c>
      <c r="CM71" s="523" t="str">
        <f>IFERROR(LEFT(ADDRESS(1,COLUMN('Yr1'!$G$6)+MATCH(CM6,'Yr1'!$G$7:$AG$7,0)-1,4,1),LEN(ADDRESS(1,COLUMN('Yr1'!$G$6)+MATCH(CM6,'Yr1'!$G$7:$AG$7,0)-1,4,1))-1),"")</f>
        <v>T</v>
      </c>
      <c r="CN71" s="523" t="str">
        <f>IFERROR(LEFT(ADDRESS(1,COLUMN('Yr1'!$G$6)+MATCH(CN6,'Yr1'!$G$7:$AG$7,0)-1,4,1),LEN(ADDRESS(1,COLUMN('Yr1'!$G$6)+MATCH(CN6,'Yr1'!$G$7:$AG$7,0)-1,4,1))-1),"")</f>
        <v>U</v>
      </c>
      <c r="CO71" s="523" t="str">
        <f>IFERROR(LEFT(ADDRESS(1,COLUMN('Yr1'!$G$6)+MATCH(CO6,'Yr1'!$G$7:$AG$7,0)-1,4,1),LEN(ADDRESS(1,COLUMN('Yr1'!$G$6)+MATCH(CO6,'Yr1'!$G$7:$AG$7,0)-1,4,1))-1),"")</f>
        <v>V</v>
      </c>
      <c r="CP71" s="523" t="str">
        <f>IFERROR(LEFT(ADDRESS(1,COLUMN('Yr1'!$G$6)+MATCH(CP6,'Yr1'!$G$7:$AG$7,0)-1,4,1),LEN(ADDRESS(1,COLUMN('Yr1'!$G$6)+MATCH(CP6,'Yr1'!$G$7:$AG$7,0)-1,4,1))-1),"")</f>
        <v>W</v>
      </c>
      <c r="CQ71" s="523" t="str">
        <f>IFERROR(LEFT(ADDRESS(1,COLUMN('Yr1'!$G$6)+MATCH(CQ6,'Yr1'!$G$7:$AG$7,0)-1,4,1),LEN(ADDRESS(1,COLUMN('Yr1'!$G$6)+MATCH(CQ6,'Yr1'!$G$7:$AG$7,0)-1,4,1))-1),"")</f>
        <v>X</v>
      </c>
      <c r="CR71" s="523" t="str">
        <f>IFERROR(LEFT(ADDRESS(1,COLUMN('Yr1'!$G$6)+MATCH(CR6,'Yr1'!$G$7:$AG$7,0)-1,4,1),LEN(ADDRESS(1,COLUMN('Yr1'!$G$6)+MATCH(CR6,'Yr1'!$G$7:$AG$7,0)-1,4,1))-1),"")</f>
        <v>Y</v>
      </c>
      <c r="CS71" s="523" t="str">
        <f>IFERROR(LEFT(ADDRESS(1,COLUMN('Yr1'!$G$6)+MATCH(CS6,'Yr1'!$G$7:$AG$7,0)-1,4,1),LEN(ADDRESS(1,COLUMN('Yr1'!$G$6)+MATCH(CS6,'Yr1'!$G$7:$AG$7,0)-1,4,1))-1),"")</f>
        <v>Z</v>
      </c>
      <c r="CT71" s="523" t="str">
        <f>IFERROR(LEFT(ADDRESS(1,COLUMN('Yr1'!$G$6)+MATCH(CT6,'Yr1'!$G$7:$AG$7,0)-1,4,1),LEN(ADDRESS(1,COLUMN('Yr1'!$G$6)+MATCH(CT6,'Yr1'!$G$7:$AG$7,0)-1,4,1))-1),"")</f>
        <v>AA</v>
      </c>
      <c r="CU71" s="523" t="str">
        <f>IFERROR(LEFT(ADDRESS(1,COLUMN('Yr1'!$G$6)+MATCH(CU6,'Yr1'!$G$7:$AG$7,0)-1,4,1),LEN(ADDRESS(1,COLUMN('Yr1'!$G$6)+MATCH(CU6,'Yr1'!$G$7:$AG$7,0)-1,4,1))-1),"")</f>
        <v>AB</v>
      </c>
      <c r="CV71" s="523" t="str">
        <f>IFERROR(LEFT(ADDRESS(1,COLUMN('Yr1'!$G$6)+MATCH(CV6,'Yr1'!$G$7:$AG$7,0)-1,4,1),LEN(ADDRESS(1,COLUMN('Yr1'!$G$6)+MATCH(CV6,'Yr1'!$G$7:$AG$7,0)-1,4,1))-1),"")</f>
        <v>AC</v>
      </c>
      <c r="CW71" s="523" t="str">
        <f>IFERROR(LEFT(ADDRESS(1,COLUMN('Yr1'!$G$6)+MATCH(CW6,'Yr1'!$G$7:$AG$7,0)-1,4,1),LEN(ADDRESS(1,COLUMN('Yr1'!$G$6)+MATCH(CW6,'Yr1'!$G$7:$AG$7,0)-1,4,1))-1),"")</f>
        <v>AD</v>
      </c>
      <c r="CX71" s="523" t="str">
        <f>IFERROR(LEFT(ADDRESS(1,COLUMN('Yr1'!$G$6)+MATCH(CX6,'Yr1'!$G$7:$AG$7,0)-1,4,1),LEN(ADDRESS(1,COLUMN('Yr1'!$G$6)+MATCH(CX6,'Yr1'!$G$7:$AG$7,0)-1,4,1))-1),"")</f>
        <v>AE</v>
      </c>
      <c r="CY71" s="523" t="str">
        <f>IFERROR(LEFT(ADDRESS(1,COLUMN('Yr1'!$G$6)+MATCH(CY6,'Yr1'!$G$7:$AG$7,0)-1,4,1),LEN(ADDRESS(1,COLUMN('Yr1'!$G$6)+MATCH(CY6,'Yr1'!$G$7:$AG$7,0)-1,4,1))-1),"")</f>
        <v>AF</v>
      </c>
      <c r="CZ71" s="523" t="str">
        <f>IFERROR(LEFT(ADDRESS(1,COLUMN('Yr1'!$G$6)+MATCH(CZ6,'Yr1'!$G$7:$AG$7,0)-1,4,1),LEN(ADDRESS(1,COLUMN('Yr1'!$G$6)+MATCH(CZ6,'Yr1'!$G$7:$AG$7,0)-1,4,1))-1),"")</f>
        <v>AG</v>
      </c>
      <c r="DA71" s="523" t="str">
        <f>IFERROR(LEFT(ADDRESS(1,COLUMN('Yr1'!$G$6)+MATCH(DA6,'Yr1'!$G$7:$AG$7,0)-1,4,1),LEN(ADDRESS(1,COLUMN('Yr1'!$G$6)+MATCH(DA6,'Yr1'!$G$7:$AG$7,0)-1,4,1))-1),"")</f>
        <v/>
      </c>
    </row>
    <row r="72" spans="70:119" x14ac:dyDescent="0.25">
      <c r="BR72" s="5"/>
      <c r="BS72" s="5"/>
      <c r="BV72" s="343"/>
      <c r="BX72" s="531" t="str">
        <f>Lookups!$D$24</f>
        <v>Alternative EE</v>
      </c>
      <c r="BY72" s="523"/>
      <c r="BZ72" s="523" t="str">
        <f>IFERROR(LEFT(ADDRESS(1,COLUMN('Yr1'!$AM$6)+MATCH(BZ6,'Yr1'!$G$7:$AG$7,0)-1,4,1),LEN(ADDRESS(1,COLUMN('Yr1'!$AM$6)+MATCH(BZ6,'Yr1'!$G$7:$AG$7,0)-1,4,1))-1),"")</f>
        <v>AM</v>
      </c>
      <c r="CA72" s="523" t="str">
        <f>IFERROR(LEFT(ADDRESS(1,COLUMN('Yr1'!$AM$6)+MATCH(CA6,'Yr1'!$G$7:$AG$7,0)-1,4,1),LEN(ADDRESS(1,COLUMN('Yr1'!$AM$6)+MATCH(CA6,'Yr1'!$G$7:$AG$7,0)-1,4,1))-1),"")</f>
        <v>AN</v>
      </c>
      <c r="CB72" s="523" t="str">
        <f>IFERROR(LEFT(ADDRESS(1,COLUMN('Yr1'!$AM$6)+MATCH(CB6,'Yr1'!$G$7:$AG$7,0)-1,4,1),LEN(ADDRESS(1,COLUMN('Yr1'!$AM$6)+MATCH(CB6,'Yr1'!$G$7:$AG$7,0)-1,4,1))-1),"")</f>
        <v>AO</v>
      </c>
      <c r="CC72" s="523" t="str">
        <f>IFERROR(LEFT(ADDRESS(1,COLUMN('Yr1'!$AM$6)+MATCH(CC6,'Yr1'!$G$7:$AG$7,0)-1,4,1),LEN(ADDRESS(1,COLUMN('Yr1'!$AM$6)+MATCH(CC6,'Yr1'!$G$7:$AG$7,0)-1,4,1))-1),"")</f>
        <v>AP</v>
      </c>
      <c r="CD72" s="523" t="str">
        <f>IFERROR(LEFT(ADDRESS(1,COLUMN('Yr1'!$AM$6)+MATCH(CD6,'Yr1'!$G$7:$AG$7,0)-1,4,1),LEN(ADDRESS(1,COLUMN('Yr1'!$AM$6)+MATCH(CD6,'Yr1'!$G$7:$AG$7,0)-1,4,1))-1),"")</f>
        <v>AQ</v>
      </c>
      <c r="CE72" s="523" t="str">
        <f>IFERROR(LEFT(ADDRESS(1,COLUMN('Yr1'!$AM$6)+MATCH(CE6,'Yr1'!$G$7:$AG$7,0)-1,4,1),LEN(ADDRESS(1,COLUMN('Yr1'!$AM$6)+MATCH(CE6,'Yr1'!$G$7:$AG$7,0)-1,4,1))-1),"")</f>
        <v>AR</v>
      </c>
      <c r="CF72" s="523" t="str">
        <f>IFERROR(LEFT(ADDRESS(1,COLUMN('Yr1'!$AM$6)+MATCH(CF6,'Yr1'!$G$7:$AG$7,0)-1,4,1),LEN(ADDRESS(1,COLUMN('Yr1'!$AM$6)+MATCH(CF6,'Yr1'!$G$7:$AG$7,0)-1,4,1))-1),"")</f>
        <v>AS</v>
      </c>
      <c r="CG72" s="523" t="str">
        <f>IFERROR(LEFT(ADDRESS(1,COLUMN('Yr1'!$AM$6)+MATCH(CG6,'Yr1'!$G$7:$AG$7,0)-1,4,1),LEN(ADDRESS(1,COLUMN('Yr1'!$AM$6)+MATCH(CG6,'Yr1'!$G$7:$AG$7,0)-1,4,1))-1),"")</f>
        <v>AT</v>
      </c>
      <c r="CH72" s="523" t="str">
        <f>IFERROR(LEFT(ADDRESS(1,COLUMN('Yr1'!$AM$6)+MATCH(CH6,'Yr1'!$G$7:$AG$7,0)-1,4,1),LEN(ADDRESS(1,COLUMN('Yr1'!$AM$6)+MATCH(CH6,'Yr1'!$G$7:$AG$7,0)-1,4,1))-1),"")</f>
        <v>AU</v>
      </c>
      <c r="CI72" s="523" t="str">
        <f>IFERROR(LEFT(ADDRESS(1,COLUMN('Yr1'!$AM$6)+MATCH(CI6,'Yr1'!$G$7:$AG$7,0)-1,4,1),LEN(ADDRESS(1,COLUMN('Yr1'!$AM$6)+MATCH(CI6,'Yr1'!$G$7:$AG$7,0)-1,4,1))-1),"")</f>
        <v>AV</v>
      </c>
      <c r="CJ72" s="523" t="str">
        <f>IFERROR(LEFT(ADDRESS(1,COLUMN('Yr1'!$AM$6)+MATCH(CJ6,'Yr1'!$G$7:$AG$7,0)-1,4,1),LEN(ADDRESS(1,COLUMN('Yr1'!$AM$6)+MATCH(CJ6,'Yr1'!$G$7:$AG$7,0)-1,4,1))-1),"")</f>
        <v>AW</v>
      </c>
      <c r="CK72" s="523" t="str">
        <f>IFERROR(LEFT(ADDRESS(1,COLUMN('Yr1'!$AM$6)+MATCH(CK6,'Yr1'!$G$7:$AG$7,0)-1,4,1),LEN(ADDRESS(1,COLUMN('Yr1'!$AM$6)+MATCH(CK6,'Yr1'!$G$7:$AG$7,0)-1,4,1))-1),"")</f>
        <v>AX</v>
      </c>
      <c r="CL72" s="523" t="str">
        <f>IFERROR(LEFT(ADDRESS(1,COLUMN('Yr1'!$AM$6)+MATCH(CL6,'Yr1'!$G$7:$AG$7,0)-1,4,1),LEN(ADDRESS(1,COLUMN('Yr1'!$AM$6)+MATCH(CL6,'Yr1'!$G$7:$AG$7,0)-1,4,1))-1),"")</f>
        <v>AY</v>
      </c>
      <c r="CM72" s="523" t="str">
        <f>IFERROR(LEFT(ADDRESS(1,COLUMN('Yr1'!$AM$6)+MATCH(CM6,'Yr1'!$G$7:$AG$7,0)-1,4,1),LEN(ADDRESS(1,COLUMN('Yr1'!$AM$6)+MATCH(CM6,'Yr1'!$G$7:$AG$7,0)-1,4,1))-1),"")</f>
        <v>AZ</v>
      </c>
      <c r="CN72" s="523" t="str">
        <f>IFERROR(LEFT(ADDRESS(1,COLUMN('Yr1'!$AM$6)+MATCH(CN6,'Yr1'!$G$7:$AG$7,0)-1,4,1),LEN(ADDRESS(1,COLUMN('Yr1'!$AM$6)+MATCH(CN6,'Yr1'!$G$7:$AG$7,0)-1,4,1))-1),"")</f>
        <v>BA</v>
      </c>
      <c r="CO72" s="523" t="str">
        <f>IFERROR(LEFT(ADDRESS(1,COLUMN('Yr1'!$AM$6)+MATCH(CO6,'Yr1'!$G$7:$AG$7,0)-1,4,1),LEN(ADDRESS(1,COLUMN('Yr1'!$AM$6)+MATCH(CO6,'Yr1'!$G$7:$AG$7,0)-1,4,1))-1),"")</f>
        <v>BB</v>
      </c>
      <c r="CP72" s="523" t="str">
        <f>IFERROR(LEFT(ADDRESS(1,COLUMN('Yr1'!$AM$6)+MATCH(CP6,'Yr1'!$G$7:$AG$7,0)-1,4,1),LEN(ADDRESS(1,COLUMN('Yr1'!$AM$6)+MATCH(CP6,'Yr1'!$G$7:$AG$7,0)-1,4,1))-1),"")</f>
        <v>BC</v>
      </c>
      <c r="CQ72" s="523" t="str">
        <f>IFERROR(LEFT(ADDRESS(1,COLUMN('Yr1'!$AM$6)+MATCH(CQ6,'Yr1'!$G$7:$AG$7,0)-1,4,1),LEN(ADDRESS(1,COLUMN('Yr1'!$AM$6)+MATCH(CQ6,'Yr1'!$G$7:$AG$7,0)-1,4,1))-1),"")</f>
        <v>BD</v>
      </c>
      <c r="CR72" s="523" t="str">
        <f>IFERROR(LEFT(ADDRESS(1,COLUMN('Yr1'!$AM$6)+MATCH(CR6,'Yr1'!$G$7:$AG$7,0)-1,4,1),LEN(ADDRESS(1,COLUMN('Yr1'!$AM$6)+MATCH(CR6,'Yr1'!$G$7:$AG$7,0)-1,4,1))-1),"")</f>
        <v>BE</v>
      </c>
      <c r="CS72" s="523" t="str">
        <f>IFERROR(LEFT(ADDRESS(1,COLUMN('Yr1'!$AM$6)+MATCH(CS6,'Yr1'!$G$7:$AG$7,0)-1,4,1),LEN(ADDRESS(1,COLUMN('Yr1'!$AM$6)+MATCH(CS6,'Yr1'!$G$7:$AG$7,0)-1,4,1))-1),"")</f>
        <v>BF</v>
      </c>
      <c r="CT72" s="523" t="str">
        <f>IFERROR(LEFT(ADDRESS(1,COLUMN('Yr1'!$AM$6)+MATCH(CT6,'Yr1'!$G$7:$AG$7,0)-1,4,1),LEN(ADDRESS(1,COLUMN('Yr1'!$AM$6)+MATCH(CT6,'Yr1'!$G$7:$AG$7,0)-1,4,1))-1),"")</f>
        <v>BG</v>
      </c>
      <c r="CU72" s="523" t="str">
        <f>IFERROR(LEFT(ADDRESS(1,COLUMN('Yr1'!$AM$6)+MATCH(CU6,'Yr1'!$G$7:$AG$7,0)-1,4,1),LEN(ADDRESS(1,COLUMN('Yr1'!$AM$6)+MATCH(CU6,'Yr1'!$G$7:$AG$7,0)-1,4,1))-1),"")</f>
        <v>BH</v>
      </c>
      <c r="CV72" s="523" t="str">
        <f>IFERROR(LEFT(ADDRESS(1,COLUMN('Yr1'!$AM$6)+MATCH(CV6,'Yr1'!$G$7:$AG$7,0)-1,4,1),LEN(ADDRESS(1,COLUMN('Yr1'!$AM$6)+MATCH(CV6,'Yr1'!$G$7:$AG$7,0)-1,4,1))-1),"")</f>
        <v>BI</v>
      </c>
      <c r="CW72" s="523" t="str">
        <f>IFERROR(LEFT(ADDRESS(1,COLUMN('Yr1'!$AM$6)+MATCH(CW6,'Yr1'!$G$7:$AG$7,0)-1,4,1),LEN(ADDRESS(1,COLUMN('Yr1'!$AM$6)+MATCH(CW6,'Yr1'!$G$7:$AG$7,0)-1,4,1))-1),"")</f>
        <v>BJ</v>
      </c>
      <c r="CX72" s="523" t="str">
        <f>IFERROR(LEFT(ADDRESS(1,COLUMN('Yr1'!$AM$6)+MATCH(CX6,'Yr1'!$G$7:$AG$7,0)-1,4,1),LEN(ADDRESS(1,COLUMN('Yr1'!$AM$6)+MATCH(CX6,'Yr1'!$G$7:$AG$7,0)-1,4,1))-1),"")</f>
        <v>BK</v>
      </c>
      <c r="CY72" s="523" t="str">
        <f>IFERROR(LEFT(ADDRESS(1,COLUMN('Yr1'!$AM$6)+MATCH(CY6,'Yr1'!$G$7:$AG$7,0)-1,4,1),LEN(ADDRESS(1,COLUMN('Yr1'!$AM$6)+MATCH(CY6,'Yr1'!$G$7:$AG$7,0)-1,4,1))-1),"")</f>
        <v>BL</v>
      </c>
      <c r="CZ72" s="523" t="str">
        <f>IFERROR(LEFT(ADDRESS(1,COLUMN('Yr1'!$AM$6)+MATCH(CZ6,'Yr1'!$G$7:$AG$7,0)-1,4,1),LEN(ADDRESS(1,COLUMN('Yr1'!$AM$6)+MATCH(CZ6,'Yr1'!$G$7:$AG$7,0)-1,4,1))-1),"")</f>
        <v>BM</v>
      </c>
    </row>
    <row r="73" spans="70:119" x14ac:dyDescent="0.25">
      <c r="BX73" s="531" t="s">
        <v>419</v>
      </c>
      <c r="DB73" s="721" t="str">
        <f>LEFT(ADDRESS(1,COLUMN('Yr1'!AJ6),4,1),2)</f>
        <v>AJ</v>
      </c>
    </row>
    <row r="74" spans="70:119" x14ac:dyDescent="0.25">
      <c r="BX74" s="531" t="s">
        <v>420</v>
      </c>
      <c r="DB74" s="721" t="str">
        <f>LEFT(ADDRESS(1,COLUMN('Yr1'!BP6),4,1),2)</f>
        <v>BP</v>
      </c>
    </row>
  </sheetData>
  <mergeCells count="2">
    <mergeCell ref="C4:G4"/>
    <mergeCell ref="C5:G5"/>
  </mergeCells>
  <pageMargins left="0.7" right="0.7" top="0.75" bottom="0.75" header="0.3" footer="0.3"/>
  <pageSetup scale="55" orientation="landscape" horizontalDpi="1200" verticalDpi="12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C00-000000000000}">
          <x14:formula1>
            <xm:f>Lookups!$D$26:$D$29</xm:f>
          </x14:formula1>
          <xm:sqref>C4</xm:sqref>
        </x14:dataValidation>
        <x14:dataValidation type="list" allowBlank="1" showInputMessage="1" showErrorMessage="1" xr:uid="{00000000-0002-0000-0C00-000001000000}">
          <x14:formula1>
            <xm:f>Lookups!$D$37:$D$40</xm:f>
          </x14:formula1>
          <xm:sqref>C5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59BB-6BBE-44DF-BE74-A76CAD978606}">
  <sheetPr>
    <tabColor theme="4"/>
  </sheetPr>
  <dimension ref="A1:DO74"/>
  <sheetViews>
    <sheetView showGridLines="0" zoomScale="85" zoomScaleNormal="85" workbookViewId="0">
      <selection activeCell="DO18" sqref="DO18"/>
    </sheetView>
  </sheetViews>
  <sheetFormatPr defaultRowHeight="15" outlineLevelCol="1" x14ac:dyDescent="0.25"/>
  <cols>
    <col min="1" max="74" width="2.7109375" customWidth="1"/>
    <col min="75" max="75" width="2.7109375" style="115" customWidth="1"/>
    <col min="76" max="76" width="25.7109375" style="115" bestFit="1" customWidth="1"/>
    <col min="77" max="77" width="8.85546875" style="115" customWidth="1"/>
    <col min="78" max="78" width="12.28515625" style="115" bestFit="1" customWidth="1"/>
    <col min="79" max="81" width="12" style="115" bestFit="1" customWidth="1"/>
    <col min="82" max="99" width="12" style="115" customWidth="1"/>
    <col min="100" max="104" width="12" style="115" hidden="1" customWidth="1" outlineLevel="1"/>
    <col min="105" max="105" width="5.28515625" style="115" customWidth="1" collapsed="1"/>
    <col min="106" max="106" width="13.7109375" style="115" customWidth="1"/>
    <col min="107" max="107" width="2.7109375" style="116" customWidth="1"/>
    <col min="108" max="108" width="2.7109375" customWidth="1"/>
    <col min="109" max="109" width="6" style="512" bestFit="1" customWidth="1"/>
    <col min="110" max="110" width="2.85546875" style="522" bestFit="1" customWidth="1"/>
    <col min="111" max="111" width="6" style="512" bestFit="1" customWidth="1"/>
    <col min="112" max="112" width="2.140625" bestFit="1" customWidth="1"/>
    <col min="113" max="114" width="10.5703125" bestFit="1" customWidth="1"/>
    <col min="115" max="115" width="8" bestFit="1" customWidth="1"/>
    <col min="118" max="118" width="11.5703125" bestFit="1" customWidth="1"/>
    <col min="119" max="119" width="10.7109375" bestFit="1" customWidth="1"/>
  </cols>
  <sheetData>
    <row r="1" spans="1:119" x14ac:dyDescent="0.25">
      <c r="Q1" s="1"/>
      <c r="T1" s="1"/>
      <c r="U1" s="1"/>
      <c r="AX1" s="1"/>
      <c r="BX1"/>
      <c r="BZ1" s="153"/>
      <c r="CA1" s="153"/>
    </row>
    <row r="2" spans="1:119" s="115" customFormat="1" ht="26.25" x14ac:dyDescent="0.25">
      <c r="B2" s="2" t="s">
        <v>79</v>
      </c>
      <c r="Q2" s="128"/>
      <c r="T2" s="128"/>
      <c r="AD2" s="128"/>
      <c r="AK2" s="128"/>
      <c r="AQ2" s="128"/>
      <c r="AX2" s="128"/>
      <c r="BV2" s="361" t="s">
        <v>74</v>
      </c>
      <c r="BY2" s="128"/>
      <c r="BZ2" s="128"/>
      <c r="CA2" s="153"/>
      <c r="DC2" s="214"/>
      <c r="DE2" s="523"/>
      <c r="DF2" s="524"/>
      <c r="DG2" s="523"/>
    </row>
    <row r="3" spans="1:119" s="115" customFormat="1" ht="21" x14ac:dyDescent="0.25">
      <c r="B3" s="245" t="str">
        <f>Lookups!$E$6</f>
        <v>Liberty</v>
      </c>
      <c r="Q3" s="128"/>
      <c r="T3" s="128"/>
      <c r="V3" s="128"/>
      <c r="AD3" s="128"/>
      <c r="AK3" s="128"/>
      <c r="AQ3" s="128"/>
      <c r="AX3" s="128"/>
      <c r="BW3" s="100"/>
      <c r="DC3" s="214"/>
      <c r="DE3" s="523"/>
      <c r="DF3" s="524"/>
      <c r="DG3" s="523"/>
      <c r="DI3" s="424"/>
      <c r="DJ3" s="425"/>
      <c r="DK3" s="429"/>
      <c r="DM3" s="6"/>
    </row>
    <row r="4" spans="1:119" s="6" customFormat="1" x14ac:dyDescent="0.25">
      <c r="B4" s="348"/>
      <c r="C4" s="773" t="s">
        <v>21</v>
      </c>
      <c r="D4" s="774"/>
      <c r="E4" s="774"/>
      <c r="F4" s="774"/>
      <c r="G4" s="775"/>
      <c r="H4" t="s">
        <v>27</v>
      </c>
      <c r="I4" s="349"/>
      <c r="J4" s="349"/>
      <c r="K4" s="349"/>
      <c r="L4" s="349"/>
      <c r="M4" s="349"/>
      <c r="N4" s="349"/>
      <c r="O4" s="349"/>
      <c r="P4" s="349"/>
      <c r="Q4" s="128"/>
      <c r="R4" s="349"/>
      <c r="S4" s="349"/>
      <c r="T4" s="128"/>
      <c r="U4" s="349"/>
      <c r="V4" s="128"/>
      <c r="W4" s="349"/>
      <c r="X4" s="349"/>
      <c r="Y4" s="349"/>
      <c r="Z4" s="349"/>
      <c r="AA4" s="349"/>
      <c r="AB4" s="349"/>
      <c r="AC4" s="349"/>
      <c r="AD4" s="349"/>
      <c r="AE4" s="349"/>
      <c r="AF4" s="349"/>
      <c r="AG4" s="349"/>
      <c r="AH4" s="349"/>
      <c r="AI4" s="349"/>
      <c r="AJ4" s="349"/>
      <c r="AK4" s="128"/>
      <c r="AL4" s="349"/>
      <c r="AM4" s="349"/>
      <c r="AN4" s="349"/>
      <c r="AO4" s="349"/>
      <c r="AP4" s="349"/>
      <c r="AQ4" s="128"/>
      <c r="AR4" s="349"/>
      <c r="AS4" s="349"/>
      <c r="AT4" s="349"/>
      <c r="AU4" s="349"/>
      <c r="AV4" s="349"/>
      <c r="AW4" s="349"/>
      <c r="AX4" s="128"/>
      <c r="AY4" s="349"/>
      <c r="AZ4" s="349"/>
      <c r="BA4" s="349"/>
      <c r="BB4" s="349"/>
      <c r="BC4" s="349"/>
      <c r="BD4" s="349"/>
      <c r="BE4" s="349"/>
      <c r="BF4" s="349"/>
      <c r="BG4" s="349"/>
      <c r="BH4" s="349"/>
      <c r="BI4" s="349"/>
      <c r="BJ4" s="349"/>
      <c r="BK4" s="349"/>
      <c r="BL4" s="349"/>
      <c r="BM4" s="349"/>
      <c r="BN4" s="349"/>
      <c r="BO4" s="349"/>
      <c r="BP4" s="349"/>
      <c r="BQ4" s="349"/>
      <c r="BW4" s="349"/>
      <c r="DA4" s="349"/>
      <c r="DB4" s="349"/>
      <c r="DC4" s="116"/>
      <c r="DE4" s="512"/>
      <c r="DF4" s="522"/>
      <c r="DG4" s="512"/>
      <c r="DI4" s="426"/>
      <c r="DJ4" s="422"/>
      <c r="DK4" s="410"/>
    </row>
    <row r="5" spans="1:119" x14ac:dyDescent="0.25">
      <c r="C5" s="773" t="s">
        <v>389</v>
      </c>
      <c r="D5" s="774"/>
      <c r="E5" s="774"/>
      <c r="F5" s="774"/>
      <c r="G5" s="775"/>
      <c r="H5" t="s">
        <v>73</v>
      </c>
      <c r="M5" s="154"/>
      <c r="V5" s="1"/>
      <c r="AK5" s="1"/>
      <c r="DI5" s="426"/>
      <c r="DJ5" s="423"/>
      <c r="DK5" s="410"/>
      <c r="DM5" s="6"/>
    </row>
    <row r="6" spans="1:119" x14ac:dyDescent="0.25">
      <c r="M6" s="154"/>
      <c r="AK6" s="1"/>
      <c r="AX6" s="1"/>
      <c r="BW6"/>
      <c r="BX6"/>
      <c r="BY6"/>
      <c r="BZ6" s="420">
        <f>IF($C$5=Lookups!$D$40,Lookups!$D$37,$C$5)</f>
        <v>2021</v>
      </c>
      <c r="CA6" s="117">
        <f>BZ6+1</f>
        <v>2022</v>
      </c>
      <c r="CB6" s="117">
        <f t="shared" ref="CB6:CZ6" si="0">CA6+1</f>
        <v>2023</v>
      </c>
      <c r="CC6" s="117">
        <f t="shared" si="0"/>
        <v>2024</v>
      </c>
      <c r="CD6" s="117">
        <f t="shared" si="0"/>
        <v>2025</v>
      </c>
      <c r="CE6" s="117">
        <f t="shared" si="0"/>
        <v>2026</v>
      </c>
      <c r="CF6" s="117">
        <f t="shared" si="0"/>
        <v>2027</v>
      </c>
      <c r="CG6" s="117">
        <f t="shared" si="0"/>
        <v>2028</v>
      </c>
      <c r="CH6" s="117">
        <f t="shared" si="0"/>
        <v>2029</v>
      </c>
      <c r="CI6" s="117">
        <f t="shared" si="0"/>
        <v>2030</v>
      </c>
      <c r="CJ6" s="117">
        <f t="shared" si="0"/>
        <v>2031</v>
      </c>
      <c r="CK6" s="117">
        <f t="shared" si="0"/>
        <v>2032</v>
      </c>
      <c r="CL6" s="117">
        <f t="shared" si="0"/>
        <v>2033</v>
      </c>
      <c r="CM6" s="117">
        <f t="shared" si="0"/>
        <v>2034</v>
      </c>
      <c r="CN6" s="117">
        <f t="shared" si="0"/>
        <v>2035</v>
      </c>
      <c r="CO6" s="117">
        <f t="shared" si="0"/>
        <v>2036</v>
      </c>
      <c r="CP6" s="117">
        <f t="shared" si="0"/>
        <v>2037</v>
      </c>
      <c r="CQ6" s="117">
        <f t="shared" si="0"/>
        <v>2038</v>
      </c>
      <c r="CR6" s="117">
        <f t="shared" si="0"/>
        <v>2039</v>
      </c>
      <c r="CS6" s="117">
        <f t="shared" si="0"/>
        <v>2040</v>
      </c>
      <c r="CT6" s="117">
        <f t="shared" si="0"/>
        <v>2041</v>
      </c>
      <c r="CU6" s="117">
        <f t="shared" si="0"/>
        <v>2042</v>
      </c>
      <c r="CV6" s="117">
        <f t="shared" si="0"/>
        <v>2043</v>
      </c>
      <c r="CW6" s="117">
        <f t="shared" si="0"/>
        <v>2044</v>
      </c>
      <c r="CX6" s="117">
        <f t="shared" si="0"/>
        <v>2045</v>
      </c>
      <c r="CY6" s="117">
        <f t="shared" si="0"/>
        <v>2046</v>
      </c>
      <c r="CZ6" s="117">
        <f t="shared" si="0"/>
        <v>2047</v>
      </c>
      <c r="DA6"/>
      <c r="DB6" s="4" t="s">
        <v>418</v>
      </c>
      <c r="DC6"/>
      <c r="DI6" s="427"/>
      <c r="DJ6" s="423"/>
      <c r="DK6" s="410"/>
      <c r="DM6" s="6"/>
    </row>
    <row r="7" spans="1:119" s="96" customFormat="1" ht="18.75" x14ac:dyDescent="0.3">
      <c r="A7"/>
      <c r="C7" s="91" t="str">
        <f>"Total Rates: "&amp;Lookups!$D$23</f>
        <v>Total Rates: Proposed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c r="AK7" s="91" t="str">
        <f>"Change in Rates: "&amp;Lookups!$D$23&amp;" v "&amp;Lookups!$D$22</f>
        <v>Change in Rates: 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c r="BS7"/>
      <c r="BT7"/>
      <c r="BU7"/>
      <c r="BV7" s="118" t="str">
        <f>Lookups!$D$22</f>
        <v>No EE</v>
      </c>
      <c r="BW7" s="118"/>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20"/>
      <c r="DE7" s="525"/>
      <c r="DF7" s="522"/>
      <c r="DG7" s="525"/>
    </row>
    <row r="8" spans="1:119" x14ac:dyDescent="0.25">
      <c r="BV8" s="343"/>
      <c r="BW8" s="158" t="s">
        <v>30</v>
      </c>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E8" s="532" t="s">
        <v>253</v>
      </c>
      <c r="DI8" s="428"/>
      <c r="DL8" s="96"/>
      <c r="DM8" s="96"/>
    </row>
    <row r="9" spans="1:119" x14ac:dyDescent="0.25">
      <c r="BV9" s="343"/>
      <c r="BW9" s="344"/>
      <c r="BX9" s="121" t="s">
        <v>95</v>
      </c>
      <c r="BY9" s="121" t="s">
        <v>247</v>
      </c>
      <c r="BZ9" s="150" cm="1">
        <f t="array" aca="1" ref="BZ9" ca="1">IFERROR(INDIRECT("Yr"&amp;IF($C$5=Year1,1,IF($C$5=Year2,2,IF($C$5=Year3,3,IF($C$5=Lookups!$D$40,"All"))))&amp;"!"&amp;BZ$71&amp;$DE9)*100,0)</f>
        <v>9.0952917202036048</v>
      </c>
      <c r="CA9" s="150" cm="1">
        <f t="array" aca="1" ref="CA9" ca="1">IFERROR(INDIRECT("Yr"&amp;IF($C$5=Year1,1,IF($C$5=Year2,2,IF($C$5=Year3,3,IF($C$5=Lookups!$D$40,"All"))))&amp;"!"&amp;CA$71&amp;$DE9)*100,0)</f>
        <v>9.0952917202036048</v>
      </c>
      <c r="CB9" s="150" cm="1">
        <f t="array" aca="1" ref="CB9" ca="1">IFERROR(INDIRECT("Yr"&amp;IF($C$5=Year1,1,IF($C$5=Year2,2,IF($C$5=Year3,3,IF($C$5=Lookups!$D$40,"All"))))&amp;"!"&amp;CB$71&amp;$DE9)*100,0)</f>
        <v>9.0952917202036048</v>
      </c>
      <c r="CC9" s="150" cm="1">
        <f t="array" aca="1" ref="CC9" ca="1">IFERROR(INDIRECT("Yr"&amp;IF($C$5=Year1,1,IF($C$5=Year2,2,IF($C$5=Year3,3,IF($C$5=Lookups!$D$40,"All"))))&amp;"!"&amp;CC$71&amp;$DE9)*100,0)</f>
        <v>9.0952917202036048</v>
      </c>
      <c r="CD9" s="150" cm="1">
        <f t="array" aca="1" ref="CD9" ca="1">IFERROR(INDIRECT("Yr"&amp;IF($C$5=Year1,1,IF($C$5=Year2,2,IF($C$5=Year3,3,IF($C$5=Lookups!$D$40,"All"))))&amp;"!"&amp;CD$71&amp;$DE9)*100,0)</f>
        <v>9.0952917202036048</v>
      </c>
      <c r="CE9" s="150" cm="1">
        <f t="array" aca="1" ref="CE9" ca="1">IFERROR(INDIRECT("Yr"&amp;IF($C$5=Year1,1,IF($C$5=Year2,2,IF($C$5=Year3,3,IF($C$5=Lookups!$D$40,"All"))))&amp;"!"&amp;CE$71&amp;$DE9)*100,0)</f>
        <v>9.0952917202036048</v>
      </c>
      <c r="CF9" s="150" cm="1">
        <f t="array" aca="1" ref="CF9" ca="1">IFERROR(INDIRECT("Yr"&amp;IF($C$5=Year1,1,IF($C$5=Year2,2,IF($C$5=Year3,3,IF($C$5=Lookups!$D$40,"All"))))&amp;"!"&amp;CF$71&amp;$DE9)*100,0)</f>
        <v>9.0952917202036048</v>
      </c>
      <c r="CG9" s="150" cm="1">
        <f t="array" aca="1" ref="CG9" ca="1">IFERROR(INDIRECT("Yr"&amp;IF($C$5=Year1,1,IF($C$5=Year2,2,IF($C$5=Year3,3,IF($C$5=Lookups!$D$40,"All"))))&amp;"!"&amp;CG$71&amp;$DE9)*100,0)</f>
        <v>9.0952917202036048</v>
      </c>
      <c r="CH9" s="150" cm="1">
        <f t="array" aca="1" ref="CH9" ca="1">IFERROR(INDIRECT("Yr"&amp;IF($C$5=Year1,1,IF($C$5=Year2,2,IF($C$5=Year3,3,IF($C$5=Lookups!$D$40,"All"))))&amp;"!"&amp;CH$71&amp;$DE9)*100,0)</f>
        <v>9.0952917202036048</v>
      </c>
      <c r="CI9" s="150" cm="1">
        <f t="array" aca="1" ref="CI9" ca="1">IFERROR(INDIRECT("Yr"&amp;IF($C$5=Year1,1,IF($C$5=Year2,2,IF($C$5=Year3,3,IF($C$5=Lookups!$D$40,"All"))))&amp;"!"&amp;CI$71&amp;$DE9)*100,0)</f>
        <v>9.0952917202036048</v>
      </c>
      <c r="CJ9" s="150" cm="1">
        <f t="array" aca="1" ref="CJ9" ca="1">IFERROR(INDIRECT("Yr"&amp;IF($C$5=Year1,1,IF($C$5=Year2,2,IF($C$5=Year3,3,IF($C$5=Lookups!$D$40,"All"))))&amp;"!"&amp;CJ$71&amp;$DE9)*100,0)</f>
        <v>9.0952917202036048</v>
      </c>
      <c r="CK9" s="150" cm="1">
        <f t="array" aca="1" ref="CK9" ca="1">IFERROR(INDIRECT("Yr"&amp;IF($C$5=Year1,1,IF($C$5=Year2,2,IF($C$5=Year3,3,IF($C$5=Lookups!$D$40,"All"))))&amp;"!"&amp;CK$71&amp;$DE9)*100,0)</f>
        <v>9.0952917202036048</v>
      </c>
      <c r="CL9" s="150" cm="1">
        <f t="array" aca="1" ref="CL9" ca="1">IFERROR(INDIRECT("Yr"&amp;IF($C$5=Year1,1,IF($C$5=Year2,2,IF($C$5=Year3,3,IF($C$5=Lookups!$D$40,"All"))))&amp;"!"&amp;CL$71&amp;$DE9)*100,0)</f>
        <v>9.0952917202036048</v>
      </c>
      <c r="CM9" s="150" cm="1">
        <f t="array" aca="1" ref="CM9" ca="1">IFERROR(INDIRECT("Yr"&amp;IF($C$5=Year1,1,IF($C$5=Year2,2,IF($C$5=Year3,3,IF($C$5=Lookups!$D$40,"All"))))&amp;"!"&amp;CM$71&amp;$DE9)*100,0)</f>
        <v>9.0952917202036048</v>
      </c>
      <c r="CN9" s="150" cm="1">
        <f t="array" aca="1" ref="CN9" ca="1">IFERROR(INDIRECT("Yr"&amp;IF($C$5=Year1,1,IF($C$5=Year2,2,IF($C$5=Year3,3,IF($C$5=Lookups!$D$40,"All"))))&amp;"!"&amp;CN$71&amp;$DE9)*100,0)</f>
        <v>9.0952917202036048</v>
      </c>
      <c r="CO9" s="150" cm="1">
        <f t="array" aca="1" ref="CO9" ca="1">IFERROR(INDIRECT("Yr"&amp;IF($C$5=Year1,1,IF($C$5=Year2,2,IF($C$5=Year3,3,IF($C$5=Lookups!$D$40,"All"))))&amp;"!"&amp;CO$71&amp;$DE9)*100,0)</f>
        <v>9.0952917202036048</v>
      </c>
      <c r="CP9" s="150" cm="1">
        <f t="array" aca="1" ref="CP9" ca="1">IFERROR(INDIRECT("Yr"&amp;IF($C$5=Year1,1,IF($C$5=Year2,2,IF($C$5=Year3,3,IF($C$5=Lookups!$D$40,"All"))))&amp;"!"&amp;CP$71&amp;$DE9)*100,0)</f>
        <v>9.0952917202036048</v>
      </c>
      <c r="CQ9" s="150" cm="1">
        <f t="array" aca="1" ref="CQ9" ca="1">IFERROR(INDIRECT("Yr"&amp;IF($C$5=Year1,1,IF($C$5=Year2,2,IF($C$5=Year3,3,IF($C$5=Lookups!$D$40,"All"))))&amp;"!"&amp;CQ$71&amp;$DE9)*100,0)</f>
        <v>9.0952917202036048</v>
      </c>
      <c r="CR9" s="150" cm="1">
        <f t="array" aca="1" ref="CR9" ca="1">IFERROR(INDIRECT("Yr"&amp;IF($C$5=Year1,1,IF($C$5=Year2,2,IF($C$5=Year3,3,IF($C$5=Lookups!$D$40,"All"))))&amp;"!"&amp;CR$71&amp;$DE9)*100,0)</f>
        <v>9.0952917202036048</v>
      </c>
      <c r="CS9" s="150" cm="1">
        <f t="array" aca="1" ref="CS9" ca="1">IFERROR(INDIRECT("Yr"&amp;IF($C$5=Year1,1,IF($C$5=Year2,2,IF($C$5=Year3,3,IF($C$5=Lookups!$D$40,"All"))))&amp;"!"&amp;CS$71&amp;$DE9)*100,0)</f>
        <v>9.0952917202036048</v>
      </c>
      <c r="CT9" s="150" cm="1">
        <f t="array" aca="1" ref="CT9" ca="1">IFERROR(INDIRECT("Yr"&amp;IF($C$5=Year1,1,IF($C$5=Year2,2,IF($C$5=Year3,3,IF($C$5=Lookups!$D$40,"All"))))&amp;"!"&amp;CT$71&amp;$DE9)*100,0)</f>
        <v>9.0952917202036048</v>
      </c>
      <c r="CU9" s="150" cm="1">
        <f t="array" aca="1" ref="CU9" ca="1">IFERROR(INDIRECT("Yr"&amp;IF($C$5=Year1,1,IF($C$5=Year2,2,IF($C$5=Year3,3,IF($C$5=Lookups!$D$40,"All"))))&amp;"!"&amp;CU$71&amp;$DE9)*100,0)</f>
        <v>9.0952917202036048</v>
      </c>
      <c r="CV9" s="150" cm="1">
        <f t="array" aca="1" ref="CV9" ca="1">IFERROR(INDIRECT("Yr"&amp;IF($C$5=Year1,1,IF($C$5=Year2,2,IF($C$5=Year3,3,IF($C$5=Lookups!$D$40,"All"))))&amp;"!"&amp;CV$71&amp;$DE9)*100,0)</f>
        <v>9.0952917202036048</v>
      </c>
      <c r="CW9" s="150" cm="1">
        <f t="array" aca="1" ref="CW9" ca="1">IFERROR(INDIRECT("Yr"&amp;IF($C$5=Year1,1,IF($C$5=Year2,2,IF($C$5=Year3,3,IF($C$5=Lookups!$D$40,"All"))))&amp;"!"&amp;CW$71&amp;$DE9)*100,0)</f>
        <v>9.0952917202036048</v>
      </c>
      <c r="CX9" s="150" cm="1">
        <f t="array" aca="1" ref="CX9" ca="1">IFERROR(INDIRECT("Yr"&amp;IF($C$5=Year1,1,IF($C$5=Year2,2,IF($C$5=Year3,3,IF($C$5=Lookups!$D$40,"All"))))&amp;"!"&amp;CX$71&amp;$DE9)*100,0)</f>
        <v>9.0952917202036048</v>
      </c>
      <c r="CY9" s="150" cm="1">
        <f t="array" aca="1" ref="CY9" ca="1">IFERROR(INDIRECT("Yr"&amp;IF($C$5=Year1,1,IF($C$5=Year2,2,IF($C$5=Year3,3,IF($C$5=Lookups!$D$40,"All"))))&amp;"!"&amp;CY$71&amp;$DE9)*100,0)</f>
        <v>9.0952917202036048</v>
      </c>
      <c r="CZ9" s="150" cm="1">
        <f t="array" aca="1" ref="CZ9" ca="1">IFERROR(INDIRECT("Yr"&amp;IF($C$5=Year1,1,IF($C$5=Year2,2,IF($C$5=Year3,3,IF($C$5=Lookups!$D$40,"All"))))&amp;"!"&amp;CZ$71&amp;$DE9)*100,0)</f>
        <v>9.0952917202036048</v>
      </c>
      <c r="DA9" s="150"/>
      <c r="DB9" s="150"/>
      <c r="DE9" s="515">
        <f>ROW('Yr1'!E41)+($DG$9*IF($C$4=Lookups!$D$26,0,IF($C$4=Lookups!$D$27,1,IF($C$4=Lookups!$D$28,2,IF($C$4=Lookups!$D$29,3)))))</f>
        <v>120</v>
      </c>
      <c r="DG9" s="515">
        <f>'Output Summary'!T33</f>
        <v>79</v>
      </c>
      <c r="DI9" s="22"/>
      <c r="DJ9" s="431"/>
      <c r="DK9" s="421"/>
      <c r="DL9" s="96"/>
      <c r="DM9" s="96"/>
      <c r="DN9" s="410"/>
      <c r="DO9" s="22"/>
    </row>
    <row r="10" spans="1:119" x14ac:dyDescent="0.25">
      <c r="BV10" s="343"/>
      <c r="BW10" s="344"/>
      <c r="BX10" s="121" t="s">
        <v>26</v>
      </c>
      <c r="BY10" s="121" t="s">
        <v>182</v>
      </c>
      <c r="BZ10" s="150" cm="1">
        <f t="array" aca="1" ref="BZ10" ca="1">IFERROR(INDIRECT("Yr"&amp;IF($C$5=Year1,1,IF($C$5=Year2,2,IF($C$5=Year3,3,IF($C$5=Lookups!$D$40,"All"))))&amp;"!"&amp;BZ$71&amp;$DE10)*100,0)</f>
        <v>22.28</v>
      </c>
      <c r="CA10" s="150" cm="1">
        <f t="array" aca="1" ref="CA10" ca="1">IFERROR(INDIRECT("Yr"&amp;IF($C$5=Year1,1,IF($C$5=Year2,2,IF($C$5=Year3,3,IF($C$5=Lookups!$D$40,"All"))))&amp;"!"&amp;CA$71&amp;$DE10)*100,0)</f>
        <v>22.28</v>
      </c>
      <c r="CB10" s="150" cm="1">
        <f t="array" aca="1" ref="CB10" ca="1">IFERROR(INDIRECT("Yr"&amp;IF($C$5=Year1,1,IF($C$5=Year2,2,IF($C$5=Year3,3,IF($C$5=Lookups!$D$40,"All"))))&amp;"!"&amp;CB$71&amp;$DE10)*100,0)</f>
        <v>22.28</v>
      </c>
      <c r="CC10" s="150" cm="1">
        <f t="array" aca="1" ref="CC10" ca="1">IFERROR(INDIRECT("Yr"&amp;IF($C$5=Year1,1,IF($C$5=Year2,2,IF($C$5=Year3,3,IF($C$5=Lookups!$D$40,"All"))))&amp;"!"&amp;CC$71&amp;$DE10)*100,0)</f>
        <v>22.28</v>
      </c>
      <c r="CD10" s="150" cm="1">
        <f t="array" aca="1" ref="CD10" ca="1">IFERROR(INDIRECT("Yr"&amp;IF($C$5=Year1,1,IF($C$5=Year2,2,IF($C$5=Year3,3,IF($C$5=Lookups!$D$40,"All"))))&amp;"!"&amp;CD$71&amp;$DE10)*100,0)</f>
        <v>22.28</v>
      </c>
      <c r="CE10" s="150" cm="1">
        <f t="array" aca="1" ref="CE10" ca="1">IFERROR(INDIRECT("Yr"&amp;IF($C$5=Year1,1,IF($C$5=Year2,2,IF($C$5=Year3,3,IF($C$5=Lookups!$D$40,"All"))))&amp;"!"&amp;CE$71&amp;$DE10)*100,0)</f>
        <v>22.28</v>
      </c>
      <c r="CF10" s="150" cm="1">
        <f t="array" aca="1" ref="CF10" ca="1">IFERROR(INDIRECT("Yr"&amp;IF($C$5=Year1,1,IF($C$5=Year2,2,IF($C$5=Year3,3,IF($C$5=Lookups!$D$40,"All"))))&amp;"!"&amp;CF$71&amp;$DE10)*100,0)</f>
        <v>22.28</v>
      </c>
      <c r="CG10" s="150" cm="1">
        <f t="array" aca="1" ref="CG10" ca="1">IFERROR(INDIRECT("Yr"&amp;IF($C$5=Year1,1,IF($C$5=Year2,2,IF($C$5=Year3,3,IF($C$5=Lookups!$D$40,"All"))))&amp;"!"&amp;CG$71&amp;$DE10)*100,0)</f>
        <v>22.28</v>
      </c>
      <c r="CH10" s="150" cm="1">
        <f t="array" aca="1" ref="CH10" ca="1">IFERROR(INDIRECT("Yr"&amp;IF($C$5=Year1,1,IF($C$5=Year2,2,IF($C$5=Year3,3,IF($C$5=Lookups!$D$40,"All"))))&amp;"!"&amp;CH$71&amp;$DE10)*100,0)</f>
        <v>22.28</v>
      </c>
      <c r="CI10" s="150" cm="1">
        <f t="array" aca="1" ref="CI10" ca="1">IFERROR(INDIRECT("Yr"&amp;IF($C$5=Year1,1,IF($C$5=Year2,2,IF($C$5=Year3,3,IF($C$5=Lookups!$D$40,"All"))))&amp;"!"&amp;CI$71&amp;$DE10)*100,0)</f>
        <v>22.28</v>
      </c>
      <c r="CJ10" s="150" cm="1">
        <f t="array" aca="1" ref="CJ10" ca="1">IFERROR(INDIRECT("Yr"&amp;IF($C$5=Year1,1,IF($C$5=Year2,2,IF($C$5=Year3,3,IF($C$5=Lookups!$D$40,"All"))))&amp;"!"&amp;CJ$71&amp;$DE10)*100,0)</f>
        <v>22.28</v>
      </c>
      <c r="CK10" s="150" cm="1">
        <f t="array" aca="1" ref="CK10" ca="1">IFERROR(INDIRECT("Yr"&amp;IF($C$5=Year1,1,IF($C$5=Year2,2,IF($C$5=Year3,3,IF($C$5=Lookups!$D$40,"All"))))&amp;"!"&amp;CK$71&amp;$DE10)*100,0)</f>
        <v>22.28</v>
      </c>
      <c r="CL10" s="150" cm="1">
        <f t="array" aca="1" ref="CL10" ca="1">IFERROR(INDIRECT("Yr"&amp;IF($C$5=Year1,1,IF($C$5=Year2,2,IF($C$5=Year3,3,IF($C$5=Lookups!$D$40,"All"))))&amp;"!"&amp;CL$71&amp;$DE10)*100,0)</f>
        <v>22.28</v>
      </c>
      <c r="CM10" s="150" cm="1">
        <f t="array" aca="1" ref="CM10" ca="1">IFERROR(INDIRECT("Yr"&amp;IF($C$5=Year1,1,IF($C$5=Year2,2,IF($C$5=Year3,3,IF($C$5=Lookups!$D$40,"All"))))&amp;"!"&amp;CM$71&amp;$DE10)*100,0)</f>
        <v>22.28</v>
      </c>
      <c r="CN10" s="150" cm="1">
        <f t="array" aca="1" ref="CN10" ca="1">IFERROR(INDIRECT("Yr"&amp;IF($C$5=Year1,1,IF($C$5=Year2,2,IF($C$5=Year3,3,IF($C$5=Lookups!$D$40,"All"))))&amp;"!"&amp;CN$71&amp;$DE10)*100,0)</f>
        <v>22.28</v>
      </c>
      <c r="CO10" s="150" cm="1">
        <f t="array" aca="1" ref="CO10" ca="1">IFERROR(INDIRECT("Yr"&amp;IF($C$5=Year1,1,IF($C$5=Year2,2,IF($C$5=Year3,3,IF($C$5=Lookups!$D$40,"All"))))&amp;"!"&amp;CO$71&amp;$DE10)*100,0)</f>
        <v>22.28</v>
      </c>
      <c r="CP10" s="150" cm="1">
        <f t="array" aca="1" ref="CP10" ca="1">IFERROR(INDIRECT("Yr"&amp;IF($C$5=Year1,1,IF($C$5=Year2,2,IF($C$5=Year3,3,IF($C$5=Lookups!$D$40,"All"))))&amp;"!"&amp;CP$71&amp;$DE10)*100,0)</f>
        <v>22.28</v>
      </c>
      <c r="CQ10" s="150" cm="1">
        <f t="array" aca="1" ref="CQ10" ca="1">IFERROR(INDIRECT("Yr"&amp;IF($C$5=Year1,1,IF($C$5=Year2,2,IF($C$5=Year3,3,IF($C$5=Lookups!$D$40,"All"))))&amp;"!"&amp;CQ$71&amp;$DE10)*100,0)</f>
        <v>22.28</v>
      </c>
      <c r="CR10" s="150" cm="1">
        <f t="array" aca="1" ref="CR10" ca="1">IFERROR(INDIRECT("Yr"&amp;IF($C$5=Year1,1,IF($C$5=Year2,2,IF($C$5=Year3,3,IF($C$5=Lookups!$D$40,"All"))))&amp;"!"&amp;CR$71&amp;$DE10)*100,0)</f>
        <v>22.28</v>
      </c>
      <c r="CS10" s="150" cm="1">
        <f t="array" aca="1" ref="CS10" ca="1">IFERROR(INDIRECT("Yr"&amp;IF($C$5=Year1,1,IF($C$5=Year2,2,IF($C$5=Year3,3,IF($C$5=Lookups!$D$40,"All"))))&amp;"!"&amp;CS$71&amp;$DE10)*100,0)</f>
        <v>22.28</v>
      </c>
      <c r="CT10" s="150" cm="1">
        <f t="array" aca="1" ref="CT10" ca="1">IFERROR(INDIRECT("Yr"&amp;IF($C$5=Year1,1,IF($C$5=Year2,2,IF($C$5=Year3,3,IF($C$5=Lookups!$D$40,"All"))))&amp;"!"&amp;CT$71&amp;$DE10)*100,0)</f>
        <v>22.28</v>
      </c>
      <c r="CU10" s="150" cm="1">
        <f t="array" aca="1" ref="CU10" ca="1">IFERROR(INDIRECT("Yr"&amp;IF($C$5=Year1,1,IF($C$5=Year2,2,IF($C$5=Year3,3,IF($C$5=Lookups!$D$40,"All"))))&amp;"!"&amp;CU$71&amp;$DE10)*100,0)</f>
        <v>22.28</v>
      </c>
      <c r="CV10" s="150" cm="1">
        <f t="array" aca="1" ref="CV10" ca="1">IFERROR(INDIRECT("Yr"&amp;IF($C$5=Year1,1,IF($C$5=Year2,2,IF($C$5=Year3,3,IF($C$5=Lookups!$D$40,"All"))))&amp;"!"&amp;CV$71&amp;$DE10)*100,0)</f>
        <v>22.28</v>
      </c>
      <c r="CW10" s="150" cm="1">
        <f t="array" aca="1" ref="CW10" ca="1">IFERROR(INDIRECT("Yr"&amp;IF($C$5=Year1,1,IF($C$5=Year2,2,IF($C$5=Year3,3,IF($C$5=Lookups!$D$40,"All"))))&amp;"!"&amp;CW$71&amp;$DE10)*100,0)</f>
        <v>22.28</v>
      </c>
      <c r="CX10" s="150" cm="1">
        <f t="array" aca="1" ref="CX10" ca="1">IFERROR(INDIRECT("Yr"&amp;IF($C$5=Year1,1,IF($C$5=Year2,2,IF($C$5=Year3,3,IF($C$5=Lookups!$D$40,"All"))))&amp;"!"&amp;CX$71&amp;$DE10)*100,0)</f>
        <v>22.28</v>
      </c>
      <c r="CY10" s="150" cm="1">
        <f t="array" aca="1" ref="CY10" ca="1">IFERROR(INDIRECT("Yr"&amp;IF($C$5=Year1,1,IF($C$5=Year2,2,IF($C$5=Year3,3,IF($C$5=Lookups!$D$40,"All"))))&amp;"!"&amp;CY$71&amp;$DE10)*100,0)</f>
        <v>22.28</v>
      </c>
      <c r="CZ10" s="150" cm="1">
        <f t="array" aca="1" ref="CZ10" ca="1">IFERROR(INDIRECT("Yr"&amp;IF($C$5=Year1,1,IF($C$5=Year2,2,IF($C$5=Year3,3,IF($C$5=Lookups!$D$40,"All"))))&amp;"!"&amp;CZ$71&amp;$DE10)*100,0)</f>
        <v>22.28</v>
      </c>
      <c r="DA10" s="150"/>
      <c r="DB10" s="150"/>
      <c r="DE10" s="516">
        <f>DE9+DF10</f>
        <v>117</v>
      </c>
      <c r="DF10" s="526">
        <v>-3</v>
      </c>
      <c r="DI10" s="22"/>
      <c r="DJ10" s="22"/>
      <c r="DK10" s="421"/>
      <c r="DL10" s="96"/>
      <c r="DM10" s="96"/>
      <c r="DN10" s="410"/>
      <c r="DO10" s="22"/>
    </row>
    <row r="11" spans="1:119" x14ac:dyDescent="0.25">
      <c r="BV11" s="343"/>
      <c r="BW11" s="344"/>
      <c r="BX11" s="121" t="s">
        <v>407</v>
      </c>
      <c r="BY11" s="121" t="s">
        <v>182</v>
      </c>
      <c r="BZ11" s="150" cm="1">
        <f t="array" aca="1" ref="BZ11" ca="1">IFERROR(INDIRECT("Yr"&amp;IF($C$5=Year1,1,IF($C$5=Year2,2,IF($C$5=Year3,3,IF($C$5=Lookups!$D$40,"All"))))&amp;"!"&amp;BZ$71&amp;$DE11)*100,0)</f>
        <v>-3.3000000000000003</v>
      </c>
      <c r="CA11" s="150" cm="1">
        <f t="array" aca="1" ref="CA11" ca="1">IFERROR(INDIRECT("Yr"&amp;IF($C$5=Year1,1,IF($C$5=Year2,2,IF($C$5=Year3,3,IF($C$5=Lookups!$D$40,"All"))))&amp;"!"&amp;CA$71&amp;$DE11)*100,0)</f>
        <v>-3.3000000000000003</v>
      </c>
      <c r="CB11" s="150" cm="1">
        <f t="array" aca="1" ref="CB11" ca="1">IFERROR(INDIRECT("Yr"&amp;IF($C$5=Year1,1,IF($C$5=Year2,2,IF($C$5=Year3,3,IF($C$5=Lookups!$D$40,"All"))))&amp;"!"&amp;CB$71&amp;$DE11)*100,0)</f>
        <v>-3.3000000000000003</v>
      </c>
      <c r="CC11" s="150" cm="1">
        <f t="array" aca="1" ref="CC11" ca="1">IFERROR(INDIRECT("Yr"&amp;IF($C$5=Year1,1,IF($C$5=Year2,2,IF($C$5=Year3,3,IF($C$5=Lookups!$D$40,"All"))))&amp;"!"&amp;CC$71&amp;$DE11)*100,0)</f>
        <v>-3.3000000000000003</v>
      </c>
      <c r="CD11" s="150" cm="1">
        <f t="array" aca="1" ref="CD11" ca="1">IFERROR(INDIRECT("Yr"&amp;IF($C$5=Year1,1,IF($C$5=Year2,2,IF($C$5=Year3,3,IF($C$5=Lookups!$D$40,"All"))))&amp;"!"&amp;CD$71&amp;$DE11)*100,0)</f>
        <v>-3.3000000000000003</v>
      </c>
      <c r="CE11" s="150" cm="1">
        <f t="array" aca="1" ref="CE11" ca="1">IFERROR(INDIRECT("Yr"&amp;IF($C$5=Year1,1,IF($C$5=Year2,2,IF($C$5=Year3,3,IF($C$5=Lookups!$D$40,"All"))))&amp;"!"&amp;CE$71&amp;$DE11)*100,0)</f>
        <v>-3.3000000000000003</v>
      </c>
      <c r="CF11" s="150" cm="1">
        <f t="array" aca="1" ref="CF11" ca="1">IFERROR(INDIRECT("Yr"&amp;IF($C$5=Year1,1,IF($C$5=Year2,2,IF($C$5=Year3,3,IF($C$5=Lookups!$D$40,"All"))))&amp;"!"&amp;CF$71&amp;$DE11)*100,0)</f>
        <v>-3.3000000000000003</v>
      </c>
      <c r="CG11" s="150" cm="1">
        <f t="array" aca="1" ref="CG11" ca="1">IFERROR(INDIRECT("Yr"&amp;IF($C$5=Year1,1,IF($C$5=Year2,2,IF($C$5=Year3,3,IF($C$5=Lookups!$D$40,"All"))))&amp;"!"&amp;CG$71&amp;$DE11)*100,0)</f>
        <v>-3.3000000000000003</v>
      </c>
      <c r="CH11" s="150" cm="1">
        <f t="array" aca="1" ref="CH11" ca="1">IFERROR(INDIRECT("Yr"&amp;IF($C$5=Year1,1,IF($C$5=Year2,2,IF($C$5=Year3,3,IF($C$5=Lookups!$D$40,"All"))))&amp;"!"&amp;CH$71&amp;$DE11)*100,0)</f>
        <v>-3.3000000000000003</v>
      </c>
      <c r="CI11" s="150" cm="1">
        <f t="array" aca="1" ref="CI11" ca="1">IFERROR(INDIRECT("Yr"&amp;IF($C$5=Year1,1,IF($C$5=Year2,2,IF($C$5=Year3,3,IF($C$5=Lookups!$D$40,"All"))))&amp;"!"&amp;CI$71&amp;$DE11)*100,0)</f>
        <v>-3.3000000000000003</v>
      </c>
      <c r="CJ11" s="150" cm="1">
        <f t="array" aca="1" ref="CJ11" ca="1">IFERROR(INDIRECT("Yr"&amp;IF($C$5=Year1,1,IF($C$5=Year2,2,IF($C$5=Year3,3,IF($C$5=Lookups!$D$40,"All"))))&amp;"!"&amp;CJ$71&amp;$DE11)*100,0)</f>
        <v>-3.3000000000000003</v>
      </c>
      <c r="CK11" s="150" cm="1">
        <f t="array" aca="1" ref="CK11" ca="1">IFERROR(INDIRECT("Yr"&amp;IF($C$5=Year1,1,IF($C$5=Year2,2,IF($C$5=Year3,3,IF($C$5=Lookups!$D$40,"All"))))&amp;"!"&amp;CK$71&amp;$DE11)*100,0)</f>
        <v>-3.3000000000000003</v>
      </c>
      <c r="CL11" s="150" cm="1">
        <f t="array" aca="1" ref="CL11" ca="1">IFERROR(INDIRECT("Yr"&amp;IF($C$5=Year1,1,IF($C$5=Year2,2,IF($C$5=Year3,3,IF($C$5=Lookups!$D$40,"All"))))&amp;"!"&amp;CL$71&amp;$DE11)*100,0)</f>
        <v>-3.3000000000000003</v>
      </c>
      <c r="CM11" s="150" cm="1">
        <f t="array" aca="1" ref="CM11" ca="1">IFERROR(INDIRECT("Yr"&amp;IF($C$5=Year1,1,IF($C$5=Year2,2,IF($C$5=Year3,3,IF($C$5=Lookups!$D$40,"All"))))&amp;"!"&amp;CM$71&amp;$DE11)*100,0)</f>
        <v>-3.3000000000000003</v>
      </c>
      <c r="CN11" s="150" cm="1">
        <f t="array" aca="1" ref="CN11" ca="1">IFERROR(INDIRECT("Yr"&amp;IF($C$5=Year1,1,IF($C$5=Year2,2,IF($C$5=Year3,3,IF($C$5=Lookups!$D$40,"All"))))&amp;"!"&amp;CN$71&amp;$DE11)*100,0)</f>
        <v>-3.3000000000000003</v>
      </c>
      <c r="CO11" s="150" cm="1">
        <f t="array" aca="1" ref="CO11" ca="1">IFERROR(INDIRECT("Yr"&amp;IF($C$5=Year1,1,IF($C$5=Year2,2,IF($C$5=Year3,3,IF($C$5=Lookups!$D$40,"All"))))&amp;"!"&amp;CO$71&amp;$DE11)*100,0)</f>
        <v>-3.3000000000000003</v>
      </c>
      <c r="CP11" s="150" cm="1">
        <f t="array" aca="1" ref="CP11" ca="1">IFERROR(INDIRECT("Yr"&amp;IF($C$5=Year1,1,IF($C$5=Year2,2,IF($C$5=Year3,3,IF($C$5=Lookups!$D$40,"All"))))&amp;"!"&amp;CP$71&amp;$DE11)*100,0)</f>
        <v>-3.3000000000000003</v>
      </c>
      <c r="CQ11" s="150" cm="1">
        <f t="array" aca="1" ref="CQ11" ca="1">IFERROR(INDIRECT("Yr"&amp;IF($C$5=Year1,1,IF($C$5=Year2,2,IF($C$5=Year3,3,IF($C$5=Lookups!$D$40,"All"))))&amp;"!"&amp;CQ$71&amp;$DE11)*100,0)</f>
        <v>-3.3000000000000003</v>
      </c>
      <c r="CR11" s="150" cm="1">
        <f t="array" aca="1" ref="CR11" ca="1">IFERROR(INDIRECT("Yr"&amp;IF($C$5=Year1,1,IF($C$5=Year2,2,IF($C$5=Year3,3,IF($C$5=Lookups!$D$40,"All"))))&amp;"!"&amp;CR$71&amp;$DE11)*100,0)</f>
        <v>-3.3000000000000003</v>
      </c>
      <c r="CS11" s="150" cm="1">
        <f t="array" aca="1" ref="CS11" ca="1">IFERROR(INDIRECT("Yr"&amp;IF($C$5=Year1,1,IF($C$5=Year2,2,IF($C$5=Year3,3,IF($C$5=Lookups!$D$40,"All"))))&amp;"!"&amp;CS$71&amp;$DE11)*100,0)</f>
        <v>-3.3000000000000003</v>
      </c>
      <c r="CT11" s="150" cm="1">
        <f t="array" aca="1" ref="CT11" ca="1">IFERROR(INDIRECT("Yr"&amp;IF($C$5=Year1,1,IF($C$5=Year2,2,IF($C$5=Year3,3,IF($C$5=Lookups!$D$40,"All"))))&amp;"!"&amp;CT$71&amp;$DE11)*100,0)</f>
        <v>-3.3000000000000003</v>
      </c>
      <c r="CU11" s="150" cm="1">
        <f t="array" aca="1" ref="CU11" ca="1">IFERROR(INDIRECT("Yr"&amp;IF($C$5=Year1,1,IF($C$5=Year2,2,IF($C$5=Year3,3,IF($C$5=Lookups!$D$40,"All"))))&amp;"!"&amp;CU$71&amp;$DE11)*100,0)</f>
        <v>-3.3000000000000003</v>
      </c>
      <c r="CV11" s="150" cm="1">
        <f t="array" aca="1" ref="CV11" ca="1">IFERROR(INDIRECT("Yr"&amp;IF($C$5=Year1,1,IF($C$5=Year2,2,IF($C$5=Year3,3,IF($C$5=Lookups!$D$40,"All"))))&amp;"!"&amp;CV$71&amp;$DE11)*100,0)</f>
        <v>-3.3000000000000003</v>
      </c>
      <c r="CW11" s="150" cm="1">
        <f t="array" aca="1" ref="CW11" ca="1">IFERROR(INDIRECT("Yr"&amp;IF($C$5=Year1,1,IF($C$5=Year2,2,IF($C$5=Year3,3,IF($C$5=Lookups!$D$40,"All"))))&amp;"!"&amp;CW$71&amp;$DE11)*100,0)</f>
        <v>-3.3000000000000003</v>
      </c>
      <c r="CX11" s="150" cm="1">
        <f t="array" aca="1" ref="CX11" ca="1">IFERROR(INDIRECT("Yr"&amp;IF($C$5=Year1,1,IF($C$5=Year2,2,IF($C$5=Year3,3,IF($C$5=Lookups!$D$40,"All"))))&amp;"!"&amp;CX$71&amp;$DE11)*100,0)</f>
        <v>-3.3000000000000003</v>
      </c>
      <c r="CY11" s="150" cm="1">
        <f t="array" aca="1" ref="CY11" ca="1">IFERROR(INDIRECT("Yr"&amp;IF($C$5=Year1,1,IF($C$5=Year2,2,IF($C$5=Year3,3,IF($C$5=Lookups!$D$40,"All"))))&amp;"!"&amp;CY$71&amp;$DE11)*100,0)</f>
        <v>-3.3000000000000003</v>
      </c>
      <c r="CZ11" s="150" cm="1">
        <f t="array" aca="1" ref="CZ11" ca="1">IFERROR(INDIRECT("Yr"&amp;IF($C$5=Year1,1,IF($C$5=Year2,2,IF($C$5=Year3,3,IF($C$5=Lookups!$D$40,"All"))))&amp;"!"&amp;CZ$71&amp;$DE11)*100,0)</f>
        <v>-3.3000000000000003</v>
      </c>
      <c r="DA11" s="150"/>
      <c r="DB11" s="150"/>
      <c r="DE11" s="516">
        <f t="shared" ref="DE11" si="1">DE10+DF11</f>
        <v>118</v>
      </c>
      <c r="DF11" s="526">
        <v>1</v>
      </c>
      <c r="DI11" s="22"/>
      <c r="DJ11" s="22"/>
      <c r="DK11" s="421"/>
      <c r="DL11" s="96"/>
      <c r="DM11" s="96"/>
      <c r="DN11" s="410"/>
      <c r="DO11" s="22"/>
    </row>
    <row r="12" spans="1:119" x14ac:dyDescent="0.25">
      <c r="BV12" s="343"/>
      <c r="BW12" s="344"/>
      <c r="BX12" s="121" t="s">
        <v>197</v>
      </c>
      <c r="BY12" s="121" t="s">
        <v>182</v>
      </c>
      <c r="BZ12" s="150" cm="1">
        <f t="array" aca="1" ref="BZ12" ca="1">IFERROR(INDIRECT("Yr"&amp;IF($C$5=Year1,1,IF($C$5=Year2,2,IF($C$5=Year3,3,IF($C$5=Lookups!$D$40,"All"))))&amp;"!"&amp;BZ$71&amp;$DE12)*100,0)</f>
        <v>62.029999999999994</v>
      </c>
      <c r="CA12" s="150" cm="1">
        <f t="array" aca="1" ref="CA12" ca="1">IFERROR(INDIRECT("Yr"&amp;IF($C$5=Year1,1,IF($C$5=Year2,2,IF($C$5=Year3,3,IF($C$5=Lookups!$D$40,"All"))))&amp;"!"&amp;CA$71&amp;$DE12)*100,0)</f>
        <v>62.029999999999994</v>
      </c>
      <c r="CB12" s="150" cm="1">
        <f t="array" aca="1" ref="CB12" ca="1">IFERROR(INDIRECT("Yr"&amp;IF($C$5=Year1,1,IF($C$5=Year2,2,IF($C$5=Year3,3,IF($C$5=Lookups!$D$40,"All"))))&amp;"!"&amp;CB$71&amp;$DE12)*100,0)</f>
        <v>62.029999999999994</v>
      </c>
      <c r="CC12" s="150" cm="1">
        <f t="array" aca="1" ref="CC12" ca="1">IFERROR(INDIRECT("Yr"&amp;IF($C$5=Year1,1,IF($C$5=Year2,2,IF($C$5=Year3,3,IF($C$5=Lookups!$D$40,"All"))))&amp;"!"&amp;CC$71&amp;$DE12)*100,0)</f>
        <v>62.029999999999994</v>
      </c>
      <c r="CD12" s="150" cm="1">
        <f t="array" aca="1" ref="CD12" ca="1">IFERROR(INDIRECT("Yr"&amp;IF($C$5=Year1,1,IF($C$5=Year2,2,IF($C$5=Year3,3,IF($C$5=Lookups!$D$40,"All"))))&amp;"!"&amp;CD$71&amp;$DE12)*100,0)</f>
        <v>62.029999999999994</v>
      </c>
      <c r="CE12" s="150" cm="1">
        <f t="array" aca="1" ref="CE12" ca="1">IFERROR(INDIRECT("Yr"&amp;IF($C$5=Year1,1,IF($C$5=Year2,2,IF($C$5=Year3,3,IF($C$5=Lookups!$D$40,"All"))))&amp;"!"&amp;CE$71&amp;$DE12)*100,0)</f>
        <v>62.029999999999994</v>
      </c>
      <c r="CF12" s="150" cm="1">
        <f t="array" aca="1" ref="CF12" ca="1">IFERROR(INDIRECT("Yr"&amp;IF($C$5=Year1,1,IF($C$5=Year2,2,IF($C$5=Year3,3,IF($C$5=Lookups!$D$40,"All"))))&amp;"!"&amp;CF$71&amp;$DE12)*100,0)</f>
        <v>62.029999999999994</v>
      </c>
      <c r="CG12" s="150" cm="1">
        <f t="array" aca="1" ref="CG12" ca="1">IFERROR(INDIRECT("Yr"&amp;IF($C$5=Year1,1,IF($C$5=Year2,2,IF($C$5=Year3,3,IF($C$5=Lookups!$D$40,"All"))))&amp;"!"&amp;CG$71&amp;$DE12)*100,0)</f>
        <v>62.029999999999994</v>
      </c>
      <c r="CH12" s="150" cm="1">
        <f t="array" aca="1" ref="CH12" ca="1">IFERROR(INDIRECT("Yr"&amp;IF($C$5=Year1,1,IF($C$5=Year2,2,IF($C$5=Year3,3,IF($C$5=Lookups!$D$40,"All"))))&amp;"!"&amp;CH$71&amp;$DE12)*100,0)</f>
        <v>62.029999999999994</v>
      </c>
      <c r="CI12" s="150" cm="1">
        <f t="array" aca="1" ref="CI12" ca="1">IFERROR(INDIRECT("Yr"&amp;IF($C$5=Year1,1,IF($C$5=Year2,2,IF($C$5=Year3,3,IF($C$5=Lookups!$D$40,"All"))))&amp;"!"&amp;CI$71&amp;$DE12)*100,0)</f>
        <v>62.029999999999994</v>
      </c>
      <c r="CJ12" s="150" cm="1">
        <f t="array" aca="1" ref="CJ12" ca="1">IFERROR(INDIRECT("Yr"&amp;IF($C$5=Year1,1,IF($C$5=Year2,2,IF($C$5=Year3,3,IF($C$5=Lookups!$D$40,"All"))))&amp;"!"&amp;CJ$71&amp;$DE12)*100,0)</f>
        <v>62.029999999999994</v>
      </c>
      <c r="CK12" s="150" cm="1">
        <f t="array" aca="1" ref="CK12" ca="1">IFERROR(INDIRECT("Yr"&amp;IF($C$5=Year1,1,IF($C$5=Year2,2,IF($C$5=Year3,3,IF($C$5=Lookups!$D$40,"All"))))&amp;"!"&amp;CK$71&amp;$DE12)*100,0)</f>
        <v>62.029999999999994</v>
      </c>
      <c r="CL12" s="150" cm="1">
        <f t="array" aca="1" ref="CL12" ca="1">IFERROR(INDIRECT("Yr"&amp;IF($C$5=Year1,1,IF($C$5=Year2,2,IF($C$5=Year3,3,IF($C$5=Lookups!$D$40,"All"))))&amp;"!"&amp;CL$71&amp;$DE12)*100,0)</f>
        <v>62.029999999999994</v>
      </c>
      <c r="CM12" s="150" cm="1">
        <f t="array" aca="1" ref="CM12" ca="1">IFERROR(INDIRECT("Yr"&amp;IF($C$5=Year1,1,IF($C$5=Year2,2,IF($C$5=Year3,3,IF($C$5=Lookups!$D$40,"All"))))&amp;"!"&amp;CM$71&amp;$DE12)*100,0)</f>
        <v>62.029999999999994</v>
      </c>
      <c r="CN12" s="150" cm="1">
        <f t="array" aca="1" ref="CN12" ca="1">IFERROR(INDIRECT("Yr"&amp;IF($C$5=Year1,1,IF($C$5=Year2,2,IF($C$5=Year3,3,IF($C$5=Lookups!$D$40,"All"))))&amp;"!"&amp;CN$71&amp;$DE12)*100,0)</f>
        <v>62.029999999999994</v>
      </c>
      <c r="CO12" s="150" cm="1">
        <f t="array" aca="1" ref="CO12" ca="1">IFERROR(INDIRECT("Yr"&amp;IF($C$5=Year1,1,IF($C$5=Year2,2,IF($C$5=Year3,3,IF($C$5=Lookups!$D$40,"All"))))&amp;"!"&amp;CO$71&amp;$DE12)*100,0)</f>
        <v>62.029999999999994</v>
      </c>
      <c r="CP12" s="150" cm="1">
        <f t="array" aca="1" ref="CP12" ca="1">IFERROR(INDIRECT("Yr"&amp;IF($C$5=Year1,1,IF($C$5=Year2,2,IF($C$5=Year3,3,IF($C$5=Lookups!$D$40,"All"))))&amp;"!"&amp;CP$71&amp;$DE12)*100,0)</f>
        <v>62.029999999999994</v>
      </c>
      <c r="CQ12" s="150" cm="1">
        <f t="array" aca="1" ref="CQ12" ca="1">IFERROR(INDIRECT("Yr"&amp;IF($C$5=Year1,1,IF($C$5=Year2,2,IF($C$5=Year3,3,IF($C$5=Lookups!$D$40,"All"))))&amp;"!"&amp;CQ$71&amp;$DE12)*100,0)</f>
        <v>62.029999999999994</v>
      </c>
      <c r="CR12" s="150" cm="1">
        <f t="array" aca="1" ref="CR12" ca="1">IFERROR(INDIRECT("Yr"&amp;IF($C$5=Year1,1,IF($C$5=Year2,2,IF($C$5=Year3,3,IF($C$5=Lookups!$D$40,"All"))))&amp;"!"&amp;CR$71&amp;$DE12)*100,0)</f>
        <v>62.029999999999994</v>
      </c>
      <c r="CS12" s="150" cm="1">
        <f t="array" aca="1" ref="CS12" ca="1">IFERROR(INDIRECT("Yr"&amp;IF($C$5=Year1,1,IF($C$5=Year2,2,IF($C$5=Year3,3,IF($C$5=Lookups!$D$40,"All"))))&amp;"!"&amp;CS$71&amp;$DE12)*100,0)</f>
        <v>62.029999999999994</v>
      </c>
      <c r="CT12" s="150" cm="1">
        <f t="array" aca="1" ref="CT12" ca="1">IFERROR(INDIRECT("Yr"&amp;IF($C$5=Year1,1,IF($C$5=Year2,2,IF($C$5=Year3,3,IF($C$5=Lookups!$D$40,"All"))))&amp;"!"&amp;CT$71&amp;$DE12)*100,0)</f>
        <v>62.029999999999994</v>
      </c>
      <c r="CU12" s="150" cm="1">
        <f t="array" aca="1" ref="CU12" ca="1">IFERROR(INDIRECT("Yr"&amp;IF($C$5=Year1,1,IF($C$5=Year2,2,IF($C$5=Year3,3,IF($C$5=Lookups!$D$40,"All"))))&amp;"!"&amp;CU$71&amp;$DE12)*100,0)</f>
        <v>62.029999999999994</v>
      </c>
      <c r="CV12" s="150" cm="1">
        <f t="array" aca="1" ref="CV12" ca="1">IFERROR(INDIRECT("Yr"&amp;IF($C$5=Year1,1,IF($C$5=Year2,2,IF($C$5=Year3,3,IF($C$5=Lookups!$D$40,"All"))))&amp;"!"&amp;CV$71&amp;$DE12)*100,0)</f>
        <v>62.029999999999994</v>
      </c>
      <c r="CW12" s="150" cm="1">
        <f t="array" aca="1" ref="CW12" ca="1">IFERROR(INDIRECT("Yr"&amp;IF($C$5=Year1,1,IF($C$5=Year2,2,IF($C$5=Year3,3,IF($C$5=Lookups!$D$40,"All"))))&amp;"!"&amp;CW$71&amp;$DE12)*100,0)</f>
        <v>62.029999999999994</v>
      </c>
      <c r="CX12" s="150" cm="1">
        <f t="array" aca="1" ref="CX12" ca="1">IFERROR(INDIRECT("Yr"&amp;IF($C$5=Year1,1,IF($C$5=Year2,2,IF($C$5=Year3,3,IF($C$5=Lookups!$D$40,"All"))))&amp;"!"&amp;CX$71&amp;$DE12)*100,0)</f>
        <v>62.029999999999994</v>
      </c>
      <c r="CY12" s="150" cm="1">
        <f t="array" aca="1" ref="CY12" ca="1">IFERROR(INDIRECT("Yr"&amp;IF($C$5=Year1,1,IF($C$5=Year2,2,IF($C$5=Year3,3,IF($C$5=Lookups!$D$40,"All"))))&amp;"!"&amp;CY$71&amp;$DE12)*100,0)</f>
        <v>62.029999999999994</v>
      </c>
      <c r="CZ12" s="150" cm="1">
        <f t="array" aca="1" ref="CZ12" ca="1">IFERROR(INDIRECT("Yr"&amp;IF($C$5=Year1,1,IF($C$5=Year2,2,IF($C$5=Year3,3,IF($C$5=Lookups!$D$40,"All"))))&amp;"!"&amp;CZ$71&amp;$DE12)*100,0)</f>
        <v>62.029999999999994</v>
      </c>
      <c r="DA12" s="150"/>
      <c r="DB12" s="150"/>
      <c r="DE12" s="516">
        <f>DE11+DF12</f>
        <v>119</v>
      </c>
      <c r="DF12" s="526">
        <v>1</v>
      </c>
      <c r="DI12" s="22"/>
      <c r="DJ12" s="22"/>
      <c r="DK12" s="421"/>
      <c r="DL12" s="96"/>
      <c r="DM12" s="96"/>
      <c r="DN12" s="410"/>
      <c r="DO12" s="22"/>
    </row>
    <row r="13" spans="1:119" x14ac:dyDescent="0.25">
      <c r="BV13" s="343"/>
      <c r="BW13" s="344"/>
      <c r="BX13" s="121" t="s">
        <v>405</v>
      </c>
      <c r="BY13" s="121" t="s">
        <v>182</v>
      </c>
      <c r="BZ13" s="150" cm="1">
        <f t="array" aca="1" ref="BZ13" ca="1">IFERROR(INDIRECT("Yr"&amp;IF($C$5=Year1,1,IF($C$5=Year2,2,IF($C$5=Year3,3,IF($C$5=Lookups!$D$40,"All"))))&amp;"!"&amp;BZ$71&amp;$DE13)*100,0)</f>
        <v>0</v>
      </c>
      <c r="CA13" s="150" cm="1">
        <f t="array" aca="1" ref="CA13" ca="1">IFERROR(INDIRECT("Yr"&amp;IF($C$5=Year1,1,IF($C$5=Year2,2,IF($C$5=Year3,3,IF($C$5=Lookups!$D$40,"All"))))&amp;"!"&amp;CA$71&amp;$DE13)*100,0)</f>
        <v>0</v>
      </c>
      <c r="CB13" s="150" cm="1">
        <f t="array" aca="1" ref="CB13" ca="1">IFERROR(INDIRECT("Yr"&amp;IF($C$5=Year1,1,IF($C$5=Year2,2,IF($C$5=Year3,3,IF($C$5=Lookups!$D$40,"All"))))&amp;"!"&amp;CB$71&amp;$DE13)*100,0)</f>
        <v>0</v>
      </c>
      <c r="CC13" s="150" cm="1">
        <f t="array" aca="1" ref="CC13" ca="1">IFERROR(INDIRECT("Yr"&amp;IF($C$5=Year1,1,IF($C$5=Year2,2,IF($C$5=Year3,3,IF($C$5=Lookups!$D$40,"All"))))&amp;"!"&amp;CC$71&amp;$DE13)*100,0)</f>
        <v>0</v>
      </c>
      <c r="CD13" s="150" cm="1">
        <f t="array" aca="1" ref="CD13" ca="1">IFERROR(INDIRECT("Yr"&amp;IF($C$5=Year1,1,IF($C$5=Year2,2,IF($C$5=Year3,3,IF($C$5=Lookups!$D$40,"All"))))&amp;"!"&amp;CD$71&amp;$DE13)*100,0)</f>
        <v>0</v>
      </c>
      <c r="CE13" s="150" cm="1">
        <f t="array" aca="1" ref="CE13" ca="1">IFERROR(INDIRECT("Yr"&amp;IF($C$5=Year1,1,IF($C$5=Year2,2,IF($C$5=Year3,3,IF($C$5=Lookups!$D$40,"All"))))&amp;"!"&amp;CE$71&amp;$DE13)*100,0)</f>
        <v>0</v>
      </c>
      <c r="CF13" s="150" cm="1">
        <f t="array" aca="1" ref="CF13" ca="1">IFERROR(INDIRECT("Yr"&amp;IF($C$5=Year1,1,IF($C$5=Year2,2,IF($C$5=Year3,3,IF($C$5=Lookups!$D$40,"All"))))&amp;"!"&amp;CF$71&amp;$DE13)*100,0)</f>
        <v>0</v>
      </c>
      <c r="CG13" s="150" cm="1">
        <f t="array" aca="1" ref="CG13" ca="1">IFERROR(INDIRECT("Yr"&amp;IF($C$5=Year1,1,IF($C$5=Year2,2,IF($C$5=Year3,3,IF($C$5=Lookups!$D$40,"All"))))&amp;"!"&amp;CG$71&amp;$DE13)*100,0)</f>
        <v>0</v>
      </c>
      <c r="CH13" s="150" cm="1">
        <f t="array" aca="1" ref="CH13" ca="1">IFERROR(INDIRECT("Yr"&amp;IF($C$5=Year1,1,IF($C$5=Year2,2,IF($C$5=Year3,3,IF($C$5=Lookups!$D$40,"All"))))&amp;"!"&amp;CH$71&amp;$DE13)*100,0)</f>
        <v>0</v>
      </c>
      <c r="CI13" s="150" cm="1">
        <f t="array" aca="1" ref="CI13" ca="1">IFERROR(INDIRECT("Yr"&amp;IF($C$5=Year1,1,IF($C$5=Year2,2,IF($C$5=Year3,3,IF($C$5=Lookups!$D$40,"All"))))&amp;"!"&amp;CI$71&amp;$DE13)*100,0)</f>
        <v>0</v>
      </c>
      <c r="CJ13" s="150" cm="1">
        <f t="array" aca="1" ref="CJ13" ca="1">IFERROR(INDIRECT("Yr"&amp;IF($C$5=Year1,1,IF($C$5=Year2,2,IF($C$5=Year3,3,IF($C$5=Lookups!$D$40,"All"))))&amp;"!"&amp;CJ$71&amp;$DE13)*100,0)</f>
        <v>0</v>
      </c>
      <c r="CK13" s="150" cm="1">
        <f t="array" aca="1" ref="CK13" ca="1">IFERROR(INDIRECT("Yr"&amp;IF($C$5=Year1,1,IF($C$5=Year2,2,IF($C$5=Year3,3,IF($C$5=Lookups!$D$40,"All"))))&amp;"!"&amp;CK$71&amp;$DE13)*100,0)</f>
        <v>0</v>
      </c>
      <c r="CL13" s="150" cm="1">
        <f t="array" aca="1" ref="CL13" ca="1">IFERROR(INDIRECT("Yr"&amp;IF($C$5=Year1,1,IF($C$5=Year2,2,IF($C$5=Year3,3,IF($C$5=Lookups!$D$40,"All"))))&amp;"!"&amp;CL$71&amp;$DE13)*100,0)</f>
        <v>0</v>
      </c>
      <c r="CM13" s="150" cm="1">
        <f t="array" aca="1" ref="CM13" ca="1">IFERROR(INDIRECT("Yr"&amp;IF($C$5=Year1,1,IF($C$5=Year2,2,IF($C$5=Year3,3,IF($C$5=Lookups!$D$40,"All"))))&amp;"!"&amp;CM$71&amp;$DE13)*100,0)</f>
        <v>0</v>
      </c>
      <c r="CN13" s="150" cm="1">
        <f t="array" aca="1" ref="CN13" ca="1">IFERROR(INDIRECT("Yr"&amp;IF($C$5=Year1,1,IF($C$5=Year2,2,IF($C$5=Year3,3,IF($C$5=Lookups!$D$40,"All"))))&amp;"!"&amp;CN$71&amp;$DE13)*100,0)</f>
        <v>0</v>
      </c>
      <c r="CO13" s="150" cm="1">
        <f t="array" aca="1" ref="CO13" ca="1">IFERROR(INDIRECT("Yr"&amp;IF($C$5=Year1,1,IF($C$5=Year2,2,IF($C$5=Year3,3,IF($C$5=Lookups!$D$40,"All"))))&amp;"!"&amp;CO$71&amp;$DE13)*100,0)</f>
        <v>0</v>
      </c>
      <c r="CP13" s="150" cm="1">
        <f t="array" aca="1" ref="CP13" ca="1">IFERROR(INDIRECT("Yr"&amp;IF($C$5=Year1,1,IF($C$5=Year2,2,IF($C$5=Year3,3,IF($C$5=Lookups!$D$40,"All"))))&amp;"!"&amp;CP$71&amp;$DE13)*100,0)</f>
        <v>0</v>
      </c>
      <c r="CQ13" s="150" cm="1">
        <f t="array" aca="1" ref="CQ13" ca="1">IFERROR(INDIRECT("Yr"&amp;IF($C$5=Year1,1,IF($C$5=Year2,2,IF($C$5=Year3,3,IF($C$5=Lookups!$D$40,"All"))))&amp;"!"&amp;CQ$71&amp;$DE13)*100,0)</f>
        <v>0</v>
      </c>
      <c r="CR13" s="150" cm="1">
        <f t="array" aca="1" ref="CR13" ca="1">IFERROR(INDIRECT("Yr"&amp;IF($C$5=Year1,1,IF($C$5=Year2,2,IF($C$5=Year3,3,IF($C$5=Lookups!$D$40,"All"))))&amp;"!"&amp;CR$71&amp;$DE13)*100,0)</f>
        <v>0</v>
      </c>
      <c r="CS13" s="150" cm="1">
        <f t="array" aca="1" ref="CS13" ca="1">IFERROR(INDIRECT("Yr"&amp;IF($C$5=Year1,1,IF($C$5=Year2,2,IF($C$5=Year3,3,IF($C$5=Lookups!$D$40,"All"))))&amp;"!"&amp;CS$71&amp;$DE13)*100,0)</f>
        <v>0</v>
      </c>
      <c r="CT13" s="150" cm="1">
        <f t="array" aca="1" ref="CT13" ca="1">IFERROR(INDIRECT("Yr"&amp;IF($C$5=Year1,1,IF($C$5=Year2,2,IF($C$5=Year3,3,IF($C$5=Lookups!$D$40,"All"))))&amp;"!"&amp;CT$71&amp;$DE13)*100,0)</f>
        <v>0</v>
      </c>
      <c r="CU13" s="150" cm="1">
        <f t="array" aca="1" ref="CU13" ca="1">IFERROR(INDIRECT("Yr"&amp;IF($C$5=Year1,1,IF($C$5=Year2,2,IF($C$5=Year3,3,IF($C$5=Lookups!$D$40,"All"))))&amp;"!"&amp;CU$71&amp;$DE13)*100,0)</f>
        <v>0</v>
      </c>
      <c r="CV13" s="150" cm="1">
        <f t="array" aca="1" ref="CV13" ca="1">IFERROR(INDIRECT("Yr"&amp;IF($C$5=Year1,1,IF($C$5=Year2,2,IF($C$5=Year3,3,IF($C$5=Lookups!$D$40,"All"))))&amp;"!"&amp;CV$71&amp;$DE13)*100,0)</f>
        <v>0</v>
      </c>
      <c r="CW13" s="150" cm="1">
        <f t="array" aca="1" ref="CW13" ca="1">IFERROR(INDIRECT("Yr"&amp;IF($C$5=Year1,1,IF($C$5=Year2,2,IF($C$5=Year3,3,IF($C$5=Lookups!$D$40,"All"))))&amp;"!"&amp;CW$71&amp;$DE13)*100,0)</f>
        <v>0</v>
      </c>
      <c r="CX13" s="150" cm="1">
        <f t="array" aca="1" ref="CX13" ca="1">IFERROR(INDIRECT("Yr"&amp;IF($C$5=Year1,1,IF($C$5=Year2,2,IF($C$5=Year3,3,IF($C$5=Lookups!$D$40,"All"))))&amp;"!"&amp;CX$71&amp;$DE13)*100,0)</f>
        <v>0</v>
      </c>
      <c r="CY13" s="150" cm="1">
        <f t="array" aca="1" ref="CY13" ca="1">IFERROR(INDIRECT("Yr"&amp;IF($C$5=Year1,1,IF($C$5=Year2,2,IF($C$5=Year3,3,IF($C$5=Lookups!$D$40,"All"))))&amp;"!"&amp;CY$71&amp;$DE13)*100,0)</f>
        <v>0</v>
      </c>
      <c r="CZ13" s="150" cm="1">
        <f t="array" aca="1" ref="CZ13" ca="1">IFERROR(INDIRECT("Yr"&amp;IF($C$5=Year1,1,IF($C$5=Year2,2,IF($C$5=Year3,3,IF($C$5=Lookups!$D$40,"All"))))&amp;"!"&amp;CZ$71&amp;$DE13)*100,0)</f>
        <v>0</v>
      </c>
      <c r="DA13" s="122"/>
      <c r="DB13" s="150"/>
      <c r="DE13" s="527"/>
      <c r="DI13" s="22"/>
      <c r="DJ13" s="22"/>
      <c r="DK13" s="421"/>
      <c r="DL13" s="96"/>
      <c r="DM13" s="96"/>
      <c r="DN13" s="410"/>
      <c r="DO13" s="22"/>
    </row>
    <row r="14" spans="1:119" x14ac:dyDescent="0.25">
      <c r="BV14" s="343"/>
      <c r="BW14" s="344"/>
      <c r="BX14" s="121"/>
      <c r="BY14" s="121"/>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E14" s="527"/>
      <c r="DL14" s="96"/>
      <c r="DM14" s="96"/>
      <c r="DO14" s="22"/>
    </row>
    <row r="15" spans="1:119" ht="18.75" x14ac:dyDescent="0.3">
      <c r="BV15" s="91" t="str">
        <f>Lookups!$D$23&amp;" v "&amp;Lookups!$D$22</f>
        <v>Proposed EE v No EE</v>
      </c>
      <c r="BW15" s="91"/>
      <c r="BX15" s="124"/>
      <c r="BY15" s="124"/>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E15" s="528"/>
    </row>
    <row r="16" spans="1:119" x14ac:dyDescent="0.25">
      <c r="BV16" s="343"/>
      <c r="BW16" s="159" t="s">
        <v>30</v>
      </c>
      <c r="BX16" s="126"/>
      <c r="BY16" s="126"/>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E16" s="527"/>
    </row>
    <row r="17" spans="3:116" x14ac:dyDescent="0.25">
      <c r="BV17" s="343"/>
      <c r="BW17" s="345"/>
      <c r="BX17" s="126" t="s">
        <v>95</v>
      </c>
      <c r="BY17" s="126" t="s">
        <v>409</v>
      </c>
      <c r="BZ17" s="151" cm="1">
        <f t="array" aca="1" ref="BZ17" ca="1">IFERROR(INDIRECT("Yr"&amp;IF($C$5=Year1,1,IF($C$5=Year2,2,IF($C$5=Year3,3,IF($C$5=Lookups!$D$40,"All"))))&amp;"!"&amp;BZ$71&amp;$DE17)*100,0)</f>
        <v>9.0952917202036048</v>
      </c>
      <c r="CA17" s="151" cm="1">
        <f t="array" aca="1" ref="CA17" ca="1">IFERROR(INDIRECT("Yr"&amp;IF($C$5=Year1,1,IF($C$5=Year2,2,IF($C$5=Year3,3,IF($C$5=Lookups!$D$40,"All"))))&amp;"!"&amp;CA$71&amp;$DE17)*100,0)</f>
        <v>9.0952917202036048</v>
      </c>
      <c r="CB17" s="151" cm="1">
        <f t="array" aca="1" ref="CB17" ca="1">IFERROR(INDIRECT("Yr"&amp;IF($C$5=Year1,1,IF($C$5=Year2,2,IF($C$5=Year3,3,IF($C$5=Lookups!$D$40,"All"))))&amp;"!"&amp;CB$71&amp;$DE17)*100,0)</f>
        <v>9.0952917202036048</v>
      </c>
      <c r="CC17" s="151" cm="1">
        <f t="array" aca="1" ref="CC17" ca="1">IFERROR(INDIRECT("Yr"&amp;IF($C$5=Year1,1,IF($C$5=Year2,2,IF($C$5=Year3,3,IF($C$5=Lookups!$D$40,"All"))))&amp;"!"&amp;CC$71&amp;$DE17)*100,0)</f>
        <v>9.0952917202036048</v>
      </c>
      <c r="CD17" s="151" cm="1">
        <f t="array" aca="1" ref="CD17" ca="1">IFERROR(INDIRECT("Yr"&amp;IF($C$5=Year1,1,IF($C$5=Year2,2,IF($C$5=Year3,3,IF($C$5=Lookups!$D$40,"All"))))&amp;"!"&amp;CD$71&amp;$DE17)*100,0)</f>
        <v>9.0952917202036048</v>
      </c>
      <c r="CE17" s="151" cm="1">
        <f t="array" aca="1" ref="CE17" ca="1">IFERROR(INDIRECT("Yr"&amp;IF($C$5=Year1,1,IF($C$5=Year2,2,IF($C$5=Year3,3,IF($C$5=Lookups!$D$40,"All"))))&amp;"!"&amp;CE$71&amp;$DE17)*100,0)</f>
        <v>9.0952917202036048</v>
      </c>
      <c r="CF17" s="151" cm="1">
        <f t="array" aca="1" ref="CF17" ca="1">IFERROR(INDIRECT("Yr"&amp;IF($C$5=Year1,1,IF($C$5=Year2,2,IF($C$5=Year3,3,IF($C$5=Lookups!$D$40,"All"))))&amp;"!"&amp;CF$71&amp;$DE17)*100,0)</f>
        <v>9.0952917202036048</v>
      </c>
      <c r="CG17" s="151" cm="1">
        <f t="array" aca="1" ref="CG17" ca="1">IFERROR(INDIRECT("Yr"&amp;IF($C$5=Year1,1,IF($C$5=Year2,2,IF($C$5=Year3,3,IF($C$5=Lookups!$D$40,"All"))))&amp;"!"&amp;CG$71&amp;$DE17)*100,0)</f>
        <v>9.0952917202036048</v>
      </c>
      <c r="CH17" s="151" cm="1">
        <f t="array" aca="1" ref="CH17" ca="1">IFERROR(INDIRECT("Yr"&amp;IF($C$5=Year1,1,IF($C$5=Year2,2,IF($C$5=Year3,3,IF($C$5=Lookups!$D$40,"All"))))&amp;"!"&amp;CH$71&amp;$DE17)*100,0)</f>
        <v>9.0952917202036048</v>
      </c>
      <c r="CI17" s="151" cm="1">
        <f t="array" aca="1" ref="CI17" ca="1">IFERROR(INDIRECT("Yr"&amp;IF($C$5=Year1,1,IF($C$5=Year2,2,IF($C$5=Year3,3,IF($C$5=Lookups!$D$40,"All"))))&amp;"!"&amp;CI$71&amp;$DE17)*100,0)</f>
        <v>9.0952917202036048</v>
      </c>
      <c r="CJ17" s="151" cm="1">
        <f t="array" aca="1" ref="CJ17" ca="1">IFERROR(INDIRECT("Yr"&amp;IF($C$5=Year1,1,IF($C$5=Year2,2,IF($C$5=Year3,3,IF($C$5=Lookups!$D$40,"All"))))&amp;"!"&amp;CJ$71&amp;$DE17)*100,0)</f>
        <v>9.0952917202036048</v>
      </c>
      <c r="CK17" s="151" cm="1">
        <f t="array" aca="1" ref="CK17" ca="1">IFERROR(INDIRECT("Yr"&amp;IF($C$5=Year1,1,IF($C$5=Year2,2,IF($C$5=Year3,3,IF($C$5=Lookups!$D$40,"All"))))&amp;"!"&amp;CK$71&amp;$DE17)*100,0)</f>
        <v>9.0952917202036048</v>
      </c>
      <c r="CL17" s="151" cm="1">
        <f t="array" aca="1" ref="CL17" ca="1">IFERROR(INDIRECT("Yr"&amp;IF($C$5=Year1,1,IF($C$5=Year2,2,IF($C$5=Year3,3,IF($C$5=Lookups!$D$40,"All"))))&amp;"!"&amp;CL$71&amp;$DE17)*100,0)</f>
        <v>9.0952917202036048</v>
      </c>
      <c r="CM17" s="151" cm="1">
        <f t="array" aca="1" ref="CM17" ca="1">IFERROR(INDIRECT("Yr"&amp;IF($C$5=Year1,1,IF($C$5=Year2,2,IF($C$5=Year3,3,IF($C$5=Lookups!$D$40,"All"))))&amp;"!"&amp;CM$71&amp;$DE17)*100,0)</f>
        <v>9.0952917202036048</v>
      </c>
      <c r="CN17" s="151" cm="1">
        <f t="array" aca="1" ref="CN17" ca="1">IFERROR(INDIRECT("Yr"&amp;IF($C$5=Year1,1,IF($C$5=Year2,2,IF($C$5=Year3,3,IF($C$5=Lookups!$D$40,"All"))))&amp;"!"&amp;CN$71&amp;$DE17)*100,0)</f>
        <v>9.0952917202036048</v>
      </c>
      <c r="CO17" s="151" cm="1">
        <f t="array" aca="1" ref="CO17" ca="1">IFERROR(INDIRECT("Yr"&amp;IF($C$5=Year1,1,IF($C$5=Year2,2,IF($C$5=Year3,3,IF($C$5=Lookups!$D$40,"All"))))&amp;"!"&amp;CO$71&amp;$DE17)*100,0)</f>
        <v>9.0952917202036048</v>
      </c>
      <c r="CP17" s="151" cm="1">
        <f t="array" aca="1" ref="CP17" ca="1">IFERROR(INDIRECT("Yr"&amp;IF($C$5=Year1,1,IF($C$5=Year2,2,IF($C$5=Year3,3,IF($C$5=Lookups!$D$40,"All"))))&amp;"!"&amp;CP$71&amp;$DE17)*100,0)</f>
        <v>9.0952917202036048</v>
      </c>
      <c r="CQ17" s="151" cm="1">
        <f t="array" aca="1" ref="CQ17" ca="1">IFERROR(INDIRECT("Yr"&amp;IF($C$5=Year1,1,IF($C$5=Year2,2,IF($C$5=Year3,3,IF($C$5=Lookups!$D$40,"All"))))&amp;"!"&amp;CQ$71&amp;$DE17)*100,0)</f>
        <v>9.0952917202036048</v>
      </c>
      <c r="CR17" s="151" cm="1">
        <f t="array" aca="1" ref="CR17" ca="1">IFERROR(INDIRECT("Yr"&amp;IF($C$5=Year1,1,IF($C$5=Year2,2,IF($C$5=Year3,3,IF($C$5=Lookups!$D$40,"All"))))&amp;"!"&amp;CR$71&amp;$DE17)*100,0)</f>
        <v>9.0952917202036048</v>
      </c>
      <c r="CS17" s="151" cm="1">
        <f t="array" aca="1" ref="CS17" ca="1">IFERROR(INDIRECT("Yr"&amp;IF($C$5=Year1,1,IF($C$5=Year2,2,IF($C$5=Year3,3,IF($C$5=Lookups!$D$40,"All"))))&amp;"!"&amp;CS$71&amp;$DE17)*100,0)</f>
        <v>9.0952917202036048</v>
      </c>
      <c r="CT17" s="151" cm="1">
        <f t="array" aca="1" ref="CT17" ca="1">IFERROR(INDIRECT("Yr"&amp;IF($C$5=Year1,1,IF($C$5=Year2,2,IF($C$5=Year3,3,IF($C$5=Lookups!$D$40,"All"))))&amp;"!"&amp;CT$71&amp;$DE17)*100,0)</f>
        <v>9.0952917202036048</v>
      </c>
      <c r="CU17" s="151" cm="1">
        <f t="array" aca="1" ref="CU17" ca="1">IFERROR(INDIRECT("Yr"&amp;IF($C$5=Year1,1,IF($C$5=Year2,2,IF($C$5=Year3,3,IF($C$5=Lookups!$D$40,"All"))))&amp;"!"&amp;CU$71&amp;$DE17)*100,0)</f>
        <v>9.0952917202036048</v>
      </c>
      <c r="CV17" s="151" cm="1">
        <f t="array" aca="1" ref="CV17" ca="1">IFERROR(INDIRECT("Yr"&amp;IF($C$5=Year1,1,IF($C$5=Year2,2,IF($C$5=Year3,3,IF($C$5=Lookups!$D$40,"All"))))&amp;"!"&amp;CV$71&amp;$DE17)*100,0)</f>
        <v>9.0952917202036048</v>
      </c>
      <c r="CW17" s="151" cm="1">
        <f t="array" aca="1" ref="CW17" ca="1">IFERROR(INDIRECT("Yr"&amp;IF($C$5=Year1,1,IF($C$5=Year2,2,IF($C$5=Year3,3,IF($C$5=Lookups!$D$40,"All"))))&amp;"!"&amp;CW$71&amp;$DE17)*100,0)</f>
        <v>9.0952917202036048</v>
      </c>
      <c r="CX17" s="151" cm="1">
        <f t="array" aca="1" ref="CX17" ca="1">IFERROR(INDIRECT("Yr"&amp;IF($C$5=Year1,1,IF($C$5=Year2,2,IF($C$5=Year3,3,IF($C$5=Lookups!$D$40,"All"))))&amp;"!"&amp;CX$71&amp;$DE17)*100,0)</f>
        <v>9.0952917202036048</v>
      </c>
      <c r="CY17" s="151" cm="1">
        <f t="array" aca="1" ref="CY17" ca="1">IFERROR(INDIRECT("Yr"&amp;IF($C$5=Year1,1,IF($C$5=Year2,2,IF($C$5=Year3,3,IF($C$5=Lookups!$D$40,"All"))))&amp;"!"&amp;CY$71&amp;$DE17)*100,0)</f>
        <v>9.0952917202036048</v>
      </c>
      <c r="CZ17" s="151" cm="1">
        <f t="array" aca="1" ref="CZ17" ca="1">IFERROR(INDIRECT("Yr"&amp;IF($C$5=Year1,1,IF($C$5=Year2,2,IF($C$5=Year3,3,IF($C$5=Lookups!$D$40,"All"))))&amp;"!"&amp;CZ$71&amp;$DE17)*100,0)</f>
        <v>9.0952917202036048</v>
      </c>
      <c r="DA17" s="151"/>
      <c r="DB17" s="151">
        <f ca="1">IF($C$5=Lookups!$D$40,-PMT(Lookups!$E$17,27,NPV(Lookups!$E$17,BZ17:CZ17),0,1),-PMT(Lookups!$E$17,25,NPV(Lookups!$E$17,BZ17:CX17),0,1))</f>
        <v>8.9684421310792146</v>
      </c>
      <c r="DE17" s="515">
        <f>ROW('Yr1'!E56)+($DG$9*IF($C$4=Lookups!$D$26,0,IF($C$4=Lookups!$D$27,1,IF($C$4=Lookups!$D$28,2,IF($C$4=Lookups!$D$29,3)))))</f>
        <v>135</v>
      </c>
      <c r="DI17" s="419"/>
    </row>
    <row r="18" spans="3:116" x14ac:dyDescent="0.25">
      <c r="BV18" s="343"/>
      <c r="BW18" s="345"/>
      <c r="BX18" s="126" t="s">
        <v>26</v>
      </c>
      <c r="BY18" s="126" t="s">
        <v>409</v>
      </c>
      <c r="BZ18" s="151" cm="1">
        <f t="array" aca="1" ref="BZ18" ca="1">IFERROR(INDIRECT("Yr"&amp;IF($C$5=Year1,1,IF($C$5=Year2,2,IF($C$5=Year3,3,IF($C$5=Lookups!$D$40,"All"))))&amp;"!"&amp;BZ$71&amp;$DE18)*100,0)</f>
        <v>22.614122010423127</v>
      </c>
      <c r="CA18" s="151" cm="1">
        <f t="array" aca="1" ref="CA18" ca="1">IFERROR(INDIRECT("Yr"&amp;IF($C$5=Year1,1,IF($C$5=Year2,2,IF($C$5=Year3,3,IF($C$5=Lookups!$D$40,"All"))))&amp;"!"&amp;CA$71&amp;$DE18)*100,0)</f>
        <v>22.972135162699107</v>
      </c>
      <c r="CB18" s="151" cm="1">
        <f t="array" aca="1" ref="CB18" ca="1">IFERROR(INDIRECT("Yr"&amp;IF($C$5=Year1,1,IF($C$5=Year2,2,IF($C$5=Year3,3,IF($C$5=Lookups!$D$40,"All"))))&amp;"!"&amp;CB$71&amp;$DE18)*100,0)</f>
        <v>23.359637355124114</v>
      </c>
      <c r="CC18" s="151" cm="1">
        <f t="array" aca="1" ref="CC18" ca="1">IFERROR(INDIRECT("Yr"&amp;IF($C$5=Year1,1,IF($C$5=Year2,2,IF($C$5=Year3,3,IF($C$5=Lookups!$D$40,"All"))))&amp;"!"&amp;CC$71&amp;$DE18)*100,0)</f>
        <v>23.359637355124114</v>
      </c>
      <c r="CD18" s="151" cm="1">
        <f t="array" aca="1" ref="CD18" ca="1">IFERROR(INDIRECT("Yr"&amp;IF($C$5=Year1,1,IF($C$5=Year2,2,IF($C$5=Year3,3,IF($C$5=Lookups!$D$40,"All"))))&amp;"!"&amp;CD$71&amp;$DE18)*100,0)</f>
        <v>23.359637355124114</v>
      </c>
      <c r="CE18" s="151" cm="1">
        <f t="array" aca="1" ref="CE18" ca="1">IFERROR(INDIRECT("Yr"&amp;IF($C$5=Year1,1,IF($C$5=Year2,2,IF($C$5=Year3,3,IF($C$5=Lookups!$D$40,"All"))))&amp;"!"&amp;CE$71&amp;$DE18)*100,0)</f>
        <v>23.359637355124114</v>
      </c>
      <c r="CF18" s="151" cm="1">
        <f t="array" aca="1" ref="CF18" ca="1">IFERROR(INDIRECT("Yr"&amp;IF($C$5=Year1,1,IF($C$5=Year2,2,IF($C$5=Year3,3,IF($C$5=Lookups!$D$40,"All"))))&amp;"!"&amp;CF$71&amp;$DE18)*100,0)</f>
        <v>23.359637355124114</v>
      </c>
      <c r="CG18" s="151" cm="1">
        <f t="array" aca="1" ref="CG18" ca="1">IFERROR(INDIRECT("Yr"&amp;IF($C$5=Year1,1,IF($C$5=Year2,2,IF($C$5=Year3,3,IF($C$5=Lookups!$D$40,"All"))))&amp;"!"&amp;CG$71&amp;$DE18)*100,0)</f>
        <v>23.359637355124114</v>
      </c>
      <c r="CH18" s="151" cm="1">
        <f t="array" aca="1" ref="CH18" ca="1">IFERROR(INDIRECT("Yr"&amp;IF($C$5=Year1,1,IF($C$5=Year2,2,IF($C$5=Year3,3,IF($C$5=Lookups!$D$40,"All"))))&amp;"!"&amp;CH$71&amp;$DE18)*100,0)</f>
        <v>23.359637355124114</v>
      </c>
      <c r="CI18" s="151" cm="1">
        <f t="array" aca="1" ref="CI18" ca="1">IFERROR(INDIRECT("Yr"&amp;IF($C$5=Year1,1,IF($C$5=Year2,2,IF($C$5=Year3,3,IF($C$5=Lookups!$D$40,"All"))))&amp;"!"&amp;CI$71&amp;$DE18)*100,0)</f>
        <v>23.359637355124114</v>
      </c>
      <c r="CJ18" s="151" cm="1">
        <f t="array" aca="1" ref="CJ18" ca="1">IFERROR(INDIRECT("Yr"&amp;IF($C$5=Year1,1,IF($C$5=Year2,2,IF($C$5=Year3,3,IF($C$5=Lookups!$D$40,"All"))))&amp;"!"&amp;CJ$71&amp;$DE18)*100,0)</f>
        <v>23.359637355124114</v>
      </c>
      <c r="CK18" s="151" cm="1">
        <f t="array" aca="1" ref="CK18" ca="1">IFERROR(INDIRECT("Yr"&amp;IF($C$5=Year1,1,IF($C$5=Year2,2,IF($C$5=Year3,3,IF($C$5=Lookups!$D$40,"All"))))&amp;"!"&amp;CK$71&amp;$DE18)*100,0)</f>
        <v>23.359637355124114</v>
      </c>
      <c r="CL18" s="151" cm="1">
        <f t="array" aca="1" ref="CL18" ca="1">IFERROR(INDIRECT("Yr"&amp;IF($C$5=Year1,1,IF($C$5=Year2,2,IF($C$5=Year3,3,IF($C$5=Lookups!$D$40,"All"))))&amp;"!"&amp;CL$71&amp;$DE18)*100,0)</f>
        <v>23.359637355124114</v>
      </c>
      <c r="CM18" s="151" cm="1">
        <f t="array" aca="1" ref="CM18" ca="1">IFERROR(INDIRECT("Yr"&amp;IF($C$5=Year1,1,IF($C$5=Year2,2,IF($C$5=Year3,3,IF($C$5=Lookups!$D$40,"All"))))&amp;"!"&amp;CM$71&amp;$DE18)*100,0)</f>
        <v>23.359637355124114</v>
      </c>
      <c r="CN18" s="151" cm="1">
        <f t="array" aca="1" ref="CN18" ca="1">IFERROR(INDIRECT("Yr"&amp;IF($C$5=Year1,1,IF($C$5=Year2,2,IF($C$5=Year3,3,IF($C$5=Lookups!$D$40,"All"))))&amp;"!"&amp;CN$71&amp;$DE18)*100,0)</f>
        <v>23.359637355124114</v>
      </c>
      <c r="CO18" s="151" cm="1">
        <f t="array" aca="1" ref="CO18" ca="1">IFERROR(INDIRECT("Yr"&amp;IF($C$5=Year1,1,IF($C$5=Year2,2,IF($C$5=Year3,3,IF($C$5=Lookups!$D$40,"All"))))&amp;"!"&amp;CO$71&amp;$DE18)*100,0)</f>
        <v>23.359637355124114</v>
      </c>
      <c r="CP18" s="151" cm="1">
        <f t="array" aca="1" ref="CP18" ca="1">IFERROR(INDIRECT("Yr"&amp;IF($C$5=Year1,1,IF($C$5=Year2,2,IF($C$5=Year3,3,IF($C$5=Lookups!$D$40,"All"))))&amp;"!"&amp;CP$71&amp;$DE18)*100,0)</f>
        <v>23.359637355124114</v>
      </c>
      <c r="CQ18" s="151" cm="1">
        <f t="array" aca="1" ref="CQ18" ca="1">IFERROR(INDIRECT("Yr"&amp;IF($C$5=Year1,1,IF($C$5=Year2,2,IF($C$5=Year3,3,IF($C$5=Lookups!$D$40,"All"))))&amp;"!"&amp;CQ$71&amp;$DE18)*100,0)</f>
        <v>23.359637355124114</v>
      </c>
      <c r="CR18" s="151" cm="1">
        <f t="array" aca="1" ref="CR18" ca="1">IFERROR(INDIRECT("Yr"&amp;IF($C$5=Year1,1,IF($C$5=Year2,2,IF($C$5=Year3,3,IF($C$5=Lookups!$D$40,"All"))))&amp;"!"&amp;CR$71&amp;$DE18)*100,0)</f>
        <v>23.359637355124114</v>
      </c>
      <c r="CS18" s="151" cm="1">
        <f t="array" aca="1" ref="CS18" ca="1">IFERROR(INDIRECT("Yr"&amp;IF($C$5=Year1,1,IF($C$5=Year2,2,IF($C$5=Year3,3,IF($C$5=Lookups!$D$40,"All"))))&amp;"!"&amp;CS$71&amp;$DE18)*100,0)</f>
        <v>23.359637355124114</v>
      </c>
      <c r="CT18" s="151" cm="1">
        <f t="array" aca="1" ref="CT18" ca="1">IFERROR(INDIRECT("Yr"&amp;IF($C$5=Year1,1,IF($C$5=Year2,2,IF($C$5=Year3,3,IF($C$5=Lookups!$D$40,"All"))))&amp;"!"&amp;CT$71&amp;$DE18)*100,0)</f>
        <v>22.997344839538897</v>
      </c>
      <c r="CU18" s="151" cm="1">
        <f t="array" aca="1" ref="CU18" ca="1">IFERROR(INDIRECT("Yr"&amp;IF($C$5=Year1,1,IF($C$5=Year2,2,IF($C$5=Year3,3,IF($C$5=Lookups!$D$40,"All"))))&amp;"!"&amp;CU$71&amp;$DE18)*100,0)</f>
        <v>22.638351865548952</v>
      </c>
      <c r="CV18" s="151" cm="1">
        <f t="array" aca="1" ref="CV18" ca="1">IFERROR(INDIRECT("Yr"&amp;IF($C$5=Year1,1,IF($C$5=Year2,2,IF($C$5=Year3,3,IF($C$5=Lookups!$D$40,"All"))))&amp;"!"&amp;CV$71&amp;$DE18)*100,0)</f>
        <v>22.28</v>
      </c>
      <c r="CW18" s="151" cm="1">
        <f t="array" aca="1" ref="CW18" ca="1">IFERROR(INDIRECT("Yr"&amp;IF($C$5=Year1,1,IF($C$5=Year2,2,IF($C$5=Year3,3,IF($C$5=Lookups!$D$40,"All"))))&amp;"!"&amp;CW$71&amp;$DE18)*100,0)</f>
        <v>22.28</v>
      </c>
      <c r="CX18" s="151" cm="1">
        <f t="array" aca="1" ref="CX18" ca="1">IFERROR(INDIRECT("Yr"&amp;IF($C$5=Year1,1,IF($C$5=Year2,2,IF($C$5=Year3,3,IF($C$5=Lookups!$D$40,"All"))))&amp;"!"&amp;CX$71&amp;$DE18)*100,0)</f>
        <v>22.28</v>
      </c>
      <c r="CY18" s="151" cm="1">
        <f t="array" aca="1" ref="CY18" ca="1">IFERROR(INDIRECT("Yr"&amp;IF($C$5=Year1,1,IF($C$5=Year2,2,IF($C$5=Year3,3,IF($C$5=Lookups!$D$40,"All"))))&amp;"!"&amp;CY$71&amp;$DE18)*100,0)</f>
        <v>22.28</v>
      </c>
      <c r="CZ18" s="151" cm="1">
        <f t="array" aca="1" ref="CZ18" ca="1">IFERROR(INDIRECT("Yr"&amp;IF($C$5=Year1,1,IF($C$5=Year2,2,IF($C$5=Year3,3,IF($C$5=Lookups!$D$40,"All"))))&amp;"!"&amp;CZ$71&amp;$DE18)*100,0)</f>
        <v>22.28</v>
      </c>
      <c r="DA18" s="151"/>
      <c r="DB18" s="151">
        <f ca="1">IF($C$5=Lookups!$D$40,-PMT(Lookups!$E$17,27,NPV(Lookups!$E$17,BZ18:CZ18),0,1),-PMT(Lookups!$E$17,25,NPV(Lookups!$E$17,BZ18:CX18),0,1))</f>
        <v>22.781438970133724</v>
      </c>
      <c r="DE18" s="516">
        <f>DE17+DF18</f>
        <v>131</v>
      </c>
      <c r="DF18" s="526">
        <v>-4</v>
      </c>
      <c r="DI18" s="419"/>
    </row>
    <row r="19" spans="3:116" x14ac:dyDescent="0.25">
      <c r="BV19" s="343"/>
      <c r="BW19" s="345"/>
      <c r="BX19" s="126" t="s">
        <v>407</v>
      </c>
      <c r="BY19" s="126" t="s">
        <v>409</v>
      </c>
      <c r="BZ19" s="151" cm="1">
        <f t="array" aca="1" ref="BZ19" ca="1">IFERROR(INDIRECT("Yr"&amp;IF($C$5=Year1,1,IF($C$5=Year2,2,IF($C$5=Year3,3,IF($C$5=Lookups!$D$40,"All"))))&amp;"!"&amp;BZ$71&amp;$DE19)*100,0)</f>
        <v>-3.3628647484592973</v>
      </c>
      <c r="CA19" s="151" cm="1">
        <f t="array" aca="1" ref="CA19" ca="1">IFERROR(INDIRECT("Yr"&amp;IF($C$5=Year1,1,IF($C$5=Year2,2,IF($C$5=Year3,3,IF($C$5=Lookups!$D$40,"All"))))&amp;"!"&amp;CA$71&amp;$DE19)*100,0)</f>
        <v>-3.4302232560561121</v>
      </c>
      <c r="CB19" s="151" cm="1">
        <f t="array" aca="1" ref="CB19" ca="1">IFERROR(INDIRECT("Yr"&amp;IF($C$5=Year1,1,IF($C$5=Year2,2,IF($C$5=Year3,3,IF($C$5=Lookups!$D$40,"All"))))&amp;"!"&amp;CB$71&amp;$DE19)*100,0)</f>
        <v>-3.5031194835995754</v>
      </c>
      <c r="CC19" s="151" cm="1">
        <f t="array" aca="1" ref="CC19" ca="1">IFERROR(INDIRECT("Yr"&amp;IF($C$5=Year1,1,IF($C$5=Year2,2,IF($C$5=Year3,3,IF($C$5=Lookups!$D$40,"All"))))&amp;"!"&amp;CC$71&amp;$DE19)*100,0)</f>
        <v>-3.5031194835995754</v>
      </c>
      <c r="CD19" s="151" cm="1">
        <f t="array" aca="1" ref="CD19" ca="1">IFERROR(INDIRECT("Yr"&amp;IF($C$5=Year1,1,IF($C$5=Year2,2,IF($C$5=Year3,3,IF($C$5=Lookups!$D$40,"All"))))&amp;"!"&amp;CD$71&amp;$DE19)*100,0)</f>
        <v>-3.5031194835995754</v>
      </c>
      <c r="CE19" s="151" cm="1">
        <f t="array" aca="1" ref="CE19" ca="1">IFERROR(INDIRECT("Yr"&amp;IF($C$5=Year1,1,IF($C$5=Year2,2,IF($C$5=Year3,3,IF($C$5=Lookups!$D$40,"All"))))&amp;"!"&amp;CE$71&amp;$DE19)*100,0)</f>
        <v>-3.5031194835995754</v>
      </c>
      <c r="CF19" s="151" cm="1">
        <f t="array" aca="1" ref="CF19" ca="1">IFERROR(INDIRECT("Yr"&amp;IF($C$5=Year1,1,IF($C$5=Year2,2,IF($C$5=Year3,3,IF($C$5=Lookups!$D$40,"All"))))&amp;"!"&amp;CF$71&amp;$DE19)*100,0)</f>
        <v>-3.5031194835995754</v>
      </c>
      <c r="CG19" s="151" cm="1">
        <f t="array" aca="1" ref="CG19" ca="1">IFERROR(INDIRECT("Yr"&amp;IF($C$5=Year1,1,IF($C$5=Year2,2,IF($C$5=Year3,3,IF($C$5=Lookups!$D$40,"All"))))&amp;"!"&amp;CG$71&amp;$DE19)*100,0)</f>
        <v>-3.5031194835995754</v>
      </c>
      <c r="CH19" s="151" cm="1">
        <f t="array" aca="1" ref="CH19" ca="1">IFERROR(INDIRECT("Yr"&amp;IF($C$5=Year1,1,IF($C$5=Year2,2,IF($C$5=Year3,3,IF($C$5=Lookups!$D$40,"All"))))&amp;"!"&amp;CH$71&amp;$DE19)*100,0)</f>
        <v>-3.5031194835995754</v>
      </c>
      <c r="CI19" s="151" cm="1">
        <f t="array" aca="1" ref="CI19" ca="1">IFERROR(INDIRECT("Yr"&amp;IF($C$5=Year1,1,IF($C$5=Year2,2,IF($C$5=Year3,3,IF($C$5=Lookups!$D$40,"All"))))&amp;"!"&amp;CI$71&amp;$DE19)*100,0)</f>
        <v>-3.5031194835995754</v>
      </c>
      <c r="CJ19" s="151" cm="1">
        <f t="array" aca="1" ref="CJ19" ca="1">IFERROR(INDIRECT("Yr"&amp;IF($C$5=Year1,1,IF($C$5=Year2,2,IF($C$5=Year3,3,IF($C$5=Lookups!$D$40,"All"))))&amp;"!"&amp;CJ$71&amp;$DE19)*100,0)</f>
        <v>-3.5031194835995754</v>
      </c>
      <c r="CK19" s="151" cm="1">
        <f t="array" aca="1" ref="CK19" ca="1">IFERROR(INDIRECT("Yr"&amp;IF($C$5=Year1,1,IF($C$5=Year2,2,IF($C$5=Year3,3,IF($C$5=Lookups!$D$40,"All"))))&amp;"!"&amp;CK$71&amp;$DE19)*100,0)</f>
        <v>-3.5031194835995754</v>
      </c>
      <c r="CL19" s="151" cm="1">
        <f t="array" aca="1" ref="CL19" ca="1">IFERROR(INDIRECT("Yr"&amp;IF($C$5=Year1,1,IF($C$5=Year2,2,IF($C$5=Year3,3,IF($C$5=Lookups!$D$40,"All"))))&amp;"!"&amp;CL$71&amp;$DE19)*100,0)</f>
        <v>-3.5031194835995754</v>
      </c>
      <c r="CM19" s="151" cm="1">
        <f t="array" aca="1" ref="CM19" ca="1">IFERROR(INDIRECT("Yr"&amp;IF($C$5=Year1,1,IF($C$5=Year2,2,IF($C$5=Year3,3,IF($C$5=Lookups!$D$40,"All"))))&amp;"!"&amp;CM$71&amp;$DE19)*100,0)</f>
        <v>-3.5031194835995754</v>
      </c>
      <c r="CN19" s="151" cm="1">
        <f t="array" aca="1" ref="CN19" ca="1">IFERROR(INDIRECT("Yr"&amp;IF($C$5=Year1,1,IF($C$5=Year2,2,IF($C$5=Year3,3,IF($C$5=Lookups!$D$40,"All"))))&amp;"!"&amp;CN$71&amp;$DE19)*100,0)</f>
        <v>-3.5031194835995754</v>
      </c>
      <c r="CO19" s="151" cm="1">
        <f t="array" aca="1" ref="CO19" ca="1">IFERROR(INDIRECT("Yr"&amp;IF($C$5=Year1,1,IF($C$5=Year2,2,IF($C$5=Year3,3,IF($C$5=Lookups!$D$40,"All"))))&amp;"!"&amp;CO$71&amp;$DE19)*100,0)</f>
        <v>-3.5031194835995754</v>
      </c>
      <c r="CP19" s="151" cm="1">
        <f t="array" aca="1" ref="CP19" ca="1">IFERROR(INDIRECT("Yr"&amp;IF($C$5=Year1,1,IF($C$5=Year2,2,IF($C$5=Year3,3,IF($C$5=Lookups!$D$40,"All"))))&amp;"!"&amp;CP$71&amp;$DE19)*100,0)</f>
        <v>-3.5031194835995754</v>
      </c>
      <c r="CQ19" s="151" cm="1">
        <f t="array" aca="1" ref="CQ19" ca="1">IFERROR(INDIRECT("Yr"&amp;IF($C$5=Year1,1,IF($C$5=Year2,2,IF($C$5=Year3,3,IF($C$5=Lookups!$D$40,"All"))))&amp;"!"&amp;CQ$71&amp;$DE19)*100,0)</f>
        <v>-3.5031194835995754</v>
      </c>
      <c r="CR19" s="151" cm="1">
        <f t="array" aca="1" ref="CR19" ca="1">IFERROR(INDIRECT("Yr"&amp;IF($C$5=Year1,1,IF($C$5=Year2,2,IF($C$5=Year3,3,IF($C$5=Lookups!$D$40,"All"))))&amp;"!"&amp;CR$71&amp;$DE19)*100,0)</f>
        <v>-3.5031194835995754</v>
      </c>
      <c r="CS19" s="151" cm="1">
        <f t="array" aca="1" ref="CS19" ca="1">IFERROR(INDIRECT("Yr"&amp;IF($C$5=Year1,1,IF($C$5=Year2,2,IF($C$5=Year3,3,IF($C$5=Lookups!$D$40,"All"))))&amp;"!"&amp;CS$71&amp;$DE19)*100,0)</f>
        <v>-3.5031194835995754</v>
      </c>
      <c r="CT19" s="151" cm="1">
        <f t="array" aca="1" ref="CT19" ca="1">IFERROR(INDIRECT("Yr"&amp;IF($C$5=Year1,1,IF($C$5=Year2,2,IF($C$5=Year3,3,IF($C$5=Lookups!$D$40,"All"))))&amp;"!"&amp;CT$71&amp;$DE19)*100,0)</f>
        <v>-3.4349547391496613</v>
      </c>
      <c r="CU19" s="151" cm="1">
        <f t="array" aca="1" ref="CU19" ca="1">IFERROR(INDIRECT("Yr"&amp;IF($C$5=Year1,1,IF($C$5=Year2,2,IF($C$5=Year3,3,IF($C$5=Lookups!$D$40,"All"))))&amp;"!"&amp;CU$71&amp;$DE19)*100,0)</f>
        <v>-3.3674121107585782</v>
      </c>
      <c r="CV19" s="151" cm="1">
        <f t="array" aca="1" ref="CV19" ca="1">IFERROR(INDIRECT("Yr"&amp;IF($C$5=Year1,1,IF($C$5=Year2,2,IF($C$5=Year3,3,IF($C$5=Lookups!$D$40,"All"))))&amp;"!"&amp;CV$71&amp;$DE19)*100,0)</f>
        <v>-3.3000000000000003</v>
      </c>
      <c r="CW19" s="151" cm="1">
        <f t="array" aca="1" ref="CW19" ca="1">IFERROR(INDIRECT("Yr"&amp;IF($C$5=Year1,1,IF($C$5=Year2,2,IF($C$5=Year3,3,IF($C$5=Lookups!$D$40,"All"))))&amp;"!"&amp;CW$71&amp;$DE19)*100,0)</f>
        <v>-3.3000000000000003</v>
      </c>
      <c r="CX19" s="151" cm="1">
        <f t="array" aca="1" ref="CX19" ca="1">IFERROR(INDIRECT("Yr"&amp;IF($C$5=Year1,1,IF($C$5=Year2,2,IF($C$5=Year3,3,IF($C$5=Lookups!$D$40,"All"))))&amp;"!"&amp;CX$71&amp;$DE19)*100,0)</f>
        <v>-3.3000000000000003</v>
      </c>
      <c r="CY19" s="151" cm="1">
        <f t="array" aca="1" ref="CY19" ca="1">IFERROR(INDIRECT("Yr"&amp;IF($C$5=Year1,1,IF($C$5=Year2,2,IF($C$5=Year3,3,IF($C$5=Lookups!$D$40,"All"))))&amp;"!"&amp;CY$71&amp;$DE19)*100,0)</f>
        <v>-3.3000000000000003</v>
      </c>
      <c r="CZ19" s="151" cm="1">
        <f t="array" aca="1" ref="CZ19" ca="1">IFERROR(INDIRECT("Yr"&amp;IF($C$5=Year1,1,IF($C$5=Year2,2,IF($C$5=Year3,3,IF($C$5=Lookups!$D$40,"All"))))&amp;"!"&amp;CZ$71&amp;$DE19)*100,0)</f>
        <v>-3.3000000000000003</v>
      </c>
      <c r="DA19" s="151"/>
      <c r="DB19" s="151">
        <f ca="1">IF($C$5=Lookups!$D$40,-PMT(Lookups!$E$17,27,NPV(Lookups!$E$17,BZ19:CZ19),0,1),-PMT(Lookups!$E$17,25,NPV(Lookups!$E$17,BZ19:CX19),0,1))</f>
        <v>-3.4067753503757436</v>
      </c>
      <c r="DE19" s="516">
        <f t="shared" ref="DE19:DE21" si="2">DE18+DF19</f>
        <v>132</v>
      </c>
      <c r="DF19" s="529">
        <f>DF11</f>
        <v>1</v>
      </c>
      <c r="DI19" s="419"/>
    </row>
    <row r="20" spans="3:116" x14ac:dyDescent="0.25">
      <c r="BV20" s="343"/>
      <c r="BW20" s="345"/>
      <c r="BX20" s="126" t="s">
        <v>197</v>
      </c>
      <c r="BY20" s="126" t="s">
        <v>409</v>
      </c>
      <c r="BZ20" s="151" cm="1">
        <f t="array" aca="1" ref="BZ20" ca="1">IFERROR(INDIRECT("Yr"&amp;IF($C$5=Year1,1,IF($C$5=Year2,2,IF($C$5=Year3,3,IF($C$5=Lookups!$D$40,"All"))))&amp;"!"&amp;BZ$71&amp;$DE20)*100,0)</f>
        <v>61.981656458813958</v>
      </c>
      <c r="CA20" s="151" cm="1">
        <f t="array" aca="1" ref="CA20" ca="1">IFERROR(INDIRECT("Yr"&amp;IF($C$5=Year1,1,IF($C$5=Year2,2,IF($C$5=Year3,3,IF($C$5=Lookups!$D$40,"All"))))&amp;"!"&amp;CA$71&amp;$DE20)*100,0)</f>
        <v>61.92988531962159</v>
      </c>
      <c r="CB20" s="151" cm="1">
        <f t="array" aca="1" ref="CB20" ca="1">IFERROR(INDIRECT("Yr"&amp;IF($C$5=Year1,1,IF($C$5=Year2,2,IF($C$5=Year3,3,IF($C$5=Lookups!$D$40,"All"))))&amp;"!"&amp;CB$71&amp;$DE20)*100,0)</f>
        <v>61.873992178819101</v>
      </c>
      <c r="CC20" s="151" cm="1">
        <f t="array" aca="1" ref="CC20" ca="1">IFERROR(INDIRECT("Yr"&amp;IF($C$5=Year1,1,IF($C$5=Year2,2,IF($C$5=Year3,3,IF($C$5=Lookups!$D$40,"All"))))&amp;"!"&amp;CC$71&amp;$DE20)*100,0)</f>
        <v>61.873992178819101</v>
      </c>
      <c r="CD20" s="151" cm="1">
        <f t="array" aca="1" ref="CD20" ca="1">IFERROR(INDIRECT("Yr"&amp;IF($C$5=Year1,1,IF($C$5=Year2,2,IF($C$5=Year3,3,IF($C$5=Lookups!$D$40,"All"))))&amp;"!"&amp;CD$71&amp;$DE20)*100,0)</f>
        <v>61.873992178819101</v>
      </c>
      <c r="CE20" s="151" cm="1">
        <f t="array" aca="1" ref="CE20" ca="1">IFERROR(INDIRECT("Yr"&amp;IF($C$5=Year1,1,IF($C$5=Year2,2,IF($C$5=Year3,3,IF($C$5=Lookups!$D$40,"All"))))&amp;"!"&amp;CE$71&amp;$DE20)*100,0)</f>
        <v>61.873992178819101</v>
      </c>
      <c r="CF20" s="151" cm="1">
        <f t="array" aca="1" ref="CF20" ca="1">IFERROR(INDIRECT("Yr"&amp;IF($C$5=Year1,1,IF($C$5=Year2,2,IF($C$5=Year3,3,IF($C$5=Lookups!$D$40,"All"))))&amp;"!"&amp;CF$71&amp;$DE20)*100,0)</f>
        <v>61.873992178819101</v>
      </c>
      <c r="CG20" s="151" cm="1">
        <f t="array" aca="1" ref="CG20" ca="1">IFERROR(INDIRECT("Yr"&amp;IF($C$5=Year1,1,IF($C$5=Year2,2,IF($C$5=Year3,3,IF($C$5=Lookups!$D$40,"All"))))&amp;"!"&amp;CG$71&amp;$DE20)*100,0)</f>
        <v>61.873992178819101</v>
      </c>
      <c r="CH20" s="151" cm="1">
        <f t="array" aca="1" ref="CH20" ca="1">IFERROR(INDIRECT("Yr"&amp;IF($C$5=Year1,1,IF($C$5=Year2,2,IF($C$5=Year3,3,IF($C$5=Lookups!$D$40,"All"))))&amp;"!"&amp;CH$71&amp;$DE20)*100,0)</f>
        <v>61.873992178819101</v>
      </c>
      <c r="CI20" s="151" cm="1">
        <f t="array" aca="1" ref="CI20" ca="1">IFERROR(INDIRECT("Yr"&amp;IF($C$5=Year1,1,IF($C$5=Year2,2,IF($C$5=Year3,3,IF($C$5=Lookups!$D$40,"All"))))&amp;"!"&amp;CI$71&amp;$DE20)*100,0)</f>
        <v>61.873992178819101</v>
      </c>
      <c r="CJ20" s="151" cm="1">
        <f t="array" aca="1" ref="CJ20" ca="1">IFERROR(INDIRECT("Yr"&amp;IF($C$5=Year1,1,IF($C$5=Year2,2,IF($C$5=Year3,3,IF($C$5=Lookups!$D$40,"All"))))&amp;"!"&amp;CJ$71&amp;$DE20)*100,0)</f>
        <v>61.873992178819101</v>
      </c>
      <c r="CK20" s="151" cm="1">
        <f t="array" aca="1" ref="CK20" ca="1">IFERROR(INDIRECT("Yr"&amp;IF($C$5=Year1,1,IF($C$5=Year2,2,IF($C$5=Year3,3,IF($C$5=Lookups!$D$40,"All"))))&amp;"!"&amp;CK$71&amp;$DE20)*100,0)</f>
        <v>61.873992178819101</v>
      </c>
      <c r="CL20" s="151" cm="1">
        <f t="array" aca="1" ref="CL20" ca="1">IFERROR(INDIRECT("Yr"&amp;IF($C$5=Year1,1,IF($C$5=Year2,2,IF($C$5=Year3,3,IF($C$5=Lookups!$D$40,"All"))))&amp;"!"&amp;CL$71&amp;$DE20)*100,0)</f>
        <v>61.873992178819101</v>
      </c>
      <c r="CM20" s="151" cm="1">
        <f t="array" aca="1" ref="CM20" ca="1">IFERROR(INDIRECT("Yr"&amp;IF($C$5=Year1,1,IF($C$5=Year2,2,IF($C$5=Year3,3,IF($C$5=Lookups!$D$40,"All"))))&amp;"!"&amp;CM$71&amp;$DE20)*100,0)</f>
        <v>61.873992178819101</v>
      </c>
      <c r="CN20" s="151" cm="1">
        <f t="array" aca="1" ref="CN20" ca="1">IFERROR(INDIRECT("Yr"&amp;IF($C$5=Year1,1,IF($C$5=Year2,2,IF($C$5=Year3,3,IF($C$5=Lookups!$D$40,"All"))))&amp;"!"&amp;CN$71&amp;$DE20)*100,0)</f>
        <v>61.873992178819101</v>
      </c>
      <c r="CO20" s="151" cm="1">
        <f t="array" aca="1" ref="CO20" ca="1">IFERROR(INDIRECT("Yr"&amp;IF($C$5=Year1,1,IF($C$5=Year2,2,IF($C$5=Year3,3,IF($C$5=Lookups!$D$40,"All"))))&amp;"!"&amp;CO$71&amp;$DE20)*100,0)</f>
        <v>61.873992178819101</v>
      </c>
      <c r="CP20" s="151" cm="1">
        <f t="array" aca="1" ref="CP20" ca="1">IFERROR(INDIRECT("Yr"&amp;IF($C$5=Year1,1,IF($C$5=Year2,2,IF($C$5=Year3,3,IF($C$5=Lookups!$D$40,"All"))))&amp;"!"&amp;CP$71&amp;$DE20)*100,0)</f>
        <v>61.873992178819101</v>
      </c>
      <c r="CQ20" s="151" cm="1">
        <f t="array" aca="1" ref="CQ20" ca="1">IFERROR(INDIRECT("Yr"&amp;IF($C$5=Year1,1,IF($C$5=Year2,2,IF($C$5=Year3,3,IF($C$5=Lookups!$D$40,"All"))))&amp;"!"&amp;CQ$71&amp;$DE20)*100,0)</f>
        <v>61.873992178819101</v>
      </c>
      <c r="CR20" s="151" cm="1">
        <f t="array" aca="1" ref="CR20" ca="1">IFERROR(INDIRECT("Yr"&amp;IF($C$5=Year1,1,IF($C$5=Year2,2,IF($C$5=Year3,3,IF($C$5=Lookups!$D$40,"All"))))&amp;"!"&amp;CR$71&amp;$DE20)*100,0)</f>
        <v>61.873992178819101</v>
      </c>
      <c r="CS20" s="151" cm="1">
        <f t="array" aca="1" ref="CS20" ca="1">IFERROR(INDIRECT("Yr"&amp;IF($C$5=Year1,1,IF($C$5=Year2,2,IF($C$5=Year3,3,IF($C$5=Lookups!$D$40,"All"))))&amp;"!"&amp;CS$71&amp;$DE20)*100,0)</f>
        <v>61.873992178819101</v>
      </c>
      <c r="CT20" s="151" cm="1">
        <f t="array" aca="1" ref="CT20" ca="1">IFERROR(INDIRECT("Yr"&amp;IF($C$5=Year1,1,IF($C$5=Year2,2,IF($C$5=Year3,3,IF($C$5=Lookups!$D$40,"All"))))&amp;"!"&amp;CT$71&amp;$DE20)*100,0)</f>
        <v>61.926407710968469</v>
      </c>
      <c r="CU20" s="151" cm="1">
        <f t="array" aca="1" ref="CU20" ca="1">IFERROR(INDIRECT("Yr"&amp;IF($C$5=Year1,1,IF($C$5=Year2,2,IF($C$5=Year3,3,IF($C$5=Lookups!$D$40,"All"))))&amp;"!"&amp;CU$71&amp;$DE20)*100,0)</f>
        <v>61.978317237928323</v>
      </c>
      <c r="CV20" s="151" cm="1">
        <f t="array" aca="1" ref="CV20" ca="1">IFERROR(INDIRECT("Yr"&amp;IF($C$5=Year1,1,IF($C$5=Year2,2,IF($C$5=Year3,3,IF($C$5=Lookups!$D$40,"All"))))&amp;"!"&amp;CV$71&amp;$DE20)*100,0)</f>
        <v>62.029999999999994</v>
      </c>
      <c r="CW20" s="151" cm="1">
        <f t="array" aca="1" ref="CW20" ca="1">IFERROR(INDIRECT("Yr"&amp;IF($C$5=Year1,1,IF($C$5=Year2,2,IF($C$5=Year3,3,IF($C$5=Lookups!$D$40,"All"))))&amp;"!"&amp;CW$71&amp;$DE20)*100,0)</f>
        <v>62.029999999999994</v>
      </c>
      <c r="CX20" s="151" cm="1">
        <f t="array" aca="1" ref="CX20" ca="1">IFERROR(INDIRECT("Yr"&amp;IF($C$5=Year1,1,IF($C$5=Year2,2,IF($C$5=Year3,3,IF($C$5=Lookups!$D$40,"All"))))&amp;"!"&amp;CX$71&amp;$DE20)*100,0)</f>
        <v>62.029999999999994</v>
      </c>
      <c r="CY20" s="151" cm="1">
        <f t="array" aca="1" ref="CY20" ca="1">IFERROR(INDIRECT("Yr"&amp;IF($C$5=Year1,1,IF($C$5=Year2,2,IF($C$5=Year3,3,IF($C$5=Lookups!$D$40,"All"))))&amp;"!"&amp;CY$71&amp;$DE20)*100,0)</f>
        <v>62.029999999999994</v>
      </c>
      <c r="CZ20" s="151" cm="1">
        <f t="array" aca="1" ref="CZ20" ca="1">IFERROR(INDIRECT("Yr"&amp;IF($C$5=Year1,1,IF($C$5=Year2,2,IF($C$5=Year3,3,IF($C$5=Lookups!$D$40,"All"))))&amp;"!"&amp;CZ$71&amp;$DE20)*100,0)</f>
        <v>62.029999999999994</v>
      </c>
      <c r="DA20" s="151"/>
      <c r="DB20" s="151">
        <f ca="1">IF($C$5=Lookups!$D$40,-PMT(Lookups!$E$17,27,NPV(Lookups!$E$17,BZ20:CZ20),0,1),-PMT(Lookups!$E$17,25,NPV(Lookups!$E$17,BZ20:CX20),0,1))</f>
        <v>61.047523469835568</v>
      </c>
      <c r="DE20" s="516">
        <f t="shared" si="2"/>
        <v>133</v>
      </c>
      <c r="DF20" s="526">
        <v>1</v>
      </c>
      <c r="DI20" s="419"/>
    </row>
    <row r="21" spans="3:116" x14ac:dyDescent="0.25">
      <c r="BV21" s="343"/>
      <c r="BW21" s="345"/>
      <c r="BX21" s="126" t="s">
        <v>405</v>
      </c>
      <c r="BY21" s="126" t="s">
        <v>409</v>
      </c>
      <c r="BZ21" s="151" cm="1">
        <f t="array" aca="1" ref="BZ21" ca="1">IFERROR(INDIRECT("Yr"&amp;IF($C$5=Year1,1,IF($C$5=Year2,2,IF($C$5=Year3,3,IF($C$5=Lookups!$D$40,"All"))))&amp;"!"&amp;BZ$71&amp;$DE21)*100,0)</f>
        <v>6.468639699185835</v>
      </c>
      <c r="CA21" s="151" cm="1">
        <f t="array" aca="1" ref="CA21" ca="1">IFERROR(INDIRECT("Yr"&amp;IF($C$5=Year1,1,IF($C$5=Year2,2,IF($C$5=Year3,3,IF($C$5=Lookups!$D$40,"All"))))&amp;"!"&amp;CA$71&amp;$DE21)*100,0)</f>
        <v>6.6654138295917704</v>
      </c>
      <c r="CB21" s="151" cm="1">
        <f t="array" aca="1" ref="CB21" ca="1">IFERROR(INDIRECT("Yr"&amp;IF($C$5=Year1,1,IF($C$5=Year2,2,IF($C$5=Year3,3,IF($C$5=Lookups!$D$40,"All"))))&amp;"!"&amp;CB$71&amp;$DE21)*100,0)</f>
        <v>6.8785811560470815</v>
      </c>
      <c r="CC21" s="151" cm="1">
        <f t="array" aca="1" ref="CC21" ca="1">IFERROR(INDIRECT("Yr"&amp;IF($C$5=Year1,1,IF($C$5=Year2,2,IF($C$5=Year3,3,IF($C$5=Lookups!$D$40,"All"))))&amp;"!"&amp;CC$71&amp;$DE21)*100,0)</f>
        <v>0</v>
      </c>
      <c r="CD21" s="151" cm="1">
        <f t="array" aca="1" ref="CD21" ca="1">IFERROR(INDIRECT("Yr"&amp;IF($C$5=Year1,1,IF($C$5=Year2,2,IF($C$5=Year3,3,IF($C$5=Lookups!$D$40,"All"))))&amp;"!"&amp;CD$71&amp;$DE21)*100,0)</f>
        <v>0</v>
      </c>
      <c r="CE21" s="151" cm="1">
        <f t="array" aca="1" ref="CE21" ca="1">IFERROR(INDIRECT("Yr"&amp;IF($C$5=Year1,1,IF($C$5=Year2,2,IF($C$5=Year3,3,IF($C$5=Lookups!$D$40,"All"))))&amp;"!"&amp;CE$71&amp;$DE21)*100,0)</f>
        <v>0</v>
      </c>
      <c r="CF21" s="151" cm="1">
        <f t="array" aca="1" ref="CF21" ca="1">IFERROR(INDIRECT("Yr"&amp;IF($C$5=Year1,1,IF($C$5=Year2,2,IF($C$5=Year3,3,IF($C$5=Lookups!$D$40,"All"))))&amp;"!"&amp;CF$71&amp;$DE21)*100,0)</f>
        <v>0</v>
      </c>
      <c r="CG21" s="151" cm="1">
        <f t="array" aca="1" ref="CG21" ca="1">IFERROR(INDIRECT("Yr"&amp;IF($C$5=Year1,1,IF($C$5=Year2,2,IF($C$5=Year3,3,IF($C$5=Lookups!$D$40,"All"))))&amp;"!"&amp;CG$71&amp;$DE21)*100,0)</f>
        <v>0</v>
      </c>
      <c r="CH21" s="151" cm="1">
        <f t="array" aca="1" ref="CH21" ca="1">IFERROR(INDIRECT("Yr"&amp;IF($C$5=Year1,1,IF($C$5=Year2,2,IF($C$5=Year3,3,IF($C$5=Lookups!$D$40,"All"))))&amp;"!"&amp;CH$71&amp;$DE21)*100,0)</f>
        <v>0</v>
      </c>
      <c r="CI21" s="151" cm="1">
        <f t="array" aca="1" ref="CI21" ca="1">IFERROR(INDIRECT("Yr"&amp;IF($C$5=Year1,1,IF($C$5=Year2,2,IF($C$5=Year3,3,IF($C$5=Lookups!$D$40,"All"))))&amp;"!"&amp;CI$71&amp;$DE21)*100,0)</f>
        <v>0</v>
      </c>
      <c r="CJ21" s="151" cm="1">
        <f t="array" aca="1" ref="CJ21" ca="1">IFERROR(INDIRECT("Yr"&amp;IF($C$5=Year1,1,IF($C$5=Year2,2,IF($C$5=Year3,3,IF($C$5=Lookups!$D$40,"All"))))&amp;"!"&amp;CJ$71&amp;$DE21)*100,0)</f>
        <v>0</v>
      </c>
      <c r="CK21" s="151" cm="1">
        <f t="array" aca="1" ref="CK21" ca="1">IFERROR(INDIRECT("Yr"&amp;IF($C$5=Year1,1,IF($C$5=Year2,2,IF($C$5=Year3,3,IF($C$5=Lookups!$D$40,"All"))))&amp;"!"&amp;CK$71&amp;$DE21)*100,0)</f>
        <v>0</v>
      </c>
      <c r="CL21" s="151" cm="1">
        <f t="array" aca="1" ref="CL21" ca="1">IFERROR(INDIRECT("Yr"&amp;IF($C$5=Year1,1,IF($C$5=Year2,2,IF($C$5=Year3,3,IF($C$5=Lookups!$D$40,"All"))))&amp;"!"&amp;CL$71&amp;$DE21)*100,0)</f>
        <v>0</v>
      </c>
      <c r="CM21" s="151" cm="1">
        <f t="array" aca="1" ref="CM21" ca="1">IFERROR(INDIRECT("Yr"&amp;IF($C$5=Year1,1,IF($C$5=Year2,2,IF($C$5=Year3,3,IF($C$5=Lookups!$D$40,"All"))))&amp;"!"&amp;CM$71&amp;$DE21)*100,0)</f>
        <v>0</v>
      </c>
      <c r="CN21" s="151" cm="1">
        <f t="array" aca="1" ref="CN21" ca="1">IFERROR(INDIRECT("Yr"&amp;IF($C$5=Year1,1,IF($C$5=Year2,2,IF($C$5=Year3,3,IF($C$5=Lookups!$D$40,"All"))))&amp;"!"&amp;CN$71&amp;$DE21)*100,0)</f>
        <v>0</v>
      </c>
      <c r="CO21" s="151" cm="1">
        <f t="array" aca="1" ref="CO21" ca="1">IFERROR(INDIRECT("Yr"&amp;IF($C$5=Year1,1,IF($C$5=Year2,2,IF($C$5=Year3,3,IF($C$5=Lookups!$D$40,"All"))))&amp;"!"&amp;CO$71&amp;$DE21)*100,0)</f>
        <v>0</v>
      </c>
      <c r="CP21" s="151" cm="1">
        <f t="array" aca="1" ref="CP21" ca="1">IFERROR(INDIRECT("Yr"&amp;IF($C$5=Year1,1,IF($C$5=Year2,2,IF($C$5=Year3,3,IF($C$5=Lookups!$D$40,"All"))))&amp;"!"&amp;CP$71&amp;$DE21)*100,0)</f>
        <v>0</v>
      </c>
      <c r="CQ21" s="151" cm="1">
        <f t="array" aca="1" ref="CQ21" ca="1">IFERROR(INDIRECT("Yr"&amp;IF($C$5=Year1,1,IF($C$5=Year2,2,IF($C$5=Year3,3,IF($C$5=Lookups!$D$40,"All"))))&amp;"!"&amp;CQ$71&amp;$DE21)*100,0)</f>
        <v>0</v>
      </c>
      <c r="CR21" s="151" cm="1">
        <f t="array" aca="1" ref="CR21" ca="1">IFERROR(INDIRECT("Yr"&amp;IF($C$5=Year1,1,IF($C$5=Year2,2,IF($C$5=Year3,3,IF($C$5=Lookups!$D$40,"All"))))&amp;"!"&amp;CR$71&amp;$DE21)*100,0)</f>
        <v>0</v>
      </c>
      <c r="CS21" s="151" cm="1">
        <f t="array" aca="1" ref="CS21" ca="1">IFERROR(INDIRECT("Yr"&amp;IF($C$5=Year1,1,IF($C$5=Year2,2,IF($C$5=Year3,3,IF($C$5=Lookups!$D$40,"All"))))&amp;"!"&amp;CS$71&amp;$DE21)*100,0)</f>
        <v>0</v>
      </c>
      <c r="CT21" s="151" cm="1">
        <f t="array" aca="1" ref="CT21" ca="1">IFERROR(INDIRECT("Yr"&amp;IF($C$5=Year1,1,IF($C$5=Year2,2,IF($C$5=Year3,3,IF($C$5=Lookups!$D$40,"All"))))&amp;"!"&amp;CT$71&amp;$DE21)*100,0)</f>
        <v>0</v>
      </c>
      <c r="CU21" s="151" cm="1">
        <f t="array" aca="1" ref="CU21" ca="1">IFERROR(INDIRECT("Yr"&amp;IF($C$5=Year1,1,IF($C$5=Year2,2,IF($C$5=Year3,3,IF($C$5=Lookups!$D$40,"All"))))&amp;"!"&amp;CU$71&amp;$DE21)*100,0)</f>
        <v>0</v>
      </c>
      <c r="CV21" s="151" cm="1">
        <f t="array" aca="1" ref="CV21" ca="1">IFERROR(INDIRECT("Yr"&amp;IF($C$5=Year1,1,IF($C$5=Year2,2,IF($C$5=Year3,3,IF($C$5=Lookups!$D$40,"All"))))&amp;"!"&amp;CV$71&amp;$DE21)*100,0)</f>
        <v>0</v>
      </c>
      <c r="CW21" s="151" cm="1">
        <f t="array" aca="1" ref="CW21" ca="1">IFERROR(INDIRECT("Yr"&amp;IF($C$5=Year1,1,IF($C$5=Year2,2,IF($C$5=Year3,3,IF($C$5=Lookups!$D$40,"All"))))&amp;"!"&amp;CW$71&amp;$DE21)*100,0)</f>
        <v>0</v>
      </c>
      <c r="CX21" s="151" cm="1">
        <f t="array" aca="1" ref="CX21" ca="1">IFERROR(INDIRECT("Yr"&amp;IF($C$5=Year1,1,IF($C$5=Year2,2,IF($C$5=Year3,3,IF($C$5=Lookups!$D$40,"All"))))&amp;"!"&amp;CX$71&amp;$DE21)*100,0)</f>
        <v>0</v>
      </c>
      <c r="CY21" s="151" cm="1">
        <f t="array" aca="1" ref="CY21" ca="1">IFERROR(INDIRECT("Yr"&amp;IF($C$5=Year1,1,IF($C$5=Year2,2,IF($C$5=Year3,3,IF($C$5=Lookups!$D$40,"All"))))&amp;"!"&amp;CY$71&amp;$DE21)*100,0)</f>
        <v>0</v>
      </c>
      <c r="CZ21" s="151" cm="1">
        <f t="array" aca="1" ref="CZ21" ca="1">IFERROR(INDIRECT("Yr"&amp;IF($C$5=Year1,1,IF($C$5=Year2,2,IF($C$5=Year3,3,IF($C$5=Lookups!$D$40,"All"))))&amp;"!"&amp;CZ$71&amp;$DE21)*100,0)</f>
        <v>0</v>
      </c>
      <c r="DA21" s="151"/>
      <c r="DB21" s="151">
        <f ca="1">IF($C$5=Lookups!$D$40,-PMT(Lookups!$E$17,27,NPV(Lookups!$E$17,BZ21:CZ21),0,1),-PMT(Lookups!$E$17,25,NPV(Lookups!$E$17,BZ21:CX21),0,1))</f>
        <v>0.85969511791399111</v>
      </c>
      <c r="DE21" s="516">
        <f t="shared" si="2"/>
        <v>134</v>
      </c>
      <c r="DF21" s="526">
        <v>1</v>
      </c>
      <c r="DI21" s="419"/>
    </row>
    <row r="22" spans="3:116" x14ac:dyDescent="0.25">
      <c r="BV22" s="343"/>
      <c r="BW22" s="159" t="s">
        <v>72</v>
      </c>
      <c r="BX22" s="126"/>
      <c r="BY22" s="126"/>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E22" s="527"/>
    </row>
    <row r="23" spans="3:116" ht="18.75" x14ac:dyDescent="0.3">
      <c r="C23" s="92" t="str">
        <f>"Total Rates: "&amp;Lookups!$D$24</f>
        <v>Total Rates: Alternative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K23" s="92" t="str">
        <f>"Change in Rates: "&amp;Lookups!$D$24&amp;" v "&amp;Lookups!$D$22</f>
        <v>Change in Rates: 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V23" s="343"/>
      <c r="BW23" s="345"/>
      <c r="BX23" s="155" t="s">
        <v>224</v>
      </c>
      <c r="BY23" s="126" t="s">
        <v>409</v>
      </c>
      <c r="BZ23" s="151" cm="1">
        <f t="array" aca="1" ref="BZ23" ca="1">IFERROR(INDIRECT("Yr"&amp;IF($C$5=Year1,1,IF($C$5=Year2,2,IF($C$5=Year3,3,IF($C$5=Lookups!$D$40,"All"))))&amp;"!"&amp;BZ$71&amp;$DE23)*100,0)</f>
        <v>-1.3245509390080976</v>
      </c>
      <c r="CA23" s="151" cm="1">
        <f t="array" aca="1" ref="CA23" ca="1">IFERROR(INDIRECT("Yr"&amp;IF($C$5=Year1,1,IF($C$5=Year2,2,IF($C$5=Year3,3,IF($C$5=Lookups!$D$40,"All"))))&amp;"!"&amp;CA$71&amp;$DE23)*100,0)</f>
        <v>-2.7436804801026802</v>
      </c>
      <c r="CB23" s="151" cm="1">
        <f t="array" aca="1" ref="CB23" ca="1">IFERROR(INDIRECT("Yr"&amp;IF($C$5=Year1,1,IF($C$5=Year2,2,IF($C$5=Year3,3,IF($C$5=Lookups!$D$40,"All"))))&amp;"!"&amp;CB$71&amp;$DE23)*100,0)</f>
        <v>-4.2786614341730509</v>
      </c>
      <c r="CC23" s="151" cm="1">
        <f t="array" aca="1" ref="CC23" ca="1">IFERROR(INDIRECT("Yr"&amp;IF($C$5=Year1,1,IF($C$5=Year2,2,IF($C$5=Year3,3,IF($C$5=Lookups!$D$40,"All"))))&amp;"!"&amp;CC$71&amp;$DE23)*100,0)</f>
        <v>-4.2786614341730509</v>
      </c>
      <c r="CD23" s="151" cm="1">
        <f t="array" aca="1" ref="CD23" ca="1">IFERROR(INDIRECT("Yr"&amp;IF($C$5=Year1,1,IF($C$5=Year2,2,IF($C$5=Year3,3,IF($C$5=Lookups!$D$40,"All"))))&amp;"!"&amp;CD$71&amp;$DE23)*100,0)</f>
        <v>-4.2786614341730509</v>
      </c>
      <c r="CE23" s="151" cm="1">
        <f t="array" aca="1" ref="CE23" ca="1">IFERROR(INDIRECT("Yr"&amp;IF($C$5=Year1,1,IF($C$5=Year2,2,IF($C$5=Year3,3,IF($C$5=Lookups!$D$40,"All"))))&amp;"!"&amp;CE$71&amp;$DE23)*100,0)</f>
        <v>-4.2786614341730509</v>
      </c>
      <c r="CF23" s="151" cm="1">
        <f t="array" aca="1" ref="CF23" ca="1">IFERROR(INDIRECT("Yr"&amp;IF($C$5=Year1,1,IF($C$5=Year2,2,IF($C$5=Year3,3,IF($C$5=Lookups!$D$40,"All"))))&amp;"!"&amp;CF$71&amp;$DE23)*100,0)</f>
        <v>-4.2786614341730509</v>
      </c>
      <c r="CG23" s="151" cm="1">
        <f t="array" aca="1" ref="CG23" ca="1">IFERROR(INDIRECT("Yr"&amp;IF($C$5=Year1,1,IF($C$5=Year2,2,IF($C$5=Year3,3,IF($C$5=Lookups!$D$40,"All"))))&amp;"!"&amp;CG$71&amp;$DE23)*100,0)</f>
        <v>-4.2786614341730509</v>
      </c>
      <c r="CH23" s="151" cm="1">
        <f t="array" aca="1" ref="CH23" ca="1">IFERROR(INDIRECT("Yr"&amp;IF($C$5=Year1,1,IF($C$5=Year2,2,IF($C$5=Year3,3,IF($C$5=Lookups!$D$40,"All"))))&amp;"!"&amp;CH$71&amp;$DE23)*100,0)</f>
        <v>-4.2786614341730509</v>
      </c>
      <c r="CI23" s="151" cm="1">
        <f t="array" aca="1" ref="CI23" ca="1">IFERROR(INDIRECT("Yr"&amp;IF($C$5=Year1,1,IF($C$5=Year2,2,IF($C$5=Year3,3,IF($C$5=Lookups!$D$40,"All"))))&amp;"!"&amp;CI$71&amp;$DE23)*100,0)</f>
        <v>-4.2786614341730509</v>
      </c>
      <c r="CJ23" s="151" cm="1">
        <f t="array" aca="1" ref="CJ23" ca="1">IFERROR(INDIRECT("Yr"&amp;IF($C$5=Year1,1,IF($C$5=Year2,2,IF($C$5=Year3,3,IF($C$5=Lookups!$D$40,"All"))))&amp;"!"&amp;CJ$71&amp;$DE23)*100,0)</f>
        <v>-4.2786614341730509</v>
      </c>
      <c r="CK23" s="151" cm="1">
        <f t="array" aca="1" ref="CK23" ca="1">IFERROR(INDIRECT("Yr"&amp;IF($C$5=Year1,1,IF($C$5=Year2,2,IF($C$5=Year3,3,IF($C$5=Lookups!$D$40,"All"))))&amp;"!"&amp;CK$71&amp;$DE23)*100,0)</f>
        <v>-4.2786614341730509</v>
      </c>
      <c r="CL23" s="151" cm="1">
        <f t="array" aca="1" ref="CL23" ca="1">IFERROR(INDIRECT("Yr"&amp;IF($C$5=Year1,1,IF($C$5=Year2,2,IF($C$5=Year3,3,IF($C$5=Lookups!$D$40,"All"))))&amp;"!"&amp;CL$71&amp;$DE23)*100,0)</f>
        <v>-4.2786614341730509</v>
      </c>
      <c r="CM23" s="151" cm="1">
        <f t="array" aca="1" ref="CM23" ca="1">IFERROR(INDIRECT("Yr"&amp;IF($C$5=Year1,1,IF($C$5=Year2,2,IF($C$5=Year3,3,IF($C$5=Lookups!$D$40,"All"))))&amp;"!"&amp;CM$71&amp;$DE23)*100,0)</f>
        <v>-4.2786614341730509</v>
      </c>
      <c r="CN23" s="151" cm="1">
        <f t="array" aca="1" ref="CN23" ca="1">IFERROR(INDIRECT("Yr"&amp;IF($C$5=Year1,1,IF($C$5=Year2,2,IF($C$5=Year3,3,IF($C$5=Lookups!$D$40,"All"))))&amp;"!"&amp;CN$71&amp;$DE23)*100,0)</f>
        <v>-4.2786614341730509</v>
      </c>
      <c r="CO23" s="151" cm="1">
        <f t="array" aca="1" ref="CO23" ca="1">IFERROR(INDIRECT("Yr"&amp;IF($C$5=Year1,1,IF($C$5=Year2,2,IF($C$5=Year3,3,IF($C$5=Lookups!$D$40,"All"))))&amp;"!"&amp;CO$71&amp;$DE23)*100,0)</f>
        <v>-4.2786614341730509</v>
      </c>
      <c r="CP23" s="151" cm="1">
        <f t="array" aca="1" ref="CP23" ca="1">IFERROR(INDIRECT("Yr"&amp;IF($C$5=Year1,1,IF($C$5=Year2,2,IF($C$5=Year3,3,IF($C$5=Lookups!$D$40,"All"))))&amp;"!"&amp;CP$71&amp;$DE23)*100,0)</f>
        <v>-4.2786614341730509</v>
      </c>
      <c r="CQ23" s="151" cm="1">
        <f t="array" aca="1" ref="CQ23" ca="1">IFERROR(INDIRECT("Yr"&amp;IF($C$5=Year1,1,IF($C$5=Year2,2,IF($C$5=Year3,3,IF($C$5=Lookups!$D$40,"All"))))&amp;"!"&amp;CQ$71&amp;$DE23)*100,0)</f>
        <v>-4.2786614341730509</v>
      </c>
      <c r="CR23" s="151" cm="1">
        <f t="array" aca="1" ref="CR23" ca="1">IFERROR(INDIRECT("Yr"&amp;IF($C$5=Year1,1,IF($C$5=Year2,2,IF($C$5=Year3,3,IF($C$5=Lookups!$D$40,"All"))))&amp;"!"&amp;CR$71&amp;$DE23)*100,0)</f>
        <v>-4.2786614341730509</v>
      </c>
      <c r="CS23" s="151" cm="1">
        <f t="array" aca="1" ref="CS23" ca="1">IFERROR(INDIRECT("Yr"&amp;IF($C$5=Year1,1,IF($C$5=Year2,2,IF($C$5=Year3,3,IF($C$5=Lookups!$D$40,"All"))))&amp;"!"&amp;CS$71&amp;$DE23)*100,0)</f>
        <v>-4.2786614341730509</v>
      </c>
      <c r="CT23" s="151" cm="1">
        <f t="array" aca="1" ref="CT23" ca="1">IFERROR(INDIRECT("Yr"&amp;IF($C$5=Year1,1,IF($C$5=Year2,2,IF($C$5=Year3,3,IF($C$5=Lookups!$D$40,"All"))))&amp;"!"&amp;CT$71&amp;$DE23)*100,0)</f>
        <v>-2.8424605234492741</v>
      </c>
      <c r="CU23" s="151" cm="1">
        <f t="array" aca="1" ref="CU23" ca="1">IFERROR(INDIRECT("Yr"&amp;IF($C$5=Year1,1,IF($C$5=Year2,2,IF($C$5=Year3,3,IF($C$5=Lookups!$D$40,"All"))))&amp;"!"&amp;CU$71&amp;$DE23)*100,0)</f>
        <v>-1.4194696506203202</v>
      </c>
      <c r="CV23" s="151" cm="1">
        <f t="array" aca="1" ref="CV23" ca="1">IFERROR(INDIRECT("Yr"&amp;IF($C$5=Year1,1,IF($C$5=Year2,2,IF($C$5=Year3,3,IF($C$5=Lookups!$D$40,"All"))))&amp;"!"&amp;CV$71&amp;$DE23)*100,0)</f>
        <v>0</v>
      </c>
      <c r="CW23" s="151" cm="1">
        <f t="array" aca="1" ref="CW23" ca="1">IFERROR(INDIRECT("Yr"&amp;IF($C$5=Year1,1,IF($C$5=Year2,2,IF($C$5=Year3,3,IF($C$5=Lookups!$D$40,"All"))))&amp;"!"&amp;CW$71&amp;$DE23)*100,0)</f>
        <v>0</v>
      </c>
      <c r="CX23" s="151" cm="1">
        <f t="array" aca="1" ref="CX23" ca="1">IFERROR(INDIRECT("Yr"&amp;IF($C$5=Year1,1,IF($C$5=Year2,2,IF($C$5=Year3,3,IF($C$5=Lookups!$D$40,"All"))))&amp;"!"&amp;CX$71&amp;$DE23)*100,0)</f>
        <v>0</v>
      </c>
      <c r="CY23" s="151" cm="1">
        <f t="array" aca="1" ref="CY23" ca="1">IFERROR(INDIRECT("Yr"&amp;IF($C$5=Year1,1,IF($C$5=Year2,2,IF($C$5=Year3,3,IF($C$5=Lookups!$D$40,"All"))))&amp;"!"&amp;CY$71&amp;$DE23)*100,0)</f>
        <v>0</v>
      </c>
      <c r="CZ23" s="151" cm="1">
        <f t="array" aca="1" ref="CZ23" ca="1">IFERROR(INDIRECT("Yr"&amp;IF($C$5=Year1,1,IF($C$5=Year2,2,IF($C$5=Year3,3,IF($C$5=Lookups!$D$40,"All"))))&amp;"!"&amp;CZ$71&amp;$DE23)*100,0)</f>
        <v>0</v>
      </c>
      <c r="DA23" s="151"/>
      <c r="DB23" s="151"/>
      <c r="DE23" s="515">
        <f>ROW('Yr1'!E44)+($DG$9*IF($C$4=Lookups!$D$26,0,IF($C$4=Lookups!$D$27,1,IF($C$4=Lookups!$D$28,2,IF($C$4=Lookups!$D$29,3)))))</f>
        <v>123</v>
      </c>
      <c r="DK23" s="421"/>
      <c r="DL23" s="421"/>
    </row>
    <row r="24" spans="3:116" x14ac:dyDescent="0.25">
      <c r="BV24" s="343"/>
      <c r="BW24" s="345"/>
      <c r="BX24" s="155" t="s">
        <v>412</v>
      </c>
      <c r="BY24" s="126" t="s">
        <v>409</v>
      </c>
      <c r="BZ24" s="151" cm="1">
        <f t="array" aca="1" ref="BZ24" ca="1">IFERROR(INDIRECT("Yr"&amp;IF($C$5=Year1,1,IF($C$5=Year2,2,IF($C$5=Year3,3,IF($C$5=Lookups!$D$40,"All"))))&amp;"!"&amp;BZ$71&amp;$DE24)*100,0)</f>
        <v>-9.0310291296006651E-2</v>
      </c>
      <c r="CA24" s="151" cm="1">
        <f t="array" aca="1" ref="CA24" ca="1">IFERROR(INDIRECT("Yr"&amp;IF($C$5=Year1,1,IF($C$5=Year2,2,IF($C$5=Year3,3,IF($C$5=Lookups!$D$40,"All"))))&amp;"!"&amp;CA$71&amp;$DE24)*100,0)</f>
        <v>-0.18706912364336456</v>
      </c>
      <c r="CB24" s="151" cm="1">
        <f t="array" aca="1" ref="CB24" ca="1">IFERROR(INDIRECT("Yr"&amp;IF($C$5=Year1,1,IF($C$5=Year2,2,IF($C$5=Year3,3,IF($C$5=Lookups!$D$40,"All"))))&amp;"!"&amp;CB$71&amp;$DE24)*100,0)</f>
        <v>-0.29172691596634442</v>
      </c>
      <c r="CC24" s="151" cm="1">
        <f t="array" aca="1" ref="CC24" ca="1">IFERROR(INDIRECT("Yr"&amp;IF($C$5=Year1,1,IF($C$5=Year2,2,IF($C$5=Year3,3,IF($C$5=Lookups!$D$40,"All"))))&amp;"!"&amp;CC$71&amp;$DE24)*100,0)</f>
        <v>-0.29172691596634442</v>
      </c>
      <c r="CD24" s="151" cm="1">
        <f t="array" aca="1" ref="CD24" ca="1">IFERROR(INDIRECT("Yr"&amp;IF($C$5=Year1,1,IF($C$5=Year2,2,IF($C$5=Year3,3,IF($C$5=Lookups!$D$40,"All"))))&amp;"!"&amp;CD$71&amp;$DE24)*100,0)</f>
        <v>-0.29172691596634442</v>
      </c>
      <c r="CE24" s="151" cm="1">
        <f t="array" aca="1" ref="CE24" ca="1">IFERROR(INDIRECT("Yr"&amp;IF($C$5=Year1,1,IF($C$5=Year2,2,IF($C$5=Year3,3,IF($C$5=Lookups!$D$40,"All"))))&amp;"!"&amp;CE$71&amp;$DE24)*100,0)</f>
        <v>-0.29172691596634442</v>
      </c>
      <c r="CF24" s="151" cm="1">
        <f t="array" aca="1" ref="CF24" ca="1">IFERROR(INDIRECT("Yr"&amp;IF($C$5=Year1,1,IF($C$5=Year2,2,IF($C$5=Year3,3,IF($C$5=Lookups!$D$40,"All"))))&amp;"!"&amp;CF$71&amp;$DE24)*100,0)</f>
        <v>-0.29172691596634442</v>
      </c>
      <c r="CG24" s="151" cm="1">
        <f t="array" aca="1" ref="CG24" ca="1">IFERROR(INDIRECT("Yr"&amp;IF($C$5=Year1,1,IF($C$5=Year2,2,IF($C$5=Year3,3,IF($C$5=Lookups!$D$40,"All"))))&amp;"!"&amp;CG$71&amp;$DE24)*100,0)</f>
        <v>-0.29172691596634442</v>
      </c>
      <c r="CH24" s="151" cm="1">
        <f t="array" aca="1" ref="CH24" ca="1">IFERROR(INDIRECT("Yr"&amp;IF($C$5=Year1,1,IF($C$5=Year2,2,IF($C$5=Year3,3,IF($C$5=Lookups!$D$40,"All"))))&amp;"!"&amp;CH$71&amp;$DE24)*100,0)</f>
        <v>-0.29172691596634442</v>
      </c>
      <c r="CI24" s="151" cm="1">
        <f t="array" aca="1" ref="CI24" ca="1">IFERROR(INDIRECT("Yr"&amp;IF($C$5=Year1,1,IF($C$5=Year2,2,IF($C$5=Year3,3,IF($C$5=Lookups!$D$40,"All"))))&amp;"!"&amp;CI$71&amp;$DE24)*100,0)</f>
        <v>-0.29172691596634442</v>
      </c>
      <c r="CJ24" s="151" cm="1">
        <f t="array" aca="1" ref="CJ24" ca="1">IFERROR(INDIRECT("Yr"&amp;IF($C$5=Year1,1,IF($C$5=Year2,2,IF($C$5=Year3,3,IF($C$5=Lookups!$D$40,"All"))))&amp;"!"&amp;CJ$71&amp;$DE24)*100,0)</f>
        <v>-0.29172691596634442</v>
      </c>
      <c r="CK24" s="151" cm="1">
        <f t="array" aca="1" ref="CK24" ca="1">IFERROR(INDIRECT("Yr"&amp;IF($C$5=Year1,1,IF($C$5=Year2,2,IF($C$5=Year3,3,IF($C$5=Lookups!$D$40,"All"))))&amp;"!"&amp;CK$71&amp;$DE24)*100,0)</f>
        <v>-0.29172691596634442</v>
      </c>
      <c r="CL24" s="151" cm="1">
        <f t="array" aca="1" ref="CL24" ca="1">IFERROR(INDIRECT("Yr"&amp;IF($C$5=Year1,1,IF($C$5=Year2,2,IF($C$5=Year3,3,IF($C$5=Lookups!$D$40,"All"))))&amp;"!"&amp;CL$71&amp;$DE24)*100,0)</f>
        <v>-0.29172691596634442</v>
      </c>
      <c r="CM24" s="151" cm="1">
        <f t="array" aca="1" ref="CM24" ca="1">IFERROR(INDIRECT("Yr"&amp;IF($C$5=Year1,1,IF($C$5=Year2,2,IF($C$5=Year3,3,IF($C$5=Lookups!$D$40,"All"))))&amp;"!"&amp;CM$71&amp;$DE24)*100,0)</f>
        <v>-0.29172691596634442</v>
      </c>
      <c r="CN24" s="151" cm="1">
        <f t="array" aca="1" ref="CN24" ca="1">IFERROR(INDIRECT("Yr"&amp;IF($C$5=Year1,1,IF($C$5=Year2,2,IF($C$5=Year3,3,IF($C$5=Lookups!$D$40,"All"))))&amp;"!"&amp;CN$71&amp;$DE24)*100,0)</f>
        <v>-0.29172691596634442</v>
      </c>
      <c r="CO24" s="151" cm="1">
        <f t="array" aca="1" ref="CO24" ca="1">IFERROR(INDIRECT("Yr"&amp;IF($C$5=Year1,1,IF($C$5=Year2,2,IF($C$5=Year3,3,IF($C$5=Lookups!$D$40,"All"))))&amp;"!"&amp;CO$71&amp;$DE24)*100,0)</f>
        <v>-0.29172691596634442</v>
      </c>
      <c r="CP24" s="151" cm="1">
        <f t="array" aca="1" ref="CP24" ca="1">IFERROR(INDIRECT("Yr"&amp;IF($C$5=Year1,1,IF($C$5=Year2,2,IF($C$5=Year3,3,IF($C$5=Lookups!$D$40,"All"))))&amp;"!"&amp;CP$71&amp;$DE24)*100,0)</f>
        <v>-0.29172691596634442</v>
      </c>
      <c r="CQ24" s="151" cm="1">
        <f t="array" aca="1" ref="CQ24" ca="1">IFERROR(INDIRECT("Yr"&amp;IF($C$5=Year1,1,IF($C$5=Year2,2,IF($C$5=Year3,3,IF($C$5=Lookups!$D$40,"All"))))&amp;"!"&amp;CQ$71&amp;$DE24)*100,0)</f>
        <v>-0.29172691596634442</v>
      </c>
      <c r="CR24" s="151" cm="1">
        <f t="array" aca="1" ref="CR24" ca="1">IFERROR(INDIRECT("Yr"&amp;IF($C$5=Year1,1,IF($C$5=Year2,2,IF($C$5=Year3,3,IF($C$5=Lookups!$D$40,"All"))))&amp;"!"&amp;CR$71&amp;$DE24)*100,0)</f>
        <v>-0.29172691596634442</v>
      </c>
      <c r="CS24" s="151" cm="1">
        <f t="array" aca="1" ref="CS24" ca="1">IFERROR(INDIRECT("Yr"&amp;IF($C$5=Year1,1,IF($C$5=Year2,2,IF($C$5=Year3,3,IF($C$5=Lookups!$D$40,"All"))))&amp;"!"&amp;CS$71&amp;$DE24)*100,0)</f>
        <v>-0.29172691596634442</v>
      </c>
      <c r="CT24" s="151" cm="1">
        <f t="array" aca="1" ref="CT24" ca="1">IFERROR(INDIRECT("Yr"&amp;IF($C$5=Year1,1,IF($C$5=Year2,2,IF($C$5=Year3,3,IF($C$5=Lookups!$D$40,"All"))))&amp;"!"&amp;CT$71&amp;$DE24)*100,0)</f>
        <v>-0.19380412659881421</v>
      </c>
      <c r="CU24" s="151" cm="1">
        <f t="array" aca="1" ref="CU24" ca="1">IFERROR(INDIRECT("Yr"&amp;IF($C$5=Year1,1,IF($C$5=Year2,2,IF($C$5=Year3,3,IF($C$5=Lookups!$D$40,"All"))))&amp;"!"&amp;CU$71&amp;$DE24)*100,0)</f>
        <v>-9.6782021633203666E-2</v>
      </c>
      <c r="CV24" s="151" cm="1">
        <f t="array" aca="1" ref="CV24" ca="1">IFERROR(INDIRECT("Yr"&amp;IF($C$5=Year1,1,IF($C$5=Year2,2,IF($C$5=Year3,3,IF($C$5=Lookups!$D$40,"All"))))&amp;"!"&amp;CV$71&amp;$DE24)*100,0)</f>
        <v>0</v>
      </c>
      <c r="CW24" s="151" cm="1">
        <f t="array" aca="1" ref="CW24" ca="1">IFERROR(INDIRECT("Yr"&amp;IF($C$5=Year1,1,IF($C$5=Year2,2,IF($C$5=Year3,3,IF($C$5=Lookups!$D$40,"All"))))&amp;"!"&amp;CW$71&amp;$DE24)*100,0)</f>
        <v>0</v>
      </c>
      <c r="CX24" s="151" cm="1">
        <f t="array" aca="1" ref="CX24" ca="1">IFERROR(INDIRECT("Yr"&amp;IF($C$5=Year1,1,IF($C$5=Year2,2,IF($C$5=Year3,3,IF($C$5=Lookups!$D$40,"All"))))&amp;"!"&amp;CX$71&amp;$DE24)*100,0)</f>
        <v>0</v>
      </c>
      <c r="CY24" s="151" cm="1">
        <f t="array" aca="1" ref="CY24" ca="1">IFERROR(INDIRECT("Yr"&amp;IF($C$5=Year1,1,IF($C$5=Year2,2,IF($C$5=Year3,3,IF($C$5=Lookups!$D$40,"All"))))&amp;"!"&amp;CY$71&amp;$DE24)*100,0)</f>
        <v>0</v>
      </c>
      <c r="CZ24" s="151" cm="1">
        <f t="array" aca="1" ref="CZ24" ca="1">IFERROR(INDIRECT("Yr"&amp;IF($C$5=Year1,1,IF($C$5=Year2,2,IF($C$5=Year3,3,IF($C$5=Lookups!$D$40,"All"))))&amp;"!"&amp;CZ$71&amp;$DE24)*100,0)</f>
        <v>0</v>
      </c>
      <c r="DA24" s="151"/>
      <c r="DB24" s="151"/>
      <c r="DE24" s="516">
        <f>DE23+DF24</f>
        <v>124</v>
      </c>
      <c r="DF24" s="526">
        <v>1</v>
      </c>
      <c r="DK24" s="421"/>
      <c r="DL24" s="421"/>
    </row>
    <row r="25" spans="3:116" x14ac:dyDescent="0.25">
      <c r="BV25" s="343"/>
      <c r="BW25" s="345"/>
      <c r="BX25" s="155" t="s">
        <v>175</v>
      </c>
      <c r="BY25" s="126" t="s">
        <v>409</v>
      </c>
      <c r="BZ25" s="151" cm="1">
        <f t="array" aca="1" ref="BZ25" ca="1">IFERROR(INDIRECT("Yr"&amp;IF($C$5=Year1,1,IF($C$5=Year2,2,IF($C$5=Year3,3,IF($C$5=Lookups!$D$40,"All"))))&amp;"!"&amp;BZ$71&amp;$DE25)*100,0)</f>
        <v>-4.8343541186033422E-2</v>
      </c>
      <c r="CA25" s="151" cm="1">
        <f t="array" aca="1" ref="CA25" ca="1">IFERROR(INDIRECT("Yr"&amp;IF($C$5=Year1,1,IF($C$5=Year2,2,IF($C$5=Year3,3,IF($C$5=Lookups!$D$40,"All"))))&amp;"!"&amp;CA$71&amp;$DE25)*100,0)</f>
        <v>-0.10011468037840682</v>
      </c>
      <c r="CB25" s="151" cm="1">
        <f t="array" aca="1" ref="CB25" ca="1">IFERROR(INDIRECT("Yr"&amp;IF($C$5=Year1,1,IF($C$5=Year2,2,IF($C$5=Year3,3,IF($C$5=Lookups!$D$40,"All"))))&amp;"!"&amp;CB$71&amp;$DE25)*100,0)</f>
        <v>-0.15600782118089362</v>
      </c>
      <c r="CC25" s="151" cm="1">
        <f t="array" aca="1" ref="CC25" ca="1">IFERROR(INDIRECT("Yr"&amp;IF($C$5=Year1,1,IF($C$5=Year2,2,IF($C$5=Year3,3,IF($C$5=Lookups!$D$40,"All"))))&amp;"!"&amp;CC$71&amp;$DE25)*100,0)</f>
        <v>-0.15600782118089362</v>
      </c>
      <c r="CD25" s="151" cm="1">
        <f t="array" aca="1" ref="CD25" ca="1">IFERROR(INDIRECT("Yr"&amp;IF($C$5=Year1,1,IF($C$5=Year2,2,IF($C$5=Year3,3,IF($C$5=Lookups!$D$40,"All"))))&amp;"!"&amp;CD$71&amp;$DE25)*100,0)</f>
        <v>-0.15600782118089362</v>
      </c>
      <c r="CE25" s="151" cm="1">
        <f t="array" aca="1" ref="CE25" ca="1">IFERROR(INDIRECT("Yr"&amp;IF($C$5=Year1,1,IF($C$5=Year2,2,IF($C$5=Year3,3,IF($C$5=Lookups!$D$40,"All"))))&amp;"!"&amp;CE$71&amp;$DE25)*100,0)</f>
        <v>-0.15600782118089362</v>
      </c>
      <c r="CF25" s="151" cm="1">
        <f t="array" aca="1" ref="CF25" ca="1">IFERROR(INDIRECT("Yr"&amp;IF($C$5=Year1,1,IF($C$5=Year2,2,IF($C$5=Year3,3,IF($C$5=Lookups!$D$40,"All"))))&amp;"!"&amp;CF$71&amp;$DE25)*100,0)</f>
        <v>-0.15600782118089362</v>
      </c>
      <c r="CG25" s="151" cm="1">
        <f t="array" aca="1" ref="CG25" ca="1">IFERROR(INDIRECT("Yr"&amp;IF($C$5=Year1,1,IF($C$5=Year2,2,IF($C$5=Year3,3,IF($C$5=Lookups!$D$40,"All"))))&amp;"!"&amp;CG$71&amp;$DE25)*100,0)</f>
        <v>-0.15600782118089362</v>
      </c>
      <c r="CH25" s="151" cm="1">
        <f t="array" aca="1" ref="CH25" ca="1">IFERROR(INDIRECT("Yr"&amp;IF($C$5=Year1,1,IF($C$5=Year2,2,IF($C$5=Year3,3,IF($C$5=Lookups!$D$40,"All"))))&amp;"!"&amp;CH$71&amp;$DE25)*100,0)</f>
        <v>-0.15600782118089362</v>
      </c>
      <c r="CI25" s="151" cm="1">
        <f t="array" aca="1" ref="CI25" ca="1">IFERROR(INDIRECT("Yr"&amp;IF($C$5=Year1,1,IF($C$5=Year2,2,IF($C$5=Year3,3,IF($C$5=Lookups!$D$40,"All"))))&amp;"!"&amp;CI$71&amp;$DE25)*100,0)</f>
        <v>-0.15600782118089362</v>
      </c>
      <c r="CJ25" s="151" cm="1">
        <f t="array" aca="1" ref="CJ25" ca="1">IFERROR(INDIRECT("Yr"&amp;IF($C$5=Year1,1,IF($C$5=Year2,2,IF($C$5=Year3,3,IF($C$5=Lookups!$D$40,"All"))))&amp;"!"&amp;CJ$71&amp;$DE25)*100,0)</f>
        <v>-0.15600782118089362</v>
      </c>
      <c r="CK25" s="151" cm="1">
        <f t="array" aca="1" ref="CK25" ca="1">IFERROR(INDIRECT("Yr"&amp;IF($C$5=Year1,1,IF($C$5=Year2,2,IF($C$5=Year3,3,IF($C$5=Lookups!$D$40,"All"))))&amp;"!"&amp;CK$71&amp;$DE25)*100,0)</f>
        <v>-0.15600782118089362</v>
      </c>
      <c r="CL25" s="151" cm="1">
        <f t="array" aca="1" ref="CL25" ca="1">IFERROR(INDIRECT("Yr"&amp;IF($C$5=Year1,1,IF($C$5=Year2,2,IF($C$5=Year3,3,IF($C$5=Lookups!$D$40,"All"))))&amp;"!"&amp;CL$71&amp;$DE25)*100,0)</f>
        <v>-0.15600782118089362</v>
      </c>
      <c r="CM25" s="151" cm="1">
        <f t="array" aca="1" ref="CM25" ca="1">IFERROR(INDIRECT("Yr"&amp;IF($C$5=Year1,1,IF($C$5=Year2,2,IF($C$5=Year3,3,IF($C$5=Lookups!$D$40,"All"))))&amp;"!"&amp;CM$71&amp;$DE25)*100,0)</f>
        <v>-0.15600782118089362</v>
      </c>
      <c r="CN25" s="151" cm="1">
        <f t="array" aca="1" ref="CN25" ca="1">IFERROR(INDIRECT("Yr"&amp;IF($C$5=Year1,1,IF($C$5=Year2,2,IF($C$5=Year3,3,IF($C$5=Lookups!$D$40,"All"))))&amp;"!"&amp;CN$71&amp;$DE25)*100,0)</f>
        <v>-0.15600782118089362</v>
      </c>
      <c r="CO25" s="151" cm="1">
        <f t="array" aca="1" ref="CO25" ca="1">IFERROR(INDIRECT("Yr"&amp;IF($C$5=Year1,1,IF($C$5=Year2,2,IF($C$5=Year3,3,IF($C$5=Lookups!$D$40,"All"))))&amp;"!"&amp;CO$71&amp;$DE25)*100,0)</f>
        <v>-0.15600782118089362</v>
      </c>
      <c r="CP25" s="151" cm="1">
        <f t="array" aca="1" ref="CP25" ca="1">IFERROR(INDIRECT("Yr"&amp;IF($C$5=Year1,1,IF($C$5=Year2,2,IF($C$5=Year3,3,IF($C$5=Lookups!$D$40,"All"))))&amp;"!"&amp;CP$71&amp;$DE25)*100,0)</f>
        <v>-0.15600782118089362</v>
      </c>
      <c r="CQ25" s="151" cm="1">
        <f t="array" aca="1" ref="CQ25" ca="1">IFERROR(INDIRECT("Yr"&amp;IF($C$5=Year1,1,IF($C$5=Year2,2,IF($C$5=Year3,3,IF($C$5=Lookups!$D$40,"All"))))&amp;"!"&amp;CQ$71&amp;$DE25)*100,0)</f>
        <v>-0.15600782118089362</v>
      </c>
      <c r="CR25" s="151" cm="1">
        <f t="array" aca="1" ref="CR25" ca="1">IFERROR(INDIRECT("Yr"&amp;IF($C$5=Year1,1,IF($C$5=Year2,2,IF($C$5=Year3,3,IF($C$5=Lookups!$D$40,"All"))))&amp;"!"&amp;CR$71&amp;$DE25)*100,0)</f>
        <v>-0.15600782118089362</v>
      </c>
      <c r="CS25" s="151" cm="1">
        <f t="array" aca="1" ref="CS25" ca="1">IFERROR(INDIRECT("Yr"&amp;IF($C$5=Year1,1,IF($C$5=Year2,2,IF($C$5=Year3,3,IF($C$5=Lookups!$D$40,"All"))))&amp;"!"&amp;CS$71&amp;$DE25)*100,0)</f>
        <v>-0.15600782118089362</v>
      </c>
      <c r="CT25" s="151" cm="1">
        <f t="array" aca="1" ref="CT25" ca="1">IFERROR(INDIRECT("Yr"&amp;IF($C$5=Year1,1,IF($C$5=Year2,2,IF($C$5=Year3,3,IF($C$5=Lookups!$D$40,"All"))))&amp;"!"&amp;CT$71&amp;$DE25)*100,0)</f>
        <v>-0.10359228903153407</v>
      </c>
      <c r="CU25" s="151" cm="1">
        <f t="array" aca="1" ref="CU25" ca="1">IFERROR(INDIRECT("Yr"&amp;IF($C$5=Year1,1,IF($C$5=Year2,2,IF($C$5=Year3,3,IF($C$5=Lookups!$D$40,"All"))))&amp;"!"&amp;CU$71&amp;$DE25)*100,0)</f>
        <v>-5.1682762071674763E-2</v>
      </c>
      <c r="CV25" s="151" cm="1">
        <f t="array" aca="1" ref="CV25" ca="1">IFERROR(INDIRECT("Yr"&amp;IF($C$5=Year1,1,IF($C$5=Year2,2,IF($C$5=Year3,3,IF($C$5=Lookups!$D$40,"All"))))&amp;"!"&amp;CV$71&amp;$DE25)*100,0)</f>
        <v>0</v>
      </c>
      <c r="CW25" s="151" cm="1">
        <f t="array" aca="1" ref="CW25" ca="1">IFERROR(INDIRECT("Yr"&amp;IF($C$5=Year1,1,IF($C$5=Year2,2,IF($C$5=Year3,3,IF($C$5=Lookups!$D$40,"All"))))&amp;"!"&amp;CW$71&amp;$DE25)*100,0)</f>
        <v>0</v>
      </c>
      <c r="CX25" s="151" cm="1">
        <f t="array" aca="1" ref="CX25" ca="1">IFERROR(INDIRECT("Yr"&amp;IF($C$5=Year1,1,IF($C$5=Year2,2,IF($C$5=Year3,3,IF($C$5=Lookups!$D$40,"All"))))&amp;"!"&amp;CX$71&amp;$DE25)*100,0)</f>
        <v>0</v>
      </c>
      <c r="CY25" s="151" cm="1">
        <f t="array" aca="1" ref="CY25" ca="1">IFERROR(INDIRECT("Yr"&amp;IF($C$5=Year1,1,IF($C$5=Year2,2,IF($C$5=Year3,3,IF($C$5=Lookups!$D$40,"All"))))&amp;"!"&amp;CY$71&amp;$DE25)*100,0)</f>
        <v>0</v>
      </c>
      <c r="CZ25" s="151" cm="1">
        <f t="array" aca="1" ref="CZ25" ca="1">IFERROR(INDIRECT("Yr"&amp;IF($C$5=Year1,1,IF($C$5=Year2,2,IF($C$5=Year3,3,IF($C$5=Lookups!$D$40,"All"))))&amp;"!"&amp;CZ$71&amp;$DE25)*100,0)</f>
        <v>0</v>
      </c>
      <c r="DA25" s="151"/>
      <c r="DB25" s="151"/>
      <c r="DE25" s="516">
        <f>DE24+DF25</f>
        <v>125</v>
      </c>
      <c r="DF25" s="526">
        <v>1</v>
      </c>
      <c r="DK25" s="421"/>
      <c r="DL25" s="421"/>
    </row>
    <row r="26" spans="3:116" x14ac:dyDescent="0.25">
      <c r="BV26" s="343"/>
      <c r="BW26" s="345"/>
      <c r="BX26" s="334" t="s">
        <v>405</v>
      </c>
      <c r="BY26" s="335" t="s">
        <v>409</v>
      </c>
      <c r="BZ26" s="151" cm="1">
        <f t="array" aca="1" ref="BZ26" ca="1">IFERROR(INDIRECT("Yr"&amp;IF($C$5=Year1,1,IF($C$5=Year2,2,IF($C$5=Year3,3,IF($C$5=Lookups!$D$40,"All"))))&amp;"!"&amp;BZ$71&amp;$DE26)*100,0)</f>
        <v>6.468639699185835</v>
      </c>
      <c r="CA26" s="151" cm="1">
        <f t="array" aca="1" ref="CA26" ca="1">IFERROR(INDIRECT("Yr"&amp;IF($C$5=Year1,1,IF($C$5=Year2,2,IF($C$5=Year3,3,IF($C$5=Lookups!$D$40,"All"))))&amp;"!"&amp;CA$71&amp;$DE26)*100,0)</f>
        <v>6.6654138295917704</v>
      </c>
      <c r="CB26" s="151" cm="1">
        <f t="array" aca="1" ref="CB26" ca="1">IFERROR(INDIRECT("Yr"&amp;IF($C$5=Year1,1,IF($C$5=Year2,2,IF($C$5=Year3,3,IF($C$5=Lookups!$D$40,"All"))))&amp;"!"&amp;CB$71&amp;$DE26)*100,0)</f>
        <v>6.8785811560470815</v>
      </c>
      <c r="CC26" s="151" cm="1">
        <f t="array" aca="1" ref="CC26" ca="1">IFERROR(INDIRECT("Yr"&amp;IF($C$5=Year1,1,IF($C$5=Year2,2,IF($C$5=Year3,3,IF($C$5=Lookups!$D$40,"All"))))&amp;"!"&amp;CC$71&amp;$DE26)*100,0)</f>
        <v>0</v>
      </c>
      <c r="CD26" s="151" cm="1">
        <f t="array" aca="1" ref="CD26" ca="1">IFERROR(INDIRECT("Yr"&amp;IF($C$5=Year1,1,IF($C$5=Year2,2,IF($C$5=Year3,3,IF($C$5=Lookups!$D$40,"All"))))&amp;"!"&amp;CD$71&amp;$DE26)*100,0)</f>
        <v>0</v>
      </c>
      <c r="CE26" s="151" cm="1">
        <f t="array" aca="1" ref="CE26" ca="1">IFERROR(INDIRECT("Yr"&amp;IF($C$5=Year1,1,IF($C$5=Year2,2,IF($C$5=Year3,3,IF($C$5=Lookups!$D$40,"All"))))&amp;"!"&amp;CE$71&amp;$DE26)*100,0)</f>
        <v>0</v>
      </c>
      <c r="CF26" s="151" cm="1">
        <f t="array" aca="1" ref="CF26" ca="1">IFERROR(INDIRECT("Yr"&amp;IF($C$5=Year1,1,IF($C$5=Year2,2,IF($C$5=Year3,3,IF($C$5=Lookups!$D$40,"All"))))&amp;"!"&amp;CF$71&amp;$DE26)*100,0)</f>
        <v>0</v>
      </c>
      <c r="CG26" s="151" cm="1">
        <f t="array" aca="1" ref="CG26" ca="1">IFERROR(INDIRECT("Yr"&amp;IF($C$5=Year1,1,IF($C$5=Year2,2,IF($C$5=Year3,3,IF($C$5=Lookups!$D$40,"All"))))&amp;"!"&amp;CG$71&amp;$DE26)*100,0)</f>
        <v>0</v>
      </c>
      <c r="CH26" s="151" cm="1">
        <f t="array" aca="1" ref="CH26" ca="1">IFERROR(INDIRECT("Yr"&amp;IF($C$5=Year1,1,IF($C$5=Year2,2,IF($C$5=Year3,3,IF($C$5=Lookups!$D$40,"All"))))&amp;"!"&amp;CH$71&amp;$DE26)*100,0)</f>
        <v>0</v>
      </c>
      <c r="CI26" s="151" cm="1">
        <f t="array" aca="1" ref="CI26" ca="1">IFERROR(INDIRECT("Yr"&amp;IF($C$5=Year1,1,IF($C$5=Year2,2,IF($C$5=Year3,3,IF($C$5=Lookups!$D$40,"All"))))&amp;"!"&amp;CI$71&amp;$DE26)*100,0)</f>
        <v>0</v>
      </c>
      <c r="CJ26" s="151" cm="1">
        <f t="array" aca="1" ref="CJ26" ca="1">IFERROR(INDIRECT("Yr"&amp;IF($C$5=Year1,1,IF($C$5=Year2,2,IF($C$5=Year3,3,IF($C$5=Lookups!$D$40,"All"))))&amp;"!"&amp;CJ$71&amp;$DE26)*100,0)</f>
        <v>0</v>
      </c>
      <c r="CK26" s="151" cm="1">
        <f t="array" aca="1" ref="CK26" ca="1">IFERROR(INDIRECT("Yr"&amp;IF($C$5=Year1,1,IF($C$5=Year2,2,IF($C$5=Year3,3,IF($C$5=Lookups!$D$40,"All"))))&amp;"!"&amp;CK$71&amp;$DE26)*100,0)</f>
        <v>0</v>
      </c>
      <c r="CL26" s="151" cm="1">
        <f t="array" aca="1" ref="CL26" ca="1">IFERROR(INDIRECT("Yr"&amp;IF($C$5=Year1,1,IF($C$5=Year2,2,IF($C$5=Year3,3,IF($C$5=Lookups!$D$40,"All"))))&amp;"!"&amp;CL$71&amp;$DE26)*100,0)</f>
        <v>0</v>
      </c>
      <c r="CM26" s="151" cm="1">
        <f t="array" aca="1" ref="CM26" ca="1">IFERROR(INDIRECT("Yr"&amp;IF($C$5=Year1,1,IF($C$5=Year2,2,IF($C$5=Year3,3,IF($C$5=Lookups!$D$40,"All"))))&amp;"!"&amp;CM$71&amp;$DE26)*100,0)</f>
        <v>0</v>
      </c>
      <c r="CN26" s="151" cm="1">
        <f t="array" aca="1" ref="CN26" ca="1">IFERROR(INDIRECT("Yr"&amp;IF($C$5=Year1,1,IF($C$5=Year2,2,IF($C$5=Year3,3,IF($C$5=Lookups!$D$40,"All"))))&amp;"!"&amp;CN$71&amp;$DE26)*100,0)</f>
        <v>0</v>
      </c>
      <c r="CO26" s="151" cm="1">
        <f t="array" aca="1" ref="CO26" ca="1">IFERROR(INDIRECT("Yr"&amp;IF($C$5=Year1,1,IF($C$5=Year2,2,IF($C$5=Year3,3,IF($C$5=Lookups!$D$40,"All"))))&amp;"!"&amp;CO$71&amp;$DE26)*100,0)</f>
        <v>0</v>
      </c>
      <c r="CP26" s="151" cm="1">
        <f t="array" aca="1" ref="CP26" ca="1">IFERROR(INDIRECT("Yr"&amp;IF($C$5=Year1,1,IF($C$5=Year2,2,IF($C$5=Year3,3,IF($C$5=Lookups!$D$40,"All"))))&amp;"!"&amp;CP$71&amp;$DE26)*100,0)</f>
        <v>0</v>
      </c>
      <c r="CQ26" s="151" cm="1">
        <f t="array" aca="1" ref="CQ26" ca="1">IFERROR(INDIRECT("Yr"&amp;IF($C$5=Year1,1,IF($C$5=Year2,2,IF($C$5=Year3,3,IF($C$5=Lookups!$D$40,"All"))))&amp;"!"&amp;CQ$71&amp;$DE26)*100,0)</f>
        <v>0</v>
      </c>
      <c r="CR26" s="151" cm="1">
        <f t="array" aca="1" ref="CR26" ca="1">IFERROR(INDIRECT("Yr"&amp;IF($C$5=Year1,1,IF($C$5=Year2,2,IF($C$5=Year3,3,IF($C$5=Lookups!$D$40,"All"))))&amp;"!"&amp;CR$71&amp;$DE26)*100,0)</f>
        <v>0</v>
      </c>
      <c r="CS26" s="151" cm="1">
        <f t="array" aca="1" ref="CS26" ca="1">IFERROR(INDIRECT("Yr"&amp;IF($C$5=Year1,1,IF($C$5=Year2,2,IF($C$5=Year3,3,IF($C$5=Lookups!$D$40,"All"))))&amp;"!"&amp;CS$71&amp;$DE26)*100,0)</f>
        <v>0</v>
      </c>
      <c r="CT26" s="151" cm="1">
        <f t="array" aca="1" ref="CT26" ca="1">IFERROR(INDIRECT("Yr"&amp;IF($C$5=Year1,1,IF($C$5=Year2,2,IF($C$5=Year3,3,IF($C$5=Lookups!$D$40,"All"))))&amp;"!"&amp;CT$71&amp;$DE26)*100,0)</f>
        <v>0</v>
      </c>
      <c r="CU26" s="151" cm="1">
        <f t="array" aca="1" ref="CU26" ca="1">IFERROR(INDIRECT("Yr"&amp;IF($C$5=Year1,1,IF($C$5=Year2,2,IF($C$5=Year3,3,IF($C$5=Lookups!$D$40,"All"))))&amp;"!"&amp;CU$71&amp;$DE26)*100,0)</f>
        <v>0</v>
      </c>
      <c r="CV26" s="151" cm="1">
        <f t="array" aca="1" ref="CV26" ca="1">IFERROR(INDIRECT("Yr"&amp;IF($C$5=Year1,1,IF($C$5=Year2,2,IF($C$5=Year3,3,IF($C$5=Lookups!$D$40,"All"))))&amp;"!"&amp;CV$71&amp;$DE26)*100,0)</f>
        <v>0</v>
      </c>
      <c r="CW26" s="151" cm="1">
        <f t="array" aca="1" ref="CW26" ca="1">IFERROR(INDIRECT("Yr"&amp;IF($C$5=Year1,1,IF($C$5=Year2,2,IF($C$5=Year3,3,IF($C$5=Lookups!$D$40,"All"))))&amp;"!"&amp;CW$71&amp;$DE26)*100,0)</f>
        <v>0</v>
      </c>
      <c r="CX26" s="151" cm="1">
        <f t="array" aca="1" ref="CX26" ca="1">IFERROR(INDIRECT("Yr"&amp;IF($C$5=Year1,1,IF($C$5=Year2,2,IF($C$5=Year3,3,IF($C$5=Lookups!$D$40,"All"))))&amp;"!"&amp;CX$71&amp;$DE26)*100,0)</f>
        <v>0</v>
      </c>
      <c r="CY26" s="151" cm="1">
        <f t="array" aca="1" ref="CY26" ca="1">IFERROR(INDIRECT("Yr"&amp;IF($C$5=Year1,1,IF($C$5=Year2,2,IF($C$5=Year3,3,IF($C$5=Lookups!$D$40,"All"))))&amp;"!"&amp;CY$71&amp;$DE26)*100,0)</f>
        <v>0</v>
      </c>
      <c r="CZ26" s="151" cm="1">
        <f t="array" aca="1" ref="CZ26" ca="1">IFERROR(INDIRECT("Yr"&amp;IF($C$5=Year1,1,IF($C$5=Year2,2,IF($C$5=Year3,3,IF($C$5=Lookups!$D$40,"All"))))&amp;"!"&amp;CZ$71&amp;$DE26)*100,0)</f>
        <v>0</v>
      </c>
      <c r="DA26" s="151"/>
      <c r="DB26" s="151"/>
      <c r="DE26" s="516">
        <f t="shared" ref="DE26:DE27" si="3">DE25+DF26</f>
        <v>128</v>
      </c>
      <c r="DF26" s="526">
        <v>3</v>
      </c>
      <c r="DK26" s="421"/>
      <c r="DL26" s="421"/>
    </row>
    <row r="27" spans="3:116" x14ac:dyDescent="0.25">
      <c r="BV27" s="343"/>
      <c r="BW27" s="345"/>
      <c r="BX27" s="336" t="s">
        <v>69</v>
      </c>
      <c r="BY27" s="337" t="s">
        <v>409</v>
      </c>
      <c r="BZ27" s="472" cm="1">
        <f t="array" aca="1" ref="BZ27" ca="1">IFERROR(INDIRECT("Yr"&amp;IF($C$5=Year1,1,IF($C$5=Year2,2,IF($C$5=Year3,3,IF($C$5=Lookups!$D$40,"All"))))&amp;"!"&amp;BZ$71&amp;$DE27)*100,0)</f>
        <v>0.42274405845921514</v>
      </c>
      <c r="CA27" s="472" cm="1">
        <f t="array" aca="1" ref="CA27" ca="1">IFERROR(INDIRECT("Yr"&amp;IF($C$5=Year1,1,IF($C$5=Year2,2,IF($C$5=Year3,3,IF($C$5=Lookups!$D$40,"All"))))&amp;"!"&amp;CA$71&amp;$DE27)*100,0)</f>
        <v>0.87210248900453369</v>
      </c>
      <c r="CB27" s="472" cm="1">
        <f t="array" aca="1" ref="CB27" ca="1">IFERROR(INDIRECT("Yr"&amp;IF($C$5=Year1,1,IF($C$5=Year2,2,IF($C$5=Year3,3,IF($C$5=Lookups!$D$40,"All"))))&amp;"!"&amp;CB$71&amp;$DE27)*100,0)</f>
        <v>1.3544492269988746</v>
      </c>
      <c r="CC27" s="472" cm="1">
        <f t="array" aca="1" ref="CC27" ca="1">IFERROR(INDIRECT("Yr"&amp;IF($C$5=Year1,1,IF($C$5=Year2,2,IF($C$5=Year3,3,IF($C$5=Lookups!$D$40,"All"))))&amp;"!"&amp;CC$71&amp;$DE27)*100,0)</f>
        <v>1.3544492269988746</v>
      </c>
      <c r="CD27" s="472" cm="1">
        <f t="array" aca="1" ref="CD27" ca="1">IFERROR(INDIRECT("Yr"&amp;IF($C$5=Year1,1,IF($C$5=Year2,2,IF($C$5=Year3,3,IF($C$5=Lookups!$D$40,"All"))))&amp;"!"&amp;CD$71&amp;$DE27)*100,0)</f>
        <v>1.3544492269988746</v>
      </c>
      <c r="CE27" s="472" cm="1">
        <f t="array" aca="1" ref="CE27" ca="1">IFERROR(INDIRECT("Yr"&amp;IF($C$5=Year1,1,IF($C$5=Year2,2,IF($C$5=Year3,3,IF($C$5=Lookups!$D$40,"All"))))&amp;"!"&amp;CE$71&amp;$DE27)*100,0)</f>
        <v>1.3544492269988746</v>
      </c>
      <c r="CF27" s="472" cm="1">
        <f t="array" aca="1" ref="CF27" ca="1">IFERROR(INDIRECT("Yr"&amp;IF($C$5=Year1,1,IF($C$5=Year2,2,IF($C$5=Year3,3,IF($C$5=Lookups!$D$40,"All"))))&amp;"!"&amp;CF$71&amp;$DE27)*100,0)</f>
        <v>1.3544492269988746</v>
      </c>
      <c r="CG27" s="472" cm="1">
        <f t="array" aca="1" ref="CG27" ca="1">IFERROR(INDIRECT("Yr"&amp;IF($C$5=Year1,1,IF($C$5=Year2,2,IF($C$5=Year3,3,IF($C$5=Lookups!$D$40,"All"))))&amp;"!"&amp;CG$71&amp;$DE27)*100,0)</f>
        <v>1.3544492269988746</v>
      </c>
      <c r="CH27" s="472" cm="1">
        <f t="array" aca="1" ref="CH27" ca="1">IFERROR(INDIRECT("Yr"&amp;IF($C$5=Year1,1,IF($C$5=Year2,2,IF($C$5=Year3,3,IF($C$5=Lookups!$D$40,"All"))))&amp;"!"&amp;CH$71&amp;$DE27)*100,0)</f>
        <v>1.3544492269988746</v>
      </c>
      <c r="CI27" s="472" cm="1">
        <f t="array" aca="1" ref="CI27" ca="1">IFERROR(INDIRECT("Yr"&amp;IF($C$5=Year1,1,IF($C$5=Year2,2,IF($C$5=Year3,3,IF($C$5=Lookups!$D$40,"All"))))&amp;"!"&amp;CI$71&amp;$DE27)*100,0)</f>
        <v>1.3544492269988746</v>
      </c>
      <c r="CJ27" s="472" cm="1">
        <f t="array" aca="1" ref="CJ27" ca="1">IFERROR(INDIRECT("Yr"&amp;IF($C$5=Year1,1,IF($C$5=Year2,2,IF($C$5=Year3,3,IF($C$5=Lookups!$D$40,"All"))))&amp;"!"&amp;CJ$71&amp;$DE27)*100,0)</f>
        <v>1.3544492269988746</v>
      </c>
      <c r="CK27" s="472" cm="1">
        <f t="array" aca="1" ref="CK27" ca="1">IFERROR(INDIRECT("Yr"&amp;IF($C$5=Year1,1,IF($C$5=Year2,2,IF($C$5=Year3,3,IF($C$5=Lookups!$D$40,"All"))))&amp;"!"&amp;CK$71&amp;$DE27)*100,0)</f>
        <v>1.3544492269988746</v>
      </c>
      <c r="CL27" s="472" cm="1">
        <f t="array" aca="1" ref="CL27" ca="1">IFERROR(INDIRECT("Yr"&amp;IF($C$5=Year1,1,IF($C$5=Year2,2,IF($C$5=Year3,3,IF($C$5=Lookups!$D$40,"All"))))&amp;"!"&amp;CL$71&amp;$DE27)*100,0)</f>
        <v>1.3544492269988746</v>
      </c>
      <c r="CM27" s="472" cm="1">
        <f t="array" aca="1" ref="CM27" ca="1">IFERROR(INDIRECT("Yr"&amp;IF($C$5=Year1,1,IF($C$5=Year2,2,IF($C$5=Year3,3,IF($C$5=Lookups!$D$40,"All"))))&amp;"!"&amp;CM$71&amp;$DE27)*100,0)</f>
        <v>1.3544492269988746</v>
      </c>
      <c r="CN27" s="472" cm="1">
        <f t="array" aca="1" ref="CN27" ca="1">IFERROR(INDIRECT("Yr"&amp;IF($C$5=Year1,1,IF($C$5=Year2,2,IF($C$5=Year3,3,IF($C$5=Lookups!$D$40,"All"))))&amp;"!"&amp;CN$71&amp;$DE27)*100,0)</f>
        <v>1.3544492269988746</v>
      </c>
      <c r="CO27" s="472" cm="1">
        <f t="array" aca="1" ref="CO27" ca="1">IFERROR(INDIRECT("Yr"&amp;IF($C$5=Year1,1,IF($C$5=Year2,2,IF($C$5=Year3,3,IF($C$5=Lookups!$D$40,"All"))))&amp;"!"&amp;CO$71&amp;$DE27)*100,0)</f>
        <v>1.3544492269988746</v>
      </c>
      <c r="CP27" s="472" cm="1">
        <f t="array" aca="1" ref="CP27" ca="1">IFERROR(INDIRECT("Yr"&amp;IF($C$5=Year1,1,IF($C$5=Year2,2,IF($C$5=Year3,3,IF($C$5=Lookups!$D$40,"All"))))&amp;"!"&amp;CP$71&amp;$DE27)*100,0)</f>
        <v>1.3544492269988746</v>
      </c>
      <c r="CQ27" s="472" cm="1">
        <f t="array" aca="1" ref="CQ27" ca="1">IFERROR(INDIRECT("Yr"&amp;IF($C$5=Year1,1,IF($C$5=Year2,2,IF($C$5=Year3,3,IF($C$5=Lookups!$D$40,"All"))))&amp;"!"&amp;CQ$71&amp;$DE27)*100,0)</f>
        <v>1.3544492269988746</v>
      </c>
      <c r="CR27" s="472" cm="1">
        <f t="array" aca="1" ref="CR27" ca="1">IFERROR(INDIRECT("Yr"&amp;IF($C$5=Year1,1,IF($C$5=Year2,2,IF($C$5=Year3,3,IF($C$5=Lookups!$D$40,"All"))))&amp;"!"&amp;CR$71&amp;$DE27)*100,0)</f>
        <v>1.3544492269988746</v>
      </c>
      <c r="CS27" s="472" cm="1">
        <f t="array" aca="1" ref="CS27" ca="1">IFERROR(INDIRECT("Yr"&amp;IF($C$5=Year1,1,IF($C$5=Year2,2,IF($C$5=Year3,3,IF($C$5=Lookups!$D$40,"All"))))&amp;"!"&amp;CS$71&amp;$DE27)*100,0)</f>
        <v>1.3544492269988746</v>
      </c>
      <c r="CT27" s="472" cm="1">
        <f t="array" aca="1" ref="CT27" ca="1">IFERROR(INDIRECT("Yr"&amp;IF($C$5=Year1,1,IF($C$5=Year2,2,IF($C$5=Year3,3,IF($C$5=Lookups!$D$40,"All"))))&amp;"!"&amp;CT$71&amp;$DE27)*100,0)</f>
        <v>0.90353466337756705</v>
      </c>
      <c r="CU27" s="472" cm="1">
        <f t="array" aca="1" ref="CU27" ca="1">IFERROR(INDIRECT("Yr"&amp;IF($C$5=Year1,1,IF($C$5=Year2,2,IF($C$5=Year3,3,IF($C$5=Lookups!$D$40,"All"))))&amp;"!"&amp;CU$71&amp;$DE27)*100,0)</f>
        <v>0.45319641111828401</v>
      </c>
      <c r="CV27" s="472" cm="1">
        <f t="array" aca="1" ref="CV27" ca="1">IFERROR(INDIRECT("Yr"&amp;IF($C$5=Year1,1,IF($C$5=Year2,2,IF($C$5=Year3,3,IF($C$5=Lookups!$D$40,"All"))))&amp;"!"&amp;CV$71&amp;$DE27)*100,0)</f>
        <v>0</v>
      </c>
      <c r="CW27" s="472" cm="1">
        <f t="array" aca="1" ref="CW27" ca="1">IFERROR(INDIRECT("Yr"&amp;IF($C$5=Year1,1,IF($C$5=Year2,2,IF($C$5=Year3,3,IF($C$5=Lookups!$D$40,"All"))))&amp;"!"&amp;CW$71&amp;$DE27)*100,0)</f>
        <v>0</v>
      </c>
      <c r="CX27" s="472" cm="1">
        <f t="array" aca="1" ref="CX27" ca="1">IFERROR(INDIRECT("Yr"&amp;IF($C$5=Year1,1,IF($C$5=Year2,2,IF($C$5=Year3,3,IF($C$5=Lookups!$D$40,"All"))))&amp;"!"&amp;CX$71&amp;$DE27)*100,0)</f>
        <v>0</v>
      </c>
      <c r="CY27" s="472" cm="1">
        <f t="array" aca="1" ref="CY27" ca="1">IFERROR(INDIRECT("Yr"&amp;IF($C$5=Year1,1,IF($C$5=Year2,2,IF($C$5=Year3,3,IF($C$5=Lookups!$D$40,"All"))))&amp;"!"&amp;CY$71&amp;$DE27)*100,0)</f>
        <v>0</v>
      </c>
      <c r="CZ27" s="472" cm="1">
        <f t="array" aca="1" ref="CZ27" ca="1">IFERROR(INDIRECT("Yr"&amp;IF($C$5=Year1,1,IF($C$5=Year2,2,IF($C$5=Year3,3,IF($C$5=Lookups!$D$40,"All"))))&amp;"!"&amp;CZ$71&amp;$DE27)*100,0)</f>
        <v>0</v>
      </c>
      <c r="DA27" s="151"/>
      <c r="DB27" s="472"/>
      <c r="DE27" s="516">
        <f t="shared" si="3"/>
        <v>129</v>
      </c>
      <c r="DF27" s="526">
        <v>1</v>
      </c>
      <c r="DK27" s="421"/>
      <c r="DL27" s="421"/>
    </row>
    <row r="28" spans="3:116" x14ac:dyDescent="0.25">
      <c r="BV28" s="343"/>
      <c r="BW28" s="345"/>
      <c r="BX28" s="155" t="s">
        <v>98</v>
      </c>
      <c r="BY28" s="126" t="s">
        <v>409</v>
      </c>
      <c r="BZ28" s="151">
        <f t="shared" ref="BZ28:CZ28" ca="1" si="4">SUM(BZ23:BZ25)</f>
        <v>-1.4632047714901377</v>
      </c>
      <c r="CA28" s="151">
        <f t="shared" ca="1" si="4"/>
        <v>-3.0308642841244517</v>
      </c>
      <c r="CB28" s="151">
        <f t="shared" ca="1" si="4"/>
        <v>-4.7263961713202889</v>
      </c>
      <c r="CC28" s="151">
        <f t="shared" ca="1" si="4"/>
        <v>-4.7263961713202889</v>
      </c>
      <c r="CD28" s="151">
        <f t="shared" ca="1" si="4"/>
        <v>-4.7263961713202889</v>
      </c>
      <c r="CE28" s="151">
        <f t="shared" ca="1" si="4"/>
        <v>-4.7263961713202889</v>
      </c>
      <c r="CF28" s="151">
        <f t="shared" ca="1" si="4"/>
        <v>-4.7263961713202889</v>
      </c>
      <c r="CG28" s="151">
        <f t="shared" ca="1" si="4"/>
        <v>-4.7263961713202889</v>
      </c>
      <c r="CH28" s="151">
        <f t="shared" ca="1" si="4"/>
        <v>-4.7263961713202889</v>
      </c>
      <c r="CI28" s="151">
        <f t="shared" ca="1" si="4"/>
        <v>-4.7263961713202889</v>
      </c>
      <c r="CJ28" s="151">
        <f t="shared" ca="1" si="4"/>
        <v>-4.7263961713202889</v>
      </c>
      <c r="CK28" s="151">
        <f t="shared" ca="1" si="4"/>
        <v>-4.7263961713202889</v>
      </c>
      <c r="CL28" s="151">
        <f t="shared" ca="1" si="4"/>
        <v>-4.7263961713202889</v>
      </c>
      <c r="CM28" s="151">
        <f t="shared" ca="1" si="4"/>
        <v>-4.7263961713202889</v>
      </c>
      <c r="CN28" s="151">
        <f t="shared" ca="1" si="4"/>
        <v>-4.7263961713202889</v>
      </c>
      <c r="CO28" s="151">
        <f t="shared" ca="1" si="4"/>
        <v>-4.7263961713202889</v>
      </c>
      <c r="CP28" s="151">
        <f t="shared" ca="1" si="4"/>
        <v>-4.7263961713202889</v>
      </c>
      <c r="CQ28" s="151">
        <f t="shared" ca="1" si="4"/>
        <v>-4.7263961713202889</v>
      </c>
      <c r="CR28" s="151">
        <f t="shared" ca="1" si="4"/>
        <v>-4.7263961713202889</v>
      </c>
      <c r="CS28" s="151">
        <f t="shared" ca="1" si="4"/>
        <v>-4.7263961713202889</v>
      </c>
      <c r="CT28" s="151">
        <f t="shared" ca="1" si="4"/>
        <v>-3.1398569390796225</v>
      </c>
      <c r="CU28" s="151">
        <f t="shared" ca="1" si="4"/>
        <v>-1.5679344343251984</v>
      </c>
      <c r="CV28" s="151">
        <f t="shared" ca="1" si="4"/>
        <v>0</v>
      </c>
      <c r="CW28" s="151">
        <f t="shared" ca="1" si="4"/>
        <v>0</v>
      </c>
      <c r="CX28" s="151">
        <f t="shared" ca="1" si="4"/>
        <v>0</v>
      </c>
      <c r="CY28" s="151">
        <f t="shared" ca="1" si="4"/>
        <v>0</v>
      </c>
      <c r="CZ28" s="151">
        <f t="shared" ca="1" si="4"/>
        <v>0</v>
      </c>
      <c r="DA28" s="151"/>
      <c r="DB28" s="151"/>
      <c r="DE28" s="516" t="s">
        <v>408</v>
      </c>
      <c r="DF28" s="529"/>
      <c r="DK28" s="421"/>
      <c r="DL28" s="421"/>
    </row>
    <row r="29" spans="3:116" x14ac:dyDescent="0.25">
      <c r="BV29" s="343"/>
      <c r="BW29" s="345"/>
      <c r="BX29" s="126" t="s">
        <v>99</v>
      </c>
      <c r="BY29" s="126" t="s">
        <v>409</v>
      </c>
      <c r="BZ29" s="151" cm="1">
        <f t="array" aca="1" ref="BZ29" ca="1">IFERROR(INDIRECT("Yr"&amp;IF($C$5=Year1,1,IF($C$5=Year2,2,IF($C$5=Year3,3,IF($C$5=Lookups!$D$40,"All"))))&amp;"!"&amp;BZ$71&amp;$DE29)*100,0)</f>
        <v>6.6915534199636255</v>
      </c>
      <c r="CA29" s="151" cm="1">
        <f t="array" aca="1" ref="CA29" ca="1">IFERROR(INDIRECT("Yr"&amp;IF($C$5=Year1,1,IF($C$5=Year2,2,IF($C$5=Year3,3,IF($C$5=Lookups!$D$40,"All"))))&amp;"!"&amp;CA$71&amp;$DE29)*100,0)</f>
        <v>7.1272110558563639</v>
      </c>
      <c r="CB29" s="151" cm="1">
        <f t="array" aca="1" ref="CB29" ca="1">IFERROR(INDIRECT("Yr"&amp;IF($C$5=Year1,1,IF($C$5=Year2,2,IF($C$5=Year3,3,IF($C$5=Lookups!$D$40,"All"))))&amp;"!"&amp;CB$71&amp;$DE29)*100,0)</f>
        <v>7.599091206390729</v>
      </c>
      <c r="CC29" s="151" cm="1">
        <f t="array" aca="1" ref="CC29" ca="1">IFERROR(INDIRECT("Yr"&amp;IF($C$5=Year1,1,IF($C$5=Year2,2,IF($C$5=Year3,3,IF($C$5=Lookups!$D$40,"All"))))&amp;"!"&amp;CC$71&amp;$DE29)*100,0)</f>
        <v>0.7205100503436479</v>
      </c>
      <c r="CD29" s="151" cm="1">
        <f t="array" aca="1" ref="CD29" ca="1">IFERROR(INDIRECT("Yr"&amp;IF($C$5=Year1,1,IF($C$5=Year2,2,IF($C$5=Year3,3,IF($C$5=Lookups!$D$40,"All"))))&amp;"!"&amp;CD$71&amp;$DE29)*100,0)</f>
        <v>0.7205100503436479</v>
      </c>
      <c r="CE29" s="151" cm="1">
        <f t="array" aca="1" ref="CE29" ca="1">IFERROR(INDIRECT("Yr"&amp;IF($C$5=Year1,1,IF($C$5=Year2,2,IF($C$5=Year3,3,IF($C$5=Lookups!$D$40,"All"))))&amp;"!"&amp;CE$71&amp;$DE29)*100,0)</f>
        <v>0.7205100503436479</v>
      </c>
      <c r="CF29" s="151" cm="1">
        <f t="array" aca="1" ref="CF29" ca="1">IFERROR(INDIRECT("Yr"&amp;IF($C$5=Year1,1,IF($C$5=Year2,2,IF($C$5=Year3,3,IF($C$5=Lookups!$D$40,"All"))))&amp;"!"&amp;CF$71&amp;$DE29)*100,0)</f>
        <v>0.7205100503436479</v>
      </c>
      <c r="CG29" s="151" cm="1">
        <f t="array" aca="1" ref="CG29" ca="1">IFERROR(INDIRECT("Yr"&amp;IF($C$5=Year1,1,IF($C$5=Year2,2,IF($C$5=Year3,3,IF($C$5=Lookups!$D$40,"All"))))&amp;"!"&amp;CG$71&amp;$DE29)*100,0)</f>
        <v>0.7205100503436479</v>
      </c>
      <c r="CH29" s="151" cm="1">
        <f t="array" aca="1" ref="CH29" ca="1">IFERROR(INDIRECT("Yr"&amp;IF($C$5=Year1,1,IF($C$5=Year2,2,IF($C$5=Year3,3,IF($C$5=Lookups!$D$40,"All"))))&amp;"!"&amp;CH$71&amp;$DE29)*100,0)</f>
        <v>0.7205100503436479</v>
      </c>
      <c r="CI29" s="151" cm="1">
        <f t="array" aca="1" ref="CI29" ca="1">IFERROR(INDIRECT("Yr"&amp;IF($C$5=Year1,1,IF($C$5=Year2,2,IF($C$5=Year3,3,IF($C$5=Lookups!$D$40,"All"))))&amp;"!"&amp;CI$71&amp;$DE29)*100,0)</f>
        <v>0.7205100503436479</v>
      </c>
      <c r="CJ29" s="151" cm="1">
        <f t="array" aca="1" ref="CJ29" ca="1">IFERROR(INDIRECT("Yr"&amp;IF($C$5=Year1,1,IF($C$5=Year2,2,IF($C$5=Year3,3,IF($C$5=Lookups!$D$40,"All"))))&amp;"!"&amp;CJ$71&amp;$DE29)*100,0)</f>
        <v>0.7205100503436479</v>
      </c>
      <c r="CK29" s="151" cm="1">
        <f t="array" aca="1" ref="CK29" ca="1">IFERROR(INDIRECT("Yr"&amp;IF($C$5=Year1,1,IF($C$5=Year2,2,IF($C$5=Year3,3,IF($C$5=Lookups!$D$40,"All"))))&amp;"!"&amp;CK$71&amp;$DE29)*100,0)</f>
        <v>0.7205100503436479</v>
      </c>
      <c r="CL29" s="151" cm="1">
        <f t="array" aca="1" ref="CL29" ca="1">IFERROR(INDIRECT("Yr"&amp;IF($C$5=Year1,1,IF($C$5=Year2,2,IF($C$5=Year3,3,IF($C$5=Lookups!$D$40,"All"))))&amp;"!"&amp;CL$71&amp;$DE29)*100,0)</f>
        <v>0.7205100503436479</v>
      </c>
      <c r="CM29" s="151" cm="1">
        <f t="array" aca="1" ref="CM29" ca="1">IFERROR(INDIRECT("Yr"&amp;IF($C$5=Year1,1,IF($C$5=Year2,2,IF($C$5=Year3,3,IF($C$5=Lookups!$D$40,"All"))))&amp;"!"&amp;CM$71&amp;$DE29)*100,0)</f>
        <v>0.7205100503436479</v>
      </c>
      <c r="CN29" s="151" cm="1">
        <f t="array" aca="1" ref="CN29" ca="1">IFERROR(INDIRECT("Yr"&amp;IF($C$5=Year1,1,IF($C$5=Year2,2,IF($C$5=Year3,3,IF($C$5=Lookups!$D$40,"All"))))&amp;"!"&amp;CN$71&amp;$DE29)*100,0)</f>
        <v>0.7205100503436479</v>
      </c>
      <c r="CO29" s="151" cm="1">
        <f t="array" aca="1" ref="CO29" ca="1">IFERROR(INDIRECT("Yr"&amp;IF($C$5=Year1,1,IF($C$5=Year2,2,IF($C$5=Year3,3,IF($C$5=Lookups!$D$40,"All"))))&amp;"!"&amp;CO$71&amp;$DE29)*100,0)</f>
        <v>0.7205100503436479</v>
      </c>
      <c r="CP29" s="151" cm="1">
        <f t="array" aca="1" ref="CP29" ca="1">IFERROR(INDIRECT("Yr"&amp;IF($C$5=Year1,1,IF($C$5=Year2,2,IF($C$5=Year3,3,IF($C$5=Lookups!$D$40,"All"))))&amp;"!"&amp;CP$71&amp;$DE29)*100,0)</f>
        <v>0.7205100503436479</v>
      </c>
      <c r="CQ29" s="151" cm="1">
        <f t="array" aca="1" ref="CQ29" ca="1">IFERROR(INDIRECT("Yr"&amp;IF($C$5=Year1,1,IF($C$5=Year2,2,IF($C$5=Year3,3,IF($C$5=Lookups!$D$40,"All"))))&amp;"!"&amp;CQ$71&amp;$DE29)*100,0)</f>
        <v>0.7205100503436479</v>
      </c>
      <c r="CR29" s="151" cm="1">
        <f t="array" aca="1" ref="CR29" ca="1">IFERROR(INDIRECT("Yr"&amp;IF($C$5=Year1,1,IF($C$5=Year2,2,IF($C$5=Year3,3,IF($C$5=Lookups!$D$40,"All"))))&amp;"!"&amp;CR$71&amp;$DE29)*100,0)</f>
        <v>0.7205100503436479</v>
      </c>
      <c r="CS29" s="151" cm="1">
        <f t="array" aca="1" ref="CS29" ca="1">IFERROR(INDIRECT("Yr"&amp;IF($C$5=Year1,1,IF($C$5=Year2,2,IF($C$5=Year3,3,IF($C$5=Lookups!$D$40,"All"))))&amp;"!"&amp;CS$71&amp;$DE29)*100,0)</f>
        <v>0.7205100503436479</v>
      </c>
      <c r="CT29" s="151" cm="1">
        <f t="array" aca="1" ref="CT29" ca="1">IFERROR(INDIRECT("Yr"&amp;IF($C$5=Year1,1,IF($C$5=Year2,2,IF($C$5=Year3,3,IF($C$5=Lookups!$D$40,"All"))))&amp;"!"&amp;CT$71&amp;$DE29)*100,0)</f>
        <v>0.47879781135771182</v>
      </c>
      <c r="CU29" s="151" cm="1">
        <f t="array" aca="1" ref="CU29" ca="1">IFERROR(INDIRECT("Yr"&amp;IF($C$5=Year1,1,IF($C$5=Year2,2,IF($C$5=Year3,3,IF($C$5=Lookups!$D$40,"All"))))&amp;"!"&amp;CU$71&amp;$DE29)*100,0)</f>
        <v>0.23925699271870604</v>
      </c>
      <c r="CV29" s="151" cm="1">
        <f t="array" aca="1" ref="CV29" ca="1">IFERROR(INDIRECT("Yr"&amp;IF($C$5=Year1,1,IF($C$5=Year2,2,IF($C$5=Year3,3,IF($C$5=Lookups!$D$40,"All"))))&amp;"!"&amp;CV$71&amp;$DE29)*100,0)</f>
        <v>0</v>
      </c>
      <c r="CW29" s="151" cm="1">
        <f t="array" aca="1" ref="CW29" ca="1">IFERROR(INDIRECT("Yr"&amp;IF($C$5=Year1,1,IF($C$5=Year2,2,IF($C$5=Year3,3,IF($C$5=Lookups!$D$40,"All"))))&amp;"!"&amp;CW$71&amp;$DE29)*100,0)</f>
        <v>0</v>
      </c>
      <c r="CX29" s="151" cm="1">
        <f t="array" aca="1" ref="CX29" ca="1">IFERROR(INDIRECT("Yr"&amp;IF($C$5=Year1,1,IF($C$5=Year2,2,IF($C$5=Year3,3,IF($C$5=Lookups!$D$40,"All"))))&amp;"!"&amp;CX$71&amp;$DE29)*100,0)</f>
        <v>0</v>
      </c>
      <c r="CY29" s="151" cm="1">
        <f t="array" aca="1" ref="CY29" ca="1">IFERROR(INDIRECT("Yr"&amp;IF($C$5=Year1,1,IF($C$5=Year2,2,IF($C$5=Year3,3,IF($C$5=Lookups!$D$40,"All"))))&amp;"!"&amp;CY$71&amp;$DE29)*100,0)</f>
        <v>0</v>
      </c>
      <c r="CZ29" s="151" cm="1">
        <f t="array" aca="1" ref="CZ29" ca="1">IFERROR(INDIRECT("Yr"&amp;IF($C$5=Year1,1,IF($C$5=Year2,2,IF($C$5=Year3,3,IF($C$5=Lookups!$D$40,"All"))))&amp;"!"&amp;CZ$71&amp;$DE29)*100,0)</f>
        <v>0</v>
      </c>
      <c r="DA29" s="151"/>
      <c r="DB29" s="151"/>
      <c r="DE29" s="515">
        <f>ROW('Yr1'!E59)+($DG$9*IF($C$4=Lookups!$D$26,0,IF($C$4=Lookups!$D$27,1,IF($C$4=Lookups!$D$28,2,IF($C$4=Lookups!$D$29,3)))))</f>
        <v>138</v>
      </c>
      <c r="DF29" s="529"/>
    </row>
    <row r="30" spans="3:116" x14ac:dyDescent="0.25">
      <c r="BV30" s="343"/>
      <c r="BW30" s="345"/>
      <c r="BX30" s="126" t="s">
        <v>100</v>
      </c>
      <c r="BY30" s="126" t="s">
        <v>409</v>
      </c>
      <c r="BZ30" s="151">
        <f ca="1">IF($C$5=Lookups!$D$40,AVERAGE($BZ29:$CZ29),AVERAGE($BZ29:$CX29))</f>
        <v>1.2735030126714502</v>
      </c>
      <c r="CA30" s="151">
        <f ca="1">IF($C$5=Lookups!$D$40,AVERAGE($BZ29:$CZ29),AVERAGE($BZ29:$CX29))</f>
        <v>1.2735030126714502</v>
      </c>
      <c r="CB30" s="151">
        <f ca="1">IF($C$5=Lookups!$D$40,AVERAGE($BZ29:$CZ29),AVERAGE($BZ29:$CX29))</f>
        <v>1.2735030126714502</v>
      </c>
      <c r="CC30" s="151">
        <f ca="1">IF($C$5=Lookups!$D$40,AVERAGE($BZ29:$CZ29),AVERAGE($BZ29:$CX29))</f>
        <v>1.2735030126714502</v>
      </c>
      <c r="CD30" s="151">
        <f ca="1">IF($C$5=Lookups!$D$40,AVERAGE($BZ29:$CZ29),AVERAGE($BZ29:$CX29))</f>
        <v>1.2735030126714502</v>
      </c>
      <c r="CE30" s="151">
        <f ca="1">IF($C$5=Lookups!$D$40,AVERAGE($BZ29:$CZ29),AVERAGE($BZ29:$CX29))</f>
        <v>1.2735030126714502</v>
      </c>
      <c r="CF30" s="151">
        <f ca="1">IF($C$5=Lookups!$D$40,AVERAGE($BZ29:$CZ29),AVERAGE($BZ29:$CX29))</f>
        <v>1.2735030126714502</v>
      </c>
      <c r="CG30" s="151">
        <f ca="1">IF($C$5=Lookups!$D$40,AVERAGE($BZ29:$CZ29),AVERAGE($BZ29:$CX29))</f>
        <v>1.2735030126714502</v>
      </c>
      <c r="CH30" s="151">
        <f ca="1">IF($C$5=Lookups!$D$40,AVERAGE($BZ29:$CZ29),AVERAGE($BZ29:$CX29))</f>
        <v>1.2735030126714502</v>
      </c>
      <c r="CI30" s="151">
        <f ca="1">IF($C$5=Lookups!$D$40,AVERAGE($BZ29:$CZ29),AVERAGE($BZ29:$CX29))</f>
        <v>1.2735030126714502</v>
      </c>
      <c r="CJ30" s="151">
        <f ca="1">IF($C$5=Lookups!$D$40,AVERAGE($BZ29:$CZ29),AVERAGE($BZ29:$CX29))</f>
        <v>1.2735030126714502</v>
      </c>
      <c r="CK30" s="151">
        <f ca="1">IF($C$5=Lookups!$D$40,AVERAGE($BZ29:$CZ29),AVERAGE($BZ29:$CX29))</f>
        <v>1.2735030126714502</v>
      </c>
      <c r="CL30" s="151">
        <f ca="1">IF($C$5=Lookups!$D$40,AVERAGE($BZ29:$CZ29),AVERAGE($BZ29:$CX29))</f>
        <v>1.2735030126714502</v>
      </c>
      <c r="CM30" s="151">
        <f ca="1">IF($C$5=Lookups!$D$40,AVERAGE($BZ29:$CZ29),AVERAGE($BZ29:$CX29))</f>
        <v>1.2735030126714502</v>
      </c>
      <c r="CN30" s="151">
        <f ca="1">IF($C$5=Lookups!$D$40,AVERAGE($BZ29:$CZ29),AVERAGE($BZ29:$CX29))</f>
        <v>1.2735030126714502</v>
      </c>
      <c r="CO30" s="151">
        <f ca="1">IF($C$5=Lookups!$D$40,AVERAGE($BZ29:$CZ29),AVERAGE($BZ29:$CX29))</f>
        <v>1.2735030126714502</v>
      </c>
      <c r="CP30" s="151">
        <f ca="1">IF($C$5=Lookups!$D$40,AVERAGE($BZ29:$CZ29),AVERAGE($BZ29:$CX29))</f>
        <v>1.2735030126714502</v>
      </c>
      <c r="CQ30" s="151">
        <f ca="1">IF($C$5=Lookups!$D$40,AVERAGE($BZ29:$CZ29),AVERAGE($BZ29:$CX29))</f>
        <v>1.2735030126714502</v>
      </c>
      <c r="CR30" s="151">
        <f ca="1">IF($C$5=Lookups!$D$40,AVERAGE($BZ29:$CZ29),AVERAGE($BZ29:$CX29))</f>
        <v>1.2735030126714502</v>
      </c>
      <c r="CS30" s="151">
        <f ca="1">IF($C$5=Lookups!$D$40,AVERAGE($BZ29:$CZ29),AVERAGE($BZ29:$CX29))</f>
        <v>1.2735030126714502</v>
      </c>
      <c r="CT30" s="151">
        <f ca="1">IF($C$5=Lookups!$D$40,AVERAGE($BZ29:$CZ29),AVERAGE($BZ29:$CX29))</f>
        <v>1.2735030126714502</v>
      </c>
      <c r="CU30" s="151">
        <f ca="1">IF($C$5=Lookups!$D$40,AVERAGE($BZ29:$CZ29),AVERAGE($BZ29:$CX29))</f>
        <v>1.2735030126714502</v>
      </c>
      <c r="CV30" s="151">
        <f ca="1">IF($C$5=Lookups!$D$40,AVERAGE($BZ29:$CZ29),AVERAGE($BZ29:$CX29))</f>
        <v>1.2735030126714502</v>
      </c>
      <c r="CW30" s="151">
        <f ca="1">IF($C$5=Lookups!$D$40,AVERAGE($BZ29:$CZ29),AVERAGE($BZ29:$CX29))</f>
        <v>1.2735030126714502</v>
      </c>
      <c r="CX30" s="151">
        <f ca="1">IF($C$5=Lookups!$D$40,AVERAGE($BZ29:$CZ29),AVERAGE($BZ29:$CX29))</f>
        <v>1.2735030126714502</v>
      </c>
      <c r="CY30" s="151">
        <f ca="1">IF($C$5=Lookups!$D$40,AVERAGE($BZ29:$CZ29),AVERAGE($BZ29:$CX29))</f>
        <v>1.2735030126714502</v>
      </c>
      <c r="CZ30" s="151">
        <f ca="1">IF($C$5=Lookups!$D$40,AVERAGE($BZ29:$CZ29),AVERAGE($BZ29:$CX29))</f>
        <v>1.2735030126714502</v>
      </c>
      <c r="DA30" s="151"/>
      <c r="DB30" s="151"/>
      <c r="DE30" s="516" t="s">
        <v>408</v>
      </c>
      <c r="DF30" s="529"/>
    </row>
    <row r="31" spans="3:116" x14ac:dyDescent="0.25">
      <c r="BV31" s="343"/>
      <c r="BW31" s="345"/>
      <c r="BX31" s="126" t="s">
        <v>99</v>
      </c>
      <c r="BY31" s="156" t="s">
        <v>16</v>
      </c>
      <c r="BZ31" s="183" cm="1">
        <f t="array" aca="1" ref="BZ31" ca="1">IFERROR(INDIRECT("Yr"&amp;IF($C$5=Year1,1,IF($C$5=Year2,2,IF($C$5=Year3,3,IF($C$5=Lookups!$D$40,"All"))))&amp;"!"&amp;BZ$71&amp;$DE31),0)</f>
        <v>7.4263711844386959E-2</v>
      </c>
      <c r="CA31" s="183" cm="1">
        <f t="array" aca="1" ref="CA31" ca="1">IFERROR(INDIRECT("Yr"&amp;IF($C$5=Year1,1,IF($C$5=Year2,2,IF($C$5=Year3,3,IF($C$5=Lookups!$D$40,"All"))))&amp;"!"&amp;CA$71&amp;$DE31),0)</f>
        <v>7.9098695756825155E-2</v>
      </c>
      <c r="CB31" s="183" cm="1">
        <f t="array" aca="1" ref="CB31" ca="1">IFERROR(INDIRECT("Yr"&amp;IF($C$5=Year1,1,IF($C$5=Year2,2,IF($C$5=Year3,3,IF($C$5=Lookups!$D$40,"All"))))&amp;"!"&amp;CB$71&amp;$DE31),0)</f>
        <v>8.4335681748720637E-2</v>
      </c>
      <c r="CC31" s="183" cm="1">
        <f t="array" aca="1" ref="CC31" ca="1">IFERROR(INDIRECT("Yr"&amp;IF($C$5=Year1,1,IF($C$5=Year2,2,IF($C$5=Year3,3,IF($C$5=Lookups!$D$40,"All"))))&amp;"!"&amp;CC$71&amp;$DE31),0)</f>
        <v>7.9963122763198058E-3</v>
      </c>
      <c r="CD31" s="183" cm="1">
        <f t="array" aca="1" ref="CD31" ca="1">IFERROR(INDIRECT("Yr"&amp;IF($C$5=Year1,1,IF($C$5=Year2,2,IF($C$5=Year3,3,IF($C$5=Lookups!$D$40,"All"))))&amp;"!"&amp;CD$71&amp;$DE31),0)</f>
        <v>7.9963122763198058E-3</v>
      </c>
      <c r="CE31" s="183" cm="1">
        <f t="array" aca="1" ref="CE31" ca="1">IFERROR(INDIRECT("Yr"&amp;IF($C$5=Year1,1,IF($C$5=Year2,2,IF($C$5=Year3,3,IF($C$5=Lookups!$D$40,"All"))))&amp;"!"&amp;CE$71&amp;$DE31),0)</f>
        <v>7.9963122763198058E-3</v>
      </c>
      <c r="CF31" s="183" cm="1">
        <f t="array" aca="1" ref="CF31" ca="1">IFERROR(INDIRECT("Yr"&amp;IF($C$5=Year1,1,IF($C$5=Year2,2,IF($C$5=Year3,3,IF($C$5=Lookups!$D$40,"All"))))&amp;"!"&amp;CF$71&amp;$DE31),0)</f>
        <v>7.9963122763198058E-3</v>
      </c>
      <c r="CG31" s="183" cm="1">
        <f t="array" aca="1" ref="CG31" ca="1">IFERROR(INDIRECT("Yr"&amp;IF($C$5=Year1,1,IF($C$5=Year2,2,IF($C$5=Year3,3,IF($C$5=Lookups!$D$40,"All"))))&amp;"!"&amp;CG$71&amp;$DE31),0)</f>
        <v>7.9963122763198058E-3</v>
      </c>
      <c r="CH31" s="183" cm="1">
        <f t="array" aca="1" ref="CH31" ca="1">IFERROR(INDIRECT("Yr"&amp;IF($C$5=Year1,1,IF($C$5=Year2,2,IF($C$5=Year3,3,IF($C$5=Lookups!$D$40,"All"))))&amp;"!"&amp;CH$71&amp;$DE31),0)</f>
        <v>7.9963122763198058E-3</v>
      </c>
      <c r="CI31" s="183" cm="1">
        <f t="array" aca="1" ref="CI31" ca="1">IFERROR(INDIRECT("Yr"&amp;IF($C$5=Year1,1,IF($C$5=Year2,2,IF($C$5=Year3,3,IF($C$5=Lookups!$D$40,"All"))))&amp;"!"&amp;CI$71&amp;$DE31),0)</f>
        <v>7.9963122763198058E-3</v>
      </c>
      <c r="CJ31" s="183" cm="1">
        <f t="array" aca="1" ref="CJ31" ca="1">IFERROR(INDIRECT("Yr"&amp;IF($C$5=Year1,1,IF($C$5=Year2,2,IF($C$5=Year3,3,IF($C$5=Lookups!$D$40,"All"))))&amp;"!"&amp;CJ$71&amp;$DE31),0)</f>
        <v>7.9963122763198058E-3</v>
      </c>
      <c r="CK31" s="183" cm="1">
        <f t="array" aca="1" ref="CK31" ca="1">IFERROR(INDIRECT("Yr"&amp;IF($C$5=Year1,1,IF($C$5=Year2,2,IF($C$5=Year3,3,IF($C$5=Lookups!$D$40,"All"))))&amp;"!"&amp;CK$71&amp;$DE31),0)</f>
        <v>7.9963122763198058E-3</v>
      </c>
      <c r="CL31" s="183" cm="1">
        <f t="array" aca="1" ref="CL31" ca="1">IFERROR(INDIRECT("Yr"&amp;IF($C$5=Year1,1,IF($C$5=Year2,2,IF($C$5=Year3,3,IF($C$5=Lookups!$D$40,"All"))))&amp;"!"&amp;CL$71&amp;$DE31),0)</f>
        <v>7.9963122763198058E-3</v>
      </c>
      <c r="CM31" s="183" cm="1">
        <f t="array" aca="1" ref="CM31" ca="1">IFERROR(INDIRECT("Yr"&amp;IF($C$5=Year1,1,IF($C$5=Year2,2,IF($C$5=Year3,3,IF($C$5=Lookups!$D$40,"All"))))&amp;"!"&amp;CM$71&amp;$DE31),0)</f>
        <v>7.9963122763198058E-3</v>
      </c>
      <c r="CN31" s="183" cm="1">
        <f t="array" aca="1" ref="CN31" ca="1">IFERROR(INDIRECT("Yr"&amp;IF($C$5=Year1,1,IF($C$5=Year2,2,IF($C$5=Year3,3,IF($C$5=Lookups!$D$40,"All"))))&amp;"!"&amp;CN$71&amp;$DE31),0)</f>
        <v>7.9963122763198058E-3</v>
      </c>
      <c r="CO31" s="183" cm="1">
        <f t="array" aca="1" ref="CO31" ca="1">IFERROR(INDIRECT("Yr"&amp;IF($C$5=Year1,1,IF($C$5=Year2,2,IF($C$5=Year3,3,IF($C$5=Lookups!$D$40,"All"))))&amp;"!"&amp;CO$71&amp;$DE31),0)</f>
        <v>7.9963122763198058E-3</v>
      </c>
      <c r="CP31" s="183" cm="1">
        <f t="array" aca="1" ref="CP31" ca="1">IFERROR(INDIRECT("Yr"&amp;IF($C$5=Year1,1,IF($C$5=Year2,2,IF($C$5=Year3,3,IF($C$5=Lookups!$D$40,"All"))))&amp;"!"&amp;CP$71&amp;$DE31),0)</f>
        <v>7.9963122763198058E-3</v>
      </c>
      <c r="CQ31" s="183" cm="1">
        <f t="array" aca="1" ref="CQ31" ca="1">IFERROR(INDIRECT("Yr"&amp;IF($C$5=Year1,1,IF($C$5=Year2,2,IF($C$5=Year3,3,IF($C$5=Lookups!$D$40,"All"))))&amp;"!"&amp;CQ$71&amp;$DE31),0)</f>
        <v>7.9963122763198058E-3</v>
      </c>
      <c r="CR31" s="183" cm="1">
        <f t="array" aca="1" ref="CR31" ca="1">IFERROR(INDIRECT("Yr"&amp;IF($C$5=Year1,1,IF($C$5=Year2,2,IF($C$5=Year3,3,IF($C$5=Lookups!$D$40,"All"))))&amp;"!"&amp;CR$71&amp;$DE31),0)</f>
        <v>7.9963122763198058E-3</v>
      </c>
      <c r="CS31" s="183" cm="1">
        <f t="array" aca="1" ref="CS31" ca="1">IFERROR(INDIRECT("Yr"&amp;IF($C$5=Year1,1,IF($C$5=Year2,2,IF($C$5=Year3,3,IF($C$5=Lookups!$D$40,"All"))))&amp;"!"&amp;CS$71&amp;$DE31),0)</f>
        <v>7.9963122763198058E-3</v>
      </c>
      <c r="CT31" s="183" cm="1">
        <f t="array" aca="1" ref="CT31" ca="1">IFERROR(INDIRECT("Yr"&amp;IF($C$5=Year1,1,IF($C$5=Year2,2,IF($C$5=Year3,3,IF($C$5=Lookups!$D$40,"All"))))&amp;"!"&amp;CT$71&amp;$DE31),0)</f>
        <v>5.3137590724914308E-3</v>
      </c>
      <c r="CU31" s="183" cm="1">
        <f t="array" aca="1" ref="CU31" ca="1">IFERROR(INDIRECT("Yr"&amp;IF($C$5=Year1,1,IF($C$5=Year2,2,IF($C$5=Year3,3,IF($C$5=Lookups!$D$40,"All"))))&amp;"!"&amp;CU$71&amp;$DE31),0)</f>
        <v>2.6553045681452225E-3</v>
      </c>
      <c r="CV31" s="183" cm="1">
        <f t="array" aca="1" ref="CV31" ca="1">IFERROR(INDIRECT("Yr"&amp;IF($C$5=Year1,1,IF($C$5=Year2,2,IF($C$5=Year3,3,IF($C$5=Lookups!$D$40,"All"))))&amp;"!"&amp;CV$71&amp;$DE31),0)</f>
        <v>0</v>
      </c>
      <c r="CW31" s="183" cm="1">
        <f t="array" aca="1" ref="CW31" ca="1">IFERROR(INDIRECT("Yr"&amp;IF($C$5=Year1,1,IF($C$5=Year2,2,IF($C$5=Year3,3,IF($C$5=Lookups!$D$40,"All"))))&amp;"!"&amp;CW$71&amp;$DE31),0)</f>
        <v>0</v>
      </c>
      <c r="CX31" s="183" cm="1">
        <f t="array" aca="1" ref="CX31" ca="1">IFERROR(INDIRECT("Yr"&amp;IF($C$5=Year1,1,IF($C$5=Year2,2,IF($C$5=Year3,3,IF($C$5=Lookups!$D$40,"All"))))&amp;"!"&amp;CX$71&amp;$DE31),0)</f>
        <v>0</v>
      </c>
      <c r="CY31" s="183" cm="1">
        <f t="array" aca="1" ref="CY31" ca="1">IFERROR(INDIRECT("Yr"&amp;IF($C$5=Year1,1,IF($C$5=Year2,2,IF($C$5=Year3,3,IF($C$5=Lookups!$D$40,"All"))))&amp;"!"&amp;CY$71&amp;$DE31),0)</f>
        <v>0</v>
      </c>
      <c r="CZ31" s="183" cm="1">
        <f t="array" aca="1" ref="CZ31" ca="1">IFERROR(INDIRECT("Yr"&amp;IF($C$5=Year1,1,IF($C$5=Year2,2,IF($C$5=Year3,3,IF($C$5=Lookups!$D$40,"All"))))&amp;"!"&amp;CZ$71&amp;$DE31),0)</f>
        <v>0</v>
      </c>
      <c r="DA31" s="157"/>
      <c r="DB31" s="183"/>
      <c r="DE31" s="516">
        <f>DE29+DF31</f>
        <v>139</v>
      </c>
      <c r="DF31" s="526">
        <v>1</v>
      </c>
    </row>
    <row r="32" spans="3:116" x14ac:dyDescent="0.25">
      <c r="BV32" s="343"/>
      <c r="BW32" s="345"/>
      <c r="BX32" s="126" t="s">
        <v>100</v>
      </c>
      <c r="BY32" s="156" t="s">
        <v>16</v>
      </c>
      <c r="BZ32" s="157">
        <f ca="1">IF($C$5=Lookups!$D$40,AVERAGE($BZ31:$CZ31),AVERAGE($BZ31:$CX31))</f>
        <v>1.4133498581037263E-2</v>
      </c>
      <c r="CA32" s="157">
        <f ca="1">IF($C$5=Lookups!$D$40,AVERAGE($BZ31:$CZ31),AVERAGE($BZ31:$CX31))</f>
        <v>1.4133498581037263E-2</v>
      </c>
      <c r="CB32" s="157">
        <f ca="1">IF($C$5=Lookups!$D$40,AVERAGE($BZ31:$CZ31),AVERAGE($BZ31:$CX31))</f>
        <v>1.4133498581037263E-2</v>
      </c>
      <c r="CC32" s="157">
        <f ca="1">IF($C$5=Lookups!$D$40,AVERAGE($BZ31:$CZ31),AVERAGE($BZ31:$CX31))</f>
        <v>1.4133498581037263E-2</v>
      </c>
      <c r="CD32" s="157">
        <f ca="1">IF($C$5=Lookups!$D$40,AVERAGE($BZ31:$CZ31),AVERAGE($BZ31:$CX31))</f>
        <v>1.4133498581037263E-2</v>
      </c>
      <c r="CE32" s="157">
        <f ca="1">IF($C$5=Lookups!$D$40,AVERAGE($BZ31:$CZ31),AVERAGE($BZ31:$CX31))</f>
        <v>1.4133498581037263E-2</v>
      </c>
      <c r="CF32" s="157">
        <f ca="1">IF($C$5=Lookups!$D$40,AVERAGE($BZ31:$CZ31),AVERAGE($BZ31:$CX31))</f>
        <v>1.4133498581037263E-2</v>
      </c>
      <c r="CG32" s="157">
        <f ca="1">IF($C$5=Lookups!$D$40,AVERAGE($BZ31:$CZ31),AVERAGE($BZ31:$CX31))</f>
        <v>1.4133498581037263E-2</v>
      </c>
      <c r="CH32" s="157">
        <f ca="1">IF($C$5=Lookups!$D$40,AVERAGE($BZ31:$CZ31),AVERAGE($BZ31:$CX31))</f>
        <v>1.4133498581037263E-2</v>
      </c>
      <c r="CI32" s="157">
        <f ca="1">IF($C$5=Lookups!$D$40,AVERAGE($BZ31:$CZ31),AVERAGE($BZ31:$CX31))</f>
        <v>1.4133498581037263E-2</v>
      </c>
      <c r="CJ32" s="157">
        <f ca="1">IF($C$5=Lookups!$D$40,AVERAGE($BZ31:$CZ31),AVERAGE($BZ31:$CX31))</f>
        <v>1.4133498581037263E-2</v>
      </c>
      <c r="CK32" s="157">
        <f ca="1">IF($C$5=Lookups!$D$40,AVERAGE($BZ31:$CZ31),AVERAGE($BZ31:$CX31))</f>
        <v>1.4133498581037263E-2</v>
      </c>
      <c r="CL32" s="157">
        <f ca="1">IF($C$5=Lookups!$D$40,AVERAGE($BZ31:$CZ31),AVERAGE($BZ31:$CX31))</f>
        <v>1.4133498581037263E-2</v>
      </c>
      <c r="CM32" s="157">
        <f ca="1">IF($C$5=Lookups!$D$40,AVERAGE($BZ31:$CZ31),AVERAGE($BZ31:$CX31))</f>
        <v>1.4133498581037263E-2</v>
      </c>
      <c r="CN32" s="157">
        <f ca="1">IF($C$5=Lookups!$D$40,AVERAGE($BZ31:$CZ31),AVERAGE($BZ31:$CX31))</f>
        <v>1.4133498581037263E-2</v>
      </c>
      <c r="CO32" s="157">
        <f ca="1">IF($C$5=Lookups!$D$40,AVERAGE($BZ31:$CZ31),AVERAGE($BZ31:$CX31))</f>
        <v>1.4133498581037263E-2</v>
      </c>
      <c r="CP32" s="157">
        <f ca="1">IF($C$5=Lookups!$D$40,AVERAGE($BZ31:$CZ31),AVERAGE($BZ31:$CX31))</f>
        <v>1.4133498581037263E-2</v>
      </c>
      <c r="CQ32" s="157">
        <f ca="1">IF($C$5=Lookups!$D$40,AVERAGE($BZ31:$CZ31),AVERAGE($BZ31:$CX31))</f>
        <v>1.4133498581037263E-2</v>
      </c>
      <c r="CR32" s="157">
        <f ca="1">IF($C$5=Lookups!$D$40,AVERAGE($BZ31:$CZ31),AVERAGE($BZ31:$CX31))</f>
        <v>1.4133498581037263E-2</v>
      </c>
      <c r="CS32" s="157">
        <f ca="1">IF($C$5=Lookups!$D$40,AVERAGE($BZ31:$CZ31),AVERAGE($BZ31:$CX31))</f>
        <v>1.4133498581037263E-2</v>
      </c>
      <c r="CT32" s="157">
        <f ca="1">IF($C$5=Lookups!$D$40,AVERAGE($BZ31:$CZ31),AVERAGE($BZ31:$CX31))</f>
        <v>1.4133498581037263E-2</v>
      </c>
      <c r="CU32" s="157">
        <f ca="1">IF($C$5=Lookups!$D$40,AVERAGE($BZ31:$CZ31),AVERAGE($BZ31:$CX31))</f>
        <v>1.4133498581037263E-2</v>
      </c>
      <c r="CV32" s="157">
        <f ca="1">IF($C$5=Lookups!$D$40,AVERAGE($BZ31:$CZ31),AVERAGE($BZ31:$CX31))</f>
        <v>1.4133498581037263E-2</v>
      </c>
      <c r="CW32" s="157">
        <f ca="1">IF($C$5=Lookups!$D$40,AVERAGE($BZ31:$CZ31),AVERAGE($BZ31:$CX31))</f>
        <v>1.4133498581037263E-2</v>
      </c>
      <c r="CX32" s="157">
        <f ca="1">IF($C$5=Lookups!$D$40,AVERAGE($BZ31:$CZ31),AVERAGE($BZ31:$CX31))</f>
        <v>1.4133498581037263E-2</v>
      </c>
      <c r="CY32" s="157">
        <f ca="1">IF($C$5=Lookups!$D$40,AVERAGE($BZ31:$CZ31),AVERAGE($BZ31:$CX31))</f>
        <v>1.4133498581037263E-2</v>
      </c>
      <c r="CZ32" s="157">
        <f ca="1">IF($C$5=Lookups!$D$40,AVERAGE($BZ31:$CZ31),AVERAGE($BZ31:$CX31))</f>
        <v>1.4133498581037263E-2</v>
      </c>
      <c r="DA32" s="157"/>
      <c r="DB32" s="157"/>
      <c r="DE32" s="516" t="s">
        <v>408</v>
      </c>
    </row>
    <row r="33" spans="3:114" x14ac:dyDescent="0.25">
      <c r="BV33" s="343"/>
      <c r="BW33" s="345"/>
      <c r="BX33" s="180" t="str">
        <f ca="1">"Levelized net change "&amp;TEXT(DB33,"0.0%")</f>
        <v>Levelized net change 1.6%</v>
      </c>
      <c r="BY33" s="126"/>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57"/>
      <c r="DB33" s="722" cm="1">
        <f t="array" aca="1" ref="DB33" ca="1">IFERROR(INDIRECT("Yr"&amp;IF($C$5=Year1,1,IF($C$5=Year2,2,IF($C$5=Year3,3,IF($C$5=Lookups!$D$40,"All"))))&amp;"!"&amp;DB$73&amp;$DE33),0)</f>
        <v>1.5776350216022417E-2</v>
      </c>
      <c r="DE33" s="527">
        <f>DE31</f>
        <v>139</v>
      </c>
    </row>
    <row r="34" spans="3:114" x14ac:dyDescent="0.25">
      <c r="BV34" s="343"/>
      <c r="BW34" s="345"/>
      <c r="BX34" s="126"/>
      <c r="BY34" s="126"/>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E34" s="527"/>
    </row>
    <row r="35" spans="3:114" ht="18.75" x14ac:dyDescent="0.3">
      <c r="BV35" s="92" t="str">
        <f>Lookups!$D$24&amp;" v "&amp;Lookups!$D$22</f>
        <v>Alternative EE v No EE</v>
      </c>
      <c r="BW35" s="92"/>
      <c r="BX35" s="129"/>
      <c r="BY35" s="129"/>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E35" s="528"/>
    </row>
    <row r="36" spans="3:114" x14ac:dyDescent="0.25">
      <c r="BV36" s="343"/>
      <c r="BW36" s="160" t="s">
        <v>30</v>
      </c>
      <c r="BX36" s="131"/>
      <c r="BY36" s="131"/>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E36" s="527"/>
    </row>
    <row r="37" spans="3:114" x14ac:dyDescent="0.25">
      <c r="BV37" s="343"/>
      <c r="BW37" s="346"/>
      <c r="BX37" s="131" t="s">
        <v>95</v>
      </c>
      <c r="BY37" s="131" t="s">
        <v>409</v>
      </c>
      <c r="BZ37" s="152" cm="1">
        <f t="array" aca="1" ref="BZ37" ca="1">IFERROR(INDIRECT("Yr"&amp;IF($C$5=Year1,1,IF($C$5=Year2,2,IF($C$5=Year3,3,IF($C$5=Lookups!$D$40,"All"))))&amp;"!"&amp;BZ$72&amp;$DE37)*100,0)</f>
        <v>9.0952917202036048</v>
      </c>
      <c r="CA37" s="152" cm="1">
        <f t="array" aca="1" ref="CA37" ca="1">IFERROR(INDIRECT("Yr"&amp;IF($C$5=Year1,1,IF($C$5=Year2,2,IF($C$5=Year3,3,IF($C$5=Lookups!$D$40,"All"))))&amp;"!"&amp;CA$72&amp;$DE37)*100,0)</f>
        <v>9.0952917202036048</v>
      </c>
      <c r="CB37" s="152" cm="1">
        <f t="array" aca="1" ref="CB37" ca="1">IFERROR(INDIRECT("Yr"&amp;IF($C$5=Year1,1,IF($C$5=Year2,2,IF($C$5=Year3,3,IF($C$5=Lookups!$D$40,"All"))))&amp;"!"&amp;CB$72&amp;$DE37)*100,0)</f>
        <v>9.0952917202036048</v>
      </c>
      <c r="CC37" s="152" cm="1">
        <f t="array" aca="1" ref="CC37" ca="1">IFERROR(INDIRECT("Yr"&amp;IF($C$5=Year1,1,IF($C$5=Year2,2,IF($C$5=Year3,3,IF($C$5=Lookups!$D$40,"All"))))&amp;"!"&amp;CC$72&amp;$DE37)*100,0)</f>
        <v>9.0952917202036048</v>
      </c>
      <c r="CD37" s="152" cm="1">
        <f t="array" aca="1" ref="CD37" ca="1">IFERROR(INDIRECT("Yr"&amp;IF($C$5=Year1,1,IF($C$5=Year2,2,IF($C$5=Year3,3,IF($C$5=Lookups!$D$40,"All"))))&amp;"!"&amp;CD$72&amp;$DE37)*100,0)</f>
        <v>9.0952917202036048</v>
      </c>
      <c r="CE37" s="152" cm="1">
        <f t="array" aca="1" ref="CE37" ca="1">IFERROR(INDIRECT("Yr"&amp;IF($C$5=Year1,1,IF($C$5=Year2,2,IF($C$5=Year3,3,IF($C$5=Lookups!$D$40,"All"))))&amp;"!"&amp;CE$72&amp;$DE37)*100,0)</f>
        <v>9.0952917202036048</v>
      </c>
      <c r="CF37" s="152" cm="1">
        <f t="array" aca="1" ref="CF37" ca="1">IFERROR(INDIRECT("Yr"&amp;IF($C$5=Year1,1,IF($C$5=Year2,2,IF($C$5=Year3,3,IF($C$5=Lookups!$D$40,"All"))))&amp;"!"&amp;CF$72&amp;$DE37)*100,0)</f>
        <v>9.0952917202036048</v>
      </c>
      <c r="CG37" s="152" cm="1">
        <f t="array" aca="1" ref="CG37" ca="1">IFERROR(INDIRECT("Yr"&amp;IF($C$5=Year1,1,IF($C$5=Year2,2,IF($C$5=Year3,3,IF($C$5=Lookups!$D$40,"All"))))&amp;"!"&amp;CG$72&amp;$DE37)*100,0)</f>
        <v>9.0952917202036048</v>
      </c>
      <c r="CH37" s="152" cm="1">
        <f t="array" aca="1" ref="CH37" ca="1">IFERROR(INDIRECT("Yr"&amp;IF($C$5=Year1,1,IF($C$5=Year2,2,IF($C$5=Year3,3,IF($C$5=Lookups!$D$40,"All"))))&amp;"!"&amp;CH$72&amp;$DE37)*100,0)</f>
        <v>9.0952917202036048</v>
      </c>
      <c r="CI37" s="152" cm="1">
        <f t="array" aca="1" ref="CI37" ca="1">IFERROR(INDIRECT("Yr"&amp;IF($C$5=Year1,1,IF($C$5=Year2,2,IF($C$5=Year3,3,IF($C$5=Lookups!$D$40,"All"))))&amp;"!"&amp;CI$72&amp;$DE37)*100,0)</f>
        <v>9.0952917202036048</v>
      </c>
      <c r="CJ37" s="152" cm="1">
        <f t="array" aca="1" ref="CJ37" ca="1">IFERROR(INDIRECT("Yr"&amp;IF($C$5=Year1,1,IF($C$5=Year2,2,IF($C$5=Year3,3,IF($C$5=Lookups!$D$40,"All"))))&amp;"!"&amp;CJ$72&amp;$DE37)*100,0)</f>
        <v>9.0952917202036048</v>
      </c>
      <c r="CK37" s="152" cm="1">
        <f t="array" aca="1" ref="CK37" ca="1">IFERROR(INDIRECT("Yr"&amp;IF($C$5=Year1,1,IF($C$5=Year2,2,IF($C$5=Year3,3,IF($C$5=Lookups!$D$40,"All"))))&amp;"!"&amp;CK$72&amp;$DE37)*100,0)</f>
        <v>9.0952917202036048</v>
      </c>
      <c r="CL37" s="152" cm="1">
        <f t="array" aca="1" ref="CL37" ca="1">IFERROR(INDIRECT("Yr"&amp;IF($C$5=Year1,1,IF($C$5=Year2,2,IF($C$5=Year3,3,IF($C$5=Lookups!$D$40,"All"))))&amp;"!"&amp;CL$72&amp;$DE37)*100,0)</f>
        <v>9.0952917202036048</v>
      </c>
      <c r="CM37" s="152" cm="1">
        <f t="array" aca="1" ref="CM37" ca="1">IFERROR(INDIRECT("Yr"&amp;IF($C$5=Year1,1,IF($C$5=Year2,2,IF($C$5=Year3,3,IF($C$5=Lookups!$D$40,"All"))))&amp;"!"&amp;CM$72&amp;$DE37)*100,0)</f>
        <v>9.0952917202036048</v>
      </c>
      <c r="CN37" s="152" cm="1">
        <f t="array" aca="1" ref="CN37" ca="1">IFERROR(INDIRECT("Yr"&amp;IF($C$5=Year1,1,IF($C$5=Year2,2,IF($C$5=Year3,3,IF($C$5=Lookups!$D$40,"All"))))&amp;"!"&amp;CN$72&amp;$DE37)*100,0)</f>
        <v>9.0952917202036048</v>
      </c>
      <c r="CO37" s="152" cm="1">
        <f t="array" aca="1" ref="CO37" ca="1">IFERROR(INDIRECT("Yr"&amp;IF($C$5=Year1,1,IF($C$5=Year2,2,IF($C$5=Year3,3,IF($C$5=Lookups!$D$40,"All"))))&amp;"!"&amp;CO$72&amp;$DE37)*100,0)</f>
        <v>9.0952917202036048</v>
      </c>
      <c r="CP37" s="152" cm="1">
        <f t="array" aca="1" ref="CP37" ca="1">IFERROR(INDIRECT("Yr"&amp;IF($C$5=Year1,1,IF($C$5=Year2,2,IF($C$5=Year3,3,IF($C$5=Lookups!$D$40,"All"))))&amp;"!"&amp;CP$72&amp;$DE37)*100,0)</f>
        <v>9.0952917202036048</v>
      </c>
      <c r="CQ37" s="152" cm="1">
        <f t="array" aca="1" ref="CQ37" ca="1">IFERROR(INDIRECT("Yr"&amp;IF($C$5=Year1,1,IF($C$5=Year2,2,IF($C$5=Year3,3,IF($C$5=Lookups!$D$40,"All"))))&amp;"!"&amp;CQ$72&amp;$DE37)*100,0)</f>
        <v>9.0952917202036048</v>
      </c>
      <c r="CR37" s="152" cm="1">
        <f t="array" aca="1" ref="CR37" ca="1">IFERROR(INDIRECT("Yr"&amp;IF($C$5=Year1,1,IF($C$5=Year2,2,IF($C$5=Year3,3,IF($C$5=Lookups!$D$40,"All"))))&amp;"!"&amp;CR$72&amp;$DE37)*100,0)</f>
        <v>9.0952917202036048</v>
      </c>
      <c r="CS37" s="152" cm="1">
        <f t="array" aca="1" ref="CS37" ca="1">IFERROR(INDIRECT("Yr"&amp;IF($C$5=Year1,1,IF($C$5=Year2,2,IF($C$5=Year3,3,IF($C$5=Lookups!$D$40,"All"))))&amp;"!"&amp;CS$72&amp;$DE37)*100,0)</f>
        <v>9.0952917202036048</v>
      </c>
      <c r="CT37" s="152" cm="1">
        <f t="array" aca="1" ref="CT37" ca="1">IFERROR(INDIRECT("Yr"&amp;IF($C$5=Year1,1,IF($C$5=Year2,2,IF($C$5=Year3,3,IF($C$5=Lookups!$D$40,"All"))))&amp;"!"&amp;CT$72&amp;$DE37)*100,0)</f>
        <v>9.0952917202036048</v>
      </c>
      <c r="CU37" s="152" cm="1">
        <f t="array" aca="1" ref="CU37" ca="1">IFERROR(INDIRECT("Yr"&amp;IF($C$5=Year1,1,IF($C$5=Year2,2,IF($C$5=Year3,3,IF($C$5=Lookups!$D$40,"All"))))&amp;"!"&amp;CU$72&amp;$DE37)*100,0)</f>
        <v>9.0952917202036048</v>
      </c>
      <c r="CV37" s="152" cm="1">
        <f t="array" aca="1" ref="CV37" ca="1">IFERROR(INDIRECT("Yr"&amp;IF($C$5=Year1,1,IF($C$5=Year2,2,IF($C$5=Year3,3,IF($C$5=Lookups!$D$40,"All"))))&amp;"!"&amp;CV$72&amp;$DE37)*100,0)</f>
        <v>9.0952917202036048</v>
      </c>
      <c r="CW37" s="152" cm="1">
        <f t="array" aca="1" ref="CW37" ca="1">IFERROR(INDIRECT("Yr"&amp;IF($C$5=Year1,1,IF($C$5=Year2,2,IF($C$5=Year3,3,IF($C$5=Lookups!$D$40,"All"))))&amp;"!"&amp;CW$72&amp;$DE37)*100,0)</f>
        <v>9.0952917202036048</v>
      </c>
      <c r="CX37" s="152" cm="1">
        <f t="array" aca="1" ref="CX37" ca="1">IFERROR(INDIRECT("Yr"&amp;IF($C$5=Year1,1,IF($C$5=Year2,2,IF($C$5=Year3,3,IF($C$5=Lookups!$D$40,"All"))))&amp;"!"&amp;CX$72&amp;$DE37)*100,0)</f>
        <v>9.0952917202036048</v>
      </c>
      <c r="CY37" s="152" cm="1">
        <f t="array" aca="1" ref="CY37" ca="1">IFERROR(INDIRECT("Yr"&amp;IF($C$5=Year1,1,IF($C$5=Year2,2,IF($C$5=Year3,3,IF($C$5=Lookups!$D$40,"All"))))&amp;"!"&amp;CY$72&amp;$DE37)*100,0)</f>
        <v>9.0952917202036048</v>
      </c>
      <c r="CZ37" s="152" cm="1">
        <f t="array" aca="1" ref="CZ37" ca="1">IFERROR(INDIRECT("Yr"&amp;IF($C$5=Year1,1,IF($C$5=Year2,2,IF($C$5=Year3,3,IF($C$5=Lookups!$D$40,"All"))))&amp;"!"&amp;CZ$72&amp;$DE37)*100,0)</f>
        <v>9.0952917202036048</v>
      </c>
      <c r="DA37" s="152"/>
      <c r="DB37" s="152">
        <f ca="1">IF($C$5=Lookups!$D$40,-PMT(Lookups!$E$17,27,NPV(Lookups!$E$17,BZ37:CZ37),0,1),-PMT(Lookups!$E$17,25,NPV(Lookups!$E$17,BZ37:CX37),0,1))</f>
        <v>8.9684421310792146</v>
      </c>
      <c r="DE37" s="516">
        <f t="shared" ref="DE37:DE43" si="5">DE17</f>
        <v>135</v>
      </c>
    </row>
    <row r="38" spans="3:114" x14ac:dyDescent="0.25">
      <c r="BV38" s="343"/>
      <c r="BW38" s="346"/>
      <c r="BX38" s="131" t="s">
        <v>26</v>
      </c>
      <c r="BY38" s="131" t="s">
        <v>409</v>
      </c>
      <c r="BZ38" s="152" cm="1">
        <f t="array" aca="1" ref="BZ38" ca="1">IFERROR(INDIRECT("Yr"&amp;IF($C$5=Year1,1,IF($C$5=Year2,2,IF($C$5=Year3,3,IF($C$5=Lookups!$D$40,"All"))))&amp;"!"&amp;BZ$72&amp;$DE38)*100,0)</f>
        <v>22.662895745449973</v>
      </c>
      <c r="CA38" s="152" cm="1">
        <f t="array" aca="1" ref="CA38" ca="1">IFERROR(INDIRECT("Yr"&amp;IF($C$5=Year1,1,IF($C$5=Year2,2,IF($C$5=Year3,3,IF($C$5=Lookups!$D$40,"All"))))&amp;"!"&amp;CA$72&amp;$DE38)*100,0)</f>
        <v>23.075496120791598</v>
      </c>
      <c r="CB38" s="152" cm="1">
        <f t="array" aca="1" ref="CB38" ca="1">IFERROR(INDIRECT("Yr"&amp;IF($C$5=Year1,1,IF($C$5=Year2,2,IF($C$5=Year3,3,IF($C$5=Lookups!$D$40,"All"))))&amp;"!"&amp;CB$72&amp;$DE38)*100,0)</f>
        <v>23.524817002685634</v>
      </c>
      <c r="CC38" s="152" cm="1">
        <f t="array" aca="1" ref="CC38" ca="1">IFERROR(INDIRECT("Yr"&amp;IF($C$5=Year1,1,IF($C$5=Year2,2,IF($C$5=Year3,3,IF($C$5=Lookups!$D$40,"All"))))&amp;"!"&amp;CC$72&amp;$DE38)*100,0)</f>
        <v>23.524817002685634</v>
      </c>
      <c r="CD38" s="152" cm="1">
        <f t="array" aca="1" ref="CD38" ca="1">IFERROR(INDIRECT("Yr"&amp;IF($C$5=Year1,1,IF($C$5=Year2,2,IF($C$5=Year3,3,IF($C$5=Lookups!$D$40,"All"))))&amp;"!"&amp;CD$72&amp;$DE38)*100,0)</f>
        <v>23.524817002685634</v>
      </c>
      <c r="CE38" s="152" cm="1">
        <f t="array" aca="1" ref="CE38" ca="1">IFERROR(INDIRECT("Yr"&amp;IF($C$5=Year1,1,IF($C$5=Year2,2,IF($C$5=Year3,3,IF($C$5=Lookups!$D$40,"All"))))&amp;"!"&amp;CE$72&amp;$DE38)*100,0)</f>
        <v>23.524817002685634</v>
      </c>
      <c r="CF38" s="152" cm="1">
        <f t="array" aca="1" ref="CF38" ca="1">IFERROR(INDIRECT("Yr"&amp;IF($C$5=Year1,1,IF($C$5=Year2,2,IF($C$5=Year3,3,IF($C$5=Lookups!$D$40,"All"))))&amp;"!"&amp;CF$72&amp;$DE38)*100,0)</f>
        <v>23.524817002685634</v>
      </c>
      <c r="CG38" s="152" cm="1">
        <f t="array" aca="1" ref="CG38" ca="1">IFERROR(INDIRECT("Yr"&amp;IF($C$5=Year1,1,IF($C$5=Year2,2,IF($C$5=Year3,3,IF($C$5=Lookups!$D$40,"All"))))&amp;"!"&amp;CG$72&amp;$DE38)*100,0)</f>
        <v>23.524817002685634</v>
      </c>
      <c r="CH38" s="152" cm="1">
        <f t="array" aca="1" ref="CH38" ca="1">IFERROR(INDIRECT("Yr"&amp;IF($C$5=Year1,1,IF($C$5=Year2,2,IF($C$5=Year3,3,IF($C$5=Lookups!$D$40,"All"))))&amp;"!"&amp;CH$72&amp;$DE38)*100,0)</f>
        <v>23.524817002685634</v>
      </c>
      <c r="CI38" s="152" cm="1">
        <f t="array" aca="1" ref="CI38" ca="1">IFERROR(INDIRECT("Yr"&amp;IF($C$5=Year1,1,IF($C$5=Year2,2,IF($C$5=Year3,3,IF($C$5=Lookups!$D$40,"All"))))&amp;"!"&amp;CI$72&amp;$DE38)*100,0)</f>
        <v>23.524817002685634</v>
      </c>
      <c r="CJ38" s="152" cm="1">
        <f t="array" aca="1" ref="CJ38" ca="1">IFERROR(INDIRECT("Yr"&amp;IF($C$5=Year1,1,IF($C$5=Year2,2,IF($C$5=Year3,3,IF($C$5=Lookups!$D$40,"All"))))&amp;"!"&amp;CJ$72&amp;$DE38)*100,0)</f>
        <v>23.524817002685634</v>
      </c>
      <c r="CK38" s="152" cm="1">
        <f t="array" aca="1" ref="CK38" ca="1">IFERROR(INDIRECT("Yr"&amp;IF($C$5=Year1,1,IF($C$5=Year2,2,IF($C$5=Year3,3,IF($C$5=Lookups!$D$40,"All"))))&amp;"!"&amp;CK$72&amp;$DE38)*100,0)</f>
        <v>23.524817002685634</v>
      </c>
      <c r="CL38" s="152" cm="1">
        <f t="array" aca="1" ref="CL38" ca="1">IFERROR(INDIRECT("Yr"&amp;IF($C$5=Year1,1,IF($C$5=Year2,2,IF($C$5=Year3,3,IF($C$5=Lookups!$D$40,"All"))))&amp;"!"&amp;CL$72&amp;$DE38)*100,0)</f>
        <v>23.524817002685634</v>
      </c>
      <c r="CM38" s="152" cm="1">
        <f t="array" aca="1" ref="CM38" ca="1">IFERROR(INDIRECT("Yr"&amp;IF($C$5=Year1,1,IF($C$5=Year2,2,IF($C$5=Year3,3,IF($C$5=Lookups!$D$40,"All"))))&amp;"!"&amp;CM$72&amp;$DE38)*100,0)</f>
        <v>23.524817002685634</v>
      </c>
      <c r="CN38" s="152" cm="1">
        <f t="array" aca="1" ref="CN38" ca="1">IFERROR(INDIRECT("Yr"&amp;IF($C$5=Year1,1,IF($C$5=Year2,2,IF($C$5=Year3,3,IF($C$5=Lookups!$D$40,"All"))))&amp;"!"&amp;CN$72&amp;$DE38)*100,0)</f>
        <v>23.524817002685634</v>
      </c>
      <c r="CO38" s="152" cm="1">
        <f t="array" aca="1" ref="CO38" ca="1">IFERROR(INDIRECT("Yr"&amp;IF($C$5=Year1,1,IF($C$5=Year2,2,IF($C$5=Year3,3,IF($C$5=Lookups!$D$40,"All"))))&amp;"!"&amp;CO$72&amp;$DE38)*100,0)</f>
        <v>23.524817002685634</v>
      </c>
      <c r="CP38" s="152" cm="1">
        <f t="array" aca="1" ref="CP38" ca="1">IFERROR(INDIRECT("Yr"&amp;IF($C$5=Year1,1,IF($C$5=Year2,2,IF($C$5=Year3,3,IF($C$5=Lookups!$D$40,"All"))))&amp;"!"&amp;CP$72&amp;$DE38)*100,0)</f>
        <v>23.524817002685634</v>
      </c>
      <c r="CQ38" s="152" cm="1">
        <f t="array" aca="1" ref="CQ38" ca="1">IFERROR(INDIRECT("Yr"&amp;IF($C$5=Year1,1,IF($C$5=Year2,2,IF($C$5=Year3,3,IF($C$5=Lookups!$D$40,"All"))))&amp;"!"&amp;CQ$72&amp;$DE38)*100,0)</f>
        <v>23.524817002685634</v>
      </c>
      <c r="CR38" s="152" cm="1">
        <f t="array" aca="1" ref="CR38" ca="1">IFERROR(INDIRECT("Yr"&amp;IF($C$5=Year1,1,IF($C$5=Year2,2,IF($C$5=Year3,3,IF($C$5=Lookups!$D$40,"All"))))&amp;"!"&amp;CR$72&amp;$DE38)*100,0)</f>
        <v>23.524817002685634</v>
      </c>
      <c r="CS38" s="152" cm="1">
        <f t="array" aca="1" ref="CS38" ca="1">IFERROR(INDIRECT("Yr"&amp;IF($C$5=Year1,1,IF($C$5=Year2,2,IF($C$5=Year3,3,IF($C$5=Lookups!$D$40,"All"))))&amp;"!"&amp;CS$72&amp;$DE38)*100,0)</f>
        <v>23.524817002685634</v>
      </c>
      <c r="CT38" s="152" cm="1">
        <f t="array" aca="1" ref="CT38" ca="1">IFERROR(INDIRECT("Yr"&amp;IF($C$5=Year1,1,IF($C$5=Year2,2,IF($C$5=Year3,3,IF($C$5=Lookups!$D$40,"All"))))&amp;"!"&amp;CT$72&amp;$DE38)*100,0)</f>
        <v>23.104640384929318</v>
      </c>
      <c r="CU38" s="152" cm="1">
        <f t="array" aca="1" ref="CU38" ca="1">IFERROR(INDIRECT("Yr"&amp;IF($C$5=Year1,1,IF($C$5=Year2,2,IF($C$5=Year3,3,IF($C$5=Lookups!$D$40,"All"))))&amp;"!"&amp;CU$72&amp;$DE38)*100,0)</f>
        <v>22.690743651385841</v>
      </c>
      <c r="CV38" s="152" cm="1">
        <f t="array" aca="1" ref="CV38" ca="1">IFERROR(INDIRECT("Yr"&amp;IF($C$5=Year1,1,IF($C$5=Year2,2,IF($C$5=Year3,3,IF($C$5=Lookups!$D$40,"All"))))&amp;"!"&amp;CV$72&amp;$DE38)*100,0)</f>
        <v>22.28</v>
      </c>
      <c r="CW38" s="152" cm="1">
        <f t="array" aca="1" ref="CW38" ca="1">IFERROR(INDIRECT("Yr"&amp;IF($C$5=Year1,1,IF($C$5=Year2,2,IF($C$5=Year3,3,IF($C$5=Lookups!$D$40,"All"))))&amp;"!"&amp;CW$72&amp;$DE38)*100,0)</f>
        <v>22.28</v>
      </c>
      <c r="CX38" s="152" cm="1">
        <f t="array" aca="1" ref="CX38" ca="1">IFERROR(INDIRECT("Yr"&amp;IF($C$5=Year1,1,IF($C$5=Year2,2,IF($C$5=Year3,3,IF($C$5=Lookups!$D$40,"All"))))&amp;"!"&amp;CX$72&amp;$DE38)*100,0)</f>
        <v>22.28</v>
      </c>
      <c r="CY38" s="152" cm="1">
        <f t="array" aca="1" ref="CY38" ca="1">IFERROR(INDIRECT("Yr"&amp;IF($C$5=Year1,1,IF($C$5=Year2,2,IF($C$5=Year3,3,IF($C$5=Lookups!$D$40,"All"))))&amp;"!"&amp;CY$72&amp;$DE38)*100,0)</f>
        <v>22.28</v>
      </c>
      <c r="CZ38" s="152" cm="1">
        <f t="array" aca="1" ref="CZ38" ca="1">IFERROR(INDIRECT("Yr"&amp;IF($C$5=Year1,1,IF($C$5=Year2,2,IF($C$5=Year3,3,IF($C$5=Lookups!$D$40,"All"))))&amp;"!"&amp;CZ$72&amp;$DE38)*100,0)</f>
        <v>22.28</v>
      </c>
      <c r="DA38" s="152"/>
      <c r="DB38" s="152">
        <f ca="1">IF($C$5=Lookups!$D$40,-PMT(Lookups!$E$17,27,NPV(Lookups!$E$17,BZ38:CZ38),0,1),-PMT(Lookups!$E$17,25,NPV(Lookups!$E$17,BZ38:CX38),0,1))</f>
        <v>22.905326863381156</v>
      </c>
      <c r="DE38" s="516">
        <f t="shared" si="5"/>
        <v>131</v>
      </c>
    </row>
    <row r="39" spans="3:114" ht="18.75" x14ac:dyDescent="0.3">
      <c r="C39" s="94" t="str">
        <f>"Total Rates: "&amp;Lookups!$D$22</f>
        <v>Total Rates: No EE</v>
      </c>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K39" s="101" t="str">
        <f>"Change in Rates: "&amp;Lookups!$D$23&amp;" v "&amp;Lookups!$D$24</f>
        <v>Change in Rates: 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V39" s="343"/>
      <c r="BW39" s="346"/>
      <c r="BX39" s="131" t="s">
        <v>407</v>
      </c>
      <c r="BY39" s="131" t="s">
        <v>409</v>
      </c>
      <c r="BZ39" s="152" cm="1">
        <f t="array" aca="1" ref="BZ39" ca="1">IFERROR(INDIRECT("Yr"&amp;IF($C$5=Year1,1,IF($C$5=Year2,2,IF($C$5=Year3,3,IF($C$5=Lookups!$D$40,"All"))))&amp;"!"&amp;BZ$72&amp;$DE39)*100,0)</f>
        <v>-3.3720414817729765</v>
      </c>
      <c r="CA39" s="152" cm="1">
        <f t="array" aca="1" ref="CA39" ca="1">IFERROR(INDIRECT("Yr"&amp;IF($C$5=Year1,1,IF($C$5=Year2,2,IF($C$5=Year3,3,IF($C$5=Lookups!$D$40,"All"))))&amp;"!"&amp;CA$72&amp;$DE39)*100,0)</f>
        <v>-3.4496703254108798</v>
      </c>
      <c r="CB39" s="152" cm="1">
        <f t="array" aca="1" ref="CB39" ca="1">IFERROR(INDIRECT("Yr"&amp;IF($C$5=Year1,1,IF($C$5=Year2,2,IF($C$5=Year3,3,IF($C$5=Lookups!$D$40,"All"))))&amp;"!"&amp;CB$72&amp;$DE39)*100,0)</f>
        <v>-3.5341958487833254</v>
      </c>
      <c r="CC39" s="152" cm="1">
        <f t="array" aca="1" ref="CC39" ca="1">IFERROR(INDIRECT("Yr"&amp;IF($C$5=Year1,1,IF($C$5=Year2,2,IF($C$5=Year3,3,IF($C$5=Lookups!$D$40,"All"))))&amp;"!"&amp;CC$72&amp;$DE39)*100,0)</f>
        <v>-3.5341958487833254</v>
      </c>
      <c r="CD39" s="152" cm="1">
        <f t="array" aca="1" ref="CD39" ca="1">IFERROR(INDIRECT("Yr"&amp;IF($C$5=Year1,1,IF($C$5=Year2,2,IF($C$5=Year3,3,IF($C$5=Lookups!$D$40,"All"))))&amp;"!"&amp;CD$72&amp;$DE39)*100,0)</f>
        <v>-3.5341958487833254</v>
      </c>
      <c r="CE39" s="152" cm="1">
        <f t="array" aca="1" ref="CE39" ca="1">IFERROR(INDIRECT("Yr"&amp;IF($C$5=Year1,1,IF($C$5=Year2,2,IF($C$5=Year3,3,IF($C$5=Lookups!$D$40,"All"))))&amp;"!"&amp;CE$72&amp;$DE39)*100,0)</f>
        <v>-3.5341958487833254</v>
      </c>
      <c r="CF39" s="152" cm="1">
        <f t="array" aca="1" ref="CF39" ca="1">IFERROR(INDIRECT("Yr"&amp;IF($C$5=Year1,1,IF($C$5=Year2,2,IF($C$5=Year3,3,IF($C$5=Lookups!$D$40,"All"))))&amp;"!"&amp;CF$72&amp;$DE39)*100,0)</f>
        <v>-3.5341958487833254</v>
      </c>
      <c r="CG39" s="152" cm="1">
        <f t="array" aca="1" ref="CG39" ca="1">IFERROR(INDIRECT("Yr"&amp;IF($C$5=Year1,1,IF($C$5=Year2,2,IF($C$5=Year3,3,IF($C$5=Lookups!$D$40,"All"))))&amp;"!"&amp;CG$72&amp;$DE39)*100,0)</f>
        <v>-3.5341958487833254</v>
      </c>
      <c r="CH39" s="152" cm="1">
        <f t="array" aca="1" ref="CH39" ca="1">IFERROR(INDIRECT("Yr"&amp;IF($C$5=Year1,1,IF($C$5=Year2,2,IF($C$5=Year3,3,IF($C$5=Lookups!$D$40,"All"))))&amp;"!"&amp;CH$72&amp;$DE39)*100,0)</f>
        <v>-3.5341958487833254</v>
      </c>
      <c r="CI39" s="152" cm="1">
        <f t="array" aca="1" ref="CI39" ca="1">IFERROR(INDIRECT("Yr"&amp;IF($C$5=Year1,1,IF($C$5=Year2,2,IF($C$5=Year3,3,IF($C$5=Lookups!$D$40,"All"))))&amp;"!"&amp;CI$72&amp;$DE39)*100,0)</f>
        <v>-3.5341958487833254</v>
      </c>
      <c r="CJ39" s="152" cm="1">
        <f t="array" aca="1" ref="CJ39" ca="1">IFERROR(INDIRECT("Yr"&amp;IF($C$5=Year1,1,IF($C$5=Year2,2,IF($C$5=Year3,3,IF($C$5=Lookups!$D$40,"All"))))&amp;"!"&amp;CJ$72&amp;$DE39)*100,0)</f>
        <v>-3.5341958487833254</v>
      </c>
      <c r="CK39" s="152" cm="1">
        <f t="array" aca="1" ref="CK39" ca="1">IFERROR(INDIRECT("Yr"&amp;IF($C$5=Year1,1,IF($C$5=Year2,2,IF($C$5=Year3,3,IF($C$5=Lookups!$D$40,"All"))))&amp;"!"&amp;CK$72&amp;$DE39)*100,0)</f>
        <v>-3.5341958487833254</v>
      </c>
      <c r="CL39" s="152" cm="1">
        <f t="array" aca="1" ref="CL39" ca="1">IFERROR(INDIRECT("Yr"&amp;IF($C$5=Year1,1,IF($C$5=Year2,2,IF($C$5=Year3,3,IF($C$5=Lookups!$D$40,"All"))))&amp;"!"&amp;CL$72&amp;$DE39)*100,0)</f>
        <v>-3.5341958487833254</v>
      </c>
      <c r="CM39" s="152" cm="1">
        <f t="array" aca="1" ref="CM39" ca="1">IFERROR(INDIRECT("Yr"&amp;IF($C$5=Year1,1,IF($C$5=Year2,2,IF($C$5=Year3,3,IF($C$5=Lookups!$D$40,"All"))))&amp;"!"&amp;CM$72&amp;$DE39)*100,0)</f>
        <v>-3.5341958487833254</v>
      </c>
      <c r="CN39" s="152" cm="1">
        <f t="array" aca="1" ref="CN39" ca="1">IFERROR(INDIRECT("Yr"&amp;IF($C$5=Year1,1,IF($C$5=Year2,2,IF($C$5=Year3,3,IF($C$5=Lookups!$D$40,"All"))))&amp;"!"&amp;CN$72&amp;$DE39)*100,0)</f>
        <v>-3.5341958487833254</v>
      </c>
      <c r="CO39" s="152" cm="1">
        <f t="array" aca="1" ref="CO39" ca="1">IFERROR(INDIRECT("Yr"&amp;IF($C$5=Year1,1,IF($C$5=Year2,2,IF($C$5=Year3,3,IF($C$5=Lookups!$D$40,"All"))))&amp;"!"&amp;CO$72&amp;$DE39)*100,0)</f>
        <v>-3.5341958487833254</v>
      </c>
      <c r="CP39" s="152" cm="1">
        <f t="array" aca="1" ref="CP39" ca="1">IFERROR(INDIRECT("Yr"&amp;IF($C$5=Year1,1,IF($C$5=Year2,2,IF($C$5=Year3,3,IF($C$5=Lookups!$D$40,"All"))))&amp;"!"&amp;CP$72&amp;$DE39)*100,0)</f>
        <v>-3.5341958487833254</v>
      </c>
      <c r="CQ39" s="152" cm="1">
        <f t="array" aca="1" ref="CQ39" ca="1">IFERROR(INDIRECT("Yr"&amp;IF($C$5=Year1,1,IF($C$5=Year2,2,IF($C$5=Year3,3,IF($C$5=Lookups!$D$40,"All"))))&amp;"!"&amp;CQ$72&amp;$DE39)*100,0)</f>
        <v>-3.5341958487833254</v>
      </c>
      <c r="CR39" s="152" cm="1">
        <f t="array" aca="1" ref="CR39" ca="1">IFERROR(INDIRECT("Yr"&amp;IF($C$5=Year1,1,IF($C$5=Year2,2,IF($C$5=Year3,3,IF($C$5=Lookups!$D$40,"All"))))&amp;"!"&amp;CR$72&amp;$DE39)*100,0)</f>
        <v>-3.5341958487833254</v>
      </c>
      <c r="CS39" s="152" cm="1">
        <f t="array" aca="1" ref="CS39" ca="1">IFERROR(INDIRECT("Yr"&amp;IF($C$5=Year1,1,IF($C$5=Year2,2,IF($C$5=Year3,3,IF($C$5=Lookups!$D$40,"All"))))&amp;"!"&amp;CS$72&amp;$DE39)*100,0)</f>
        <v>-3.5341958487833254</v>
      </c>
      <c r="CT39" s="152" cm="1">
        <f t="array" aca="1" ref="CT39" ca="1">IFERROR(INDIRECT("Yr"&amp;IF($C$5=Year1,1,IF($C$5=Year2,2,IF($C$5=Year3,3,IF($C$5=Lookups!$D$40,"All"))))&amp;"!"&amp;CT$72&amp;$DE39)*100,0)</f>
        <v>-3.4551403479976908</v>
      </c>
      <c r="CU39" s="152" cm="1">
        <f t="array" aca="1" ref="CU39" ca="1">IFERROR(INDIRECT("Yr"&amp;IF($C$5=Year1,1,IF($C$5=Year2,2,IF($C$5=Year3,3,IF($C$5=Lookups!$D$40,"All"))))&amp;"!"&amp;CU$72&amp;$DE39)*100,0)</f>
        <v>-3.3772679011400948</v>
      </c>
      <c r="CV39" s="152" cm="1">
        <f t="array" aca="1" ref="CV39" ca="1">IFERROR(INDIRECT("Yr"&amp;IF($C$5=Year1,1,IF($C$5=Year2,2,IF($C$5=Year3,3,IF($C$5=Lookups!$D$40,"All"))))&amp;"!"&amp;CV$72&amp;$DE39)*100,0)</f>
        <v>-3.3000000000000003</v>
      </c>
      <c r="CW39" s="152" cm="1">
        <f t="array" aca="1" ref="CW39" ca="1">IFERROR(INDIRECT("Yr"&amp;IF($C$5=Year1,1,IF($C$5=Year2,2,IF($C$5=Year3,3,IF($C$5=Lookups!$D$40,"All"))))&amp;"!"&amp;CW$72&amp;$DE39)*100,0)</f>
        <v>-3.3000000000000003</v>
      </c>
      <c r="CX39" s="152" cm="1">
        <f t="array" aca="1" ref="CX39" ca="1">IFERROR(INDIRECT("Yr"&amp;IF($C$5=Year1,1,IF($C$5=Year2,2,IF($C$5=Year3,3,IF($C$5=Lookups!$D$40,"All"))))&amp;"!"&amp;CX$72&amp;$DE39)*100,0)</f>
        <v>-3.3000000000000003</v>
      </c>
      <c r="CY39" s="152" cm="1">
        <f t="array" aca="1" ref="CY39" ca="1">IFERROR(INDIRECT("Yr"&amp;IF($C$5=Year1,1,IF($C$5=Year2,2,IF($C$5=Year3,3,IF($C$5=Lookups!$D$40,"All"))))&amp;"!"&amp;CY$72&amp;$DE39)*100,0)</f>
        <v>-3.3000000000000003</v>
      </c>
      <c r="CZ39" s="152" cm="1">
        <f t="array" aca="1" ref="CZ39" ca="1">IFERROR(INDIRECT("Yr"&amp;IF($C$5=Year1,1,IF($C$5=Year2,2,IF($C$5=Year3,3,IF($C$5=Lookups!$D$40,"All"))))&amp;"!"&amp;CZ$72&amp;$DE39)*100,0)</f>
        <v>-3.3000000000000003</v>
      </c>
      <c r="DA39" s="152"/>
      <c r="DB39" s="152">
        <f ca="1">IF($C$5=Lookups!$D$40,-PMT(Lookups!$E$17,27,NPV(Lookups!$E$17,BZ39:CZ39),0,1),-PMT(Lookups!$E$17,25,NPV(Lookups!$E$17,BZ39:CX39),0,1))</f>
        <v>-3.4300832364473735</v>
      </c>
      <c r="DE39" s="516">
        <f t="shared" si="5"/>
        <v>132</v>
      </c>
    </row>
    <row r="40" spans="3:114" x14ac:dyDescent="0.25">
      <c r="BV40" s="343"/>
      <c r="BW40" s="346"/>
      <c r="BX40" s="131" t="s">
        <v>197</v>
      </c>
      <c r="BY40" s="131" t="s">
        <v>409</v>
      </c>
      <c r="BZ40" s="152" cm="1">
        <f t="array" aca="1" ref="BZ40" ca="1">IFERROR(INDIRECT("Yr"&amp;IF($C$5=Year1,1,IF($C$5=Year2,2,IF($C$5=Year3,3,IF($C$5=Lookups!$D$40,"All"))))&amp;"!"&amp;BZ$72&amp;$DE40)*100,0)</f>
        <v>61.974599470664394</v>
      </c>
      <c r="CA40" s="152" cm="1">
        <f t="array" aca="1" ref="CA40" ca="1">IFERROR(INDIRECT("Yr"&amp;IF($C$5=Year1,1,IF($C$5=Year2,2,IF($C$5=Year3,3,IF($C$5=Lookups!$D$40,"All"))))&amp;"!"&amp;CA$72&amp;$DE40)*100,0)</f>
        <v>61.914934555896942</v>
      </c>
      <c r="CB40" s="152" cm="1">
        <f t="array" aca="1" ref="CB40" ca="1">IFERROR(INDIRECT("Yr"&amp;IF($C$5=Year1,1,IF($C$5=Year2,2,IF($C$5=Year3,3,IF($C$5=Lookups!$D$40,"All"))))&amp;"!"&amp;CB$72&amp;$DE40)*100,0)</f>
        <v>61.850123685572555</v>
      </c>
      <c r="CC40" s="152" cm="1">
        <f t="array" aca="1" ref="CC40" ca="1">IFERROR(INDIRECT("Yr"&amp;IF($C$5=Year1,1,IF($C$5=Year2,2,IF($C$5=Year3,3,IF($C$5=Lookups!$D$40,"All"))))&amp;"!"&amp;CC$72&amp;$DE40)*100,0)</f>
        <v>61.850123685572555</v>
      </c>
      <c r="CD40" s="152" cm="1">
        <f t="array" aca="1" ref="CD40" ca="1">IFERROR(INDIRECT("Yr"&amp;IF($C$5=Year1,1,IF($C$5=Year2,2,IF($C$5=Year3,3,IF($C$5=Lookups!$D$40,"All"))))&amp;"!"&amp;CD$72&amp;$DE40)*100,0)</f>
        <v>61.850123685572555</v>
      </c>
      <c r="CE40" s="152" cm="1">
        <f t="array" aca="1" ref="CE40" ca="1">IFERROR(INDIRECT("Yr"&amp;IF($C$5=Year1,1,IF($C$5=Year2,2,IF($C$5=Year3,3,IF($C$5=Lookups!$D$40,"All"))))&amp;"!"&amp;CE$72&amp;$DE40)*100,0)</f>
        <v>61.850123685572555</v>
      </c>
      <c r="CF40" s="152" cm="1">
        <f t="array" aca="1" ref="CF40" ca="1">IFERROR(INDIRECT("Yr"&amp;IF($C$5=Year1,1,IF($C$5=Year2,2,IF($C$5=Year3,3,IF($C$5=Lookups!$D$40,"All"))))&amp;"!"&amp;CF$72&amp;$DE40)*100,0)</f>
        <v>61.850123685572555</v>
      </c>
      <c r="CG40" s="152" cm="1">
        <f t="array" aca="1" ref="CG40" ca="1">IFERROR(INDIRECT("Yr"&amp;IF($C$5=Year1,1,IF($C$5=Year2,2,IF($C$5=Year3,3,IF($C$5=Lookups!$D$40,"All"))))&amp;"!"&amp;CG$72&amp;$DE40)*100,0)</f>
        <v>61.850123685572555</v>
      </c>
      <c r="CH40" s="152" cm="1">
        <f t="array" aca="1" ref="CH40" ca="1">IFERROR(INDIRECT("Yr"&amp;IF($C$5=Year1,1,IF($C$5=Year2,2,IF($C$5=Year3,3,IF($C$5=Lookups!$D$40,"All"))))&amp;"!"&amp;CH$72&amp;$DE40)*100,0)</f>
        <v>61.850123685572555</v>
      </c>
      <c r="CI40" s="152" cm="1">
        <f t="array" aca="1" ref="CI40" ca="1">IFERROR(INDIRECT("Yr"&amp;IF($C$5=Year1,1,IF($C$5=Year2,2,IF($C$5=Year3,3,IF($C$5=Lookups!$D$40,"All"))))&amp;"!"&amp;CI$72&amp;$DE40)*100,0)</f>
        <v>61.850123685572555</v>
      </c>
      <c r="CJ40" s="152" cm="1">
        <f t="array" aca="1" ref="CJ40" ca="1">IFERROR(INDIRECT("Yr"&amp;IF($C$5=Year1,1,IF($C$5=Year2,2,IF($C$5=Year3,3,IF($C$5=Lookups!$D$40,"All"))))&amp;"!"&amp;CJ$72&amp;$DE40)*100,0)</f>
        <v>61.850123685572555</v>
      </c>
      <c r="CK40" s="152" cm="1">
        <f t="array" aca="1" ref="CK40" ca="1">IFERROR(INDIRECT("Yr"&amp;IF($C$5=Year1,1,IF($C$5=Year2,2,IF($C$5=Year3,3,IF($C$5=Lookups!$D$40,"All"))))&amp;"!"&amp;CK$72&amp;$DE40)*100,0)</f>
        <v>61.850123685572555</v>
      </c>
      <c r="CL40" s="152" cm="1">
        <f t="array" aca="1" ref="CL40" ca="1">IFERROR(INDIRECT("Yr"&amp;IF($C$5=Year1,1,IF($C$5=Year2,2,IF($C$5=Year3,3,IF($C$5=Lookups!$D$40,"All"))))&amp;"!"&amp;CL$72&amp;$DE40)*100,0)</f>
        <v>61.850123685572555</v>
      </c>
      <c r="CM40" s="152" cm="1">
        <f t="array" aca="1" ref="CM40" ca="1">IFERROR(INDIRECT("Yr"&amp;IF($C$5=Year1,1,IF($C$5=Year2,2,IF($C$5=Year3,3,IF($C$5=Lookups!$D$40,"All"))))&amp;"!"&amp;CM$72&amp;$DE40)*100,0)</f>
        <v>61.850123685572555</v>
      </c>
      <c r="CN40" s="152" cm="1">
        <f t="array" aca="1" ref="CN40" ca="1">IFERROR(INDIRECT("Yr"&amp;IF($C$5=Year1,1,IF($C$5=Year2,2,IF($C$5=Year3,3,IF($C$5=Lookups!$D$40,"All"))))&amp;"!"&amp;CN$72&amp;$DE40)*100,0)</f>
        <v>61.850123685572555</v>
      </c>
      <c r="CO40" s="152" cm="1">
        <f t="array" aca="1" ref="CO40" ca="1">IFERROR(INDIRECT("Yr"&amp;IF($C$5=Year1,1,IF($C$5=Year2,2,IF($C$5=Year3,3,IF($C$5=Lookups!$D$40,"All"))))&amp;"!"&amp;CO$72&amp;$DE40)*100,0)</f>
        <v>61.850123685572555</v>
      </c>
      <c r="CP40" s="152" cm="1">
        <f t="array" aca="1" ref="CP40" ca="1">IFERROR(INDIRECT("Yr"&amp;IF($C$5=Year1,1,IF($C$5=Year2,2,IF($C$5=Year3,3,IF($C$5=Lookups!$D$40,"All"))))&amp;"!"&amp;CP$72&amp;$DE40)*100,0)</f>
        <v>61.850123685572555</v>
      </c>
      <c r="CQ40" s="152" cm="1">
        <f t="array" aca="1" ref="CQ40" ca="1">IFERROR(INDIRECT("Yr"&amp;IF($C$5=Year1,1,IF($C$5=Year2,2,IF($C$5=Year3,3,IF($C$5=Lookups!$D$40,"All"))))&amp;"!"&amp;CQ$72&amp;$DE40)*100,0)</f>
        <v>61.850123685572555</v>
      </c>
      <c r="CR40" s="152" cm="1">
        <f t="array" aca="1" ref="CR40" ca="1">IFERROR(INDIRECT("Yr"&amp;IF($C$5=Year1,1,IF($C$5=Year2,2,IF($C$5=Year3,3,IF($C$5=Lookups!$D$40,"All"))))&amp;"!"&amp;CR$72&amp;$DE40)*100,0)</f>
        <v>61.850123685572555</v>
      </c>
      <c r="CS40" s="152" cm="1">
        <f t="array" aca="1" ref="CS40" ca="1">IFERROR(INDIRECT("Yr"&amp;IF($C$5=Year1,1,IF($C$5=Year2,2,IF($C$5=Year3,3,IF($C$5=Lookups!$D$40,"All"))))&amp;"!"&amp;CS$72&amp;$DE40)*100,0)</f>
        <v>61.850123685572555</v>
      </c>
      <c r="CT40" s="152" cm="1">
        <f t="array" aca="1" ref="CT40" ca="1">IFERROR(INDIRECT("Yr"&amp;IF($C$5=Year1,1,IF($C$5=Year2,2,IF($C$5=Year3,3,IF($C$5=Lookups!$D$40,"All"))))&amp;"!"&amp;CT$72&amp;$DE40)*100,0)</f>
        <v>61.910913083367845</v>
      </c>
      <c r="CU40" s="152" cm="1">
        <f t="array" aca="1" ref="CU40" ca="1">IFERROR(INDIRECT("Yr"&amp;IF($C$5=Year1,1,IF($C$5=Year2,2,IF($C$5=Year3,3,IF($C$5=Lookups!$D$40,"All"))))&amp;"!"&amp;CU$72&amp;$DE40)*100,0)</f>
        <v>61.970761110941872</v>
      </c>
      <c r="CV40" s="152" cm="1">
        <f t="array" aca="1" ref="CV40" ca="1">IFERROR(INDIRECT("Yr"&amp;IF($C$5=Year1,1,IF($C$5=Year2,2,IF($C$5=Year3,3,IF($C$5=Lookups!$D$40,"All"))))&amp;"!"&amp;CV$72&amp;$DE40)*100,0)</f>
        <v>62.029999999999994</v>
      </c>
      <c r="CW40" s="152" cm="1">
        <f t="array" aca="1" ref="CW40" ca="1">IFERROR(INDIRECT("Yr"&amp;IF($C$5=Year1,1,IF($C$5=Year2,2,IF($C$5=Year3,3,IF($C$5=Lookups!$D$40,"All"))))&amp;"!"&amp;CW$72&amp;$DE40)*100,0)</f>
        <v>62.029999999999994</v>
      </c>
      <c r="CX40" s="152" cm="1">
        <f t="array" aca="1" ref="CX40" ca="1">IFERROR(INDIRECT("Yr"&amp;IF($C$5=Year1,1,IF($C$5=Year2,2,IF($C$5=Year3,3,IF($C$5=Lookups!$D$40,"All"))))&amp;"!"&amp;CX$72&amp;$DE40)*100,0)</f>
        <v>62.029999999999994</v>
      </c>
      <c r="CY40" s="152" cm="1">
        <f t="array" aca="1" ref="CY40" ca="1">IFERROR(INDIRECT("Yr"&amp;IF($C$5=Year1,1,IF($C$5=Year2,2,IF($C$5=Year3,3,IF($C$5=Lookups!$D$40,"All"))))&amp;"!"&amp;CY$72&amp;$DE40)*100,0)</f>
        <v>62.029999999999994</v>
      </c>
      <c r="CZ40" s="152" cm="1">
        <f t="array" aca="1" ref="CZ40" ca="1">IFERROR(INDIRECT("Yr"&amp;IF($C$5=Year1,1,IF($C$5=Year2,2,IF($C$5=Year3,3,IF($C$5=Lookups!$D$40,"All"))))&amp;"!"&amp;CZ$72&amp;$DE40)*100,0)</f>
        <v>62.029999999999994</v>
      </c>
      <c r="DA40" s="152"/>
      <c r="DB40" s="152">
        <f ca="1">IF($C$5=Lookups!$D$40,-PMT(Lookups!$E$17,27,NPV(Lookups!$E$17,BZ40:CZ40),0,1),-PMT(Lookups!$E$17,25,NPV(Lookups!$E$17,BZ40:CX40),0,1))</f>
        <v>61.029621382043437</v>
      </c>
      <c r="DE40" s="516">
        <f t="shared" si="5"/>
        <v>133</v>
      </c>
    </row>
    <row r="41" spans="3:114" x14ac:dyDescent="0.25">
      <c r="BV41" s="343"/>
      <c r="BW41" s="346"/>
      <c r="BX41" s="131" t="s">
        <v>405</v>
      </c>
      <c r="BY41" s="131" t="s">
        <v>409</v>
      </c>
      <c r="BZ41" s="152" cm="1">
        <f t="array" aca="1" ref="BZ41" ca="1">IFERROR(INDIRECT("Yr"&amp;IF($C$5=Year1,1,IF($C$5=Year2,2,IF($C$5=Year3,3,IF($C$5=Lookups!$D$40,"All"))))&amp;"!"&amp;BZ$72&amp;$DE41)*100,0)</f>
        <v>7.7623676390230019</v>
      </c>
      <c r="CA41" s="152" cm="1">
        <f t="array" aca="1" ref="CA41" ca="1">IFERROR(INDIRECT("Yr"&amp;IF($C$5=Year1,1,IF($C$5=Year2,2,IF($C$5=Year3,3,IF($C$5=Lookups!$D$40,"All"))))&amp;"!"&amp;CA$72&amp;$DE41)*100,0)</f>
        <v>7.998496595510125</v>
      </c>
      <c r="CB41" s="152" cm="1">
        <f t="array" aca="1" ref="CB41" ca="1">IFERROR(INDIRECT("Yr"&amp;IF($C$5=Year1,1,IF($C$5=Year2,2,IF($C$5=Year3,3,IF($C$5=Lookups!$D$40,"All"))))&amp;"!"&amp;CB$72&amp;$DE41)*100,0)</f>
        <v>8.2542973872564964</v>
      </c>
      <c r="CC41" s="152" cm="1">
        <f t="array" aca="1" ref="CC41" ca="1">IFERROR(INDIRECT("Yr"&amp;IF($C$5=Year1,1,IF($C$5=Year2,2,IF($C$5=Year3,3,IF($C$5=Lookups!$D$40,"All"))))&amp;"!"&amp;CC$72&amp;$DE41)*100,0)</f>
        <v>0</v>
      </c>
      <c r="CD41" s="152" cm="1">
        <f t="array" aca="1" ref="CD41" ca="1">IFERROR(INDIRECT("Yr"&amp;IF($C$5=Year1,1,IF($C$5=Year2,2,IF($C$5=Year3,3,IF($C$5=Lookups!$D$40,"All"))))&amp;"!"&amp;CD$72&amp;$DE41)*100,0)</f>
        <v>0</v>
      </c>
      <c r="CE41" s="152" cm="1">
        <f t="array" aca="1" ref="CE41" ca="1">IFERROR(INDIRECT("Yr"&amp;IF($C$5=Year1,1,IF($C$5=Year2,2,IF($C$5=Year3,3,IF($C$5=Lookups!$D$40,"All"))))&amp;"!"&amp;CE$72&amp;$DE41)*100,0)</f>
        <v>0</v>
      </c>
      <c r="CF41" s="152" cm="1">
        <f t="array" aca="1" ref="CF41" ca="1">IFERROR(INDIRECT("Yr"&amp;IF($C$5=Year1,1,IF($C$5=Year2,2,IF($C$5=Year3,3,IF($C$5=Lookups!$D$40,"All"))))&amp;"!"&amp;CF$72&amp;$DE41)*100,0)</f>
        <v>0</v>
      </c>
      <c r="CG41" s="152" cm="1">
        <f t="array" aca="1" ref="CG41" ca="1">IFERROR(INDIRECT("Yr"&amp;IF($C$5=Year1,1,IF($C$5=Year2,2,IF($C$5=Year3,3,IF($C$5=Lookups!$D$40,"All"))))&amp;"!"&amp;CG$72&amp;$DE41)*100,0)</f>
        <v>0</v>
      </c>
      <c r="CH41" s="152" cm="1">
        <f t="array" aca="1" ref="CH41" ca="1">IFERROR(INDIRECT("Yr"&amp;IF($C$5=Year1,1,IF($C$5=Year2,2,IF($C$5=Year3,3,IF($C$5=Lookups!$D$40,"All"))))&amp;"!"&amp;CH$72&amp;$DE41)*100,0)</f>
        <v>0</v>
      </c>
      <c r="CI41" s="152" cm="1">
        <f t="array" aca="1" ref="CI41" ca="1">IFERROR(INDIRECT("Yr"&amp;IF($C$5=Year1,1,IF($C$5=Year2,2,IF($C$5=Year3,3,IF($C$5=Lookups!$D$40,"All"))))&amp;"!"&amp;CI$72&amp;$DE41)*100,0)</f>
        <v>0</v>
      </c>
      <c r="CJ41" s="152" cm="1">
        <f t="array" aca="1" ref="CJ41" ca="1">IFERROR(INDIRECT("Yr"&amp;IF($C$5=Year1,1,IF($C$5=Year2,2,IF($C$5=Year3,3,IF($C$5=Lookups!$D$40,"All"))))&amp;"!"&amp;CJ$72&amp;$DE41)*100,0)</f>
        <v>0</v>
      </c>
      <c r="CK41" s="152" cm="1">
        <f t="array" aca="1" ref="CK41" ca="1">IFERROR(INDIRECT("Yr"&amp;IF($C$5=Year1,1,IF($C$5=Year2,2,IF($C$5=Year3,3,IF($C$5=Lookups!$D$40,"All"))))&amp;"!"&amp;CK$72&amp;$DE41)*100,0)</f>
        <v>0</v>
      </c>
      <c r="CL41" s="152" cm="1">
        <f t="array" aca="1" ref="CL41" ca="1">IFERROR(INDIRECT("Yr"&amp;IF($C$5=Year1,1,IF($C$5=Year2,2,IF($C$5=Year3,3,IF($C$5=Lookups!$D$40,"All"))))&amp;"!"&amp;CL$72&amp;$DE41)*100,0)</f>
        <v>0</v>
      </c>
      <c r="CM41" s="152" cm="1">
        <f t="array" aca="1" ref="CM41" ca="1">IFERROR(INDIRECT("Yr"&amp;IF($C$5=Year1,1,IF($C$5=Year2,2,IF($C$5=Year3,3,IF($C$5=Lookups!$D$40,"All"))))&amp;"!"&amp;CM$72&amp;$DE41)*100,0)</f>
        <v>0</v>
      </c>
      <c r="CN41" s="152" cm="1">
        <f t="array" aca="1" ref="CN41" ca="1">IFERROR(INDIRECT("Yr"&amp;IF($C$5=Year1,1,IF($C$5=Year2,2,IF($C$5=Year3,3,IF($C$5=Lookups!$D$40,"All"))))&amp;"!"&amp;CN$72&amp;$DE41)*100,0)</f>
        <v>0</v>
      </c>
      <c r="CO41" s="152" cm="1">
        <f t="array" aca="1" ref="CO41" ca="1">IFERROR(INDIRECT("Yr"&amp;IF($C$5=Year1,1,IF($C$5=Year2,2,IF($C$5=Year3,3,IF($C$5=Lookups!$D$40,"All"))))&amp;"!"&amp;CO$72&amp;$DE41)*100,0)</f>
        <v>0</v>
      </c>
      <c r="CP41" s="152" cm="1">
        <f t="array" aca="1" ref="CP41" ca="1">IFERROR(INDIRECT("Yr"&amp;IF($C$5=Year1,1,IF($C$5=Year2,2,IF($C$5=Year3,3,IF($C$5=Lookups!$D$40,"All"))))&amp;"!"&amp;CP$72&amp;$DE41)*100,0)</f>
        <v>0</v>
      </c>
      <c r="CQ41" s="152" cm="1">
        <f t="array" aca="1" ref="CQ41" ca="1">IFERROR(INDIRECT("Yr"&amp;IF($C$5=Year1,1,IF($C$5=Year2,2,IF($C$5=Year3,3,IF($C$5=Lookups!$D$40,"All"))))&amp;"!"&amp;CQ$72&amp;$DE41)*100,0)</f>
        <v>0</v>
      </c>
      <c r="CR41" s="152" cm="1">
        <f t="array" aca="1" ref="CR41" ca="1">IFERROR(INDIRECT("Yr"&amp;IF($C$5=Year1,1,IF($C$5=Year2,2,IF($C$5=Year3,3,IF($C$5=Lookups!$D$40,"All"))))&amp;"!"&amp;CR$72&amp;$DE41)*100,0)</f>
        <v>0</v>
      </c>
      <c r="CS41" s="152" cm="1">
        <f t="array" aca="1" ref="CS41" ca="1">IFERROR(INDIRECT("Yr"&amp;IF($C$5=Year1,1,IF($C$5=Year2,2,IF($C$5=Year3,3,IF($C$5=Lookups!$D$40,"All"))))&amp;"!"&amp;CS$72&amp;$DE41)*100,0)</f>
        <v>0</v>
      </c>
      <c r="CT41" s="152" cm="1">
        <f t="array" aca="1" ref="CT41" ca="1">IFERROR(INDIRECT("Yr"&amp;IF($C$5=Year1,1,IF($C$5=Year2,2,IF($C$5=Year3,3,IF($C$5=Lookups!$D$40,"All"))))&amp;"!"&amp;CT$72&amp;$DE41)*100,0)</f>
        <v>0</v>
      </c>
      <c r="CU41" s="152" cm="1">
        <f t="array" aca="1" ref="CU41" ca="1">IFERROR(INDIRECT("Yr"&amp;IF($C$5=Year1,1,IF($C$5=Year2,2,IF($C$5=Year3,3,IF($C$5=Lookups!$D$40,"All"))))&amp;"!"&amp;CU$72&amp;$DE41)*100,0)</f>
        <v>0</v>
      </c>
      <c r="CV41" s="152" cm="1">
        <f t="array" aca="1" ref="CV41" ca="1">IFERROR(INDIRECT("Yr"&amp;IF($C$5=Year1,1,IF($C$5=Year2,2,IF($C$5=Year3,3,IF($C$5=Lookups!$D$40,"All"))))&amp;"!"&amp;CV$72&amp;$DE41)*100,0)</f>
        <v>0</v>
      </c>
      <c r="CW41" s="152" cm="1">
        <f t="array" aca="1" ref="CW41" ca="1">IFERROR(INDIRECT("Yr"&amp;IF($C$5=Year1,1,IF($C$5=Year2,2,IF($C$5=Year3,3,IF($C$5=Lookups!$D$40,"All"))))&amp;"!"&amp;CW$72&amp;$DE41)*100,0)</f>
        <v>0</v>
      </c>
      <c r="CX41" s="152" cm="1">
        <f t="array" aca="1" ref="CX41" ca="1">IFERROR(INDIRECT("Yr"&amp;IF($C$5=Year1,1,IF($C$5=Year2,2,IF($C$5=Year3,3,IF($C$5=Lookups!$D$40,"All"))))&amp;"!"&amp;CX$72&amp;$DE41)*100,0)</f>
        <v>0</v>
      </c>
      <c r="CY41" s="152" cm="1">
        <f t="array" aca="1" ref="CY41" ca="1">IFERROR(INDIRECT("Yr"&amp;IF($C$5=Year1,1,IF($C$5=Year2,2,IF($C$5=Year3,3,IF($C$5=Lookups!$D$40,"All"))))&amp;"!"&amp;CY$72&amp;$DE41)*100,0)</f>
        <v>0</v>
      </c>
      <c r="CZ41" s="152" cm="1">
        <f t="array" aca="1" ref="CZ41" ca="1">IFERROR(INDIRECT("Yr"&amp;IF($C$5=Year1,1,IF($C$5=Year2,2,IF($C$5=Year3,3,IF($C$5=Lookups!$D$40,"All"))))&amp;"!"&amp;CZ$72&amp;$DE41)*100,0)</f>
        <v>0</v>
      </c>
      <c r="DA41" s="152"/>
      <c r="DB41" s="152">
        <f ca="1">IF($C$5=Lookups!$D$40,-PMT(Lookups!$E$17,27,NPV(Lookups!$E$17,BZ41:CZ41),0,1),-PMT(Lookups!$E$17,25,NPV(Lookups!$E$17,BZ41:CX41),0,1))</f>
        <v>1.0316341414967893</v>
      </c>
      <c r="DE41" s="516">
        <f t="shared" si="5"/>
        <v>134</v>
      </c>
    </row>
    <row r="42" spans="3:114" x14ac:dyDescent="0.25">
      <c r="BV42" s="343"/>
      <c r="BW42" s="160" t="s">
        <v>72</v>
      </c>
      <c r="BX42" s="131"/>
      <c r="BY42" s="131"/>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E42" s="516">
        <f t="shared" si="5"/>
        <v>0</v>
      </c>
    </row>
    <row r="43" spans="3:114" x14ac:dyDescent="0.25">
      <c r="BV43" s="343"/>
      <c r="BW43" s="346"/>
      <c r="BX43" s="131" t="s">
        <v>224</v>
      </c>
      <c r="BY43" s="131" t="s">
        <v>409</v>
      </c>
      <c r="BZ43" s="338" cm="1">
        <f t="array" aca="1" ref="BZ43" ca="1">IFERROR(INDIRECT("Yr"&amp;IF($C$5=Year1,1,IF($C$5=Year2,2,IF($C$5=Year3,3,IF($C$5=Lookups!$D$40,"All"))))&amp;"!"&amp;BZ$72&amp;$DE43)*100,0)</f>
        <v>-1.5179033507421522</v>
      </c>
      <c r="CA43" s="338" cm="1">
        <f t="array" aca="1" ref="CA43" ca="1">IFERROR(INDIRECT("Yr"&amp;IF($C$5=Year1,1,IF($C$5=Year2,2,IF($C$5=Year3,3,IF($C$5=Lookups!$D$40,"All"))))&amp;"!"&amp;CA$72&amp;$DE43)*100,0)</f>
        <v>-3.1534117846316545</v>
      </c>
      <c r="CB43" s="338" cm="1">
        <f t="array" aca="1" ref="CB43" ca="1">IFERROR(INDIRECT("Yr"&amp;IF($C$5=Year1,1,IF($C$5=Year2,2,IF($C$5=Year3,3,IF($C$5=Lookups!$D$40,"All"))))&amp;"!"&amp;CB$72&amp;$DE43)*100,0)</f>
        <v>-4.9332773423550309</v>
      </c>
      <c r="CC43" s="338" cm="1">
        <f t="array" aca="1" ref="CC43" ca="1">IFERROR(INDIRECT("Yr"&amp;IF($C$5=Year1,1,IF($C$5=Year2,2,IF($C$5=Year3,3,IF($C$5=Lookups!$D$40,"All"))))&amp;"!"&amp;CC$72&amp;$DE43)*100,0)</f>
        <v>-4.9332773423550309</v>
      </c>
      <c r="CD43" s="338" cm="1">
        <f t="array" aca="1" ref="CD43" ca="1">IFERROR(INDIRECT("Yr"&amp;IF($C$5=Year1,1,IF($C$5=Year2,2,IF($C$5=Year3,3,IF($C$5=Lookups!$D$40,"All"))))&amp;"!"&amp;CD$72&amp;$DE43)*100,0)</f>
        <v>-4.9332773423550309</v>
      </c>
      <c r="CE43" s="338" cm="1">
        <f t="array" aca="1" ref="CE43" ca="1">IFERROR(INDIRECT("Yr"&amp;IF($C$5=Year1,1,IF($C$5=Year2,2,IF($C$5=Year3,3,IF($C$5=Lookups!$D$40,"All"))))&amp;"!"&amp;CE$72&amp;$DE43)*100,0)</f>
        <v>-4.9332773423550309</v>
      </c>
      <c r="CF43" s="338" cm="1">
        <f t="array" aca="1" ref="CF43" ca="1">IFERROR(INDIRECT("Yr"&amp;IF($C$5=Year1,1,IF($C$5=Year2,2,IF($C$5=Year3,3,IF($C$5=Lookups!$D$40,"All"))))&amp;"!"&amp;CF$72&amp;$DE43)*100,0)</f>
        <v>-4.9332773423550309</v>
      </c>
      <c r="CG43" s="338" cm="1">
        <f t="array" aca="1" ref="CG43" ca="1">IFERROR(INDIRECT("Yr"&amp;IF($C$5=Year1,1,IF($C$5=Year2,2,IF($C$5=Year3,3,IF($C$5=Lookups!$D$40,"All"))))&amp;"!"&amp;CG$72&amp;$DE43)*100,0)</f>
        <v>-4.9332773423550309</v>
      </c>
      <c r="CH43" s="338" cm="1">
        <f t="array" aca="1" ref="CH43" ca="1">IFERROR(INDIRECT("Yr"&amp;IF($C$5=Year1,1,IF($C$5=Year2,2,IF($C$5=Year3,3,IF($C$5=Lookups!$D$40,"All"))))&amp;"!"&amp;CH$72&amp;$DE43)*100,0)</f>
        <v>-4.9332773423550309</v>
      </c>
      <c r="CI43" s="338" cm="1">
        <f t="array" aca="1" ref="CI43" ca="1">IFERROR(INDIRECT("Yr"&amp;IF($C$5=Year1,1,IF($C$5=Year2,2,IF($C$5=Year3,3,IF($C$5=Lookups!$D$40,"All"))))&amp;"!"&amp;CI$72&amp;$DE43)*100,0)</f>
        <v>-4.9332773423550309</v>
      </c>
      <c r="CJ43" s="338" cm="1">
        <f t="array" aca="1" ref="CJ43" ca="1">IFERROR(INDIRECT("Yr"&amp;IF($C$5=Year1,1,IF($C$5=Year2,2,IF($C$5=Year3,3,IF($C$5=Lookups!$D$40,"All"))))&amp;"!"&amp;CJ$72&amp;$DE43)*100,0)</f>
        <v>-4.9332773423550309</v>
      </c>
      <c r="CK43" s="338" cm="1">
        <f t="array" aca="1" ref="CK43" ca="1">IFERROR(INDIRECT("Yr"&amp;IF($C$5=Year1,1,IF($C$5=Year2,2,IF($C$5=Year3,3,IF($C$5=Lookups!$D$40,"All"))))&amp;"!"&amp;CK$72&amp;$DE43)*100,0)</f>
        <v>-4.9332773423550309</v>
      </c>
      <c r="CL43" s="338" cm="1">
        <f t="array" aca="1" ref="CL43" ca="1">IFERROR(INDIRECT("Yr"&amp;IF($C$5=Year1,1,IF($C$5=Year2,2,IF($C$5=Year3,3,IF($C$5=Lookups!$D$40,"All"))))&amp;"!"&amp;CL$72&amp;$DE43)*100,0)</f>
        <v>-4.9332773423550309</v>
      </c>
      <c r="CM43" s="338" cm="1">
        <f t="array" aca="1" ref="CM43" ca="1">IFERROR(INDIRECT("Yr"&amp;IF($C$5=Year1,1,IF($C$5=Year2,2,IF($C$5=Year3,3,IF($C$5=Lookups!$D$40,"All"))))&amp;"!"&amp;CM$72&amp;$DE43)*100,0)</f>
        <v>-4.9332773423550309</v>
      </c>
      <c r="CN43" s="338" cm="1">
        <f t="array" aca="1" ref="CN43" ca="1">IFERROR(INDIRECT("Yr"&amp;IF($C$5=Year1,1,IF($C$5=Year2,2,IF($C$5=Year3,3,IF($C$5=Lookups!$D$40,"All"))))&amp;"!"&amp;CN$72&amp;$DE43)*100,0)</f>
        <v>-4.9332773423550309</v>
      </c>
      <c r="CO43" s="338" cm="1">
        <f t="array" aca="1" ref="CO43" ca="1">IFERROR(INDIRECT("Yr"&amp;IF($C$5=Year1,1,IF($C$5=Year2,2,IF($C$5=Year3,3,IF($C$5=Lookups!$D$40,"All"))))&amp;"!"&amp;CO$72&amp;$DE43)*100,0)</f>
        <v>-4.9332773423550309</v>
      </c>
      <c r="CP43" s="338" cm="1">
        <f t="array" aca="1" ref="CP43" ca="1">IFERROR(INDIRECT("Yr"&amp;IF($C$5=Year1,1,IF($C$5=Year2,2,IF($C$5=Year3,3,IF($C$5=Lookups!$D$40,"All"))))&amp;"!"&amp;CP$72&amp;$DE43)*100,0)</f>
        <v>-4.9332773423550309</v>
      </c>
      <c r="CQ43" s="338" cm="1">
        <f t="array" aca="1" ref="CQ43" ca="1">IFERROR(INDIRECT("Yr"&amp;IF($C$5=Year1,1,IF($C$5=Year2,2,IF($C$5=Year3,3,IF($C$5=Lookups!$D$40,"All"))))&amp;"!"&amp;CQ$72&amp;$DE43)*100,0)</f>
        <v>-4.9332773423550309</v>
      </c>
      <c r="CR43" s="338" cm="1">
        <f t="array" aca="1" ref="CR43" ca="1">IFERROR(INDIRECT("Yr"&amp;IF($C$5=Year1,1,IF($C$5=Year2,2,IF($C$5=Year3,3,IF($C$5=Lookups!$D$40,"All"))))&amp;"!"&amp;CR$72&amp;$DE43)*100,0)</f>
        <v>-4.9332773423550309</v>
      </c>
      <c r="CS43" s="338" cm="1">
        <f t="array" aca="1" ref="CS43" ca="1">IFERROR(INDIRECT("Yr"&amp;IF($C$5=Year1,1,IF($C$5=Year2,2,IF($C$5=Year3,3,IF($C$5=Lookups!$D$40,"All"))))&amp;"!"&amp;CS$72&amp;$DE43)*100,0)</f>
        <v>-4.9332773423550309</v>
      </c>
      <c r="CT43" s="338" cm="1">
        <f t="array" aca="1" ref="CT43" ca="1">IFERROR(INDIRECT("Yr"&amp;IF($C$5=Year1,1,IF($C$5=Year2,2,IF($C$5=Year3,3,IF($C$5=Lookups!$D$40,"All"))))&amp;"!"&amp;CT$72&amp;$DE43)*100,0)</f>
        <v>-3.2676163694302365</v>
      </c>
      <c r="CU43" s="338" cm="1">
        <f t="array" aca="1" ref="CU43" ca="1">IFERROR(INDIRECT("Yr"&amp;IF($C$5=Year1,1,IF($C$5=Year2,2,IF($C$5=Year3,3,IF($C$5=Lookups!$D$40,"All"))))&amp;"!"&amp;CU$72&amp;$DE43)*100,0)</f>
        <v>-1.6269990570135042</v>
      </c>
      <c r="CV43" s="338" cm="1">
        <f t="array" aca="1" ref="CV43" ca="1">IFERROR(INDIRECT("Yr"&amp;IF($C$5=Year1,1,IF($C$5=Year2,2,IF($C$5=Year3,3,IF($C$5=Lookups!$D$40,"All"))))&amp;"!"&amp;CV$72&amp;$DE43)*100,0)</f>
        <v>0</v>
      </c>
      <c r="CW43" s="338" cm="1">
        <f t="array" aca="1" ref="CW43" ca="1">IFERROR(INDIRECT("Yr"&amp;IF($C$5=Year1,1,IF($C$5=Year2,2,IF($C$5=Year3,3,IF($C$5=Lookups!$D$40,"All"))))&amp;"!"&amp;CW$72&amp;$DE43)*100,0)</f>
        <v>0</v>
      </c>
      <c r="CX43" s="338" cm="1">
        <f t="array" aca="1" ref="CX43" ca="1">IFERROR(INDIRECT("Yr"&amp;IF($C$5=Year1,1,IF($C$5=Year2,2,IF($C$5=Year3,3,IF($C$5=Lookups!$D$40,"All"))))&amp;"!"&amp;CX$72&amp;$DE43)*100,0)</f>
        <v>0</v>
      </c>
      <c r="CY43" s="338" cm="1">
        <f t="array" aca="1" ref="CY43" ca="1">IFERROR(INDIRECT("Yr"&amp;IF($C$5=Year1,1,IF($C$5=Year2,2,IF($C$5=Year3,3,IF($C$5=Lookups!$D$40,"All"))))&amp;"!"&amp;CY$72&amp;$DE43)*100,0)</f>
        <v>0</v>
      </c>
      <c r="CZ43" s="338" cm="1">
        <f t="array" aca="1" ref="CZ43" ca="1">IFERROR(INDIRECT("Yr"&amp;IF($C$5=Year1,1,IF($C$5=Year2,2,IF($C$5=Year3,3,IF($C$5=Lookups!$D$40,"All"))))&amp;"!"&amp;CZ$72&amp;$DE43)*100,0)</f>
        <v>0</v>
      </c>
      <c r="DA43" s="152"/>
      <c r="DB43" s="338"/>
      <c r="DE43" s="516">
        <f t="shared" si="5"/>
        <v>123</v>
      </c>
    </row>
    <row r="44" spans="3:114" x14ac:dyDescent="0.25">
      <c r="BV44" s="343"/>
      <c r="BW44" s="346"/>
      <c r="BX44" s="131" t="s">
        <v>412</v>
      </c>
      <c r="BY44" s="131" t="s">
        <v>409</v>
      </c>
      <c r="BZ44" s="338" cm="1">
        <f t="array" aca="1" ref="BZ44" ca="1">IFERROR(INDIRECT("Yr"&amp;IF($C$5=Year1,1,IF($C$5=Year2,2,IF($C$5=Year3,3,IF($C$5=Lookups!$D$40,"All"))))&amp;"!"&amp;BZ$72&amp;$DE44)*100,0)</f>
        <v>0</v>
      </c>
      <c r="CA44" s="338" cm="1">
        <f t="array" aca="1" ref="CA44" ca="1">IFERROR(INDIRECT("Yr"&amp;IF($C$5=Year1,1,IF($C$5=Year2,2,IF($C$5=Year3,3,IF($C$5=Lookups!$D$40,"All"))))&amp;"!"&amp;CA$72&amp;$DE44)*100,0)</f>
        <v>0</v>
      </c>
      <c r="CB44" s="338" cm="1">
        <f t="array" aca="1" ref="CB44" ca="1">IFERROR(INDIRECT("Yr"&amp;IF($C$5=Year1,1,IF($C$5=Year2,2,IF($C$5=Year3,3,IF($C$5=Lookups!$D$40,"All"))))&amp;"!"&amp;CB$72&amp;$DE44)*100,0)</f>
        <v>0</v>
      </c>
      <c r="CC44" s="338" cm="1">
        <f t="array" aca="1" ref="CC44" ca="1">IFERROR(INDIRECT("Yr"&amp;IF($C$5=Year1,1,IF($C$5=Year2,2,IF($C$5=Year3,3,IF($C$5=Lookups!$D$40,"All"))))&amp;"!"&amp;CC$72&amp;$DE44)*100,0)</f>
        <v>0</v>
      </c>
      <c r="CD44" s="338" cm="1">
        <f t="array" aca="1" ref="CD44" ca="1">IFERROR(INDIRECT("Yr"&amp;IF($C$5=Year1,1,IF($C$5=Year2,2,IF($C$5=Year3,3,IF($C$5=Lookups!$D$40,"All"))))&amp;"!"&amp;CD$72&amp;$DE44)*100,0)</f>
        <v>0</v>
      </c>
      <c r="CE44" s="338" cm="1">
        <f t="array" aca="1" ref="CE44" ca="1">IFERROR(INDIRECT("Yr"&amp;IF($C$5=Year1,1,IF($C$5=Year2,2,IF($C$5=Year3,3,IF($C$5=Lookups!$D$40,"All"))))&amp;"!"&amp;CE$72&amp;$DE44)*100,0)</f>
        <v>0</v>
      </c>
      <c r="CF44" s="338" cm="1">
        <f t="array" aca="1" ref="CF44" ca="1">IFERROR(INDIRECT("Yr"&amp;IF($C$5=Year1,1,IF($C$5=Year2,2,IF($C$5=Year3,3,IF($C$5=Lookups!$D$40,"All"))))&amp;"!"&amp;CF$72&amp;$DE44)*100,0)</f>
        <v>0</v>
      </c>
      <c r="CG44" s="338" cm="1">
        <f t="array" aca="1" ref="CG44" ca="1">IFERROR(INDIRECT("Yr"&amp;IF($C$5=Year1,1,IF($C$5=Year2,2,IF($C$5=Year3,3,IF($C$5=Lookups!$D$40,"All"))))&amp;"!"&amp;CG$72&amp;$DE44)*100,0)</f>
        <v>0</v>
      </c>
      <c r="CH44" s="338" cm="1">
        <f t="array" aca="1" ref="CH44" ca="1">IFERROR(INDIRECT("Yr"&amp;IF($C$5=Year1,1,IF($C$5=Year2,2,IF($C$5=Year3,3,IF($C$5=Lookups!$D$40,"All"))))&amp;"!"&amp;CH$72&amp;$DE44)*100,0)</f>
        <v>0</v>
      </c>
      <c r="CI44" s="338" cm="1">
        <f t="array" aca="1" ref="CI44" ca="1">IFERROR(INDIRECT("Yr"&amp;IF($C$5=Year1,1,IF($C$5=Year2,2,IF($C$5=Year3,3,IF($C$5=Lookups!$D$40,"All"))))&amp;"!"&amp;CI$72&amp;$DE44)*100,0)</f>
        <v>0</v>
      </c>
      <c r="CJ44" s="338" cm="1">
        <f t="array" aca="1" ref="CJ44" ca="1">IFERROR(INDIRECT("Yr"&amp;IF($C$5=Year1,1,IF($C$5=Year2,2,IF($C$5=Year3,3,IF($C$5=Lookups!$D$40,"All"))))&amp;"!"&amp;CJ$72&amp;$DE44)*100,0)</f>
        <v>0</v>
      </c>
      <c r="CK44" s="338" cm="1">
        <f t="array" aca="1" ref="CK44" ca="1">IFERROR(INDIRECT("Yr"&amp;IF($C$5=Year1,1,IF($C$5=Year2,2,IF($C$5=Year3,3,IF($C$5=Lookups!$D$40,"All"))))&amp;"!"&amp;CK$72&amp;$DE44)*100,0)</f>
        <v>0</v>
      </c>
      <c r="CL44" s="338" cm="1">
        <f t="array" aca="1" ref="CL44" ca="1">IFERROR(INDIRECT("Yr"&amp;IF($C$5=Year1,1,IF($C$5=Year2,2,IF($C$5=Year3,3,IF($C$5=Lookups!$D$40,"All"))))&amp;"!"&amp;CL$72&amp;$DE44)*100,0)</f>
        <v>0</v>
      </c>
      <c r="CM44" s="338" cm="1">
        <f t="array" aca="1" ref="CM44" ca="1">IFERROR(INDIRECT("Yr"&amp;IF($C$5=Year1,1,IF($C$5=Year2,2,IF($C$5=Year3,3,IF($C$5=Lookups!$D$40,"All"))))&amp;"!"&amp;CM$72&amp;$DE44)*100,0)</f>
        <v>0</v>
      </c>
      <c r="CN44" s="338" cm="1">
        <f t="array" aca="1" ref="CN44" ca="1">IFERROR(INDIRECT("Yr"&amp;IF($C$5=Year1,1,IF($C$5=Year2,2,IF($C$5=Year3,3,IF($C$5=Lookups!$D$40,"All"))))&amp;"!"&amp;CN$72&amp;$DE44)*100,0)</f>
        <v>0</v>
      </c>
      <c r="CO44" s="338" cm="1">
        <f t="array" aca="1" ref="CO44" ca="1">IFERROR(INDIRECT("Yr"&amp;IF($C$5=Year1,1,IF($C$5=Year2,2,IF($C$5=Year3,3,IF($C$5=Lookups!$D$40,"All"))))&amp;"!"&amp;CO$72&amp;$DE44)*100,0)</f>
        <v>0</v>
      </c>
      <c r="CP44" s="338" cm="1">
        <f t="array" aca="1" ref="CP44" ca="1">IFERROR(INDIRECT("Yr"&amp;IF($C$5=Year1,1,IF($C$5=Year2,2,IF($C$5=Year3,3,IF($C$5=Lookups!$D$40,"All"))))&amp;"!"&amp;CP$72&amp;$DE44)*100,0)</f>
        <v>0</v>
      </c>
      <c r="CQ44" s="338" cm="1">
        <f t="array" aca="1" ref="CQ44" ca="1">IFERROR(INDIRECT("Yr"&amp;IF($C$5=Year1,1,IF($C$5=Year2,2,IF($C$5=Year3,3,IF($C$5=Lookups!$D$40,"All"))))&amp;"!"&amp;CQ$72&amp;$DE44)*100,0)</f>
        <v>0</v>
      </c>
      <c r="CR44" s="338" cm="1">
        <f t="array" aca="1" ref="CR44" ca="1">IFERROR(INDIRECT("Yr"&amp;IF($C$5=Year1,1,IF($C$5=Year2,2,IF($C$5=Year3,3,IF($C$5=Lookups!$D$40,"All"))))&amp;"!"&amp;CR$72&amp;$DE44)*100,0)</f>
        <v>0</v>
      </c>
      <c r="CS44" s="338" cm="1">
        <f t="array" aca="1" ref="CS44" ca="1">IFERROR(INDIRECT("Yr"&amp;IF($C$5=Year1,1,IF($C$5=Year2,2,IF($C$5=Year3,3,IF($C$5=Lookups!$D$40,"All"))))&amp;"!"&amp;CS$72&amp;$DE44)*100,0)</f>
        <v>0</v>
      </c>
      <c r="CT44" s="338" cm="1">
        <f t="array" aca="1" ref="CT44" ca="1">IFERROR(INDIRECT("Yr"&amp;IF($C$5=Year1,1,IF($C$5=Year2,2,IF($C$5=Year3,3,IF($C$5=Lookups!$D$40,"All"))))&amp;"!"&amp;CT$72&amp;$DE44)*100,0)</f>
        <v>0</v>
      </c>
      <c r="CU44" s="338" cm="1">
        <f t="array" aca="1" ref="CU44" ca="1">IFERROR(INDIRECT("Yr"&amp;IF($C$5=Year1,1,IF($C$5=Year2,2,IF($C$5=Year3,3,IF($C$5=Lookups!$D$40,"All"))))&amp;"!"&amp;CU$72&amp;$DE44)*100,0)</f>
        <v>0</v>
      </c>
      <c r="CV44" s="338" cm="1">
        <f t="array" aca="1" ref="CV44" ca="1">IFERROR(INDIRECT("Yr"&amp;IF($C$5=Year1,1,IF($C$5=Year2,2,IF($C$5=Year3,3,IF($C$5=Lookups!$D$40,"All"))))&amp;"!"&amp;CV$72&amp;$DE44)*100,0)</f>
        <v>0</v>
      </c>
      <c r="CW44" s="338" cm="1">
        <f t="array" aca="1" ref="CW44" ca="1">IFERROR(INDIRECT("Yr"&amp;IF($C$5=Year1,1,IF($C$5=Year2,2,IF($C$5=Year3,3,IF($C$5=Lookups!$D$40,"All"))))&amp;"!"&amp;CW$72&amp;$DE44)*100,0)</f>
        <v>0</v>
      </c>
      <c r="CX44" s="338" cm="1">
        <f t="array" aca="1" ref="CX44" ca="1">IFERROR(INDIRECT("Yr"&amp;IF($C$5=Year1,1,IF($C$5=Year2,2,IF($C$5=Year3,3,IF($C$5=Lookups!$D$40,"All"))))&amp;"!"&amp;CX$72&amp;$DE44)*100,0)</f>
        <v>0</v>
      </c>
      <c r="CY44" s="338" cm="1">
        <f t="array" aca="1" ref="CY44" ca="1">IFERROR(INDIRECT("Yr"&amp;IF($C$5=Year1,1,IF($C$5=Year2,2,IF($C$5=Year3,3,IF($C$5=Lookups!$D$40,"All"))))&amp;"!"&amp;CY$72&amp;$DE44)*100,0)</f>
        <v>0</v>
      </c>
      <c r="CZ44" s="338" cm="1">
        <f t="array" aca="1" ref="CZ44" ca="1">IFERROR(INDIRECT("Yr"&amp;IF($C$5=Year1,1,IF($C$5=Year2,2,IF($C$5=Year3,3,IF($C$5=Lookups!$D$40,"All"))))&amp;"!"&amp;CZ$72&amp;$DE44)*100,0)</f>
        <v>0</v>
      </c>
      <c r="DA44" s="152"/>
      <c r="DB44" s="338"/>
      <c r="DE44" s="516"/>
      <c r="DJ44" s="5"/>
    </row>
    <row r="45" spans="3:114" x14ac:dyDescent="0.25">
      <c r="BV45" s="343"/>
      <c r="BW45" s="346"/>
      <c r="BX45" s="131" t="s">
        <v>175</v>
      </c>
      <c r="BY45" s="131" t="s">
        <v>409</v>
      </c>
      <c r="BZ45" s="338" cm="1">
        <f t="array" aca="1" ref="BZ45" ca="1">IFERROR(INDIRECT("Yr"&amp;IF($C$5=Year1,1,IF($C$5=Year2,2,IF($C$5=Year3,3,IF($C$5=Lookups!$D$40,"All"))))&amp;"!"&amp;BZ$72&amp;$DE45)*100,0)</f>
        <v>-5.5400529335605068E-2</v>
      </c>
      <c r="CA45" s="338" cm="1">
        <f t="array" aca="1" ref="CA45" ca="1">IFERROR(INDIRECT("Yr"&amp;IF($C$5=Year1,1,IF($C$5=Year2,2,IF($C$5=Year3,3,IF($C$5=Lookups!$D$40,"All"))))&amp;"!"&amp;CA$72&amp;$DE45)*100,0)</f>
        <v>-0.11506544410305553</v>
      </c>
      <c r="CB45" s="338" cm="1">
        <f t="array" aca="1" ref="CB45" ca="1">IFERROR(INDIRECT("Yr"&amp;IF($C$5=Year1,1,IF($C$5=Year2,2,IF($C$5=Year3,3,IF($C$5=Lookups!$D$40,"All"))))&amp;"!"&amp;CB$72&amp;$DE45)*100,0)</f>
        <v>-0.17987631442744101</v>
      </c>
      <c r="CC45" s="338" cm="1">
        <f t="array" aca="1" ref="CC45" ca="1">IFERROR(INDIRECT("Yr"&amp;IF($C$5=Year1,1,IF($C$5=Year2,2,IF($C$5=Year3,3,IF($C$5=Lookups!$D$40,"All"))))&amp;"!"&amp;CC$72&amp;$DE45)*100,0)</f>
        <v>-0.17987631442744101</v>
      </c>
      <c r="CD45" s="338" cm="1">
        <f t="array" aca="1" ref="CD45" ca="1">IFERROR(INDIRECT("Yr"&amp;IF($C$5=Year1,1,IF($C$5=Year2,2,IF($C$5=Year3,3,IF($C$5=Lookups!$D$40,"All"))))&amp;"!"&amp;CD$72&amp;$DE45)*100,0)</f>
        <v>-0.17987631442744101</v>
      </c>
      <c r="CE45" s="338" cm="1">
        <f t="array" aca="1" ref="CE45" ca="1">IFERROR(INDIRECT("Yr"&amp;IF($C$5=Year1,1,IF($C$5=Year2,2,IF($C$5=Year3,3,IF($C$5=Lookups!$D$40,"All"))))&amp;"!"&amp;CE$72&amp;$DE45)*100,0)</f>
        <v>-0.17987631442744101</v>
      </c>
      <c r="CF45" s="338" cm="1">
        <f t="array" aca="1" ref="CF45" ca="1">IFERROR(INDIRECT("Yr"&amp;IF($C$5=Year1,1,IF($C$5=Year2,2,IF($C$5=Year3,3,IF($C$5=Lookups!$D$40,"All"))))&amp;"!"&amp;CF$72&amp;$DE45)*100,0)</f>
        <v>-0.17987631442744101</v>
      </c>
      <c r="CG45" s="338" cm="1">
        <f t="array" aca="1" ref="CG45" ca="1">IFERROR(INDIRECT("Yr"&amp;IF($C$5=Year1,1,IF($C$5=Year2,2,IF($C$5=Year3,3,IF($C$5=Lookups!$D$40,"All"))))&amp;"!"&amp;CG$72&amp;$DE45)*100,0)</f>
        <v>-0.17987631442744101</v>
      </c>
      <c r="CH45" s="338" cm="1">
        <f t="array" aca="1" ref="CH45" ca="1">IFERROR(INDIRECT("Yr"&amp;IF($C$5=Year1,1,IF($C$5=Year2,2,IF($C$5=Year3,3,IF($C$5=Lookups!$D$40,"All"))))&amp;"!"&amp;CH$72&amp;$DE45)*100,0)</f>
        <v>-0.17987631442744101</v>
      </c>
      <c r="CI45" s="338" cm="1">
        <f t="array" aca="1" ref="CI45" ca="1">IFERROR(INDIRECT("Yr"&amp;IF($C$5=Year1,1,IF($C$5=Year2,2,IF($C$5=Year3,3,IF($C$5=Lookups!$D$40,"All"))))&amp;"!"&amp;CI$72&amp;$DE45)*100,0)</f>
        <v>-0.17987631442744101</v>
      </c>
      <c r="CJ45" s="338" cm="1">
        <f t="array" aca="1" ref="CJ45" ca="1">IFERROR(INDIRECT("Yr"&amp;IF($C$5=Year1,1,IF($C$5=Year2,2,IF($C$5=Year3,3,IF($C$5=Lookups!$D$40,"All"))))&amp;"!"&amp;CJ$72&amp;$DE45)*100,0)</f>
        <v>-0.17987631442744101</v>
      </c>
      <c r="CK45" s="338" cm="1">
        <f t="array" aca="1" ref="CK45" ca="1">IFERROR(INDIRECT("Yr"&amp;IF($C$5=Year1,1,IF($C$5=Year2,2,IF($C$5=Year3,3,IF($C$5=Lookups!$D$40,"All"))))&amp;"!"&amp;CK$72&amp;$DE45)*100,0)</f>
        <v>-0.17987631442744101</v>
      </c>
      <c r="CL45" s="338" cm="1">
        <f t="array" aca="1" ref="CL45" ca="1">IFERROR(INDIRECT("Yr"&amp;IF($C$5=Year1,1,IF($C$5=Year2,2,IF($C$5=Year3,3,IF($C$5=Lookups!$D$40,"All"))))&amp;"!"&amp;CL$72&amp;$DE45)*100,0)</f>
        <v>-0.17987631442744101</v>
      </c>
      <c r="CM45" s="338" cm="1">
        <f t="array" aca="1" ref="CM45" ca="1">IFERROR(INDIRECT("Yr"&amp;IF($C$5=Year1,1,IF($C$5=Year2,2,IF($C$5=Year3,3,IF($C$5=Lookups!$D$40,"All"))))&amp;"!"&amp;CM$72&amp;$DE45)*100,0)</f>
        <v>-0.17987631442744101</v>
      </c>
      <c r="CN45" s="338" cm="1">
        <f t="array" aca="1" ref="CN45" ca="1">IFERROR(INDIRECT("Yr"&amp;IF($C$5=Year1,1,IF($C$5=Year2,2,IF($C$5=Year3,3,IF($C$5=Lookups!$D$40,"All"))))&amp;"!"&amp;CN$72&amp;$DE45)*100,0)</f>
        <v>-0.17987631442744101</v>
      </c>
      <c r="CO45" s="338" cm="1">
        <f t="array" aca="1" ref="CO45" ca="1">IFERROR(INDIRECT("Yr"&amp;IF($C$5=Year1,1,IF($C$5=Year2,2,IF($C$5=Year3,3,IF($C$5=Lookups!$D$40,"All"))))&amp;"!"&amp;CO$72&amp;$DE45)*100,0)</f>
        <v>-0.17987631442744101</v>
      </c>
      <c r="CP45" s="338" cm="1">
        <f t="array" aca="1" ref="CP45" ca="1">IFERROR(INDIRECT("Yr"&amp;IF($C$5=Year1,1,IF($C$5=Year2,2,IF($C$5=Year3,3,IF($C$5=Lookups!$D$40,"All"))))&amp;"!"&amp;CP$72&amp;$DE45)*100,0)</f>
        <v>-0.17987631442744101</v>
      </c>
      <c r="CQ45" s="338" cm="1">
        <f t="array" aca="1" ref="CQ45" ca="1">IFERROR(INDIRECT("Yr"&amp;IF($C$5=Year1,1,IF($C$5=Year2,2,IF($C$5=Year3,3,IF($C$5=Lookups!$D$40,"All"))))&amp;"!"&amp;CQ$72&amp;$DE45)*100,0)</f>
        <v>-0.17987631442744101</v>
      </c>
      <c r="CR45" s="338" cm="1">
        <f t="array" aca="1" ref="CR45" ca="1">IFERROR(INDIRECT("Yr"&amp;IF($C$5=Year1,1,IF($C$5=Year2,2,IF($C$5=Year3,3,IF($C$5=Lookups!$D$40,"All"))))&amp;"!"&amp;CR$72&amp;$DE45)*100,0)</f>
        <v>-0.17987631442744101</v>
      </c>
      <c r="CS45" s="338" cm="1">
        <f t="array" aca="1" ref="CS45" ca="1">IFERROR(INDIRECT("Yr"&amp;IF($C$5=Year1,1,IF($C$5=Year2,2,IF($C$5=Year3,3,IF($C$5=Lookups!$D$40,"All"))))&amp;"!"&amp;CS$72&amp;$DE45)*100,0)</f>
        <v>-0.17987631442744101</v>
      </c>
      <c r="CT45" s="338" cm="1">
        <f t="array" aca="1" ref="CT45" ca="1">IFERROR(INDIRECT("Yr"&amp;IF($C$5=Year1,1,IF($C$5=Year2,2,IF($C$5=Year3,3,IF($C$5=Lookups!$D$40,"All"))))&amp;"!"&amp;CT$72&amp;$DE45)*100,0)</f>
        <v>-0.11908691663215273</v>
      </c>
      <c r="CU45" s="338" cm="1">
        <f t="array" aca="1" ref="CU45" ca="1">IFERROR(INDIRECT("Yr"&amp;IF($C$5=Year1,1,IF($C$5=Year2,2,IF($C$5=Year3,3,IF($C$5=Lookups!$D$40,"All"))))&amp;"!"&amp;CU$72&amp;$DE45)*100,0)</f>
        <v>-5.9238889058121851E-2</v>
      </c>
      <c r="CV45" s="338" cm="1">
        <f t="array" aca="1" ref="CV45" ca="1">IFERROR(INDIRECT("Yr"&amp;IF($C$5=Year1,1,IF($C$5=Year2,2,IF($C$5=Year3,3,IF($C$5=Lookups!$D$40,"All"))))&amp;"!"&amp;CV$72&amp;$DE45)*100,0)</f>
        <v>0</v>
      </c>
      <c r="CW45" s="338" cm="1">
        <f t="array" aca="1" ref="CW45" ca="1">IFERROR(INDIRECT("Yr"&amp;IF($C$5=Year1,1,IF($C$5=Year2,2,IF($C$5=Year3,3,IF($C$5=Lookups!$D$40,"All"))))&amp;"!"&amp;CW$72&amp;$DE45)*100,0)</f>
        <v>0</v>
      </c>
      <c r="CX45" s="338" cm="1">
        <f t="array" aca="1" ref="CX45" ca="1">IFERROR(INDIRECT("Yr"&amp;IF($C$5=Year1,1,IF($C$5=Year2,2,IF($C$5=Year3,3,IF($C$5=Lookups!$D$40,"All"))))&amp;"!"&amp;CX$72&amp;$DE45)*100,0)</f>
        <v>0</v>
      </c>
      <c r="CY45" s="338" cm="1">
        <f t="array" aca="1" ref="CY45" ca="1">IFERROR(INDIRECT("Yr"&amp;IF($C$5=Year1,1,IF($C$5=Year2,2,IF($C$5=Year3,3,IF($C$5=Lookups!$D$40,"All"))))&amp;"!"&amp;CY$72&amp;$DE45)*100,0)</f>
        <v>0</v>
      </c>
      <c r="CZ45" s="338" cm="1">
        <f t="array" aca="1" ref="CZ45" ca="1">IFERROR(INDIRECT("Yr"&amp;IF($C$5=Year1,1,IF($C$5=Year2,2,IF($C$5=Year3,3,IF($C$5=Lookups!$D$40,"All"))))&amp;"!"&amp;CZ$72&amp;$DE45)*100,0)</f>
        <v>0</v>
      </c>
      <c r="DA45" s="152"/>
      <c r="DB45" s="338"/>
      <c r="DE45" s="516">
        <f t="shared" ref="DE45:DE52" si="6">DE25</f>
        <v>125</v>
      </c>
    </row>
    <row r="46" spans="3:114" x14ac:dyDescent="0.25">
      <c r="BV46" s="343"/>
      <c r="BW46" s="346"/>
      <c r="BX46" s="131" t="s">
        <v>405</v>
      </c>
      <c r="BY46" s="131" t="s">
        <v>409</v>
      </c>
      <c r="BZ46" s="338" cm="1">
        <f t="array" aca="1" ref="BZ46" ca="1">IFERROR(INDIRECT("Yr"&amp;IF($C$5=Year1,1,IF($C$5=Year2,2,IF($C$5=Year3,3,IF($C$5=Lookups!$D$40,"All"))))&amp;"!"&amp;BZ$72&amp;$DE46)*100,0)</f>
        <v>7.7623676390230019</v>
      </c>
      <c r="CA46" s="338" cm="1">
        <f t="array" aca="1" ref="CA46" ca="1">IFERROR(INDIRECT("Yr"&amp;IF($C$5=Year1,1,IF($C$5=Year2,2,IF($C$5=Year3,3,IF($C$5=Lookups!$D$40,"All"))))&amp;"!"&amp;CA$72&amp;$DE46)*100,0)</f>
        <v>7.998496595510125</v>
      </c>
      <c r="CB46" s="338" cm="1">
        <f t="array" aca="1" ref="CB46" ca="1">IFERROR(INDIRECT("Yr"&amp;IF($C$5=Year1,1,IF($C$5=Year2,2,IF($C$5=Year3,3,IF($C$5=Lookups!$D$40,"All"))))&amp;"!"&amp;CB$72&amp;$DE46)*100,0)</f>
        <v>8.2542973872564964</v>
      </c>
      <c r="CC46" s="338" cm="1">
        <f t="array" aca="1" ref="CC46" ca="1">IFERROR(INDIRECT("Yr"&amp;IF($C$5=Year1,1,IF($C$5=Year2,2,IF($C$5=Year3,3,IF($C$5=Lookups!$D$40,"All"))))&amp;"!"&amp;CC$72&amp;$DE46)*100,0)</f>
        <v>0</v>
      </c>
      <c r="CD46" s="338" cm="1">
        <f t="array" aca="1" ref="CD46" ca="1">IFERROR(INDIRECT("Yr"&amp;IF($C$5=Year1,1,IF($C$5=Year2,2,IF($C$5=Year3,3,IF($C$5=Lookups!$D$40,"All"))))&amp;"!"&amp;CD$72&amp;$DE46)*100,0)</f>
        <v>0</v>
      </c>
      <c r="CE46" s="338" cm="1">
        <f t="array" aca="1" ref="CE46" ca="1">IFERROR(INDIRECT("Yr"&amp;IF($C$5=Year1,1,IF($C$5=Year2,2,IF($C$5=Year3,3,IF($C$5=Lookups!$D$40,"All"))))&amp;"!"&amp;CE$72&amp;$DE46)*100,0)</f>
        <v>0</v>
      </c>
      <c r="CF46" s="338" cm="1">
        <f t="array" aca="1" ref="CF46" ca="1">IFERROR(INDIRECT("Yr"&amp;IF($C$5=Year1,1,IF($C$5=Year2,2,IF($C$5=Year3,3,IF($C$5=Lookups!$D$40,"All"))))&amp;"!"&amp;CF$72&amp;$DE46)*100,0)</f>
        <v>0</v>
      </c>
      <c r="CG46" s="338" cm="1">
        <f t="array" aca="1" ref="CG46" ca="1">IFERROR(INDIRECT("Yr"&amp;IF($C$5=Year1,1,IF($C$5=Year2,2,IF($C$5=Year3,3,IF($C$5=Lookups!$D$40,"All"))))&amp;"!"&amp;CG$72&amp;$DE46)*100,0)</f>
        <v>0</v>
      </c>
      <c r="CH46" s="338" cm="1">
        <f t="array" aca="1" ref="CH46" ca="1">IFERROR(INDIRECT("Yr"&amp;IF($C$5=Year1,1,IF($C$5=Year2,2,IF($C$5=Year3,3,IF($C$5=Lookups!$D$40,"All"))))&amp;"!"&amp;CH$72&amp;$DE46)*100,0)</f>
        <v>0</v>
      </c>
      <c r="CI46" s="338" cm="1">
        <f t="array" aca="1" ref="CI46" ca="1">IFERROR(INDIRECT("Yr"&amp;IF($C$5=Year1,1,IF($C$5=Year2,2,IF($C$5=Year3,3,IF($C$5=Lookups!$D$40,"All"))))&amp;"!"&amp;CI$72&amp;$DE46)*100,0)</f>
        <v>0</v>
      </c>
      <c r="CJ46" s="338" cm="1">
        <f t="array" aca="1" ref="CJ46" ca="1">IFERROR(INDIRECT("Yr"&amp;IF($C$5=Year1,1,IF($C$5=Year2,2,IF($C$5=Year3,3,IF($C$5=Lookups!$D$40,"All"))))&amp;"!"&amp;CJ$72&amp;$DE46)*100,0)</f>
        <v>0</v>
      </c>
      <c r="CK46" s="338" cm="1">
        <f t="array" aca="1" ref="CK46" ca="1">IFERROR(INDIRECT("Yr"&amp;IF($C$5=Year1,1,IF($C$5=Year2,2,IF($C$5=Year3,3,IF($C$5=Lookups!$D$40,"All"))))&amp;"!"&amp;CK$72&amp;$DE46)*100,0)</f>
        <v>0</v>
      </c>
      <c r="CL46" s="338" cm="1">
        <f t="array" aca="1" ref="CL46" ca="1">IFERROR(INDIRECT("Yr"&amp;IF($C$5=Year1,1,IF($C$5=Year2,2,IF($C$5=Year3,3,IF($C$5=Lookups!$D$40,"All"))))&amp;"!"&amp;CL$72&amp;$DE46)*100,0)</f>
        <v>0</v>
      </c>
      <c r="CM46" s="338" cm="1">
        <f t="array" aca="1" ref="CM46" ca="1">IFERROR(INDIRECT("Yr"&amp;IF($C$5=Year1,1,IF($C$5=Year2,2,IF($C$5=Year3,3,IF($C$5=Lookups!$D$40,"All"))))&amp;"!"&amp;CM$72&amp;$DE46)*100,0)</f>
        <v>0</v>
      </c>
      <c r="CN46" s="338" cm="1">
        <f t="array" aca="1" ref="CN46" ca="1">IFERROR(INDIRECT("Yr"&amp;IF($C$5=Year1,1,IF($C$5=Year2,2,IF($C$5=Year3,3,IF($C$5=Lookups!$D$40,"All"))))&amp;"!"&amp;CN$72&amp;$DE46)*100,0)</f>
        <v>0</v>
      </c>
      <c r="CO46" s="338" cm="1">
        <f t="array" aca="1" ref="CO46" ca="1">IFERROR(INDIRECT("Yr"&amp;IF($C$5=Year1,1,IF($C$5=Year2,2,IF($C$5=Year3,3,IF($C$5=Lookups!$D$40,"All"))))&amp;"!"&amp;CO$72&amp;$DE46)*100,0)</f>
        <v>0</v>
      </c>
      <c r="CP46" s="338" cm="1">
        <f t="array" aca="1" ref="CP46" ca="1">IFERROR(INDIRECT("Yr"&amp;IF($C$5=Year1,1,IF($C$5=Year2,2,IF($C$5=Year3,3,IF($C$5=Lookups!$D$40,"All"))))&amp;"!"&amp;CP$72&amp;$DE46)*100,0)</f>
        <v>0</v>
      </c>
      <c r="CQ46" s="338" cm="1">
        <f t="array" aca="1" ref="CQ46" ca="1">IFERROR(INDIRECT("Yr"&amp;IF($C$5=Year1,1,IF($C$5=Year2,2,IF($C$5=Year3,3,IF($C$5=Lookups!$D$40,"All"))))&amp;"!"&amp;CQ$72&amp;$DE46)*100,0)</f>
        <v>0</v>
      </c>
      <c r="CR46" s="338" cm="1">
        <f t="array" aca="1" ref="CR46" ca="1">IFERROR(INDIRECT("Yr"&amp;IF($C$5=Year1,1,IF($C$5=Year2,2,IF($C$5=Year3,3,IF($C$5=Lookups!$D$40,"All"))))&amp;"!"&amp;CR$72&amp;$DE46)*100,0)</f>
        <v>0</v>
      </c>
      <c r="CS46" s="338" cm="1">
        <f t="array" aca="1" ref="CS46" ca="1">IFERROR(INDIRECT("Yr"&amp;IF($C$5=Year1,1,IF($C$5=Year2,2,IF($C$5=Year3,3,IF($C$5=Lookups!$D$40,"All"))))&amp;"!"&amp;CS$72&amp;$DE46)*100,0)</f>
        <v>0</v>
      </c>
      <c r="CT46" s="338" cm="1">
        <f t="array" aca="1" ref="CT46" ca="1">IFERROR(INDIRECT("Yr"&amp;IF($C$5=Year1,1,IF($C$5=Year2,2,IF($C$5=Year3,3,IF($C$5=Lookups!$D$40,"All"))))&amp;"!"&amp;CT$72&amp;$DE46)*100,0)</f>
        <v>0</v>
      </c>
      <c r="CU46" s="338" cm="1">
        <f t="array" aca="1" ref="CU46" ca="1">IFERROR(INDIRECT("Yr"&amp;IF($C$5=Year1,1,IF($C$5=Year2,2,IF($C$5=Year3,3,IF($C$5=Lookups!$D$40,"All"))))&amp;"!"&amp;CU$72&amp;$DE46)*100,0)</f>
        <v>0</v>
      </c>
      <c r="CV46" s="338" cm="1">
        <f t="array" aca="1" ref="CV46" ca="1">IFERROR(INDIRECT("Yr"&amp;IF($C$5=Year1,1,IF($C$5=Year2,2,IF($C$5=Year3,3,IF($C$5=Lookups!$D$40,"All"))))&amp;"!"&amp;CV$72&amp;$DE46)*100,0)</f>
        <v>0</v>
      </c>
      <c r="CW46" s="338" cm="1">
        <f t="array" aca="1" ref="CW46" ca="1">IFERROR(INDIRECT("Yr"&amp;IF($C$5=Year1,1,IF($C$5=Year2,2,IF($C$5=Year3,3,IF($C$5=Lookups!$D$40,"All"))))&amp;"!"&amp;CW$72&amp;$DE46)*100,0)</f>
        <v>0</v>
      </c>
      <c r="CX46" s="338" cm="1">
        <f t="array" aca="1" ref="CX46" ca="1">IFERROR(INDIRECT("Yr"&amp;IF($C$5=Year1,1,IF($C$5=Year2,2,IF($C$5=Year3,3,IF($C$5=Lookups!$D$40,"All"))))&amp;"!"&amp;CX$72&amp;$DE46)*100,0)</f>
        <v>0</v>
      </c>
      <c r="CY46" s="338" cm="1">
        <f t="array" aca="1" ref="CY46" ca="1">IFERROR(INDIRECT("Yr"&amp;IF($C$5=Year1,1,IF($C$5=Year2,2,IF($C$5=Year3,3,IF($C$5=Lookups!$D$40,"All"))))&amp;"!"&amp;CY$72&amp;$DE46)*100,0)</f>
        <v>0</v>
      </c>
      <c r="CZ46" s="338" cm="1">
        <f t="array" aca="1" ref="CZ46" ca="1">IFERROR(INDIRECT("Yr"&amp;IF($C$5=Year1,1,IF($C$5=Year2,2,IF($C$5=Year3,3,IF($C$5=Lookups!$D$40,"All"))))&amp;"!"&amp;CZ$72&amp;$DE46)*100,0)</f>
        <v>0</v>
      </c>
      <c r="DA46" s="152"/>
      <c r="DB46" s="338"/>
      <c r="DE46" s="516">
        <f t="shared" si="6"/>
        <v>128</v>
      </c>
    </row>
    <row r="47" spans="3:114" x14ac:dyDescent="0.25">
      <c r="BV47" s="343"/>
      <c r="BW47" s="346"/>
      <c r="BX47" s="350" t="s">
        <v>69</v>
      </c>
      <c r="BY47" s="350" t="s">
        <v>409</v>
      </c>
      <c r="BZ47" s="473" cm="1">
        <f t="array" aca="1" ref="BZ47" ca="1">IFERROR(INDIRECT("Yr"&amp;IF($C$5=Year1,1,IF($C$5=Year2,2,IF($C$5=Year3,3,IF($C$5=Lookups!$D$40,"All"))))&amp;"!"&amp;BZ$72&amp;$DE47)*100,0)</f>
        <v>0.48417808606264212</v>
      </c>
      <c r="CA47" s="473" cm="1">
        <f t="array" aca="1" ref="CA47" ca="1">IFERROR(INDIRECT("Yr"&amp;IF($C$5=Year1,1,IF($C$5=Year2,2,IF($C$5=Year3,3,IF($C$5=Lookups!$D$40,"All"))))&amp;"!"&amp;CA$72&amp;$DE47)*100,0)</f>
        <v>1.0011730651406565</v>
      </c>
      <c r="CB47" s="473" cm="1">
        <f t="array" aca="1" ref="CB47" ca="1">IFERROR(INDIRECT("Yr"&amp;IF($C$5=Year1,1,IF($C$5=Year2,2,IF($C$5=Year3,3,IF($C$5=Lookups!$D$40,"All"))))&amp;"!"&amp;CB$72&amp;$DE47)*100,0)</f>
        <v>1.5588877133996426</v>
      </c>
      <c r="CC47" s="473" cm="1">
        <f t="array" aca="1" ref="CC47" ca="1">IFERROR(INDIRECT("Yr"&amp;IF($C$5=Year1,1,IF($C$5=Year2,2,IF($C$5=Year3,3,IF($C$5=Lookups!$D$40,"All"))))&amp;"!"&amp;CC$72&amp;$DE47)*100,0)</f>
        <v>1.5588877133996426</v>
      </c>
      <c r="CD47" s="473" cm="1">
        <f t="array" aca="1" ref="CD47" ca="1">IFERROR(INDIRECT("Yr"&amp;IF($C$5=Year1,1,IF($C$5=Year2,2,IF($C$5=Year3,3,IF($C$5=Lookups!$D$40,"All"))))&amp;"!"&amp;CD$72&amp;$DE47)*100,0)</f>
        <v>1.5588877133996426</v>
      </c>
      <c r="CE47" s="473" cm="1">
        <f t="array" aca="1" ref="CE47" ca="1">IFERROR(INDIRECT("Yr"&amp;IF($C$5=Year1,1,IF($C$5=Year2,2,IF($C$5=Year3,3,IF($C$5=Lookups!$D$40,"All"))))&amp;"!"&amp;CE$72&amp;$DE47)*100,0)</f>
        <v>1.5588877133996426</v>
      </c>
      <c r="CF47" s="473" cm="1">
        <f t="array" aca="1" ref="CF47" ca="1">IFERROR(INDIRECT("Yr"&amp;IF($C$5=Year1,1,IF($C$5=Year2,2,IF($C$5=Year3,3,IF($C$5=Lookups!$D$40,"All"))))&amp;"!"&amp;CF$72&amp;$DE47)*100,0)</f>
        <v>1.5588877133996426</v>
      </c>
      <c r="CG47" s="473" cm="1">
        <f t="array" aca="1" ref="CG47" ca="1">IFERROR(INDIRECT("Yr"&amp;IF($C$5=Year1,1,IF($C$5=Year2,2,IF($C$5=Year3,3,IF($C$5=Lookups!$D$40,"All"))))&amp;"!"&amp;CG$72&amp;$DE47)*100,0)</f>
        <v>1.5588877133996426</v>
      </c>
      <c r="CH47" s="473" cm="1">
        <f t="array" aca="1" ref="CH47" ca="1">IFERROR(INDIRECT("Yr"&amp;IF($C$5=Year1,1,IF($C$5=Year2,2,IF($C$5=Year3,3,IF($C$5=Lookups!$D$40,"All"))))&amp;"!"&amp;CH$72&amp;$DE47)*100,0)</f>
        <v>1.5588877133996426</v>
      </c>
      <c r="CI47" s="473" cm="1">
        <f t="array" aca="1" ref="CI47" ca="1">IFERROR(INDIRECT("Yr"&amp;IF($C$5=Year1,1,IF($C$5=Year2,2,IF($C$5=Year3,3,IF($C$5=Lookups!$D$40,"All"))))&amp;"!"&amp;CI$72&amp;$DE47)*100,0)</f>
        <v>1.5588877133996426</v>
      </c>
      <c r="CJ47" s="473" cm="1">
        <f t="array" aca="1" ref="CJ47" ca="1">IFERROR(INDIRECT("Yr"&amp;IF($C$5=Year1,1,IF($C$5=Year2,2,IF($C$5=Year3,3,IF($C$5=Lookups!$D$40,"All"))))&amp;"!"&amp;CJ$72&amp;$DE47)*100,0)</f>
        <v>1.5588877133996426</v>
      </c>
      <c r="CK47" s="473" cm="1">
        <f t="array" aca="1" ref="CK47" ca="1">IFERROR(INDIRECT("Yr"&amp;IF($C$5=Year1,1,IF($C$5=Year2,2,IF($C$5=Year3,3,IF($C$5=Lookups!$D$40,"All"))))&amp;"!"&amp;CK$72&amp;$DE47)*100,0)</f>
        <v>1.5588877133996426</v>
      </c>
      <c r="CL47" s="473" cm="1">
        <f t="array" aca="1" ref="CL47" ca="1">IFERROR(INDIRECT("Yr"&amp;IF($C$5=Year1,1,IF($C$5=Year2,2,IF($C$5=Year3,3,IF($C$5=Lookups!$D$40,"All"))))&amp;"!"&amp;CL$72&amp;$DE47)*100,0)</f>
        <v>1.5588877133996426</v>
      </c>
      <c r="CM47" s="473" cm="1">
        <f t="array" aca="1" ref="CM47" ca="1">IFERROR(INDIRECT("Yr"&amp;IF($C$5=Year1,1,IF($C$5=Year2,2,IF($C$5=Year3,3,IF($C$5=Lookups!$D$40,"All"))))&amp;"!"&amp;CM$72&amp;$DE47)*100,0)</f>
        <v>1.5588877133996426</v>
      </c>
      <c r="CN47" s="473" cm="1">
        <f t="array" aca="1" ref="CN47" ca="1">IFERROR(INDIRECT("Yr"&amp;IF($C$5=Year1,1,IF($C$5=Year2,2,IF($C$5=Year3,3,IF($C$5=Lookups!$D$40,"All"))))&amp;"!"&amp;CN$72&amp;$DE47)*100,0)</f>
        <v>1.5588877133996426</v>
      </c>
      <c r="CO47" s="473" cm="1">
        <f t="array" aca="1" ref="CO47" ca="1">IFERROR(INDIRECT("Yr"&amp;IF($C$5=Year1,1,IF($C$5=Year2,2,IF($C$5=Year3,3,IF($C$5=Lookups!$D$40,"All"))))&amp;"!"&amp;CO$72&amp;$DE47)*100,0)</f>
        <v>1.5588877133996426</v>
      </c>
      <c r="CP47" s="473" cm="1">
        <f t="array" aca="1" ref="CP47" ca="1">IFERROR(INDIRECT("Yr"&amp;IF($C$5=Year1,1,IF($C$5=Year2,2,IF($C$5=Year3,3,IF($C$5=Lookups!$D$40,"All"))))&amp;"!"&amp;CP$72&amp;$DE47)*100,0)</f>
        <v>1.5588877133996426</v>
      </c>
      <c r="CQ47" s="473" cm="1">
        <f t="array" aca="1" ref="CQ47" ca="1">IFERROR(INDIRECT("Yr"&amp;IF($C$5=Year1,1,IF($C$5=Year2,2,IF($C$5=Year3,3,IF($C$5=Lookups!$D$40,"All"))))&amp;"!"&amp;CQ$72&amp;$DE47)*100,0)</f>
        <v>1.5588877133996426</v>
      </c>
      <c r="CR47" s="473" cm="1">
        <f t="array" aca="1" ref="CR47" ca="1">IFERROR(INDIRECT("Yr"&amp;IF($C$5=Year1,1,IF($C$5=Year2,2,IF($C$5=Year3,3,IF($C$5=Lookups!$D$40,"All"))))&amp;"!"&amp;CR$72&amp;$DE47)*100,0)</f>
        <v>1.5588877133996426</v>
      </c>
      <c r="CS47" s="473" cm="1">
        <f t="array" aca="1" ref="CS47" ca="1">IFERROR(INDIRECT("Yr"&amp;IF($C$5=Year1,1,IF($C$5=Year2,2,IF($C$5=Year3,3,IF($C$5=Lookups!$D$40,"All"))))&amp;"!"&amp;CS$72&amp;$DE47)*100,0)</f>
        <v>1.5588877133996426</v>
      </c>
      <c r="CT47" s="473" cm="1">
        <f t="array" aca="1" ref="CT47" ca="1">IFERROR(INDIRECT("Yr"&amp;IF($C$5=Year1,1,IF($C$5=Year2,2,IF($C$5=Year3,3,IF($C$5=Lookups!$D$40,"All"))))&amp;"!"&amp;CT$72&amp;$DE47)*100,0)</f>
        <v>1.037428755030656</v>
      </c>
      <c r="CU47" s="473" cm="1">
        <f t="array" aca="1" ref="CU47" ca="1">IFERROR(INDIRECT("Yr"&amp;IF($C$5=Year1,1,IF($C$5=Year2,2,IF($C$5=Year3,3,IF($C$5=Lookups!$D$40,"All"))))&amp;"!"&amp;CU$72&amp;$DE47)*100,0)</f>
        <v>0.51913741775079236</v>
      </c>
      <c r="CV47" s="473" cm="1">
        <f t="array" aca="1" ref="CV47" ca="1">IFERROR(INDIRECT("Yr"&amp;IF($C$5=Year1,1,IF($C$5=Year2,2,IF($C$5=Year3,3,IF($C$5=Lookups!$D$40,"All"))))&amp;"!"&amp;CV$72&amp;$DE47)*100,0)</f>
        <v>0</v>
      </c>
      <c r="CW47" s="473" cm="1">
        <f t="array" aca="1" ref="CW47" ca="1">IFERROR(INDIRECT("Yr"&amp;IF($C$5=Year1,1,IF($C$5=Year2,2,IF($C$5=Year3,3,IF($C$5=Lookups!$D$40,"All"))))&amp;"!"&amp;CW$72&amp;$DE47)*100,0)</f>
        <v>0</v>
      </c>
      <c r="CX47" s="473" cm="1">
        <f t="array" aca="1" ref="CX47" ca="1">IFERROR(INDIRECT("Yr"&amp;IF($C$5=Year1,1,IF($C$5=Year2,2,IF($C$5=Year3,3,IF($C$5=Lookups!$D$40,"All"))))&amp;"!"&amp;CX$72&amp;$DE47)*100,0)</f>
        <v>0</v>
      </c>
      <c r="CY47" s="473" cm="1">
        <f t="array" aca="1" ref="CY47" ca="1">IFERROR(INDIRECT("Yr"&amp;IF($C$5=Year1,1,IF($C$5=Year2,2,IF($C$5=Year3,3,IF($C$5=Lookups!$D$40,"All"))))&amp;"!"&amp;CY$72&amp;$DE47)*100,0)</f>
        <v>0</v>
      </c>
      <c r="CZ47" s="473" cm="1">
        <f t="array" aca="1" ref="CZ47" ca="1">IFERROR(INDIRECT("Yr"&amp;IF($C$5=Year1,1,IF($C$5=Year2,2,IF($C$5=Year3,3,IF($C$5=Lookups!$D$40,"All"))))&amp;"!"&amp;CZ$72&amp;$DE47)*100,0)</f>
        <v>0</v>
      </c>
      <c r="DA47" s="152"/>
      <c r="DB47" s="473"/>
      <c r="DE47" s="516">
        <f t="shared" si="6"/>
        <v>129</v>
      </c>
    </row>
    <row r="48" spans="3:114" x14ac:dyDescent="0.25">
      <c r="BV48" s="343"/>
      <c r="BW48" s="346"/>
      <c r="BX48" s="165" t="s">
        <v>98</v>
      </c>
      <c r="BY48" s="131" t="s">
        <v>409</v>
      </c>
      <c r="BZ48" s="338">
        <f t="shared" ref="BZ48:CZ48" ca="1" si="7">SUM(BZ43:BZ45)</f>
        <v>-1.5733038800777572</v>
      </c>
      <c r="CA48" s="338">
        <f t="shared" ca="1" si="7"/>
        <v>-3.2684772287347101</v>
      </c>
      <c r="CB48" s="338">
        <f t="shared" ca="1" si="7"/>
        <v>-5.1131536567824716</v>
      </c>
      <c r="CC48" s="338">
        <f t="shared" ca="1" si="7"/>
        <v>-5.1131536567824716</v>
      </c>
      <c r="CD48" s="338">
        <f t="shared" ca="1" si="7"/>
        <v>-5.1131536567824716</v>
      </c>
      <c r="CE48" s="338">
        <f t="shared" ca="1" si="7"/>
        <v>-5.1131536567824716</v>
      </c>
      <c r="CF48" s="338">
        <f t="shared" ca="1" si="7"/>
        <v>-5.1131536567824716</v>
      </c>
      <c r="CG48" s="338">
        <f t="shared" ca="1" si="7"/>
        <v>-5.1131536567824716</v>
      </c>
      <c r="CH48" s="338">
        <f t="shared" ca="1" si="7"/>
        <v>-5.1131536567824716</v>
      </c>
      <c r="CI48" s="338">
        <f t="shared" ca="1" si="7"/>
        <v>-5.1131536567824716</v>
      </c>
      <c r="CJ48" s="338">
        <f t="shared" ca="1" si="7"/>
        <v>-5.1131536567824716</v>
      </c>
      <c r="CK48" s="338">
        <f t="shared" ca="1" si="7"/>
        <v>-5.1131536567824716</v>
      </c>
      <c r="CL48" s="338">
        <f t="shared" ca="1" si="7"/>
        <v>-5.1131536567824716</v>
      </c>
      <c r="CM48" s="338">
        <f t="shared" ca="1" si="7"/>
        <v>-5.1131536567824716</v>
      </c>
      <c r="CN48" s="338">
        <f t="shared" ca="1" si="7"/>
        <v>-5.1131536567824716</v>
      </c>
      <c r="CO48" s="338">
        <f t="shared" ca="1" si="7"/>
        <v>-5.1131536567824716</v>
      </c>
      <c r="CP48" s="338">
        <f t="shared" ca="1" si="7"/>
        <v>-5.1131536567824716</v>
      </c>
      <c r="CQ48" s="338">
        <f t="shared" ca="1" si="7"/>
        <v>-5.1131536567824716</v>
      </c>
      <c r="CR48" s="338">
        <f t="shared" ca="1" si="7"/>
        <v>-5.1131536567824716</v>
      </c>
      <c r="CS48" s="338">
        <f t="shared" ca="1" si="7"/>
        <v>-5.1131536567824716</v>
      </c>
      <c r="CT48" s="338">
        <f t="shared" ca="1" si="7"/>
        <v>-3.3867032860623891</v>
      </c>
      <c r="CU48" s="338">
        <f t="shared" ca="1" si="7"/>
        <v>-1.6862379460716261</v>
      </c>
      <c r="CV48" s="338">
        <f t="shared" ca="1" si="7"/>
        <v>0</v>
      </c>
      <c r="CW48" s="338">
        <f t="shared" ca="1" si="7"/>
        <v>0</v>
      </c>
      <c r="CX48" s="338">
        <f t="shared" ca="1" si="7"/>
        <v>0</v>
      </c>
      <c r="CY48" s="338">
        <f t="shared" ca="1" si="7"/>
        <v>0</v>
      </c>
      <c r="CZ48" s="338">
        <f t="shared" ca="1" si="7"/>
        <v>0</v>
      </c>
      <c r="DA48" s="152"/>
      <c r="DB48" s="338"/>
      <c r="DC48" s="123"/>
      <c r="DE48" s="516" t="str">
        <f t="shared" si="6"/>
        <v>Calculation</v>
      </c>
    </row>
    <row r="49" spans="3:117" x14ac:dyDescent="0.25">
      <c r="BV49" s="351"/>
      <c r="BW49" s="352"/>
      <c r="BX49" s="353" t="s">
        <v>99</v>
      </c>
      <c r="BY49" s="353" t="s">
        <v>409</v>
      </c>
      <c r="BZ49" s="338" cm="1">
        <f t="array" aca="1" ref="BZ49" ca="1">IFERROR(INDIRECT("Yr"&amp;IF($C$5=Year1,1,IF($C$5=Year2,2,IF($C$5=Year3,3,IF($C$5=Lookups!$D$40,"All"))))&amp;"!"&amp;BZ$72&amp;$DE49)*100,0)</f>
        <v>8.0178213733644093</v>
      </c>
      <c r="CA49" s="338" cm="1">
        <f t="array" aca="1" ref="CA49" ca="1">IFERROR(INDIRECT("Yr"&amp;IF($C$5=Year1,1,IF($C$5=Year2,2,IF($C$5=Year3,3,IF($C$5=Lookups!$D$40,"All"))))&amp;"!"&amp;CA$72&amp;$DE49)*100,0)</f>
        <v>8.5292569467878003</v>
      </c>
      <c r="CB49" s="338" cm="1">
        <f t="array" aca="1" ref="CB49" ca="1">IFERROR(INDIRECT("Yr"&amp;IF($C$5=Year1,1,IF($C$5=Year2,2,IF($C$5=Year3,3,IF($C$5=Lookups!$D$40,"All"))))&amp;"!"&amp;CB$72&amp;$DE49)*100,0)</f>
        <v>9.0850422267313657</v>
      </c>
      <c r="CC49" s="338" cm="1">
        <f t="array" aca="1" ref="CC49" ca="1">IFERROR(INDIRECT("Yr"&amp;IF($C$5=Year1,1,IF($C$5=Year2,2,IF($C$5=Year3,3,IF($C$5=Lookups!$D$40,"All"))))&amp;"!"&amp;CC$72&amp;$DE49)*100,0)</f>
        <v>0.83074483947487288</v>
      </c>
      <c r="CD49" s="338" cm="1">
        <f t="array" aca="1" ref="CD49" ca="1">IFERROR(INDIRECT("Yr"&amp;IF($C$5=Year1,1,IF($C$5=Year2,2,IF($C$5=Year3,3,IF($C$5=Lookups!$D$40,"All"))))&amp;"!"&amp;CD$72&amp;$DE49)*100,0)</f>
        <v>0.83074483947487288</v>
      </c>
      <c r="CE49" s="338" cm="1">
        <f t="array" aca="1" ref="CE49" ca="1">IFERROR(INDIRECT("Yr"&amp;IF($C$5=Year1,1,IF($C$5=Year2,2,IF($C$5=Year3,3,IF($C$5=Lookups!$D$40,"All"))))&amp;"!"&amp;CE$72&amp;$DE49)*100,0)</f>
        <v>0.83074483947487288</v>
      </c>
      <c r="CF49" s="338" cm="1">
        <f t="array" aca="1" ref="CF49" ca="1">IFERROR(INDIRECT("Yr"&amp;IF($C$5=Year1,1,IF($C$5=Year2,2,IF($C$5=Year3,3,IF($C$5=Lookups!$D$40,"All"))))&amp;"!"&amp;CF$72&amp;$DE49)*100,0)</f>
        <v>0.83074483947487288</v>
      </c>
      <c r="CG49" s="338" cm="1">
        <f t="array" aca="1" ref="CG49" ca="1">IFERROR(INDIRECT("Yr"&amp;IF($C$5=Year1,1,IF($C$5=Year2,2,IF($C$5=Year3,3,IF($C$5=Lookups!$D$40,"All"))))&amp;"!"&amp;CG$72&amp;$DE49)*100,0)</f>
        <v>0.83074483947487288</v>
      </c>
      <c r="CH49" s="338" cm="1">
        <f t="array" aca="1" ref="CH49" ca="1">IFERROR(INDIRECT("Yr"&amp;IF($C$5=Year1,1,IF($C$5=Year2,2,IF($C$5=Year3,3,IF($C$5=Lookups!$D$40,"All"))))&amp;"!"&amp;CH$72&amp;$DE49)*100,0)</f>
        <v>0.83074483947487288</v>
      </c>
      <c r="CI49" s="338" cm="1">
        <f t="array" aca="1" ref="CI49" ca="1">IFERROR(INDIRECT("Yr"&amp;IF($C$5=Year1,1,IF($C$5=Year2,2,IF($C$5=Year3,3,IF($C$5=Lookups!$D$40,"All"))))&amp;"!"&amp;CI$72&amp;$DE49)*100,0)</f>
        <v>0.83074483947487288</v>
      </c>
      <c r="CJ49" s="338" cm="1">
        <f t="array" aca="1" ref="CJ49" ca="1">IFERROR(INDIRECT("Yr"&amp;IF($C$5=Year1,1,IF($C$5=Year2,2,IF($C$5=Year3,3,IF($C$5=Lookups!$D$40,"All"))))&amp;"!"&amp;CJ$72&amp;$DE49)*100,0)</f>
        <v>0.83074483947487288</v>
      </c>
      <c r="CK49" s="338" cm="1">
        <f t="array" aca="1" ref="CK49" ca="1">IFERROR(INDIRECT("Yr"&amp;IF($C$5=Year1,1,IF($C$5=Year2,2,IF($C$5=Year3,3,IF($C$5=Lookups!$D$40,"All"))))&amp;"!"&amp;CK$72&amp;$DE49)*100,0)</f>
        <v>0.83074483947487288</v>
      </c>
      <c r="CL49" s="338" cm="1">
        <f t="array" aca="1" ref="CL49" ca="1">IFERROR(INDIRECT("Yr"&amp;IF($C$5=Year1,1,IF($C$5=Year2,2,IF($C$5=Year3,3,IF($C$5=Lookups!$D$40,"All"))))&amp;"!"&amp;CL$72&amp;$DE49)*100,0)</f>
        <v>0.83074483947487288</v>
      </c>
      <c r="CM49" s="338" cm="1">
        <f t="array" aca="1" ref="CM49" ca="1">IFERROR(INDIRECT("Yr"&amp;IF($C$5=Year1,1,IF($C$5=Year2,2,IF($C$5=Year3,3,IF($C$5=Lookups!$D$40,"All"))))&amp;"!"&amp;CM$72&amp;$DE49)*100,0)</f>
        <v>0.83074483947487288</v>
      </c>
      <c r="CN49" s="338" cm="1">
        <f t="array" aca="1" ref="CN49" ca="1">IFERROR(INDIRECT("Yr"&amp;IF($C$5=Year1,1,IF($C$5=Year2,2,IF($C$5=Year3,3,IF($C$5=Lookups!$D$40,"All"))))&amp;"!"&amp;CN$72&amp;$DE49)*100,0)</f>
        <v>0.83074483947487288</v>
      </c>
      <c r="CO49" s="338" cm="1">
        <f t="array" aca="1" ref="CO49" ca="1">IFERROR(INDIRECT("Yr"&amp;IF($C$5=Year1,1,IF($C$5=Year2,2,IF($C$5=Year3,3,IF($C$5=Lookups!$D$40,"All"))))&amp;"!"&amp;CO$72&amp;$DE49)*100,0)</f>
        <v>0.83074483947487288</v>
      </c>
      <c r="CP49" s="338" cm="1">
        <f t="array" aca="1" ref="CP49" ca="1">IFERROR(INDIRECT("Yr"&amp;IF($C$5=Year1,1,IF($C$5=Year2,2,IF($C$5=Year3,3,IF($C$5=Lookups!$D$40,"All"))))&amp;"!"&amp;CP$72&amp;$DE49)*100,0)</f>
        <v>0.83074483947487288</v>
      </c>
      <c r="CQ49" s="338" cm="1">
        <f t="array" aca="1" ref="CQ49" ca="1">IFERROR(INDIRECT("Yr"&amp;IF($C$5=Year1,1,IF($C$5=Year2,2,IF($C$5=Year3,3,IF($C$5=Lookups!$D$40,"All"))))&amp;"!"&amp;CQ$72&amp;$DE49)*100,0)</f>
        <v>0.83074483947487288</v>
      </c>
      <c r="CR49" s="338" cm="1">
        <f t="array" aca="1" ref="CR49" ca="1">IFERROR(INDIRECT("Yr"&amp;IF($C$5=Year1,1,IF($C$5=Year2,2,IF($C$5=Year3,3,IF($C$5=Lookups!$D$40,"All"))))&amp;"!"&amp;CR$72&amp;$DE49)*100,0)</f>
        <v>0.83074483947487288</v>
      </c>
      <c r="CS49" s="338" cm="1">
        <f t="array" aca="1" ref="CS49" ca="1">IFERROR(INDIRECT("Yr"&amp;IF($C$5=Year1,1,IF($C$5=Year2,2,IF($C$5=Year3,3,IF($C$5=Lookups!$D$40,"All"))))&amp;"!"&amp;CS$72&amp;$DE49)*100,0)</f>
        <v>0.83074483947487288</v>
      </c>
      <c r="CT49" s="338" cm="1">
        <f t="array" aca="1" ref="CT49" ca="1">IFERROR(INDIRECT("Yr"&amp;IF($C$5=Year1,1,IF($C$5=Year2,2,IF($C$5=Year3,3,IF($C$5=Lookups!$D$40,"All"))))&amp;"!"&amp;CT$72&amp;$DE49)*100,0)</f>
        <v>0.55041312029947553</v>
      </c>
      <c r="CU49" s="338" cm="1">
        <f t="array" aca="1" ref="CU49" ca="1">IFERROR(INDIRECT("Yr"&amp;IF($C$5=Year1,1,IF($C$5=Year2,2,IF($C$5=Year3,3,IF($C$5=Lookups!$D$40,"All"))))&amp;"!"&amp;CU$72&amp;$DE49)*100,0)</f>
        <v>0.27423686118762669</v>
      </c>
      <c r="CV49" s="338" cm="1">
        <f t="array" aca="1" ref="CV49" ca="1">IFERROR(INDIRECT("Yr"&amp;IF($C$5=Year1,1,IF($C$5=Year2,2,IF($C$5=Year3,3,IF($C$5=Lookups!$D$40,"All"))))&amp;"!"&amp;CV$72&amp;$DE49)*100,0)</f>
        <v>0</v>
      </c>
      <c r="CW49" s="338" cm="1">
        <f t="array" aca="1" ref="CW49" ca="1">IFERROR(INDIRECT("Yr"&amp;IF($C$5=Year1,1,IF($C$5=Year2,2,IF($C$5=Year3,3,IF($C$5=Lookups!$D$40,"All"))))&amp;"!"&amp;CW$72&amp;$DE49)*100,0)</f>
        <v>0</v>
      </c>
      <c r="CX49" s="338" cm="1">
        <f t="array" aca="1" ref="CX49" ca="1">IFERROR(INDIRECT("Yr"&amp;IF($C$5=Year1,1,IF($C$5=Year2,2,IF($C$5=Year3,3,IF($C$5=Lookups!$D$40,"All"))))&amp;"!"&amp;CX$72&amp;$DE49)*100,0)</f>
        <v>0</v>
      </c>
      <c r="CY49" s="338" cm="1">
        <f t="array" aca="1" ref="CY49" ca="1">IFERROR(INDIRECT("Yr"&amp;IF($C$5=Year1,1,IF($C$5=Year2,2,IF($C$5=Year3,3,IF($C$5=Lookups!$D$40,"All"))))&amp;"!"&amp;CY$72&amp;$DE49)*100,0)</f>
        <v>0</v>
      </c>
      <c r="CZ49" s="338" cm="1">
        <f t="array" aca="1" ref="CZ49" ca="1">IFERROR(INDIRECT("Yr"&amp;IF($C$5=Year1,1,IF($C$5=Year2,2,IF($C$5=Year3,3,IF($C$5=Lookups!$D$40,"All"))))&amp;"!"&amp;CZ$72&amp;$DE49)*100,0)</f>
        <v>0</v>
      </c>
      <c r="DA49" s="353"/>
      <c r="DB49" s="338"/>
      <c r="DC49" s="355"/>
      <c r="DD49" s="5"/>
      <c r="DE49" s="516">
        <f t="shared" si="6"/>
        <v>138</v>
      </c>
      <c r="DF49" s="530"/>
    </row>
    <row r="50" spans="3:117" x14ac:dyDescent="0.25">
      <c r="BV50" s="343"/>
      <c r="BW50" s="346"/>
      <c r="BX50" s="131" t="s">
        <v>100</v>
      </c>
      <c r="BY50" s="353" t="s">
        <v>409</v>
      </c>
      <c r="BZ50" s="152">
        <f ca="1">IF($C$5=Lookups!$D$40,AVERAGE($BZ49:$CZ49),AVERAGE($BZ49:$CX49))</f>
        <v>1.5029419555349461</v>
      </c>
      <c r="CA50" s="152">
        <f ca="1">IF($C$5=Lookups!$D$40,AVERAGE($BZ49:$CZ49),AVERAGE($BZ49:$CX49))</f>
        <v>1.5029419555349461</v>
      </c>
      <c r="CB50" s="152">
        <f ca="1">IF($C$5=Lookups!$D$40,AVERAGE($BZ49:$CZ49),AVERAGE($BZ49:$CX49))</f>
        <v>1.5029419555349461</v>
      </c>
      <c r="CC50" s="152">
        <f ca="1">IF($C$5=Lookups!$D$40,AVERAGE($BZ49:$CZ49),AVERAGE($BZ49:$CX49))</f>
        <v>1.5029419555349461</v>
      </c>
      <c r="CD50" s="152">
        <f ca="1">IF($C$5=Lookups!$D$40,AVERAGE($BZ49:$CZ49),AVERAGE($BZ49:$CX49))</f>
        <v>1.5029419555349461</v>
      </c>
      <c r="CE50" s="152">
        <f ca="1">IF($C$5=Lookups!$D$40,AVERAGE($BZ49:$CZ49),AVERAGE($BZ49:$CX49))</f>
        <v>1.5029419555349461</v>
      </c>
      <c r="CF50" s="152">
        <f ca="1">IF($C$5=Lookups!$D$40,AVERAGE($BZ49:$CZ49),AVERAGE($BZ49:$CX49))</f>
        <v>1.5029419555349461</v>
      </c>
      <c r="CG50" s="152">
        <f ca="1">IF($C$5=Lookups!$D$40,AVERAGE($BZ49:$CZ49),AVERAGE($BZ49:$CX49))</f>
        <v>1.5029419555349461</v>
      </c>
      <c r="CH50" s="152">
        <f ca="1">IF($C$5=Lookups!$D$40,AVERAGE($BZ49:$CZ49),AVERAGE($BZ49:$CX49))</f>
        <v>1.5029419555349461</v>
      </c>
      <c r="CI50" s="152">
        <f ca="1">IF($C$5=Lookups!$D$40,AVERAGE($BZ49:$CZ49),AVERAGE($BZ49:$CX49))</f>
        <v>1.5029419555349461</v>
      </c>
      <c r="CJ50" s="152">
        <f ca="1">IF($C$5=Lookups!$D$40,AVERAGE($BZ49:$CZ49),AVERAGE($BZ49:$CX49))</f>
        <v>1.5029419555349461</v>
      </c>
      <c r="CK50" s="152">
        <f ca="1">IF($C$5=Lookups!$D$40,AVERAGE($BZ49:$CZ49),AVERAGE($BZ49:$CX49))</f>
        <v>1.5029419555349461</v>
      </c>
      <c r="CL50" s="152">
        <f ca="1">IF($C$5=Lookups!$D$40,AVERAGE($BZ49:$CZ49),AVERAGE($BZ49:$CX49))</f>
        <v>1.5029419555349461</v>
      </c>
      <c r="CM50" s="152">
        <f ca="1">IF($C$5=Lookups!$D$40,AVERAGE($BZ49:$CZ49),AVERAGE($BZ49:$CX49))</f>
        <v>1.5029419555349461</v>
      </c>
      <c r="CN50" s="152">
        <f ca="1">IF($C$5=Lookups!$D$40,AVERAGE($BZ49:$CZ49),AVERAGE($BZ49:$CX49))</f>
        <v>1.5029419555349461</v>
      </c>
      <c r="CO50" s="152">
        <f ca="1">IF($C$5=Lookups!$D$40,AVERAGE($BZ49:$CZ49),AVERAGE($BZ49:$CX49))</f>
        <v>1.5029419555349461</v>
      </c>
      <c r="CP50" s="152">
        <f ca="1">IF($C$5=Lookups!$D$40,AVERAGE($BZ49:$CZ49),AVERAGE($BZ49:$CX49))</f>
        <v>1.5029419555349461</v>
      </c>
      <c r="CQ50" s="152">
        <f ca="1">IF($C$5=Lookups!$D$40,AVERAGE($BZ49:$CZ49),AVERAGE($BZ49:$CX49))</f>
        <v>1.5029419555349461</v>
      </c>
      <c r="CR50" s="152">
        <f ca="1">IF($C$5=Lookups!$D$40,AVERAGE($BZ49:$CZ49),AVERAGE($BZ49:$CX49))</f>
        <v>1.5029419555349461</v>
      </c>
      <c r="CS50" s="152">
        <f ca="1">IF($C$5=Lookups!$D$40,AVERAGE($BZ49:$CZ49),AVERAGE($BZ49:$CX49))</f>
        <v>1.5029419555349461</v>
      </c>
      <c r="CT50" s="152">
        <f ca="1">IF($C$5=Lookups!$D$40,AVERAGE($BZ49:$CZ49),AVERAGE($BZ49:$CX49))</f>
        <v>1.5029419555349461</v>
      </c>
      <c r="CU50" s="152">
        <f ca="1">IF($C$5=Lookups!$D$40,AVERAGE($BZ49:$CZ49),AVERAGE($BZ49:$CX49))</f>
        <v>1.5029419555349461</v>
      </c>
      <c r="CV50" s="152">
        <f ca="1">IF($C$5=Lookups!$D$40,AVERAGE($BZ49:$CZ49),AVERAGE($BZ49:$CX49))</f>
        <v>1.5029419555349461</v>
      </c>
      <c r="CW50" s="152">
        <f ca="1">IF($C$5=Lookups!$D$40,AVERAGE($BZ49:$CZ49),AVERAGE($BZ49:$CX49))</f>
        <v>1.5029419555349461</v>
      </c>
      <c r="CX50" s="152">
        <f ca="1">IF($C$5=Lookups!$D$40,AVERAGE($BZ49:$CZ49),AVERAGE($BZ49:$CX49))</f>
        <v>1.5029419555349461</v>
      </c>
      <c r="CY50" s="152">
        <f ca="1">IF($C$5=Lookups!$D$40,AVERAGE($BZ49:$CZ49),AVERAGE($BZ49:$CX49))</f>
        <v>1.5029419555349461</v>
      </c>
      <c r="CZ50" s="152">
        <f ca="1">IF($C$5=Lookups!$D$40,AVERAGE($BZ49:$CZ49),AVERAGE($BZ49:$CX49))</f>
        <v>1.5029419555349461</v>
      </c>
      <c r="DA50" s="131"/>
      <c r="DB50" s="152"/>
      <c r="DC50" s="123"/>
      <c r="DE50" s="516" t="str">
        <f t="shared" si="6"/>
        <v>Calculation</v>
      </c>
    </row>
    <row r="51" spans="3:117" x14ac:dyDescent="0.25">
      <c r="BV51" s="343"/>
      <c r="BW51" s="346"/>
      <c r="BX51" s="131" t="s">
        <v>99</v>
      </c>
      <c r="BY51" s="161" t="s">
        <v>16</v>
      </c>
      <c r="BZ51" s="236" cm="1">
        <f t="array" aca="1" ref="BZ51" ca="1">IFERROR(INDIRECT("Yr"&amp;IF($C$5=Year1,1,IF($C$5=Year2,2,IF($C$5=Year3,3,IF($C$5=Lookups!$D$40,"All"))))&amp;"!"&amp;BZ$72&amp;$DE51),0)</f>
        <v>8.8982802455836563E-2</v>
      </c>
      <c r="CA51" s="236" cm="1">
        <f t="array" aca="1" ref="CA51" ca="1">IFERROR(INDIRECT("Yr"&amp;IF($C$5=Year1,1,IF($C$5=Year2,2,IF($C$5=Year3,3,IF($C$5=Lookups!$D$40,"All"))))&amp;"!"&amp;CA$72&amp;$DE51),0)</f>
        <v>9.4658779567275531E-2</v>
      </c>
      <c r="CB51" s="236" cm="1">
        <f t="array" aca="1" ref="CB51" ca="1">IFERROR(INDIRECT("Yr"&amp;IF($C$5=Year1,1,IF($C$5=Year2,2,IF($C$5=Year3,3,IF($C$5=Lookups!$D$40,"All"))))&amp;"!"&amp;CB$72&amp;$DE51),0)</f>
        <v>0.10082695536841935</v>
      </c>
      <c r="CC51" s="236" cm="1">
        <f t="array" aca="1" ref="CC51" ca="1">IFERROR(INDIRECT("Yr"&amp;IF($C$5=Year1,1,IF($C$5=Year2,2,IF($C$5=Year3,3,IF($C$5=Lookups!$D$40,"All"))))&amp;"!"&amp;CC$72&amp;$DE51),0)</f>
        <v>9.2197120015382605E-3</v>
      </c>
      <c r="CD51" s="236" cm="1">
        <f t="array" aca="1" ref="CD51" ca="1">IFERROR(INDIRECT("Yr"&amp;IF($C$5=Year1,1,IF($C$5=Year2,2,IF($C$5=Year3,3,IF($C$5=Lookups!$D$40,"All"))))&amp;"!"&amp;CD$72&amp;$DE51),0)</f>
        <v>9.2197120015382605E-3</v>
      </c>
      <c r="CE51" s="236" cm="1">
        <f t="array" aca="1" ref="CE51" ca="1">IFERROR(INDIRECT("Yr"&amp;IF($C$5=Year1,1,IF($C$5=Year2,2,IF($C$5=Year3,3,IF($C$5=Lookups!$D$40,"All"))))&amp;"!"&amp;CE$72&amp;$DE51),0)</f>
        <v>9.2197120015382605E-3</v>
      </c>
      <c r="CF51" s="236" cm="1">
        <f t="array" aca="1" ref="CF51" ca="1">IFERROR(INDIRECT("Yr"&amp;IF($C$5=Year1,1,IF($C$5=Year2,2,IF($C$5=Year3,3,IF($C$5=Lookups!$D$40,"All"))))&amp;"!"&amp;CF$72&amp;$DE51),0)</f>
        <v>9.2197120015382605E-3</v>
      </c>
      <c r="CG51" s="236" cm="1">
        <f t="array" aca="1" ref="CG51" ca="1">IFERROR(INDIRECT("Yr"&amp;IF($C$5=Year1,1,IF($C$5=Year2,2,IF($C$5=Year3,3,IF($C$5=Lookups!$D$40,"All"))))&amp;"!"&amp;CG$72&amp;$DE51),0)</f>
        <v>9.2197120015382605E-3</v>
      </c>
      <c r="CH51" s="236" cm="1">
        <f t="array" aca="1" ref="CH51" ca="1">IFERROR(INDIRECT("Yr"&amp;IF($C$5=Year1,1,IF($C$5=Year2,2,IF($C$5=Year3,3,IF($C$5=Lookups!$D$40,"All"))))&amp;"!"&amp;CH$72&amp;$DE51),0)</f>
        <v>9.2197120015382605E-3</v>
      </c>
      <c r="CI51" s="236" cm="1">
        <f t="array" aca="1" ref="CI51" ca="1">IFERROR(INDIRECT("Yr"&amp;IF($C$5=Year1,1,IF($C$5=Year2,2,IF($C$5=Year3,3,IF($C$5=Lookups!$D$40,"All"))))&amp;"!"&amp;CI$72&amp;$DE51),0)</f>
        <v>9.2197120015382605E-3</v>
      </c>
      <c r="CJ51" s="236" cm="1">
        <f t="array" aca="1" ref="CJ51" ca="1">IFERROR(INDIRECT("Yr"&amp;IF($C$5=Year1,1,IF($C$5=Year2,2,IF($C$5=Year3,3,IF($C$5=Lookups!$D$40,"All"))))&amp;"!"&amp;CJ$72&amp;$DE51),0)</f>
        <v>9.2197120015382605E-3</v>
      </c>
      <c r="CK51" s="236" cm="1">
        <f t="array" aca="1" ref="CK51" ca="1">IFERROR(INDIRECT("Yr"&amp;IF($C$5=Year1,1,IF($C$5=Year2,2,IF($C$5=Year3,3,IF($C$5=Lookups!$D$40,"All"))))&amp;"!"&amp;CK$72&amp;$DE51),0)</f>
        <v>9.2197120015382605E-3</v>
      </c>
      <c r="CL51" s="236" cm="1">
        <f t="array" aca="1" ref="CL51" ca="1">IFERROR(INDIRECT("Yr"&amp;IF($C$5=Year1,1,IF($C$5=Year2,2,IF($C$5=Year3,3,IF($C$5=Lookups!$D$40,"All"))))&amp;"!"&amp;CL$72&amp;$DE51),0)</f>
        <v>9.2197120015382605E-3</v>
      </c>
      <c r="CM51" s="236" cm="1">
        <f t="array" aca="1" ref="CM51" ca="1">IFERROR(INDIRECT("Yr"&amp;IF($C$5=Year1,1,IF($C$5=Year2,2,IF($C$5=Year3,3,IF($C$5=Lookups!$D$40,"All"))))&amp;"!"&amp;CM$72&amp;$DE51),0)</f>
        <v>9.2197120015382605E-3</v>
      </c>
      <c r="CN51" s="236" cm="1">
        <f t="array" aca="1" ref="CN51" ca="1">IFERROR(INDIRECT("Yr"&amp;IF($C$5=Year1,1,IF($C$5=Year2,2,IF($C$5=Year3,3,IF($C$5=Lookups!$D$40,"All"))))&amp;"!"&amp;CN$72&amp;$DE51),0)</f>
        <v>9.2197120015382605E-3</v>
      </c>
      <c r="CO51" s="236" cm="1">
        <f t="array" aca="1" ref="CO51" ca="1">IFERROR(INDIRECT("Yr"&amp;IF($C$5=Year1,1,IF($C$5=Year2,2,IF($C$5=Year3,3,IF($C$5=Lookups!$D$40,"All"))))&amp;"!"&amp;CO$72&amp;$DE51),0)</f>
        <v>9.2197120015382605E-3</v>
      </c>
      <c r="CP51" s="236" cm="1">
        <f t="array" aca="1" ref="CP51" ca="1">IFERROR(INDIRECT("Yr"&amp;IF($C$5=Year1,1,IF($C$5=Year2,2,IF($C$5=Year3,3,IF($C$5=Lookups!$D$40,"All"))))&amp;"!"&amp;CP$72&amp;$DE51),0)</f>
        <v>9.2197120015382605E-3</v>
      </c>
      <c r="CQ51" s="236" cm="1">
        <f t="array" aca="1" ref="CQ51" ca="1">IFERROR(INDIRECT("Yr"&amp;IF($C$5=Year1,1,IF($C$5=Year2,2,IF($C$5=Year3,3,IF($C$5=Lookups!$D$40,"All"))))&amp;"!"&amp;CQ$72&amp;$DE51),0)</f>
        <v>9.2197120015382605E-3</v>
      </c>
      <c r="CR51" s="236" cm="1">
        <f t="array" aca="1" ref="CR51" ca="1">IFERROR(INDIRECT("Yr"&amp;IF($C$5=Year1,1,IF($C$5=Year2,2,IF($C$5=Year3,3,IF($C$5=Lookups!$D$40,"All"))))&amp;"!"&amp;CR$72&amp;$DE51),0)</f>
        <v>9.2197120015382605E-3</v>
      </c>
      <c r="CS51" s="236" cm="1">
        <f t="array" aca="1" ref="CS51" ca="1">IFERROR(INDIRECT("Yr"&amp;IF($C$5=Year1,1,IF($C$5=Year2,2,IF($C$5=Year3,3,IF($C$5=Lookups!$D$40,"All"))))&amp;"!"&amp;CS$72&amp;$DE51),0)</f>
        <v>9.2197120015382605E-3</v>
      </c>
      <c r="CT51" s="236" cm="1">
        <f t="array" aca="1" ref="CT51" ca="1">IFERROR(INDIRECT("Yr"&amp;IF($C$5=Year1,1,IF($C$5=Year2,2,IF($C$5=Year3,3,IF($C$5=Lookups!$D$40,"All"))))&amp;"!"&amp;CT$72&amp;$DE51),0)</f>
        <v>6.1085548894135311E-3</v>
      </c>
      <c r="CU51" s="236" cm="1">
        <f t="array" aca="1" ref="CU51" ca="1">IFERROR(INDIRECT("Yr"&amp;IF($C$5=Year1,1,IF($C$5=Year2,2,IF($C$5=Year3,3,IF($C$5=Lookups!$D$40,"All"))))&amp;"!"&amp;CU$72&amp;$DE51),0)</f>
        <v>3.0435156021602072E-3</v>
      </c>
      <c r="CV51" s="236" cm="1">
        <f t="array" aca="1" ref="CV51" ca="1">IFERROR(INDIRECT("Yr"&amp;IF($C$5=Year1,1,IF($C$5=Year2,2,IF($C$5=Year3,3,IF($C$5=Lookups!$D$40,"All"))))&amp;"!"&amp;CV$72&amp;$DE51),0)</f>
        <v>0</v>
      </c>
      <c r="CW51" s="236" cm="1">
        <f t="array" aca="1" ref="CW51" ca="1">IFERROR(INDIRECT("Yr"&amp;IF($C$5=Year1,1,IF($C$5=Year2,2,IF($C$5=Year3,3,IF($C$5=Lookups!$D$40,"All"))))&amp;"!"&amp;CW$72&amp;$DE51),0)</f>
        <v>0</v>
      </c>
      <c r="CX51" s="236" cm="1">
        <f t="array" aca="1" ref="CX51" ca="1">IFERROR(INDIRECT("Yr"&amp;IF($C$5=Year1,1,IF($C$5=Year2,2,IF($C$5=Year3,3,IF($C$5=Lookups!$D$40,"All"))))&amp;"!"&amp;CX$72&amp;$DE51),0)</f>
        <v>0</v>
      </c>
      <c r="CY51" s="236" cm="1">
        <f t="array" aca="1" ref="CY51" ca="1">IFERROR(INDIRECT("Yr"&amp;IF($C$5=Year1,1,IF($C$5=Year2,2,IF($C$5=Year3,3,IF($C$5=Lookups!$D$40,"All"))))&amp;"!"&amp;CY$72&amp;$DE51),0)</f>
        <v>0</v>
      </c>
      <c r="CZ51" s="236" cm="1">
        <f t="array" aca="1" ref="CZ51" ca="1">IFERROR(INDIRECT("Yr"&amp;IF($C$5=Year1,1,IF($C$5=Year2,2,IF($C$5=Year3,3,IF($C$5=Lookups!$D$40,"All"))))&amp;"!"&amp;CZ$72&amp;$DE51),0)</f>
        <v>0</v>
      </c>
      <c r="DA51" s="162"/>
      <c r="DB51" s="236"/>
      <c r="DC51" s="123"/>
      <c r="DE51" s="516">
        <f t="shared" si="6"/>
        <v>139</v>
      </c>
    </row>
    <row r="52" spans="3:117" x14ac:dyDescent="0.25">
      <c r="BV52" s="343"/>
      <c r="BW52" s="346"/>
      <c r="BX52" s="131" t="s">
        <v>100</v>
      </c>
      <c r="BY52" s="161" t="s">
        <v>16</v>
      </c>
      <c r="BZ52" s="163">
        <f ca="1">IF($C$5=Lookups!$D$40,AVERAGE($BZ51:$CZ51),AVERAGE($BZ51:$CX51))</f>
        <v>1.6679841181824282E-2</v>
      </c>
      <c r="CA52" s="236">
        <f ca="1">IF($C$5=Lookups!$D$40,AVERAGE($BZ51:$CZ51),AVERAGE($BZ51:$CX51))</f>
        <v>1.6679841181824282E-2</v>
      </c>
      <c r="CB52" s="236">
        <f ca="1">IF($C$5=Lookups!$D$40,AVERAGE($BZ51:$CZ51),AVERAGE($BZ51:$CX51))</f>
        <v>1.6679841181824282E-2</v>
      </c>
      <c r="CC52" s="236">
        <f ca="1">IF($C$5=Lookups!$D$40,AVERAGE($BZ51:$CZ51),AVERAGE($BZ51:$CX51))</f>
        <v>1.6679841181824282E-2</v>
      </c>
      <c r="CD52" s="236">
        <f ca="1">IF($C$5=Lookups!$D$40,AVERAGE($BZ51:$CZ51),AVERAGE($BZ51:$CX51))</f>
        <v>1.6679841181824282E-2</v>
      </c>
      <c r="CE52" s="236">
        <f ca="1">IF($C$5=Lookups!$D$40,AVERAGE($BZ51:$CZ51),AVERAGE($BZ51:$CX51))</f>
        <v>1.6679841181824282E-2</v>
      </c>
      <c r="CF52" s="236">
        <f ca="1">IF($C$5=Lookups!$D$40,AVERAGE($BZ51:$CZ51),AVERAGE($BZ51:$CX51))</f>
        <v>1.6679841181824282E-2</v>
      </c>
      <c r="CG52" s="236">
        <f ca="1">IF($C$5=Lookups!$D$40,AVERAGE($BZ51:$CZ51),AVERAGE($BZ51:$CX51))</f>
        <v>1.6679841181824282E-2</v>
      </c>
      <c r="CH52" s="236">
        <f ca="1">IF($C$5=Lookups!$D$40,AVERAGE($BZ51:$CZ51),AVERAGE($BZ51:$CX51))</f>
        <v>1.6679841181824282E-2</v>
      </c>
      <c r="CI52" s="236">
        <f ca="1">IF($C$5=Lookups!$D$40,AVERAGE($BZ51:$CZ51),AVERAGE($BZ51:$CX51))</f>
        <v>1.6679841181824282E-2</v>
      </c>
      <c r="CJ52" s="236">
        <f ca="1">IF($C$5=Lookups!$D$40,AVERAGE($BZ51:$CZ51),AVERAGE($BZ51:$CX51))</f>
        <v>1.6679841181824282E-2</v>
      </c>
      <c r="CK52" s="236">
        <f ca="1">IF($C$5=Lookups!$D$40,AVERAGE($BZ51:$CZ51),AVERAGE($BZ51:$CX51))</f>
        <v>1.6679841181824282E-2</v>
      </c>
      <c r="CL52" s="236">
        <f ca="1">IF($C$5=Lookups!$D$40,AVERAGE($BZ51:$CZ51),AVERAGE($BZ51:$CX51))</f>
        <v>1.6679841181824282E-2</v>
      </c>
      <c r="CM52" s="236">
        <f ca="1">IF($C$5=Lookups!$D$40,AVERAGE($BZ51:$CZ51),AVERAGE($BZ51:$CX51))</f>
        <v>1.6679841181824282E-2</v>
      </c>
      <c r="CN52" s="236">
        <f ca="1">IF($C$5=Lookups!$D$40,AVERAGE($BZ51:$CZ51),AVERAGE($BZ51:$CX51))</f>
        <v>1.6679841181824282E-2</v>
      </c>
      <c r="CO52" s="236">
        <f ca="1">IF($C$5=Lookups!$D$40,AVERAGE($BZ51:$CZ51),AVERAGE($BZ51:$CX51))</f>
        <v>1.6679841181824282E-2</v>
      </c>
      <c r="CP52" s="236">
        <f ca="1">IF($C$5=Lookups!$D$40,AVERAGE($BZ51:$CZ51),AVERAGE($BZ51:$CX51))</f>
        <v>1.6679841181824282E-2</v>
      </c>
      <c r="CQ52" s="236">
        <f ca="1">IF($C$5=Lookups!$D$40,AVERAGE($BZ51:$CZ51),AVERAGE($BZ51:$CX51))</f>
        <v>1.6679841181824282E-2</v>
      </c>
      <c r="CR52" s="236">
        <f ca="1">IF($C$5=Lookups!$D$40,AVERAGE($BZ51:$CZ51),AVERAGE($BZ51:$CX51))</f>
        <v>1.6679841181824282E-2</v>
      </c>
      <c r="CS52" s="236">
        <f ca="1">IF($C$5=Lookups!$D$40,AVERAGE($BZ51:$CZ51),AVERAGE($BZ51:$CX51))</f>
        <v>1.6679841181824282E-2</v>
      </c>
      <c r="CT52" s="236">
        <f ca="1">IF($C$5=Lookups!$D$40,AVERAGE($BZ51:$CZ51),AVERAGE($BZ51:$CX51))</f>
        <v>1.6679841181824282E-2</v>
      </c>
      <c r="CU52" s="236">
        <f ca="1">IF($C$5=Lookups!$D$40,AVERAGE($BZ51:$CZ51),AVERAGE($BZ51:$CX51))</f>
        <v>1.6679841181824282E-2</v>
      </c>
      <c r="CV52" s="236">
        <f ca="1">IF($C$5=Lookups!$D$40,AVERAGE($BZ51:$CZ51),AVERAGE($BZ51:$CX51))</f>
        <v>1.6679841181824282E-2</v>
      </c>
      <c r="CW52" s="236">
        <f ca="1">IF($C$5=Lookups!$D$40,AVERAGE($BZ51:$CZ51),AVERAGE($BZ51:$CX51))</f>
        <v>1.6679841181824282E-2</v>
      </c>
      <c r="CX52" s="236">
        <f ca="1">IF($C$5=Lookups!$D$40,AVERAGE($BZ51:$CZ51),AVERAGE($BZ51:$CX51))</f>
        <v>1.6679841181824282E-2</v>
      </c>
      <c r="CY52" s="236">
        <f ca="1">IF($C$5=Lookups!$D$40,AVERAGE($BZ51:$CZ51),AVERAGE($BZ51:$CX51))</f>
        <v>1.6679841181824282E-2</v>
      </c>
      <c r="CZ52" s="236">
        <f ca="1">IF($C$5=Lookups!$D$40,AVERAGE($BZ51:$CZ51),AVERAGE($BZ51:$CX51))</f>
        <v>1.6679841181824282E-2</v>
      </c>
      <c r="DA52" s="162"/>
      <c r="DB52" s="236"/>
      <c r="DC52" s="123"/>
      <c r="DE52" s="516" t="str">
        <f t="shared" si="6"/>
        <v>Calculation</v>
      </c>
    </row>
    <row r="53" spans="3:117" x14ac:dyDescent="0.25">
      <c r="BV53" s="343"/>
      <c r="BW53" s="346"/>
      <c r="BX53" s="182" t="str">
        <f ca="1">"Levelized net change "&amp;TEXT(DB53,"0.0%")</f>
        <v>Levelized net change 1.9%</v>
      </c>
      <c r="BY53" s="131"/>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2"/>
      <c r="DB53" s="723" cm="1">
        <f t="array" aca="1" ref="DB53" ca="1">IFERROR(INDIRECT("Yr"&amp;IF($C$5=Year1,1,IF($C$5=Year2,2,IF($C$5=Year3,3,IF($C$5=Lookups!$D$40,"All"))))&amp;"!"&amp;DB$74&amp;$DE53),0)</f>
        <v>1.8642089158514619E-2</v>
      </c>
      <c r="DC53" s="123"/>
      <c r="DE53" s="516">
        <f>DE33</f>
        <v>139</v>
      </c>
    </row>
    <row r="54" spans="3:117" x14ac:dyDescent="0.25">
      <c r="BT54" s="5"/>
      <c r="BV54" s="343"/>
      <c r="BW54" s="346"/>
      <c r="BX54" s="131"/>
      <c r="BY54" s="131"/>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23"/>
      <c r="DE54" s="516"/>
    </row>
    <row r="55" spans="3:117" ht="18.75" x14ac:dyDescent="0.25">
      <c r="C55" s="411" t="s">
        <v>28</v>
      </c>
      <c r="D55" s="196"/>
      <c r="E55" s="196"/>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V55" s="166" t="str">
        <f>Lookups!$D$23&amp;" v "&amp;Lookups!$D$24</f>
        <v>Proposed EE v Alternative EE</v>
      </c>
      <c r="BW55" s="166"/>
      <c r="BX55" s="167"/>
      <c r="BY55" s="167"/>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23"/>
      <c r="DE55" s="516"/>
    </row>
    <row r="56" spans="3:117" x14ac:dyDescent="0.25">
      <c r="C56" s="412" t="s">
        <v>252</v>
      </c>
      <c r="D56" s="412"/>
      <c r="E56" s="412"/>
      <c r="F56" s="413"/>
      <c r="G56" s="413"/>
      <c r="H56" s="413"/>
      <c r="I56" s="413"/>
      <c r="J56" s="413"/>
      <c r="K56" s="413"/>
      <c r="L56" s="414"/>
      <c r="M56" s="413"/>
      <c r="N56" s="412"/>
      <c r="BV56" s="343"/>
      <c r="BW56" s="169" t="s">
        <v>72</v>
      </c>
      <c r="BX56" s="170"/>
      <c r="BY56" s="170"/>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23"/>
      <c r="DE56" s="516"/>
    </row>
    <row r="57" spans="3:117" x14ac:dyDescent="0.25">
      <c r="C57" s="412" t="s">
        <v>225</v>
      </c>
      <c r="D57" s="412"/>
      <c r="E57" s="412"/>
      <c r="F57" s="413"/>
      <c r="G57" s="413"/>
      <c r="H57" s="413"/>
      <c r="I57" s="413"/>
      <c r="J57" s="413"/>
      <c r="K57" s="413"/>
      <c r="L57" s="414"/>
      <c r="M57" s="413"/>
      <c r="N57" s="412"/>
      <c r="BV57" s="343"/>
      <c r="BW57" s="347"/>
      <c r="BX57" s="170" t="s">
        <v>224</v>
      </c>
      <c r="BY57" s="170" t="s">
        <v>409</v>
      </c>
      <c r="BZ57" s="172">
        <f t="shared" ref="BZ57:BZ63" ca="1" si="8">BZ43-BZ23</f>
        <v>-0.1933524117340546</v>
      </c>
      <c r="CA57" s="172">
        <f t="shared" ref="CA57:CZ58" ca="1" si="9">CA43-CA23</f>
        <v>-0.40973130452897433</v>
      </c>
      <c r="CB57" s="172">
        <f t="shared" ca="1" si="9"/>
        <v>-0.65461590818198001</v>
      </c>
      <c r="CC57" s="172">
        <f t="shared" ca="1" si="9"/>
        <v>-0.65461590818198001</v>
      </c>
      <c r="CD57" s="172">
        <f t="shared" ca="1" si="9"/>
        <v>-0.65461590818198001</v>
      </c>
      <c r="CE57" s="172">
        <f t="shared" ca="1" si="9"/>
        <v>-0.65461590818198001</v>
      </c>
      <c r="CF57" s="172">
        <f t="shared" ca="1" si="9"/>
        <v>-0.65461590818198001</v>
      </c>
      <c r="CG57" s="172">
        <f t="shared" ca="1" si="9"/>
        <v>-0.65461590818198001</v>
      </c>
      <c r="CH57" s="172">
        <f t="shared" ca="1" si="9"/>
        <v>-0.65461590818198001</v>
      </c>
      <c r="CI57" s="172">
        <f t="shared" ca="1" si="9"/>
        <v>-0.65461590818198001</v>
      </c>
      <c r="CJ57" s="172">
        <f t="shared" ca="1" si="9"/>
        <v>-0.65461590818198001</v>
      </c>
      <c r="CK57" s="172">
        <f t="shared" ca="1" si="9"/>
        <v>-0.65461590818198001</v>
      </c>
      <c r="CL57" s="172">
        <f t="shared" ca="1" si="9"/>
        <v>-0.65461590818198001</v>
      </c>
      <c r="CM57" s="172">
        <f t="shared" ca="1" si="9"/>
        <v>-0.65461590818198001</v>
      </c>
      <c r="CN57" s="172">
        <f t="shared" ca="1" si="9"/>
        <v>-0.65461590818198001</v>
      </c>
      <c r="CO57" s="172">
        <f t="shared" ca="1" si="9"/>
        <v>-0.65461590818198001</v>
      </c>
      <c r="CP57" s="172">
        <f t="shared" ca="1" si="9"/>
        <v>-0.65461590818198001</v>
      </c>
      <c r="CQ57" s="172">
        <f t="shared" ca="1" si="9"/>
        <v>-0.65461590818198001</v>
      </c>
      <c r="CR57" s="172">
        <f t="shared" ca="1" si="9"/>
        <v>-0.65461590818198001</v>
      </c>
      <c r="CS57" s="172">
        <f t="shared" ca="1" si="9"/>
        <v>-0.65461590818198001</v>
      </c>
      <c r="CT57" s="172">
        <f t="shared" ca="1" si="9"/>
        <v>-0.42515584598096234</v>
      </c>
      <c r="CU57" s="172">
        <f t="shared" ca="1" si="9"/>
        <v>-0.20752940639318407</v>
      </c>
      <c r="CV57" s="172">
        <f t="shared" ca="1" si="9"/>
        <v>0</v>
      </c>
      <c r="CW57" s="172">
        <f t="shared" ca="1" si="9"/>
        <v>0</v>
      </c>
      <c r="CX57" s="172">
        <f t="shared" ca="1" si="9"/>
        <v>0</v>
      </c>
      <c r="CY57" s="172">
        <f t="shared" ca="1" si="9"/>
        <v>0</v>
      </c>
      <c r="CZ57" s="172">
        <f t="shared" ca="1" si="9"/>
        <v>0</v>
      </c>
      <c r="DA57" s="172"/>
      <c r="DB57" s="172">
        <f ca="1">IF($C$5=Lookups!$D$40,-PMT(Lookups!$E$17,27,NPV(Lookups!$E$17,BZ57:CZ57),0,1),-PMT(Lookups!$E$17,25,NPV(Lookups!$E$17,BZ57:CX57),0,1))</f>
        <v>-0.4909762398195075</v>
      </c>
      <c r="DC57" s="123"/>
      <c r="DE57" s="516"/>
    </row>
    <row r="58" spans="3:117" ht="15" customHeight="1" x14ac:dyDescent="0.25">
      <c r="C58" s="415" t="s">
        <v>164</v>
      </c>
      <c r="D58" s="415"/>
      <c r="E58" s="415"/>
      <c r="F58" s="415"/>
      <c r="G58" s="415"/>
      <c r="H58" s="415"/>
      <c r="I58" s="415"/>
      <c r="J58" s="415"/>
      <c r="K58" s="415"/>
      <c r="L58" s="415"/>
      <c r="M58" s="415"/>
      <c r="N58" s="415"/>
      <c r="BV58" s="343"/>
      <c r="BW58" s="347"/>
      <c r="BX58" s="170" t="s">
        <v>412</v>
      </c>
      <c r="BY58" s="170" t="s">
        <v>409</v>
      </c>
      <c r="BZ58" s="172">
        <f t="shared" ca="1" si="8"/>
        <v>9.0310291296006651E-2</v>
      </c>
      <c r="CA58" s="172">
        <f t="shared" ca="1" si="9"/>
        <v>0.18706912364336456</v>
      </c>
      <c r="CB58" s="172">
        <f t="shared" ca="1" si="9"/>
        <v>0.29172691596634442</v>
      </c>
      <c r="CC58" s="172">
        <f t="shared" ca="1" si="9"/>
        <v>0.29172691596634442</v>
      </c>
      <c r="CD58" s="172">
        <f t="shared" ca="1" si="9"/>
        <v>0.29172691596634442</v>
      </c>
      <c r="CE58" s="172">
        <f t="shared" ca="1" si="9"/>
        <v>0.29172691596634442</v>
      </c>
      <c r="CF58" s="172">
        <f t="shared" ca="1" si="9"/>
        <v>0.29172691596634442</v>
      </c>
      <c r="CG58" s="172">
        <f t="shared" ca="1" si="9"/>
        <v>0.29172691596634442</v>
      </c>
      <c r="CH58" s="172">
        <f t="shared" ca="1" si="9"/>
        <v>0.29172691596634442</v>
      </c>
      <c r="CI58" s="172">
        <f t="shared" ca="1" si="9"/>
        <v>0.29172691596634442</v>
      </c>
      <c r="CJ58" s="172">
        <f t="shared" ca="1" si="9"/>
        <v>0.29172691596634442</v>
      </c>
      <c r="CK58" s="172">
        <f t="shared" ca="1" si="9"/>
        <v>0.29172691596634442</v>
      </c>
      <c r="CL58" s="172">
        <f t="shared" ca="1" si="9"/>
        <v>0.29172691596634442</v>
      </c>
      <c r="CM58" s="172">
        <f t="shared" ca="1" si="9"/>
        <v>0.29172691596634442</v>
      </c>
      <c r="CN58" s="172">
        <f t="shared" ca="1" si="9"/>
        <v>0.29172691596634442</v>
      </c>
      <c r="CO58" s="172">
        <f t="shared" ca="1" si="9"/>
        <v>0.29172691596634442</v>
      </c>
      <c r="CP58" s="172">
        <f t="shared" ca="1" si="9"/>
        <v>0.29172691596634442</v>
      </c>
      <c r="CQ58" s="172">
        <f t="shared" ca="1" si="9"/>
        <v>0.29172691596634442</v>
      </c>
      <c r="CR58" s="172">
        <f t="shared" ca="1" si="9"/>
        <v>0.29172691596634442</v>
      </c>
      <c r="CS58" s="172">
        <f t="shared" ca="1" si="9"/>
        <v>0.29172691596634442</v>
      </c>
      <c r="CT58" s="172">
        <f t="shared" ca="1" si="9"/>
        <v>0.19380412659881421</v>
      </c>
      <c r="CU58" s="172">
        <f t="shared" ca="1" si="9"/>
        <v>9.6782021633203666E-2</v>
      </c>
      <c r="CV58" s="172">
        <f t="shared" ca="1" si="9"/>
        <v>0</v>
      </c>
      <c r="CW58" s="172">
        <f t="shared" ca="1" si="9"/>
        <v>0</v>
      </c>
      <c r="CX58" s="172">
        <f t="shared" ca="1" si="9"/>
        <v>0</v>
      </c>
      <c r="CY58" s="172">
        <f t="shared" ca="1" si="9"/>
        <v>0</v>
      </c>
      <c r="CZ58" s="172">
        <f t="shared" ca="1" si="9"/>
        <v>0</v>
      </c>
      <c r="DA58" s="172"/>
      <c r="DB58" s="172">
        <f ca="1">IF($C$5=Lookups!$D$40,-PMT(Lookups!$E$17,27,NPV(Lookups!$E$17,BZ58:CZ58),0,1),-PMT(Lookups!$E$17,25,NPV(Lookups!$E$17,BZ58:CX58),0,1))</f>
        <v>0.21945642573644261</v>
      </c>
      <c r="DC58" s="123"/>
      <c r="DE58" s="516"/>
    </row>
    <row r="59" spans="3:117" x14ac:dyDescent="0.25">
      <c r="D59" s="415"/>
      <c r="E59" s="415"/>
      <c r="F59" s="415"/>
      <c r="G59" s="415"/>
      <c r="H59" s="415"/>
      <c r="I59" s="415"/>
      <c r="J59" s="415"/>
      <c r="K59" s="415"/>
      <c r="L59" s="415"/>
      <c r="M59" s="415"/>
      <c r="N59" s="415"/>
      <c r="BV59" s="343"/>
      <c r="BW59" s="347"/>
      <c r="BX59" s="170" t="s">
        <v>175</v>
      </c>
      <c r="BY59" s="170" t="s">
        <v>409</v>
      </c>
      <c r="BZ59" s="172">
        <f t="shared" ca="1" si="8"/>
        <v>-7.0569881495716469E-3</v>
      </c>
      <c r="CA59" s="172">
        <f t="shared" ref="CA59:CZ59" ca="1" si="10">CA45-CA25</f>
        <v>-1.4950763724648708E-2</v>
      </c>
      <c r="CB59" s="172">
        <f t="shared" ca="1" si="10"/>
        <v>-2.3868493246547384E-2</v>
      </c>
      <c r="CC59" s="172">
        <f t="shared" ca="1" si="10"/>
        <v>-2.3868493246547384E-2</v>
      </c>
      <c r="CD59" s="172">
        <f t="shared" ca="1" si="10"/>
        <v>-2.3868493246547384E-2</v>
      </c>
      <c r="CE59" s="172">
        <f t="shared" ca="1" si="10"/>
        <v>-2.3868493246547384E-2</v>
      </c>
      <c r="CF59" s="172">
        <f t="shared" ca="1" si="10"/>
        <v>-2.3868493246547384E-2</v>
      </c>
      <c r="CG59" s="172">
        <f t="shared" ca="1" si="10"/>
        <v>-2.3868493246547384E-2</v>
      </c>
      <c r="CH59" s="172">
        <f t="shared" ca="1" si="10"/>
        <v>-2.3868493246547384E-2</v>
      </c>
      <c r="CI59" s="172">
        <f t="shared" ca="1" si="10"/>
        <v>-2.3868493246547384E-2</v>
      </c>
      <c r="CJ59" s="172">
        <f t="shared" ca="1" si="10"/>
        <v>-2.3868493246547384E-2</v>
      </c>
      <c r="CK59" s="172">
        <f t="shared" ca="1" si="10"/>
        <v>-2.3868493246547384E-2</v>
      </c>
      <c r="CL59" s="172">
        <f t="shared" ca="1" si="10"/>
        <v>-2.3868493246547384E-2</v>
      </c>
      <c r="CM59" s="172">
        <f t="shared" ca="1" si="10"/>
        <v>-2.3868493246547384E-2</v>
      </c>
      <c r="CN59" s="172">
        <f t="shared" ca="1" si="10"/>
        <v>-2.3868493246547384E-2</v>
      </c>
      <c r="CO59" s="172">
        <f t="shared" ca="1" si="10"/>
        <v>-2.3868493246547384E-2</v>
      </c>
      <c r="CP59" s="172">
        <f t="shared" ca="1" si="10"/>
        <v>-2.3868493246547384E-2</v>
      </c>
      <c r="CQ59" s="172">
        <f t="shared" ca="1" si="10"/>
        <v>-2.3868493246547384E-2</v>
      </c>
      <c r="CR59" s="172">
        <f t="shared" ca="1" si="10"/>
        <v>-2.3868493246547384E-2</v>
      </c>
      <c r="CS59" s="172">
        <f t="shared" ca="1" si="10"/>
        <v>-2.3868493246547384E-2</v>
      </c>
      <c r="CT59" s="172">
        <f t="shared" ca="1" si="10"/>
        <v>-1.5494627600618663E-2</v>
      </c>
      <c r="CU59" s="172">
        <f t="shared" ca="1" si="10"/>
        <v>-7.556126986447087E-3</v>
      </c>
      <c r="CV59" s="172">
        <f t="shared" ca="1" si="10"/>
        <v>0</v>
      </c>
      <c r="CW59" s="172">
        <f t="shared" ca="1" si="10"/>
        <v>0</v>
      </c>
      <c r="CX59" s="172">
        <f t="shared" ca="1" si="10"/>
        <v>0</v>
      </c>
      <c r="CY59" s="172">
        <f t="shared" ca="1" si="10"/>
        <v>0</v>
      </c>
      <c r="CZ59" s="172">
        <f t="shared" ca="1" si="10"/>
        <v>0</v>
      </c>
      <c r="DA59" s="172"/>
      <c r="DB59" s="172">
        <f ca="1">IF($C$5=Lookups!$D$40,-PMT(Lookups!$E$17,27,NPV(Lookups!$E$17,BZ59:CZ59),0,1),-PMT(Lookups!$E$17,25,NPV(Lookups!$E$17,BZ59:CX59),0,1))</f>
        <v>-1.7902087792132811E-2</v>
      </c>
      <c r="DC59" s="123"/>
      <c r="DE59" s="516"/>
      <c r="DK59" s="5"/>
      <c r="DL59" s="5"/>
      <c r="DM59" s="5"/>
    </row>
    <row r="60" spans="3:117" x14ac:dyDescent="0.25">
      <c r="BV60" s="343"/>
      <c r="BW60" s="347"/>
      <c r="BX60" s="170" t="s">
        <v>405</v>
      </c>
      <c r="BY60" s="170" t="s">
        <v>409</v>
      </c>
      <c r="BZ60" s="172">
        <f t="shared" ca="1" si="8"/>
        <v>1.2937279398371668</v>
      </c>
      <c r="CA60" s="172">
        <f t="shared" ref="CA60:CZ60" ca="1" si="11">CA46-CA26</f>
        <v>1.3330827659183546</v>
      </c>
      <c r="CB60" s="172">
        <f t="shared" ca="1" si="11"/>
        <v>1.3757162312094149</v>
      </c>
      <c r="CC60" s="172">
        <f t="shared" ca="1" si="11"/>
        <v>0</v>
      </c>
      <c r="CD60" s="172">
        <f t="shared" ca="1" si="11"/>
        <v>0</v>
      </c>
      <c r="CE60" s="172">
        <f t="shared" ca="1" si="11"/>
        <v>0</v>
      </c>
      <c r="CF60" s="172">
        <f t="shared" ca="1" si="11"/>
        <v>0</v>
      </c>
      <c r="CG60" s="172">
        <f t="shared" ca="1" si="11"/>
        <v>0</v>
      </c>
      <c r="CH60" s="172">
        <f t="shared" ca="1" si="11"/>
        <v>0</v>
      </c>
      <c r="CI60" s="172">
        <f t="shared" ca="1" si="11"/>
        <v>0</v>
      </c>
      <c r="CJ60" s="172">
        <f t="shared" ca="1" si="11"/>
        <v>0</v>
      </c>
      <c r="CK60" s="172">
        <f t="shared" ca="1" si="11"/>
        <v>0</v>
      </c>
      <c r="CL60" s="172">
        <f t="shared" ca="1" si="11"/>
        <v>0</v>
      </c>
      <c r="CM60" s="172">
        <f t="shared" ca="1" si="11"/>
        <v>0</v>
      </c>
      <c r="CN60" s="172">
        <f t="shared" ca="1" si="11"/>
        <v>0</v>
      </c>
      <c r="CO60" s="172">
        <f t="shared" ca="1" si="11"/>
        <v>0</v>
      </c>
      <c r="CP60" s="172">
        <f t="shared" ca="1" si="11"/>
        <v>0</v>
      </c>
      <c r="CQ60" s="172">
        <f t="shared" ca="1" si="11"/>
        <v>0</v>
      </c>
      <c r="CR60" s="172">
        <f t="shared" ca="1" si="11"/>
        <v>0</v>
      </c>
      <c r="CS60" s="172">
        <f t="shared" ca="1" si="11"/>
        <v>0</v>
      </c>
      <c r="CT60" s="172">
        <f t="shared" ca="1" si="11"/>
        <v>0</v>
      </c>
      <c r="CU60" s="172">
        <f t="shared" ca="1" si="11"/>
        <v>0</v>
      </c>
      <c r="CV60" s="172">
        <f t="shared" ca="1" si="11"/>
        <v>0</v>
      </c>
      <c r="CW60" s="172">
        <f t="shared" ca="1" si="11"/>
        <v>0</v>
      </c>
      <c r="CX60" s="172">
        <f t="shared" ca="1" si="11"/>
        <v>0</v>
      </c>
      <c r="CY60" s="172">
        <f t="shared" ca="1" si="11"/>
        <v>0</v>
      </c>
      <c r="CZ60" s="172">
        <f t="shared" ca="1" si="11"/>
        <v>0</v>
      </c>
      <c r="DA60" s="172"/>
      <c r="DB60" s="172">
        <f ca="1">IF($C$5=Lookups!$D$40,-PMT(Lookups!$E$17,27,NPV(Lookups!$E$17,BZ60:CZ60),0,1),-PMT(Lookups!$E$17,25,NPV(Lookups!$E$17,BZ60:CX60),0,1))</f>
        <v>0.17193902358279814</v>
      </c>
      <c r="DC60" s="123"/>
      <c r="DE60" s="516"/>
    </row>
    <row r="61" spans="3:117" x14ac:dyDescent="0.25">
      <c r="BV61" s="343"/>
      <c r="BW61" s="347"/>
      <c r="BX61" s="170" t="s">
        <v>69</v>
      </c>
      <c r="BY61" s="170" t="s">
        <v>409</v>
      </c>
      <c r="BZ61" s="172">
        <f t="shared" ca="1" si="8"/>
        <v>6.1434027603426977E-2</v>
      </c>
      <c r="CA61" s="172">
        <f t="shared" ref="CA61:CZ61" ca="1" si="12">CA47-CA27</f>
        <v>0.12907057613612283</v>
      </c>
      <c r="CB61" s="172">
        <f t="shared" ca="1" si="12"/>
        <v>0.204438486400768</v>
      </c>
      <c r="CC61" s="172">
        <f t="shared" ca="1" si="12"/>
        <v>0.204438486400768</v>
      </c>
      <c r="CD61" s="172">
        <f t="shared" ca="1" si="12"/>
        <v>0.204438486400768</v>
      </c>
      <c r="CE61" s="172">
        <f t="shared" ca="1" si="12"/>
        <v>0.204438486400768</v>
      </c>
      <c r="CF61" s="172">
        <f t="shared" ca="1" si="12"/>
        <v>0.204438486400768</v>
      </c>
      <c r="CG61" s="172">
        <f t="shared" ca="1" si="12"/>
        <v>0.204438486400768</v>
      </c>
      <c r="CH61" s="172">
        <f t="shared" ca="1" si="12"/>
        <v>0.204438486400768</v>
      </c>
      <c r="CI61" s="172">
        <f t="shared" ca="1" si="12"/>
        <v>0.204438486400768</v>
      </c>
      <c r="CJ61" s="172">
        <f t="shared" ca="1" si="12"/>
        <v>0.204438486400768</v>
      </c>
      <c r="CK61" s="172">
        <f t="shared" ca="1" si="12"/>
        <v>0.204438486400768</v>
      </c>
      <c r="CL61" s="172">
        <f t="shared" ca="1" si="12"/>
        <v>0.204438486400768</v>
      </c>
      <c r="CM61" s="172">
        <f t="shared" ca="1" si="12"/>
        <v>0.204438486400768</v>
      </c>
      <c r="CN61" s="172">
        <f t="shared" ca="1" si="12"/>
        <v>0.204438486400768</v>
      </c>
      <c r="CO61" s="172">
        <f t="shared" ca="1" si="12"/>
        <v>0.204438486400768</v>
      </c>
      <c r="CP61" s="172">
        <f t="shared" ca="1" si="12"/>
        <v>0.204438486400768</v>
      </c>
      <c r="CQ61" s="172">
        <f t="shared" ca="1" si="12"/>
        <v>0.204438486400768</v>
      </c>
      <c r="CR61" s="172">
        <f t="shared" ca="1" si="12"/>
        <v>0.204438486400768</v>
      </c>
      <c r="CS61" s="172">
        <f t="shared" ca="1" si="12"/>
        <v>0.204438486400768</v>
      </c>
      <c r="CT61" s="172">
        <f t="shared" ca="1" si="12"/>
        <v>0.13389409165308896</v>
      </c>
      <c r="CU61" s="172">
        <f t="shared" ca="1" si="12"/>
        <v>6.5941006632508348E-2</v>
      </c>
      <c r="CV61" s="172">
        <f t="shared" ca="1" si="12"/>
        <v>0</v>
      </c>
      <c r="CW61" s="172">
        <f t="shared" ca="1" si="12"/>
        <v>0</v>
      </c>
      <c r="CX61" s="172">
        <f t="shared" ca="1" si="12"/>
        <v>0</v>
      </c>
      <c r="CY61" s="172">
        <f t="shared" ca="1" si="12"/>
        <v>0</v>
      </c>
      <c r="CZ61" s="172">
        <f t="shared" ca="1" si="12"/>
        <v>0</v>
      </c>
      <c r="DA61" s="172"/>
      <c r="DB61" s="172">
        <f ca="1">IF($C$5=Lookups!$D$40,-PMT(Lookups!$E$17,27,NPV(Lookups!$E$17,BZ61:CZ61),0,1),-PMT(Lookups!$E$17,25,NPV(Lookups!$E$17,BZ61:CX61),0,1))</f>
        <v>0.15350014155314465</v>
      </c>
      <c r="DC61" s="123"/>
      <c r="DE61" s="516"/>
    </row>
    <row r="62" spans="3:117" x14ac:dyDescent="0.25">
      <c r="BV62" s="343"/>
      <c r="BW62" s="347"/>
      <c r="BX62" s="173" t="s">
        <v>98</v>
      </c>
      <c r="BY62" s="170" t="s">
        <v>409</v>
      </c>
      <c r="BZ62" s="172">
        <f t="shared" ca="1" si="8"/>
        <v>-0.11009910858761951</v>
      </c>
      <c r="CA62" s="172">
        <f t="shared" ref="CA62:CZ62" ca="1" si="13">CA48-CA28</f>
        <v>-0.23761294461025839</v>
      </c>
      <c r="CB62" s="172">
        <f t="shared" ca="1" si="13"/>
        <v>-0.38675748546218269</v>
      </c>
      <c r="CC62" s="172">
        <f t="shared" ca="1" si="13"/>
        <v>-0.38675748546218269</v>
      </c>
      <c r="CD62" s="172">
        <f t="shared" ca="1" si="13"/>
        <v>-0.38675748546218269</v>
      </c>
      <c r="CE62" s="172">
        <f t="shared" ca="1" si="13"/>
        <v>-0.38675748546218269</v>
      </c>
      <c r="CF62" s="172">
        <f t="shared" ca="1" si="13"/>
        <v>-0.38675748546218269</v>
      </c>
      <c r="CG62" s="172">
        <f t="shared" ca="1" si="13"/>
        <v>-0.38675748546218269</v>
      </c>
      <c r="CH62" s="172">
        <f t="shared" ca="1" si="13"/>
        <v>-0.38675748546218269</v>
      </c>
      <c r="CI62" s="172">
        <f t="shared" ca="1" si="13"/>
        <v>-0.38675748546218269</v>
      </c>
      <c r="CJ62" s="172">
        <f t="shared" ca="1" si="13"/>
        <v>-0.38675748546218269</v>
      </c>
      <c r="CK62" s="172">
        <f t="shared" ca="1" si="13"/>
        <v>-0.38675748546218269</v>
      </c>
      <c r="CL62" s="172">
        <f t="shared" ca="1" si="13"/>
        <v>-0.38675748546218269</v>
      </c>
      <c r="CM62" s="172">
        <f t="shared" ca="1" si="13"/>
        <v>-0.38675748546218269</v>
      </c>
      <c r="CN62" s="172">
        <f t="shared" ca="1" si="13"/>
        <v>-0.38675748546218269</v>
      </c>
      <c r="CO62" s="172">
        <f t="shared" ca="1" si="13"/>
        <v>-0.38675748546218269</v>
      </c>
      <c r="CP62" s="172">
        <f t="shared" ca="1" si="13"/>
        <v>-0.38675748546218269</v>
      </c>
      <c r="CQ62" s="172">
        <f t="shared" ca="1" si="13"/>
        <v>-0.38675748546218269</v>
      </c>
      <c r="CR62" s="172">
        <f t="shared" ca="1" si="13"/>
        <v>-0.38675748546218269</v>
      </c>
      <c r="CS62" s="172">
        <f t="shared" ca="1" si="13"/>
        <v>-0.38675748546218269</v>
      </c>
      <c r="CT62" s="172">
        <f t="shared" ca="1" si="13"/>
        <v>-0.24684634698276664</v>
      </c>
      <c r="CU62" s="172">
        <f t="shared" ca="1" si="13"/>
        <v>-0.11830351174642773</v>
      </c>
      <c r="CV62" s="172">
        <f t="shared" ca="1" si="13"/>
        <v>0</v>
      </c>
      <c r="CW62" s="172">
        <f t="shared" ca="1" si="13"/>
        <v>0</v>
      </c>
      <c r="CX62" s="172">
        <f t="shared" ca="1" si="13"/>
        <v>0</v>
      </c>
      <c r="CY62" s="172">
        <f t="shared" ca="1" si="13"/>
        <v>0</v>
      </c>
      <c r="CZ62" s="172">
        <f t="shared" ca="1" si="13"/>
        <v>0</v>
      </c>
      <c r="DA62" s="172"/>
      <c r="DB62" s="172">
        <f ca="1">IF($C$5=Lookups!$D$40,-PMT(Lookups!$E$17,27,NPV(Lookups!$E$17,BZ62:CZ62),0,1),-PMT(Lookups!$E$17,25,NPV(Lookups!$E$17,BZ62:CX62),0,1))</f>
        <v>-0.28942190187519745</v>
      </c>
      <c r="DC62" s="123"/>
      <c r="DE62" s="516"/>
    </row>
    <row r="63" spans="3:117" x14ac:dyDescent="0.25">
      <c r="BV63" s="343"/>
      <c r="BW63" s="347"/>
      <c r="BX63" s="170" t="s">
        <v>99</v>
      </c>
      <c r="BY63" s="170" t="s">
        <v>409</v>
      </c>
      <c r="BZ63" s="172">
        <f t="shared" ca="1" si="8"/>
        <v>1.3262679534007837</v>
      </c>
      <c r="CA63" s="172">
        <f t="shared" ref="CA63:CZ63" ca="1" si="14">CA49-CA29</f>
        <v>1.4020458909314364</v>
      </c>
      <c r="CB63" s="172">
        <f t="shared" ca="1" si="14"/>
        <v>1.4859510203406368</v>
      </c>
      <c r="CC63" s="172">
        <f t="shared" ca="1" si="14"/>
        <v>0.11023478913122498</v>
      </c>
      <c r="CD63" s="172">
        <f t="shared" ca="1" si="14"/>
        <v>0.11023478913122498</v>
      </c>
      <c r="CE63" s="172">
        <f t="shared" ca="1" si="14"/>
        <v>0.11023478913122498</v>
      </c>
      <c r="CF63" s="172">
        <f t="shared" ca="1" si="14"/>
        <v>0.11023478913122498</v>
      </c>
      <c r="CG63" s="172">
        <f t="shared" ca="1" si="14"/>
        <v>0.11023478913122498</v>
      </c>
      <c r="CH63" s="172">
        <f t="shared" ca="1" si="14"/>
        <v>0.11023478913122498</v>
      </c>
      <c r="CI63" s="172">
        <f t="shared" ca="1" si="14"/>
        <v>0.11023478913122498</v>
      </c>
      <c r="CJ63" s="172">
        <f t="shared" ca="1" si="14"/>
        <v>0.11023478913122498</v>
      </c>
      <c r="CK63" s="172">
        <f t="shared" ca="1" si="14"/>
        <v>0.11023478913122498</v>
      </c>
      <c r="CL63" s="172">
        <f t="shared" ca="1" si="14"/>
        <v>0.11023478913122498</v>
      </c>
      <c r="CM63" s="172">
        <f t="shared" ca="1" si="14"/>
        <v>0.11023478913122498</v>
      </c>
      <c r="CN63" s="172">
        <f t="shared" ca="1" si="14"/>
        <v>0.11023478913122498</v>
      </c>
      <c r="CO63" s="172">
        <f t="shared" ca="1" si="14"/>
        <v>0.11023478913122498</v>
      </c>
      <c r="CP63" s="172">
        <f t="shared" ca="1" si="14"/>
        <v>0.11023478913122498</v>
      </c>
      <c r="CQ63" s="172">
        <f t="shared" ca="1" si="14"/>
        <v>0.11023478913122498</v>
      </c>
      <c r="CR63" s="172">
        <f t="shared" ca="1" si="14"/>
        <v>0.11023478913122498</v>
      </c>
      <c r="CS63" s="172">
        <f t="shared" ca="1" si="14"/>
        <v>0.11023478913122498</v>
      </c>
      <c r="CT63" s="172">
        <f t="shared" ca="1" si="14"/>
        <v>7.1615308941763711E-2</v>
      </c>
      <c r="CU63" s="172">
        <f t="shared" ca="1" si="14"/>
        <v>3.497986846892065E-2</v>
      </c>
      <c r="CV63" s="172">
        <f t="shared" ca="1" si="14"/>
        <v>0</v>
      </c>
      <c r="CW63" s="172">
        <f t="shared" ca="1" si="14"/>
        <v>0</v>
      </c>
      <c r="CX63" s="172">
        <f t="shared" ca="1" si="14"/>
        <v>0</v>
      </c>
      <c r="CY63" s="172">
        <f t="shared" ca="1" si="14"/>
        <v>0</v>
      </c>
      <c r="CZ63" s="172">
        <f t="shared" ca="1" si="14"/>
        <v>0</v>
      </c>
      <c r="DA63" s="170"/>
      <c r="DB63" s="172">
        <f ca="1">IF($C$5=Lookups!$D$40,-PMT(Lookups!$E$17,27,NPV(Lookups!$E$17,BZ63:CZ63),0,1),-PMT(Lookups!$E$17,25,NPV(Lookups!$E$17,BZ63:CX63),0,1))</f>
        <v>0.25461694296646964</v>
      </c>
      <c r="DC63" s="123"/>
      <c r="DE63" s="516"/>
    </row>
    <row r="64" spans="3:117" x14ac:dyDescent="0.25">
      <c r="BV64" s="343"/>
      <c r="BW64" s="347"/>
      <c r="BX64" s="170" t="s">
        <v>100</v>
      </c>
      <c r="BY64" s="170" t="s">
        <v>409</v>
      </c>
      <c r="BZ64" s="172">
        <f ca="1">IF($C$5=Lookups!$D$40,AVERAGE($BZ63:$CZ63),AVERAGE($BZ63:$CX63))</f>
        <v>0.22943894286349481</v>
      </c>
      <c r="CA64" s="172">
        <f ca="1">IF($C$5=Lookups!$D$40,AVERAGE($BZ63:$CZ63),AVERAGE($BZ63:$CX63))</f>
        <v>0.22943894286349481</v>
      </c>
      <c r="CB64" s="172">
        <f ca="1">IF($C$5=Lookups!$D$40,AVERAGE($BZ63:$CZ63),AVERAGE($BZ63:$CX63))</f>
        <v>0.22943894286349481</v>
      </c>
      <c r="CC64" s="172">
        <f ca="1">IF($C$5=Lookups!$D$40,AVERAGE($BZ63:$CZ63),AVERAGE($BZ63:$CX63))</f>
        <v>0.22943894286349481</v>
      </c>
      <c r="CD64" s="172">
        <f ca="1">IF($C$5=Lookups!$D$40,AVERAGE($BZ63:$CZ63),AVERAGE($BZ63:$CX63))</f>
        <v>0.22943894286349481</v>
      </c>
      <c r="CE64" s="172">
        <f ca="1">IF($C$5=Lookups!$D$40,AVERAGE($BZ63:$CZ63),AVERAGE($BZ63:$CX63))</f>
        <v>0.22943894286349481</v>
      </c>
      <c r="CF64" s="172">
        <f ca="1">IF($C$5=Lookups!$D$40,AVERAGE($BZ63:$CZ63),AVERAGE($BZ63:$CX63))</f>
        <v>0.22943894286349481</v>
      </c>
      <c r="CG64" s="172">
        <f ca="1">IF($C$5=Lookups!$D$40,AVERAGE($BZ63:$CZ63),AVERAGE($BZ63:$CX63))</f>
        <v>0.22943894286349481</v>
      </c>
      <c r="CH64" s="172">
        <f ca="1">IF($C$5=Lookups!$D$40,AVERAGE($BZ63:$CZ63),AVERAGE($BZ63:$CX63))</f>
        <v>0.22943894286349481</v>
      </c>
      <c r="CI64" s="172">
        <f ca="1">IF($C$5=Lookups!$D$40,AVERAGE($BZ63:$CZ63),AVERAGE($BZ63:$CX63))</f>
        <v>0.22943894286349481</v>
      </c>
      <c r="CJ64" s="172">
        <f ca="1">IF($C$5=Lookups!$D$40,AVERAGE($BZ63:$CZ63),AVERAGE($BZ63:$CX63))</f>
        <v>0.22943894286349481</v>
      </c>
      <c r="CK64" s="172">
        <f ca="1">IF($C$5=Lookups!$D$40,AVERAGE($BZ63:$CZ63),AVERAGE($BZ63:$CX63))</f>
        <v>0.22943894286349481</v>
      </c>
      <c r="CL64" s="172">
        <f ca="1">IF($C$5=Lookups!$D$40,AVERAGE($BZ63:$CZ63),AVERAGE($BZ63:$CX63))</f>
        <v>0.22943894286349481</v>
      </c>
      <c r="CM64" s="172">
        <f ca="1">IF($C$5=Lookups!$D$40,AVERAGE($BZ63:$CZ63),AVERAGE($BZ63:$CX63))</f>
        <v>0.22943894286349481</v>
      </c>
      <c r="CN64" s="172">
        <f ca="1">IF($C$5=Lookups!$D$40,AVERAGE($BZ63:$CZ63),AVERAGE($BZ63:$CX63))</f>
        <v>0.22943894286349481</v>
      </c>
      <c r="CO64" s="172">
        <f ca="1">IF($C$5=Lookups!$D$40,AVERAGE($BZ63:$CZ63),AVERAGE($BZ63:$CX63))</f>
        <v>0.22943894286349481</v>
      </c>
      <c r="CP64" s="172">
        <f ca="1">IF($C$5=Lookups!$D$40,AVERAGE($BZ63:$CZ63),AVERAGE($BZ63:$CX63))</f>
        <v>0.22943894286349481</v>
      </c>
      <c r="CQ64" s="172">
        <f ca="1">IF($C$5=Lookups!$D$40,AVERAGE($BZ63:$CZ63),AVERAGE($BZ63:$CX63))</f>
        <v>0.22943894286349481</v>
      </c>
      <c r="CR64" s="172">
        <f ca="1">IF($C$5=Lookups!$D$40,AVERAGE($BZ63:$CZ63),AVERAGE($BZ63:$CX63))</f>
        <v>0.22943894286349481</v>
      </c>
      <c r="CS64" s="172">
        <f ca="1">IF($C$5=Lookups!$D$40,AVERAGE($BZ63:$CZ63),AVERAGE($BZ63:$CX63))</f>
        <v>0.22943894286349481</v>
      </c>
      <c r="CT64" s="172">
        <f ca="1">IF($C$5=Lookups!$D$40,AVERAGE($BZ63:$CZ63),AVERAGE($BZ63:$CX63))</f>
        <v>0.22943894286349481</v>
      </c>
      <c r="CU64" s="172">
        <f ca="1">IF($C$5=Lookups!$D$40,AVERAGE($BZ63:$CZ63),AVERAGE($BZ63:$CX63))</f>
        <v>0.22943894286349481</v>
      </c>
      <c r="CV64" s="172">
        <f ca="1">IF($C$5=Lookups!$D$40,AVERAGE($BZ63:$CZ63),AVERAGE($BZ63:$CX63))</f>
        <v>0.22943894286349481</v>
      </c>
      <c r="CW64" s="172">
        <f ca="1">IF($C$5=Lookups!$D$40,AVERAGE($BZ63:$CZ63),AVERAGE($BZ63:$CX63))</f>
        <v>0.22943894286349481</v>
      </c>
      <c r="CX64" s="172">
        <f ca="1">IF($C$5=Lookups!$D$40,AVERAGE($BZ63:$CZ63),AVERAGE($BZ63:$CX63))</f>
        <v>0.22943894286349481</v>
      </c>
      <c r="CY64" s="172">
        <f ca="1">IF($C$5=Lookups!$D$40,AVERAGE($BZ63:$CZ63),AVERAGE($BZ63:$CX63))</f>
        <v>0.22943894286349481</v>
      </c>
      <c r="CZ64" s="172">
        <f ca="1">IF($C$5=Lookups!$D$40,AVERAGE($BZ63:$CZ63),AVERAGE($BZ63:$CX63))</f>
        <v>0.22943894286349481</v>
      </c>
      <c r="DA64" s="170"/>
      <c r="DB64" s="172">
        <f ca="1">IF($C$5=Lookups!$D$40,-PMT(Lookups!$E$17,27,NPV(Lookups!$E$17,BZ64:CZ64),0,1),-PMT(Lookups!$E$17,25,NPV(Lookups!$E$17,BZ64:CX64),0,1))</f>
        <v>0.22623901959256565</v>
      </c>
      <c r="DC64" s="123"/>
      <c r="DE64" s="516"/>
    </row>
    <row r="65" spans="70:119" x14ac:dyDescent="0.25">
      <c r="BV65" s="343"/>
      <c r="BW65" s="347"/>
      <c r="BX65" s="170" t="s">
        <v>99</v>
      </c>
      <c r="BY65" s="174" t="s">
        <v>16</v>
      </c>
      <c r="BZ65" s="237">
        <f t="shared" ref="BZ65:CZ65" ca="1" si="15">IFERROR(SUM(BZ37:BZ41)/SUM(BZ$17:BZ$21)-1,0)</f>
        <v>1.3701561775905535E-2</v>
      </c>
      <c r="CA65" s="237">
        <f t="shared" ca="1" si="15"/>
        <v>1.4419518688730371E-2</v>
      </c>
      <c r="CB65" s="237">
        <f t="shared" ca="1" si="15"/>
        <v>1.5208642394856087E-2</v>
      </c>
      <c r="CC65" s="237">
        <f t="shared" ca="1" si="15"/>
        <v>1.2136946438381369E-3</v>
      </c>
      <c r="CD65" s="237">
        <f t="shared" ca="1" si="15"/>
        <v>1.2136946438381369E-3</v>
      </c>
      <c r="CE65" s="237">
        <f t="shared" ca="1" si="15"/>
        <v>1.2136946438381369E-3</v>
      </c>
      <c r="CF65" s="237">
        <f t="shared" ca="1" si="15"/>
        <v>1.2136946438381369E-3</v>
      </c>
      <c r="CG65" s="237">
        <f t="shared" ca="1" si="15"/>
        <v>1.2136946438381369E-3</v>
      </c>
      <c r="CH65" s="237">
        <f t="shared" ca="1" si="15"/>
        <v>1.2136946438381369E-3</v>
      </c>
      <c r="CI65" s="237">
        <f t="shared" ca="1" si="15"/>
        <v>1.2136946438381369E-3</v>
      </c>
      <c r="CJ65" s="237">
        <f t="shared" ca="1" si="15"/>
        <v>1.2136946438381369E-3</v>
      </c>
      <c r="CK65" s="237">
        <f t="shared" ca="1" si="15"/>
        <v>1.2136946438381369E-3</v>
      </c>
      <c r="CL65" s="237">
        <f t="shared" ca="1" si="15"/>
        <v>1.2136946438381369E-3</v>
      </c>
      <c r="CM65" s="237">
        <f t="shared" ca="1" si="15"/>
        <v>1.2136946438381369E-3</v>
      </c>
      <c r="CN65" s="237">
        <f t="shared" ca="1" si="15"/>
        <v>1.2136946438381369E-3</v>
      </c>
      <c r="CO65" s="237">
        <f t="shared" ca="1" si="15"/>
        <v>1.2136946438381369E-3</v>
      </c>
      <c r="CP65" s="237">
        <f t="shared" ca="1" si="15"/>
        <v>1.2136946438381369E-3</v>
      </c>
      <c r="CQ65" s="237">
        <f t="shared" ca="1" si="15"/>
        <v>1.2136946438381369E-3</v>
      </c>
      <c r="CR65" s="237">
        <f t="shared" ca="1" si="15"/>
        <v>1.2136946438381369E-3</v>
      </c>
      <c r="CS65" s="237">
        <f t="shared" ca="1" si="15"/>
        <v>1.2136946438381369E-3</v>
      </c>
      <c r="CT65" s="237">
        <f t="shared" ca="1" si="15"/>
        <v>7.9059478670151506E-4</v>
      </c>
      <c r="CU65" s="237">
        <f t="shared" ca="1" si="15"/>
        <v>3.8718294537143372E-4</v>
      </c>
      <c r="CV65" s="237">
        <f t="shared" ca="1" si="15"/>
        <v>0</v>
      </c>
      <c r="CW65" s="237">
        <f t="shared" ca="1" si="15"/>
        <v>0</v>
      </c>
      <c r="CX65" s="237">
        <f t="shared" ca="1" si="15"/>
        <v>0</v>
      </c>
      <c r="CY65" s="237">
        <f t="shared" ca="1" si="15"/>
        <v>0</v>
      </c>
      <c r="CZ65" s="237">
        <f t="shared" ca="1" si="15"/>
        <v>0</v>
      </c>
      <c r="DA65" s="176"/>
      <c r="DB65" s="172">
        <f ca="1">IF($C$5=Lookups!$D$40,-PMT(Lookups!$E$17,27,NPV(Lookups!$E$17,BZ65:CZ65),0,1),-PMT(Lookups!$E$17,25,NPV(Lookups!$E$17,BZ65:CX65),0,1))</f>
        <v>2.6717370357473625E-3</v>
      </c>
      <c r="DC65" s="123"/>
      <c r="DE65" s="516"/>
    </row>
    <row r="66" spans="70:119" x14ac:dyDescent="0.25">
      <c r="BV66" s="343"/>
      <c r="BW66" s="347"/>
      <c r="BX66" s="170" t="s">
        <v>100</v>
      </c>
      <c r="BY66" s="174" t="s">
        <v>16</v>
      </c>
      <c r="BZ66" s="237">
        <f ca="1">IF($C$5=Lookups!$D$40,AVERAGE($BZ65:$CZ65),AVERAGE($BZ65:$CX65))</f>
        <v>2.4126040569190099E-3</v>
      </c>
      <c r="CA66" s="237">
        <f ca="1">IF($C$5=Lookups!$D$40,AVERAGE($BZ65:$CZ65),AVERAGE($BZ65:$CX65))</f>
        <v>2.4126040569190099E-3</v>
      </c>
      <c r="CB66" s="237">
        <f ca="1">IF($C$5=Lookups!$D$40,AVERAGE($BZ65:$CZ65),AVERAGE($BZ65:$CX65))</f>
        <v>2.4126040569190099E-3</v>
      </c>
      <c r="CC66" s="237">
        <f ca="1">IF($C$5=Lookups!$D$40,AVERAGE($BZ65:$CZ65),AVERAGE($BZ65:$CX65))</f>
        <v>2.4126040569190099E-3</v>
      </c>
      <c r="CD66" s="237">
        <f ca="1">IF($C$5=Lookups!$D$40,AVERAGE($BZ65:$CZ65),AVERAGE($BZ65:$CX65))</f>
        <v>2.4126040569190099E-3</v>
      </c>
      <c r="CE66" s="237">
        <f ca="1">IF($C$5=Lookups!$D$40,AVERAGE($BZ65:$CZ65),AVERAGE($BZ65:$CX65))</f>
        <v>2.4126040569190099E-3</v>
      </c>
      <c r="CF66" s="237">
        <f ca="1">IF($C$5=Lookups!$D$40,AVERAGE($BZ65:$CZ65),AVERAGE($BZ65:$CX65))</f>
        <v>2.4126040569190099E-3</v>
      </c>
      <c r="CG66" s="237">
        <f ca="1">IF($C$5=Lookups!$D$40,AVERAGE($BZ65:$CZ65),AVERAGE($BZ65:$CX65))</f>
        <v>2.4126040569190099E-3</v>
      </c>
      <c r="CH66" s="237">
        <f ca="1">IF($C$5=Lookups!$D$40,AVERAGE($BZ65:$CZ65),AVERAGE($BZ65:$CX65))</f>
        <v>2.4126040569190099E-3</v>
      </c>
      <c r="CI66" s="237">
        <f ca="1">IF($C$5=Lookups!$D$40,AVERAGE($BZ65:$CZ65),AVERAGE($BZ65:$CX65))</f>
        <v>2.4126040569190099E-3</v>
      </c>
      <c r="CJ66" s="237">
        <f ca="1">IF($C$5=Lookups!$D$40,AVERAGE($BZ65:$CZ65),AVERAGE($BZ65:$CX65))</f>
        <v>2.4126040569190099E-3</v>
      </c>
      <c r="CK66" s="237">
        <f ca="1">IF($C$5=Lookups!$D$40,AVERAGE($BZ65:$CZ65),AVERAGE($BZ65:$CX65))</f>
        <v>2.4126040569190099E-3</v>
      </c>
      <c r="CL66" s="237">
        <f ca="1">IF($C$5=Lookups!$D$40,AVERAGE($BZ65:$CZ65),AVERAGE($BZ65:$CX65))</f>
        <v>2.4126040569190099E-3</v>
      </c>
      <c r="CM66" s="237">
        <f ca="1">IF($C$5=Lookups!$D$40,AVERAGE($BZ65:$CZ65),AVERAGE($BZ65:$CX65))</f>
        <v>2.4126040569190099E-3</v>
      </c>
      <c r="CN66" s="237">
        <f ca="1">IF($C$5=Lookups!$D$40,AVERAGE($BZ65:$CZ65),AVERAGE($BZ65:$CX65))</f>
        <v>2.4126040569190099E-3</v>
      </c>
      <c r="CO66" s="237">
        <f ca="1">IF($C$5=Lookups!$D$40,AVERAGE($BZ65:$CZ65),AVERAGE($BZ65:$CX65))</f>
        <v>2.4126040569190099E-3</v>
      </c>
      <c r="CP66" s="237">
        <f ca="1">IF($C$5=Lookups!$D$40,AVERAGE($BZ65:$CZ65),AVERAGE($BZ65:$CX65))</f>
        <v>2.4126040569190099E-3</v>
      </c>
      <c r="CQ66" s="237">
        <f ca="1">IF($C$5=Lookups!$D$40,AVERAGE($BZ65:$CZ65),AVERAGE($BZ65:$CX65))</f>
        <v>2.4126040569190099E-3</v>
      </c>
      <c r="CR66" s="237">
        <f ca="1">IF($C$5=Lookups!$D$40,AVERAGE($BZ65:$CZ65),AVERAGE($BZ65:$CX65))</f>
        <v>2.4126040569190099E-3</v>
      </c>
      <c r="CS66" s="237">
        <f ca="1">IF($C$5=Lookups!$D$40,AVERAGE($BZ65:$CZ65),AVERAGE($BZ65:$CX65))</f>
        <v>2.4126040569190099E-3</v>
      </c>
      <c r="CT66" s="237">
        <f ca="1">IF($C$5=Lookups!$D$40,AVERAGE($BZ65:$CZ65),AVERAGE($BZ65:$CX65))</f>
        <v>2.4126040569190099E-3</v>
      </c>
      <c r="CU66" s="237">
        <f ca="1">IF($C$5=Lookups!$D$40,AVERAGE($BZ65:$CZ65),AVERAGE($BZ65:$CX65))</f>
        <v>2.4126040569190099E-3</v>
      </c>
      <c r="CV66" s="237">
        <f ca="1">IF($C$5=Lookups!$D$40,AVERAGE($BZ65:$CZ65),AVERAGE($BZ65:$CX65))</f>
        <v>2.4126040569190099E-3</v>
      </c>
      <c r="CW66" s="237">
        <f ca="1">IF($C$5=Lookups!$D$40,AVERAGE($BZ65:$CZ65),AVERAGE($BZ65:$CX65))</f>
        <v>2.4126040569190099E-3</v>
      </c>
      <c r="CX66" s="237">
        <f ca="1">IF($C$5=Lookups!$D$40,AVERAGE($BZ65:$CZ65),AVERAGE($BZ65:$CX65))</f>
        <v>2.4126040569190099E-3</v>
      </c>
      <c r="CY66" s="237">
        <f ca="1">IF($C$5=Lookups!$D$40,AVERAGE($BZ65:$CZ65),AVERAGE($BZ65:$CX65))</f>
        <v>2.4126040569190099E-3</v>
      </c>
      <c r="CZ66" s="237">
        <f ca="1">IF($C$5=Lookups!$D$40,AVERAGE($BZ65:$CZ65),AVERAGE($BZ65:$CX65))</f>
        <v>2.4126040569190099E-3</v>
      </c>
      <c r="DA66" s="176"/>
      <c r="DB66" s="724">
        <f ca="1">IFERROR(SUM($DB$37:$DB$41)/SUM($DB$17:$DB$21)-1,0)</f>
        <v>2.8212302264005729E-3</v>
      </c>
      <c r="DC66" s="123"/>
      <c r="DE66" s="516"/>
    </row>
    <row r="67" spans="70:119" x14ac:dyDescent="0.25">
      <c r="BV67" s="343"/>
      <c r="BW67" s="347"/>
      <c r="BX67" s="181" t="str">
        <f ca="1">"Levelized net change "&amp;TEXT(DB66,"0.0%")</f>
        <v>Levelized net change 0.3%</v>
      </c>
      <c r="BY67" s="174"/>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6"/>
      <c r="DB67" s="176"/>
      <c r="DC67" s="123"/>
      <c r="DE67" s="516"/>
      <c r="DN67" s="5"/>
      <c r="DO67" s="5"/>
    </row>
    <row r="68" spans="70:119" x14ac:dyDescent="0.25">
      <c r="BV68" s="343"/>
      <c r="BW68" s="347"/>
      <c r="BX68" s="170"/>
      <c r="BY68" s="170"/>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row>
    <row r="69" spans="70:119" s="5" customFormat="1" x14ac:dyDescent="0.25">
      <c r="BR69"/>
      <c r="BS69"/>
      <c r="BT69"/>
      <c r="BU69"/>
      <c r="BV69" s="343"/>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6"/>
      <c r="DD69"/>
      <c r="DE69" s="512"/>
      <c r="DF69" s="522"/>
      <c r="DG69" s="512"/>
      <c r="DH69"/>
      <c r="DI69"/>
      <c r="DJ69"/>
      <c r="DK69"/>
      <c r="DL69"/>
      <c r="DM69"/>
      <c r="DN69"/>
      <c r="DO69"/>
    </row>
    <row r="70" spans="70:119" x14ac:dyDescent="0.25">
      <c r="BV70" s="343"/>
      <c r="BX70" s="532" t="s">
        <v>253</v>
      </c>
    </row>
    <row r="71" spans="70:119" x14ac:dyDescent="0.25">
      <c r="BV71" s="343"/>
      <c r="BX71" s="531" t="str">
        <f>Lookups!$D$23</f>
        <v>Proposed EE</v>
      </c>
      <c r="BY71" s="523"/>
      <c r="BZ71" s="523" t="str">
        <f>IFERROR(LEFT(ADDRESS(1,COLUMN('Yr1'!$G$6)+MATCH(BZ6,'Yr1'!$G$7:$AG$7,0)-1,4,1),LEN(ADDRESS(1,COLUMN('Yr1'!$G$6)+MATCH(BZ6,'Yr1'!$G$7:$AG$7,0)-1,4,1))-1),"")</f>
        <v>G</v>
      </c>
      <c r="CA71" s="523" t="str">
        <f>IFERROR(LEFT(ADDRESS(1,COLUMN('Yr1'!$G$6)+MATCH(CA6,'Yr1'!$G$7:$AG$7,0)-1,4,1),LEN(ADDRESS(1,COLUMN('Yr1'!$G$6)+MATCH(CA6,'Yr1'!$G$7:$AG$7,0)-1,4,1))-1),"")</f>
        <v>H</v>
      </c>
      <c r="CB71" s="523" t="str">
        <f>IFERROR(LEFT(ADDRESS(1,COLUMN('Yr1'!$G$6)+MATCH(CB6,'Yr1'!$G$7:$AG$7,0)-1,4,1),LEN(ADDRESS(1,COLUMN('Yr1'!$G$6)+MATCH(CB6,'Yr1'!$G$7:$AG$7,0)-1,4,1))-1),"")</f>
        <v>I</v>
      </c>
      <c r="CC71" s="523" t="str">
        <f>IFERROR(LEFT(ADDRESS(1,COLUMN('Yr1'!$G$6)+MATCH(CC6,'Yr1'!$G$7:$AG$7,0)-1,4,1),LEN(ADDRESS(1,COLUMN('Yr1'!$G$6)+MATCH(CC6,'Yr1'!$G$7:$AG$7,0)-1,4,1))-1),"")</f>
        <v>J</v>
      </c>
      <c r="CD71" s="523" t="str">
        <f>IFERROR(LEFT(ADDRESS(1,COLUMN('Yr1'!$G$6)+MATCH(CD6,'Yr1'!$G$7:$AG$7,0)-1,4,1),LEN(ADDRESS(1,COLUMN('Yr1'!$G$6)+MATCH(CD6,'Yr1'!$G$7:$AG$7,0)-1,4,1))-1),"")</f>
        <v>K</v>
      </c>
      <c r="CE71" s="523" t="str">
        <f>IFERROR(LEFT(ADDRESS(1,COLUMN('Yr1'!$G$6)+MATCH(CE6,'Yr1'!$G$7:$AG$7,0)-1,4,1),LEN(ADDRESS(1,COLUMN('Yr1'!$G$6)+MATCH(CE6,'Yr1'!$G$7:$AG$7,0)-1,4,1))-1),"")</f>
        <v>L</v>
      </c>
      <c r="CF71" s="523" t="str">
        <f>IFERROR(LEFT(ADDRESS(1,COLUMN('Yr1'!$G$6)+MATCH(CF6,'Yr1'!$G$7:$AG$7,0)-1,4,1),LEN(ADDRESS(1,COLUMN('Yr1'!$G$6)+MATCH(CF6,'Yr1'!$G$7:$AG$7,0)-1,4,1))-1),"")</f>
        <v>M</v>
      </c>
      <c r="CG71" s="523" t="str">
        <f>IFERROR(LEFT(ADDRESS(1,COLUMN('Yr1'!$G$6)+MATCH(CG6,'Yr1'!$G$7:$AG$7,0)-1,4,1),LEN(ADDRESS(1,COLUMN('Yr1'!$G$6)+MATCH(CG6,'Yr1'!$G$7:$AG$7,0)-1,4,1))-1),"")</f>
        <v>N</v>
      </c>
      <c r="CH71" s="523" t="str">
        <f>IFERROR(LEFT(ADDRESS(1,COLUMN('Yr1'!$G$6)+MATCH(CH6,'Yr1'!$G$7:$AG$7,0)-1,4,1),LEN(ADDRESS(1,COLUMN('Yr1'!$G$6)+MATCH(CH6,'Yr1'!$G$7:$AG$7,0)-1,4,1))-1),"")</f>
        <v>O</v>
      </c>
      <c r="CI71" s="523" t="str">
        <f>IFERROR(LEFT(ADDRESS(1,COLUMN('Yr1'!$G$6)+MATCH(CI6,'Yr1'!$G$7:$AG$7,0)-1,4,1),LEN(ADDRESS(1,COLUMN('Yr1'!$G$6)+MATCH(CI6,'Yr1'!$G$7:$AG$7,0)-1,4,1))-1),"")</f>
        <v>P</v>
      </c>
      <c r="CJ71" s="523" t="str">
        <f>IFERROR(LEFT(ADDRESS(1,COLUMN('Yr1'!$G$6)+MATCH(CJ6,'Yr1'!$G$7:$AG$7,0)-1,4,1),LEN(ADDRESS(1,COLUMN('Yr1'!$G$6)+MATCH(CJ6,'Yr1'!$G$7:$AG$7,0)-1,4,1))-1),"")</f>
        <v>Q</v>
      </c>
      <c r="CK71" s="523" t="str">
        <f>IFERROR(LEFT(ADDRESS(1,COLUMN('Yr1'!$G$6)+MATCH(CK6,'Yr1'!$G$7:$AG$7,0)-1,4,1),LEN(ADDRESS(1,COLUMN('Yr1'!$G$6)+MATCH(CK6,'Yr1'!$G$7:$AG$7,0)-1,4,1))-1),"")</f>
        <v>R</v>
      </c>
      <c r="CL71" s="523" t="str">
        <f>IFERROR(LEFT(ADDRESS(1,COLUMN('Yr1'!$G$6)+MATCH(CL6,'Yr1'!$G$7:$AG$7,0)-1,4,1),LEN(ADDRESS(1,COLUMN('Yr1'!$G$6)+MATCH(CL6,'Yr1'!$G$7:$AG$7,0)-1,4,1))-1),"")</f>
        <v>S</v>
      </c>
      <c r="CM71" s="523" t="str">
        <f>IFERROR(LEFT(ADDRESS(1,COLUMN('Yr1'!$G$6)+MATCH(CM6,'Yr1'!$G$7:$AG$7,0)-1,4,1),LEN(ADDRESS(1,COLUMN('Yr1'!$G$6)+MATCH(CM6,'Yr1'!$G$7:$AG$7,0)-1,4,1))-1),"")</f>
        <v>T</v>
      </c>
      <c r="CN71" s="523" t="str">
        <f>IFERROR(LEFT(ADDRESS(1,COLUMN('Yr1'!$G$6)+MATCH(CN6,'Yr1'!$G$7:$AG$7,0)-1,4,1),LEN(ADDRESS(1,COLUMN('Yr1'!$G$6)+MATCH(CN6,'Yr1'!$G$7:$AG$7,0)-1,4,1))-1),"")</f>
        <v>U</v>
      </c>
      <c r="CO71" s="523" t="str">
        <f>IFERROR(LEFT(ADDRESS(1,COLUMN('Yr1'!$G$6)+MATCH(CO6,'Yr1'!$G$7:$AG$7,0)-1,4,1),LEN(ADDRESS(1,COLUMN('Yr1'!$G$6)+MATCH(CO6,'Yr1'!$G$7:$AG$7,0)-1,4,1))-1),"")</f>
        <v>V</v>
      </c>
      <c r="CP71" s="523" t="str">
        <f>IFERROR(LEFT(ADDRESS(1,COLUMN('Yr1'!$G$6)+MATCH(CP6,'Yr1'!$G$7:$AG$7,0)-1,4,1),LEN(ADDRESS(1,COLUMN('Yr1'!$G$6)+MATCH(CP6,'Yr1'!$G$7:$AG$7,0)-1,4,1))-1),"")</f>
        <v>W</v>
      </c>
      <c r="CQ71" s="523" t="str">
        <f>IFERROR(LEFT(ADDRESS(1,COLUMN('Yr1'!$G$6)+MATCH(CQ6,'Yr1'!$G$7:$AG$7,0)-1,4,1),LEN(ADDRESS(1,COLUMN('Yr1'!$G$6)+MATCH(CQ6,'Yr1'!$G$7:$AG$7,0)-1,4,1))-1),"")</f>
        <v>X</v>
      </c>
      <c r="CR71" s="523" t="str">
        <f>IFERROR(LEFT(ADDRESS(1,COLUMN('Yr1'!$G$6)+MATCH(CR6,'Yr1'!$G$7:$AG$7,0)-1,4,1),LEN(ADDRESS(1,COLUMN('Yr1'!$G$6)+MATCH(CR6,'Yr1'!$G$7:$AG$7,0)-1,4,1))-1),"")</f>
        <v>Y</v>
      </c>
      <c r="CS71" s="523" t="str">
        <f>IFERROR(LEFT(ADDRESS(1,COLUMN('Yr1'!$G$6)+MATCH(CS6,'Yr1'!$G$7:$AG$7,0)-1,4,1),LEN(ADDRESS(1,COLUMN('Yr1'!$G$6)+MATCH(CS6,'Yr1'!$G$7:$AG$7,0)-1,4,1))-1),"")</f>
        <v>Z</v>
      </c>
      <c r="CT71" s="523" t="str">
        <f>IFERROR(LEFT(ADDRESS(1,COLUMN('Yr1'!$G$6)+MATCH(CT6,'Yr1'!$G$7:$AG$7,0)-1,4,1),LEN(ADDRESS(1,COLUMN('Yr1'!$G$6)+MATCH(CT6,'Yr1'!$G$7:$AG$7,0)-1,4,1))-1),"")</f>
        <v>AA</v>
      </c>
      <c r="CU71" s="523" t="str">
        <f>IFERROR(LEFT(ADDRESS(1,COLUMN('Yr1'!$G$6)+MATCH(CU6,'Yr1'!$G$7:$AG$7,0)-1,4,1),LEN(ADDRESS(1,COLUMN('Yr1'!$G$6)+MATCH(CU6,'Yr1'!$G$7:$AG$7,0)-1,4,1))-1),"")</f>
        <v>AB</v>
      </c>
      <c r="CV71" s="523" t="str">
        <f>IFERROR(LEFT(ADDRESS(1,COLUMN('Yr1'!$G$6)+MATCH(CV6,'Yr1'!$G$7:$AG$7,0)-1,4,1),LEN(ADDRESS(1,COLUMN('Yr1'!$G$6)+MATCH(CV6,'Yr1'!$G$7:$AG$7,0)-1,4,1))-1),"")</f>
        <v>AC</v>
      </c>
      <c r="CW71" s="523" t="str">
        <f>IFERROR(LEFT(ADDRESS(1,COLUMN('Yr1'!$G$6)+MATCH(CW6,'Yr1'!$G$7:$AG$7,0)-1,4,1),LEN(ADDRESS(1,COLUMN('Yr1'!$G$6)+MATCH(CW6,'Yr1'!$G$7:$AG$7,0)-1,4,1))-1),"")</f>
        <v>AD</v>
      </c>
      <c r="CX71" s="523" t="str">
        <f>IFERROR(LEFT(ADDRESS(1,COLUMN('Yr1'!$G$6)+MATCH(CX6,'Yr1'!$G$7:$AG$7,0)-1,4,1),LEN(ADDRESS(1,COLUMN('Yr1'!$G$6)+MATCH(CX6,'Yr1'!$G$7:$AG$7,0)-1,4,1))-1),"")</f>
        <v>AE</v>
      </c>
      <c r="CY71" s="523" t="str">
        <f>IFERROR(LEFT(ADDRESS(1,COLUMN('Yr1'!$G$6)+MATCH(CY6,'Yr1'!$G$7:$AG$7,0)-1,4,1),LEN(ADDRESS(1,COLUMN('Yr1'!$G$6)+MATCH(CY6,'Yr1'!$G$7:$AG$7,0)-1,4,1))-1),"")</f>
        <v>AF</v>
      </c>
      <c r="CZ71" s="523" t="str">
        <f>IFERROR(LEFT(ADDRESS(1,COLUMN('Yr1'!$G$6)+MATCH(CZ6,'Yr1'!$G$7:$AG$7,0)-1,4,1),LEN(ADDRESS(1,COLUMN('Yr1'!$G$6)+MATCH(CZ6,'Yr1'!$G$7:$AG$7,0)-1,4,1))-1),"")</f>
        <v>AG</v>
      </c>
    </row>
    <row r="72" spans="70:119" x14ac:dyDescent="0.25">
      <c r="BR72" s="5"/>
      <c r="BS72" s="5"/>
      <c r="BV72" s="343"/>
      <c r="BX72" s="531" t="str">
        <f>Lookups!$D$24</f>
        <v>Alternative EE</v>
      </c>
      <c r="BY72" s="523"/>
      <c r="BZ72" s="523" t="str">
        <f>IFERROR(LEFT(ADDRESS(1,COLUMN('Yr1'!$AM$6)+MATCH(BZ6,'Yr1'!$G$7:$AG$7,0)-1,4,1),LEN(ADDRESS(1,COLUMN('Yr1'!$AM$6)+MATCH(BZ6,'Yr1'!$G$7:$AG$7,0)-1,4,1))-1),"")</f>
        <v>AM</v>
      </c>
      <c r="CA72" s="523" t="str">
        <f>IFERROR(LEFT(ADDRESS(1,COLUMN('Yr1'!$AM$6)+MATCH(CA6,'Yr1'!$G$7:$AG$7,0)-1,4,1),LEN(ADDRESS(1,COLUMN('Yr1'!$AM$6)+MATCH(CA6,'Yr1'!$G$7:$AG$7,0)-1,4,1))-1),"")</f>
        <v>AN</v>
      </c>
      <c r="CB72" s="523" t="str">
        <f>IFERROR(LEFT(ADDRESS(1,COLUMN('Yr1'!$AM$6)+MATCH(CB6,'Yr1'!$G$7:$AG$7,0)-1,4,1),LEN(ADDRESS(1,COLUMN('Yr1'!$AM$6)+MATCH(CB6,'Yr1'!$G$7:$AG$7,0)-1,4,1))-1),"")</f>
        <v>AO</v>
      </c>
      <c r="CC72" s="523" t="str">
        <f>IFERROR(LEFT(ADDRESS(1,COLUMN('Yr1'!$AM$6)+MATCH(CC6,'Yr1'!$G$7:$AG$7,0)-1,4,1),LEN(ADDRESS(1,COLUMN('Yr1'!$AM$6)+MATCH(CC6,'Yr1'!$G$7:$AG$7,0)-1,4,1))-1),"")</f>
        <v>AP</v>
      </c>
      <c r="CD72" s="523" t="str">
        <f>IFERROR(LEFT(ADDRESS(1,COLUMN('Yr1'!$AM$6)+MATCH(CD6,'Yr1'!$G$7:$AG$7,0)-1,4,1),LEN(ADDRESS(1,COLUMN('Yr1'!$AM$6)+MATCH(CD6,'Yr1'!$G$7:$AG$7,0)-1,4,1))-1),"")</f>
        <v>AQ</v>
      </c>
      <c r="CE72" s="523" t="str">
        <f>IFERROR(LEFT(ADDRESS(1,COLUMN('Yr1'!$AM$6)+MATCH(CE6,'Yr1'!$G$7:$AG$7,0)-1,4,1),LEN(ADDRESS(1,COLUMN('Yr1'!$AM$6)+MATCH(CE6,'Yr1'!$G$7:$AG$7,0)-1,4,1))-1),"")</f>
        <v>AR</v>
      </c>
      <c r="CF72" s="523" t="str">
        <f>IFERROR(LEFT(ADDRESS(1,COLUMN('Yr1'!$AM$6)+MATCH(CF6,'Yr1'!$G$7:$AG$7,0)-1,4,1),LEN(ADDRESS(1,COLUMN('Yr1'!$AM$6)+MATCH(CF6,'Yr1'!$G$7:$AG$7,0)-1,4,1))-1),"")</f>
        <v>AS</v>
      </c>
      <c r="CG72" s="523" t="str">
        <f>IFERROR(LEFT(ADDRESS(1,COLUMN('Yr1'!$AM$6)+MATCH(CG6,'Yr1'!$G$7:$AG$7,0)-1,4,1),LEN(ADDRESS(1,COLUMN('Yr1'!$AM$6)+MATCH(CG6,'Yr1'!$G$7:$AG$7,0)-1,4,1))-1),"")</f>
        <v>AT</v>
      </c>
      <c r="CH72" s="523" t="str">
        <f>IFERROR(LEFT(ADDRESS(1,COLUMN('Yr1'!$AM$6)+MATCH(CH6,'Yr1'!$G$7:$AG$7,0)-1,4,1),LEN(ADDRESS(1,COLUMN('Yr1'!$AM$6)+MATCH(CH6,'Yr1'!$G$7:$AG$7,0)-1,4,1))-1),"")</f>
        <v>AU</v>
      </c>
      <c r="CI72" s="523" t="str">
        <f>IFERROR(LEFT(ADDRESS(1,COLUMN('Yr1'!$AM$6)+MATCH(CI6,'Yr1'!$G$7:$AG$7,0)-1,4,1),LEN(ADDRESS(1,COLUMN('Yr1'!$AM$6)+MATCH(CI6,'Yr1'!$G$7:$AG$7,0)-1,4,1))-1),"")</f>
        <v>AV</v>
      </c>
      <c r="CJ72" s="523" t="str">
        <f>IFERROR(LEFT(ADDRESS(1,COLUMN('Yr1'!$AM$6)+MATCH(CJ6,'Yr1'!$G$7:$AG$7,0)-1,4,1),LEN(ADDRESS(1,COLUMN('Yr1'!$AM$6)+MATCH(CJ6,'Yr1'!$G$7:$AG$7,0)-1,4,1))-1),"")</f>
        <v>AW</v>
      </c>
      <c r="CK72" s="523" t="str">
        <f>IFERROR(LEFT(ADDRESS(1,COLUMN('Yr1'!$AM$6)+MATCH(CK6,'Yr1'!$G$7:$AG$7,0)-1,4,1),LEN(ADDRESS(1,COLUMN('Yr1'!$AM$6)+MATCH(CK6,'Yr1'!$G$7:$AG$7,0)-1,4,1))-1),"")</f>
        <v>AX</v>
      </c>
      <c r="CL72" s="523" t="str">
        <f>IFERROR(LEFT(ADDRESS(1,COLUMN('Yr1'!$AM$6)+MATCH(CL6,'Yr1'!$G$7:$AG$7,0)-1,4,1),LEN(ADDRESS(1,COLUMN('Yr1'!$AM$6)+MATCH(CL6,'Yr1'!$G$7:$AG$7,0)-1,4,1))-1),"")</f>
        <v>AY</v>
      </c>
      <c r="CM72" s="523" t="str">
        <f>IFERROR(LEFT(ADDRESS(1,COLUMN('Yr1'!$AM$6)+MATCH(CM6,'Yr1'!$G$7:$AG$7,0)-1,4,1),LEN(ADDRESS(1,COLUMN('Yr1'!$AM$6)+MATCH(CM6,'Yr1'!$G$7:$AG$7,0)-1,4,1))-1),"")</f>
        <v>AZ</v>
      </c>
      <c r="CN72" s="523" t="str">
        <f>IFERROR(LEFT(ADDRESS(1,COLUMN('Yr1'!$AM$6)+MATCH(CN6,'Yr1'!$G$7:$AG$7,0)-1,4,1),LEN(ADDRESS(1,COLUMN('Yr1'!$AM$6)+MATCH(CN6,'Yr1'!$G$7:$AG$7,0)-1,4,1))-1),"")</f>
        <v>BA</v>
      </c>
      <c r="CO72" s="523" t="str">
        <f>IFERROR(LEFT(ADDRESS(1,COLUMN('Yr1'!$AM$6)+MATCH(CO6,'Yr1'!$G$7:$AG$7,0)-1,4,1),LEN(ADDRESS(1,COLUMN('Yr1'!$AM$6)+MATCH(CO6,'Yr1'!$G$7:$AG$7,0)-1,4,1))-1),"")</f>
        <v>BB</v>
      </c>
      <c r="CP72" s="523" t="str">
        <f>IFERROR(LEFT(ADDRESS(1,COLUMN('Yr1'!$AM$6)+MATCH(CP6,'Yr1'!$G$7:$AG$7,0)-1,4,1),LEN(ADDRESS(1,COLUMN('Yr1'!$AM$6)+MATCH(CP6,'Yr1'!$G$7:$AG$7,0)-1,4,1))-1),"")</f>
        <v>BC</v>
      </c>
      <c r="CQ72" s="523" t="str">
        <f>IFERROR(LEFT(ADDRESS(1,COLUMN('Yr1'!$AM$6)+MATCH(CQ6,'Yr1'!$G$7:$AG$7,0)-1,4,1),LEN(ADDRESS(1,COLUMN('Yr1'!$AM$6)+MATCH(CQ6,'Yr1'!$G$7:$AG$7,0)-1,4,1))-1),"")</f>
        <v>BD</v>
      </c>
      <c r="CR72" s="523" t="str">
        <f>IFERROR(LEFT(ADDRESS(1,COLUMN('Yr1'!$AM$6)+MATCH(CR6,'Yr1'!$G$7:$AG$7,0)-1,4,1),LEN(ADDRESS(1,COLUMN('Yr1'!$AM$6)+MATCH(CR6,'Yr1'!$G$7:$AG$7,0)-1,4,1))-1),"")</f>
        <v>BE</v>
      </c>
      <c r="CS72" s="523" t="str">
        <f>IFERROR(LEFT(ADDRESS(1,COLUMN('Yr1'!$AM$6)+MATCH(CS6,'Yr1'!$G$7:$AG$7,0)-1,4,1),LEN(ADDRESS(1,COLUMN('Yr1'!$AM$6)+MATCH(CS6,'Yr1'!$G$7:$AG$7,0)-1,4,1))-1),"")</f>
        <v>BF</v>
      </c>
      <c r="CT72" s="523" t="str">
        <f>IFERROR(LEFT(ADDRESS(1,COLUMN('Yr1'!$AM$6)+MATCH(CT6,'Yr1'!$G$7:$AG$7,0)-1,4,1),LEN(ADDRESS(1,COLUMN('Yr1'!$AM$6)+MATCH(CT6,'Yr1'!$G$7:$AG$7,0)-1,4,1))-1),"")</f>
        <v>BG</v>
      </c>
      <c r="CU72" s="523" t="str">
        <f>IFERROR(LEFT(ADDRESS(1,COLUMN('Yr1'!$AM$6)+MATCH(CU6,'Yr1'!$G$7:$AG$7,0)-1,4,1),LEN(ADDRESS(1,COLUMN('Yr1'!$AM$6)+MATCH(CU6,'Yr1'!$G$7:$AG$7,0)-1,4,1))-1),"")</f>
        <v>BH</v>
      </c>
      <c r="CV72" s="523" t="str">
        <f>IFERROR(LEFT(ADDRESS(1,COLUMN('Yr1'!$AM$6)+MATCH(CV6,'Yr1'!$G$7:$AG$7,0)-1,4,1),LEN(ADDRESS(1,COLUMN('Yr1'!$AM$6)+MATCH(CV6,'Yr1'!$G$7:$AG$7,0)-1,4,1))-1),"")</f>
        <v>BI</v>
      </c>
      <c r="CW72" s="523" t="str">
        <f>IFERROR(LEFT(ADDRESS(1,COLUMN('Yr1'!$AM$6)+MATCH(CW6,'Yr1'!$G$7:$AG$7,0)-1,4,1),LEN(ADDRESS(1,COLUMN('Yr1'!$AM$6)+MATCH(CW6,'Yr1'!$G$7:$AG$7,0)-1,4,1))-1),"")</f>
        <v>BJ</v>
      </c>
      <c r="CX72" s="523" t="str">
        <f>IFERROR(LEFT(ADDRESS(1,COLUMN('Yr1'!$AM$6)+MATCH(CX6,'Yr1'!$G$7:$AG$7,0)-1,4,1),LEN(ADDRESS(1,COLUMN('Yr1'!$AM$6)+MATCH(CX6,'Yr1'!$G$7:$AG$7,0)-1,4,1))-1),"")</f>
        <v>BK</v>
      </c>
      <c r="CY72" s="523" t="str">
        <f>IFERROR(LEFT(ADDRESS(1,COLUMN('Yr1'!$AM$6)+MATCH(CY6,'Yr1'!$G$7:$AG$7,0)-1,4,1),LEN(ADDRESS(1,COLUMN('Yr1'!$AM$6)+MATCH(CY6,'Yr1'!$G$7:$AG$7,0)-1,4,1))-1),"")</f>
        <v>BL</v>
      </c>
      <c r="CZ72" s="523" t="str">
        <f>IFERROR(LEFT(ADDRESS(1,COLUMN('Yr1'!$AM$6)+MATCH(CZ6,'Yr1'!$G$7:$AG$7,0)-1,4,1),LEN(ADDRESS(1,COLUMN('Yr1'!$AM$6)+MATCH(CZ6,'Yr1'!$G$7:$AG$7,0)-1,4,1))-1),"")</f>
        <v>BM</v>
      </c>
    </row>
    <row r="73" spans="70:119" x14ac:dyDescent="0.25">
      <c r="BX73" s="531" t="s">
        <v>419</v>
      </c>
      <c r="DB73" s="721" t="str">
        <f>LEFT(ADDRESS(1,COLUMN('Yr1'!AJ6),4,1),2)</f>
        <v>AJ</v>
      </c>
    </row>
    <row r="74" spans="70:119" x14ac:dyDescent="0.25">
      <c r="BX74" s="531" t="s">
        <v>420</v>
      </c>
      <c r="DB74" s="721" t="str">
        <f>LEFT(ADDRESS(1,COLUMN('Yr1'!BP6),4,1),2)</f>
        <v>BP</v>
      </c>
    </row>
  </sheetData>
  <mergeCells count="2">
    <mergeCell ref="C4:G4"/>
    <mergeCell ref="C5:G5"/>
  </mergeCells>
  <pageMargins left="0.7" right="0.7" top="0.75" bottom="0.75" header="0.3" footer="0.3"/>
  <pageSetup scale="55"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AF1B0C0-5525-46C8-A8DA-0E6E12DF1520}">
          <x14:formula1>
            <xm:f>Lookups!$D$37:$D$40</xm:f>
          </x14:formula1>
          <xm:sqref>C5</xm:sqref>
        </x14:dataValidation>
        <x14:dataValidation type="list" allowBlank="1" showInputMessage="1" showErrorMessage="1" xr:uid="{F8D99D89-2EAE-4FA4-A0DD-2C40B6970123}">
          <x14:formula1>
            <xm:f>Lookups!$D$26:$D$29</xm:f>
          </x14:formula1>
          <xm:sqref>C4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97D87-A301-48FC-9982-877FC4893291}">
  <sheetPr>
    <tabColor theme="4"/>
  </sheetPr>
  <dimension ref="A1:DO75"/>
  <sheetViews>
    <sheetView showGridLines="0" topLeftCell="A40" zoomScale="85" zoomScaleNormal="85" workbookViewId="0">
      <selection activeCell="BQ65" sqref="BQ65"/>
    </sheetView>
  </sheetViews>
  <sheetFormatPr defaultRowHeight="15" outlineLevelCol="1" x14ac:dyDescent="0.25"/>
  <cols>
    <col min="1" max="74" width="2.7109375" customWidth="1"/>
    <col min="75" max="75" width="2.7109375" style="115" customWidth="1"/>
    <col min="76" max="76" width="25.7109375" style="115" bestFit="1" customWidth="1"/>
    <col min="77" max="77" width="8.85546875" style="115" customWidth="1"/>
    <col min="78" max="78" width="12.28515625" style="115" bestFit="1" customWidth="1"/>
    <col min="79" max="81" width="12" style="115" bestFit="1" customWidth="1"/>
    <col min="82" max="95" width="12" style="115" customWidth="1"/>
    <col min="96" max="104" width="12" style="115" hidden="1" customWidth="1" outlineLevel="1"/>
    <col min="105" max="105" width="5" style="115" customWidth="1" collapsed="1"/>
    <col min="106" max="106" width="14.140625" style="115" customWidth="1"/>
    <col min="107" max="107" width="2.7109375" style="116" customWidth="1"/>
    <col min="108" max="108" width="2.7109375" customWidth="1"/>
    <col min="109" max="109" width="6" style="512" bestFit="1" customWidth="1"/>
    <col min="110" max="110" width="2.85546875" style="522" bestFit="1" customWidth="1"/>
    <col min="111" max="111" width="6" style="512" bestFit="1" customWidth="1"/>
    <col min="112" max="112" width="2.140625" bestFit="1" customWidth="1"/>
    <col min="113" max="114" width="10.5703125" bestFit="1" customWidth="1"/>
    <col min="115" max="115" width="8" bestFit="1" customWidth="1"/>
    <col min="118" max="118" width="11.5703125" bestFit="1" customWidth="1"/>
    <col min="119" max="119" width="10.7109375" bestFit="1" customWidth="1"/>
  </cols>
  <sheetData>
    <row r="1" spans="1:119" x14ac:dyDescent="0.25">
      <c r="Q1" s="1"/>
      <c r="T1" s="1"/>
      <c r="U1" s="1"/>
      <c r="AX1" s="1"/>
      <c r="BX1"/>
      <c r="BZ1" s="153"/>
      <c r="CA1" s="153"/>
    </row>
    <row r="2" spans="1:119" s="115" customFormat="1" ht="26.25" x14ac:dyDescent="0.25">
      <c r="B2" s="2" t="s">
        <v>79</v>
      </c>
      <c r="Q2" s="128"/>
      <c r="T2" s="128"/>
      <c r="AD2" s="128"/>
      <c r="AK2" s="128"/>
      <c r="AQ2" s="128"/>
      <c r="AX2" s="128"/>
      <c r="BV2" s="361" t="s">
        <v>74</v>
      </c>
      <c r="BY2" s="128"/>
      <c r="BZ2" s="128"/>
      <c r="CA2" s="153"/>
      <c r="DC2" s="214"/>
      <c r="DE2" s="523"/>
      <c r="DF2" s="524"/>
      <c r="DG2" s="523"/>
    </row>
    <row r="3" spans="1:119" s="115" customFormat="1" ht="21" x14ac:dyDescent="0.25">
      <c r="B3" s="245" t="str">
        <f>Lookups!$E$6</f>
        <v>Liberty</v>
      </c>
      <c r="Q3" s="128"/>
      <c r="T3" s="128"/>
      <c r="V3" s="128"/>
      <c r="AD3" s="128"/>
      <c r="AK3" s="128"/>
      <c r="AQ3" s="128"/>
      <c r="AX3" s="128"/>
      <c r="BW3" s="100"/>
      <c r="DC3" s="214"/>
      <c r="DE3" s="523"/>
      <c r="DF3" s="524"/>
      <c r="DG3" s="523"/>
      <c r="DI3" s="424"/>
      <c r="DJ3" s="425"/>
      <c r="DK3" s="429"/>
      <c r="DM3" s="6"/>
    </row>
    <row r="4" spans="1:119" s="6" customFormat="1" x14ac:dyDescent="0.25">
      <c r="B4" s="348"/>
      <c r="C4" s="773" t="s">
        <v>42</v>
      </c>
      <c r="D4" s="774"/>
      <c r="E4" s="774"/>
      <c r="F4" s="774"/>
      <c r="G4" s="775"/>
      <c r="H4" t="s">
        <v>27</v>
      </c>
      <c r="I4" s="349"/>
      <c r="J4" s="349"/>
      <c r="K4" s="349"/>
      <c r="L4" s="349"/>
      <c r="M4" s="349"/>
      <c r="N4" s="349"/>
      <c r="O4" s="349"/>
      <c r="P4" s="349"/>
      <c r="Q4" s="128"/>
      <c r="R4" s="349"/>
      <c r="S4" s="349"/>
      <c r="T4" s="128"/>
      <c r="U4" s="349"/>
      <c r="V4" s="128"/>
      <c r="W4" s="349"/>
      <c r="X4" s="349"/>
      <c r="Y4" s="349"/>
      <c r="Z4" s="349"/>
      <c r="AA4" s="349"/>
      <c r="AB4" s="349"/>
      <c r="AC4" s="349"/>
      <c r="AD4" s="349"/>
      <c r="AE4" s="349"/>
      <c r="AF4" s="349"/>
      <c r="AG4" s="349"/>
      <c r="AH4" s="349"/>
      <c r="AI4" s="349"/>
      <c r="AJ4" s="349"/>
      <c r="AK4" s="128"/>
      <c r="AL4" s="349"/>
      <c r="AM4" s="349"/>
      <c r="AN4" s="349"/>
      <c r="AO4" s="349"/>
      <c r="AP4" s="349"/>
      <c r="AQ4" s="128"/>
      <c r="AR4" s="349"/>
      <c r="AS4" s="349"/>
      <c r="AT4" s="349"/>
      <c r="AU4" s="349"/>
      <c r="AV4" s="349"/>
      <c r="AW4" s="349"/>
      <c r="AX4" s="128"/>
      <c r="AY4" s="349"/>
      <c r="AZ4" s="349"/>
      <c r="BA4" s="349"/>
      <c r="BB4" s="349"/>
      <c r="BC4" s="349"/>
      <c r="BD4" s="349"/>
      <c r="BE4" s="349"/>
      <c r="BF4" s="349"/>
      <c r="BG4" s="349"/>
      <c r="BH4" s="349"/>
      <c r="BI4" s="349"/>
      <c r="BJ4" s="349"/>
      <c r="BK4" s="349"/>
      <c r="BL4" s="349"/>
      <c r="BM4" s="349"/>
      <c r="BN4" s="349"/>
      <c r="BO4" s="349"/>
      <c r="BP4" s="349"/>
      <c r="BQ4" s="349"/>
      <c r="BW4" s="349"/>
      <c r="DA4" s="349"/>
      <c r="DB4" s="349"/>
      <c r="DC4" s="116"/>
      <c r="DE4" s="512"/>
      <c r="DF4" s="522"/>
      <c r="DG4" s="512"/>
      <c r="DI4" s="426"/>
      <c r="DJ4" s="422"/>
      <c r="DK4" s="410"/>
    </row>
    <row r="5" spans="1:119" x14ac:dyDescent="0.25">
      <c r="C5" s="773" t="s">
        <v>389</v>
      </c>
      <c r="D5" s="774"/>
      <c r="E5" s="774"/>
      <c r="F5" s="774"/>
      <c r="G5" s="775"/>
      <c r="H5" t="s">
        <v>73</v>
      </c>
      <c r="M5" s="154"/>
      <c r="V5" s="1"/>
      <c r="AK5" s="1"/>
      <c r="DI5" s="426"/>
      <c r="DJ5" s="423"/>
      <c r="DK5" s="410"/>
      <c r="DM5" s="6"/>
    </row>
    <row r="6" spans="1:119" x14ac:dyDescent="0.25">
      <c r="M6" s="154"/>
      <c r="AK6" s="1"/>
      <c r="AX6" s="1"/>
      <c r="BW6"/>
      <c r="BX6"/>
      <c r="BY6"/>
      <c r="BZ6" s="420">
        <f>IF($C$5=Lookups!$D$40,Lookups!$D$37,$C$5)</f>
        <v>2021</v>
      </c>
      <c r="CA6" s="117">
        <f>BZ6+1</f>
        <v>2022</v>
      </c>
      <c r="CB6" s="117">
        <f t="shared" ref="CB6:CZ6" si="0">CA6+1</f>
        <v>2023</v>
      </c>
      <c r="CC6" s="117">
        <f t="shared" si="0"/>
        <v>2024</v>
      </c>
      <c r="CD6" s="117">
        <f t="shared" si="0"/>
        <v>2025</v>
      </c>
      <c r="CE6" s="117">
        <f t="shared" si="0"/>
        <v>2026</v>
      </c>
      <c r="CF6" s="117">
        <f t="shared" si="0"/>
        <v>2027</v>
      </c>
      <c r="CG6" s="117">
        <f t="shared" si="0"/>
        <v>2028</v>
      </c>
      <c r="CH6" s="117">
        <f t="shared" si="0"/>
        <v>2029</v>
      </c>
      <c r="CI6" s="117">
        <f t="shared" si="0"/>
        <v>2030</v>
      </c>
      <c r="CJ6" s="117">
        <f t="shared" si="0"/>
        <v>2031</v>
      </c>
      <c r="CK6" s="117">
        <f t="shared" si="0"/>
        <v>2032</v>
      </c>
      <c r="CL6" s="117">
        <f t="shared" si="0"/>
        <v>2033</v>
      </c>
      <c r="CM6" s="117">
        <f t="shared" si="0"/>
        <v>2034</v>
      </c>
      <c r="CN6" s="117">
        <f t="shared" si="0"/>
        <v>2035</v>
      </c>
      <c r="CO6" s="117">
        <f t="shared" si="0"/>
        <v>2036</v>
      </c>
      <c r="CP6" s="117">
        <f t="shared" si="0"/>
        <v>2037</v>
      </c>
      <c r="CQ6" s="117">
        <f t="shared" si="0"/>
        <v>2038</v>
      </c>
      <c r="CR6" s="117">
        <f t="shared" si="0"/>
        <v>2039</v>
      </c>
      <c r="CS6" s="117">
        <f t="shared" si="0"/>
        <v>2040</v>
      </c>
      <c r="CT6" s="117">
        <f t="shared" si="0"/>
        <v>2041</v>
      </c>
      <c r="CU6" s="117">
        <f t="shared" si="0"/>
        <v>2042</v>
      </c>
      <c r="CV6" s="117">
        <f t="shared" si="0"/>
        <v>2043</v>
      </c>
      <c r="CW6" s="117">
        <f t="shared" si="0"/>
        <v>2044</v>
      </c>
      <c r="CX6" s="117">
        <f t="shared" si="0"/>
        <v>2045</v>
      </c>
      <c r="CY6" s="117">
        <f t="shared" si="0"/>
        <v>2046</v>
      </c>
      <c r="CZ6" s="117">
        <f t="shared" si="0"/>
        <v>2047</v>
      </c>
      <c r="DA6"/>
      <c r="DB6" s="4" t="s">
        <v>418</v>
      </c>
      <c r="DC6"/>
      <c r="DI6" s="427"/>
      <c r="DJ6" s="423"/>
      <c r="DK6" s="410"/>
      <c r="DM6" s="6"/>
    </row>
    <row r="7" spans="1:119" s="96" customFormat="1" ht="18.75" x14ac:dyDescent="0.3">
      <c r="A7"/>
      <c r="C7" s="91" t="str">
        <f>"Total Rates: "&amp;Lookups!$D$23</f>
        <v>Total Rates: Proposed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c r="AK7" s="91" t="str">
        <f>"Change in Rates: "&amp;Lookups!$D$23&amp;" v "&amp;Lookups!$D$22</f>
        <v>Change in Rates: 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c r="BS7"/>
      <c r="BT7"/>
      <c r="BU7"/>
      <c r="BV7" s="118" t="str">
        <f>Lookups!$D$22</f>
        <v>No EE</v>
      </c>
      <c r="BW7" s="118"/>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20"/>
      <c r="DE7" s="525"/>
      <c r="DF7" s="522"/>
      <c r="DG7" s="525"/>
    </row>
    <row r="8" spans="1:119" x14ac:dyDescent="0.25">
      <c r="BV8" s="343"/>
      <c r="BW8" s="158" t="s">
        <v>30</v>
      </c>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E8" s="532" t="s">
        <v>253</v>
      </c>
      <c r="DI8" s="428"/>
      <c r="DL8" s="96"/>
      <c r="DM8" s="96"/>
    </row>
    <row r="9" spans="1:119" x14ac:dyDescent="0.25">
      <c r="BV9" s="343"/>
      <c r="BW9" s="344"/>
      <c r="BX9" s="121" t="s">
        <v>95</v>
      </c>
      <c r="BY9" s="121" t="s">
        <v>247</v>
      </c>
      <c r="BZ9" s="150" cm="1">
        <f t="array" aca="1" ref="BZ9" ca="1">IFERROR(INDIRECT("Yr"&amp;IF($C$5=Year1,1,IF($C$5=Year2,2,IF($C$5=Year3,3,IF($C$5=Lookups!$D$40,"All"))))&amp;"!"&amp;BZ$71&amp;$DE9)*100,0)</f>
        <v>28.453457229491285</v>
      </c>
      <c r="CA9" s="150" cm="1">
        <f t="array" aca="1" ref="CA9" ca="1">IFERROR(INDIRECT("Yr"&amp;IF($C$5=Year1,1,IF($C$5=Year2,2,IF($C$5=Year3,3,IF($C$5=Lookups!$D$40,"All"))))&amp;"!"&amp;CA$71&amp;$DE9)*100,0)</f>
        <v>28.453457229491285</v>
      </c>
      <c r="CB9" s="150" cm="1">
        <f t="array" aca="1" ref="CB9" ca="1">IFERROR(INDIRECT("Yr"&amp;IF($C$5=Year1,1,IF($C$5=Year2,2,IF($C$5=Year3,3,IF($C$5=Lookups!$D$40,"All"))))&amp;"!"&amp;CB$71&amp;$DE9)*100,0)</f>
        <v>28.453457229491285</v>
      </c>
      <c r="CC9" s="150" cm="1">
        <f t="array" aca="1" ref="CC9" ca="1">IFERROR(INDIRECT("Yr"&amp;IF($C$5=Year1,1,IF($C$5=Year2,2,IF($C$5=Year3,3,IF($C$5=Lookups!$D$40,"All"))))&amp;"!"&amp;CC$71&amp;$DE9)*100,0)</f>
        <v>28.453457229491285</v>
      </c>
      <c r="CD9" s="150" cm="1">
        <f t="array" aca="1" ref="CD9" ca="1">IFERROR(INDIRECT("Yr"&amp;IF($C$5=Year1,1,IF($C$5=Year2,2,IF($C$5=Year3,3,IF($C$5=Lookups!$D$40,"All"))))&amp;"!"&amp;CD$71&amp;$DE9)*100,0)</f>
        <v>28.453457229491285</v>
      </c>
      <c r="CE9" s="150" cm="1">
        <f t="array" aca="1" ref="CE9" ca="1">IFERROR(INDIRECT("Yr"&amp;IF($C$5=Year1,1,IF($C$5=Year2,2,IF($C$5=Year3,3,IF($C$5=Lookups!$D$40,"All"))))&amp;"!"&amp;CE$71&amp;$DE9)*100,0)</f>
        <v>28.453457229491285</v>
      </c>
      <c r="CF9" s="150" cm="1">
        <f t="array" aca="1" ref="CF9" ca="1">IFERROR(INDIRECT("Yr"&amp;IF($C$5=Year1,1,IF($C$5=Year2,2,IF($C$5=Year3,3,IF($C$5=Lookups!$D$40,"All"))))&amp;"!"&amp;CF$71&amp;$DE9)*100,0)</f>
        <v>28.453457229491285</v>
      </c>
      <c r="CG9" s="150" cm="1">
        <f t="array" aca="1" ref="CG9" ca="1">IFERROR(INDIRECT("Yr"&amp;IF($C$5=Year1,1,IF($C$5=Year2,2,IF($C$5=Year3,3,IF($C$5=Lookups!$D$40,"All"))))&amp;"!"&amp;CG$71&amp;$DE9)*100,0)</f>
        <v>28.453457229491285</v>
      </c>
      <c r="CH9" s="150" cm="1">
        <f t="array" aca="1" ref="CH9" ca="1">IFERROR(INDIRECT("Yr"&amp;IF($C$5=Year1,1,IF($C$5=Year2,2,IF($C$5=Year3,3,IF($C$5=Lookups!$D$40,"All"))))&amp;"!"&amp;CH$71&amp;$DE9)*100,0)</f>
        <v>28.453457229491285</v>
      </c>
      <c r="CI9" s="150" cm="1">
        <f t="array" aca="1" ref="CI9" ca="1">IFERROR(INDIRECT("Yr"&amp;IF($C$5=Year1,1,IF($C$5=Year2,2,IF($C$5=Year3,3,IF($C$5=Lookups!$D$40,"All"))))&amp;"!"&amp;CI$71&amp;$DE9)*100,0)</f>
        <v>28.453457229491285</v>
      </c>
      <c r="CJ9" s="150" cm="1">
        <f t="array" aca="1" ref="CJ9" ca="1">IFERROR(INDIRECT("Yr"&amp;IF($C$5=Year1,1,IF($C$5=Year2,2,IF($C$5=Year3,3,IF($C$5=Lookups!$D$40,"All"))))&amp;"!"&amp;CJ$71&amp;$DE9)*100,0)</f>
        <v>28.453457229491285</v>
      </c>
      <c r="CK9" s="150" cm="1">
        <f t="array" aca="1" ref="CK9" ca="1">IFERROR(INDIRECT("Yr"&amp;IF($C$5=Year1,1,IF($C$5=Year2,2,IF($C$5=Year3,3,IF($C$5=Lookups!$D$40,"All"))))&amp;"!"&amp;CK$71&amp;$DE9)*100,0)</f>
        <v>28.453457229491285</v>
      </c>
      <c r="CL9" s="150" cm="1">
        <f t="array" aca="1" ref="CL9" ca="1">IFERROR(INDIRECT("Yr"&amp;IF($C$5=Year1,1,IF($C$5=Year2,2,IF($C$5=Year3,3,IF($C$5=Lookups!$D$40,"All"))))&amp;"!"&amp;CL$71&amp;$DE9)*100,0)</f>
        <v>28.453457229491285</v>
      </c>
      <c r="CM9" s="150" cm="1">
        <f t="array" aca="1" ref="CM9" ca="1">IFERROR(INDIRECT("Yr"&amp;IF($C$5=Year1,1,IF($C$5=Year2,2,IF($C$5=Year3,3,IF($C$5=Lookups!$D$40,"All"))))&amp;"!"&amp;CM$71&amp;$DE9)*100,0)</f>
        <v>28.453457229491285</v>
      </c>
      <c r="CN9" s="150" cm="1">
        <f t="array" aca="1" ref="CN9" ca="1">IFERROR(INDIRECT("Yr"&amp;IF($C$5=Year1,1,IF($C$5=Year2,2,IF($C$5=Year3,3,IF($C$5=Lookups!$D$40,"All"))))&amp;"!"&amp;CN$71&amp;$DE9)*100,0)</f>
        <v>28.453457229491285</v>
      </c>
      <c r="CO9" s="150" cm="1">
        <f t="array" aca="1" ref="CO9" ca="1">IFERROR(INDIRECT("Yr"&amp;IF($C$5=Year1,1,IF($C$5=Year2,2,IF($C$5=Year3,3,IF($C$5=Lookups!$D$40,"All"))))&amp;"!"&amp;CO$71&amp;$DE9)*100,0)</f>
        <v>28.453457229491285</v>
      </c>
      <c r="CP9" s="150" cm="1">
        <f t="array" aca="1" ref="CP9" ca="1">IFERROR(INDIRECT("Yr"&amp;IF($C$5=Year1,1,IF($C$5=Year2,2,IF($C$5=Year3,3,IF($C$5=Lookups!$D$40,"All"))))&amp;"!"&amp;CP$71&amp;$DE9)*100,0)</f>
        <v>28.453457229491285</v>
      </c>
      <c r="CQ9" s="150" cm="1">
        <f t="array" aca="1" ref="CQ9" ca="1">IFERROR(INDIRECT("Yr"&amp;IF($C$5=Year1,1,IF($C$5=Year2,2,IF($C$5=Year3,3,IF($C$5=Lookups!$D$40,"All"))))&amp;"!"&amp;CQ$71&amp;$DE9)*100,0)</f>
        <v>28.453457229491285</v>
      </c>
      <c r="CR9" s="150" cm="1">
        <f t="array" aca="1" ref="CR9" ca="1">IFERROR(INDIRECT("Yr"&amp;IF($C$5=Year1,1,IF($C$5=Year2,2,IF($C$5=Year3,3,IF($C$5=Lookups!$D$40,"All"))))&amp;"!"&amp;CR$71&amp;$DE9)*100,0)</f>
        <v>28.453457229491285</v>
      </c>
      <c r="CS9" s="150" cm="1">
        <f t="array" aca="1" ref="CS9" ca="1">IFERROR(INDIRECT("Yr"&amp;IF($C$5=Year1,1,IF($C$5=Year2,2,IF($C$5=Year3,3,IF($C$5=Lookups!$D$40,"All"))))&amp;"!"&amp;CS$71&amp;$DE9)*100,0)</f>
        <v>28.453457229491285</v>
      </c>
      <c r="CT9" s="150" cm="1">
        <f t="array" aca="1" ref="CT9" ca="1">IFERROR(INDIRECT("Yr"&amp;IF($C$5=Year1,1,IF($C$5=Year2,2,IF($C$5=Year3,3,IF($C$5=Lookups!$D$40,"All"))))&amp;"!"&amp;CT$71&amp;$DE9)*100,0)</f>
        <v>28.453457229491285</v>
      </c>
      <c r="CU9" s="150" cm="1">
        <f t="array" aca="1" ref="CU9" ca="1">IFERROR(INDIRECT("Yr"&amp;IF($C$5=Year1,1,IF($C$5=Year2,2,IF($C$5=Year3,3,IF($C$5=Lookups!$D$40,"All"))))&amp;"!"&amp;CU$71&amp;$DE9)*100,0)</f>
        <v>28.453457229491285</v>
      </c>
      <c r="CV9" s="150" cm="1">
        <f t="array" aca="1" ref="CV9" ca="1">IFERROR(INDIRECT("Yr"&amp;IF($C$5=Year1,1,IF($C$5=Year2,2,IF($C$5=Year3,3,IF($C$5=Lookups!$D$40,"All"))))&amp;"!"&amp;CV$71&amp;$DE9)*100,0)</f>
        <v>28.453457229491285</v>
      </c>
      <c r="CW9" s="150" cm="1">
        <f t="array" aca="1" ref="CW9" ca="1">IFERROR(INDIRECT("Yr"&amp;IF($C$5=Year1,1,IF($C$5=Year2,2,IF($C$5=Year3,3,IF($C$5=Lookups!$D$40,"All"))))&amp;"!"&amp;CW$71&amp;$DE9)*100,0)</f>
        <v>28.453457229491285</v>
      </c>
      <c r="CX9" s="150" cm="1">
        <f t="array" aca="1" ref="CX9" ca="1">IFERROR(INDIRECT("Yr"&amp;IF($C$5=Year1,1,IF($C$5=Year2,2,IF($C$5=Year3,3,IF($C$5=Lookups!$D$40,"All"))))&amp;"!"&amp;CX$71&amp;$DE9)*100,0)</f>
        <v>28.453457229491285</v>
      </c>
      <c r="CY9" s="150" cm="1">
        <f t="array" aca="1" ref="CY9" ca="1">IFERROR(INDIRECT("Yr"&amp;IF($C$5=Year1,1,IF($C$5=Year2,2,IF($C$5=Year3,3,IF($C$5=Lookups!$D$40,"All"))))&amp;"!"&amp;CY$71&amp;$DE9)*100,0)</f>
        <v>28.453457229491285</v>
      </c>
      <c r="CZ9" s="150" cm="1">
        <f t="array" aca="1" ref="CZ9" ca="1">IFERROR(INDIRECT("Yr"&amp;IF($C$5=Year1,1,IF($C$5=Year2,2,IF($C$5=Year3,3,IF($C$5=Lookups!$D$40,"All"))))&amp;"!"&amp;CZ$71&amp;$DE9)*100,0)</f>
        <v>28.453457229491285</v>
      </c>
      <c r="DA9" s="150"/>
      <c r="DB9" s="150"/>
      <c r="DE9" s="515">
        <f>ROW('Yr1'!E41)+($DG$9*IF($C$4=Lookups!$D$26,0,IF($C$4=Lookups!$D$27,1,IF($C$4=Lookups!$D$28,2,IF($C$4=Lookups!$D$29,3)))))</f>
        <v>199</v>
      </c>
      <c r="DG9" s="515">
        <f>'Output Summary'!T33</f>
        <v>79</v>
      </c>
      <c r="DI9" s="22"/>
      <c r="DJ9" s="431"/>
      <c r="DK9" s="421"/>
      <c r="DL9" s="96"/>
      <c r="DM9" s="96"/>
      <c r="DN9" s="410"/>
      <c r="DO9" s="22"/>
    </row>
    <row r="10" spans="1:119" x14ac:dyDescent="0.25">
      <c r="BV10" s="343"/>
      <c r="BW10" s="344"/>
      <c r="BX10" s="121" t="s">
        <v>26</v>
      </c>
      <c r="BY10" s="121" t="s">
        <v>182</v>
      </c>
      <c r="BZ10" s="150" cm="1">
        <f t="array" aca="1" ref="BZ10" ca="1">IFERROR(INDIRECT("Yr"&amp;IF($C$5=Year1,1,IF($C$5=Year2,2,IF($C$5=Year3,3,IF($C$5=Lookups!$D$40,"All"))))&amp;"!"&amp;BZ$71&amp;$DE10)*100,0)</f>
        <v>39.211256243681191</v>
      </c>
      <c r="CA10" s="150" cm="1">
        <f t="array" aca="1" ref="CA10" ca="1">IFERROR(INDIRECT("Yr"&amp;IF($C$5=Year1,1,IF($C$5=Year2,2,IF($C$5=Year3,3,IF($C$5=Lookups!$D$40,"All"))))&amp;"!"&amp;CA$71&amp;$DE10)*100,0)</f>
        <v>39.211256243681191</v>
      </c>
      <c r="CB10" s="150" cm="1">
        <f t="array" aca="1" ref="CB10" ca="1">IFERROR(INDIRECT("Yr"&amp;IF($C$5=Year1,1,IF($C$5=Year2,2,IF($C$5=Year3,3,IF($C$5=Lookups!$D$40,"All"))))&amp;"!"&amp;CB$71&amp;$DE10)*100,0)</f>
        <v>39.211256243681191</v>
      </c>
      <c r="CC10" s="150" cm="1">
        <f t="array" aca="1" ref="CC10" ca="1">IFERROR(INDIRECT("Yr"&amp;IF($C$5=Year1,1,IF($C$5=Year2,2,IF($C$5=Year3,3,IF($C$5=Lookups!$D$40,"All"))))&amp;"!"&amp;CC$71&amp;$DE10)*100,0)</f>
        <v>39.211256243681191</v>
      </c>
      <c r="CD10" s="150" cm="1">
        <f t="array" aca="1" ref="CD10" ca="1">IFERROR(INDIRECT("Yr"&amp;IF($C$5=Year1,1,IF($C$5=Year2,2,IF($C$5=Year3,3,IF($C$5=Lookups!$D$40,"All"))))&amp;"!"&amp;CD$71&amp;$DE10)*100,0)</f>
        <v>39.211256243681191</v>
      </c>
      <c r="CE10" s="150" cm="1">
        <f t="array" aca="1" ref="CE10" ca="1">IFERROR(INDIRECT("Yr"&amp;IF($C$5=Year1,1,IF($C$5=Year2,2,IF($C$5=Year3,3,IF($C$5=Lookups!$D$40,"All"))))&amp;"!"&amp;CE$71&amp;$DE10)*100,0)</f>
        <v>39.211256243681191</v>
      </c>
      <c r="CF10" s="150" cm="1">
        <f t="array" aca="1" ref="CF10" ca="1">IFERROR(INDIRECT("Yr"&amp;IF($C$5=Year1,1,IF($C$5=Year2,2,IF($C$5=Year3,3,IF($C$5=Lookups!$D$40,"All"))))&amp;"!"&amp;CF$71&amp;$DE10)*100,0)</f>
        <v>39.211256243681191</v>
      </c>
      <c r="CG10" s="150" cm="1">
        <f t="array" aca="1" ref="CG10" ca="1">IFERROR(INDIRECT("Yr"&amp;IF($C$5=Year1,1,IF($C$5=Year2,2,IF($C$5=Year3,3,IF($C$5=Lookups!$D$40,"All"))))&amp;"!"&amp;CG$71&amp;$DE10)*100,0)</f>
        <v>39.211256243681191</v>
      </c>
      <c r="CH10" s="150" cm="1">
        <f t="array" aca="1" ref="CH10" ca="1">IFERROR(INDIRECT("Yr"&amp;IF($C$5=Year1,1,IF($C$5=Year2,2,IF($C$5=Year3,3,IF($C$5=Lookups!$D$40,"All"))))&amp;"!"&amp;CH$71&amp;$DE10)*100,0)</f>
        <v>39.211256243681191</v>
      </c>
      <c r="CI10" s="150" cm="1">
        <f t="array" aca="1" ref="CI10" ca="1">IFERROR(INDIRECT("Yr"&amp;IF($C$5=Year1,1,IF($C$5=Year2,2,IF($C$5=Year3,3,IF($C$5=Lookups!$D$40,"All"))))&amp;"!"&amp;CI$71&amp;$DE10)*100,0)</f>
        <v>39.211256243681191</v>
      </c>
      <c r="CJ10" s="150" cm="1">
        <f t="array" aca="1" ref="CJ10" ca="1">IFERROR(INDIRECT("Yr"&amp;IF($C$5=Year1,1,IF($C$5=Year2,2,IF($C$5=Year3,3,IF($C$5=Lookups!$D$40,"All"))))&amp;"!"&amp;CJ$71&amp;$DE10)*100,0)</f>
        <v>39.211256243681191</v>
      </c>
      <c r="CK10" s="150" cm="1">
        <f t="array" aca="1" ref="CK10" ca="1">IFERROR(INDIRECT("Yr"&amp;IF($C$5=Year1,1,IF($C$5=Year2,2,IF($C$5=Year3,3,IF($C$5=Lookups!$D$40,"All"))))&amp;"!"&amp;CK$71&amp;$DE10)*100,0)</f>
        <v>39.211256243681191</v>
      </c>
      <c r="CL10" s="150" cm="1">
        <f t="array" aca="1" ref="CL10" ca="1">IFERROR(INDIRECT("Yr"&amp;IF($C$5=Year1,1,IF($C$5=Year2,2,IF($C$5=Year3,3,IF($C$5=Lookups!$D$40,"All"))))&amp;"!"&amp;CL$71&amp;$DE10)*100,0)</f>
        <v>39.211256243681191</v>
      </c>
      <c r="CM10" s="150" cm="1">
        <f t="array" aca="1" ref="CM10" ca="1">IFERROR(INDIRECT("Yr"&amp;IF($C$5=Year1,1,IF($C$5=Year2,2,IF($C$5=Year3,3,IF($C$5=Lookups!$D$40,"All"))))&amp;"!"&amp;CM$71&amp;$DE10)*100,0)</f>
        <v>39.211256243681191</v>
      </c>
      <c r="CN10" s="150" cm="1">
        <f t="array" aca="1" ref="CN10" ca="1">IFERROR(INDIRECT("Yr"&amp;IF($C$5=Year1,1,IF($C$5=Year2,2,IF($C$5=Year3,3,IF($C$5=Lookups!$D$40,"All"))))&amp;"!"&amp;CN$71&amp;$DE10)*100,0)</f>
        <v>39.211256243681191</v>
      </c>
      <c r="CO10" s="150" cm="1">
        <f t="array" aca="1" ref="CO10" ca="1">IFERROR(INDIRECT("Yr"&amp;IF($C$5=Year1,1,IF($C$5=Year2,2,IF($C$5=Year3,3,IF($C$5=Lookups!$D$40,"All"))))&amp;"!"&amp;CO$71&amp;$DE10)*100,0)</f>
        <v>39.211256243681191</v>
      </c>
      <c r="CP10" s="150" cm="1">
        <f t="array" aca="1" ref="CP10" ca="1">IFERROR(INDIRECT("Yr"&amp;IF($C$5=Year1,1,IF($C$5=Year2,2,IF($C$5=Year3,3,IF($C$5=Lookups!$D$40,"All"))))&amp;"!"&amp;CP$71&amp;$DE10)*100,0)</f>
        <v>39.211256243681191</v>
      </c>
      <c r="CQ10" s="150" cm="1">
        <f t="array" aca="1" ref="CQ10" ca="1">IFERROR(INDIRECT("Yr"&amp;IF($C$5=Year1,1,IF($C$5=Year2,2,IF($C$5=Year3,3,IF($C$5=Lookups!$D$40,"All"))))&amp;"!"&amp;CQ$71&amp;$DE10)*100,0)</f>
        <v>39.211256243681191</v>
      </c>
      <c r="CR10" s="150" cm="1">
        <f t="array" aca="1" ref="CR10" ca="1">IFERROR(INDIRECT("Yr"&amp;IF($C$5=Year1,1,IF($C$5=Year2,2,IF($C$5=Year3,3,IF($C$5=Lookups!$D$40,"All"))))&amp;"!"&amp;CR$71&amp;$DE10)*100,0)</f>
        <v>39.211256243681191</v>
      </c>
      <c r="CS10" s="150" cm="1">
        <f t="array" aca="1" ref="CS10" ca="1">IFERROR(INDIRECT("Yr"&amp;IF($C$5=Year1,1,IF($C$5=Year2,2,IF($C$5=Year3,3,IF($C$5=Lookups!$D$40,"All"))))&amp;"!"&amp;CS$71&amp;$DE10)*100,0)</f>
        <v>39.211256243681191</v>
      </c>
      <c r="CT10" s="150" cm="1">
        <f t="array" aca="1" ref="CT10" ca="1">IFERROR(INDIRECT("Yr"&amp;IF($C$5=Year1,1,IF($C$5=Year2,2,IF($C$5=Year3,3,IF($C$5=Lookups!$D$40,"All"))))&amp;"!"&amp;CT$71&amp;$DE10)*100,0)</f>
        <v>39.211256243681191</v>
      </c>
      <c r="CU10" s="150" cm="1">
        <f t="array" aca="1" ref="CU10" ca="1">IFERROR(INDIRECT("Yr"&amp;IF($C$5=Year1,1,IF($C$5=Year2,2,IF($C$5=Year3,3,IF($C$5=Lookups!$D$40,"All"))))&amp;"!"&amp;CU$71&amp;$DE10)*100,0)</f>
        <v>39.211256243681191</v>
      </c>
      <c r="CV10" s="150" cm="1">
        <f t="array" aca="1" ref="CV10" ca="1">IFERROR(INDIRECT("Yr"&amp;IF($C$5=Year1,1,IF($C$5=Year2,2,IF($C$5=Year3,3,IF($C$5=Lookups!$D$40,"All"))))&amp;"!"&amp;CV$71&amp;$DE10)*100,0)</f>
        <v>39.211256243681191</v>
      </c>
      <c r="CW10" s="150" cm="1">
        <f t="array" aca="1" ref="CW10" ca="1">IFERROR(INDIRECT("Yr"&amp;IF($C$5=Year1,1,IF($C$5=Year2,2,IF($C$5=Year3,3,IF($C$5=Lookups!$D$40,"All"))))&amp;"!"&amp;CW$71&amp;$DE10)*100,0)</f>
        <v>39.211256243681191</v>
      </c>
      <c r="CX10" s="150" cm="1">
        <f t="array" aca="1" ref="CX10" ca="1">IFERROR(INDIRECT("Yr"&amp;IF($C$5=Year1,1,IF($C$5=Year2,2,IF($C$5=Year3,3,IF($C$5=Lookups!$D$40,"All"))))&amp;"!"&amp;CX$71&amp;$DE10)*100,0)</f>
        <v>39.211256243681191</v>
      </c>
      <c r="CY10" s="150" cm="1">
        <f t="array" aca="1" ref="CY10" ca="1">IFERROR(INDIRECT("Yr"&amp;IF($C$5=Year1,1,IF($C$5=Year2,2,IF($C$5=Year3,3,IF($C$5=Lookups!$D$40,"All"))))&amp;"!"&amp;CY$71&amp;$DE10)*100,0)</f>
        <v>39.211256243681191</v>
      </c>
      <c r="CZ10" s="150" cm="1">
        <f t="array" aca="1" ref="CZ10" ca="1">IFERROR(INDIRECT("Yr"&amp;IF($C$5=Year1,1,IF($C$5=Year2,2,IF($C$5=Year3,3,IF($C$5=Lookups!$D$40,"All"))))&amp;"!"&amp;CZ$71&amp;$DE10)*100,0)</f>
        <v>39.211256243681191</v>
      </c>
      <c r="DA10" s="150"/>
      <c r="DB10" s="150"/>
      <c r="DE10" s="516">
        <f>DE9+DF10</f>
        <v>196</v>
      </c>
      <c r="DF10" s="526">
        <v>-3</v>
      </c>
      <c r="DI10" s="22"/>
      <c r="DJ10" s="22"/>
      <c r="DK10" s="421"/>
      <c r="DL10" s="96"/>
      <c r="DM10" s="96"/>
      <c r="DN10" s="410"/>
      <c r="DO10" s="22"/>
    </row>
    <row r="11" spans="1:119" x14ac:dyDescent="0.25">
      <c r="BV11" s="343"/>
      <c r="BW11" s="344"/>
      <c r="BX11" s="121" t="s">
        <v>407</v>
      </c>
      <c r="BY11" s="121" t="s">
        <v>182</v>
      </c>
      <c r="BZ11" s="150" cm="1">
        <f t="array" aca="1" ref="BZ11" ca="1">IFERROR(INDIRECT("Yr"&amp;IF($C$5=Year1,1,IF($C$5=Year2,2,IF($C$5=Year3,3,IF($C$5=Lookups!$D$40,"All"))))&amp;"!"&amp;BZ$71&amp;$DE11)*100,0)</f>
        <v>0.52000000000000035</v>
      </c>
      <c r="CA11" s="150" cm="1">
        <f t="array" aca="1" ref="CA11" ca="1">IFERROR(INDIRECT("Yr"&amp;IF($C$5=Year1,1,IF($C$5=Year2,2,IF($C$5=Year3,3,IF($C$5=Lookups!$D$40,"All"))))&amp;"!"&amp;CA$71&amp;$DE11)*100,0)</f>
        <v>0.52000000000000035</v>
      </c>
      <c r="CB11" s="150" cm="1">
        <f t="array" aca="1" ref="CB11" ca="1">IFERROR(INDIRECT("Yr"&amp;IF($C$5=Year1,1,IF($C$5=Year2,2,IF($C$5=Year3,3,IF($C$5=Lookups!$D$40,"All"))))&amp;"!"&amp;CB$71&amp;$DE11)*100,0)</f>
        <v>0.52000000000000035</v>
      </c>
      <c r="CC11" s="150" cm="1">
        <f t="array" aca="1" ref="CC11" ca="1">IFERROR(INDIRECT("Yr"&amp;IF($C$5=Year1,1,IF($C$5=Year2,2,IF($C$5=Year3,3,IF($C$5=Lookups!$D$40,"All"))))&amp;"!"&amp;CC$71&amp;$DE11)*100,0)</f>
        <v>0.52000000000000035</v>
      </c>
      <c r="CD11" s="150" cm="1">
        <f t="array" aca="1" ref="CD11" ca="1">IFERROR(INDIRECT("Yr"&amp;IF($C$5=Year1,1,IF($C$5=Year2,2,IF($C$5=Year3,3,IF($C$5=Lookups!$D$40,"All"))))&amp;"!"&amp;CD$71&amp;$DE11)*100,0)</f>
        <v>0.52000000000000035</v>
      </c>
      <c r="CE11" s="150" cm="1">
        <f t="array" aca="1" ref="CE11" ca="1">IFERROR(INDIRECT("Yr"&amp;IF($C$5=Year1,1,IF($C$5=Year2,2,IF($C$5=Year3,3,IF($C$5=Lookups!$D$40,"All"))))&amp;"!"&amp;CE$71&amp;$DE11)*100,0)</f>
        <v>0.52000000000000035</v>
      </c>
      <c r="CF11" s="150" cm="1">
        <f t="array" aca="1" ref="CF11" ca="1">IFERROR(INDIRECT("Yr"&amp;IF($C$5=Year1,1,IF($C$5=Year2,2,IF($C$5=Year3,3,IF($C$5=Lookups!$D$40,"All"))))&amp;"!"&amp;CF$71&amp;$DE11)*100,0)</f>
        <v>0.52000000000000035</v>
      </c>
      <c r="CG11" s="150" cm="1">
        <f t="array" aca="1" ref="CG11" ca="1">IFERROR(INDIRECT("Yr"&amp;IF($C$5=Year1,1,IF($C$5=Year2,2,IF($C$5=Year3,3,IF($C$5=Lookups!$D$40,"All"))))&amp;"!"&amp;CG$71&amp;$DE11)*100,0)</f>
        <v>0.52000000000000035</v>
      </c>
      <c r="CH11" s="150" cm="1">
        <f t="array" aca="1" ref="CH11" ca="1">IFERROR(INDIRECT("Yr"&amp;IF($C$5=Year1,1,IF($C$5=Year2,2,IF($C$5=Year3,3,IF($C$5=Lookups!$D$40,"All"))))&amp;"!"&amp;CH$71&amp;$DE11)*100,0)</f>
        <v>0.52000000000000035</v>
      </c>
      <c r="CI11" s="150" cm="1">
        <f t="array" aca="1" ref="CI11" ca="1">IFERROR(INDIRECT("Yr"&amp;IF($C$5=Year1,1,IF($C$5=Year2,2,IF($C$5=Year3,3,IF($C$5=Lookups!$D$40,"All"))))&amp;"!"&amp;CI$71&amp;$DE11)*100,0)</f>
        <v>0.52000000000000035</v>
      </c>
      <c r="CJ11" s="150" cm="1">
        <f t="array" aca="1" ref="CJ11" ca="1">IFERROR(INDIRECT("Yr"&amp;IF($C$5=Year1,1,IF($C$5=Year2,2,IF($C$5=Year3,3,IF($C$5=Lookups!$D$40,"All"))))&amp;"!"&amp;CJ$71&amp;$DE11)*100,0)</f>
        <v>0.52000000000000035</v>
      </c>
      <c r="CK11" s="150" cm="1">
        <f t="array" aca="1" ref="CK11" ca="1">IFERROR(INDIRECT("Yr"&amp;IF($C$5=Year1,1,IF($C$5=Year2,2,IF($C$5=Year3,3,IF($C$5=Lookups!$D$40,"All"))))&amp;"!"&amp;CK$71&amp;$DE11)*100,0)</f>
        <v>0.52000000000000035</v>
      </c>
      <c r="CL11" s="150" cm="1">
        <f t="array" aca="1" ref="CL11" ca="1">IFERROR(INDIRECT("Yr"&amp;IF($C$5=Year1,1,IF($C$5=Year2,2,IF($C$5=Year3,3,IF($C$5=Lookups!$D$40,"All"))))&amp;"!"&amp;CL$71&amp;$DE11)*100,0)</f>
        <v>0.52000000000000035</v>
      </c>
      <c r="CM11" s="150" cm="1">
        <f t="array" aca="1" ref="CM11" ca="1">IFERROR(INDIRECT("Yr"&amp;IF($C$5=Year1,1,IF($C$5=Year2,2,IF($C$5=Year3,3,IF($C$5=Lookups!$D$40,"All"))))&amp;"!"&amp;CM$71&amp;$DE11)*100,0)</f>
        <v>0.52000000000000035</v>
      </c>
      <c r="CN11" s="150" cm="1">
        <f t="array" aca="1" ref="CN11" ca="1">IFERROR(INDIRECT("Yr"&amp;IF($C$5=Year1,1,IF($C$5=Year2,2,IF($C$5=Year3,3,IF($C$5=Lookups!$D$40,"All"))))&amp;"!"&amp;CN$71&amp;$DE11)*100,0)</f>
        <v>0.52000000000000035</v>
      </c>
      <c r="CO11" s="150" cm="1">
        <f t="array" aca="1" ref="CO11" ca="1">IFERROR(INDIRECT("Yr"&amp;IF($C$5=Year1,1,IF($C$5=Year2,2,IF($C$5=Year3,3,IF($C$5=Lookups!$D$40,"All"))))&amp;"!"&amp;CO$71&amp;$DE11)*100,0)</f>
        <v>0.52000000000000035</v>
      </c>
      <c r="CP11" s="150" cm="1">
        <f t="array" aca="1" ref="CP11" ca="1">IFERROR(INDIRECT("Yr"&amp;IF($C$5=Year1,1,IF($C$5=Year2,2,IF($C$5=Year3,3,IF($C$5=Lookups!$D$40,"All"))))&amp;"!"&amp;CP$71&amp;$DE11)*100,0)</f>
        <v>0.52000000000000035</v>
      </c>
      <c r="CQ11" s="150" cm="1">
        <f t="array" aca="1" ref="CQ11" ca="1">IFERROR(INDIRECT("Yr"&amp;IF($C$5=Year1,1,IF($C$5=Year2,2,IF($C$5=Year3,3,IF($C$5=Lookups!$D$40,"All"))))&amp;"!"&amp;CQ$71&amp;$DE11)*100,0)</f>
        <v>0.52000000000000035</v>
      </c>
      <c r="CR11" s="150" cm="1">
        <f t="array" aca="1" ref="CR11" ca="1">IFERROR(INDIRECT("Yr"&amp;IF($C$5=Year1,1,IF($C$5=Year2,2,IF($C$5=Year3,3,IF($C$5=Lookups!$D$40,"All"))))&amp;"!"&amp;CR$71&amp;$DE11)*100,0)</f>
        <v>0.52000000000000035</v>
      </c>
      <c r="CS11" s="150" cm="1">
        <f t="array" aca="1" ref="CS11" ca="1">IFERROR(INDIRECT("Yr"&amp;IF($C$5=Year1,1,IF($C$5=Year2,2,IF($C$5=Year3,3,IF($C$5=Lookups!$D$40,"All"))))&amp;"!"&amp;CS$71&amp;$DE11)*100,0)</f>
        <v>0.52000000000000035</v>
      </c>
      <c r="CT11" s="150" cm="1">
        <f t="array" aca="1" ref="CT11" ca="1">IFERROR(INDIRECT("Yr"&amp;IF($C$5=Year1,1,IF($C$5=Year2,2,IF($C$5=Year3,3,IF($C$5=Lookups!$D$40,"All"))))&amp;"!"&amp;CT$71&amp;$DE11)*100,0)</f>
        <v>0.52000000000000035</v>
      </c>
      <c r="CU11" s="150" cm="1">
        <f t="array" aca="1" ref="CU11" ca="1">IFERROR(INDIRECT("Yr"&amp;IF($C$5=Year1,1,IF($C$5=Year2,2,IF($C$5=Year3,3,IF($C$5=Lookups!$D$40,"All"))))&amp;"!"&amp;CU$71&amp;$DE11)*100,0)</f>
        <v>0.52000000000000035</v>
      </c>
      <c r="CV11" s="150" cm="1">
        <f t="array" aca="1" ref="CV11" ca="1">IFERROR(INDIRECT("Yr"&amp;IF($C$5=Year1,1,IF($C$5=Year2,2,IF($C$5=Year3,3,IF($C$5=Lookups!$D$40,"All"))))&amp;"!"&amp;CV$71&amp;$DE11)*100,0)</f>
        <v>0.52000000000000035</v>
      </c>
      <c r="CW11" s="150" cm="1">
        <f t="array" aca="1" ref="CW11" ca="1">IFERROR(INDIRECT("Yr"&amp;IF($C$5=Year1,1,IF($C$5=Year2,2,IF($C$5=Year3,3,IF($C$5=Lookups!$D$40,"All"))))&amp;"!"&amp;CW$71&amp;$DE11)*100,0)</f>
        <v>0.52000000000000035</v>
      </c>
      <c r="CX11" s="150" cm="1">
        <f t="array" aca="1" ref="CX11" ca="1">IFERROR(INDIRECT("Yr"&amp;IF($C$5=Year1,1,IF($C$5=Year2,2,IF($C$5=Year3,3,IF($C$5=Lookups!$D$40,"All"))))&amp;"!"&amp;CX$71&amp;$DE11)*100,0)</f>
        <v>0.52000000000000035</v>
      </c>
      <c r="CY11" s="150" cm="1">
        <f t="array" aca="1" ref="CY11" ca="1">IFERROR(INDIRECT("Yr"&amp;IF($C$5=Year1,1,IF($C$5=Year2,2,IF($C$5=Year3,3,IF($C$5=Lookups!$D$40,"All"))))&amp;"!"&amp;CY$71&amp;$DE11)*100,0)</f>
        <v>0.52000000000000035</v>
      </c>
      <c r="CZ11" s="150" cm="1">
        <f t="array" aca="1" ref="CZ11" ca="1">IFERROR(INDIRECT("Yr"&amp;IF($C$5=Year1,1,IF($C$5=Year2,2,IF($C$5=Year3,3,IF($C$5=Lookups!$D$40,"All"))))&amp;"!"&amp;CZ$71&amp;$DE11)*100,0)</f>
        <v>0.52000000000000035</v>
      </c>
      <c r="DA11" s="150"/>
      <c r="DB11" s="150"/>
      <c r="DE11" s="516">
        <f t="shared" ref="DE11" si="1">DE10+DF11</f>
        <v>197</v>
      </c>
      <c r="DF11" s="526">
        <v>1</v>
      </c>
      <c r="DI11" s="22"/>
      <c r="DJ11" s="22"/>
      <c r="DK11" s="421"/>
      <c r="DL11" s="96"/>
      <c r="DM11" s="96"/>
      <c r="DN11" s="410"/>
      <c r="DO11" s="22"/>
    </row>
    <row r="12" spans="1:119" x14ac:dyDescent="0.25">
      <c r="BV12" s="343"/>
      <c r="BW12" s="344"/>
      <c r="BX12" s="121" t="s">
        <v>197</v>
      </c>
      <c r="BY12" s="121" t="s">
        <v>182</v>
      </c>
      <c r="BZ12" s="150" cm="1">
        <f t="array" aca="1" ref="BZ12" ca="1">IFERROR(INDIRECT("Yr"&amp;IF($C$5=Year1,1,IF($C$5=Year2,2,IF($C$5=Year3,3,IF($C$5=Lookups!$D$40,"All"))))&amp;"!"&amp;BZ$71&amp;$DE12)*100,0)</f>
        <v>61.9</v>
      </c>
      <c r="CA12" s="150" cm="1">
        <f t="array" aca="1" ref="CA12" ca="1">IFERROR(INDIRECT("Yr"&amp;IF($C$5=Year1,1,IF($C$5=Year2,2,IF($C$5=Year3,3,IF($C$5=Lookups!$D$40,"All"))))&amp;"!"&amp;CA$71&amp;$DE12)*100,0)</f>
        <v>61.9</v>
      </c>
      <c r="CB12" s="150" cm="1">
        <f t="array" aca="1" ref="CB12" ca="1">IFERROR(INDIRECT("Yr"&amp;IF($C$5=Year1,1,IF($C$5=Year2,2,IF($C$5=Year3,3,IF($C$5=Lookups!$D$40,"All"))))&amp;"!"&amp;CB$71&amp;$DE12)*100,0)</f>
        <v>61.9</v>
      </c>
      <c r="CC12" s="150" cm="1">
        <f t="array" aca="1" ref="CC12" ca="1">IFERROR(INDIRECT("Yr"&amp;IF($C$5=Year1,1,IF($C$5=Year2,2,IF($C$5=Year3,3,IF($C$5=Lookups!$D$40,"All"))))&amp;"!"&amp;CC$71&amp;$DE12)*100,0)</f>
        <v>61.9</v>
      </c>
      <c r="CD12" s="150" cm="1">
        <f t="array" aca="1" ref="CD12" ca="1">IFERROR(INDIRECT("Yr"&amp;IF($C$5=Year1,1,IF($C$5=Year2,2,IF($C$5=Year3,3,IF($C$5=Lookups!$D$40,"All"))))&amp;"!"&amp;CD$71&amp;$DE12)*100,0)</f>
        <v>61.9</v>
      </c>
      <c r="CE12" s="150" cm="1">
        <f t="array" aca="1" ref="CE12" ca="1">IFERROR(INDIRECT("Yr"&amp;IF($C$5=Year1,1,IF($C$5=Year2,2,IF($C$5=Year3,3,IF($C$5=Lookups!$D$40,"All"))))&amp;"!"&amp;CE$71&amp;$DE12)*100,0)</f>
        <v>61.9</v>
      </c>
      <c r="CF12" s="150" cm="1">
        <f t="array" aca="1" ref="CF12" ca="1">IFERROR(INDIRECT("Yr"&amp;IF($C$5=Year1,1,IF($C$5=Year2,2,IF($C$5=Year3,3,IF($C$5=Lookups!$D$40,"All"))))&amp;"!"&amp;CF$71&amp;$DE12)*100,0)</f>
        <v>61.9</v>
      </c>
      <c r="CG12" s="150" cm="1">
        <f t="array" aca="1" ref="CG12" ca="1">IFERROR(INDIRECT("Yr"&amp;IF($C$5=Year1,1,IF($C$5=Year2,2,IF($C$5=Year3,3,IF($C$5=Lookups!$D$40,"All"))))&amp;"!"&amp;CG$71&amp;$DE12)*100,0)</f>
        <v>61.9</v>
      </c>
      <c r="CH12" s="150" cm="1">
        <f t="array" aca="1" ref="CH12" ca="1">IFERROR(INDIRECT("Yr"&amp;IF($C$5=Year1,1,IF($C$5=Year2,2,IF($C$5=Year3,3,IF($C$5=Lookups!$D$40,"All"))))&amp;"!"&amp;CH$71&amp;$DE12)*100,0)</f>
        <v>61.9</v>
      </c>
      <c r="CI12" s="150" cm="1">
        <f t="array" aca="1" ref="CI12" ca="1">IFERROR(INDIRECT("Yr"&amp;IF($C$5=Year1,1,IF($C$5=Year2,2,IF($C$5=Year3,3,IF($C$5=Lookups!$D$40,"All"))))&amp;"!"&amp;CI$71&amp;$DE12)*100,0)</f>
        <v>61.9</v>
      </c>
      <c r="CJ12" s="150" cm="1">
        <f t="array" aca="1" ref="CJ12" ca="1">IFERROR(INDIRECT("Yr"&amp;IF($C$5=Year1,1,IF($C$5=Year2,2,IF($C$5=Year3,3,IF($C$5=Lookups!$D$40,"All"))))&amp;"!"&amp;CJ$71&amp;$DE12)*100,0)</f>
        <v>61.9</v>
      </c>
      <c r="CK12" s="150" cm="1">
        <f t="array" aca="1" ref="CK12" ca="1">IFERROR(INDIRECT("Yr"&amp;IF($C$5=Year1,1,IF($C$5=Year2,2,IF($C$5=Year3,3,IF($C$5=Lookups!$D$40,"All"))))&amp;"!"&amp;CK$71&amp;$DE12)*100,0)</f>
        <v>61.9</v>
      </c>
      <c r="CL12" s="150" cm="1">
        <f t="array" aca="1" ref="CL12" ca="1">IFERROR(INDIRECT("Yr"&amp;IF($C$5=Year1,1,IF($C$5=Year2,2,IF($C$5=Year3,3,IF($C$5=Lookups!$D$40,"All"))))&amp;"!"&amp;CL$71&amp;$DE12)*100,0)</f>
        <v>61.9</v>
      </c>
      <c r="CM12" s="150" cm="1">
        <f t="array" aca="1" ref="CM12" ca="1">IFERROR(INDIRECT("Yr"&amp;IF($C$5=Year1,1,IF($C$5=Year2,2,IF($C$5=Year3,3,IF($C$5=Lookups!$D$40,"All"))))&amp;"!"&amp;CM$71&amp;$DE12)*100,0)</f>
        <v>61.9</v>
      </c>
      <c r="CN12" s="150" cm="1">
        <f t="array" aca="1" ref="CN12" ca="1">IFERROR(INDIRECT("Yr"&amp;IF($C$5=Year1,1,IF($C$5=Year2,2,IF($C$5=Year3,3,IF($C$5=Lookups!$D$40,"All"))))&amp;"!"&amp;CN$71&amp;$DE12)*100,0)</f>
        <v>61.9</v>
      </c>
      <c r="CO12" s="150" cm="1">
        <f t="array" aca="1" ref="CO12" ca="1">IFERROR(INDIRECT("Yr"&amp;IF($C$5=Year1,1,IF($C$5=Year2,2,IF($C$5=Year3,3,IF($C$5=Lookups!$D$40,"All"))))&amp;"!"&amp;CO$71&amp;$DE12)*100,0)</f>
        <v>61.9</v>
      </c>
      <c r="CP12" s="150" cm="1">
        <f t="array" aca="1" ref="CP12" ca="1">IFERROR(INDIRECT("Yr"&amp;IF($C$5=Year1,1,IF($C$5=Year2,2,IF($C$5=Year3,3,IF($C$5=Lookups!$D$40,"All"))))&amp;"!"&amp;CP$71&amp;$DE12)*100,0)</f>
        <v>61.9</v>
      </c>
      <c r="CQ12" s="150" cm="1">
        <f t="array" aca="1" ref="CQ12" ca="1">IFERROR(INDIRECT("Yr"&amp;IF($C$5=Year1,1,IF($C$5=Year2,2,IF($C$5=Year3,3,IF($C$5=Lookups!$D$40,"All"))))&amp;"!"&amp;CQ$71&amp;$DE12)*100,0)</f>
        <v>61.9</v>
      </c>
      <c r="CR12" s="150" cm="1">
        <f t="array" aca="1" ref="CR12" ca="1">IFERROR(INDIRECT("Yr"&amp;IF($C$5=Year1,1,IF($C$5=Year2,2,IF($C$5=Year3,3,IF($C$5=Lookups!$D$40,"All"))))&amp;"!"&amp;CR$71&amp;$DE12)*100,0)</f>
        <v>61.9</v>
      </c>
      <c r="CS12" s="150" cm="1">
        <f t="array" aca="1" ref="CS12" ca="1">IFERROR(INDIRECT("Yr"&amp;IF($C$5=Year1,1,IF($C$5=Year2,2,IF($C$5=Year3,3,IF($C$5=Lookups!$D$40,"All"))))&amp;"!"&amp;CS$71&amp;$DE12)*100,0)</f>
        <v>61.9</v>
      </c>
      <c r="CT12" s="150" cm="1">
        <f t="array" aca="1" ref="CT12" ca="1">IFERROR(INDIRECT("Yr"&amp;IF($C$5=Year1,1,IF($C$5=Year2,2,IF($C$5=Year3,3,IF($C$5=Lookups!$D$40,"All"))))&amp;"!"&amp;CT$71&amp;$DE12)*100,0)</f>
        <v>61.9</v>
      </c>
      <c r="CU12" s="150" cm="1">
        <f t="array" aca="1" ref="CU12" ca="1">IFERROR(INDIRECT("Yr"&amp;IF($C$5=Year1,1,IF($C$5=Year2,2,IF($C$5=Year3,3,IF($C$5=Lookups!$D$40,"All"))))&amp;"!"&amp;CU$71&amp;$DE12)*100,0)</f>
        <v>61.9</v>
      </c>
      <c r="CV12" s="150" cm="1">
        <f t="array" aca="1" ref="CV12" ca="1">IFERROR(INDIRECT("Yr"&amp;IF($C$5=Year1,1,IF($C$5=Year2,2,IF($C$5=Year3,3,IF($C$5=Lookups!$D$40,"All"))))&amp;"!"&amp;CV$71&amp;$DE12)*100,0)</f>
        <v>61.9</v>
      </c>
      <c r="CW12" s="150" cm="1">
        <f t="array" aca="1" ref="CW12" ca="1">IFERROR(INDIRECT("Yr"&amp;IF($C$5=Year1,1,IF($C$5=Year2,2,IF($C$5=Year3,3,IF($C$5=Lookups!$D$40,"All"))))&amp;"!"&amp;CW$71&amp;$DE12)*100,0)</f>
        <v>61.9</v>
      </c>
      <c r="CX12" s="150" cm="1">
        <f t="array" aca="1" ref="CX12" ca="1">IFERROR(INDIRECT("Yr"&amp;IF($C$5=Year1,1,IF($C$5=Year2,2,IF($C$5=Year3,3,IF($C$5=Lookups!$D$40,"All"))))&amp;"!"&amp;CX$71&amp;$DE12)*100,0)</f>
        <v>61.9</v>
      </c>
      <c r="CY12" s="150" cm="1">
        <f t="array" aca="1" ref="CY12" ca="1">IFERROR(INDIRECT("Yr"&amp;IF($C$5=Year1,1,IF($C$5=Year2,2,IF($C$5=Year3,3,IF($C$5=Lookups!$D$40,"All"))))&amp;"!"&amp;CY$71&amp;$DE12)*100,0)</f>
        <v>61.9</v>
      </c>
      <c r="CZ12" s="150" cm="1">
        <f t="array" aca="1" ref="CZ12" ca="1">IFERROR(INDIRECT("Yr"&amp;IF($C$5=Year1,1,IF($C$5=Year2,2,IF($C$5=Year3,3,IF($C$5=Lookups!$D$40,"All"))))&amp;"!"&amp;CZ$71&amp;$DE12)*100,0)</f>
        <v>61.9</v>
      </c>
      <c r="DA12" s="150"/>
      <c r="DB12" s="150"/>
      <c r="DE12" s="516">
        <f>DE11+DF12</f>
        <v>198</v>
      </c>
      <c r="DF12" s="526">
        <v>1</v>
      </c>
      <c r="DI12" s="22"/>
      <c r="DJ12" s="22"/>
      <c r="DK12" s="421"/>
      <c r="DL12" s="96"/>
      <c r="DM12" s="96"/>
      <c r="DN12" s="410"/>
      <c r="DO12" s="22"/>
    </row>
    <row r="13" spans="1:119" x14ac:dyDescent="0.25">
      <c r="BV13" s="343"/>
      <c r="BW13" s="344"/>
      <c r="BX13" s="121" t="s">
        <v>405</v>
      </c>
      <c r="BY13" s="121" t="s">
        <v>182</v>
      </c>
      <c r="BZ13" s="150" cm="1">
        <f t="array" aca="1" ref="BZ13" ca="1">IFERROR(INDIRECT("Yr"&amp;IF($C$5=Year1,1,IF($C$5=Year2,2,IF($C$5=Year3,3,IF($C$5=Lookups!$D$40,"All"))))&amp;"!"&amp;BZ$71&amp;$DE13)*100,0)</f>
        <v>0</v>
      </c>
      <c r="CA13" s="150" cm="1">
        <f t="array" aca="1" ref="CA13" ca="1">IFERROR(INDIRECT("Yr"&amp;IF($C$5=Year1,1,IF($C$5=Year2,2,IF($C$5=Year3,3,IF($C$5=Lookups!$D$40,"All"))))&amp;"!"&amp;CA$71&amp;$DE13)*100,0)</f>
        <v>0</v>
      </c>
      <c r="CB13" s="150" cm="1">
        <f t="array" aca="1" ref="CB13" ca="1">IFERROR(INDIRECT("Yr"&amp;IF($C$5=Year1,1,IF($C$5=Year2,2,IF($C$5=Year3,3,IF($C$5=Lookups!$D$40,"All"))))&amp;"!"&amp;CB$71&amp;$DE13)*100,0)</f>
        <v>0</v>
      </c>
      <c r="CC13" s="150" cm="1">
        <f t="array" aca="1" ref="CC13" ca="1">IFERROR(INDIRECT("Yr"&amp;IF($C$5=Year1,1,IF($C$5=Year2,2,IF($C$5=Year3,3,IF($C$5=Lookups!$D$40,"All"))))&amp;"!"&amp;CC$71&amp;$DE13)*100,0)</f>
        <v>0</v>
      </c>
      <c r="CD13" s="150" cm="1">
        <f t="array" aca="1" ref="CD13" ca="1">IFERROR(INDIRECT("Yr"&amp;IF($C$5=Year1,1,IF($C$5=Year2,2,IF($C$5=Year3,3,IF($C$5=Lookups!$D$40,"All"))))&amp;"!"&amp;CD$71&amp;$DE13)*100,0)</f>
        <v>0</v>
      </c>
      <c r="CE13" s="150" cm="1">
        <f t="array" aca="1" ref="CE13" ca="1">IFERROR(INDIRECT("Yr"&amp;IF($C$5=Year1,1,IF($C$5=Year2,2,IF($C$5=Year3,3,IF($C$5=Lookups!$D$40,"All"))))&amp;"!"&amp;CE$71&amp;$DE13)*100,0)</f>
        <v>0</v>
      </c>
      <c r="CF13" s="150" cm="1">
        <f t="array" aca="1" ref="CF13" ca="1">IFERROR(INDIRECT("Yr"&amp;IF($C$5=Year1,1,IF($C$5=Year2,2,IF($C$5=Year3,3,IF($C$5=Lookups!$D$40,"All"))))&amp;"!"&amp;CF$71&amp;$DE13)*100,0)</f>
        <v>0</v>
      </c>
      <c r="CG13" s="150" cm="1">
        <f t="array" aca="1" ref="CG13" ca="1">IFERROR(INDIRECT("Yr"&amp;IF($C$5=Year1,1,IF($C$5=Year2,2,IF($C$5=Year3,3,IF($C$5=Lookups!$D$40,"All"))))&amp;"!"&amp;CG$71&amp;$DE13)*100,0)</f>
        <v>0</v>
      </c>
      <c r="CH13" s="150" cm="1">
        <f t="array" aca="1" ref="CH13" ca="1">IFERROR(INDIRECT("Yr"&amp;IF($C$5=Year1,1,IF($C$5=Year2,2,IF($C$5=Year3,3,IF($C$5=Lookups!$D$40,"All"))))&amp;"!"&amp;CH$71&amp;$DE13)*100,0)</f>
        <v>0</v>
      </c>
      <c r="CI13" s="150" cm="1">
        <f t="array" aca="1" ref="CI13" ca="1">IFERROR(INDIRECT("Yr"&amp;IF($C$5=Year1,1,IF($C$5=Year2,2,IF($C$5=Year3,3,IF($C$5=Lookups!$D$40,"All"))))&amp;"!"&amp;CI$71&amp;$DE13)*100,0)</f>
        <v>0</v>
      </c>
      <c r="CJ13" s="150" cm="1">
        <f t="array" aca="1" ref="CJ13" ca="1">IFERROR(INDIRECT("Yr"&amp;IF($C$5=Year1,1,IF($C$5=Year2,2,IF($C$5=Year3,3,IF($C$5=Lookups!$D$40,"All"))))&amp;"!"&amp;CJ$71&amp;$DE13)*100,0)</f>
        <v>0</v>
      </c>
      <c r="CK13" s="150" cm="1">
        <f t="array" aca="1" ref="CK13" ca="1">IFERROR(INDIRECT("Yr"&amp;IF($C$5=Year1,1,IF($C$5=Year2,2,IF($C$5=Year3,3,IF($C$5=Lookups!$D$40,"All"))))&amp;"!"&amp;CK$71&amp;$DE13)*100,0)</f>
        <v>0</v>
      </c>
      <c r="CL13" s="150" cm="1">
        <f t="array" aca="1" ref="CL13" ca="1">IFERROR(INDIRECT("Yr"&amp;IF($C$5=Year1,1,IF($C$5=Year2,2,IF($C$5=Year3,3,IF($C$5=Lookups!$D$40,"All"))))&amp;"!"&amp;CL$71&amp;$DE13)*100,0)</f>
        <v>0</v>
      </c>
      <c r="CM13" s="150" cm="1">
        <f t="array" aca="1" ref="CM13" ca="1">IFERROR(INDIRECT("Yr"&amp;IF($C$5=Year1,1,IF($C$5=Year2,2,IF($C$5=Year3,3,IF($C$5=Lookups!$D$40,"All"))))&amp;"!"&amp;CM$71&amp;$DE13)*100,0)</f>
        <v>0</v>
      </c>
      <c r="CN13" s="150" cm="1">
        <f t="array" aca="1" ref="CN13" ca="1">IFERROR(INDIRECT("Yr"&amp;IF($C$5=Year1,1,IF($C$5=Year2,2,IF($C$5=Year3,3,IF($C$5=Lookups!$D$40,"All"))))&amp;"!"&amp;CN$71&amp;$DE13)*100,0)</f>
        <v>0</v>
      </c>
      <c r="CO13" s="150" cm="1">
        <f t="array" aca="1" ref="CO13" ca="1">IFERROR(INDIRECT("Yr"&amp;IF($C$5=Year1,1,IF($C$5=Year2,2,IF($C$5=Year3,3,IF($C$5=Lookups!$D$40,"All"))))&amp;"!"&amp;CO$71&amp;$DE13)*100,0)</f>
        <v>0</v>
      </c>
      <c r="CP13" s="150" cm="1">
        <f t="array" aca="1" ref="CP13" ca="1">IFERROR(INDIRECT("Yr"&amp;IF($C$5=Year1,1,IF($C$5=Year2,2,IF($C$5=Year3,3,IF($C$5=Lookups!$D$40,"All"))))&amp;"!"&amp;CP$71&amp;$DE13)*100,0)</f>
        <v>0</v>
      </c>
      <c r="CQ13" s="150" cm="1">
        <f t="array" aca="1" ref="CQ13" ca="1">IFERROR(INDIRECT("Yr"&amp;IF($C$5=Year1,1,IF($C$5=Year2,2,IF($C$5=Year3,3,IF($C$5=Lookups!$D$40,"All"))))&amp;"!"&amp;CQ$71&amp;$DE13)*100,0)</f>
        <v>0</v>
      </c>
      <c r="CR13" s="150" cm="1">
        <f t="array" aca="1" ref="CR13" ca="1">IFERROR(INDIRECT("Yr"&amp;IF($C$5=Year1,1,IF($C$5=Year2,2,IF($C$5=Year3,3,IF($C$5=Lookups!$D$40,"All"))))&amp;"!"&amp;CR$71&amp;$DE13)*100,0)</f>
        <v>0</v>
      </c>
      <c r="CS13" s="150" cm="1">
        <f t="array" aca="1" ref="CS13" ca="1">IFERROR(INDIRECT("Yr"&amp;IF($C$5=Year1,1,IF($C$5=Year2,2,IF($C$5=Year3,3,IF($C$5=Lookups!$D$40,"All"))))&amp;"!"&amp;CS$71&amp;$DE13)*100,0)</f>
        <v>0</v>
      </c>
      <c r="CT13" s="150" cm="1">
        <f t="array" aca="1" ref="CT13" ca="1">IFERROR(INDIRECT("Yr"&amp;IF($C$5=Year1,1,IF($C$5=Year2,2,IF($C$5=Year3,3,IF($C$5=Lookups!$D$40,"All"))))&amp;"!"&amp;CT$71&amp;$DE13)*100,0)</f>
        <v>0</v>
      </c>
      <c r="CU13" s="150" cm="1">
        <f t="array" aca="1" ref="CU13" ca="1">IFERROR(INDIRECT("Yr"&amp;IF($C$5=Year1,1,IF($C$5=Year2,2,IF($C$5=Year3,3,IF($C$5=Lookups!$D$40,"All"))))&amp;"!"&amp;CU$71&amp;$DE13)*100,0)</f>
        <v>0</v>
      </c>
      <c r="CV13" s="150" cm="1">
        <f t="array" aca="1" ref="CV13" ca="1">IFERROR(INDIRECT("Yr"&amp;IF($C$5=Year1,1,IF($C$5=Year2,2,IF($C$5=Year3,3,IF($C$5=Lookups!$D$40,"All"))))&amp;"!"&amp;CV$71&amp;$DE13)*100,0)</f>
        <v>0</v>
      </c>
      <c r="CW13" s="150" cm="1">
        <f t="array" aca="1" ref="CW13" ca="1">IFERROR(INDIRECT("Yr"&amp;IF($C$5=Year1,1,IF($C$5=Year2,2,IF($C$5=Year3,3,IF($C$5=Lookups!$D$40,"All"))))&amp;"!"&amp;CW$71&amp;$DE13)*100,0)</f>
        <v>0</v>
      </c>
      <c r="CX13" s="150" cm="1">
        <f t="array" aca="1" ref="CX13" ca="1">IFERROR(INDIRECT("Yr"&amp;IF($C$5=Year1,1,IF($C$5=Year2,2,IF($C$5=Year3,3,IF($C$5=Lookups!$D$40,"All"))))&amp;"!"&amp;CX$71&amp;$DE13)*100,0)</f>
        <v>0</v>
      </c>
      <c r="CY13" s="150" cm="1">
        <f t="array" aca="1" ref="CY13" ca="1">IFERROR(INDIRECT("Yr"&amp;IF($C$5=Year1,1,IF($C$5=Year2,2,IF($C$5=Year3,3,IF($C$5=Lookups!$D$40,"All"))))&amp;"!"&amp;CY$71&amp;$DE13)*100,0)</f>
        <v>0</v>
      </c>
      <c r="CZ13" s="150" cm="1">
        <f t="array" aca="1" ref="CZ13" ca="1">IFERROR(INDIRECT("Yr"&amp;IF($C$5=Year1,1,IF($C$5=Year2,2,IF($C$5=Year3,3,IF($C$5=Lookups!$D$40,"All"))))&amp;"!"&amp;CZ$71&amp;$DE13)*100,0)</f>
        <v>0</v>
      </c>
      <c r="DA13" s="122"/>
      <c r="DB13" s="150"/>
      <c r="DE13" s="527"/>
      <c r="DI13" s="22"/>
      <c r="DJ13" s="22"/>
      <c r="DK13" s="421"/>
      <c r="DL13" s="96"/>
      <c r="DM13" s="96"/>
      <c r="DN13" s="410"/>
      <c r="DO13" s="22"/>
    </row>
    <row r="14" spans="1:119" x14ac:dyDescent="0.25">
      <c r="BV14" s="343"/>
      <c r="BW14" s="344"/>
      <c r="BX14" s="121"/>
      <c r="BY14" s="121"/>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E14" s="527"/>
      <c r="DL14" s="96"/>
      <c r="DM14" s="96"/>
      <c r="DO14" s="22"/>
    </row>
    <row r="15" spans="1:119" ht="18.75" x14ac:dyDescent="0.3">
      <c r="BV15" s="91" t="str">
        <f>Lookups!$D$23&amp;" v "&amp;Lookups!$D$22</f>
        <v>Proposed EE v No EE</v>
      </c>
      <c r="BW15" s="91"/>
      <c r="BX15" s="124"/>
      <c r="BY15" s="124"/>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E15" s="528"/>
    </row>
    <row r="16" spans="1:119" x14ac:dyDescent="0.25">
      <c r="BV16" s="343"/>
      <c r="BW16" s="159" t="s">
        <v>30</v>
      </c>
      <c r="BX16" s="126"/>
      <c r="BY16" s="126"/>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E16" s="527"/>
    </row>
    <row r="17" spans="3:116" x14ac:dyDescent="0.25">
      <c r="BV17" s="343"/>
      <c r="BW17" s="345"/>
      <c r="BX17" s="126" t="s">
        <v>95</v>
      </c>
      <c r="BY17" s="126" t="s">
        <v>409</v>
      </c>
      <c r="BZ17" s="151" cm="1">
        <f t="array" aca="1" ref="BZ17" ca="1">IFERROR(INDIRECT("Yr"&amp;IF($C$5=Year1,1,IF($C$5=Year2,2,IF($C$5=Year3,3,IF($C$5=Lookups!$D$40,"All"))))&amp;"!"&amp;BZ$71&amp;$DE17)*100,0)</f>
        <v>28.453457229491285</v>
      </c>
      <c r="CA17" s="151" cm="1">
        <f t="array" aca="1" ref="CA17" ca="1">IFERROR(INDIRECT("Yr"&amp;IF($C$5=Year1,1,IF($C$5=Year2,2,IF($C$5=Year3,3,IF($C$5=Lookups!$D$40,"All"))))&amp;"!"&amp;CA$71&amp;$DE17)*100,0)</f>
        <v>28.453457229491285</v>
      </c>
      <c r="CB17" s="151" cm="1">
        <f t="array" aca="1" ref="CB17" ca="1">IFERROR(INDIRECT("Yr"&amp;IF($C$5=Year1,1,IF($C$5=Year2,2,IF($C$5=Year3,3,IF($C$5=Lookups!$D$40,"All"))))&amp;"!"&amp;CB$71&amp;$DE17)*100,0)</f>
        <v>28.453457229491285</v>
      </c>
      <c r="CC17" s="151" cm="1">
        <f t="array" aca="1" ref="CC17" ca="1">IFERROR(INDIRECT("Yr"&amp;IF($C$5=Year1,1,IF($C$5=Year2,2,IF($C$5=Year3,3,IF($C$5=Lookups!$D$40,"All"))))&amp;"!"&amp;CC$71&amp;$DE17)*100,0)</f>
        <v>28.453457229491285</v>
      </c>
      <c r="CD17" s="151" cm="1">
        <f t="array" aca="1" ref="CD17" ca="1">IFERROR(INDIRECT("Yr"&amp;IF($C$5=Year1,1,IF($C$5=Year2,2,IF($C$5=Year3,3,IF($C$5=Lookups!$D$40,"All"))))&amp;"!"&amp;CD$71&amp;$DE17)*100,0)</f>
        <v>28.453457229491285</v>
      </c>
      <c r="CE17" s="151" cm="1">
        <f t="array" aca="1" ref="CE17" ca="1">IFERROR(INDIRECT("Yr"&amp;IF($C$5=Year1,1,IF($C$5=Year2,2,IF($C$5=Year3,3,IF($C$5=Lookups!$D$40,"All"))))&amp;"!"&amp;CE$71&amp;$DE17)*100,0)</f>
        <v>28.453457229491285</v>
      </c>
      <c r="CF17" s="151" cm="1">
        <f t="array" aca="1" ref="CF17" ca="1">IFERROR(INDIRECT("Yr"&amp;IF($C$5=Year1,1,IF($C$5=Year2,2,IF($C$5=Year3,3,IF($C$5=Lookups!$D$40,"All"))))&amp;"!"&amp;CF$71&amp;$DE17)*100,0)</f>
        <v>28.453457229491285</v>
      </c>
      <c r="CG17" s="151" cm="1">
        <f t="array" aca="1" ref="CG17" ca="1">IFERROR(INDIRECT("Yr"&amp;IF($C$5=Year1,1,IF($C$5=Year2,2,IF($C$5=Year3,3,IF($C$5=Lookups!$D$40,"All"))))&amp;"!"&amp;CG$71&amp;$DE17)*100,0)</f>
        <v>28.453457229491285</v>
      </c>
      <c r="CH17" s="151" cm="1">
        <f t="array" aca="1" ref="CH17" ca="1">IFERROR(INDIRECT("Yr"&amp;IF($C$5=Year1,1,IF($C$5=Year2,2,IF($C$5=Year3,3,IF($C$5=Lookups!$D$40,"All"))))&amp;"!"&amp;CH$71&amp;$DE17)*100,0)</f>
        <v>28.453457229491285</v>
      </c>
      <c r="CI17" s="151" cm="1">
        <f t="array" aca="1" ref="CI17" ca="1">IFERROR(INDIRECT("Yr"&amp;IF($C$5=Year1,1,IF($C$5=Year2,2,IF($C$5=Year3,3,IF($C$5=Lookups!$D$40,"All"))))&amp;"!"&amp;CI$71&amp;$DE17)*100,0)</f>
        <v>28.453457229491285</v>
      </c>
      <c r="CJ17" s="151" cm="1">
        <f t="array" aca="1" ref="CJ17" ca="1">IFERROR(INDIRECT("Yr"&amp;IF($C$5=Year1,1,IF($C$5=Year2,2,IF($C$5=Year3,3,IF($C$5=Lookups!$D$40,"All"))))&amp;"!"&amp;CJ$71&amp;$DE17)*100,0)</f>
        <v>28.453457229491285</v>
      </c>
      <c r="CK17" s="151" cm="1">
        <f t="array" aca="1" ref="CK17" ca="1">IFERROR(INDIRECT("Yr"&amp;IF($C$5=Year1,1,IF($C$5=Year2,2,IF($C$5=Year3,3,IF($C$5=Lookups!$D$40,"All"))))&amp;"!"&amp;CK$71&amp;$DE17)*100,0)</f>
        <v>28.453457229491285</v>
      </c>
      <c r="CL17" s="151" cm="1">
        <f t="array" aca="1" ref="CL17" ca="1">IFERROR(INDIRECT("Yr"&amp;IF($C$5=Year1,1,IF($C$5=Year2,2,IF($C$5=Year3,3,IF($C$5=Lookups!$D$40,"All"))))&amp;"!"&amp;CL$71&amp;$DE17)*100,0)</f>
        <v>28.453457229491285</v>
      </c>
      <c r="CM17" s="151" cm="1">
        <f t="array" aca="1" ref="CM17" ca="1">IFERROR(INDIRECT("Yr"&amp;IF($C$5=Year1,1,IF($C$5=Year2,2,IF($C$5=Year3,3,IF($C$5=Lookups!$D$40,"All"))))&amp;"!"&amp;CM$71&amp;$DE17)*100,0)</f>
        <v>28.453457229491285</v>
      </c>
      <c r="CN17" s="151" cm="1">
        <f t="array" aca="1" ref="CN17" ca="1">IFERROR(INDIRECT("Yr"&amp;IF($C$5=Year1,1,IF($C$5=Year2,2,IF($C$5=Year3,3,IF($C$5=Lookups!$D$40,"All"))))&amp;"!"&amp;CN$71&amp;$DE17)*100,0)</f>
        <v>28.453457229491285</v>
      </c>
      <c r="CO17" s="151" cm="1">
        <f t="array" aca="1" ref="CO17" ca="1">IFERROR(INDIRECT("Yr"&amp;IF($C$5=Year1,1,IF($C$5=Year2,2,IF($C$5=Year3,3,IF($C$5=Lookups!$D$40,"All"))))&amp;"!"&amp;CO$71&amp;$DE17)*100,0)</f>
        <v>28.453457229491285</v>
      </c>
      <c r="CP17" s="151" cm="1">
        <f t="array" aca="1" ref="CP17" ca="1">IFERROR(INDIRECT("Yr"&amp;IF($C$5=Year1,1,IF($C$5=Year2,2,IF($C$5=Year3,3,IF($C$5=Lookups!$D$40,"All"))))&amp;"!"&amp;CP$71&amp;$DE17)*100,0)</f>
        <v>28.453457229491285</v>
      </c>
      <c r="CQ17" s="151" cm="1">
        <f t="array" aca="1" ref="CQ17" ca="1">IFERROR(INDIRECT("Yr"&amp;IF($C$5=Year1,1,IF($C$5=Year2,2,IF($C$5=Year3,3,IF($C$5=Lookups!$D$40,"All"))))&amp;"!"&amp;CQ$71&amp;$DE17)*100,0)</f>
        <v>28.453457229491285</v>
      </c>
      <c r="CR17" s="151" cm="1">
        <f t="array" aca="1" ref="CR17" ca="1">IFERROR(INDIRECT("Yr"&amp;IF($C$5=Year1,1,IF($C$5=Year2,2,IF($C$5=Year3,3,IF($C$5=Lookups!$D$40,"All"))))&amp;"!"&amp;CR$71&amp;$DE17)*100,0)</f>
        <v>28.453457229491285</v>
      </c>
      <c r="CS17" s="151" cm="1">
        <f t="array" aca="1" ref="CS17" ca="1">IFERROR(INDIRECT("Yr"&amp;IF($C$5=Year1,1,IF($C$5=Year2,2,IF($C$5=Year3,3,IF($C$5=Lookups!$D$40,"All"))))&amp;"!"&amp;CS$71&amp;$DE17)*100,0)</f>
        <v>28.453457229491285</v>
      </c>
      <c r="CT17" s="151" cm="1">
        <f t="array" aca="1" ref="CT17" ca="1">IFERROR(INDIRECT("Yr"&amp;IF($C$5=Year1,1,IF($C$5=Year2,2,IF($C$5=Year3,3,IF($C$5=Lookups!$D$40,"All"))))&amp;"!"&amp;CT$71&amp;$DE17)*100,0)</f>
        <v>28.453457229491285</v>
      </c>
      <c r="CU17" s="151" cm="1">
        <f t="array" aca="1" ref="CU17" ca="1">IFERROR(INDIRECT("Yr"&amp;IF($C$5=Year1,1,IF($C$5=Year2,2,IF($C$5=Year3,3,IF($C$5=Lookups!$D$40,"All"))))&amp;"!"&amp;CU$71&amp;$DE17)*100,0)</f>
        <v>28.453457229491285</v>
      </c>
      <c r="CV17" s="151" cm="1">
        <f t="array" aca="1" ref="CV17" ca="1">IFERROR(INDIRECT("Yr"&amp;IF($C$5=Year1,1,IF($C$5=Year2,2,IF($C$5=Year3,3,IF($C$5=Lookups!$D$40,"All"))))&amp;"!"&amp;CV$71&amp;$DE17)*100,0)</f>
        <v>28.453457229491285</v>
      </c>
      <c r="CW17" s="151" cm="1">
        <f t="array" aca="1" ref="CW17" ca="1">IFERROR(INDIRECT("Yr"&amp;IF($C$5=Year1,1,IF($C$5=Year2,2,IF($C$5=Year3,3,IF($C$5=Lookups!$D$40,"All"))))&amp;"!"&amp;CW$71&amp;$DE17)*100,0)</f>
        <v>28.453457229491285</v>
      </c>
      <c r="CX17" s="151" cm="1">
        <f t="array" aca="1" ref="CX17" ca="1">IFERROR(INDIRECT("Yr"&amp;IF($C$5=Year1,1,IF($C$5=Year2,2,IF($C$5=Year3,3,IF($C$5=Lookups!$D$40,"All"))))&amp;"!"&amp;CX$71&amp;$DE17)*100,0)</f>
        <v>28.453457229491285</v>
      </c>
      <c r="CY17" s="151" cm="1">
        <f t="array" aca="1" ref="CY17" ca="1">IFERROR(INDIRECT("Yr"&amp;IF($C$5=Year1,1,IF($C$5=Year2,2,IF($C$5=Year3,3,IF($C$5=Lookups!$D$40,"All"))))&amp;"!"&amp;CY$71&amp;$DE17)*100,0)</f>
        <v>28.453457229491285</v>
      </c>
      <c r="CZ17" s="151" cm="1">
        <f t="array" aca="1" ref="CZ17" ca="1">IFERROR(INDIRECT("Yr"&amp;IF($C$5=Year1,1,IF($C$5=Year2,2,IF($C$5=Year3,3,IF($C$5=Lookups!$D$40,"All"))))&amp;"!"&amp;CZ$71&amp;$DE17)*100,0)</f>
        <v>28.453457229491285</v>
      </c>
      <c r="DA17" s="151"/>
      <c r="DB17" s="151">
        <f ca="1">IF($C$5=Lookups!$D$40,-PMT(Lookups!$E$17,27,NPV(Lookups!$E$17,BZ17:CZ17),0,1),-PMT(Lookups!$E$17,25,NPV(Lookups!$E$17,BZ17:CX17),0,1))</f>
        <v>28.056624508808795</v>
      </c>
      <c r="DE17" s="515">
        <f>ROW('Yr1'!E56)+($DG$9*IF($C$4=Lookups!$D$26,0,IF($C$4=Lookups!$D$27,1,IF($C$4=Lookups!$D$28,2,IF($C$4=Lookups!$D$29,3)))))</f>
        <v>214</v>
      </c>
      <c r="DI17" s="419"/>
    </row>
    <row r="18" spans="3:116" x14ac:dyDescent="0.25">
      <c r="BV18" s="343"/>
      <c r="BW18" s="345"/>
      <c r="BX18" s="126" t="s">
        <v>26</v>
      </c>
      <c r="BY18" s="126" t="s">
        <v>409</v>
      </c>
      <c r="BZ18" s="151" cm="1">
        <f t="array" aca="1" ref="BZ18" ca="1">IFERROR(INDIRECT("Yr"&amp;IF($C$5=Year1,1,IF($C$5=Year2,2,IF($C$5=Year3,3,IF($C$5=Lookups!$D$40,"All"))))&amp;"!"&amp;BZ$71&amp;$DE18)*100,0)</f>
        <v>39.785934430033791</v>
      </c>
      <c r="CA18" s="151" cm="1">
        <f t="array" aca="1" ref="CA18" ca="1">IFERROR(INDIRECT("Yr"&amp;IF($C$5=Year1,1,IF($C$5=Year2,2,IF($C$5=Year3,3,IF($C$5=Lookups!$D$40,"All"))))&amp;"!"&amp;CA$71&amp;$DE18)*100,0)</f>
        <v>40.412367610955833</v>
      </c>
      <c r="CB18" s="151" cm="1">
        <f t="array" aca="1" ref="CB18" ca="1">IFERROR(INDIRECT("Yr"&amp;IF($C$5=Year1,1,IF($C$5=Year2,2,IF($C$5=Year3,3,IF($C$5=Lookups!$D$40,"All"))))&amp;"!"&amp;CB$71&amp;$DE18)*100,0)</f>
        <v>41.091558640334256</v>
      </c>
      <c r="CC18" s="151" cm="1">
        <f t="array" aca="1" ref="CC18" ca="1">IFERROR(INDIRECT("Yr"&amp;IF($C$5=Year1,1,IF($C$5=Year2,2,IF($C$5=Year3,3,IF($C$5=Lookups!$D$40,"All"))))&amp;"!"&amp;CC$71&amp;$DE18)*100,0)</f>
        <v>41.091558640334256</v>
      </c>
      <c r="CD18" s="151" cm="1">
        <f t="array" aca="1" ref="CD18" ca="1">IFERROR(INDIRECT("Yr"&amp;IF($C$5=Year1,1,IF($C$5=Year2,2,IF($C$5=Year3,3,IF($C$5=Lookups!$D$40,"All"))))&amp;"!"&amp;CD$71&amp;$DE18)*100,0)</f>
        <v>41.091558640334256</v>
      </c>
      <c r="CE18" s="151" cm="1">
        <f t="array" aca="1" ref="CE18" ca="1">IFERROR(INDIRECT("Yr"&amp;IF($C$5=Year1,1,IF($C$5=Year2,2,IF($C$5=Year3,3,IF($C$5=Lookups!$D$40,"All"))))&amp;"!"&amp;CE$71&amp;$DE18)*100,0)</f>
        <v>41.091558640334256</v>
      </c>
      <c r="CF18" s="151" cm="1">
        <f t="array" aca="1" ref="CF18" ca="1">IFERROR(INDIRECT("Yr"&amp;IF($C$5=Year1,1,IF($C$5=Year2,2,IF($C$5=Year3,3,IF($C$5=Lookups!$D$40,"All"))))&amp;"!"&amp;CF$71&amp;$DE18)*100,0)</f>
        <v>41.091558640334256</v>
      </c>
      <c r="CG18" s="151" cm="1">
        <f t="array" aca="1" ref="CG18" ca="1">IFERROR(INDIRECT("Yr"&amp;IF($C$5=Year1,1,IF($C$5=Year2,2,IF($C$5=Year3,3,IF($C$5=Lookups!$D$40,"All"))))&amp;"!"&amp;CG$71&amp;$DE18)*100,0)</f>
        <v>41.091558640334256</v>
      </c>
      <c r="CH18" s="151" cm="1">
        <f t="array" aca="1" ref="CH18" ca="1">IFERROR(INDIRECT("Yr"&amp;IF($C$5=Year1,1,IF($C$5=Year2,2,IF($C$5=Year3,3,IF($C$5=Lookups!$D$40,"All"))))&amp;"!"&amp;CH$71&amp;$DE18)*100,0)</f>
        <v>41.091558640334256</v>
      </c>
      <c r="CI18" s="151" cm="1">
        <f t="array" aca="1" ref="CI18" ca="1">IFERROR(INDIRECT("Yr"&amp;IF($C$5=Year1,1,IF($C$5=Year2,2,IF($C$5=Year3,3,IF($C$5=Lookups!$D$40,"All"))))&amp;"!"&amp;CI$71&amp;$DE18)*100,0)</f>
        <v>41.091558640334256</v>
      </c>
      <c r="CJ18" s="151" cm="1">
        <f t="array" aca="1" ref="CJ18" ca="1">IFERROR(INDIRECT("Yr"&amp;IF($C$5=Year1,1,IF($C$5=Year2,2,IF($C$5=Year3,3,IF($C$5=Lookups!$D$40,"All"))))&amp;"!"&amp;CJ$71&amp;$DE18)*100,0)</f>
        <v>41.091558640334256</v>
      </c>
      <c r="CK18" s="151" cm="1">
        <f t="array" aca="1" ref="CK18" ca="1">IFERROR(INDIRECT("Yr"&amp;IF($C$5=Year1,1,IF($C$5=Year2,2,IF($C$5=Year3,3,IF($C$5=Lookups!$D$40,"All"))))&amp;"!"&amp;CK$71&amp;$DE18)*100,0)</f>
        <v>41.091558640334256</v>
      </c>
      <c r="CL18" s="151" cm="1">
        <f t="array" aca="1" ref="CL18" ca="1">IFERROR(INDIRECT("Yr"&amp;IF($C$5=Year1,1,IF($C$5=Year2,2,IF($C$5=Year3,3,IF($C$5=Lookups!$D$40,"All"))))&amp;"!"&amp;CL$71&amp;$DE18)*100,0)</f>
        <v>41.091558640334256</v>
      </c>
      <c r="CM18" s="151" cm="1">
        <f t="array" aca="1" ref="CM18" ca="1">IFERROR(INDIRECT("Yr"&amp;IF($C$5=Year1,1,IF($C$5=Year2,2,IF($C$5=Year3,3,IF($C$5=Lookups!$D$40,"All"))))&amp;"!"&amp;CM$71&amp;$DE18)*100,0)</f>
        <v>41.091558640334256</v>
      </c>
      <c r="CN18" s="151" cm="1">
        <f t="array" aca="1" ref="CN18" ca="1">IFERROR(INDIRECT("Yr"&amp;IF($C$5=Year1,1,IF($C$5=Year2,2,IF($C$5=Year3,3,IF($C$5=Lookups!$D$40,"All"))))&amp;"!"&amp;CN$71&amp;$DE18)*100,0)</f>
        <v>41.091558640334256</v>
      </c>
      <c r="CO18" s="151" cm="1">
        <f t="array" aca="1" ref="CO18" ca="1">IFERROR(INDIRECT("Yr"&amp;IF($C$5=Year1,1,IF($C$5=Year2,2,IF($C$5=Year3,3,IF($C$5=Lookups!$D$40,"All"))))&amp;"!"&amp;CO$71&amp;$DE18)*100,0)</f>
        <v>41.091558640334256</v>
      </c>
      <c r="CP18" s="151" cm="1">
        <f t="array" aca="1" ref="CP18" ca="1">IFERROR(INDIRECT("Yr"&amp;IF($C$5=Year1,1,IF($C$5=Year2,2,IF($C$5=Year3,3,IF($C$5=Lookups!$D$40,"All"))))&amp;"!"&amp;CP$71&amp;$DE18)*100,0)</f>
        <v>40.474478565617581</v>
      </c>
      <c r="CQ18" s="151" cm="1">
        <f t="array" aca="1" ref="CQ18" ca="1">IFERROR(INDIRECT("Yr"&amp;IF($C$5=Year1,1,IF($C$5=Year2,2,IF($C$5=Year3,3,IF($C$5=Lookups!$D$40,"All"))))&amp;"!"&amp;CQ$71&amp;$DE18)*100,0)</f>
        <v>39.845921904106135</v>
      </c>
      <c r="CR18" s="151" cm="1">
        <f t="array" aca="1" ref="CR18" ca="1">IFERROR(INDIRECT("Yr"&amp;IF($C$5=Year1,1,IF($C$5=Year2,2,IF($C$5=Year3,3,IF($C$5=Lookups!$D$40,"All"))))&amp;"!"&amp;CR$71&amp;$DE18)*100,0)</f>
        <v>39.211256243681191</v>
      </c>
      <c r="CS18" s="151" cm="1">
        <f t="array" aca="1" ref="CS18" ca="1">IFERROR(INDIRECT("Yr"&amp;IF($C$5=Year1,1,IF($C$5=Year2,2,IF($C$5=Year3,3,IF($C$5=Lookups!$D$40,"All"))))&amp;"!"&amp;CS$71&amp;$DE18)*100,0)</f>
        <v>39.211256243681191</v>
      </c>
      <c r="CT18" s="151" cm="1">
        <f t="array" aca="1" ref="CT18" ca="1">IFERROR(INDIRECT("Yr"&amp;IF($C$5=Year1,1,IF($C$5=Year2,2,IF($C$5=Year3,3,IF($C$5=Lookups!$D$40,"All"))))&amp;"!"&amp;CT$71&amp;$DE18)*100,0)</f>
        <v>39.211256243681191</v>
      </c>
      <c r="CU18" s="151" cm="1">
        <f t="array" aca="1" ref="CU18" ca="1">IFERROR(INDIRECT("Yr"&amp;IF($C$5=Year1,1,IF($C$5=Year2,2,IF($C$5=Year3,3,IF($C$5=Lookups!$D$40,"All"))))&amp;"!"&amp;CU$71&amp;$DE18)*100,0)</f>
        <v>39.211256243681191</v>
      </c>
      <c r="CV18" s="151" cm="1">
        <f t="array" aca="1" ref="CV18" ca="1">IFERROR(INDIRECT("Yr"&amp;IF($C$5=Year1,1,IF($C$5=Year2,2,IF($C$5=Year3,3,IF($C$5=Lookups!$D$40,"All"))))&amp;"!"&amp;CV$71&amp;$DE18)*100,0)</f>
        <v>39.211256243681191</v>
      </c>
      <c r="CW18" s="151" cm="1">
        <f t="array" aca="1" ref="CW18" ca="1">IFERROR(INDIRECT("Yr"&amp;IF($C$5=Year1,1,IF($C$5=Year2,2,IF($C$5=Year3,3,IF($C$5=Lookups!$D$40,"All"))))&amp;"!"&amp;CW$71&amp;$DE18)*100,0)</f>
        <v>39.211256243681191</v>
      </c>
      <c r="CX18" s="151" cm="1">
        <f t="array" aca="1" ref="CX18" ca="1">IFERROR(INDIRECT("Yr"&amp;IF($C$5=Year1,1,IF($C$5=Year2,2,IF($C$5=Year3,3,IF($C$5=Lookups!$D$40,"All"))))&amp;"!"&amp;CX$71&amp;$DE18)*100,0)</f>
        <v>39.211256243681191</v>
      </c>
      <c r="CY18" s="151" cm="1">
        <f t="array" aca="1" ref="CY18" ca="1">IFERROR(INDIRECT("Yr"&amp;IF($C$5=Year1,1,IF($C$5=Year2,2,IF($C$5=Year3,3,IF($C$5=Lookups!$D$40,"All"))))&amp;"!"&amp;CY$71&amp;$DE18)*100,0)</f>
        <v>39.211256243681191</v>
      </c>
      <c r="CZ18" s="151" cm="1">
        <f t="array" aca="1" ref="CZ18" ca="1">IFERROR(INDIRECT("Yr"&amp;IF($C$5=Year1,1,IF($C$5=Year2,2,IF($C$5=Year3,3,IF($C$5=Lookups!$D$40,"All"))))&amp;"!"&amp;CZ$71&amp;$DE18)*100,0)</f>
        <v>39.211256243681191</v>
      </c>
      <c r="DA18" s="151"/>
      <c r="DB18" s="151">
        <f ca="1">IF($C$5=Lookups!$D$40,-PMT(Lookups!$E$17,27,NPV(Lookups!$E$17,BZ18:CZ18),0,1),-PMT(Lookups!$E$17,25,NPV(Lookups!$E$17,BZ18:CX18),0,1))</f>
        <v>39.826411453062136</v>
      </c>
      <c r="DE18" s="516">
        <f>DE17+DF18</f>
        <v>210</v>
      </c>
      <c r="DF18" s="526">
        <v>-4</v>
      </c>
      <c r="DI18" s="419"/>
    </row>
    <row r="19" spans="3:116" x14ac:dyDescent="0.25">
      <c r="BV19" s="343"/>
      <c r="BW19" s="345"/>
      <c r="BX19" s="126" t="s">
        <v>407</v>
      </c>
      <c r="BY19" s="126" t="s">
        <v>409</v>
      </c>
      <c r="BZ19" s="151" cm="1">
        <f t="array" aca="1" ref="BZ19" ca="1">IFERROR(INDIRECT("Yr"&amp;IF($C$5=Year1,1,IF($C$5=Year2,2,IF($C$5=Year3,3,IF($C$5=Lookups!$D$40,"All"))))&amp;"!"&amp;BZ$71&amp;$DE19)*100,0)</f>
        <v>0.52849997707929242</v>
      </c>
      <c r="CA19" s="151" cm="1">
        <f t="array" aca="1" ref="CA19" ca="1">IFERROR(INDIRECT("Yr"&amp;IF($C$5=Year1,1,IF($C$5=Year2,2,IF($C$5=Year3,3,IF($C$5=Lookups!$D$40,"All"))))&amp;"!"&amp;CA$71&amp;$DE19)*100,0)</f>
        <v>0.53776557390991575</v>
      </c>
      <c r="CB19" s="151" cm="1">
        <f t="array" aca="1" ref="CB19" ca="1">IFERROR(INDIRECT("Yr"&amp;IF($C$5=Year1,1,IF($C$5=Year2,2,IF($C$5=Year3,3,IF($C$5=Lookups!$D$40,"All"))))&amp;"!"&amp;CB$71&amp;$DE19)*100,0)</f>
        <v>0.54781125138187337</v>
      </c>
      <c r="CC19" s="151" cm="1">
        <f t="array" aca="1" ref="CC19" ca="1">IFERROR(INDIRECT("Yr"&amp;IF($C$5=Year1,1,IF($C$5=Year2,2,IF($C$5=Year3,3,IF($C$5=Lookups!$D$40,"All"))))&amp;"!"&amp;CC$71&amp;$DE19)*100,0)</f>
        <v>0.54781125138187337</v>
      </c>
      <c r="CD19" s="151" cm="1">
        <f t="array" aca="1" ref="CD19" ca="1">IFERROR(INDIRECT("Yr"&amp;IF($C$5=Year1,1,IF($C$5=Year2,2,IF($C$5=Year3,3,IF($C$5=Lookups!$D$40,"All"))))&amp;"!"&amp;CD$71&amp;$DE19)*100,0)</f>
        <v>0.54781125138187337</v>
      </c>
      <c r="CE19" s="151" cm="1">
        <f t="array" aca="1" ref="CE19" ca="1">IFERROR(INDIRECT("Yr"&amp;IF($C$5=Year1,1,IF($C$5=Year2,2,IF($C$5=Year3,3,IF($C$5=Lookups!$D$40,"All"))))&amp;"!"&amp;CE$71&amp;$DE19)*100,0)</f>
        <v>0.54781125138187337</v>
      </c>
      <c r="CF19" s="151" cm="1">
        <f t="array" aca="1" ref="CF19" ca="1">IFERROR(INDIRECT("Yr"&amp;IF($C$5=Year1,1,IF($C$5=Year2,2,IF($C$5=Year3,3,IF($C$5=Lookups!$D$40,"All"))))&amp;"!"&amp;CF$71&amp;$DE19)*100,0)</f>
        <v>0.54781125138187337</v>
      </c>
      <c r="CG19" s="151" cm="1">
        <f t="array" aca="1" ref="CG19" ca="1">IFERROR(INDIRECT("Yr"&amp;IF($C$5=Year1,1,IF($C$5=Year2,2,IF($C$5=Year3,3,IF($C$5=Lookups!$D$40,"All"))))&amp;"!"&amp;CG$71&amp;$DE19)*100,0)</f>
        <v>0.54781125138187337</v>
      </c>
      <c r="CH19" s="151" cm="1">
        <f t="array" aca="1" ref="CH19" ca="1">IFERROR(INDIRECT("Yr"&amp;IF($C$5=Year1,1,IF($C$5=Year2,2,IF($C$5=Year3,3,IF($C$5=Lookups!$D$40,"All"))))&amp;"!"&amp;CH$71&amp;$DE19)*100,0)</f>
        <v>0.54781125138187337</v>
      </c>
      <c r="CI19" s="151" cm="1">
        <f t="array" aca="1" ref="CI19" ca="1">IFERROR(INDIRECT("Yr"&amp;IF($C$5=Year1,1,IF($C$5=Year2,2,IF($C$5=Year3,3,IF($C$5=Lookups!$D$40,"All"))))&amp;"!"&amp;CI$71&amp;$DE19)*100,0)</f>
        <v>0.54781125138187337</v>
      </c>
      <c r="CJ19" s="151" cm="1">
        <f t="array" aca="1" ref="CJ19" ca="1">IFERROR(INDIRECT("Yr"&amp;IF($C$5=Year1,1,IF($C$5=Year2,2,IF($C$5=Year3,3,IF($C$5=Lookups!$D$40,"All"))))&amp;"!"&amp;CJ$71&amp;$DE19)*100,0)</f>
        <v>0.54781125138187337</v>
      </c>
      <c r="CK19" s="151" cm="1">
        <f t="array" aca="1" ref="CK19" ca="1">IFERROR(INDIRECT("Yr"&amp;IF($C$5=Year1,1,IF($C$5=Year2,2,IF($C$5=Year3,3,IF($C$5=Lookups!$D$40,"All"))))&amp;"!"&amp;CK$71&amp;$DE19)*100,0)</f>
        <v>0.54781125138187337</v>
      </c>
      <c r="CL19" s="151" cm="1">
        <f t="array" aca="1" ref="CL19" ca="1">IFERROR(INDIRECT("Yr"&amp;IF($C$5=Year1,1,IF($C$5=Year2,2,IF($C$5=Year3,3,IF($C$5=Lookups!$D$40,"All"))))&amp;"!"&amp;CL$71&amp;$DE19)*100,0)</f>
        <v>0.54781125138187337</v>
      </c>
      <c r="CM19" s="151" cm="1">
        <f t="array" aca="1" ref="CM19" ca="1">IFERROR(INDIRECT("Yr"&amp;IF($C$5=Year1,1,IF($C$5=Year2,2,IF($C$5=Year3,3,IF($C$5=Lookups!$D$40,"All"))))&amp;"!"&amp;CM$71&amp;$DE19)*100,0)</f>
        <v>0.54781125138187337</v>
      </c>
      <c r="CN19" s="151" cm="1">
        <f t="array" aca="1" ref="CN19" ca="1">IFERROR(INDIRECT("Yr"&amp;IF($C$5=Year1,1,IF($C$5=Year2,2,IF($C$5=Year3,3,IF($C$5=Lookups!$D$40,"All"))))&amp;"!"&amp;CN$71&amp;$DE19)*100,0)</f>
        <v>0.54781125138187337</v>
      </c>
      <c r="CO19" s="151" cm="1">
        <f t="array" aca="1" ref="CO19" ca="1">IFERROR(INDIRECT("Yr"&amp;IF($C$5=Year1,1,IF($C$5=Year2,2,IF($C$5=Year3,3,IF($C$5=Lookups!$D$40,"All"))))&amp;"!"&amp;CO$71&amp;$DE19)*100,0)</f>
        <v>0.54781125138187337</v>
      </c>
      <c r="CP19" s="151" cm="1">
        <f t="array" aca="1" ref="CP19" ca="1">IFERROR(INDIRECT("Yr"&amp;IF($C$5=Year1,1,IF($C$5=Year2,2,IF($C$5=Year3,3,IF($C$5=Lookups!$D$40,"All"))))&amp;"!"&amp;CP$71&amp;$DE19)*100,0)</f>
        <v>0.53868411468816335</v>
      </c>
      <c r="CQ19" s="151" cm="1">
        <f t="array" aca="1" ref="CQ19" ca="1">IFERROR(INDIRECT("Yr"&amp;IF($C$5=Year1,1,IF($C$5=Year2,2,IF($C$5=Year3,3,IF($C$5=Lookups!$D$40,"All"))))&amp;"!"&amp;CQ$71&amp;$DE19)*100,0)</f>
        <v>0.52938711187325793</v>
      </c>
      <c r="CR19" s="151" cm="1">
        <f t="array" aca="1" ref="CR19" ca="1">IFERROR(INDIRECT("Yr"&amp;IF($C$5=Year1,1,IF($C$5=Year2,2,IF($C$5=Year3,3,IF($C$5=Lookups!$D$40,"All"))))&amp;"!"&amp;CR$71&amp;$DE19)*100,0)</f>
        <v>0.52000000000000035</v>
      </c>
      <c r="CS19" s="151" cm="1">
        <f t="array" aca="1" ref="CS19" ca="1">IFERROR(INDIRECT("Yr"&amp;IF($C$5=Year1,1,IF($C$5=Year2,2,IF($C$5=Year3,3,IF($C$5=Lookups!$D$40,"All"))))&amp;"!"&amp;CS$71&amp;$DE19)*100,0)</f>
        <v>0.52000000000000035</v>
      </c>
      <c r="CT19" s="151" cm="1">
        <f t="array" aca="1" ref="CT19" ca="1">IFERROR(INDIRECT("Yr"&amp;IF($C$5=Year1,1,IF($C$5=Year2,2,IF($C$5=Year3,3,IF($C$5=Lookups!$D$40,"All"))))&amp;"!"&amp;CT$71&amp;$DE19)*100,0)</f>
        <v>0.52000000000000035</v>
      </c>
      <c r="CU19" s="151" cm="1">
        <f t="array" aca="1" ref="CU19" ca="1">IFERROR(INDIRECT("Yr"&amp;IF($C$5=Year1,1,IF($C$5=Year2,2,IF($C$5=Year3,3,IF($C$5=Lookups!$D$40,"All"))))&amp;"!"&amp;CU$71&amp;$DE19)*100,0)</f>
        <v>0.52000000000000035</v>
      </c>
      <c r="CV19" s="151" cm="1">
        <f t="array" aca="1" ref="CV19" ca="1">IFERROR(INDIRECT("Yr"&amp;IF($C$5=Year1,1,IF($C$5=Year2,2,IF($C$5=Year3,3,IF($C$5=Lookups!$D$40,"All"))))&amp;"!"&amp;CV$71&amp;$DE19)*100,0)</f>
        <v>0.52000000000000035</v>
      </c>
      <c r="CW19" s="151" cm="1">
        <f t="array" aca="1" ref="CW19" ca="1">IFERROR(INDIRECT("Yr"&amp;IF($C$5=Year1,1,IF($C$5=Year2,2,IF($C$5=Year3,3,IF($C$5=Lookups!$D$40,"All"))))&amp;"!"&amp;CW$71&amp;$DE19)*100,0)</f>
        <v>0.52000000000000035</v>
      </c>
      <c r="CX19" s="151" cm="1">
        <f t="array" aca="1" ref="CX19" ca="1">IFERROR(INDIRECT("Yr"&amp;IF($C$5=Year1,1,IF($C$5=Year2,2,IF($C$5=Year3,3,IF($C$5=Lookups!$D$40,"All"))))&amp;"!"&amp;CX$71&amp;$DE19)*100,0)</f>
        <v>0.52000000000000035</v>
      </c>
      <c r="CY19" s="151" cm="1">
        <f t="array" aca="1" ref="CY19" ca="1">IFERROR(INDIRECT("Yr"&amp;IF($C$5=Year1,1,IF($C$5=Year2,2,IF($C$5=Year3,3,IF($C$5=Lookups!$D$40,"All"))))&amp;"!"&amp;CY$71&amp;$DE19)*100,0)</f>
        <v>0.52000000000000035</v>
      </c>
      <c r="CZ19" s="151" cm="1">
        <f t="array" aca="1" ref="CZ19" ca="1">IFERROR(INDIRECT("Yr"&amp;IF($C$5=Year1,1,IF($C$5=Year2,2,IF($C$5=Year3,3,IF($C$5=Lookups!$D$40,"All"))))&amp;"!"&amp;CZ$71&amp;$DE19)*100,0)</f>
        <v>0.52000000000000035</v>
      </c>
      <c r="DA19" s="151"/>
      <c r="DB19" s="151">
        <f ca="1">IF($C$5=Lookups!$D$40,-PMT(Lookups!$E$17,27,NPV(Lookups!$E$17,BZ19:CZ19),0,1),-PMT(Lookups!$E$17,25,NPV(Lookups!$E$17,BZ19:CX19),0,1))</f>
        <v>0.52993501261901976</v>
      </c>
      <c r="DE19" s="516">
        <f t="shared" ref="DE19:DE21" si="2">DE18+DF19</f>
        <v>211</v>
      </c>
      <c r="DF19" s="529">
        <f>DF11</f>
        <v>1</v>
      </c>
      <c r="DI19" s="419"/>
    </row>
    <row r="20" spans="3:116" x14ac:dyDescent="0.25">
      <c r="BV20" s="343"/>
      <c r="BW20" s="345"/>
      <c r="BX20" s="126" t="s">
        <v>197</v>
      </c>
      <c r="BY20" s="126" t="s">
        <v>409</v>
      </c>
      <c r="BZ20" s="151" cm="1">
        <f t="array" aca="1" ref="BZ20" ca="1">IFERROR(INDIRECT("Yr"&amp;IF($C$5=Year1,1,IF($C$5=Year2,2,IF($C$5=Year3,3,IF($C$5=Lookups!$D$40,"All"))))&amp;"!"&amp;BZ$71&amp;$DE20)*100,0)</f>
        <v>61.861089912435254</v>
      </c>
      <c r="CA20" s="151" cm="1">
        <f t="array" aca="1" ref="CA20" ca="1">IFERROR(INDIRECT("Yr"&amp;IF($C$5=Year1,1,IF($C$5=Year2,2,IF($C$5=Year3,3,IF($C$5=Lookups!$D$40,"All"))))&amp;"!"&amp;CA$71&amp;$DE20)*100,0)</f>
        <v>61.818670233514595</v>
      </c>
      <c r="CB20" s="151" cm="1">
        <f t="array" aca="1" ref="CB20" ca="1">IFERROR(INDIRECT("Yr"&amp;IF($C$5=Year1,1,IF($C$5=Year2,2,IF($C$5=Year3,3,IF($C$5=Lookups!$D$40,"All"))))&amp;"!"&amp;CB$71&amp;$DE20)*100,0)</f>
        <v>61.772747121128404</v>
      </c>
      <c r="CC20" s="151" cm="1">
        <f t="array" aca="1" ref="CC20" ca="1">IFERROR(INDIRECT("Yr"&amp;IF($C$5=Year1,1,IF($C$5=Year2,2,IF($C$5=Year3,3,IF($C$5=Lookups!$D$40,"All"))))&amp;"!"&amp;CC$71&amp;$DE20)*100,0)</f>
        <v>61.772747121128404</v>
      </c>
      <c r="CD20" s="151" cm="1">
        <f t="array" aca="1" ref="CD20" ca="1">IFERROR(INDIRECT("Yr"&amp;IF($C$5=Year1,1,IF($C$5=Year2,2,IF($C$5=Year3,3,IF($C$5=Lookups!$D$40,"All"))))&amp;"!"&amp;CD$71&amp;$DE20)*100,0)</f>
        <v>61.772747121128404</v>
      </c>
      <c r="CE20" s="151" cm="1">
        <f t="array" aca="1" ref="CE20" ca="1">IFERROR(INDIRECT("Yr"&amp;IF($C$5=Year1,1,IF($C$5=Year2,2,IF($C$5=Year3,3,IF($C$5=Lookups!$D$40,"All"))))&amp;"!"&amp;CE$71&amp;$DE20)*100,0)</f>
        <v>61.772747121128404</v>
      </c>
      <c r="CF20" s="151" cm="1">
        <f t="array" aca="1" ref="CF20" ca="1">IFERROR(INDIRECT("Yr"&amp;IF($C$5=Year1,1,IF($C$5=Year2,2,IF($C$5=Year3,3,IF($C$5=Lookups!$D$40,"All"))))&amp;"!"&amp;CF$71&amp;$DE20)*100,0)</f>
        <v>61.772747121128404</v>
      </c>
      <c r="CG20" s="151" cm="1">
        <f t="array" aca="1" ref="CG20" ca="1">IFERROR(INDIRECT("Yr"&amp;IF($C$5=Year1,1,IF($C$5=Year2,2,IF($C$5=Year3,3,IF($C$5=Lookups!$D$40,"All"))))&amp;"!"&amp;CG$71&amp;$DE20)*100,0)</f>
        <v>61.772747121128404</v>
      </c>
      <c r="CH20" s="151" cm="1">
        <f t="array" aca="1" ref="CH20" ca="1">IFERROR(INDIRECT("Yr"&amp;IF($C$5=Year1,1,IF($C$5=Year2,2,IF($C$5=Year3,3,IF($C$5=Lookups!$D$40,"All"))))&amp;"!"&amp;CH$71&amp;$DE20)*100,0)</f>
        <v>61.772747121128404</v>
      </c>
      <c r="CI20" s="151" cm="1">
        <f t="array" aca="1" ref="CI20" ca="1">IFERROR(INDIRECT("Yr"&amp;IF($C$5=Year1,1,IF($C$5=Year2,2,IF($C$5=Year3,3,IF($C$5=Lookups!$D$40,"All"))))&amp;"!"&amp;CI$71&amp;$DE20)*100,0)</f>
        <v>61.772747121128404</v>
      </c>
      <c r="CJ20" s="151" cm="1">
        <f t="array" aca="1" ref="CJ20" ca="1">IFERROR(INDIRECT("Yr"&amp;IF($C$5=Year1,1,IF($C$5=Year2,2,IF($C$5=Year3,3,IF($C$5=Lookups!$D$40,"All"))))&amp;"!"&amp;CJ$71&amp;$DE20)*100,0)</f>
        <v>61.772747121128404</v>
      </c>
      <c r="CK20" s="151" cm="1">
        <f t="array" aca="1" ref="CK20" ca="1">IFERROR(INDIRECT("Yr"&amp;IF($C$5=Year1,1,IF($C$5=Year2,2,IF($C$5=Year3,3,IF($C$5=Lookups!$D$40,"All"))))&amp;"!"&amp;CK$71&amp;$DE20)*100,0)</f>
        <v>61.772747121128404</v>
      </c>
      <c r="CL20" s="151" cm="1">
        <f t="array" aca="1" ref="CL20" ca="1">IFERROR(INDIRECT("Yr"&amp;IF($C$5=Year1,1,IF($C$5=Year2,2,IF($C$5=Year3,3,IF($C$5=Lookups!$D$40,"All"))))&amp;"!"&amp;CL$71&amp;$DE20)*100,0)</f>
        <v>61.772747121128404</v>
      </c>
      <c r="CM20" s="151" cm="1">
        <f t="array" aca="1" ref="CM20" ca="1">IFERROR(INDIRECT("Yr"&amp;IF($C$5=Year1,1,IF($C$5=Year2,2,IF($C$5=Year3,3,IF($C$5=Lookups!$D$40,"All"))))&amp;"!"&amp;CM$71&amp;$DE20)*100,0)</f>
        <v>61.772747121128404</v>
      </c>
      <c r="CN20" s="151" cm="1">
        <f t="array" aca="1" ref="CN20" ca="1">IFERROR(INDIRECT("Yr"&amp;IF($C$5=Year1,1,IF($C$5=Year2,2,IF($C$5=Year3,3,IF($C$5=Lookups!$D$40,"All"))))&amp;"!"&amp;CN$71&amp;$DE20)*100,0)</f>
        <v>61.772747121128404</v>
      </c>
      <c r="CO20" s="151" cm="1">
        <f t="array" aca="1" ref="CO20" ca="1">IFERROR(INDIRECT("Yr"&amp;IF($C$5=Year1,1,IF($C$5=Year2,2,IF($C$5=Year3,3,IF($C$5=Lookups!$D$40,"All"))))&amp;"!"&amp;CO$71&amp;$DE20)*100,0)</f>
        <v>61.772747121128404</v>
      </c>
      <c r="CP20" s="151" cm="1">
        <f t="array" aca="1" ref="CP20" ca="1">IFERROR(INDIRECT("Yr"&amp;IF($C$5=Year1,1,IF($C$5=Year2,2,IF($C$5=Year3,3,IF($C$5=Lookups!$D$40,"All"))))&amp;"!"&amp;CP$71&amp;$DE20)*100,0)</f>
        <v>61.814527174515035</v>
      </c>
      <c r="CQ20" s="151" cm="1">
        <f t="array" aca="1" ref="CQ20" ca="1">IFERROR(INDIRECT("Yr"&amp;IF($C$5=Year1,1,IF($C$5=Year2,2,IF($C$5=Year3,3,IF($C$5=Lookups!$D$40,"All"))))&amp;"!"&amp;CQ$71&amp;$DE20)*100,0)</f>
        <v>61.85708956261584</v>
      </c>
      <c r="CR20" s="151" cm="1">
        <f t="array" aca="1" ref="CR20" ca="1">IFERROR(INDIRECT("Yr"&amp;IF($C$5=Year1,1,IF($C$5=Year2,2,IF($C$5=Year3,3,IF($C$5=Lookups!$D$40,"All"))))&amp;"!"&amp;CR$71&amp;$DE20)*100,0)</f>
        <v>61.9</v>
      </c>
      <c r="CS20" s="151" cm="1">
        <f t="array" aca="1" ref="CS20" ca="1">IFERROR(INDIRECT("Yr"&amp;IF($C$5=Year1,1,IF($C$5=Year2,2,IF($C$5=Year3,3,IF($C$5=Lookups!$D$40,"All"))))&amp;"!"&amp;CS$71&amp;$DE20)*100,0)</f>
        <v>61.9</v>
      </c>
      <c r="CT20" s="151" cm="1">
        <f t="array" aca="1" ref="CT20" ca="1">IFERROR(INDIRECT("Yr"&amp;IF($C$5=Year1,1,IF($C$5=Year2,2,IF($C$5=Year3,3,IF($C$5=Lookups!$D$40,"All"))))&amp;"!"&amp;CT$71&amp;$DE20)*100,0)</f>
        <v>61.9</v>
      </c>
      <c r="CU20" s="151" cm="1">
        <f t="array" aca="1" ref="CU20" ca="1">IFERROR(INDIRECT("Yr"&amp;IF($C$5=Year1,1,IF($C$5=Year2,2,IF($C$5=Year3,3,IF($C$5=Lookups!$D$40,"All"))))&amp;"!"&amp;CU$71&amp;$DE20)*100,0)</f>
        <v>61.9</v>
      </c>
      <c r="CV20" s="151" cm="1">
        <f t="array" aca="1" ref="CV20" ca="1">IFERROR(INDIRECT("Yr"&amp;IF($C$5=Year1,1,IF($C$5=Year2,2,IF($C$5=Year3,3,IF($C$5=Lookups!$D$40,"All"))))&amp;"!"&amp;CV$71&amp;$DE20)*100,0)</f>
        <v>61.9</v>
      </c>
      <c r="CW20" s="151" cm="1">
        <f t="array" aca="1" ref="CW20" ca="1">IFERROR(INDIRECT("Yr"&amp;IF($C$5=Year1,1,IF($C$5=Year2,2,IF($C$5=Year3,3,IF($C$5=Lookups!$D$40,"All"))))&amp;"!"&amp;CW$71&amp;$DE20)*100,0)</f>
        <v>61.9</v>
      </c>
      <c r="CX20" s="151" cm="1">
        <f t="array" aca="1" ref="CX20" ca="1">IFERROR(INDIRECT("Yr"&amp;IF($C$5=Year1,1,IF($C$5=Year2,2,IF($C$5=Year3,3,IF($C$5=Lookups!$D$40,"All"))))&amp;"!"&amp;CX$71&amp;$DE20)*100,0)</f>
        <v>61.9</v>
      </c>
      <c r="CY20" s="151" cm="1">
        <f t="array" aca="1" ref="CY20" ca="1">IFERROR(INDIRECT("Yr"&amp;IF($C$5=Year1,1,IF($C$5=Year2,2,IF($C$5=Year3,3,IF($C$5=Lookups!$D$40,"All"))))&amp;"!"&amp;CY$71&amp;$DE20)*100,0)</f>
        <v>61.9</v>
      </c>
      <c r="CZ20" s="151" cm="1">
        <f t="array" aca="1" ref="CZ20" ca="1">IFERROR(INDIRECT("Yr"&amp;IF($C$5=Year1,1,IF($C$5=Year2,2,IF($C$5=Year3,3,IF($C$5=Lookups!$D$40,"All"))))&amp;"!"&amp;CZ$71&amp;$DE20)*100,0)</f>
        <v>61.9</v>
      </c>
      <c r="DA20" s="151"/>
      <c r="DB20" s="151">
        <f ca="1">IF($C$5=Lookups!$D$40,-PMT(Lookups!$E$17,27,NPV(Lookups!$E$17,BZ20:CZ20),0,1),-PMT(Lookups!$E$17,25,NPV(Lookups!$E$17,BZ20:CX20),0,1))</f>
        <v>60.958054715813674</v>
      </c>
      <c r="DE20" s="516">
        <f t="shared" si="2"/>
        <v>212</v>
      </c>
      <c r="DF20" s="526">
        <v>1</v>
      </c>
      <c r="DI20" s="419"/>
    </row>
    <row r="21" spans="3:116" x14ac:dyDescent="0.25">
      <c r="BV21" s="343"/>
      <c r="BW21" s="345"/>
      <c r="BX21" s="126" t="s">
        <v>405</v>
      </c>
      <c r="BY21" s="126" t="s">
        <v>409</v>
      </c>
      <c r="BZ21" s="151" cm="1">
        <f t="array" aca="1" ref="BZ21" ca="1">IFERROR(INDIRECT("Yr"&amp;IF($C$5=Year1,1,IF($C$5=Year2,2,IF($C$5=Year3,3,IF($C$5=Lookups!$D$40,"All"))))&amp;"!"&amp;BZ$71&amp;$DE21)*100,0)</f>
        <v>14.245258051119242</v>
      </c>
      <c r="CA21" s="151" cm="1">
        <f t="array" aca="1" ref="CA21" ca="1">IFERROR(INDIRECT("Yr"&amp;IF($C$5=Year1,1,IF($C$5=Year2,2,IF($C$5=Year3,3,IF($C$5=Lookups!$D$40,"All"))))&amp;"!"&amp;CA$71&amp;$DE21)*100,0)</f>
        <v>14.926911562058558</v>
      </c>
      <c r="CB21" s="151" cm="1">
        <f t="array" aca="1" ref="CB21" ca="1">IFERROR(INDIRECT("Yr"&amp;IF($C$5=Year1,1,IF($C$5=Year2,2,IF($C$5=Year3,3,IF($C$5=Lookups!$D$40,"All"))))&amp;"!"&amp;CB$71&amp;$DE21)*100,0)</f>
        <v>15.875101082198512</v>
      </c>
      <c r="CC21" s="151" cm="1">
        <f t="array" aca="1" ref="CC21" ca="1">IFERROR(INDIRECT("Yr"&amp;IF($C$5=Year1,1,IF($C$5=Year2,2,IF($C$5=Year3,3,IF($C$5=Lookups!$D$40,"All"))))&amp;"!"&amp;CC$71&amp;$DE21)*100,0)</f>
        <v>0</v>
      </c>
      <c r="CD21" s="151" cm="1">
        <f t="array" aca="1" ref="CD21" ca="1">IFERROR(INDIRECT("Yr"&amp;IF($C$5=Year1,1,IF($C$5=Year2,2,IF($C$5=Year3,3,IF($C$5=Lookups!$D$40,"All"))))&amp;"!"&amp;CD$71&amp;$DE21)*100,0)</f>
        <v>0</v>
      </c>
      <c r="CE21" s="151" cm="1">
        <f t="array" aca="1" ref="CE21" ca="1">IFERROR(INDIRECT("Yr"&amp;IF($C$5=Year1,1,IF($C$5=Year2,2,IF($C$5=Year3,3,IF($C$5=Lookups!$D$40,"All"))))&amp;"!"&amp;CE$71&amp;$DE21)*100,0)</f>
        <v>0</v>
      </c>
      <c r="CF21" s="151" cm="1">
        <f t="array" aca="1" ref="CF21" ca="1">IFERROR(INDIRECT("Yr"&amp;IF($C$5=Year1,1,IF($C$5=Year2,2,IF($C$5=Year3,3,IF($C$5=Lookups!$D$40,"All"))))&amp;"!"&amp;CF$71&amp;$DE21)*100,0)</f>
        <v>0</v>
      </c>
      <c r="CG21" s="151" cm="1">
        <f t="array" aca="1" ref="CG21" ca="1">IFERROR(INDIRECT("Yr"&amp;IF($C$5=Year1,1,IF($C$5=Year2,2,IF($C$5=Year3,3,IF($C$5=Lookups!$D$40,"All"))))&amp;"!"&amp;CG$71&amp;$DE21)*100,0)</f>
        <v>0</v>
      </c>
      <c r="CH21" s="151" cm="1">
        <f t="array" aca="1" ref="CH21" ca="1">IFERROR(INDIRECT("Yr"&amp;IF($C$5=Year1,1,IF($C$5=Year2,2,IF($C$5=Year3,3,IF($C$5=Lookups!$D$40,"All"))))&amp;"!"&amp;CH$71&amp;$DE21)*100,0)</f>
        <v>0</v>
      </c>
      <c r="CI21" s="151" cm="1">
        <f t="array" aca="1" ref="CI21" ca="1">IFERROR(INDIRECT("Yr"&amp;IF($C$5=Year1,1,IF($C$5=Year2,2,IF($C$5=Year3,3,IF($C$5=Lookups!$D$40,"All"))))&amp;"!"&amp;CI$71&amp;$DE21)*100,0)</f>
        <v>0</v>
      </c>
      <c r="CJ21" s="151" cm="1">
        <f t="array" aca="1" ref="CJ21" ca="1">IFERROR(INDIRECT("Yr"&amp;IF($C$5=Year1,1,IF($C$5=Year2,2,IF($C$5=Year3,3,IF($C$5=Lookups!$D$40,"All"))))&amp;"!"&amp;CJ$71&amp;$DE21)*100,0)</f>
        <v>0</v>
      </c>
      <c r="CK21" s="151" cm="1">
        <f t="array" aca="1" ref="CK21" ca="1">IFERROR(INDIRECT("Yr"&amp;IF($C$5=Year1,1,IF($C$5=Year2,2,IF($C$5=Year3,3,IF($C$5=Lookups!$D$40,"All"))))&amp;"!"&amp;CK$71&amp;$DE21)*100,0)</f>
        <v>0</v>
      </c>
      <c r="CL21" s="151" cm="1">
        <f t="array" aca="1" ref="CL21" ca="1">IFERROR(INDIRECT("Yr"&amp;IF($C$5=Year1,1,IF($C$5=Year2,2,IF($C$5=Year3,3,IF($C$5=Lookups!$D$40,"All"))))&amp;"!"&amp;CL$71&amp;$DE21)*100,0)</f>
        <v>0</v>
      </c>
      <c r="CM21" s="151" cm="1">
        <f t="array" aca="1" ref="CM21" ca="1">IFERROR(INDIRECT("Yr"&amp;IF($C$5=Year1,1,IF($C$5=Year2,2,IF($C$5=Year3,3,IF($C$5=Lookups!$D$40,"All"))))&amp;"!"&amp;CM$71&amp;$DE21)*100,0)</f>
        <v>0</v>
      </c>
      <c r="CN21" s="151" cm="1">
        <f t="array" aca="1" ref="CN21" ca="1">IFERROR(INDIRECT("Yr"&amp;IF($C$5=Year1,1,IF($C$5=Year2,2,IF($C$5=Year3,3,IF($C$5=Lookups!$D$40,"All"))))&amp;"!"&amp;CN$71&amp;$DE21)*100,0)</f>
        <v>0</v>
      </c>
      <c r="CO21" s="151" cm="1">
        <f t="array" aca="1" ref="CO21" ca="1">IFERROR(INDIRECT("Yr"&amp;IF($C$5=Year1,1,IF($C$5=Year2,2,IF($C$5=Year3,3,IF($C$5=Lookups!$D$40,"All"))))&amp;"!"&amp;CO$71&amp;$DE21)*100,0)</f>
        <v>0</v>
      </c>
      <c r="CP21" s="151" cm="1">
        <f t="array" aca="1" ref="CP21" ca="1">IFERROR(INDIRECT("Yr"&amp;IF($C$5=Year1,1,IF($C$5=Year2,2,IF($C$5=Year3,3,IF($C$5=Lookups!$D$40,"All"))))&amp;"!"&amp;CP$71&amp;$DE21)*100,0)</f>
        <v>0</v>
      </c>
      <c r="CQ21" s="151" cm="1">
        <f t="array" aca="1" ref="CQ21" ca="1">IFERROR(INDIRECT("Yr"&amp;IF($C$5=Year1,1,IF($C$5=Year2,2,IF($C$5=Year3,3,IF($C$5=Lookups!$D$40,"All"))))&amp;"!"&amp;CQ$71&amp;$DE21)*100,0)</f>
        <v>0</v>
      </c>
      <c r="CR21" s="151" cm="1">
        <f t="array" aca="1" ref="CR21" ca="1">IFERROR(INDIRECT("Yr"&amp;IF($C$5=Year1,1,IF($C$5=Year2,2,IF($C$5=Year3,3,IF($C$5=Lookups!$D$40,"All"))))&amp;"!"&amp;CR$71&amp;$DE21)*100,0)</f>
        <v>0</v>
      </c>
      <c r="CS21" s="151" cm="1">
        <f t="array" aca="1" ref="CS21" ca="1">IFERROR(INDIRECT("Yr"&amp;IF($C$5=Year1,1,IF($C$5=Year2,2,IF($C$5=Year3,3,IF($C$5=Lookups!$D$40,"All"))))&amp;"!"&amp;CS$71&amp;$DE21)*100,0)</f>
        <v>0</v>
      </c>
      <c r="CT21" s="151" cm="1">
        <f t="array" aca="1" ref="CT21" ca="1">IFERROR(INDIRECT("Yr"&amp;IF($C$5=Year1,1,IF($C$5=Year2,2,IF($C$5=Year3,3,IF($C$5=Lookups!$D$40,"All"))))&amp;"!"&amp;CT$71&amp;$DE21)*100,0)</f>
        <v>0</v>
      </c>
      <c r="CU21" s="151" cm="1">
        <f t="array" aca="1" ref="CU21" ca="1">IFERROR(INDIRECT("Yr"&amp;IF($C$5=Year1,1,IF($C$5=Year2,2,IF($C$5=Year3,3,IF($C$5=Lookups!$D$40,"All"))))&amp;"!"&amp;CU$71&amp;$DE21)*100,0)</f>
        <v>0</v>
      </c>
      <c r="CV21" s="151" cm="1">
        <f t="array" aca="1" ref="CV21" ca="1">IFERROR(INDIRECT("Yr"&amp;IF($C$5=Year1,1,IF($C$5=Year2,2,IF($C$5=Year3,3,IF($C$5=Lookups!$D$40,"All"))))&amp;"!"&amp;CV$71&amp;$DE21)*100,0)</f>
        <v>0</v>
      </c>
      <c r="CW21" s="151" cm="1">
        <f t="array" aca="1" ref="CW21" ca="1">IFERROR(INDIRECT("Yr"&amp;IF($C$5=Year1,1,IF($C$5=Year2,2,IF($C$5=Year3,3,IF($C$5=Lookups!$D$40,"All"))))&amp;"!"&amp;CW$71&amp;$DE21)*100,0)</f>
        <v>0</v>
      </c>
      <c r="CX21" s="151" cm="1">
        <f t="array" aca="1" ref="CX21" ca="1">IFERROR(INDIRECT("Yr"&amp;IF($C$5=Year1,1,IF($C$5=Year2,2,IF($C$5=Year3,3,IF($C$5=Lookups!$D$40,"All"))))&amp;"!"&amp;CX$71&amp;$DE21)*100,0)</f>
        <v>0</v>
      </c>
      <c r="CY21" s="151" cm="1">
        <f t="array" aca="1" ref="CY21" ca="1">IFERROR(INDIRECT("Yr"&amp;IF($C$5=Year1,1,IF($C$5=Year2,2,IF($C$5=Year3,3,IF($C$5=Lookups!$D$40,"All"))))&amp;"!"&amp;CY$71&amp;$DE21)*100,0)</f>
        <v>0</v>
      </c>
      <c r="CZ21" s="151" cm="1">
        <f t="array" aca="1" ref="CZ21" ca="1">IFERROR(INDIRECT("Yr"&amp;IF($C$5=Year1,1,IF($C$5=Year2,2,IF($C$5=Year3,3,IF($C$5=Lookups!$D$40,"All"))))&amp;"!"&amp;CZ$71&amp;$DE21)*100,0)</f>
        <v>0</v>
      </c>
      <c r="DA21" s="151"/>
      <c r="DB21" s="151">
        <f ca="1">IF($C$5=Lookups!$D$40,-PMT(Lookups!$E$17,27,NPV(Lookups!$E$17,BZ21:CZ21),0,1),-PMT(Lookups!$E$17,25,NPV(Lookups!$E$17,BZ21:CX21),0,1))</f>
        <v>1.9346970547807747</v>
      </c>
      <c r="DE21" s="516">
        <f t="shared" si="2"/>
        <v>213</v>
      </c>
      <c r="DF21" s="526">
        <v>1</v>
      </c>
      <c r="DI21" s="419"/>
    </row>
    <row r="22" spans="3:116" x14ac:dyDescent="0.25">
      <c r="BV22" s="343"/>
      <c r="BW22" s="159" t="s">
        <v>72</v>
      </c>
      <c r="BX22" s="126"/>
      <c r="BY22" s="126"/>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E22" s="527"/>
    </row>
    <row r="23" spans="3:116" ht="18.75" x14ac:dyDescent="0.3">
      <c r="C23" s="92" t="str">
        <f>"Total Rates: "&amp;Lookups!$D$24</f>
        <v>Total Rates: Alternative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K23" s="92" t="str">
        <f>"Change in Rates: "&amp;Lookups!$D$24&amp;" v "&amp;Lookups!$D$22</f>
        <v>Change in Rates: 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V23" s="343"/>
      <c r="BW23" s="345"/>
      <c r="BX23" s="155" t="s">
        <v>224</v>
      </c>
      <c r="BY23" s="126" t="s">
        <v>409</v>
      </c>
      <c r="BZ23" s="151" cm="1">
        <f t="array" aca="1" ref="BZ23" ca="1">IFERROR(INDIRECT("Yr"&amp;IF($C$5=Year1,1,IF($C$5=Year2,2,IF($C$5=Year3,3,IF($C$5=Lookups!$D$40,"All"))))&amp;"!"&amp;BZ$71&amp;$DE23)*100,0)</f>
        <v>-0.97200858102576038</v>
      </c>
      <c r="CA23" s="151" cm="1">
        <f t="array" aca="1" ref="CA23" ca="1">IFERROR(INDIRECT("Yr"&amp;IF($C$5=Year1,1,IF($C$5=Year2,2,IF($C$5=Year3,3,IF($C$5=Lookups!$D$40,"All"))))&amp;"!"&amp;CA$71&amp;$DE23)*100,0)</f>
        <v>-2.0316875873444573</v>
      </c>
      <c r="CB23" s="151" cm="1">
        <f t="array" aca="1" ref="CB23" ca="1">IFERROR(INDIRECT("Yr"&amp;IF($C$5=Year1,1,IF($C$5=Year2,2,IF($C$5=Year3,3,IF($C$5=Lookups!$D$40,"All"))))&amp;"!"&amp;CB$71&amp;$DE23)*100,0)</f>
        <v>-3.1803216396335694</v>
      </c>
      <c r="CC23" s="151" cm="1">
        <f t="array" aca="1" ref="CC23" ca="1">IFERROR(INDIRECT("Yr"&amp;IF($C$5=Year1,1,IF($C$5=Year2,2,IF($C$5=Year3,3,IF($C$5=Lookups!$D$40,"All"))))&amp;"!"&amp;CC$71&amp;$DE23)*100,0)</f>
        <v>-3.1803216396335694</v>
      </c>
      <c r="CD23" s="151" cm="1">
        <f t="array" aca="1" ref="CD23" ca="1">IFERROR(INDIRECT("Yr"&amp;IF($C$5=Year1,1,IF($C$5=Year2,2,IF($C$5=Year3,3,IF($C$5=Lookups!$D$40,"All"))))&amp;"!"&amp;CD$71&amp;$DE23)*100,0)</f>
        <v>-3.1803216396335694</v>
      </c>
      <c r="CE23" s="151" cm="1">
        <f t="array" aca="1" ref="CE23" ca="1">IFERROR(INDIRECT("Yr"&amp;IF($C$5=Year1,1,IF($C$5=Year2,2,IF($C$5=Year3,3,IF($C$5=Lookups!$D$40,"All"))))&amp;"!"&amp;CE$71&amp;$DE23)*100,0)</f>
        <v>-3.1803216396335694</v>
      </c>
      <c r="CF23" s="151" cm="1">
        <f t="array" aca="1" ref="CF23" ca="1">IFERROR(INDIRECT("Yr"&amp;IF($C$5=Year1,1,IF($C$5=Year2,2,IF($C$5=Year3,3,IF($C$5=Lookups!$D$40,"All"))))&amp;"!"&amp;CF$71&amp;$DE23)*100,0)</f>
        <v>-3.1803216396335694</v>
      </c>
      <c r="CG23" s="151" cm="1">
        <f t="array" aca="1" ref="CG23" ca="1">IFERROR(INDIRECT("Yr"&amp;IF($C$5=Year1,1,IF($C$5=Year2,2,IF($C$5=Year3,3,IF($C$5=Lookups!$D$40,"All"))))&amp;"!"&amp;CG$71&amp;$DE23)*100,0)</f>
        <v>-3.1803216396335694</v>
      </c>
      <c r="CH23" s="151" cm="1">
        <f t="array" aca="1" ref="CH23" ca="1">IFERROR(INDIRECT("Yr"&amp;IF($C$5=Year1,1,IF($C$5=Year2,2,IF($C$5=Year3,3,IF($C$5=Lookups!$D$40,"All"))))&amp;"!"&amp;CH$71&amp;$DE23)*100,0)</f>
        <v>-3.1803216396335694</v>
      </c>
      <c r="CI23" s="151" cm="1">
        <f t="array" aca="1" ref="CI23" ca="1">IFERROR(INDIRECT("Yr"&amp;IF($C$5=Year1,1,IF($C$5=Year2,2,IF($C$5=Year3,3,IF($C$5=Lookups!$D$40,"All"))))&amp;"!"&amp;CI$71&amp;$DE23)*100,0)</f>
        <v>-3.1803216396335694</v>
      </c>
      <c r="CJ23" s="151" cm="1">
        <f t="array" aca="1" ref="CJ23" ca="1">IFERROR(INDIRECT("Yr"&amp;IF($C$5=Year1,1,IF($C$5=Year2,2,IF($C$5=Year3,3,IF($C$5=Lookups!$D$40,"All"))))&amp;"!"&amp;CJ$71&amp;$DE23)*100,0)</f>
        <v>-3.1803216396335694</v>
      </c>
      <c r="CK23" s="151" cm="1">
        <f t="array" aca="1" ref="CK23" ca="1">IFERROR(INDIRECT("Yr"&amp;IF($C$5=Year1,1,IF($C$5=Year2,2,IF($C$5=Year3,3,IF($C$5=Lookups!$D$40,"All"))))&amp;"!"&amp;CK$71&amp;$DE23)*100,0)</f>
        <v>-3.1803216396335694</v>
      </c>
      <c r="CL23" s="151" cm="1">
        <f t="array" aca="1" ref="CL23" ca="1">IFERROR(INDIRECT("Yr"&amp;IF($C$5=Year1,1,IF($C$5=Year2,2,IF($C$5=Year3,3,IF($C$5=Lookups!$D$40,"All"))))&amp;"!"&amp;CL$71&amp;$DE23)*100,0)</f>
        <v>-3.1803216396335694</v>
      </c>
      <c r="CM23" s="151" cm="1">
        <f t="array" aca="1" ref="CM23" ca="1">IFERROR(INDIRECT("Yr"&amp;IF($C$5=Year1,1,IF($C$5=Year2,2,IF($C$5=Year3,3,IF($C$5=Lookups!$D$40,"All"))))&amp;"!"&amp;CM$71&amp;$DE23)*100,0)</f>
        <v>-3.1803216396335694</v>
      </c>
      <c r="CN23" s="151" cm="1">
        <f t="array" aca="1" ref="CN23" ca="1">IFERROR(INDIRECT("Yr"&amp;IF($C$5=Year1,1,IF($C$5=Year2,2,IF($C$5=Year3,3,IF($C$5=Lookups!$D$40,"All"))))&amp;"!"&amp;CN$71&amp;$DE23)*100,0)</f>
        <v>-3.1803216396335694</v>
      </c>
      <c r="CO23" s="151" cm="1">
        <f t="array" aca="1" ref="CO23" ca="1">IFERROR(INDIRECT("Yr"&amp;IF($C$5=Year1,1,IF($C$5=Year2,2,IF($C$5=Year3,3,IF($C$5=Lookups!$D$40,"All"))))&amp;"!"&amp;CO$71&amp;$DE23)*100,0)</f>
        <v>-3.1803216396335694</v>
      </c>
      <c r="CP23" s="151" cm="1">
        <f t="array" aca="1" ref="CP23" ca="1">IFERROR(INDIRECT("Yr"&amp;IF($C$5=Year1,1,IF($C$5=Year2,2,IF($C$5=Year3,3,IF($C$5=Lookups!$D$40,"All"))))&amp;"!"&amp;CP$71&amp;$DE23)*100,0)</f>
        <v>-2.1365949089400504</v>
      </c>
      <c r="CQ23" s="151" cm="1">
        <f t="array" aca="1" ref="CQ23" ca="1">IFERROR(INDIRECT("Yr"&amp;IF($C$5=Year1,1,IF($C$5=Year2,2,IF($C$5=Year3,3,IF($C$5=Lookups!$D$40,"All"))))&amp;"!"&amp;CQ$71&amp;$DE23)*100,0)</f>
        <v>-1.0733265690352849</v>
      </c>
      <c r="CR23" s="151" cm="1">
        <f t="array" aca="1" ref="CR23" ca="1">IFERROR(INDIRECT("Yr"&amp;IF($C$5=Year1,1,IF($C$5=Year2,2,IF($C$5=Year3,3,IF($C$5=Lookups!$D$40,"All"))))&amp;"!"&amp;CR$71&amp;$DE23)*100,0)</f>
        <v>0</v>
      </c>
      <c r="CS23" s="151" cm="1">
        <f t="array" aca="1" ref="CS23" ca="1">IFERROR(INDIRECT("Yr"&amp;IF($C$5=Year1,1,IF($C$5=Year2,2,IF($C$5=Year3,3,IF($C$5=Lookups!$D$40,"All"))))&amp;"!"&amp;CS$71&amp;$DE23)*100,0)</f>
        <v>0</v>
      </c>
      <c r="CT23" s="151" cm="1">
        <f t="array" aca="1" ref="CT23" ca="1">IFERROR(INDIRECT("Yr"&amp;IF($C$5=Year1,1,IF($C$5=Year2,2,IF($C$5=Year3,3,IF($C$5=Lookups!$D$40,"All"))))&amp;"!"&amp;CT$71&amp;$DE23)*100,0)</f>
        <v>0</v>
      </c>
      <c r="CU23" s="151" cm="1">
        <f t="array" aca="1" ref="CU23" ca="1">IFERROR(INDIRECT("Yr"&amp;IF($C$5=Year1,1,IF($C$5=Year2,2,IF($C$5=Year3,3,IF($C$5=Lookups!$D$40,"All"))))&amp;"!"&amp;CU$71&amp;$DE23)*100,0)</f>
        <v>0</v>
      </c>
      <c r="CV23" s="151" cm="1">
        <f t="array" aca="1" ref="CV23" ca="1">IFERROR(INDIRECT("Yr"&amp;IF($C$5=Year1,1,IF($C$5=Year2,2,IF($C$5=Year3,3,IF($C$5=Lookups!$D$40,"All"))))&amp;"!"&amp;CV$71&amp;$DE23)*100,0)</f>
        <v>0</v>
      </c>
      <c r="CW23" s="151" cm="1">
        <f t="array" aca="1" ref="CW23" ca="1">IFERROR(INDIRECT("Yr"&amp;IF($C$5=Year1,1,IF($C$5=Year2,2,IF($C$5=Year3,3,IF($C$5=Lookups!$D$40,"All"))))&amp;"!"&amp;CW$71&amp;$DE23)*100,0)</f>
        <v>0</v>
      </c>
      <c r="CX23" s="151" cm="1">
        <f t="array" aca="1" ref="CX23" ca="1">IFERROR(INDIRECT("Yr"&amp;IF($C$5=Year1,1,IF($C$5=Year2,2,IF($C$5=Year3,3,IF($C$5=Lookups!$D$40,"All"))))&amp;"!"&amp;CX$71&amp;$DE23)*100,0)</f>
        <v>0</v>
      </c>
      <c r="CY23" s="151" cm="1">
        <f t="array" aca="1" ref="CY23" ca="1">IFERROR(INDIRECT("Yr"&amp;IF($C$5=Year1,1,IF($C$5=Year2,2,IF($C$5=Year3,3,IF($C$5=Lookups!$D$40,"All"))))&amp;"!"&amp;CY$71&amp;$DE23)*100,0)</f>
        <v>0</v>
      </c>
      <c r="CZ23" s="151" cm="1">
        <f t="array" aca="1" ref="CZ23" ca="1">IFERROR(INDIRECT("Yr"&amp;IF($C$5=Year1,1,IF($C$5=Year2,2,IF($C$5=Year3,3,IF($C$5=Lookups!$D$40,"All"))))&amp;"!"&amp;CZ$71&amp;$DE23)*100,0)</f>
        <v>0</v>
      </c>
      <c r="DA23" s="151"/>
      <c r="DB23" s="151"/>
      <c r="DE23" s="515">
        <f>ROW('Yr1'!E44)+($DG$9*IF($C$4=Lookups!$D$26,0,IF($C$4=Lookups!$D$27,1,IF($C$4=Lookups!$D$28,2,IF($C$4=Lookups!$D$29,3)))))</f>
        <v>202</v>
      </c>
      <c r="DK23" s="421"/>
      <c r="DL23" s="421"/>
    </row>
    <row r="24" spans="3:116" x14ac:dyDescent="0.25">
      <c r="BV24" s="343"/>
      <c r="BW24" s="345"/>
      <c r="BX24" s="155" t="s">
        <v>412</v>
      </c>
      <c r="BY24" s="126" t="s">
        <v>409</v>
      </c>
      <c r="BZ24" s="151" cm="1">
        <f t="array" aca="1" ref="BZ24" ca="1">IFERROR(INDIRECT("Yr"&amp;IF($C$5=Year1,1,IF($C$5=Year2,2,IF($C$5=Year3,3,IF($C$5=Lookups!$D$40,"All"))))&amp;"!"&amp;BZ$71&amp;$DE24)*100,0)</f>
        <v>-6.627331234266548E-2</v>
      </c>
      <c r="CA24" s="151" cm="1">
        <f t="array" aca="1" ref="CA24" ca="1">IFERROR(INDIRECT("Yr"&amp;IF($C$5=Year1,1,IF($C$5=Year2,2,IF($C$5=Year3,3,IF($C$5=Lookups!$D$40,"All"))))&amp;"!"&amp;CA$71&amp;$DE24)*100,0)</f>
        <v>-0.13852415368257662</v>
      </c>
      <c r="CB24" s="151" cm="1">
        <f t="array" aca="1" ref="CB24" ca="1">IFERROR(INDIRECT("Yr"&amp;IF($C$5=Year1,1,IF($C$5=Year2,2,IF($C$5=Year3,3,IF($C$5=Lookups!$D$40,"All"))))&amp;"!"&amp;CB$71&amp;$DE24)*100,0)</f>
        <v>-0.21684011179319787</v>
      </c>
      <c r="CC24" s="151" cm="1">
        <f t="array" aca="1" ref="CC24" ca="1">IFERROR(INDIRECT("Yr"&amp;IF($C$5=Year1,1,IF($C$5=Year2,2,IF($C$5=Year3,3,IF($C$5=Lookups!$D$40,"All"))))&amp;"!"&amp;CC$71&amp;$DE24)*100,0)</f>
        <v>-0.21684011179319787</v>
      </c>
      <c r="CD24" s="151" cm="1">
        <f t="array" aca="1" ref="CD24" ca="1">IFERROR(INDIRECT("Yr"&amp;IF($C$5=Year1,1,IF($C$5=Year2,2,IF($C$5=Year3,3,IF($C$5=Lookups!$D$40,"All"))))&amp;"!"&amp;CD$71&amp;$DE24)*100,0)</f>
        <v>-0.21684011179319787</v>
      </c>
      <c r="CE24" s="151" cm="1">
        <f t="array" aca="1" ref="CE24" ca="1">IFERROR(INDIRECT("Yr"&amp;IF($C$5=Year1,1,IF($C$5=Year2,2,IF($C$5=Year3,3,IF($C$5=Lookups!$D$40,"All"))))&amp;"!"&amp;CE$71&amp;$DE24)*100,0)</f>
        <v>-0.21684011179319787</v>
      </c>
      <c r="CF24" s="151" cm="1">
        <f t="array" aca="1" ref="CF24" ca="1">IFERROR(INDIRECT("Yr"&amp;IF($C$5=Year1,1,IF($C$5=Year2,2,IF($C$5=Year3,3,IF($C$5=Lookups!$D$40,"All"))))&amp;"!"&amp;CF$71&amp;$DE24)*100,0)</f>
        <v>-0.21684011179319787</v>
      </c>
      <c r="CG24" s="151" cm="1">
        <f t="array" aca="1" ref="CG24" ca="1">IFERROR(INDIRECT("Yr"&amp;IF($C$5=Year1,1,IF($C$5=Year2,2,IF($C$5=Year3,3,IF($C$5=Lookups!$D$40,"All"))))&amp;"!"&amp;CG$71&amp;$DE24)*100,0)</f>
        <v>-0.21684011179319787</v>
      </c>
      <c r="CH24" s="151" cm="1">
        <f t="array" aca="1" ref="CH24" ca="1">IFERROR(INDIRECT("Yr"&amp;IF($C$5=Year1,1,IF($C$5=Year2,2,IF($C$5=Year3,3,IF($C$5=Lookups!$D$40,"All"))))&amp;"!"&amp;CH$71&amp;$DE24)*100,0)</f>
        <v>-0.21684011179319787</v>
      </c>
      <c r="CI24" s="151" cm="1">
        <f t="array" aca="1" ref="CI24" ca="1">IFERROR(INDIRECT("Yr"&amp;IF($C$5=Year1,1,IF($C$5=Year2,2,IF($C$5=Year3,3,IF($C$5=Lookups!$D$40,"All"))))&amp;"!"&amp;CI$71&amp;$DE24)*100,0)</f>
        <v>-0.21684011179319787</v>
      </c>
      <c r="CJ24" s="151" cm="1">
        <f t="array" aca="1" ref="CJ24" ca="1">IFERROR(INDIRECT("Yr"&amp;IF($C$5=Year1,1,IF($C$5=Year2,2,IF($C$5=Year3,3,IF($C$5=Lookups!$D$40,"All"))))&amp;"!"&amp;CJ$71&amp;$DE24)*100,0)</f>
        <v>-0.21684011179319787</v>
      </c>
      <c r="CK24" s="151" cm="1">
        <f t="array" aca="1" ref="CK24" ca="1">IFERROR(INDIRECT("Yr"&amp;IF($C$5=Year1,1,IF($C$5=Year2,2,IF($C$5=Year3,3,IF($C$5=Lookups!$D$40,"All"))))&amp;"!"&amp;CK$71&amp;$DE24)*100,0)</f>
        <v>-0.21684011179319787</v>
      </c>
      <c r="CL24" s="151" cm="1">
        <f t="array" aca="1" ref="CL24" ca="1">IFERROR(INDIRECT("Yr"&amp;IF($C$5=Year1,1,IF($C$5=Year2,2,IF($C$5=Year3,3,IF($C$5=Lookups!$D$40,"All"))))&amp;"!"&amp;CL$71&amp;$DE24)*100,0)</f>
        <v>-0.21684011179319787</v>
      </c>
      <c r="CM24" s="151" cm="1">
        <f t="array" aca="1" ref="CM24" ca="1">IFERROR(INDIRECT("Yr"&amp;IF($C$5=Year1,1,IF($C$5=Year2,2,IF($C$5=Year3,3,IF($C$5=Lookups!$D$40,"All"))))&amp;"!"&amp;CM$71&amp;$DE24)*100,0)</f>
        <v>-0.21684011179319787</v>
      </c>
      <c r="CN24" s="151" cm="1">
        <f t="array" aca="1" ref="CN24" ca="1">IFERROR(INDIRECT("Yr"&amp;IF($C$5=Year1,1,IF($C$5=Year2,2,IF($C$5=Year3,3,IF($C$5=Lookups!$D$40,"All"))))&amp;"!"&amp;CN$71&amp;$DE24)*100,0)</f>
        <v>-0.21684011179319787</v>
      </c>
      <c r="CO24" s="151" cm="1">
        <f t="array" aca="1" ref="CO24" ca="1">IFERROR(INDIRECT("Yr"&amp;IF($C$5=Year1,1,IF($C$5=Year2,2,IF($C$5=Year3,3,IF($C$5=Lookups!$D$40,"All"))))&amp;"!"&amp;CO$71&amp;$DE24)*100,0)</f>
        <v>-0.21684011179319787</v>
      </c>
      <c r="CP24" s="151" cm="1">
        <f t="array" aca="1" ref="CP24" ca="1">IFERROR(INDIRECT("Yr"&amp;IF($C$5=Year1,1,IF($C$5=Year2,2,IF($C$5=Year3,3,IF($C$5=Lookups!$D$40,"All"))))&amp;"!"&amp;CP$71&amp;$DE24)*100,0)</f>
        <v>-0.1456769256095489</v>
      </c>
      <c r="CQ24" s="151" cm="1">
        <f t="array" aca="1" ref="CQ24" ca="1">IFERROR(INDIRECT("Yr"&amp;IF($C$5=Year1,1,IF($C$5=Year2,2,IF($C$5=Year3,3,IF($C$5=Lookups!$D$40,"All"))))&amp;"!"&amp;CQ$71&amp;$DE24)*100,0)</f>
        <v>-7.3181356979678522E-2</v>
      </c>
      <c r="CR24" s="151" cm="1">
        <f t="array" aca="1" ref="CR24" ca="1">IFERROR(INDIRECT("Yr"&amp;IF($C$5=Year1,1,IF($C$5=Year2,2,IF($C$5=Year3,3,IF($C$5=Lookups!$D$40,"All"))))&amp;"!"&amp;CR$71&amp;$DE24)*100,0)</f>
        <v>0</v>
      </c>
      <c r="CS24" s="151" cm="1">
        <f t="array" aca="1" ref="CS24" ca="1">IFERROR(INDIRECT("Yr"&amp;IF($C$5=Year1,1,IF($C$5=Year2,2,IF($C$5=Year3,3,IF($C$5=Lookups!$D$40,"All"))))&amp;"!"&amp;CS$71&amp;$DE24)*100,0)</f>
        <v>0</v>
      </c>
      <c r="CT24" s="151" cm="1">
        <f t="array" aca="1" ref="CT24" ca="1">IFERROR(INDIRECT("Yr"&amp;IF($C$5=Year1,1,IF($C$5=Year2,2,IF($C$5=Year3,3,IF($C$5=Lookups!$D$40,"All"))))&amp;"!"&amp;CT$71&amp;$DE24)*100,0)</f>
        <v>0</v>
      </c>
      <c r="CU24" s="151" cm="1">
        <f t="array" aca="1" ref="CU24" ca="1">IFERROR(INDIRECT("Yr"&amp;IF($C$5=Year1,1,IF($C$5=Year2,2,IF($C$5=Year3,3,IF($C$5=Lookups!$D$40,"All"))))&amp;"!"&amp;CU$71&amp;$DE24)*100,0)</f>
        <v>0</v>
      </c>
      <c r="CV24" s="151" cm="1">
        <f t="array" aca="1" ref="CV24" ca="1">IFERROR(INDIRECT("Yr"&amp;IF($C$5=Year1,1,IF($C$5=Year2,2,IF($C$5=Year3,3,IF($C$5=Lookups!$D$40,"All"))))&amp;"!"&amp;CV$71&amp;$DE24)*100,0)</f>
        <v>0</v>
      </c>
      <c r="CW24" s="151" cm="1">
        <f t="array" aca="1" ref="CW24" ca="1">IFERROR(INDIRECT("Yr"&amp;IF($C$5=Year1,1,IF($C$5=Year2,2,IF($C$5=Year3,3,IF($C$5=Lookups!$D$40,"All"))))&amp;"!"&amp;CW$71&amp;$DE24)*100,0)</f>
        <v>0</v>
      </c>
      <c r="CX24" s="151" cm="1">
        <f t="array" aca="1" ref="CX24" ca="1">IFERROR(INDIRECT("Yr"&amp;IF($C$5=Year1,1,IF($C$5=Year2,2,IF($C$5=Year3,3,IF($C$5=Lookups!$D$40,"All"))))&amp;"!"&amp;CX$71&amp;$DE24)*100,0)</f>
        <v>0</v>
      </c>
      <c r="CY24" s="151" cm="1">
        <f t="array" aca="1" ref="CY24" ca="1">IFERROR(INDIRECT("Yr"&amp;IF($C$5=Year1,1,IF($C$5=Year2,2,IF($C$5=Year3,3,IF($C$5=Lookups!$D$40,"All"))))&amp;"!"&amp;CY$71&amp;$DE24)*100,0)</f>
        <v>0</v>
      </c>
      <c r="CZ24" s="151" cm="1">
        <f t="array" aca="1" ref="CZ24" ca="1">IFERROR(INDIRECT("Yr"&amp;IF($C$5=Year1,1,IF($C$5=Year2,2,IF($C$5=Year3,3,IF($C$5=Lookups!$D$40,"All"))))&amp;"!"&amp;CZ$71&amp;$DE24)*100,0)</f>
        <v>0</v>
      </c>
      <c r="DA24" s="151"/>
      <c r="DB24" s="151"/>
      <c r="DE24" s="516">
        <f>DE23+DF24</f>
        <v>203</v>
      </c>
      <c r="DF24" s="526">
        <v>1</v>
      </c>
      <c r="DK24" s="421"/>
      <c r="DL24" s="421"/>
    </row>
    <row r="25" spans="3:116" x14ac:dyDescent="0.25">
      <c r="BV25" s="343"/>
      <c r="BW25" s="345"/>
      <c r="BX25" s="155" t="s">
        <v>175</v>
      </c>
      <c r="BY25" s="126" t="s">
        <v>409</v>
      </c>
      <c r="BZ25" s="151" cm="1">
        <f t="array" aca="1" ref="BZ25" ca="1">IFERROR(INDIRECT("Yr"&amp;IF($C$5=Year1,1,IF($C$5=Year2,2,IF($C$5=Year3,3,IF($C$5=Lookups!$D$40,"All"))))&amp;"!"&amp;BZ$71&amp;$DE25)*100,0)</f>
        <v>-3.8910087564747217E-2</v>
      </c>
      <c r="CA25" s="151" cm="1">
        <f t="array" aca="1" ref="CA25" ca="1">IFERROR(INDIRECT("Yr"&amp;IF($C$5=Year1,1,IF($C$5=Year2,2,IF($C$5=Year3,3,IF($C$5=Lookups!$D$40,"All"))))&amp;"!"&amp;CA$71&amp;$DE25)*100,0)</f>
        <v>-8.1329766485403895E-2</v>
      </c>
      <c r="CB25" s="151" cm="1">
        <f t="array" aca="1" ref="CB25" ca="1">IFERROR(INDIRECT("Yr"&amp;IF($C$5=Year1,1,IF($C$5=Year2,2,IF($C$5=Year3,3,IF($C$5=Lookups!$D$40,"All"))))&amp;"!"&amp;CB$71&amp;$DE25)*100,0)</f>
        <v>-0.12725287887160089</v>
      </c>
      <c r="CC25" s="151" cm="1">
        <f t="array" aca="1" ref="CC25" ca="1">IFERROR(INDIRECT("Yr"&amp;IF($C$5=Year1,1,IF($C$5=Year2,2,IF($C$5=Year3,3,IF($C$5=Lookups!$D$40,"All"))))&amp;"!"&amp;CC$71&amp;$DE25)*100,0)</f>
        <v>-0.12725287887160089</v>
      </c>
      <c r="CD25" s="151" cm="1">
        <f t="array" aca="1" ref="CD25" ca="1">IFERROR(INDIRECT("Yr"&amp;IF($C$5=Year1,1,IF($C$5=Year2,2,IF($C$5=Year3,3,IF($C$5=Lookups!$D$40,"All"))))&amp;"!"&amp;CD$71&amp;$DE25)*100,0)</f>
        <v>-0.12725287887160089</v>
      </c>
      <c r="CE25" s="151" cm="1">
        <f t="array" aca="1" ref="CE25" ca="1">IFERROR(INDIRECT("Yr"&amp;IF($C$5=Year1,1,IF($C$5=Year2,2,IF($C$5=Year3,3,IF($C$5=Lookups!$D$40,"All"))))&amp;"!"&amp;CE$71&amp;$DE25)*100,0)</f>
        <v>-0.12725287887160089</v>
      </c>
      <c r="CF25" s="151" cm="1">
        <f t="array" aca="1" ref="CF25" ca="1">IFERROR(INDIRECT("Yr"&amp;IF($C$5=Year1,1,IF($C$5=Year2,2,IF($C$5=Year3,3,IF($C$5=Lookups!$D$40,"All"))))&amp;"!"&amp;CF$71&amp;$DE25)*100,0)</f>
        <v>-0.12725287887160089</v>
      </c>
      <c r="CG25" s="151" cm="1">
        <f t="array" aca="1" ref="CG25" ca="1">IFERROR(INDIRECT("Yr"&amp;IF($C$5=Year1,1,IF($C$5=Year2,2,IF($C$5=Year3,3,IF($C$5=Lookups!$D$40,"All"))))&amp;"!"&amp;CG$71&amp;$DE25)*100,0)</f>
        <v>-0.12725287887160089</v>
      </c>
      <c r="CH25" s="151" cm="1">
        <f t="array" aca="1" ref="CH25" ca="1">IFERROR(INDIRECT("Yr"&amp;IF($C$5=Year1,1,IF($C$5=Year2,2,IF($C$5=Year3,3,IF($C$5=Lookups!$D$40,"All"))))&amp;"!"&amp;CH$71&amp;$DE25)*100,0)</f>
        <v>-0.12725287887160089</v>
      </c>
      <c r="CI25" s="151" cm="1">
        <f t="array" aca="1" ref="CI25" ca="1">IFERROR(INDIRECT("Yr"&amp;IF($C$5=Year1,1,IF($C$5=Year2,2,IF($C$5=Year3,3,IF($C$5=Lookups!$D$40,"All"))))&amp;"!"&amp;CI$71&amp;$DE25)*100,0)</f>
        <v>-0.12725287887160089</v>
      </c>
      <c r="CJ25" s="151" cm="1">
        <f t="array" aca="1" ref="CJ25" ca="1">IFERROR(INDIRECT("Yr"&amp;IF($C$5=Year1,1,IF($C$5=Year2,2,IF($C$5=Year3,3,IF($C$5=Lookups!$D$40,"All"))))&amp;"!"&amp;CJ$71&amp;$DE25)*100,0)</f>
        <v>-0.12725287887160089</v>
      </c>
      <c r="CK25" s="151" cm="1">
        <f t="array" aca="1" ref="CK25" ca="1">IFERROR(INDIRECT("Yr"&amp;IF($C$5=Year1,1,IF($C$5=Year2,2,IF($C$5=Year3,3,IF($C$5=Lookups!$D$40,"All"))))&amp;"!"&amp;CK$71&amp;$DE25)*100,0)</f>
        <v>-0.12725287887160089</v>
      </c>
      <c r="CL25" s="151" cm="1">
        <f t="array" aca="1" ref="CL25" ca="1">IFERROR(INDIRECT("Yr"&amp;IF($C$5=Year1,1,IF($C$5=Year2,2,IF($C$5=Year3,3,IF($C$5=Lookups!$D$40,"All"))))&amp;"!"&amp;CL$71&amp;$DE25)*100,0)</f>
        <v>-0.12725287887160089</v>
      </c>
      <c r="CM25" s="151" cm="1">
        <f t="array" aca="1" ref="CM25" ca="1">IFERROR(INDIRECT("Yr"&amp;IF($C$5=Year1,1,IF($C$5=Year2,2,IF($C$5=Year3,3,IF($C$5=Lookups!$D$40,"All"))))&amp;"!"&amp;CM$71&amp;$DE25)*100,0)</f>
        <v>-0.12725287887160089</v>
      </c>
      <c r="CN25" s="151" cm="1">
        <f t="array" aca="1" ref="CN25" ca="1">IFERROR(INDIRECT("Yr"&amp;IF($C$5=Year1,1,IF($C$5=Year2,2,IF($C$5=Year3,3,IF($C$5=Lookups!$D$40,"All"))))&amp;"!"&amp;CN$71&amp;$DE25)*100,0)</f>
        <v>-0.12725287887160089</v>
      </c>
      <c r="CO25" s="151" cm="1">
        <f t="array" aca="1" ref="CO25" ca="1">IFERROR(INDIRECT("Yr"&amp;IF($C$5=Year1,1,IF($C$5=Year2,2,IF($C$5=Year3,3,IF($C$5=Lookups!$D$40,"All"))))&amp;"!"&amp;CO$71&amp;$DE25)*100,0)</f>
        <v>-0.12725287887160089</v>
      </c>
      <c r="CP25" s="151" cm="1">
        <f t="array" aca="1" ref="CP25" ca="1">IFERROR(INDIRECT("Yr"&amp;IF($C$5=Year1,1,IF($C$5=Year2,2,IF($C$5=Year3,3,IF($C$5=Lookups!$D$40,"All"))))&amp;"!"&amp;CP$71&amp;$DE25)*100,0)</f>
        <v>-8.5472825484965168E-2</v>
      </c>
      <c r="CQ25" s="151" cm="1">
        <f t="array" aca="1" ref="CQ25" ca="1">IFERROR(INDIRECT("Yr"&amp;IF($C$5=Year1,1,IF($C$5=Year2,2,IF($C$5=Year3,3,IF($C$5=Lookups!$D$40,"All"))))&amp;"!"&amp;CQ$71&amp;$DE25)*100,0)</f>
        <v>-4.2910437384157521E-2</v>
      </c>
      <c r="CR25" s="151" cm="1">
        <f t="array" aca="1" ref="CR25" ca="1">IFERROR(INDIRECT("Yr"&amp;IF($C$5=Year1,1,IF($C$5=Year2,2,IF($C$5=Year3,3,IF($C$5=Lookups!$D$40,"All"))))&amp;"!"&amp;CR$71&amp;$DE25)*100,0)</f>
        <v>0</v>
      </c>
      <c r="CS25" s="151" cm="1">
        <f t="array" aca="1" ref="CS25" ca="1">IFERROR(INDIRECT("Yr"&amp;IF($C$5=Year1,1,IF($C$5=Year2,2,IF($C$5=Year3,3,IF($C$5=Lookups!$D$40,"All"))))&amp;"!"&amp;CS$71&amp;$DE25)*100,0)</f>
        <v>0</v>
      </c>
      <c r="CT25" s="151" cm="1">
        <f t="array" aca="1" ref="CT25" ca="1">IFERROR(INDIRECT("Yr"&amp;IF($C$5=Year1,1,IF($C$5=Year2,2,IF($C$5=Year3,3,IF($C$5=Lookups!$D$40,"All"))))&amp;"!"&amp;CT$71&amp;$DE25)*100,0)</f>
        <v>0</v>
      </c>
      <c r="CU25" s="151" cm="1">
        <f t="array" aca="1" ref="CU25" ca="1">IFERROR(INDIRECT("Yr"&amp;IF($C$5=Year1,1,IF($C$5=Year2,2,IF($C$5=Year3,3,IF($C$5=Lookups!$D$40,"All"))))&amp;"!"&amp;CU$71&amp;$DE25)*100,0)</f>
        <v>0</v>
      </c>
      <c r="CV25" s="151" cm="1">
        <f t="array" aca="1" ref="CV25" ca="1">IFERROR(INDIRECT("Yr"&amp;IF($C$5=Year1,1,IF($C$5=Year2,2,IF($C$5=Year3,3,IF($C$5=Lookups!$D$40,"All"))))&amp;"!"&amp;CV$71&amp;$DE25)*100,0)</f>
        <v>0</v>
      </c>
      <c r="CW25" s="151" cm="1">
        <f t="array" aca="1" ref="CW25" ca="1">IFERROR(INDIRECT("Yr"&amp;IF($C$5=Year1,1,IF($C$5=Year2,2,IF($C$5=Year3,3,IF($C$5=Lookups!$D$40,"All"))))&amp;"!"&amp;CW$71&amp;$DE25)*100,0)</f>
        <v>0</v>
      </c>
      <c r="CX25" s="151" cm="1">
        <f t="array" aca="1" ref="CX25" ca="1">IFERROR(INDIRECT("Yr"&amp;IF($C$5=Year1,1,IF($C$5=Year2,2,IF($C$5=Year3,3,IF($C$5=Lookups!$D$40,"All"))))&amp;"!"&amp;CX$71&amp;$DE25)*100,0)</f>
        <v>0</v>
      </c>
      <c r="CY25" s="151" cm="1">
        <f t="array" aca="1" ref="CY25" ca="1">IFERROR(INDIRECT("Yr"&amp;IF($C$5=Year1,1,IF($C$5=Year2,2,IF($C$5=Year3,3,IF($C$5=Lookups!$D$40,"All"))))&amp;"!"&amp;CY$71&amp;$DE25)*100,0)</f>
        <v>0</v>
      </c>
      <c r="CZ25" s="151" cm="1">
        <f t="array" aca="1" ref="CZ25" ca="1">IFERROR(INDIRECT("Yr"&amp;IF($C$5=Year1,1,IF($C$5=Year2,2,IF($C$5=Year3,3,IF($C$5=Lookups!$D$40,"All"))))&amp;"!"&amp;CZ$71&amp;$DE25)*100,0)</f>
        <v>0</v>
      </c>
      <c r="DA25" s="151"/>
      <c r="DB25" s="151"/>
      <c r="DE25" s="516">
        <f>DE24+DF25</f>
        <v>204</v>
      </c>
      <c r="DF25" s="526">
        <v>1</v>
      </c>
      <c r="DK25" s="421"/>
      <c r="DL25" s="421"/>
    </row>
    <row r="26" spans="3:116" x14ac:dyDescent="0.25">
      <c r="BV26" s="343"/>
      <c r="BW26" s="345"/>
      <c r="BX26" s="334" t="s">
        <v>405</v>
      </c>
      <c r="BY26" s="335" t="s">
        <v>409</v>
      </c>
      <c r="BZ26" s="151" cm="1">
        <f t="array" aca="1" ref="BZ26" ca="1">IFERROR(INDIRECT("Yr"&amp;IF($C$5=Year1,1,IF($C$5=Year2,2,IF($C$5=Year3,3,IF($C$5=Lookups!$D$40,"All"))))&amp;"!"&amp;BZ$71&amp;$DE26)*100,0)</f>
        <v>14.245258051119242</v>
      </c>
      <c r="CA26" s="151" cm="1">
        <f t="array" aca="1" ref="CA26" ca="1">IFERROR(INDIRECT("Yr"&amp;IF($C$5=Year1,1,IF($C$5=Year2,2,IF($C$5=Year3,3,IF($C$5=Lookups!$D$40,"All"))))&amp;"!"&amp;CA$71&amp;$DE26)*100,0)</f>
        <v>14.926911562058558</v>
      </c>
      <c r="CB26" s="151" cm="1">
        <f t="array" aca="1" ref="CB26" ca="1">IFERROR(INDIRECT("Yr"&amp;IF($C$5=Year1,1,IF($C$5=Year2,2,IF($C$5=Year3,3,IF($C$5=Lookups!$D$40,"All"))))&amp;"!"&amp;CB$71&amp;$DE26)*100,0)</f>
        <v>15.875101082198512</v>
      </c>
      <c r="CC26" s="151" cm="1">
        <f t="array" aca="1" ref="CC26" ca="1">IFERROR(INDIRECT("Yr"&amp;IF($C$5=Year1,1,IF($C$5=Year2,2,IF($C$5=Year3,3,IF($C$5=Lookups!$D$40,"All"))))&amp;"!"&amp;CC$71&amp;$DE26)*100,0)</f>
        <v>0</v>
      </c>
      <c r="CD26" s="151" cm="1">
        <f t="array" aca="1" ref="CD26" ca="1">IFERROR(INDIRECT("Yr"&amp;IF($C$5=Year1,1,IF($C$5=Year2,2,IF($C$5=Year3,3,IF($C$5=Lookups!$D$40,"All"))))&amp;"!"&amp;CD$71&amp;$DE26)*100,0)</f>
        <v>0</v>
      </c>
      <c r="CE26" s="151" cm="1">
        <f t="array" aca="1" ref="CE26" ca="1">IFERROR(INDIRECT("Yr"&amp;IF($C$5=Year1,1,IF($C$5=Year2,2,IF($C$5=Year3,3,IF($C$5=Lookups!$D$40,"All"))))&amp;"!"&amp;CE$71&amp;$DE26)*100,0)</f>
        <v>0</v>
      </c>
      <c r="CF26" s="151" cm="1">
        <f t="array" aca="1" ref="CF26" ca="1">IFERROR(INDIRECT("Yr"&amp;IF($C$5=Year1,1,IF($C$5=Year2,2,IF($C$5=Year3,3,IF($C$5=Lookups!$D$40,"All"))))&amp;"!"&amp;CF$71&amp;$DE26)*100,0)</f>
        <v>0</v>
      </c>
      <c r="CG26" s="151" cm="1">
        <f t="array" aca="1" ref="CG26" ca="1">IFERROR(INDIRECT("Yr"&amp;IF($C$5=Year1,1,IF($C$5=Year2,2,IF($C$5=Year3,3,IF($C$5=Lookups!$D$40,"All"))))&amp;"!"&amp;CG$71&amp;$DE26)*100,0)</f>
        <v>0</v>
      </c>
      <c r="CH26" s="151" cm="1">
        <f t="array" aca="1" ref="CH26" ca="1">IFERROR(INDIRECT("Yr"&amp;IF($C$5=Year1,1,IF($C$5=Year2,2,IF($C$5=Year3,3,IF($C$5=Lookups!$D$40,"All"))))&amp;"!"&amp;CH$71&amp;$DE26)*100,0)</f>
        <v>0</v>
      </c>
      <c r="CI26" s="151" cm="1">
        <f t="array" aca="1" ref="CI26" ca="1">IFERROR(INDIRECT("Yr"&amp;IF($C$5=Year1,1,IF($C$5=Year2,2,IF($C$5=Year3,3,IF($C$5=Lookups!$D$40,"All"))))&amp;"!"&amp;CI$71&amp;$DE26)*100,0)</f>
        <v>0</v>
      </c>
      <c r="CJ26" s="151" cm="1">
        <f t="array" aca="1" ref="CJ26" ca="1">IFERROR(INDIRECT("Yr"&amp;IF($C$5=Year1,1,IF($C$5=Year2,2,IF($C$5=Year3,3,IF($C$5=Lookups!$D$40,"All"))))&amp;"!"&amp;CJ$71&amp;$DE26)*100,0)</f>
        <v>0</v>
      </c>
      <c r="CK26" s="151" cm="1">
        <f t="array" aca="1" ref="CK26" ca="1">IFERROR(INDIRECT("Yr"&amp;IF($C$5=Year1,1,IF($C$5=Year2,2,IF($C$5=Year3,3,IF($C$5=Lookups!$D$40,"All"))))&amp;"!"&amp;CK$71&amp;$DE26)*100,0)</f>
        <v>0</v>
      </c>
      <c r="CL26" s="151" cm="1">
        <f t="array" aca="1" ref="CL26" ca="1">IFERROR(INDIRECT("Yr"&amp;IF($C$5=Year1,1,IF($C$5=Year2,2,IF($C$5=Year3,3,IF($C$5=Lookups!$D$40,"All"))))&amp;"!"&amp;CL$71&amp;$DE26)*100,0)</f>
        <v>0</v>
      </c>
      <c r="CM26" s="151" cm="1">
        <f t="array" aca="1" ref="CM26" ca="1">IFERROR(INDIRECT("Yr"&amp;IF($C$5=Year1,1,IF($C$5=Year2,2,IF($C$5=Year3,3,IF($C$5=Lookups!$D$40,"All"))))&amp;"!"&amp;CM$71&amp;$DE26)*100,0)</f>
        <v>0</v>
      </c>
      <c r="CN26" s="151" cm="1">
        <f t="array" aca="1" ref="CN26" ca="1">IFERROR(INDIRECT("Yr"&amp;IF($C$5=Year1,1,IF($C$5=Year2,2,IF($C$5=Year3,3,IF($C$5=Lookups!$D$40,"All"))))&amp;"!"&amp;CN$71&amp;$DE26)*100,0)</f>
        <v>0</v>
      </c>
      <c r="CO26" s="151" cm="1">
        <f t="array" aca="1" ref="CO26" ca="1">IFERROR(INDIRECT("Yr"&amp;IF($C$5=Year1,1,IF($C$5=Year2,2,IF($C$5=Year3,3,IF($C$5=Lookups!$D$40,"All"))))&amp;"!"&amp;CO$71&amp;$DE26)*100,0)</f>
        <v>0</v>
      </c>
      <c r="CP26" s="151" cm="1">
        <f t="array" aca="1" ref="CP26" ca="1">IFERROR(INDIRECT("Yr"&amp;IF($C$5=Year1,1,IF($C$5=Year2,2,IF($C$5=Year3,3,IF($C$5=Lookups!$D$40,"All"))))&amp;"!"&amp;CP$71&amp;$DE26)*100,0)</f>
        <v>0</v>
      </c>
      <c r="CQ26" s="151" cm="1">
        <f t="array" aca="1" ref="CQ26" ca="1">IFERROR(INDIRECT("Yr"&amp;IF($C$5=Year1,1,IF($C$5=Year2,2,IF($C$5=Year3,3,IF($C$5=Lookups!$D$40,"All"))))&amp;"!"&amp;CQ$71&amp;$DE26)*100,0)</f>
        <v>0</v>
      </c>
      <c r="CR26" s="151" cm="1">
        <f t="array" aca="1" ref="CR26" ca="1">IFERROR(INDIRECT("Yr"&amp;IF($C$5=Year1,1,IF($C$5=Year2,2,IF($C$5=Year3,3,IF($C$5=Lookups!$D$40,"All"))))&amp;"!"&amp;CR$71&amp;$DE26)*100,0)</f>
        <v>0</v>
      </c>
      <c r="CS26" s="151" cm="1">
        <f t="array" aca="1" ref="CS26" ca="1">IFERROR(INDIRECT("Yr"&amp;IF($C$5=Year1,1,IF($C$5=Year2,2,IF($C$5=Year3,3,IF($C$5=Lookups!$D$40,"All"))))&amp;"!"&amp;CS$71&amp;$DE26)*100,0)</f>
        <v>0</v>
      </c>
      <c r="CT26" s="151" cm="1">
        <f t="array" aca="1" ref="CT26" ca="1">IFERROR(INDIRECT("Yr"&amp;IF($C$5=Year1,1,IF($C$5=Year2,2,IF($C$5=Year3,3,IF($C$5=Lookups!$D$40,"All"))))&amp;"!"&amp;CT$71&amp;$DE26)*100,0)</f>
        <v>0</v>
      </c>
      <c r="CU26" s="151" cm="1">
        <f t="array" aca="1" ref="CU26" ca="1">IFERROR(INDIRECT("Yr"&amp;IF($C$5=Year1,1,IF($C$5=Year2,2,IF($C$5=Year3,3,IF($C$5=Lookups!$D$40,"All"))))&amp;"!"&amp;CU$71&amp;$DE26)*100,0)</f>
        <v>0</v>
      </c>
      <c r="CV26" s="151" cm="1">
        <f t="array" aca="1" ref="CV26" ca="1">IFERROR(INDIRECT("Yr"&amp;IF($C$5=Year1,1,IF($C$5=Year2,2,IF($C$5=Year3,3,IF($C$5=Lookups!$D$40,"All"))))&amp;"!"&amp;CV$71&amp;$DE26)*100,0)</f>
        <v>0</v>
      </c>
      <c r="CW26" s="151" cm="1">
        <f t="array" aca="1" ref="CW26" ca="1">IFERROR(INDIRECT("Yr"&amp;IF($C$5=Year1,1,IF($C$5=Year2,2,IF($C$5=Year3,3,IF($C$5=Lookups!$D$40,"All"))))&amp;"!"&amp;CW$71&amp;$DE26)*100,0)</f>
        <v>0</v>
      </c>
      <c r="CX26" s="151" cm="1">
        <f t="array" aca="1" ref="CX26" ca="1">IFERROR(INDIRECT("Yr"&amp;IF($C$5=Year1,1,IF($C$5=Year2,2,IF($C$5=Year3,3,IF($C$5=Lookups!$D$40,"All"))))&amp;"!"&amp;CX$71&amp;$DE26)*100,0)</f>
        <v>0</v>
      </c>
      <c r="CY26" s="151" cm="1">
        <f t="array" aca="1" ref="CY26" ca="1">IFERROR(INDIRECT("Yr"&amp;IF($C$5=Year1,1,IF($C$5=Year2,2,IF($C$5=Year3,3,IF($C$5=Lookups!$D$40,"All"))))&amp;"!"&amp;CY$71&amp;$DE26)*100,0)</f>
        <v>0</v>
      </c>
      <c r="CZ26" s="151" cm="1">
        <f t="array" aca="1" ref="CZ26" ca="1">IFERROR(INDIRECT("Yr"&amp;IF($C$5=Year1,1,IF($C$5=Year2,2,IF($C$5=Year3,3,IF($C$5=Lookups!$D$40,"All"))))&amp;"!"&amp;CZ$71&amp;$DE26)*100,0)</f>
        <v>0</v>
      </c>
      <c r="DA26" s="151"/>
      <c r="DB26" s="151"/>
      <c r="DE26" s="516">
        <f t="shared" ref="DE26:DE27" si="3">DE25+DF26</f>
        <v>207</v>
      </c>
      <c r="DF26" s="526">
        <v>3</v>
      </c>
      <c r="DK26" s="421"/>
      <c r="DL26" s="421"/>
    </row>
    <row r="27" spans="3:116" x14ac:dyDescent="0.25">
      <c r="BV27" s="343"/>
      <c r="BW27" s="345"/>
      <c r="BX27" s="336" t="s">
        <v>69</v>
      </c>
      <c r="BY27" s="337" t="s">
        <v>409</v>
      </c>
      <c r="BZ27" s="472" cm="1">
        <f t="array" aca="1" ref="BZ27" ca="1">IFERROR(INDIRECT("Yr"&amp;IF($C$5=Year1,1,IF($C$5=Year2,2,IF($C$5=Year3,3,IF($C$5=Lookups!$D$40,"All"))))&amp;"!"&amp;BZ$71&amp;$DE27)*100,0)</f>
        <v>0.63988561097471086</v>
      </c>
      <c r="CA27" s="472" cm="1">
        <f t="array" aca="1" ref="CA27" ca="1">IFERROR(INDIRECT("Yr"&amp;IF($C$5=Year1,1,IF($C$5=Year2,2,IF($C$5=Year3,3,IF($C$5=Lookups!$D$40,"All"))))&amp;"!"&amp;CA$71&amp;$DE27)*100,0)</f>
        <v>1.3350592497900937</v>
      </c>
      <c r="CB27" s="472" cm="1">
        <f t="array" aca="1" ref="CB27" ca="1">IFERROR(INDIRECT("Yr"&amp;IF($C$5=Year1,1,IF($C$5=Year2,2,IF($C$5=Year3,3,IF($C$5=Lookups!$D$40,"All"))))&amp;"!"&amp;CB$71&amp;$DE27)*100,0)</f>
        <v>2.0861339816160007</v>
      </c>
      <c r="CC27" s="472" cm="1">
        <f t="array" aca="1" ref="CC27" ca="1">IFERROR(INDIRECT("Yr"&amp;IF($C$5=Year1,1,IF($C$5=Year2,2,IF($C$5=Year3,3,IF($C$5=Lookups!$D$40,"All"))))&amp;"!"&amp;CC$71&amp;$DE27)*100,0)</f>
        <v>2.0861339816160007</v>
      </c>
      <c r="CD27" s="472" cm="1">
        <f t="array" aca="1" ref="CD27" ca="1">IFERROR(INDIRECT("Yr"&amp;IF($C$5=Year1,1,IF($C$5=Year2,2,IF($C$5=Year3,3,IF($C$5=Lookups!$D$40,"All"))))&amp;"!"&amp;CD$71&amp;$DE27)*100,0)</f>
        <v>2.0861339816160007</v>
      </c>
      <c r="CE27" s="472" cm="1">
        <f t="array" aca="1" ref="CE27" ca="1">IFERROR(INDIRECT("Yr"&amp;IF($C$5=Year1,1,IF($C$5=Year2,2,IF($C$5=Year3,3,IF($C$5=Lookups!$D$40,"All"))))&amp;"!"&amp;CE$71&amp;$DE27)*100,0)</f>
        <v>2.0861339816160007</v>
      </c>
      <c r="CF27" s="472" cm="1">
        <f t="array" aca="1" ref="CF27" ca="1">IFERROR(INDIRECT("Yr"&amp;IF($C$5=Year1,1,IF($C$5=Year2,2,IF($C$5=Year3,3,IF($C$5=Lookups!$D$40,"All"))))&amp;"!"&amp;CF$71&amp;$DE27)*100,0)</f>
        <v>2.0861339816160007</v>
      </c>
      <c r="CG27" s="472" cm="1">
        <f t="array" aca="1" ref="CG27" ca="1">IFERROR(INDIRECT("Yr"&amp;IF($C$5=Year1,1,IF($C$5=Year2,2,IF($C$5=Year3,3,IF($C$5=Lookups!$D$40,"All"))))&amp;"!"&amp;CG$71&amp;$DE27)*100,0)</f>
        <v>2.0861339816160007</v>
      </c>
      <c r="CH27" s="472" cm="1">
        <f t="array" aca="1" ref="CH27" ca="1">IFERROR(INDIRECT("Yr"&amp;IF($C$5=Year1,1,IF($C$5=Year2,2,IF($C$5=Year3,3,IF($C$5=Lookups!$D$40,"All"))))&amp;"!"&amp;CH$71&amp;$DE27)*100,0)</f>
        <v>2.0861339816160007</v>
      </c>
      <c r="CI27" s="472" cm="1">
        <f t="array" aca="1" ref="CI27" ca="1">IFERROR(INDIRECT("Yr"&amp;IF($C$5=Year1,1,IF($C$5=Year2,2,IF($C$5=Year3,3,IF($C$5=Lookups!$D$40,"All"))))&amp;"!"&amp;CI$71&amp;$DE27)*100,0)</f>
        <v>2.0861339816160007</v>
      </c>
      <c r="CJ27" s="472" cm="1">
        <f t="array" aca="1" ref="CJ27" ca="1">IFERROR(INDIRECT("Yr"&amp;IF($C$5=Year1,1,IF($C$5=Year2,2,IF($C$5=Year3,3,IF($C$5=Lookups!$D$40,"All"))))&amp;"!"&amp;CJ$71&amp;$DE27)*100,0)</f>
        <v>2.0861339816160007</v>
      </c>
      <c r="CK27" s="472" cm="1">
        <f t="array" aca="1" ref="CK27" ca="1">IFERROR(INDIRECT("Yr"&amp;IF($C$5=Year1,1,IF($C$5=Year2,2,IF($C$5=Year3,3,IF($C$5=Lookups!$D$40,"All"))))&amp;"!"&amp;CK$71&amp;$DE27)*100,0)</f>
        <v>2.0861339816160007</v>
      </c>
      <c r="CL27" s="472" cm="1">
        <f t="array" aca="1" ref="CL27" ca="1">IFERROR(INDIRECT("Yr"&amp;IF($C$5=Year1,1,IF($C$5=Year2,2,IF($C$5=Year3,3,IF($C$5=Lookups!$D$40,"All"))))&amp;"!"&amp;CL$71&amp;$DE27)*100,0)</f>
        <v>2.0861339816160007</v>
      </c>
      <c r="CM27" s="472" cm="1">
        <f t="array" aca="1" ref="CM27" ca="1">IFERROR(INDIRECT("Yr"&amp;IF($C$5=Year1,1,IF($C$5=Year2,2,IF($C$5=Year3,3,IF($C$5=Lookups!$D$40,"All"))))&amp;"!"&amp;CM$71&amp;$DE27)*100,0)</f>
        <v>2.0861339816160007</v>
      </c>
      <c r="CN27" s="472" cm="1">
        <f t="array" aca="1" ref="CN27" ca="1">IFERROR(INDIRECT("Yr"&amp;IF($C$5=Year1,1,IF($C$5=Year2,2,IF($C$5=Year3,3,IF($C$5=Lookups!$D$40,"All"))))&amp;"!"&amp;CN$71&amp;$DE27)*100,0)</f>
        <v>2.0861339816160007</v>
      </c>
      <c r="CO27" s="472" cm="1">
        <f t="array" aca="1" ref="CO27" ca="1">IFERROR(INDIRECT("Yr"&amp;IF($C$5=Year1,1,IF($C$5=Year2,2,IF($C$5=Year3,3,IF($C$5=Lookups!$D$40,"All"))))&amp;"!"&amp;CO$71&amp;$DE27)*100,0)</f>
        <v>2.0861339816160007</v>
      </c>
      <c r="CP27" s="472" cm="1">
        <f t="array" aca="1" ref="CP27" ca="1">IFERROR(INDIRECT("Yr"&amp;IF($C$5=Year1,1,IF($C$5=Year2,2,IF($C$5=Year3,3,IF($C$5=Lookups!$D$40,"All"))))&amp;"!"&amp;CP$71&amp;$DE27)*100,0)</f>
        <v>1.4038464822772156</v>
      </c>
      <c r="CQ27" s="472" cm="1">
        <f t="array" aca="1" ref="CQ27" ca="1">IFERROR(INDIRECT("Yr"&amp;IF($C$5=Year1,1,IF($C$5=Year2,2,IF($C$5=Year3,3,IF($C$5=Lookups!$D$40,"All"))))&amp;"!"&amp;CQ$71&amp;$DE27)*100,0)</f>
        <v>0.70654936287243286</v>
      </c>
      <c r="CR27" s="472" cm="1">
        <f t="array" aca="1" ref="CR27" ca="1">IFERROR(INDIRECT("Yr"&amp;IF($C$5=Year1,1,IF($C$5=Year2,2,IF($C$5=Year3,3,IF($C$5=Lookups!$D$40,"All"))))&amp;"!"&amp;CR$71&amp;$DE27)*100,0)</f>
        <v>0</v>
      </c>
      <c r="CS27" s="472" cm="1">
        <f t="array" aca="1" ref="CS27" ca="1">IFERROR(INDIRECT("Yr"&amp;IF($C$5=Year1,1,IF($C$5=Year2,2,IF($C$5=Year3,3,IF($C$5=Lookups!$D$40,"All"))))&amp;"!"&amp;CS$71&amp;$DE27)*100,0)</f>
        <v>0</v>
      </c>
      <c r="CT27" s="472" cm="1">
        <f t="array" aca="1" ref="CT27" ca="1">IFERROR(INDIRECT("Yr"&amp;IF($C$5=Year1,1,IF($C$5=Year2,2,IF($C$5=Year3,3,IF($C$5=Lookups!$D$40,"All"))))&amp;"!"&amp;CT$71&amp;$DE27)*100,0)</f>
        <v>0</v>
      </c>
      <c r="CU27" s="472" cm="1">
        <f t="array" aca="1" ref="CU27" ca="1">IFERROR(INDIRECT("Yr"&amp;IF($C$5=Year1,1,IF($C$5=Year2,2,IF($C$5=Year3,3,IF($C$5=Lookups!$D$40,"All"))))&amp;"!"&amp;CU$71&amp;$DE27)*100,0)</f>
        <v>0</v>
      </c>
      <c r="CV27" s="472" cm="1">
        <f t="array" aca="1" ref="CV27" ca="1">IFERROR(INDIRECT("Yr"&amp;IF($C$5=Year1,1,IF($C$5=Year2,2,IF($C$5=Year3,3,IF($C$5=Lookups!$D$40,"All"))))&amp;"!"&amp;CV$71&amp;$DE27)*100,0)</f>
        <v>0</v>
      </c>
      <c r="CW27" s="472" cm="1">
        <f t="array" aca="1" ref="CW27" ca="1">IFERROR(INDIRECT("Yr"&amp;IF($C$5=Year1,1,IF($C$5=Year2,2,IF($C$5=Year3,3,IF($C$5=Lookups!$D$40,"All"))))&amp;"!"&amp;CW$71&amp;$DE27)*100,0)</f>
        <v>0</v>
      </c>
      <c r="CX27" s="472" cm="1">
        <f t="array" aca="1" ref="CX27" ca="1">IFERROR(INDIRECT("Yr"&amp;IF($C$5=Year1,1,IF($C$5=Year2,2,IF($C$5=Year3,3,IF($C$5=Lookups!$D$40,"All"))))&amp;"!"&amp;CX$71&amp;$DE27)*100,0)</f>
        <v>0</v>
      </c>
      <c r="CY27" s="472" cm="1">
        <f t="array" aca="1" ref="CY27" ca="1">IFERROR(INDIRECT("Yr"&amp;IF($C$5=Year1,1,IF($C$5=Year2,2,IF($C$5=Year3,3,IF($C$5=Lookups!$D$40,"All"))))&amp;"!"&amp;CY$71&amp;$DE27)*100,0)</f>
        <v>0</v>
      </c>
      <c r="CZ27" s="472" cm="1">
        <f t="array" aca="1" ref="CZ27" ca="1">IFERROR(INDIRECT("Yr"&amp;IF($C$5=Year1,1,IF($C$5=Year2,2,IF($C$5=Year3,3,IF($C$5=Lookups!$D$40,"All"))))&amp;"!"&amp;CZ$71&amp;$DE27)*100,0)</f>
        <v>0</v>
      </c>
      <c r="DA27" s="151"/>
      <c r="DB27" s="472"/>
      <c r="DE27" s="516">
        <f t="shared" si="3"/>
        <v>208</v>
      </c>
      <c r="DF27" s="526">
        <v>1</v>
      </c>
      <c r="DK27" s="421"/>
      <c r="DL27" s="421"/>
    </row>
    <row r="28" spans="3:116" x14ac:dyDescent="0.25">
      <c r="BV28" s="343"/>
      <c r="BW28" s="345"/>
      <c r="BX28" s="155" t="s">
        <v>98</v>
      </c>
      <c r="BY28" s="126" t="s">
        <v>409</v>
      </c>
      <c r="BZ28" s="151">
        <f t="shared" ref="BZ28:CZ28" ca="1" si="4">SUM(BZ23:BZ25)</f>
        <v>-1.0771919809331731</v>
      </c>
      <c r="CA28" s="151">
        <f t="shared" ca="1" si="4"/>
        <v>-2.2515415075124379</v>
      </c>
      <c r="CB28" s="151">
        <f t="shared" ca="1" si="4"/>
        <v>-3.5244146302983679</v>
      </c>
      <c r="CC28" s="151">
        <f t="shared" ca="1" si="4"/>
        <v>-3.5244146302983679</v>
      </c>
      <c r="CD28" s="151">
        <f t="shared" ca="1" si="4"/>
        <v>-3.5244146302983679</v>
      </c>
      <c r="CE28" s="151">
        <f t="shared" ca="1" si="4"/>
        <v>-3.5244146302983679</v>
      </c>
      <c r="CF28" s="151">
        <f t="shared" ca="1" si="4"/>
        <v>-3.5244146302983679</v>
      </c>
      <c r="CG28" s="151">
        <f t="shared" ca="1" si="4"/>
        <v>-3.5244146302983679</v>
      </c>
      <c r="CH28" s="151">
        <f t="shared" ca="1" si="4"/>
        <v>-3.5244146302983679</v>
      </c>
      <c r="CI28" s="151">
        <f t="shared" ca="1" si="4"/>
        <v>-3.5244146302983679</v>
      </c>
      <c r="CJ28" s="151">
        <f t="shared" ca="1" si="4"/>
        <v>-3.5244146302983679</v>
      </c>
      <c r="CK28" s="151">
        <f t="shared" ca="1" si="4"/>
        <v>-3.5244146302983679</v>
      </c>
      <c r="CL28" s="151">
        <f t="shared" ca="1" si="4"/>
        <v>-3.5244146302983679</v>
      </c>
      <c r="CM28" s="151">
        <f t="shared" ca="1" si="4"/>
        <v>-3.5244146302983679</v>
      </c>
      <c r="CN28" s="151">
        <f t="shared" ca="1" si="4"/>
        <v>-3.5244146302983679</v>
      </c>
      <c r="CO28" s="151">
        <f t="shared" ca="1" si="4"/>
        <v>-3.5244146302983679</v>
      </c>
      <c r="CP28" s="151">
        <f t="shared" ca="1" si="4"/>
        <v>-2.3677446600345644</v>
      </c>
      <c r="CQ28" s="151">
        <f t="shared" ca="1" si="4"/>
        <v>-1.1894183633991209</v>
      </c>
      <c r="CR28" s="151">
        <f t="shared" ca="1" si="4"/>
        <v>0</v>
      </c>
      <c r="CS28" s="151">
        <f t="shared" ca="1" si="4"/>
        <v>0</v>
      </c>
      <c r="CT28" s="151">
        <f t="shared" ca="1" si="4"/>
        <v>0</v>
      </c>
      <c r="CU28" s="151">
        <f t="shared" ca="1" si="4"/>
        <v>0</v>
      </c>
      <c r="CV28" s="151">
        <f t="shared" ca="1" si="4"/>
        <v>0</v>
      </c>
      <c r="CW28" s="151">
        <f t="shared" ca="1" si="4"/>
        <v>0</v>
      </c>
      <c r="CX28" s="151">
        <f t="shared" ca="1" si="4"/>
        <v>0</v>
      </c>
      <c r="CY28" s="151">
        <f t="shared" ca="1" si="4"/>
        <v>0</v>
      </c>
      <c r="CZ28" s="151">
        <f t="shared" ca="1" si="4"/>
        <v>0</v>
      </c>
      <c r="DA28" s="151"/>
      <c r="DB28" s="151"/>
      <c r="DE28" s="516" t="s">
        <v>408</v>
      </c>
      <c r="DF28" s="529"/>
      <c r="DK28" s="421"/>
      <c r="DL28" s="421"/>
    </row>
    <row r="29" spans="3:116" x14ac:dyDescent="0.25">
      <c r="BV29" s="343"/>
      <c r="BW29" s="345"/>
      <c r="BX29" s="126" t="s">
        <v>99</v>
      </c>
      <c r="BY29" s="126" t="s">
        <v>409</v>
      </c>
      <c r="BZ29" s="151" cm="1">
        <f t="array" aca="1" ref="BZ29" ca="1">IFERROR(INDIRECT("Yr"&amp;IF($C$5=Year1,1,IF($C$5=Year2,2,IF($C$5=Year3,3,IF($C$5=Lookups!$D$40,"All"))))&amp;"!"&amp;BZ$71&amp;$DE29)*100,0)</f>
        <v>14.789526126986408</v>
      </c>
      <c r="CA29" s="151" cm="1">
        <f t="array" aca="1" ref="CA29" ca="1">IFERROR(INDIRECT("Yr"&amp;IF($C$5=Year1,1,IF($C$5=Year2,2,IF($C$5=Year3,3,IF($C$5=Lookups!$D$40,"All"))))&amp;"!"&amp;CA$71&amp;$DE29)*100,0)</f>
        <v>16.064458736757725</v>
      </c>
      <c r="CB29" s="151" cm="1">
        <f t="array" aca="1" ref="CB29" ca="1">IFERROR(INDIRECT("Yr"&amp;IF($C$5=Year1,1,IF($C$5=Year2,2,IF($C$5=Year3,3,IF($C$5=Lookups!$D$40,"All"))))&amp;"!"&amp;CB$71&amp;$DE29)*100,0)</f>
        <v>17.655961851361866</v>
      </c>
      <c r="CC29" s="151" cm="1">
        <f t="array" aca="1" ref="CC29" ca="1">IFERROR(INDIRECT("Yr"&amp;IF($C$5=Year1,1,IF($C$5=Year2,2,IF($C$5=Year3,3,IF($C$5=Lookups!$D$40,"All"))))&amp;"!"&amp;CC$71&amp;$DE29)*100,0)</f>
        <v>1.7808607691633505</v>
      </c>
      <c r="CD29" s="151" cm="1">
        <f t="array" aca="1" ref="CD29" ca="1">IFERROR(INDIRECT("Yr"&amp;IF($C$5=Year1,1,IF($C$5=Year2,2,IF($C$5=Year3,3,IF($C$5=Lookups!$D$40,"All"))))&amp;"!"&amp;CD$71&amp;$DE29)*100,0)</f>
        <v>1.7808607691633505</v>
      </c>
      <c r="CE29" s="151" cm="1">
        <f t="array" aca="1" ref="CE29" ca="1">IFERROR(INDIRECT("Yr"&amp;IF($C$5=Year1,1,IF($C$5=Year2,2,IF($C$5=Year3,3,IF($C$5=Lookups!$D$40,"All"))))&amp;"!"&amp;CE$71&amp;$DE29)*100,0)</f>
        <v>1.7808607691633505</v>
      </c>
      <c r="CF29" s="151" cm="1">
        <f t="array" aca="1" ref="CF29" ca="1">IFERROR(INDIRECT("Yr"&amp;IF($C$5=Year1,1,IF($C$5=Year2,2,IF($C$5=Year3,3,IF($C$5=Lookups!$D$40,"All"))))&amp;"!"&amp;CF$71&amp;$DE29)*100,0)</f>
        <v>1.7808607691633505</v>
      </c>
      <c r="CG29" s="151" cm="1">
        <f t="array" aca="1" ref="CG29" ca="1">IFERROR(INDIRECT("Yr"&amp;IF($C$5=Year1,1,IF($C$5=Year2,2,IF($C$5=Year3,3,IF($C$5=Lookups!$D$40,"All"))))&amp;"!"&amp;CG$71&amp;$DE29)*100,0)</f>
        <v>1.7808607691633505</v>
      </c>
      <c r="CH29" s="151" cm="1">
        <f t="array" aca="1" ref="CH29" ca="1">IFERROR(INDIRECT("Yr"&amp;IF($C$5=Year1,1,IF($C$5=Year2,2,IF($C$5=Year3,3,IF($C$5=Lookups!$D$40,"All"))))&amp;"!"&amp;CH$71&amp;$DE29)*100,0)</f>
        <v>1.7808607691633505</v>
      </c>
      <c r="CI29" s="151" cm="1">
        <f t="array" aca="1" ref="CI29" ca="1">IFERROR(INDIRECT("Yr"&amp;IF($C$5=Year1,1,IF($C$5=Year2,2,IF($C$5=Year3,3,IF($C$5=Lookups!$D$40,"All"))))&amp;"!"&amp;CI$71&amp;$DE29)*100,0)</f>
        <v>1.7808607691633505</v>
      </c>
      <c r="CJ29" s="151" cm="1">
        <f t="array" aca="1" ref="CJ29" ca="1">IFERROR(INDIRECT("Yr"&amp;IF($C$5=Year1,1,IF($C$5=Year2,2,IF($C$5=Year3,3,IF($C$5=Lookups!$D$40,"All"))))&amp;"!"&amp;CJ$71&amp;$DE29)*100,0)</f>
        <v>1.7808607691633505</v>
      </c>
      <c r="CK29" s="151" cm="1">
        <f t="array" aca="1" ref="CK29" ca="1">IFERROR(INDIRECT("Yr"&amp;IF($C$5=Year1,1,IF($C$5=Year2,2,IF($C$5=Year3,3,IF($C$5=Lookups!$D$40,"All"))))&amp;"!"&amp;CK$71&amp;$DE29)*100,0)</f>
        <v>1.7808607691633505</v>
      </c>
      <c r="CL29" s="151" cm="1">
        <f t="array" aca="1" ref="CL29" ca="1">IFERROR(INDIRECT("Yr"&amp;IF($C$5=Year1,1,IF($C$5=Year2,2,IF($C$5=Year3,3,IF($C$5=Lookups!$D$40,"All"))))&amp;"!"&amp;CL$71&amp;$DE29)*100,0)</f>
        <v>1.7808607691633505</v>
      </c>
      <c r="CM29" s="151" cm="1">
        <f t="array" aca="1" ref="CM29" ca="1">IFERROR(INDIRECT("Yr"&amp;IF($C$5=Year1,1,IF($C$5=Year2,2,IF($C$5=Year3,3,IF($C$5=Lookups!$D$40,"All"))))&amp;"!"&amp;CM$71&amp;$DE29)*100,0)</f>
        <v>1.7808607691633505</v>
      </c>
      <c r="CN29" s="151" cm="1">
        <f t="array" aca="1" ref="CN29" ca="1">IFERROR(INDIRECT("Yr"&amp;IF($C$5=Year1,1,IF($C$5=Year2,2,IF($C$5=Year3,3,IF($C$5=Lookups!$D$40,"All"))))&amp;"!"&amp;CN$71&amp;$DE29)*100,0)</f>
        <v>1.7808607691633505</v>
      </c>
      <c r="CO29" s="151" cm="1">
        <f t="array" aca="1" ref="CO29" ca="1">IFERROR(INDIRECT("Yr"&amp;IF($C$5=Year1,1,IF($C$5=Year2,2,IF($C$5=Year3,3,IF($C$5=Lookups!$D$40,"All"))))&amp;"!"&amp;CO$71&amp;$DE29)*100,0)</f>
        <v>1.7808607691633505</v>
      </c>
      <c r="CP29" s="151" cm="1">
        <f t="array" aca="1" ref="CP29" ca="1">IFERROR(INDIRECT("Yr"&amp;IF($C$5=Year1,1,IF($C$5=Year2,2,IF($C$5=Year3,3,IF($C$5=Lookups!$D$40,"All"))))&amp;"!"&amp;CP$71&amp;$DE29)*100,0)</f>
        <v>1.1964336111395912</v>
      </c>
      <c r="CQ29" s="151" cm="1">
        <f t="array" aca="1" ref="CQ29" ca="1">IFERROR(INDIRECT("Yr"&amp;IF($C$5=Year1,1,IF($C$5=Year2,2,IF($C$5=Year3,3,IF($C$5=Lookups!$D$40,"All"))))&amp;"!"&amp;CQ$71&amp;$DE29)*100,0)</f>
        <v>0.6011423349140399</v>
      </c>
      <c r="CR29" s="151" cm="1">
        <f t="array" aca="1" ref="CR29" ca="1">IFERROR(INDIRECT("Yr"&amp;IF($C$5=Year1,1,IF($C$5=Year2,2,IF($C$5=Year3,3,IF($C$5=Lookups!$D$40,"All"))))&amp;"!"&amp;CR$71&amp;$DE29)*100,0)</f>
        <v>0</v>
      </c>
      <c r="CS29" s="151" cm="1">
        <f t="array" aca="1" ref="CS29" ca="1">IFERROR(INDIRECT("Yr"&amp;IF($C$5=Year1,1,IF($C$5=Year2,2,IF($C$5=Year3,3,IF($C$5=Lookups!$D$40,"All"))))&amp;"!"&amp;CS$71&amp;$DE29)*100,0)</f>
        <v>0</v>
      </c>
      <c r="CT29" s="151" cm="1">
        <f t="array" aca="1" ref="CT29" ca="1">IFERROR(INDIRECT("Yr"&amp;IF($C$5=Year1,1,IF($C$5=Year2,2,IF($C$5=Year3,3,IF($C$5=Lookups!$D$40,"All"))))&amp;"!"&amp;CT$71&amp;$DE29)*100,0)</f>
        <v>0</v>
      </c>
      <c r="CU29" s="151" cm="1">
        <f t="array" aca="1" ref="CU29" ca="1">IFERROR(INDIRECT("Yr"&amp;IF($C$5=Year1,1,IF($C$5=Year2,2,IF($C$5=Year3,3,IF($C$5=Lookups!$D$40,"All"))))&amp;"!"&amp;CU$71&amp;$DE29)*100,0)</f>
        <v>0</v>
      </c>
      <c r="CV29" s="151" cm="1">
        <f t="array" aca="1" ref="CV29" ca="1">IFERROR(INDIRECT("Yr"&amp;IF($C$5=Year1,1,IF($C$5=Year2,2,IF($C$5=Year3,3,IF($C$5=Lookups!$D$40,"All"))))&amp;"!"&amp;CV$71&amp;$DE29)*100,0)</f>
        <v>0</v>
      </c>
      <c r="CW29" s="151" cm="1">
        <f t="array" aca="1" ref="CW29" ca="1">IFERROR(INDIRECT("Yr"&amp;IF($C$5=Year1,1,IF($C$5=Year2,2,IF($C$5=Year3,3,IF($C$5=Lookups!$D$40,"All"))))&amp;"!"&amp;CW$71&amp;$DE29)*100,0)</f>
        <v>0</v>
      </c>
      <c r="CX29" s="151" cm="1">
        <f t="array" aca="1" ref="CX29" ca="1">IFERROR(INDIRECT("Yr"&amp;IF($C$5=Year1,1,IF($C$5=Year2,2,IF($C$5=Year3,3,IF($C$5=Lookups!$D$40,"All"))))&amp;"!"&amp;CX$71&amp;$DE29)*100,0)</f>
        <v>0</v>
      </c>
      <c r="CY29" s="151" cm="1">
        <f t="array" aca="1" ref="CY29" ca="1">IFERROR(INDIRECT("Yr"&amp;IF($C$5=Year1,1,IF($C$5=Year2,2,IF($C$5=Year3,3,IF($C$5=Lookups!$D$40,"All"))))&amp;"!"&amp;CY$71&amp;$DE29)*100,0)</f>
        <v>0</v>
      </c>
      <c r="CZ29" s="151" cm="1">
        <f t="array" aca="1" ref="CZ29" ca="1">IFERROR(INDIRECT("Yr"&amp;IF($C$5=Year1,1,IF($C$5=Year2,2,IF($C$5=Year3,3,IF($C$5=Lookups!$D$40,"All"))))&amp;"!"&amp;CZ$71&amp;$DE29)*100,0)</f>
        <v>0</v>
      </c>
      <c r="DA29" s="151"/>
      <c r="DB29" s="151"/>
      <c r="DE29" s="515">
        <f>ROW('Yr1'!E59)+($DG$9*IF($C$4=Lookups!$D$26,0,IF($C$4=Lookups!$D$27,1,IF($C$4=Lookups!$D$28,2,IF($C$4=Lookups!$D$29,3)))))</f>
        <v>217</v>
      </c>
      <c r="DF29" s="529"/>
    </row>
    <row r="30" spans="3:116" x14ac:dyDescent="0.25">
      <c r="BV30" s="343"/>
      <c r="BW30" s="345"/>
      <c r="BX30" s="126" t="s">
        <v>100</v>
      </c>
      <c r="BY30" s="126" t="s">
        <v>409</v>
      </c>
      <c r="BZ30" s="151">
        <f ca="1">IF($C$5=Lookups!$D$40,AVERAGE($BZ29:$CZ29),AVERAGE($BZ29:$CX29))</f>
        <v>2.7206930614919718</v>
      </c>
      <c r="CA30" s="151">
        <f ca="1">IF($C$5=Lookups!$D$40,AVERAGE($BZ29:$CZ29),AVERAGE($BZ29:$CX29))</f>
        <v>2.7206930614919718</v>
      </c>
      <c r="CB30" s="151">
        <f ca="1">IF($C$5=Lookups!$D$40,AVERAGE($BZ29:$CZ29),AVERAGE($BZ29:$CX29))</f>
        <v>2.7206930614919718</v>
      </c>
      <c r="CC30" s="151">
        <f ca="1">IF($C$5=Lookups!$D$40,AVERAGE($BZ29:$CZ29),AVERAGE($BZ29:$CX29))</f>
        <v>2.7206930614919718</v>
      </c>
      <c r="CD30" s="151">
        <f ca="1">IF($C$5=Lookups!$D$40,AVERAGE($BZ29:$CZ29),AVERAGE($BZ29:$CX29))</f>
        <v>2.7206930614919718</v>
      </c>
      <c r="CE30" s="151">
        <f ca="1">IF($C$5=Lookups!$D$40,AVERAGE($BZ29:$CZ29),AVERAGE($BZ29:$CX29))</f>
        <v>2.7206930614919718</v>
      </c>
      <c r="CF30" s="151">
        <f ca="1">IF($C$5=Lookups!$D$40,AVERAGE($BZ29:$CZ29),AVERAGE($BZ29:$CX29))</f>
        <v>2.7206930614919718</v>
      </c>
      <c r="CG30" s="151">
        <f ca="1">IF($C$5=Lookups!$D$40,AVERAGE($BZ29:$CZ29),AVERAGE($BZ29:$CX29))</f>
        <v>2.7206930614919718</v>
      </c>
      <c r="CH30" s="151">
        <f ca="1">IF($C$5=Lookups!$D$40,AVERAGE($BZ29:$CZ29),AVERAGE($BZ29:$CX29))</f>
        <v>2.7206930614919718</v>
      </c>
      <c r="CI30" s="151">
        <f ca="1">IF($C$5=Lookups!$D$40,AVERAGE($BZ29:$CZ29),AVERAGE($BZ29:$CX29))</f>
        <v>2.7206930614919718</v>
      </c>
      <c r="CJ30" s="151">
        <f ca="1">IF($C$5=Lookups!$D$40,AVERAGE($BZ29:$CZ29),AVERAGE($BZ29:$CX29))</f>
        <v>2.7206930614919718</v>
      </c>
      <c r="CK30" s="151">
        <f ca="1">IF($C$5=Lookups!$D$40,AVERAGE($BZ29:$CZ29),AVERAGE($BZ29:$CX29))</f>
        <v>2.7206930614919718</v>
      </c>
      <c r="CL30" s="151">
        <f ca="1">IF($C$5=Lookups!$D$40,AVERAGE($BZ29:$CZ29),AVERAGE($BZ29:$CX29))</f>
        <v>2.7206930614919718</v>
      </c>
      <c r="CM30" s="151">
        <f ca="1">IF($C$5=Lookups!$D$40,AVERAGE($BZ29:$CZ29),AVERAGE($BZ29:$CX29))</f>
        <v>2.7206930614919718</v>
      </c>
      <c r="CN30" s="151">
        <f ca="1">IF($C$5=Lookups!$D$40,AVERAGE($BZ29:$CZ29),AVERAGE($BZ29:$CX29))</f>
        <v>2.7206930614919718</v>
      </c>
      <c r="CO30" s="151">
        <f ca="1">IF($C$5=Lookups!$D$40,AVERAGE($BZ29:$CZ29),AVERAGE($BZ29:$CX29))</f>
        <v>2.7206930614919718</v>
      </c>
      <c r="CP30" s="151">
        <f ca="1">IF($C$5=Lookups!$D$40,AVERAGE($BZ29:$CZ29),AVERAGE($BZ29:$CX29))</f>
        <v>2.7206930614919718</v>
      </c>
      <c r="CQ30" s="151">
        <f ca="1">IF($C$5=Lookups!$D$40,AVERAGE($BZ29:$CZ29),AVERAGE($BZ29:$CX29))</f>
        <v>2.7206930614919718</v>
      </c>
      <c r="CR30" s="151">
        <f ca="1">IF($C$5=Lookups!$D$40,AVERAGE($BZ29:$CZ29),AVERAGE($BZ29:$CX29))</f>
        <v>2.7206930614919718</v>
      </c>
      <c r="CS30" s="151">
        <f ca="1">IF($C$5=Lookups!$D$40,AVERAGE($BZ29:$CZ29),AVERAGE($BZ29:$CX29))</f>
        <v>2.7206930614919718</v>
      </c>
      <c r="CT30" s="151">
        <f ca="1">IF($C$5=Lookups!$D$40,AVERAGE($BZ29:$CZ29),AVERAGE($BZ29:$CX29))</f>
        <v>2.7206930614919718</v>
      </c>
      <c r="CU30" s="151">
        <f ca="1">IF($C$5=Lookups!$D$40,AVERAGE($BZ29:$CZ29),AVERAGE($BZ29:$CX29))</f>
        <v>2.7206930614919718</v>
      </c>
      <c r="CV30" s="151">
        <f ca="1">IF($C$5=Lookups!$D$40,AVERAGE($BZ29:$CZ29),AVERAGE($BZ29:$CX29))</f>
        <v>2.7206930614919718</v>
      </c>
      <c r="CW30" s="151">
        <f ca="1">IF($C$5=Lookups!$D$40,AVERAGE($BZ29:$CZ29),AVERAGE($BZ29:$CX29))</f>
        <v>2.7206930614919718</v>
      </c>
      <c r="CX30" s="151">
        <f ca="1">IF($C$5=Lookups!$D$40,AVERAGE($BZ29:$CZ29),AVERAGE($BZ29:$CX29))</f>
        <v>2.7206930614919718</v>
      </c>
      <c r="CY30" s="151">
        <f ca="1">IF($C$5=Lookups!$D$40,AVERAGE($BZ29:$CZ29),AVERAGE($BZ29:$CX29))</f>
        <v>2.7206930614919718</v>
      </c>
      <c r="CZ30" s="151">
        <f ca="1">IF($C$5=Lookups!$D$40,AVERAGE($BZ29:$CZ29),AVERAGE($BZ29:$CX29))</f>
        <v>2.7206930614919718</v>
      </c>
      <c r="DA30" s="151"/>
      <c r="DB30" s="151"/>
      <c r="DE30" s="516" t="s">
        <v>408</v>
      </c>
      <c r="DF30" s="529"/>
    </row>
    <row r="31" spans="3:116" x14ac:dyDescent="0.25">
      <c r="BV31" s="343"/>
      <c r="BW31" s="345"/>
      <c r="BX31" s="126" t="s">
        <v>99</v>
      </c>
      <c r="BY31" s="156" t="s">
        <v>16</v>
      </c>
      <c r="BZ31" s="183" cm="1">
        <f t="array" aca="1" ref="BZ31" ca="1">IFERROR(INDIRECT("Yr"&amp;IF($C$5=Year1,1,IF($C$5=Year2,2,IF($C$5=Year3,3,IF($C$5=Lookups!$D$40,"All"))))&amp;"!"&amp;BZ$71&amp;$DE31),0)</f>
        <v>0.11369149942461498</v>
      </c>
      <c r="CA31" s="183" cm="1">
        <f t="array" aca="1" ref="CA31" ca="1">IFERROR(INDIRECT("Yr"&amp;IF($C$5=Year1,1,IF($C$5=Year2,2,IF($C$5=Year3,3,IF($C$5=Lookups!$D$40,"All"))))&amp;"!"&amp;CA$71&amp;$DE31),0)</f>
        <v>0.12349228674029189</v>
      </c>
      <c r="CB31" s="183" cm="1">
        <f t="array" aca="1" ref="CB31" ca="1">IFERROR(INDIRECT("Yr"&amp;IF($C$5=Year1,1,IF($C$5=Year2,2,IF($C$5=Year3,3,IF($C$5=Lookups!$D$40,"All"))))&amp;"!"&amp;CB$71&amp;$DE31),0)</f>
        <v>0.1357266459675377</v>
      </c>
      <c r="CC31" s="183" cm="1">
        <f t="array" aca="1" ref="CC31" ca="1">IFERROR(INDIRECT("Yr"&amp;IF($C$5=Year1,1,IF($C$5=Year2,2,IF($C$5=Year3,3,IF($C$5=Lookups!$D$40,"All"))))&amp;"!"&amp;CC$71&amp;$DE31),0)</f>
        <v>1.3690008007978705E-2</v>
      </c>
      <c r="CD31" s="183" cm="1">
        <f t="array" aca="1" ref="CD31" ca="1">IFERROR(INDIRECT("Yr"&amp;IF($C$5=Year1,1,IF($C$5=Year2,2,IF($C$5=Year3,3,IF($C$5=Lookups!$D$40,"All"))))&amp;"!"&amp;CD$71&amp;$DE31),0)</f>
        <v>1.3690008007978705E-2</v>
      </c>
      <c r="CE31" s="183" cm="1">
        <f t="array" aca="1" ref="CE31" ca="1">IFERROR(INDIRECT("Yr"&amp;IF($C$5=Year1,1,IF($C$5=Year2,2,IF($C$5=Year3,3,IF($C$5=Lookups!$D$40,"All"))))&amp;"!"&amp;CE$71&amp;$DE31),0)</f>
        <v>1.3690008007978705E-2</v>
      </c>
      <c r="CF31" s="183" cm="1">
        <f t="array" aca="1" ref="CF31" ca="1">IFERROR(INDIRECT("Yr"&amp;IF($C$5=Year1,1,IF($C$5=Year2,2,IF($C$5=Year3,3,IF($C$5=Lookups!$D$40,"All"))))&amp;"!"&amp;CF$71&amp;$DE31),0)</f>
        <v>1.3690008007978705E-2</v>
      </c>
      <c r="CG31" s="183" cm="1">
        <f t="array" aca="1" ref="CG31" ca="1">IFERROR(INDIRECT("Yr"&amp;IF($C$5=Year1,1,IF($C$5=Year2,2,IF($C$5=Year3,3,IF($C$5=Lookups!$D$40,"All"))))&amp;"!"&amp;CG$71&amp;$DE31),0)</f>
        <v>1.3690008007978705E-2</v>
      </c>
      <c r="CH31" s="183" cm="1">
        <f t="array" aca="1" ref="CH31" ca="1">IFERROR(INDIRECT("Yr"&amp;IF($C$5=Year1,1,IF($C$5=Year2,2,IF($C$5=Year3,3,IF($C$5=Lookups!$D$40,"All"))))&amp;"!"&amp;CH$71&amp;$DE31),0)</f>
        <v>1.3690008007978705E-2</v>
      </c>
      <c r="CI31" s="183" cm="1">
        <f t="array" aca="1" ref="CI31" ca="1">IFERROR(INDIRECT("Yr"&amp;IF($C$5=Year1,1,IF($C$5=Year2,2,IF($C$5=Year3,3,IF($C$5=Lookups!$D$40,"All"))))&amp;"!"&amp;CI$71&amp;$DE31),0)</f>
        <v>1.3690008007978705E-2</v>
      </c>
      <c r="CJ31" s="183" cm="1">
        <f t="array" aca="1" ref="CJ31" ca="1">IFERROR(INDIRECT("Yr"&amp;IF($C$5=Year1,1,IF($C$5=Year2,2,IF($C$5=Year3,3,IF($C$5=Lookups!$D$40,"All"))))&amp;"!"&amp;CJ$71&amp;$DE31),0)</f>
        <v>1.3690008007978705E-2</v>
      </c>
      <c r="CK31" s="183" cm="1">
        <f t="array" aca="1" ref="CK31" ca="1">IFERROR(INDIRECT("Yr"&amp;IF($C$5=Year1,1,IF($C$5=Year2,2,IF($C$5=Year3,3,IF($C$5=Lookups!$D$40,"All"))))&amp;"!"&amp;CK$71&amp;$DE31),0)</f>
        <v>1.3690008007978705E-2</v>
      </c>
      <c r="CL31" s="183" cm="1">
        <f t="array" aca="1" ref="CL31" ca="1">IFERROR(INDIRECT("Yr"&amp;IF($C$5=Year1,1,IF($C$5=Year2,2,IF($C$5=Year3,3,IF($C$5=Lookups!$D$40,"All"))))&amp;"!"&amp;CL$71&amp;$DE31),0)</f>
        <v>1.3690008007978705E-2</v>
      </c>
      <c r="CM31" s="183" cm="1">
        <f t="array" aca="1" ref="CM31" ca="1">IFERROR(INDIRECT("Yr"&amp;IF($C$5=Year1,1,IF($C$5=Year2,2,IF($C$5=Year3,3,IF($C$5=Lookups!$D$40,"All"))))&amp;"!"&amp;CM$71&amp;$DE31),0)</f>
        <v>1.3690008007978705E-2</v>
      </c>
      <c r="CN31" s="183" cm="1">
        <f t="array" aca="1" ref="CN31" ca="1">IFERROR(INDIRECT("Yr"&amp;IF($C$5=Year1,1,IF($C$5=Year2,2,IF($C$5=Year3,3,IF($C$5=Lookups!$D$40,"All"))))&amp;"!"&amp;CN$71&amp;$DE31),0)</f>
        <v>1.3690008007978705E-2</v>
      </c>
      <c r="CO31" s="183" cm="1">
        <f t="array" aca="1" ref="CO31" ca="1">IFERROR(INDIRECT("Yr"&amp;IF($C$5=Year1,1,IF($C$5=Year2,2,IF($C$5=Year3,3,IF($C$5=Lookups!$D$40,"All"))))&amp;"!"&amp;CO$71&amp;$DE31),0)</f>
        <v>1.3690008007978705E-2</v>
      </c>
      <c r="CP31" s="183" cm="1">
        <f t="array" aca="1" ref="CP31" ca="1">IFERROR(INDIRECT("Yr"&amp;IF($C$5=Year1,1,IF($C$5=Year2,2,IF($C$5=Year3,3,IF($C$5=Lookups!$D$40,"All"))))&amp;"!"&amp;CP$71&amp;$DE31),0)</f>
        <v>9.1973420949751361E-3</v>
      </c>
      <c r="CQ31" s="183" cm="1">
        <f t="array" aca="1" ref="CQ31" ca="1">IFERROR(INDIRECT("Yr"&amp;IF($C$5=Year1,1,IF($C$5=Year2,2,IF($C$5=Year3,3,IF($C$5=Lookups!$D$40,"All"))))&amp;"!"&amp;CQ$71&amp;$DE31),0)</f>
        <v>4.621160464315599E-3</v>
      </c>
      <c r="CR31" s="183" cm="1">
        <f t="array" aca="1" ref="CR31" ca="1">IFERROR(INDIRECT("Yr"&amp;IF($C$5=Year1,1,IF($C$5=Year2,2,IF($C$5=Year3,3,IF($C$5=Lookups!$D$40,"All"))))&amp;"!"&amp;CR$71&amp;$DE31),0)</f>
        <v>0</v>
      </c>
      <c r="CS31" s="183" cm="1">
        <f t="array" aca="1" ref="CS31" ca="1">IFERROR(INDIRECT("Yr"&amp;IF($C$5=Year1,1,IF($C$5=Year2,2,IF($C$5=Year3,3,IF($C$5=Lookups!$D$40,"All"))))&amp;"!"&amp;CS$71&amp;$DE31),0)</f>
        <v>0</v>
      </c>
      <c r="CT31" s="183" cm="1">
        <f t="array" aca="1" ref="CT31" ca="1">IFERROR(INDIRECT("Yr"&amp;IF($C$5=Year1,1,IF($C$5=Year2,2,IF($C$5=Year3,3,IF($C$5=Lookups!$D$40,"All"))))&amp;"!"&amp;CT$71&amp;$DE31),0)</f>
        <v>0</v>
      </c>
      <c r="CU31" s="183" cm="1">
        <f t="array" aca="1" ref="CU31" ca="1">IFERROR(INDIRECT("Yr"&amp;IF($C$5=Year1,1,IF($C$5=Year2,2,IF($C$5=Year3,3,IF($C$5=Lookups!$D$40,"All"))))&amp;"!"&amp;CU$71&amp;$DE31),0)</f>
        <v>0</v>
      </c>
      <c r="CV31" s="183" cm="1">
        <f t="array" aca="1" ref="CV31" ca="1">IFERROR(INDIRECT("Yr"&amp;IF($C$5=Year1,1,IF($C$5=Year2,2,IF($C$5=Year3,3,IF($C$5=Lookups!$D$40,"All"))))&amp;"!"&amp;CV$71&amp;$DE31),0)</f>
        <v>0</v>
      </c>
      <c r="CW31" s="183" cm="1">
        <f t="array" aca="1" ref="CW31" ca="1">IFERROR(INDIRECT("Yr"&amp;IF($C$5=Year1,1,IF($C$5=Year2,2,IF($C$5=Year3,3,IF($C$5=Lookups!$D$40,"All"))))&amp;"!"&amp;CW$71&amp;$DE31),0)</f>
        <v>0</v>
      </c>
      <c r="CX31" s="183" cm="1">
        <f t="array" aca="1" ref="CX31" ca="1">IFERROR(INDIRECT("Yr"&amp;IF($C$5=Year1,1,IF($C$5=Year2,2,IF($C$5=Year3,3,IF($C$5=Lookups!$D$40,"All"))))&amp;"!"&amp;CX$71&amp;$DE31),0)</f>
        <v>0</v>
      </c>
      <c r="CY31" s="183" cm="1">
        <f t="array" aca="1" ref="CY31" ca="1">IFERROR(INDIRECT("Yr"&amp;IF($C$5=Year1,1,IF($C$5=Year2,2,IF($C$5=Year3,3,IF($C$5=Lookups!$D$40,"All"))))&amp;"!"&amp;CY$71&amp;$DE31),0)</f>
        <v>0</v>
      </c>
      <c r="CZ31" s="183" cm="1">
        <f t="array" aca="1" ref="CZ31" ca="1">IFERROR(INDIRECT("Yr"&amp;IF($C$5=Year1,1,IF($C$5=Year2,2,IF($C$5=Year3,3,IF($C$5=Lookups!$D$40,"All"))))&amp;"!"&amp;CZ$71&amp;$DE31),0)</f>
        <v>0</v>
      </c>
      <c r="DA31" s="157"/>
      <c r="DB31" s="183"/>
      <c r="DE31" s="516">
        <f>DE29+DF31</f>
        <v>218</v>
      </c>
      <c r="DF31" s="526">
        <v>1</v>
      </c>
    </row>
    <row r="32" spans="3:116" x14ac:dyDescent="0.25">
      <c r="BV32" s="343"/>
      <c r="BW32" s="345"/>
      <c r="BX32" s="126" t="s">
        <v>100</v>
      </c>
      <c r="BY32" s="156" t="s">
        <v>16</v>
      </c>
      <c r="BZ32" s="157">
        <f ca="1">IF($C$5=Lookups!$D$40,AVERAGE($BZ31:$CZ31),AVERAGE($BZ31:$CX31))</f>
        <v>2.0914779214646611E-2</v>
      </c>
      <c r="CA32" s="157">
        <f ca="1">IF($C$5=Lookups!$D$40,AVERAGE($BZ31:$CZ31),AVERAGE($BZ31:$CX31))</f>
        <v>2.0914779214646611E-2</v>
      </c>
      <c r="CB32" s="157">
        <f ca="1">IF($C$5=Lookups!$D$40,AVERAGE($BZ31:$CZ31),AVERAGE($BZ31:$CX31))</f>
        <v>2.0914779214646611E-2</v>
      </c>
      <c r="CC32" s="157">
        <f ca="1">IF($C$5=Lookups!$D$40,AVERAGE($BZ31:$CZ31),AVERAGE($BZ31:$CX31))</f>
        <v>2.0914779214646611E-2</v>
      </c>
      <c r="CD32" s="157">
        <f ca="1">IF($C$5=Lookups!$D$40,AVERAGE($BZ31:$CZ31),AVERAGE($BZ31:$CX31))</f>
        <v>2.0914779214646611E-2</v>
      </c>
      <c r="CE32" s="157">
        <f ca="1">IF($C$5=Lookups!$D$40,AVERAGE($BZ31:$CZ31),AVERAGE($BZ31:$CX31))</f>
        <v>2.0914779214646611E-2</v>
      </c>
      <c r="CF32" s="157">
        <f ca="1">IF($C$5=Lookups!$D$40,AVERAGE($BZ31:$CZ31),AVERAGE($BZ31:$CX31))</f>
        <v>2.0914779214646611E-2</v>
      </c>
      <c r="CG32" s="157">
        <f ca="1">IF($C$5=Lookups!$D$40,AVERAGE($BZ31:$CZ31),AVERAGE($BZ31:$CX31))</f>
        <v>2.0914779214646611E-2</v>
      </c>
      <c r="CH32" s="157">
        <f ca="1">IF($C$5=Lookups!$D$40,AVERAGE($BZ31:$CZ31),AVERAGE($BZ31:$CX31))</f>
        <v>2.0914779214646611E-2</v>
      </c>
      <c r="CI32" s="157">
        <f ca="1">IF($C$5=Lookups!$D$40,AVERAGE($BZ31:$CZ31),AVERAGE($BZ31:$CX31))</f>
        <v>2.0914779214646611E-2</v>
      </c>
      <c r="CJ32" s="157">
        <f ca="1">IF($C$5=Lookups!$D$40,AVERAGE($BZ31:$CZ31),AVERAGE($BZ31:$CX31))</f>
        <v>2.0914779214646611E-2</v>
      </c>
      <c r="CK32" s="157">
        <f ca="1">IF($C$5=Lookups!$D$40,AVERAGE($BZ31:$CZ31),AVERAGE($BZ31:$CX31))</f>
        <v>2.0914779214646611E-2</v>
      </c>
      <c r="CL32" s="157">
        <f ca="1">IF($C$5=Lookups!$D$40,AVERAGE($BZ31:$CZ31),AVERAGE($BZ31:$CX31))</f>
        <v>2.0914779214646611E-2</v>
      </c>
      <c r="CM32" s="157">
        <f ca="1">IF($C$5=Lookups!$D$40,AVERAGE($BZ31:$CZ31),AVERAGE($BZ31:$CX31))</f>
        <v>2.0914779214646611E-2</v>
      </c>
      <c r="CN32" s="157">
        <f ca="1">IF($C$5=Lookups!$D$40,AVERAGE($BZ31:$CZ31),AVERAGE($BZ31:$CX31))</f>
        <v>2.0914779214646611E-2</v>
      </c>
      <c r="CO32" s="157">
        <f ca="1">IF($C$5=Lookups!$D$40,AVERAGE($BZ31:$CZ31),AVERAGE($BZ31:$CX31))</f>
        <v>2.0914779214646611E-2</v>
      </c>
      <c r="CP32" s="157">
        <f ca="1">IF($C$5=Lookups!$D$40,AVERAGE($BZ31:$CZ31),AVERAGE($BZ31:$CX31))</f>
        <v>2.0914779214646611E-2</v>
      </c>
      <c r="CQ32" s="157">
        <f ca="1">IF($C$5=Lookups!$D$40,AVERAGE($BZ31:$CZ31),AVERAGE($BZ31:$CX31))</f>
        <v>2.0914779214646611E-2</v>
      </c>
      <c r="CR32" s="157">
        <f ca="1">IF($C$5=Lookups!$D$40,AVERAGE($BZ31:$CZ31),AVERAGE($BZ31:$CX31))</f>
        <v>2.0914779214646611E-2</v>
      </c>
      <c r="CS32" s="157">
        <f ca="1">IF($C$5=Lookups!$D$40,AVERAGE($BZ31:$CZ31),AVERAGE($BZ31:$CX31))</f>
        <v>2.0914779214646611E-2</v>
      </c>
      <c r="CT32" s="157">
        <f ca="1">IF($C$5=Lookups!$D$40,AVERAGE($BZ31:$CZ31),AVERAGE($BZ31:$CX31))</f>
        <v>2.0914779214646611E-2</v>
      </c>
      <c r="CU32" s="157">
        <f ca="1">IF($C$5=Lookups!$D$40,AVERAGE($BZ31:$CZ31),AVERAGE($BZ31:$CX31))</f>
        <v>2.0914779214646611E-2</v>
      </c>
      <c r="CV32" s="157">
        <f ca="1">IF($C$5=Lookups!$D$40,AVERAGE($BZ31:$CZ31),AVERAGE($BZ31:$CX31))</f>
        <v>2.0914779214646611E-2</v>
      </c>
      <c r="CW32" s="157">
        <f ca="1">IF($C$5=Lookups!$D$40,AVERAGE($BZ31:$CZ31),AVERAGE($BZ31:$CX31))</f>
        <v>2.0914779214646611E-2</v>
      </c>
      <c r="CX32" s="157">
        <f ca="1">IF($C$5=Lookups!$D$40,AVERAGE($BZ31:$CZ31),AVERAGE($BZ31:$CX31))</f>
        <v>2.0914779214646611E-2</v>
      </c>
      <c r="CY32" s="157">
        <f ca="1">IF($C$5=Lookups!$D$40,AVERAGE($BZ31:$CZ31),AVERAGE($BZ31:$CX31))</f>
        <v>2.0914779214646611E-2</v>
      </c>
      <c r="CZ32" s="157">
        <f ca="1">IF($C$5=Lookups!$D$40,AVERAGE($BZ31:$CZ31),AVERAGE($BZ31:$CX31))</f>
        <v>2.0914779214646611E-2</v>
      </c>
      <c r="DA32" s="157"/>
      <c r="DB32" s="157"/>
      <c r="DE32" s="516" t="s">
        <v>408</v>
      </c>
    </row>
    <row r="33" spans="3:114" x14ac:dyDescent="0.25">
      <c r="BV33" s="343"/>
      <c r="BW33" s="345"/>
      <c r="BX33" s="180" t="str">
        <f ca="1">"Levelized net change "&amp;TEXT(DB33,"0.0%")</f>
        <v>Levelized net change 2.4%</v>
      </c>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57"/>
      <c r="DB33" s="722" cm="1">
        <f t="array" aca="1" ref="DB33" ca="1">IFERROR(INDIRECT("Yr"&amp;IF($C$5=Year1,1,IF($C$5=Year2,2,IF($C$5=Year3,3,IF($C$5=Lookups!$D$40,"All"))))&amp;"!"&amp;DB$73&amp;$DE33),0)</f>
        <v>2.3663015482880967E-2</v>
      </c>
      <c r="DE33" s="527">
        <f>DE31</f>
        <v>218</v>
      </c>
    </row>
    <row r="34" spans="3:114" x14ac:dyDescent="0.25">
      <c r="BV34" s="343"/>
      <c r="BW34" s="345"/>
      <c r="BX34" s="126"/>
      <c r="BY34" s="126"/>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E34" s="527"/>
    </row>
    <row r="35" spans="3:114" ht="18.75" x14ac:dyDescent="0.3">
      <c r="BV35" s="92" t="str">
        <f>Lookups!$D$24&amp;" v "&amp;Lookups!$D$22</f>
        <v>Alternative EE v No EE</v>
      </c>
      <c r="BW35" s="92"/>
      <c r="BX35" s="129"/>
      <c r="BY35" s="129"/>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E35" s="528"/>
    </row>
    <row r="36" spans="3:114" x14ac:dyDescent="0.25">
      <c r="BV36" s="343"/>
      <c r="BW36" s="160" t="s">
        <v>30</v>
      </c>
      <c r="BX36" s="131"/>
      <c r="BY36" s="131"/>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E36" s="527"/>
    </row>
    <row r="37" spans="3:114" x14ac:dyDescent="0.25">
      <c r="BV37" s="343"/>
      <c r="BW37" s="346"/>
      <c r="BX37" s="131" t="s">
        <v>95</v>
      </c>
      <c r="BY37" s="131" t="s">
        <v>409</v>
      </c>
      <c r="BZ37" s="152" cm="1">
        <f t="array" aca="1" ref="BZ37" ca="1">IFERROR(INDIRECT("Yr"&amp;IF($C$5=Year1,1,IF($C$5=Year2,2,IF($C$5=Year3,3,IF($C$5=Lookups!$D$40,"All"))))&amp;"!"&amp;BZ$72&amp;$DE37)*100,0)</f>
        <v>28.453457229491285</v>
      </c>
      <c r="CA37" s="152" cm="1">
        <f t="array" aca="1" ref="CA37" ca="1">IFERROR(INDIRECT("Yr"&amp;IF($C$5=Year1,1,IF($C$5=Year2,2,IF($C$5=Year3,3,IF($C$5=Lookups!$D$40,"All"))))&amp;"!"&amp;CA$72&amp;$DE37)*100,0)</f>
        <v>28.453457229491285</v>
      </c>
      <c r="CB37" s="152" cm="1">
        <f t="array" aca="1" ref="CB37" ca="1">IFERROR(INDIRECT("Yr"&amp;IF($C$5=Year1,1,IF($C$5=Year2,2,IF($C$5=Year3,3,IF($C$5=Lookups!$D$40,"All"))))&amp;"!"&amp;CB$72&amp;$DE37)*100,0)</f>
        <v>28.453457229491285</v>
      </c>
      <c r="CC37" s="152" cm="1">
        <f t="array" aca="1" ref="CC37" ca="1">IFERROR(INDIRECT("Yr"&amp;IF($C$5=Year1,1,IF($C$5=Year2,2,IF($C$5=Year3,3,IF($C$5=Lookups!$D$40,"All"))))&amp;"!"&amp;CC$72&amp;$DE37)*100,0)</f>
        <v>28.453457229491285</v>
      </c>
      <c r="CD37" s="152" cm="1">
        <f t="array" aca="1" ref="CD37" ca="1">IFERROR(INDIRECT("Yr"&amp;IF($C$5=Year1,1,IF($C$5=Year2,2,IF($C$5=Year3,3,IF($C$5=Lookups!$D$40,"All"))))&amp;"!"&amp;CD$72&amp;$DE37)*100,0)</f>
        <v>28.453457229491285</v>
      </c>
      <c r="CE37" s="152" cm="1">
        <f t="array" aca="1" ref="CE37" ca="1">IFERROR(INDIRECT("Yr"&amp;IF($C$5=Year1,1,IF($C$5=Year2,2,IF($C$5=Year3,3,IF($C$5=Lookups!$D$40,"All"))))&amp;"!"&amp;CE$72&amp;$DE37)*100,0)</f>
        <v>28.453457229491285</v>
      </c>
      <c r="CF37" s="152" cm="1">
        <f t="array" aca="1" ref="CF37" ca="1">IFERROR(INDIRECT("Yr"&amp;IF($C$5=Year1,1,IF($C$5=Year2,2,IF($C$5=Year3,3,IF($C$5=Lookups!$D$40,"All"))))&amp;"!"&amp;CF$72&amp;$DE37)*100,0)</f>
        <v>28.453457229491285</v>
      </c>
      <c r="CG37" s="152" cm="1">
        <f t="array" aca="1" ref="CG37" ca="1">IFERROR(INDIRECT("Yr"&amp;IF($C$5=Year1,1,IF($C$5=Year2,2,IF($C$5=Year3,3,IF($C$5=Lookups!$D$40,"All"))))&amp;"!"&amp;CG$72&amp;$DE37)*100,0)</f>
        <v>28.453457229491285</v>
      </c>
      <c r="CH37" s="152" cm="1">
        <f t="array" aca="1" ref="CH37" ca="1">IFERROR(INDIRECT("Yr"&amp;IF($C$5=Year1,1,IF($C$5=Year2,2,IF($C$5=Year3,3,IF($C$5=Lookups!$D$40,"All"))))&amp;"!"&amp;CH$72&amp;$DE37)*100,0)</f>
        <v>28.453457229491285</v>
      </c>
      <c r="CI37" s="152" cm="1">
        <f t="array" aca="1" ref="CI37" ca="1">IFERROR(INDIRECT("Yr"&amp;IF($C$5=Year1,1,IF($C$5=Year2,2,IF($C$5=Year3,3,IF($C$5=Lookups!$D$40,"All"))))&amp;"!"&amp;CI$72&amp;$DE37)*100,0)</f>
        <v>28.453457229491285</v>
      </c>
      <c r="CJ37" s="152" cm="1">
        <f t="array" aca="1" ref="CJ37" ca="1">IFERROR(INDIRECT("Yr"&amp;IF($C$5=Year1,1,IF($C$5=Year2,2,IF($C$5=Year3,3,IF($C$5=Lookups!$D$40,"All"))))&amp;"!"&amp;CJ$72&amp;$DE37)*100,0)</f>
        <v>28.453457229491285</v>
      </c>
      <c r="CK37" s="152" cm="1">
        <f t="array" aca="1" ref="CK37" ca="1">IFERROR(INDIRECT("Yr"&amp;IF($C$5=Year1,1,IF($C$5=Year2,2,IF($C$5=Year3,3,IF($C$5=Lookups!$D$40,"All"))))&amp;"!"&amp;CK$72&amp;$DE37)*100,0)</f>
        <v>28.453457229491285</v>
      </c>
      <c r="CL37" s="152" cm="1">
        <f t="array" aca="1" ref="CL37" ca="1">IFERROR(INDIRECT("Yr"&amp;IF($C$5=Year1,1,IF($C$5=Year2,2,IF($C$5=Year3,3,IF($C$5=Lookups!$D$40,"All"))))&amp;"!"&amp;CL$72&amp;$DE37)*100,0)</f>
        <v>28.453457229491285</v>
      </c>
      <c r="CM37" s="152" cm="1">
        <f t="array" aca="1" ref="CM37" ca="1">IFERROR(INDIRECT("Yr"&amp;IF($C$5=Year1,1,IF($C$5=Year2,2,IF($C$5=Year3,3,IF($C$5=Lookups!$D$40,"All"))))&amp;"!"&amp;CM$72&amp;$DE37)*100,0)</f>
        <v>28.453457229491285</v>
      </c>
      <c r="CN37" s="152" cm="1">
        <f t="array" aca="1" ref="CN37" ca="1">IFERROR(INDIRECT("Yr"&amp;IF($C$5=Year1,1,IF($C$5=Year2,2,IF($C$5=Year3,3,IF($C$5=Lookups!$D$40,"All"))))&amp;"!"&amp;CN$72&amp;$DE37)*100,0)</f>
        <v>28.453457229491285</v>
      </c>
      <c r="CO37" s="152" cm="1">
        <f t="array" aca="1" ref="CO37" ca="1">IFERROR(INDIRECT("Yr"&amp;IF($C$5=Year1,1,IF($C$5=Year2,2,IF($C$5=Year3,3,IF($C$5=Lookups!$D$40,"All"))))&amp;"!"&amp;CO$72&amp;$DE37)*100,0)</f>
        <v>28.453457229491285</v>
      </c>
      <c r="CP37" s="152" cm="1">
        <f t="array" aca="1" ref="CP37" ca="1">IFERROR(INDIRECT("Yr"&amp;IF($C$5=Year1,1,IF($C$5=Year2,2,IF($C$5=Year3,3,IF($C$5=Lookups!$D$40,"All"))))&amp;"!"&amp;CP$72&amp;$DE37)*100,0)</f>
        <v>28.453457229491285</v>
      </c>
      <c r="CQ37" s="152" cm="1">
        <f t="array" aca="1" ref="CQ37" ca="1">IFERROR(INDIRECT("Yr"&amp;IF($C$5=Year1,1,IF($C$5=Year2,2,IF($C$5=Year3,3,IF($C$5=Lookups!$D$40,"All"))))&amp;"!"&amp;CQ$72&amp;$DE37)*100,0)</f>
        <v>28.453457229491285</v>
      </c>
      <c r="CR37" s="152" cm="1">
        <f t="array" aca="1" ref="CR37" ca="1">IFERROR(INDIRECT("Yr"&amp;IF($C$5=Year1,1,IF($C$5=Year2,2,IF($C$5=Year3,3,IF($C$5=Lookups!$D$40,"All"))))&amp;"!"&amp;CR$72&amp;$DE37)*100,0)</f>
        <v>28.453457229491285</v>
      </c>
      <c r="CS37" s="152" cm="1">
        <f t="array" aca="1" ref="CS37" ca="1">IFERROR(INDIRECT("Yr"&amp;IF($C$5=Year1,1,IF($C$5=Year2,2,IF($C$5=Year3,3,IF($C$5=Lookups!$D$40,"All"))))&amp;"!"&amp;CS$72&amp;$DE37)*100,0)</f>
        <v>28.453457229491285</v>
      </c>
      <c r="CT37" s="152" cm="1">
        <f t="array" aca="1" ref="CT37" ca="1">IFERROR(INDIRECT("Yr"&amp;IF($C$5=Year1,1,IF($C$5=Year2,2,IF($C$5=Year3,3,IF($C$5=Lookups!$D$40,"All"))))&amp;"!"&amp;CT$72&amp;$DE37)*100,0)</f>
        <v>28.453457229491285</v>
      </c>
      <c r="CU37" s="152" cm="1">
        <f t="array" aca="1" ref="CU37" ca="1">IFERROR(INDIRECT("Yr"&amp;IF($C$5=Year1,1,IF($C$5=Year2,2,IF($C$5=Year3,3,IF($C$5=Lookups!$D$40,"All"))))&amp;"!"&amp;CU$72&amp;$DE37)*100,0)</f>
        <v>28.453457229491285</v>
      </c>
      <c r="CV37" s="152" cm="1">
        <f t="array" aca="1" ref="CV37" ca="1">IFERROR(INDIRECT("Yr"&amp;IF($C$5=Year1,1,IF($C$5=Year2,2,IF($C$5=Year3,3,IF($C$5=Lookups!$D$40,"All"))))&amp;"!"&amp;CV$72&amp;$DE37)*100,0)</f>
        <v>28.453457229491285</v>
      </c>
      <c r="CW37" s="152" cm="1">
        <f t="array" aca="1" ref="CW37" ca="1">IFERROR(INDIRECT("Yr"&amp;IF($C$5=Year1,1,IF($C$5=Year2,2,IF($C$5=Year3,3,IF($C$5=Lookups!$D$40,"All"))))&amp;"!"&amp;CW$72&amp;$DE37)*100,0)</f>
        <v>28.453457229491285</v>
      </c>
      <c r="CX37" s="152" cm="1">
        <f t="array" aca="1" ref="CX37" ca="1">IFERROR(INDIRECT("Yr"&amp;IF($C$5=Year1,1,IF($C$5=Year2,2,IF($C$5=Year3,3,IF($C$5=Lookups!$D$40,"All"))))&amp;"!"&amp;CX$72&amp;$DE37)*100,0)</f>
        <v>28.453457229491285</v>
      </c>
      <c r="CY37" s="152" cm="1">
        <f t="array" aca="1" ref="CY37" ca="1">IFERROR(INDIRECT("Yr"&amp;IF($C$5=Year1,1,IF($C$5=Year2,2,IF($C$5=Year3,3,IF($C$5=Lookups!$D$40,"All"))))&amp;"!"&amp;CY$72&amp;$DE37)*100,0)</f>
        <v>28.453457229491285</v>
      </c>
      <c r="CZ37" s="152" cm="1">
        <f t="array" aca="1" ref="CZ37" ca="1">IFERROR(INDIRECT("Yr"&amp;IF($C$5=Year1,1,IF($C$5=Year2,2,IF($C$5=Year3,3,IF($C$5=Lookups!$D$40,"All"))))&amp;"!"&amp;CZ$72&amp;$DE37)*100,0)</f>
        <v>28.453457229491285</v>
      </c>
      <c r="DA37" s="152"/>
      <c r="DB37" s="152">
        <f ca="1">IF($C$5=Lookups!$D$40,-PMT(Lookups!$E$17,27,NPV(Lookups!$E$17,BZ37:CZ37),0,1),-PMT(Lookups!$E$17,25,NPV(Lookups!$E$17,BZ37:CX37),0,1))</f>
        <v>28.056624508808795</v>
      </c>
      <c r="DE37" s="516">
        <f t="shared" ref="DE37:DE43" si="5">DE17</f>
        <v>214</v>
      </c>
    </row>
    <row r="38" spans="3:114" x14ac:dyDescent="0.25">
      <c r="BV38" s="343"/>
      <c r="BW38" s="346"/>
      <c r="BX38" s="131" t="s">
        <v>26</v>
      </c>
      <c r="BY38" s="131" t="s">
        <v>409</v>
      </c>
      <c r="BZ38" s="152" cm="1">
        <f t="array" aca="1" ref="BZ38" ca="1">IFERROR(INDIRECT("Yr"&amp;IF($C$5=Year1,1,IF($C$5=Year2,2,IF($C$5=Year3,3,IF($C$5=Lookups!$D$40,"All"))))&amp;"!"&amp;BZ$72&amp;$DE38)*100,0)</f>
        <v>39.869568577465536</v>
      </c>
      <c r="CA38" s="152" cm="1">
        <f t="array" aca="1" ref="CA38" ca="1">IFERROR(INDIRECT("Yr"&amp;IF($C$5=Year1,1,IF($C$5=Year2,2,IF($C$5=Year3,3,IF($C$5=Lookups!$D$40,"All"))))&amp;"!"&amp;CA$72&amp;$DE38)*100,0)</f>
        <v>40.590687473165687</v>
      </c>
      <c r="CB38" s="152" cm="1">
        <f t="array" aca="1" ref="CB38" ca="1">IFERROR(INDIRECT("Yr"&amp;IF($C$5=Year1,1,IF($C$5=Year2,2,IF($C$5=Year3,3,IF($C$5=Lookups!$D$40,"All"))))&amp;"!"&amp;CB$72&amp;$DE38)*100,0)</f>
        <v>41.376718381580027</v>
      </c>
      <c r="CC38" s="152" cm="1">
        <f t="array" aca="1" ref="CC38" ca="1">IFERROR(INDIRECT("Yr"&amp;IF($C$5=Year1,1,IF($C$5=Year2,2,IF($C$5=Year3,3,IF($C$5=Lookups!$D$40,"All"))))&amp;"!"&amp;CC$72&amp;$DE38)*100,0)</f>
        <v>41.376718381580027</v>
      </c>
      <c r="CD38" s="152" cm="1">
        <f t="array" aca="1" ref="CD38" ca="1">IFERROR(INDIRECT("Yr"&amp;IF($C$5=Year1,1,IF($C$5=Year2,2,IF($C$5=Year3,3,IF($C$5=Lookups!$D$40,"All"))))&amp;"!"&amp;CD$72&amp;$DE38)*100,0)</f>
        <v>41.376718381580027</v>
      </c>
      <c r="CE38" s="152" cm="1">
        <f t="array" aca="1" ref="CE38" ca="1">IFERROR(INDIRECT("Yr"&amp;IF($C$5=Year1,1,IF($C$5=Year2,2,IF($C$5=Year3,3,IF($C$5=Lookups!$D$40,"All"))))&amp;"!"&amp;CE$72&amp;$DE38)*100,0)</f>
        <v>41.376718381580027</v>
      </c>
      <c r="CF38" s="152" cm="1">
        <f t="array" aca="1" ref="CF38" ca="1">IFERROR(INDIRECT("Yr"&amp;IF($C$5=Year1,1,IF($C$5=Year2,2,IF($C$5=Year3,3,IF($C$5=Lookups!$D$40,"All"))))&amp;"!"&amp;CF$72&amp;$DE38)*100,0)</f>
        <v>41.376718381580027</v>
      </c>
      <c r="CG38" s="152" cm="1">
        <f t="array" aca="1" ref="CG38" ca="1">IFERROR(INDIRECT("Yr"&amp;IF($C$5=Year1,1,IF($C$5=Year2,2,IF($C$5=Year3,3,IF($C$5=Lookups!$D$40,"All"))))&amp;"!"&amp;CG$72&amp;$DE38)*100,0)</f>
        <v>41.376718381580027</v>
      </c>
      <c r="CH38" s="152" cm="1">
        <f t="array" aca="1" ref="CH38" ca="1">IFERROR(INDIRECT("Yr"&amp;IF($C$5=Year1,1,IF($C$5=Year2,2,IF($C$5=Year3,3,IF($C$5=Lookups!$D$40,"All"))))&amp;"!"&amp;CH$72&amp;$DE38)*100,0)</f>
        <v>41.376718381580027</v>
      </c>
      <c r="CI38" s="152" cm="1">
        <f t="array" aca="1" ref="CI38" ca="1">IFERROR(INDIRECT("Yr"&amp;IF($C$5=Year1,1,IF($C$5=Year2,2,IF($C$5=Year3,3,IF($C$5=Lookups!$D$40,"All"))))&amp;"!"&amp;CI$72&amp;$DE38)*100,0)</f>
        <v>41.376718381580027</v>
      </c>
      <c r="CJ38" s="152" cm="1">
        <f t="array" aca="1" ref="CJ38" ca="1">IFERROR(INDIRECT("Yr"&amp;IF($C$5=Year1,1,IF($C$5=Year2,2,IF($C$5=Year3,3,IF($C$5=Lookups!$D$40,"All"))))&amp;"!"&amp;CJ$72&amp;$DE38)*100,0)</f>
        <v>41.376718381580027</v>
      </c>
      <c r="CK38" s="152" cm="1">
        <f t="array" aca="1" ref="CK38" ca="1">IFERROR(INDIRECT("Yr"&amp;IF($C$5=Year1,1,IF($C$5=Year2,2,IF($C$5=Year3,3,IF($C$5=Lookups!$D$40,"All"))))&amp;"!"&amp;CK$72&amp;$DE38)*100,0)</f>
        <v>41.376718381580027</v>
      </c>
      <c r="CL38" s="152" cm="1">
        <f t="array" aca="1" ref="CL38" ca="1">IFERROR(INDIRECT("Yr"&amp;IF($C$5=Year1,1,IF($C$5=Year2,2,IF($C$5=Year3,3,IF($C$5=Lookups!$D$40,"All"))))&amp;"!"&amp;CL$72&amp;$DE38)*100,0)</f>
        <v>41.376718381580027</v>
      </c>
      <c r="CM38" s="152" cm="1">
        <f t="array" aca="1" ref="CM38" ca="1">IFERROR(INDIRECT("Yr"&amp;IF($C$5=Year1,1,IF($C$5=Year2,2,IF($C$5=Year3,3,IF($C$5=Lookups!$D$40,"All"))))&amp;"!"&amp;CM$72&amp;$DE38)*100,0)</f>
        <v>41.376718381580027</v>
      </c>
      <c r="CN38" s="152" cm="1">
        <f t="array" aca="1" ref="CN38" ca="1">IFERROR(INDIRECT("Yr"&amp;IF($C$5=Year1,1,IF($C$5=Year2,2,IF($C$5=Year3,3,IF($C$5=Lookups!$D$40,"All"))))&amp;"!"&amp;CN$72&amp;$DE38)*100,0)</f>
        <v>41.376718381580027</v>
      </c>
      <c r="CO38" s="152" cm="1">
        <f t="array" aca="1" ref="CO38" ca="1">IFERROR(INDIRECT("Yr"&amp;IF($C$5=Year1,1,IF($C$5=Year2,2,IF($C$5=Year3,3,IF($C$5=Lookups!$D$40,"All"))))&amp;"!"&amp;CO$72&amp;$DE38)*100,0)</f>
        <v>41.376718381580027</v>
      </c>
      <c r="CP38" s="152" cm="1">
        <f t="array" aca="1" ref="CP38" ca="1">IFERROR(INDIRECT("Yr"&amp;IF($C$5=Year1,1,IF($C$5=Year2,2,IF($C$5=Year3,3,IF($C$5=Lookups!$D$40,"All"))))&amp;"!"&amp;CP$72&amp;$DE38)*100,0)</f>
        <v>40.662387552211833</v>
      </c>
      <c r="CQ38" s="152" cm="1">
        <f t="array" aca="1" ref="CQ38" ca="1">IFERROR(INDIRECT("Yr"&amp;IF($C$5=Year1,1,IF($C$5=Year2,2,IF($C$5=Year3,3,IF($C$5=Lookups!$D$40,"All"))))&amp;"!"&amp;CQ$72&amp;$DE38)*100,0)</f>
        <v>39.938463805798897</v>
      </c>
      <c r="CR38" s="152" cm="1">
        <f t="array" aca="1" ref="CR38" ca="1">IFERROR(INDIRECT("Yr"&amp;IF($C$5=Year1,1,IF($C$5=Year2,2,IF($C$5=Year3,3,IF($C$5=Lookups!$D$40,"All"))))&amp;"!"&amp;CR$72&amp;$DE38)*100,0)</f>
        <v>39.211256243681191</v>
      </c>
      <c r="CS38" s="152" cm="1">
        <f t="array" aca="1" ref="CS38" ca="1">IFERROR(INDIRECT("Yr"&amp;IF($C$5=Year1,1,IF($C$5=Year2,2,IF($C$5=Year3,3,IF($C$5=Lookups!$D$40,"All"))))&amp;"!"&amp;CS$72&amp;$DE38)*100,0)</f>
        <v>39.211256243681191</v>
      </c>
      <c r="CT38" s="152" cm="1">
        <f t="array" aca="1" ref="CT38" ca="1">IFERROR(INDIRECT("Yr"&amp;IF($C$5=Year1,1,IF($C$5=Year2,2,IF($C$5=Year3,3,IF($C$5=Lookups!$D$40,"All"))))&amp;"!"&amp;CT$72&amp;$DE38)*100,0)</f>
        <v>39.211256243681191</v>
      </c>
      <c r="CU38" s="152" cm="1">
        <f t="array" aca="1" ref="CU38" ca="1">IFERROR(INDIRECT("Yr"&amp;IF($C$5=Year1,1,IF($C$5=Year2,2,IF($C$5=Year3,3,IF($C$5=Lookups!$D$40,"All"))))&amp;"!"&amp;CU$72&amp;$DE38)*100,0)</f>
        <v>39.211256243681191</v>
      </c>
      <c r="CV38" s="152" cm="1">
        <f t="array" aca="1" ref="CV38" ca="1">IFERROR(INDIRECT("Yr"&amp;IF($C$5=Year1,1,IF($C$5=Year2,2,IF($C$5=Year3,3,IF($C$5=Lookups!$D$40,"All"))))&amp;"!"&amp;CV$72&amp;$DE38)*100,0)</f>
        <v>39.211256243681191</v>
      </c>
      <c r="CW38" s="152" cm="1">
        <f t="array" aca="1" ref="CW38" ca="1">IFERROR(INDIRECT("Yr"&amp;IF($C$5=Year1,1,IF($C$5=Year2,2,IF($C$5=Year3,3,IF($C$5=Lookups!$D$40,"All"))))&amp;"!"&amp;CW$72&amp;$DE38)*100,0)</f>
        <v>39.211256243681191</v>
      </c>
      <c r="CX38" s="152" cm="1">
        <f t="array" aca="1" ref="CX38" ca="1">IFERROR(INDIRECT("Yr"&amp;IF($C$5=Year1,1,IF($C$5=Year2,2,IF($C$5=Year3,3,IF($C$5=Lookups!$D$40,"All"))))&amp;"!"&amp;CX$72&amp;$DE38)*100,0)</f>
        <v>39.211256243681191</v>
      </c>
      <c r="CY38" s="152" cm="1">
        <f t="array" aca="1" ref="CY38" ca="1">IFERROR(INDIRECT("Yr"&amp;IF($C$5=Year1,1,IF($C$5=Year2,2,IF($C$5=Year3,3,IF($C$5=Lookups!$D$40,"All"))))&amp;"!"&amp;CY$72&amp;$DE38)*100,0)</f>
        <v>39.211256243681191</v>
      </c>
      <c r="CZ38" s="152" cm="1">
        <f t="array" aca="1" ref="CZ38" ca="1">IFERROR(INDIRECT("Yr"&amp;IF($C$5=Year1,1,IF($C$5=Year2,2,IF($C$5=Year3,3,IF($C$5=Lookups!$D$40,"All"))))&amp;"!"&amp;CZ$72&amp;$DE38)*100,0)</f>
        <v>39.211256243681191</v>
      </c>
      <c r="DA38" s="152"/>
      <c r="DB38" s="152">
        <f ca="1">IF($C$5=Lookups!$D$40,-PMT(Lookups!$E$17,27,NPV(Lookups!$E$17,BZ38:CZ38),0,1),-PMT(Lookups!$E$17,25,NPV(Lookups!$E$17,BZ38:CX38),0,1))</f>
        <v>40.002066638049214</v>
      </c>
      <c r="DE38" s="516">
        <f t="shared" si="5"/>
        <v>210</v>
      </c>
    </row>
    <row r="39" spans="3:114" ht="18.75" x14ac:dyDescent="0.3">
      <c r="C39" s="94" t="str">
        <f>"Total Rates: "&amp;Lookups!$D$22</f>
        <v>Total Rates: No EE</v>
      </c>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K39" s="101" t="str">
        <f>"Change in Rates: "&amp;Lookups!$D$23&amp;" v "&amp;Lookups!$D$24</f>
        <v>Change in Rates: 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V39" s="343"/>
      <c r="BW39" s="346"/>
      <c r="BX39" s="131" t="s">
        <v>407</v>
      </c>
      <c r="BY39" s="131" t="s">
        <v>409</v>
      </c>
      <c r="BZ39" s="152" cm="1">
        <f t="array" aca="1" ref="BZ39" ca="1">IFERROR(INDIRECT("Yr"&amp;IF($C$5=Year1,1,IF($C$5=Year2,2,IF($C$5=Year3,3,IF($C$5=Lookups!$D$40,"All"))))&amp;"!"&amp;BZ$72&amp;$DE39)*100,0)</f>
        <v>0.52973699695075793</v>
      </c>
      <c r="CA39" s="152" cm="1">
        <f t="array" aca="1" ref="CA39" ca="1">IFERROR(INDIRECT("Yr"&amp;IF($C$5=Year1,1,IF($C$5=Year2,2,IF($C$5=Year3,3,IF($C$5=Lookups!$D$40,"All"))))&amp;"!"&amp;CA$72&amp;$DE39)*100,0)</f>
        <v>0.54040309344224968</v>
      </c>
      <c r="CB39" s="152" cm="1">
        <f t="array" aca="1" ref="CB39" ca="1">IFERROR(INDIRECT("Yr"&amp;IF($C$5=Year1,1,IF($C$5=Year2,2,IF($C$5=Year3,3,IF($C$5=Lookups!$D$40,"All"))))&amp;"!"&amp;CB$72&amp;$DE39)*100,0)</f>
        <v>0.55202900341042604</v>
      </c>
      <c r="CC39" s="152" cm="1">
        <f t="array" aca="1" ref="CC39" ca="1">IFERROR(INDIRECT("Yr"&amp;IF($C$5=Year1,1,IF($C$5=Year2,2,IF($C$5=Year3,3,IF($C$5=Lookups!$D$40,"All"))))&amp;"!"&amp;CC$72&amp;$DE39)*100,0)</f>
        <v>0.55202900341042604</v>
      </c>
      <c r="CD39" s="152" cm="1">
        <f t="array" aca="1" ref="CD39" ca="1">IFERROR(INDIRECT("Yr"&amp;IF($C$5=Year1,1,IF($C$5=Year2,2,IF($C$5=Year3,3,IF($C$5=Lookups!$D$40,"All"))))&amp;"!"&amp;CD$72&amp;$DE39)*100,0)</f>
        <v>0.55202900341042604</v>
      </c>
      <c r="CE39" s="152" cm="1">
        <f t="array" aca="1" ref="CE39" ca="1">IFERROR(INDIRECT("Yr"&amp;IF($C$5=Year1,1,IF($C$5=Year2,2,IF($C$5=Year3,3,IF($C$5=Lookups!$D$40,"All"))))&amp;"!"&amp;CE$72&amp;$DE39)*100,0)</f>
        <v>0.55202900341042604</v>
      </c>
      <c r="CF39" s="152" cm="1">
        <f t="array" aca="1" ref="CF39" ca="1">IFERROR(INDIRECT("Yr"&amp;IF($C$5=Year1,1,IF($C$5=Year2,2,IF($C$5=Year3,3,IF($C$5=Lookups!$D$40,"All"))))&amp;"!"&amp;CF$72&amp;$DE39)*100,0)</f>
        <v>0.55202900341042604</v>
      </c>
      <c r="CG39" s="152" cm="1">
        <f t="array" aca="1" ref="CG39" ca="1">IFERROR(INDIRECT("Yr"&amp;IF($C$5=Year1,1,IF($C$5=Year2,2,IF($C$5=Year3,3,IF($C$5=Lookups!$D$40,"All"))))&amp;"!"&amp;CG$72&amp;$DE39)*100,0)</f>
        <v>0.55202900341042604</v>
      </c>
      <c r="CH39" s="152" cm="1">
        <f t="array" aca="1" ref="CH39" ca="1">IFERROR(INDIRECT("Yr"&amp;IF($C$5=Year1,1,IF($C$5=Year2,2,IF($C$5=Year3,3,IF($C$5=Lookups!$D$40,"All"))))&amp;"!"&amp;CH$72&amp;$DE39)*100,0)</f>
        <v>0.55202900341042604</v>
      </c>
      <c r="CI39" s="152" cm="1">
        <f t="array" aca="1" ref="CI39" ca="1">IFERROR(INDIRECT("Yr"&amp;IF($C$5=Year1,1,IF($C$5=Year2,2,IF($C$5=Year3,3,IF($C$5=Lookups!$D$40,"All"))))&amp;"!"&amp;CI$72&amp;$DE39)*100,0)</f>
        <v>0.55202900341042604</v>
      </c>
      <c r="CJ39" s="152" cm="1">
        <f t="array" aca="1" ref="CJ39" ca="1">IFERROR(INDIRECT("Yr"&amp;IF($C$5=Year1,1,IF($C$5=Year2,2,IF($C$5=Year3,3,IF($C$5=Lookups!$D$40,"All"))))&amp;"!"&amp;CJ$72&amp;$DE39)*100,0)</f>
        <v>0.55202900341042604</v>
      </c>
      <c r="CK39" s="152" cm="1">
        <f t="array" aca="1" ref="CK39" ca="1">IFERROR(INDIRECT("Yr"&amp;IF($C$5=Year1,1,IF($C$5=Year2,2,IF($C$5=Year3,3,IF($C$5=Lookups!$D$40,"All"))))&amp;"!"&amp;CK$72&amp;$DE39)*100,0)</f>
        <v>0.55202900341042604</v>
      </c>
      <c r="CL39" s="152" cm="1">
        <f t="array" aca="1" ref="CL39" ca="1">IFERROR(INDIRECT("Yr"&amp;IF($C$5=Year1,1,IF($C$5=Year2,2,IF($C$5=Year3,3,IF($C$5=Lookups!$D$40,"All"))))&amp;"!"&amp;CL$72&amp;$DE39)*100,0)</f>
        <v>0.55202900341042604</v>
      </c>
      <c r="CM39" s="152" cm="1">
        <f t="array" aca="1" ref="CM39" ca="1">IFERROR(INDIRECT("Yr"&amp;IF($C$5=Year1,1,IF($C$5=Year2,2,IF($C$5=Year3,3,IF($C$5=Lookups!$D$40,"All"))))&amp;"!"&amp;CM$72&amp;$DE39)*100,0)</f>
        <v>0.55202900341042604</v>
      </c>
      <c r="CN39" s="152" cm="1">
        <f t="array" aca="1" ref="CN39" ca="1">IFERROR(INDIRECT("Yr"&amp;IF($C$5=Year1,1,IF($C$5=Year2,2,IF($C$5=Year3,3,IF($C$5=Lookups!$D$40,"All"))))&amp;"!"&amp;CN$72&amp;$DE39)*100,0)</f>
        <v>0.55202900341042604</v>
      </c>
      <c r="CO39" s="152" cm="1">
        <f t="array" aca="1" ref="CO39" ca="1">IFERROR(INDIRECT("Yr"&amp;IF($C$5=Year1,1,IF($C$5=Year2,2,IF($C$5=Year3,3,IF($C$5=Lookups!$D$40,"All"))))&amp;"!"&amp;CO$72&amp;$DE39)*100,0)</f>
        <v>0.55202900341042604</v>
      </c>
      <c r="CP39" s="152" cm="1">
        <f t="array" aca="1" ref="CP39" ca="1">IFERROR(INDIRECT("Yr"&amp;IF($C$5=Year1,1,IF($C$5=Year2,2,IF($C$5=Year3,3,IF($C$5=Lookups!$D$40,"All"))))&amp;"!"&amp;CP$72&amp;$DE39)*100,0)</f>
        <v>0.54146344576512029</v>
      </c>
      <c r="CQ39" s="152" cm="1">
        <f t="array" aca="1" ref="CQ39" ca="1">IFERROR(INDIRECT("Yr"&amp;IF($C$5=Year1,1,IF($C$5=Year2,2,IF($C$5=Year3,3,IF($C$5=Lookups!$D$40,"All"))))&amp;"!"&amp;CQ$72&amp;$DE39)*100,0)</f>
        <v>0.53075586590915813</v>
      </c>
      <c r="CR39" s="152" cm="1">
        <f t="array" aca="1" ref="CR39" ca="1">IFERROR(INDIRECT("Yr"&amp;IF($C$5=Year1,1,IF($C$5=Year2,2,IF($C$5=Year3,3,IF($C$5=Lookups!$D$40,"All"))))&amp;"!"&amp;CR$72&amp;$DE39)*100,0)</f>
        <v>0.52000000000000035</v>
      </c>
      <c r="CS39" s="152" cm="1">
        <f t="array" aca="1" ref="CS39" ca="1">IFERROR(INDIRECT("Yr"&amp;IF($C$5=Year1,1,IF($C$5=Year2,2,IF($C$5=Year3,3,IF($C$5=Lookups!$D$40,"All"))))&amp;"!"&amp;CS$72&amp;$DE39)*100,0)</f>
        <v>0.52000000000000035</v>
      </c>
      <c r="CT39" s="152" cm="1">
        <f t="array" aca="1" ref="CT39" ca="1">IFERROR(INDIRECT("Yr"&amp;IF($C$5=Year1,1,IF($C$5=Year2,2,IF($C$5=Year3,3,IF($C$5=Lookups!$D$40,"All"))))&amp;"!"&amp;CT$72&amp;$DE39)*100,0)</f>
        <v>0.52000000000000035</v>
      </c>
      <c r="CU39" s="152" cm="1">
        <f t="array" aca="1" ref="CU39" ca="1">IFERROR(INDIRECT("Yr"&amp;IF($C$5=Year1,1,IF($C$5=Year2,2,IF($C$5=Year3,3,IF($C$5=Lookups!$D$40,"All"))))&amp;"!"&amp;CU$72&amp;$DE39)*100,0)</f>
        <v>0.52000000000000035</v>
      </c>
      <c r="CV39" s="152" cm="1">
        <f t="array" aca="1" ref="CV39" ca="1">IFERROR(INDIRECT("Yr"&amp;IF($C$5=Year1,1,IF($C$5=Year2,2,IF($C$5=Year3,3,IF($C$5=Lookups!$D$40,"All"))))&amp;"!"&amp;CV$72&amp;$DE39)*100,0)</f>
        <v>0.52000000000000035</v>
      </c>
      <c r="CW39" s="152" cm="1">
        <f t="array" aca="1" ref="CW39" ca="1">IFERROR(INDIRECT("Yr"&amp;IF($C$5=Year1,1,IF($C$5=Year2,2,IF($C$5=Year3,3,IF($C$5=Lookups!$D$40,"All"))))&amp;"!"&amp;CW$72&amp;$DE39)*100,0)</f>
        <v>0.52000000000000035</v>
      </c>
      <c r="CX39" s="152" cm="1">
        <f t="array" aca="1" ref="CX39" ca="1">IFERROR(INDIRECT("Yr"&amp;IF($C$5=Year1,1,IF($C$5=Year2,2,IF($C$5=Year3,3,IF($C$5=Lookups!$D$40,"All"))))&amp;"!"&amp;CX$72&amp;$DE39)*100,0)</f>
        <v>0.52000000000000035</v>
      </c>
      <c r="CY39" s="152" cm="1">
        <f t="array" aca="1" ref="CY39" ca="1">IFERROR(INDIRECT("Yr"&amp;IF($C$5=Year1,1,IF($C$5=Year2,2,IF($C$5=Year3,3,IF($C$5=Lookups!$D$40,"All"))))&amp;"!"&amp;CY$72&amp;$DE39)*100,0)</f>
        <v>0.52000000000000035</v>
      </c>
      <c r="CZ39" s="152" cm="1">
        <f t="array" aca="1" ref="CZ39" ca="1">IFERROR(INDIRECT("Yr"&amp;IF($C$5=Year1,1,IF($C$5=Year2,2,IF($C$5=Year3,3,IF($C$5=Lookups!$D$40,"All"))))&amp;"!"&amp;CZ$72&amp;$DE39)*100,0)</f>
        <v>0.52000000000000035</v>
      </c>
      <c r="DA39" s="152"/>
      <c r="DB39" s="152">
        <f ca="1">IF($C$5=Lookups!$D$40,-PMT(Lookups!$E$17,27,NPV(Lookups!$E$17,BZ39:CZ39),0,1),-PMT(Lookups!$E$17,25,NPV(Lookups!$E$17,BZ39:CX39),0,1))</f>
        <v>0.53253310049750435</v>
      </c>
      <c r="DE39" s="516">
        <f t="shared" si="5"/>
        <v>211</v>
      </c>
    </row>
    <row r="40" spans="3:114" x14ac:dyDescent="0.25">
      <c r="BV40" s="343"/>
      <c r="BW40" s="346"/>
      <c r="BX40" s="131" t="s">
        <v>197</v>
      </c>
      <c r="BY40" s="131" t="s">
        <v>409</v>
      </c>
      <c r="BZ40" s="152" cm="1">
        <f t="array" aca="1" ref="BZ40" ca="1">IFERROR(INDIRECT("Yr"&amp;IF($C$5=Year1,1,IF($C$5=Year2,2,IF($C$5=Year3,3,IF($C$5=Lookups!$D$40,"All"))))&amp;"!"&amp;BZ$72&amp;$DE40)*100,0)</f>
        <v>61.855427244045792</v>
      </c>
      <c r="CA40" s="152" cm="1">
        <f t="array" aca="1" ref="CA40" ca="1">IFERROR(INDIRECT("Yr"&amp;IF($C$5=Year1,1,IF($C$5=Year2,2,IF($C$5=Year3,3,IF($C$5=Lookups!$D$40,"All"))))&amp;"!"&amp;CA$72&amp;$DE40)*100,0)</f>
        <v>61.806595822141617</v>
      </c>
      <c r="CB40" s="152" cm="1">
        <f t="array" aca="1" ref="CB40" ca="1">IFERROR(INDIRECT("Yr"&amp;IF($C$5=Year1,1,IF($C$5=Year2,2,IF($C$5=Year3,3,IF($C$5=Lookups!$D$40,"All"))))&amp;"!"&amp;CB$72&amp;$DE40)*100,0)</f>
        <v>61.753448417857904</v>
      </c>
      <c r="CC40" s="152" cm="1">
        <f t="array" aca="1" ref="CC40" ca="1">IFERROR(INDIRECT("Yr"&amp;IF($C$5=Year1,1,IF($C$5=Year2,2,IF($C$5=Year3,3,IF($C$5=Lookups!$D$40,"All"))))&amp;"!"&amp;CC$72&amp;$DE40)*100,0)</f>
        <v>61.753448417857904</v>
      </c>
      <c r="CD40" s="152" cm="1">
        <f t="array" aca="1" ref="CD40" ca="1">IFERROR(INDIRECT("Yr"&amp;IF($C$5=Year1,1,IF($C$5=Year2,2,IF($C$5=Year3,3,IF($C$5=Lookups!$D$40,"All"))))&amp;"!"&amp;CD$72&amp;$DE40)*100,0)</f>
        <v>61.753448417857904</v>
      </c>
      <c r="CE40" s="152" cm="1">
        <f t="array" aca="1" ref="CE40" ca="1">IFERROR(INDIRECT("Yr"&amp;IF($C$5=Year1,1,IF($C$5=Year2,2,IF($C$5=Year3,3,IF($C$5=Lookups!$D$40,"All"))))&amp;"!"&amp;CE$72&amp;$DE40)*100,0)</f>
        <v>61.753448417857904</v>
      </c>
      <c r="CF40" s="152" cm="1">
        <f t="array" aca="1" ref="CF40" ca="1">IFERROR(INDIRECT("Yr"&amp;IF($C$5=Year1,1,IF($C$5=Year2,2,IF($C$5=Year3,3,IF($C$5=Lookups!$D$40,"All"))))&amp;"!"&amp;CF$72&amp;$DE40)*100,0)</f>
        <v>61.753448417857904</v>
      </c>
      <c r="CG40" s="152" cm="1">
        <f t="array" aca="1" ref="CG40" ca="1">IFERROR(INDIRECT("Yr"&amp;IF($C$5=Year1,1,IF($C$5=Year2,2,IF($C$5=Year3,3,IF($C$5=Lookups!$D$40,"All"))))&amp;"!"&amp;CG$72&amp;$DE40)*100,0)</f>
        <v>61.753448417857904</v>
      </c>
      <c r="CH40" s="152" cm="1">
        <f t="array" aca="1" ref="CH40" ca="1">IFERROR(INDIRECT("Yr"&amp;IF($C$5=Year1,1,IF($C$5=Year2,2,IF($C$5=Year3,3,IF($C$5=Lookups!$D$40,"All"))))&amp;"!"&amp;CH$72&amp;$DE40)*100,0)</f>
        <v>61.753448417857904</v>
      </c>
      <c r="CI40" s="152" cm="1">
        <f t="array" aca="1" ref="CI40" ca="1">IFERROR(INDIRECT("Yr"&amp;IF($C$5=Year1,1,IF($C$5=Year2,2,IF($C$5=Year3,3,IF($C$5=Lookups!$D$40,"All"))))&amp;"!"&amp;CI$72&amp;$DE40)*100,0)</f>
        <v>61.753448417857904</v>
      </c>
      <c r="CJ40" s="152" cm="1">
        <f t="array" aca="1" ref="CJ40" ca="1">IFERROR(INDIRECT("Yr"&amp;IF($C$5=Year1,1,IF($C$5=Year2,2,IF($C$5=Year3,3,IF($C$5=Lookups!$D$40,"All"))))&amp;"!"&amp;CJ$72&amp;$DE40)*100,0)</f>
        <v>61.753448417857904</v>
      </c>
      <c r="CK40" s="152" cm="1">
        <f t="array" aca="1" ref="CK40" ca="1">IFERROR(INDIRECT("Yr"&amp;IF($C$5=Year1,1,IF($C$5=Year2,2,IF($C$5=Year3,3,IF($C$5=Lookups!$D$40,"All"))))&amp;"!"&amp;CK$72&amp;$DE40)*100,0)</f>
        <v>61.753448417857904</v>
      </c>
      <c r="CL40" s="152" cm="1">
        <f t="array" aca="1" ref="CL40" ca="1">IFERROR(INDIRECT("Yr"&amp;IF($C$5=Year1,1,IF($C$5=Year2,2,IF($C$5=Year3,3,IF($C$5=Lookups!$D$40,"All"))))&amp;"!"&amp;CL$72&amp;$DE40)*100,0)</f>
        <v>61.753448417857904</v>
      </c>
      <c r="CM40" s="152" cm="1">
        <f t="array" aca="1" ref="CM40" ca="1">IFERROR(INDIRECT("Yr"&amp;IF($C$5=Year1,1,IF($C$5=Year2,2,IF($C$5=Year3,3,IF($C$5=Lookups!$D$40,"All"))))&amp;"!"&amp;CM$72&amp;$DE40)*100,0)</f>
        <v>61.753448417857904</v>
      </c>
      <c r="CN40" s="152" cm="1">
        <f t="array" aca="1" ref="CN40" ca="1">IFERROR(INDIRECT("Yr"&amp;IF($C$5=Year1,1,IF($C$5=Year2,2,IF($C$5=Year3,3,IF($C$5=Lookups!$D$40,"All"))))&amp;"!"&amp;CN$72&amp;$DE40)*100,0)</f>
        <v>61.753448417857904</v>
      </c>
      <c r="CO40" s="152" cm="1">
        <f t="array" aca="1" ref="CO40" ca="1">IFERROR(INDIRECT("Yr"&amp;IF($C$5=Year1,1,IF($C$5=Year2,2,IF($C$5=Year3,3,IF($C$5=Lookups!$D$40,"All"))))&amp;"!"&amp;CO$72&amp;$DE40)*100,0)</f>
        <v>61.753448417857904</v>
      </c>
      <c r="CP40" s="152" cm="1">
        <f t="array" aca="1" ref="CP40" ca="1">IFERROR(INDIRECT("Yr"&amp;IF($C$5=Year1,1,IF($C$5=Year2,2,IF($C$5=Year3,3,IF($C$5=Lookups!$D$40,"All"))))&amp;"!"&amp;CP$72&amp;$DE40)*100,0)</f>
        <v>61.801812775996801</v>
      </c>
      <c r="CQ40" s="152" cm="1">
        <f t="array" aca="1" ref="CQ40" ca="1">IFERROR(INDIRECT("Yr"&amp;IF($C$5=Year1,1,IF($C$5=Year2,2,IF($C$5=Year3,3,IF($C$5=Lookups!$D$40,"All"))))&amp;"!"&amp;CQ$72&amp;$DE40)*100,0)</f>
        <v>61.850832703728372</v>
      </c>
      <c r="CR40" s="152" cm="1">
        <f t="array" aca="1" ref="CR40" ca="1">IFERROR(INDIRECT("Yr"&amp;IF($C$5=Year1,1,IF($C$5=Year2,2,IF($C$5=Year3,3,IF($C$5=Lookups!$D$40,"All"))))&amp;"!"&amp;CR$72&amp;$DE40)*100,0)</f>
        <v>61.9</v>
      </c>
      <c r="CS40" s="152" cm="1">
        <f t="array" aca="1" ref="CS40" ca="1">IFERROR(INDIRECT("Yr"&amp;IF($C$5=Year1,1,IF($C$5=Year2,2,IF($C$5=Year3,3,IF($C$5=Lookups!$D$40,"All"))))&amp;"!"&amp;CS$72&amp;$DE40)*100,0)</f>
        <v>61.9</v>
      </c>
      <c r="CT40" s="152" cm="1">
        <f t="array" aca="1" ref="CT40" ca="1">IFERROR(INDIRECT("Yr"&amp;IF($C$5=Year1,1,IF($C$5=Year2,2,IF($C$5=Year3,3,IF($C$5=Lookups!$D$40,"All"))))&amp;"!"&amp;CT$72&amp;$DE40)*100,0)</f>
        <v>61.9</v>
      </c>
      <c r="CU40" s="152" cm="1">
        <f t="array" aca="1" ref="CU40" ca="1">IFERROR(INDIRECT("Yr"&amp;IF($C$5=Year1,1,IF($C$5=Year2,2,IF($C$5=Year3,3,IF($C$5=Lookups!$D$40,"All"))))&amp;"!"&amp;CU$72&amp;$DE40)*100,0)</f>
        <v>61.9</v>
      </c>
      <c r="CV40" s="152" cm="1">
        <f t="array" aca="1" ref="CV40" ca="1">IFERROR(INDIRECT("Yr"&amp;IF($C$5=Year1,1,IF($C$5=Year2,2,IF($C$5=Year3,3,IF($C$5=Lookups!$D$40,"All"))))&amp;"!"&amp;CV$72&amp;$DE40)*100,0)</f>
        <v>61.9</v>
      </c>
      <c r="CW40" s="152" cm="1">
        <f t="array" aca="1" ref="CW40" ca="1">IFERROR(INDIRECT("Yr"&amp;IF($C$5=Year1,1,IF($C$5=Year2,2,IF($C$5=Year3,3,IF($C$5=Lookups!$D$40,"All"))))&amp;"!"&amp;CW$72&amp;$DE40)*100,0)</f>
        <v>61.9</v>
      </c>
      <c r="CX40" s="152" cm="1">
        <f t="array" aca="1" ref="CX40" ca="1">IFERROR(INDIRECT("Yr"&amp;IF($C$5=Year1,1,IF($C$5=Year2,2,IF($C$5=Year3,3,IF($C$5=Lookups!$D$40,"All"))))&amp;"!"&amp;CX$72&amp;$DE40)*100,0)</f>
        <v>61.9</v>
      </c>
      <c r="CY40" s="152" cm="1">
        <f t="array" aca="1" ref="CY40" ca="1">IFERROR(INDIRECT("Yr"&amp;IF($C$5=Year1,1,IF($C$5=Year2,2,IF($C$5=Year3,3,IF($C$5=Lookups!$D$40,"All"))))&amp;"!"&amp;CY$72&amp;$DE40)*100,0)</f>
        <v>61.9</v>
      </c>
      <c r="CZ40" s="152" cm="1">
        <f t="array" aca="1" ref="CZ40" ca="1">IFERROR(INDIRECT("Yr"&amp;IF($C$5=Year1,1,IF($C$5=Year2,2,IF($C$5=Year3,3,IF($C$5=Lookups!$D$40,"All"))))&amp;"!"&amp;CZ$72&amp;$DE40)*100,0)</f>
        <v>61.9</v>
      </c>
      <c r="DA40" s="152"/>
      <c r="DB40" s="152">
        <f ca="1">IF($C$5=Lookups!$D$40,-PMT(Lookups!$E$17,27,NPV(Lookups!$E$17,BZ40:CZ40),0,1),-PMT(Lookups!$E$17,25,NPV(Lookups!$E$17,BZ40:CX40),0,1))</f>
        <v>60.946166851825659</v>
      </c>
      <c r="DE40" s="516">
        <f t="shared" si="5"/>
        <v>212</v>
      </c>
    </row>
    <row r="41" spans="3:114" x14ac:dyDescent="0.25">
      <c r="BV41" s="343"/>
      <c r="BW41" s="346"/>
      <c r="BX41" s="131" t="s">
        <v>405</v>
      </c>
      <c r="BY41" s="131" t="s">
        <v>409</v>
      </c>
      <c r="BZ41" s="152" cm="1">
        <f t="array" aca="1" ref="BZ41" ca="1">IFERROR(INDIRECT("Yr"&amp;IF($C$5=Year1,1,IF($C$5=Year2,2,IF($C$5=Year3,3,IF($C$5=Lookups!$D$40,"All"))))&amp;"!"&amp;BZ$72&amp;$DE41)*100,0)</f>
        <v>17.09430966134309</v>
      </c>
      <c r="CA41" s="152" cm="1">
        <f t="array" aca="1" ref="CA41" ca="1">IFERROR(INDIRECT("Yr"&amp;IF($C$5=Year1,1,IF($C$5=Year2,2,IF($C$5=Year3,3,IF($C$5=Lookups!$D$40,"All"))))&amp;"!"&amp;CA$72&amp;$DE41)*100,0)</f>
        <v>17.912293874470269</v>
      </c>
      <c r="CB41" s="152" cm="1">
        <f t="array" aca="1" ref="CB41" ca="1">IFERROR(INDIRECT("Yr"&amp;IF($C$5=Year1,1,IF($C$5=Year2,2,IF($C$5=Year3,3,IF($C$5=Lookups!$D$40,"All"))))&amp;"!"&amp;CB$72&amp;$DE41)*100,0)</f>
        <v>19.050121298638214</v>
      </c>
      <c r="CC41" s="152" cm="1">
        <f t="array" aca="1" ref="CC41" ca="1">IFERROR(INDIRECT("Yr"&amp;IF($C$5=Year1,1,IF($C$5=Year2,2,IF($C$5=Year3,3,IF($C$5=Lookups!$D$40,"All"))))&amp;"!"&amp;CC$72&amp;$DE41)*100,0)</f>
        <v>0</v>
      </c>
      <c r="CD41" s="152" cm="1">
        <f t="array" aca="1" ref="CD41" ca="1">IFERROR(INDIRECT("Yr"&amp;IF($C$5=Year1,1,IF($C$5=Year2,2,IF($C$5=Year3,3,IF($C$5=Lookups!$D$40,"All"))))&amp;"!"&amp;CD$72&amp;$DE41)*100,0)</f>
        <v>0</v>
      </c>
      <c r="CE41" s="152" cm="1">
        <f t="array" aca="1" ref="CE41" ca="1">IFERROR(INDIRECT("Yr"&amp;IF($C$5=Year1,1,IF($C$5=Year2,2,IF($C$5=Year3,3,IF($C$5=Lookups!$D$40,"All"))))&amp;"!"&amp;CE$72&amp;$DE41)*100,0)</f>
        <v>0</v>
      </c>
      <c r="CF41" s="152" cm="1">
        <f t="array" aca="1" ref="CF41" ca="1">IFERROR(INDIRECT("Yr"&amp;IF($C$5=Year1,1,IF($C$5=Year2,2,IF($C$5=Year3,3,IF($C$5=Lookups!$D$40,"All"))))&amp;"!"&amp;CF$72&amp;$DE41)*100,0)</f>
        <v>0</v>
      </c>
      <c r="CG41" s="152" cm="1">
        <f t="array" aca="1" ref="CG41" ca="1">IFERROR(INDIRECT("Yr"&amp;IF($C$5=Year1,1,IF($C$5=Year2,2,IF($C$5=Year3,3,IF($C$5=Lookups!$D$40,"All"))))&amp;"!"&amp;CG$72&amp;$DE41)*100,0)</f>
        <v>0</v>
      </c>
      <c r="CH41" s="152" cm="1">
        <f t="array" aca="1" ref="CH41" ca="1">IFERROR(INDIRECT("Yr"&amp;IF($C$5=Year1,1,IF($C$5=Year2,2,IF($C$5=Year3,3,IF($C$5=Lookups!$D$40,"All"))))&amp;"!"&amp;CH$72&amp;$DE41)*100,0)</f>
        <v>0</v>
      </c>
      <c r="CI41" s="152" cm="1">
        <f t="array" aca="1" ref="CI41" ca="1">IFERROR(INDIRECT("Yr"&amp;IF($C$5=Year1,1,IF($C$5=Year2,2,IF($C$5=Year3,3,IF($C$5=Lookups!$D$40,"All"))))&amp;"!"&amp;CI$72&amp;$DE41)*100,0)</f>
        <v>0</v>
      </c>
      <c r="CJ41" s="152" cm="1">
        <f t="array" aca="1" ref="CJ41" ca="1">IFERROR(INDIRECT("Yr"&amp;IF($C$5=Year1,1,IF($C$5=Year2,2,IF($C$5=Year3,3,IF($C$5=Lookups!$D$40,"All"))))&amp;"!"&amp;CJ$72&amp;$DE41)*100,0)</f>
        <v>0</v>
      </c>
      <c r="CK41" s="152" cm="1">
        <f t="array" aca="1" ref="CK41" ca="1">IFERROR(INDIRECT("Yr"&amp;IF($C$5=Year1,1,IF($C$5=Year2,2,IF($C$5=Year3,3,IF($C$5=Lookups!$D$40,"All"))))&amp;"!"&amp;CK$72&amp;$DE41)*100,0)</f>
        <v>0</v>
      </c>
      <c r="CL41" s="152" cm="1">
        <f t="array" aca="1" ref="CL41" ca="1">IFERROR(INDIRECT("Yr"&amp;IF($C$5=Year1,1,IF($C$5=Year2,2,IF($C$5=Year3,3,IF($C$5=Lookups!$D$40,"All"))))&amp;"!"&amp;CL$72&amp;$DE41)*100,0)</f>
        <v>0</v>
      </c>
      <c r="CM41" s="152" cm="1">
        <f t="array" aca="1" ref="CM41" ca="1">IFERROR(INDIRECT("Yr"&amp;IF($C$5=Year1,1,IF($C$5=Year2,2,IF($C$5=Year3,3,IF($C$5=Lookups!$D$40,"All"))))&amp;"!"&amp;CM$72&amp;$DE41)*100,0)</f>
        <v>0</v>
      </c>
      <c r="CN41" s="152" cm="1">
        <f t="array" aca="1" ref="CN41" ca="1">IFERROR(INDIRECT("Yr"&amp;IF($C$5=Year1,1,IF($C$5=Year2,2,IF($C$5=Year3,3,IF($C$5=Lookups!$D$40,"All"))))&amp;"!"&amp;CN$72&amp;$DE41)*100,0)</f>
        <v>0</v>
      </c>
      <c r="CO41" s="152" cm="1">
        <f t="array" aca="1" ref="CO41" ca="1">IFERROR(INDIRECT("Yr"&amp;IF($C$5=Year1,1,IF($C$5=Year2,2,IF($C$5=Year3,3,IF($C$5=Lookups!$D$40,"All"))))&amp;"!"&amp;CO$72&amp;$DE41)*100,0)</f>
        <v>0</v>
      </c>
      <c r="CP41" s="152" cm="1">
        <f t="array" aca="1" ref="CP41" ca="1">IFERROR(INDIRECT("Yr"&amp;IF($C$5=Year1,1,IF($C$5=Year2,2,IF($C$5=Year3,3,IF($C$5=Lookups!$D$40,"All"))))&amp;"!"&amp;CP$72&amp;$DE41)*100,0)</f>
        <v>0</v>
      </c>
      <c r="CQ41" s="152" cm="1">
        <f t="array" aca="1" ref="CQ41" ca="1">IFERROR(INDIRECT("Yr"&amp;IF($C$5=Year1,1,IF($C$5=Year2,2,IF($C$5=Year3,3,IF($C$5=Lookups!$D$40,"All"))))&amp;"!"&amp;CQ$72&amp;$DE41)*100,0)</f>
        <v>0</v>
      </c>
      <c r="CR41" s="152" cm="1">
        <f t="array" aca="1" ref="CR41" ca="1">IFERROR(INDIRECT("Yr"&amp;IF($C$5=Year1,1,IF($C$5=Year2,2,IF($C$5=Year3,3,IF($C$5=Lookups!$D$40,"All"))))&amp;"!"&amp;CR$72&amp;$DE41)*100,0)</f>
        <v>0</v>
      </c>
      <c r="CS41" s="152" cm="1">
        <f t="array" aca="1" ref="CS41" ca="1">IFERROR(INDIRECT("Yr"&amp;IF($C$5=Year1,1,IF($C$5=Year2,2,IF($C$5=Year3,3,IF($C$5=Lookups!$D$40,"All"))))&amp;"!"&amp;CS$72&amp;$DE41)*100,0)</f>
        <v>0</v>
      </c>
      <c r="CT41" s="152" cm="1">
        <f t="array" aca="1" ref="CT41" ca="1">IFERROR(INDIRECT("Yr"&amp;IF($C$5=Year1,1,IF($C$5=Year2,2,IF($C$5=Year3,3,IF($C$5=Lookups!$D$40,"All"))))&amp;"!"&amp;CT$72&amp;$DE41)*100,0)</f>
        <v>0</v>
      </c>
      <c r="CU41" s="152" cm="1">
        <f t="array" aca="1" ref="CU41" ca="1">IFERROR(INDIRECT("Yr"&amp;IF($C$5=Year1,1,IF($C$5=Year2,2,IF($C$5=Year3,3,IF($C$5=Lookups!$D$40,"All"))))&amp;"!"&amp;CU$72&amp;$DE41)*100,0)</f>
        <v>0</v>
      </c>
      <c r="CV41" s="152" cm="1">
        <f t="array" aca="1" ref="CV41" ca="1">IFERROR(INDIRECT("Yr"&amp;IF($C$5=Year1,1,IF($C$5=Year2,2,IF($C$5=Year3,3,IF($C$5=Lookups!$D$40,"All"))))&amp;"!"&amp;CV$72&amp;$DE41)*100,0)</f>
        <v>0</v>
      </c>
      <c r="CW41" s="152" cm="1">
        <f t="array" aca="1" ref="CW41" ca="1">IFERROR(INDIRECT("Yr"&amp;IF($C$5=Year1,1,IF($C$5=Year2,2,IF($C$5=Year3,3,IF($C$5=Lookups!$D$40,"All"))))&amp;"!"&amp;CW$72&amp;$DE41)*100,0)</f>
        <v>0</v>
      </c>
      <c r="CX41" s="152" cm="1">
        <f t="array" aca="1" ref="CX41" ca="1">IFERROR(INDIRECT("Yr"&amp;IF($C$5=Year1,1,IF($C$5=Year2,2,IF($C$5=Year3,3,IF($C$5=Lookups!$D$40,"All"))))&amp;"!"&amp;CX$72&amp;$DE41)*100,0)</f>
        <v>0</v>
      </c>
      <c r="CY41" s="152" cm="1">
        <f t="array" aca="1" ref="CY41" ca="1">IFERROR(INDIRECT("Yr"&amp;IF($C$5=Year1,1,IF($C$5=Year2,2,IF($C$5=Year3,3,IF($C$5=Lookups!$D$40,"All"))))&amp;"!"&amp;CY$72&amp;$DE41)*100,0)</f>
        <v>0</v>
      </c>
      <c r="CZ41" s="152" cm="1">
        <f t="array" aca="1" ref="CZ41" ca="1">IFERROR(INDIRECT("Yr"&amp;IF($C$5=Year1,1,IF($C$5=Year2,2,IF($C$5=Year3,3,IF($C$5=Lookups!$D$40,"All"))))&amp;"!"&amp;CZ$72&amp;$DE41)*100,0)</f>
        <v>0</v>
      </c>
      <c r="DA41" s="152"/>
      <c r="DB41" s="152">
        <f ca="1">IF($C$5=Lookups!$D$40,-PMT(Lookups!$E$17,27,NPV(Lookups!$E$17,BZ41:CZ41),0,1),-PMT(Lookups!$E$17,25,NPV(Lookups!$E$17,BZ41:CX41),0,1))</f>
        <v>2.3216364657369293</v>
      </c>
      <c r="DE41" s="516">
        <f t="shared" si="5"/>
        <v>213</v>
      </c>
    </row>
    <row r="42" spans="3:114" x14ac:dyDescent="0.25">
      <c r="BV42" s="343"/>
      <c r="BW42" s="160" t="s">
        <v>72</v>
      </c>
      <c r="BX42" s="131"/>
      <c r="BY42" s="131"/>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E42" s="516">
        <f t="shared" si="5"/>
        <v>0</v>
      </c>
    </row>
    <row r="43" spans="3:114" x14ac:dyDescent="0.25">
      <c r="BV43" s="343"/>
      <c r="BW43" s="346"/>
      <c r="BX43" s="131" t="s">
        <v>224</v>
      </c>
      <c r="BY43" s="131" t="s">
        <v>409</v>
      </c>
      <c r="BZ43" s="338" cm="1">
        <f t="array" aca="1" ref="BZ43" ca="1">IFERROR(INDIRECT("Yr"&amp;IF($C$5=Year1,1,IF($C$5=Year2,2,IF($C$5=Year3,3,IF($C$5=Lookups!$D$40,"All"))))&amp;"!"&amp;BZ$72&amp;$DE43)*100,0)</f>
        <v>-1.113467071883715</v>
      </c>
      <c r="CA43" s="338" cm="1">
        <f t="array" aca="1" ref="CA43" ca="1">IFERROR(INDIRECT("Yr"&amp;IF($C$5=Year1,1,IF($C$5=Year2,2,IF($C$5=Year3,3,IF($C$5=Lookups!$D$40,"All"))))&amp;"!"&amp;CA$72&amp;$DE43)*100,0)</f>
        <v>-2.3333167788579643</v>
      </c>
      <c r="CB43" s="338" cm="1">
        <f t="array" aca="1" ref="CB43" ca="1">IFERROR(INDIRECT("Yr"&amp;IF($C$5=Year1,1,IF($C$5=Year2,2,IF($C$5=Year3,3,IF($C$5=Lookups!$D$40,"All"))))&amp;"!"&amp;CB$72&amp;$DE43)*100,0)</f>
        <v>-3.66263751470267</v>
      </c>
      <c r="CC43" s="338" cm="1">
        <f t="array" aca="1" ref="CC43" ca="1">IFERROR(INDIRECT("Yr"&amp;IF($C$5=Year1,1,IF($C$5=Year2,2,IF($C$5=Year3,3,IF($C$5=Lookups!$D$40,"All"))))&amp;"!"&amp;CC$72&amp;$DE43)*100,0)</f>
        <v>-3.66263751470267</v>
      </c>
      <c r="CD43" s="338" cm="1">
        <f t="array" aca="1" ref="CD43" ca="1">IFERROR(INDIRECT("Yr"&amp;IF($C$5=Year1,1,IF($C$5=Year2,2,IF($C$5=Year3,3,IF($C$5=Lookups!$D$40,"All"))))&amp;"!"&amp;CD$72&amp;$DE43)*100,0)</f>
        <v>-3.66263751470267</v>
      </c>
      <c r="CE43" s="338" cm="1">
        <f t="array" aca="1" ref="CE43" ca="1">IFERROR(INDIRECT("Yr"&amp;IF($C$5=Year1,1,IF($C$5=Year2,2,IF($C$5=Year3,3,IF($C$5=Lookups!$D$40,"All"))))&amp;"!"&amp;CE$72&amp;$DE43)*100,0)</f>
        <v>-3.66263751470267</v>
      </c>
      <c r="CF43" s="338" cm="1">
        <f t="array" aca="1" ref="CF43" ca="1">IFERROR(INDIRECT("Yr"&amp;IF($C$5=Year1,1,IF($C$5=Year2,2,IF($C$5=Year3,3,IF($C$5=Lookups!$D$40,"All"))))&amp;"!"&amp;CF$72&amp;$DE43)*100,0)</f>
        <v>-3.66263751470267</v>
      </c>
      <c r="CG43" s="338" cm="1">
        <f t="array" aca="1" ref="CG43" ca="1">IFERROR(INDIRECT("Yr"&amp;IF($C$5=Year1,1,IF($C$5=Year2,2,IF($C$5=Year3,3,IF($C$5=Lookups!$D$40,"All"))))&amp;"!"&amp;CG$72&amp;$DE43)*100,0)</f>
        <v>-3.66263751470267</v>
      </c>
      <c r="CH43" s="338" cm="1">
        <f t="array" aca="1" ref="CH43" ca="1">IFERROR(INDIRECT("Yr"&amp;IF($C$5=Year1,1,IF($C$5=Year2,2,IF($C$5=Year3,3,IF($C$5=Lookups!$D$40,"All"))))&amp;"!"&amp;CH$72&amp;$DE43)*100,0)</f>
        <v>-3.66263751470267</v>
      </c>
      <c r="CI43" s="338" cm="1">
        <f t="array" aca="1" ref="CI43" ca="1">IFERROR(INDIRECT("Yr"&amp;IF($C$5=Year1,1,IF($C$5=Year2,2,IF($C$5=Year3,3,IF($C$5=Lookups!$D$40,"All"))))&amp;"!"&amp;CI$72&amp;$DE43)*100,0)</f>
        <v>-3.66263751470267</v>
      </c>
      <c r="CJ43" s="338" cm="1">
        <f t="array" aca="1" ref="CJ43" ca="1">IFERROR(INDIRECT("Yr"&amp;IF($C$5=Year1,1,IF($C$5=Year2,2,IF($C$5=Year3,3,IF($C$5=Lookups!$D$40,"All"))))&amp;"!"&amp;CJ$72&amp;$DE43)*100,0)</f>
        <v>-3.66263751470267</v>
      </c>
      <c r="CK43" s="338" cm="1">
        <f t="array" aca="1" ref="CK43" ca="1">IFERROR(INDIRECT("Yr"&amp;IF($C$5=Year1,1,IF($C$5=Year2,2,IF($C$5=Year3,3,IF($C$5=Lookups!$D$40,"All"))))&amp;"!"&amp;CK$72&amp;$DE43)*100,0)</f>
        <v>-3.66263751470267</v>
      </c>
      <c r="CL43" s="338" cm="1">
        <f t="array" aca="1" ref="CL43" ca="1">IFERROR(INDIRECT("Yr"&amp;IF($C$5=Year1,1,IF($C$5=Year2,2,IF($C$5=Year3,3,IF($C$5=Lookups!$D$40,"All"))))&amp;"!"&amp;CL$72&amp;$DE43)*100,0)</f>
        <v>-3.66263751470267</v>
      </c>
      <c r="CM43" s="338" cm="1">
        <f t="array" aca="1" ref="CM43" ca="1">IFERROR(INDIRECT("Yr"&amp;IF($C$5=Year1,1,IF($C$5=Year2,2,IF($C$5=Year3,3,IF($C$5=Lookups!$D$40,"All"))))&amp;"!"&amp;CM$72&amp;$DE43)*100,0)</f>
        <v>-3.66263751470267</v>
      </c>
      <c r="CN43" s="338" cm="1">
        <f t="array" aca="1" ref="CN43" ca="1">IFERROR(INDIRECT("Yr"&amp;IF($C$5=Year1,1,IF($C$5=Year2,2,IF($C$5=Year3,3,IF($C$5=Lookups!$D$40,"All"))))&amp;"!"&amp;CN$72&amp;$DE43)*100,0)</f>
        <v>-3.66263751470267</v>
      </c>
      <c r="CO43" s="338" cm="1">
        <f t="array" aca="1" ref="CO43" ca="1">IFERROR(INDIRECT("Yr"&amp;IF($C$5=Year1,1,IF($C$5=Year2,2,IF($C$5=Year3,3,IF($C$5=Lookups!$D$40,"All"))))&amp;"!"&amp;CO$72&amp;$DE43)*100,0)</f>
        <v>-3.66263751470267</v>
      </c>
      <c r="CP43" s="338" cm="1">
        <f t="array" aca="1" ref="CP43" ca="1">IFERROR(INDIRECT("Yr"&amp;IF($C$5=Year1,1,IF($C$5=Year2,2,IF($C$5=Year3,3,IF($C$5=Lookups!$D$40,"All"))))&amp;"!"&amp;CP$72&amp;$DE43)*100,0)</f>
        <v>-2.4544212939946917</v>
      </c>
      <c r="CQ43" s="338" cm="1">
        <f t="array" aca="1" ref="CQ43" ca="1">IFERROR(INDIRECT("Yr"&amp;IF($C$5=Year1,1,IF($C$5=Year2,2,IF($C$5=Year3,3,IF($C$5=Lookups!$D$40,"All"))))&amp;"!"&amp;CQ$72&amp;$DE43)*100,0)</f>
        <v>-1.2298305175384792</v>
      </c>
      <c r="CR43" s="338" cm="1">
        <f t="array" aca="1" ref="CR43" ca="1">IFERROR(INDIRECT("Yr"&amp;IF($C$5=Year1,1,IF($C$5=Year2,2,IF($C$5=Year3,3,IF($C$5=Lookups!$D$40,"All"))))&amp;"!"&amp;CR$72&amp;$DE43)*100,0)</f>
        <v>0</v>
      </c>
      <c r="CS43" s="338" cm="1">
        <f t="array" aca="1" ref="CS43" ca="1">IFERROR(INDIRECT("Yr"&amp;IF($C$5=Year1,1,IF($C$5=Year2,2,IF($C$5=Year3,3,IF($C$5=Lookups!$D$40,"All"))))&amp;"!"&amp;CS$72&amp;$DE43)*100,0)</f>
        <v>0</v>
      </c>
      <c r="CT43" s="338" cm="1">
        <f t="array" aca="1" ref="CT43" ca="1">IFERROR(INDIRECT("Yr"&amp;IF($C$5=Year1,1,IF($C$5=Year2,2,IF($C$5=Year3,3,IF($C$5=Lookups!$D$40,"All"))))&amp;"!"&amp;CT$72&amp;$DE43)*100,0)</f>
        <v>0</v>
      </c>
      <c r="CU43" s="338" cm="1">
        <f t="array" aca="1" ref="CU43" ca="1">IFERROR(INDIRECT("Yr"&amp;IF($C$5=Year1,1,IF($C$5=Year2,2,IF($C$5=Year3,3,IF($C$5=Lookups!$D$40,"All"))))&amp;"!"&amp;CU$72&amp;$DE43)*100,0)</f>
        <v>0</v>
      </c>
      <c r="CV43" s="338" cm="1">
        <f t="array" aca="1" ref="CV43" ca="1">IFERROR(INDIRECT("Yr"&amp;IF($C$5=Year1,1,IF($C$5=Year2,2,IF($C$5=Year3,3,IF($C$5=Lookups!$D$40,"All"))))&amp;"!"&amp;CV$72&amp;$DE43)*100,0)</f>
        <v>0</v>
      </c>
      <c r="CW43" s="338" cm="1">
        <f t="array" aca="1" ref="CW43" ca="1">IFERROR(INDIRECT("Yr"&amp;IF($C$5=Year1,1,IF($C$5=Year2,2,IF($C$5=Year3,3,IF($C$5=Lookups!$D$40,"All"))))&amp;"!"&amp;CW$72&amp;$DE43)*100,0)</f>
        <v>0</v>
      </c>
      <c r="CX43" s="338" cm="1">
        <f t="array" aca="1" ref="CX43" ca="1">IFERROR(INDIRECT("Yr"&amp;IF($C$5=Year1,1,IF($C$5=Year2,2,IF($C$5=Year3,3,IF($C$5=Lookups!$D$40,"All"))))&amp;"!"&amp;CX$72&amp;$DE43)*100,0)</f>
        <v>0</v>
      </c>
      <c r="CY43" s="338" cm="1">
        <f t="array" aca="1" ref="CY43" ca="1">IFERROR(INDIRECT("Yr"&amp;IF($C$5=Year1,1,IF($C$5=Year2,2,IF($C$5=Year3,3,IF($C$5=Lookups!$D$40,"All"))))&amp;"!"&amp;CY$72&amp;$DE43)*100,0)</f>
        <v>0</v>
      </c>
      <c r="CZ43" s="338" cm="1">
        <f t="array" aca="1" ref="CZ43" ca="1">IFERROR(INDIRECT("Yr"&amp;IF($C$5=Year1,1,IF($C$5=Year2,2,IF($C$5=Year3,3,IF($C$5=Lookups!$D$40,"All"))))&amp;"!"&amp;CZ$72&amp;$DE43)*100,0)</f>
        <v>0</v>
      </c>
      <c r="DA43" s="152"/>
      <c r="DB43" s="338"/>
      <c r="DE43" s="516">
        <f t="shared" si="5"/>
        <v>202</v>
      </c>
    </row>
    <row r="44" spans="3:114" x14ac:dyDescent="0.25">
      <c r="BV44" s="343"/>
      <c r="BW44" s="346"/>
      <c r="BX44" s="131" t="s">
        <v>412</v>
      </c>
      <c r="BY44" s="131" t="s">
        <v>409</v>
      </c>
      <c r="BZ44" s="338" cm="1">
        <f t="array" aca="1" ref="BZ44" ca="1">IFERROR(INDIRECT("Yr"&amp;IF($C$5=Year1,1,IF($C$5=Year2,2,IF($C$5=Year3,3,IF($C$5=Lookups!$D$40,"All"))))&amp;"!"&amp;BZ$72&amp;$DE44)*100,0)</f>
        <v>0</v>
      </c>
      <c r="CA44" s="338" cm="1">
        <f t="array" aca="1" ref="CA44" ca="1">IFERROR(INDIRECT("Yr"&amp;IF($C$5=Year1,1,IF($C$5=Year2,2,IF($C$5=Year3,3,IF($C$5=Lookups!$D$40,"All"))))&amp;"!"&amp;CA$72&amp;$DE44)*100,0)</f>
        <v>0</v>
      </c>
      <c r="CB44" s="338" cm="1">
        <f t="array" aca="1" ref="CB44" ca="1">IFERROR(INDIRECT("Yr"&amp;IF($C$5=Year1,1,IF($C$5=Year2,2,IF($C$5=Year3,3,IF($C$5=Lookups!$D$40,"All"))))&amp;"!"&amp;CB$72&amp;$DE44)*100,0)</f>
        <v>0</v>
      </c>
      <c r="CC44" s="338" cm="1">
        <f t="array" aca="1" ref="CC44" ca="1">IFERROR(INDIRECT("Yr"&amp;IF($C$5=Year1,1,IF($C$5=Year2,2,IF($C$5=Year3,3,IF($C$5=Lookups!$D$40,"All"))))&amp;"!"&amp;CC$72&amp;$DE44)*100,0)</f>
        <v>0</v>
      </c>
      <c r="CD44" s="338" cm="1">
        <f t="array" aca="1" ref="CD44" ca="1">IFERROR(INDIRECT("Yr"&amp;IF($C$5=Year1,1,IF($C$5=Year2,2,IF($C$5=Year3,3,IF($C$5=Lookups!$D$40,"All"))))&amp;"!"&amp;CD$72&amp;$DE44)*100,0)</f>
        <v>0</v>
      </c>
      <c r="CE44" s="338" cm="1">
        <f t="array" aca="1" ref="CE44" ca="1">IFERROR(INDIRECT("Yr"&amp;IF($C$5=Year1,1,IF($C$5=Year2,2,IF($C$5=Year3,3,IF($C$5=Lookups!$D$40,"All"))))&amp;"!"&amp;CE$72&amp;$DE44)*100,0)</f>
        <v>0</v>
      </c>
      <c r="CF44" s="338" cm="1">
        <f t="array" aca="1" ref="CF44" ca="1">IFERROR(INDIRECT("Yr"&amp;IF($C$5=Year1,1,IF($C$5=Year2,2,IF($C$5=Year3,3,IF($C$5=Lookups!$D$40,"All"))))&amp;"!"&amp;CF$72&amp;$DE44)*100,0)</f>
        <v>0</v>
      </c>
      <c r="CG44" s="338" cm="1">
        <f t="array" aca="1" ref="CG44" ca="1">IFERROR(INDIRECT("Yr"&amp;IF($C$5=Year1,1,IF($C$5=Year2,2,IF($C$5=Year3,3,IF($C$5=Lookups!$D$40,"All"))))&amp;"!"&amp;CG$72&amp;$DE44)*100,0)</f>
        <v>0</v>
      </c>
      <c r="CH44" s="338" cm="1">
        <f t="array" aca="1" ref="CH44" ca="1">IFERROR(INDIRECT("Yr"&amp;IF($C$5=Year1,1,IF($C$5=Year2,2,IF($C$5=Year3,3,IF($C$5=Lookups!$D$40,"All"))))&amp;"!"&amp;CH$72&amp;$DE44)*100,0)</f>
        <v>0</v>
      </c>
      <c r="CI44" s="338" cm="1">
        <f t="array" aca="1" ref="CI44" ca="1">IFERROR(INDIRECT("Yr"&amp;IF($C$5=Year1,1,IF($C$5=Year2,2,IF($C$5=Year3,3,IF($C$5=Lookups!$D$40,"All"))))&amp;"!"&amp;CI$72&amp;$DE44)*100,0)</f>
        <v>0</v>
      </c>
      <c r="CJ44" s="338" cm="1">
        <f t="array" aca="1" ref="CJ44" ca="1">IFERROR(INDIRECT("Yr"&amp;IF($C$5=Year1,1,IF($C$5=Year2,2,IF($C$5=Year3,3,IF($C$5=Lookups!$D$40,"All"))))&amp;"!"&amp;CJ$72&amp;$DE44)*100,0)</f>
        <v>0</v>
      </c>
      <c r="CK44" s="338" cm="1">
        <f t="array" aca="1" ref="CK44" ca="1">IFERROR(INDIRECT("Yr"&amp;IF($C$5=Year1,1,IF($C$5=Year2,2,IF($C$5=Year3,3,IF($C$5=Lookups!$D$40,"All"))))&amp;"!"&amp;CK$72&amp;$DE44)*100,0)</f>
        <v>0</v>
      </c>
      <c r="CL44" s="338" cm="1">
        <f t="array" aca="1" ref="CL44" ca="1">IFERROR(INDIRECT("Yr"&amp;IF($C$5=Year1,1,IF($C$5=Year2,2,IF($C$5=Year3,3,IF($C$5=Lookups!$D$40,"All"))))&amp;"!"&amp;CL$72&amp;$DE44)*100,0)</f>
        <v>0</v>
      </c>
      <c r="CM44" s="338" cm="1">
        <f t="array" aca="1" ref="CM44" ca="1">IFERROR(INDIRECT("Yr"&amp;IF($C$5=Year1,1,IF($C$5=Year2,2,IF($C$5=Year3,3,IF($C$5=Lookups!$D$40,"All"))))&amp;"!"&amp;CM$72&amp;$DE44)*100,0)</f>
        <v>0</v>
      </c>
      <c r="CN44" s="338" cm="1">
        <f t="array" aca="1" ref="CN44" ca="1">IFERROR(INDIRECT("Yr"&amp;IF($C$5=Year1,1,IF($C$5=Year2,2,IF($C$5=Year3,3,IF($C$5=Lookups!$D$40,"All"))))&amp;"!"&amp;CN$72&amp;$DE44)*100,0)</f>
        <v>0</v>
      </c>
      <c r="CO44" s="338" cm="1">
        <f t="array" aca="1" ref="CO44" ca="1">IFERROR(INDIRECT("Yr"&amp;IF($C$5=Year1,1,IF($C$5=Year2,2,IF($C$5=Year3,3,IF($C$5=Lookups!$D$40,"All"))))&amp;"!"&amp;CO$72&amp;$DE44)*100,0)</f>
        <v>0</v>
      </c>
      <c r="CP44" s="338" cm="1">
        <f t="array" aca="1" ref="CP44" ca="1">IFERROR(INDIRECT("Yr"&amp;IF($C$5=Year1,1,IF($C$5=Year2,2,IF($C$5=Year3,3,IF($C$5=Lookups!$D$40,"All"))))&amp;"!"&amp;CP$72&amp;$DE44)*100,0)</f>
        <v>0</v>
      </c>
      <c r="CQ44" s="338" cm="1">
        <f t="array" aca="1" ref="CQ44" ca="1">IFERROR(INDIRECT("Yr"&amp;IF($C$5=Year1,1,IF($C$5=Year2,2,IF($C$5=Year3,3,IF($C$5=Lookups!$D$40,"All"))))&amp;"!"&amp;CQ$72&amp;$DE44)*100,0)</f>
        <v>0</v>
      </c>
      <c r="CR44" s="338" cm="1">
        <f t="array" aca="1" ref="CR44" ca="1">IFERROR(INDIRECT("Yr"&amp;IF($C$5=Year1,1,IF($C$5=Year2,2,IF($C$5=Year3,3,IF($C$5=Lookups!$D$40,"All"))))&amp;"!"&amp;CR$72&amp;$DE44)*100,0)</f>
        <v>0</v>
      </c>
      <c r="CS44" s="338" cm="1">
        <f t="array" aca="1" ref="CS44" ca="1">IFERROR(INDIRECT("Yr"&amp;IF($C$5=Year1,1,IF($C$5=Year2,2,IF($C$5=Year3,3,IF($C$5=Lookups!$D$40,"All"))))&amp;"!"&amp;CS$72&amp;$DE44)*100,0)</f>
        <v>0</v>
      </c>
      <c r="CT44" s="338" cm="1">
        <f t="array" aca="1" ref="CT44" ca="1">IFERROR(INDIRECT("Yr"&amp;IF($C$5=Year1,1,IF($C$5=Year2,2,IF($C$5=Year3,3,IF($C$5=Lookups!$D$40,"All"))))&amp;"!"&amp;CT$72&amp;$DE44)*100,0)</f>
        <v>0</v>
      </c>
      <c r="CU44" s="338" cm="1">
        <f t="array" aca="1" ref="CU44" ca="1">IFERROR(INDIRECT("Yr"&amp;IF($C$5=Year1,1,IF($C$5=Year2,2,IF($C$5=Year3,3,IF($C$5=Lookups!$D$40,"All"))))&amp;"!"&amp;CU$72&amp;$DE44)*100,0)</f>
        <v>0</v>
      </c>
      <c r="CV44" s="338" cm="1">
        <f t="array" aca="1" ref="CV44" ca="1">IFERROR(INDIRECT("Yr"&amp;IF($C$5=Year1,1,IF($C$5=Year2,2,IF($C$5=Year3,3,IF($C$5=Lookups!$D$40,"All"))))&amp;"!"&amp;CV$72&amp;$DE44)*100,0)</f>
        <v>0</v>
      </c>
      <c r="CW44" s="338" cm="1">
        <f t="array" aca="1" ref="CW44" ca="1">IFERROR(INDIRECT("Yr"&amp;IF($C$5=Year1,1,IF($C$5=Year2,2,IF($C$5=Year3,3,IF($C$5=Lookups!$D$40,"All"))))&amp;"!"&amp;CW$72&amp;$DE44)*100,0)</f>
        <v>0</v>
      </c>
      <c r="CX44" s="338" cm="1">
        <f t="array" aca="1" ref="CX44" ca="1">IFERROR(INDIRECT("Yr"&amp;IF($C$5=Year1,1,IF($C$5=Year2,2,IF($C$5=Year3,3,IF($C$5=Lookups!$D$40,"All"))))&amp;"!"&amp;CX$72&amp;$DE44)*100,0)</f>
        <v>0</v>
      </c>
      <c r="CY44" s="338" cm="1">
        <f t="array" aca="1" ref="CY44" ca="1">IFERROR(INDIRECT("Yr"&amp;IF($C$5=Year1,1,IF($C$5=Year2,2,IF($C$5=Year3,3,IF($C$5=Lookups!$D$40,"All"))))&amp;"!"&amp;CY$72&amp;$DE44)*100,0)</f>
        <v>0</v>
      </c>
      <c r="CZ44" s="338" cm="1">
        <f t="array" aca="1" ref="CZ44" ca="1">IFERROR(INDIRECT("Yr"&amp;IF($C$5=Year1,1,IF($C$5=Year2,2,IF($C$5=Year3,3,IF($C$5=Lookups!$D$40,"All"))))&amp;"!"&amp;CZ$72&amp;$DE44)*100,0)</f>
        <v>0</v>
      </c>
      <c r="DA44" s="152"/>
      <c r="DB44" s="338"/>
      <c r="DE44" s="516"/>
      <c r="DJ44" s="5"/>
    </row>
    <row r="45" spans="3:114" x14ac:dyDescent="0.25">
      <c r="BV45" s="343"/>
      <c r="BW45" s="346"/>
      <c r="BX45" s="131" t="s">
        <v>175</v>
      </c>
      <c r="BY45" s="131" t="s">
        <v>409</v>
      </c>
      <c r="BZ45" s="338" cm="1">
        <f t="array" aca="1" ref="BZ45" ca="1">IFERROR(INDIRECT("Yr"&amp;IF($C$5=Year1,1,IF($C$5=Year2,2,IF($C$5=Year3,3,IF($C$5=Lookups!$D$40,"All"))))&amp;"!"&amp;BZ$72&amp;$DE45)*100,0)</f>
        <v>-4.4572755954208815E-2</v>
      </c>
      <c r="CA45" s="338" cm="1">
        <f t="array" aca="1" ref="CA45" ca="1">IFERROR(INDIRECT("Yr"&amp;IF($C$5=Year1,1,IF($C$5=Year2,2,IF($C$5=Year3,3,IF($C$5=Lookups!$D$40,"All"))))&amp;"!"&amp;CA$72&amp;$DE45)*100,0)</f>
        <v>-9.3404177858384105E-2</v>
      </c>
      <c r="CB45" s="338" cm="1">
        <f t="array" aca="1" ref="CB45" ca="1">IFERROR(INDIRECT("Yr"&amp;IF($C$5=Year1,1,IF($C$5=Year2,2,IF($C$5=Year3,3,IF($C$5=Lookups!$D$40,"All"))))&amp;"!"&amp;CB$72&amp;$DE45)*100,0)</f>
        <v>-0.14655158214209468</v>
      </c>
      <c r="CC45" s="338" cm="1">
        <f t="array" aca="1" ref="CC45" ca="1">IFERROR(INDIRECT("Yr"&amp;IF($C$5=Year1,1,IF($C$5=Year2,2,IF($C$5=Year3,3,IF($C$5=Lookups!$D$40,"All"))))&amp;"!"&amp;CC$72&amp;$DE45)*100,0)</f>
        <v>-0.14655158214209468</v>
      </c>
      <c r="CD45" s="338" cm="1">
        <f t="array" aca="1" ref="CD45" ca="1">IFERROR(INDIRECT("Yr"&amp;IF($C$5=Year1,1,IF($C$5=Year2,2,IF($C$5=Year3,3,IF($C$5=Lookups!$D$40,"All"))))&amp;"!"&amp;CD$72&amp;$DE45)*100,0)</f>
        <v>-0.14655158214209468</v>
      </c>
      <c r="CE45" s="338" cm="1">
        <f t="array" aca="1" ref="CE45" ca="1">IFERROR(INDIRECT("Yr"&amp;IF($C$5=Year1,1,IF($C$5=Year2,2,IF($C$5=Year3,3,IF($C$5=Lookups!$D$40,"All"))))&amp;"!"&amp;CE$72&amp;$DE45)*100,0)</f>
        <v>-0.14655158214209468</v>
      </c>
      <c r="CF45" s="338" cm="1">
        <f t="array" aca="1" ref="CF45" ca="1">IFERROR(INDIRECT("Yr"&amp;IF($C$5=Year1,1,IF($C$5=Year2,2,IF($C$5=Year3,3,IF($C$5=Lookups!$D$40,"All"))))&amp;"!"&amp;CF$72&amp;$DE45)*100,0)</f>
        <v>-0.14655158214209468</v>
      </c>
      <c r="CG45" s="338" cm="1">
        <f t="array" aca="1" ref="CG45" ca="1">IFERROR(INDIRECT("Yr"&amp;IF($C$5=Year1,1,IF($C$5=Year2,2,IF($C$5=Year3,3,IF($C$5=Lookups!$D$40,"All"))))&amp;"!"&amp;CG$72&amp;$DE45)*100,0)</f>
        <v>-0.14655158214209468</v>
      </c>
      <c r="CH45" s="338" cm="1">
        <f t="array" aca="1" ref="CH45" ca="1">IFERROR(INDIRECT("Yr"&amp;IF($C$5=Year1,1,IF($C$5=Year2,2,IF($C$5=Year3,3,IF($C$5=Lookups!$D$40,"All"))))&amp;"!"&amp;CH$72&amp;$DE45)*100,0)</f>
        <v>-0.14655158214209468</v>
      </c>
      <c r="CI45" s="338" cm="1">
        <f t="array" aca="1" ref="CI45" ca="1">IFERROR(INDIRECT("Yr"&amp;IF($C$5=Year1,1,IF($C$5=Year2,2,IF($C$5=Year3,3,IF($C$5=Lookups!$D$40,"All"))))&amp;"!"&amp;CI$72&amp;$DE45)*100,0)</f>
        <v>-0.14655158214209468</v>
      </c>
      <c r="CJ45" s="338" cm="1">
        <f t="array" aca="1" ref="CJ45" ca="1">IFERROR(INDIRECT("Yr"&amp;IF($C$5=Year1,1,IF($C$5=Year2,2,IF($C$5=Year3,3,IF($C$5=Lookups!$D$40,"All"))))&amp;"!"&amp;CJ$72&amp;$DE45)*100,0)</f>
        <v>-0.14655158214209468</v>
      </c>
      <c r="CK45" s="338" cm="1">
        <f t="array" aca="1" ref="CK45" ca="1">IFERROR(INDIRECT("Yr"&amp;IF($C$5=Year1,1,IF($C$5=Year2,2,IF($C$5=Year3,3,IF($C$5=Lookups!$D$40,"All"))))&amp;"!"&amp;CK$72&amp;$DE45)*100,0)</f>
        <v>-0.14655158214209468</v>
      </c>
      <c r="CL45" s="338" cm="1">
        <f t="array" aca="1" ref="CL45" ca="1">IFERROR(INDIRECT("Yr"&amp;IF($C$5=Year1,1,IF($C$5=Year2,2,IF($C$5=Year3,3,IF($C$5=Lookups!$D$40,"All"))))&amp;"!"&amp;CL$72&amp;$DE45)*100,0)</f>
        <v>-0.14655158214209468</v>
      </c>
      <c r="CM45" s="338" cm="1">
        <f t="array" aca="1" ref="CM45" ca="1">IFERROR(INDIRECT("Yr"&amp;IF($C$5=Year1,1,IF($C$5=Year2,2,IF($C$5=Year3,3,IF($C$5=Lookups!$D$40,"All"))))&amp;"!"&amp;CM$72&amp;$DE45)*100,0)</f>
        <v>-0.14655158214209468</v>
      </c>
      <c r="CN45" s="338" cm="1">
        <f t="array" aca="1" ref="CN45" ca="1">IFERROR(INDIRECT("Yr"&amp;IF($C$5=Year1,1,IF($C$5=Year2,2,IF($C$5=Year3,3,IF($C$5=Lookups!$D$40,"All"))))&amp;"!"&amp;CN$72&amp;$DE45)*100,0)</f>
        <v>-0.14655158214209468</v>
      </c>
      <c r="CO45" s="338" cm="1">
        <f t="array" aca="1" ref="CO45" ca="1">IFERROR(INDIRECT("Yr"&amp;IF($C$5=Year1,1,IF($C$5=Year2,2,IF($C$5=Year3,3,IF($C$5=Lookups!$D$40,"All"))))&amp;"!"&amp;CO$72&amp;$DE45)*100,0)</f>
        <v>-0.14655158214209468</v>
      </c>
      <c r="CP45" s="338" cm="1">
        <f t="array" aca="1" ref="CP45" ca="1">IFERROR(INDIRECT("Yr"&amp;IF($C$5=Year1,1,IF($C$5=Year2,2,IF($C$5=Year3,3,IF($C$5=Lookups!$D$40,"All"))))&amp;"!"&amp;CP$72&amp;$DE45)*100,0)</f>
        <v>-9.8187224003198681E-2</v>
      </c>
      <c r="CQ45" s="338" cm="1">
        <f t="array" aca="1" ref="CQ45" ca="1">IFERROR(INDIRECT("Yr"&amp;IF($C$5=Year1,1,IF($C$5=Year2,2,IF($C$5=Year3,3,IF($C$5=Lookups!$D$40,"All"))))&amp;"!"&amp;CQ$72&amp;$DE45)*100,0)</f>
        <v>-4.9167296271621586E-2</v>
      </c>
      <c r="CR45" s="338" cm="1">
        <f t="array" aca="1" ref="CR45" ca="1">IFERROR(INDIRECT("Yr"&amp;IF($C$5=Year1,1,IF($C$5=Year2,2,IF($C$5=Year3,3,IF($C$5=Lookups!$D$40,"All"))))&amp;"!"&amp;CR$72&amp;$DE45)*100,0)</f>
        <v>0</v>
      </c>
      <c r="CS45" s="338" cm="1">
        <f t="array" aca="1" ref="CS45" ca="1">IFERROR(INDIRECT("Yr"&amp;IF($C$5=Year1,1,IF($C$5=Year2,2,IF($C$5=Year3,3,IF($C$5=Lookups!$D$40,"All"))))&amp;"!"&amp;CS$72&amp;$DE45)*100,0)</f>
        <v>0</v>
      </c>
      <c r="CT45" s="338" cm="1">
        <f t="array" aca="1" ref="CT45" ca="1">IFERROR(INDIRECT("Yr"&amp;IF($C$5=Year1,1,IF($C$5=Year2,2,IF($C$5=Year3,3,IF($C$5=Lookups!$D$40,"All"))))&amp;"!"&amp;CT$72&amp;$DE45)*100,0)</f>
        <v>0</v>
      </c>
      <c r="CU45" s="338" cm="1">
        <f t="array" aca="1" ref="CU45" ca="1">IFERROR(INDIRECT("Yr"&amp;IF($C$5=Year1,1,IF($C$5=Year2,2,IF($C$5=Year3,3,IF($C$5=Lookups!$D$40,"All"))))&amp;"!"&amp;CU$72&amp;$DE45)*100,0)</f>
        <v>0</v>
      </c>
      <c r="CV45" s="338" cm="1">
        <f t="array" aca="1" ref="CV45" ca="1">IFERROR(INDIRECT("Yr"&amp;IF($C$5=Year1,1,IF($C$5=Year2,2,IF($C$5=Year3,3,IF($C$5=Lookups!$D$40,"All"))))&amp;"!"&amp;CV$72&amp;$DE45)*100,0)</f>
        <v>0</v>
      </c>
      <c r="CW45" s="338" cm="1">
        <f t="array" aca="1" ref="CW45" ca="1">IFERROR(INDIRECT("Yr"&amp;IF($C$5=Year1,1,IF($C$5=Year2,2,IF($C$5=Year3,3,IF($C$5=Lookups!$D$40,"All"))))&amp;"!"&amp;CW$72&amp;$DE45)*100,0)</f>
        <v>0</v>
      </c>
      <c r="CX45" s="338" cm="1">
        <f t="array" aca="1" ref="CX45" ca="1">IFERROR(INDIRECT("Yr"&amp;IF($C$5=Year1,1,IF($C$5=Year2,2,IF($C$5=Year3,3,IF($C$5=Lookups!$D$40,"All"))))&amp;"!"&amp;CX$72&amp;$DE45)*100,0)</f>
        <v>0</v>
      </c>
      <c r="CY45" s="338" cm="1">
        <f t="array" aca="1" ref="CY45" ca="1">IFERROR(INDIRECT("Yr"&amp;IF($C$5=Year1,1,IF($C$5=Year2,2,IF($C$5=Year3,3,IF($C$5=Lookups!$D$40,"All"))))&amp;"!"&amp;CY$72&amp;$DE45)*100,0)</f>
        <v>0</v>
      </c>
      <c r="CZ45" s="338" cm="1">
        <f t="array" aca="1" ref="CZ45" ca="1">IFERROR(INDIRECT("Yr"&amp;IF($C$5=Year1,1,IF($C$5=Year2,2,IF($C$5=Year3,3,IF($C$5=Lookups!$D$40,"All"))))&amp;"!"&amp;CZ$72&amp;$DE45)*100,0)</f>
        <v>0</v>
      </c>
      <c r="DA45" s="152"/>
      <c r="DB45" s="338"/>
      <c r="DE45" s="516">
        <f t="shared" ref="DE45:DE52" si="6">DE25</f>
        <v>204</v>
      </c>
    </row>
    <row r="46" spans="3:114" x14ac:dyDescent="0.25">
      <c r="BV46" s="343"/>
      <c r="BW46" s="346"/>
      <c r="BX46" s="131" t="s">
        <v>405</v>
      </c>
      <c r="BY46" s="131" t="s">
        <v>409</v>
      </c>
      <c r="BZ46" s="338" cm="1">
        <f t="array" aca="1" ref="BZ46" ca="1">IFERROR(INDIRECT("Yr"&amp;IF($C$5=Year1,1,IF($C$5=Year2,2,IF($C$5=Year3,3,IF($C$5=Lookups!$D$40,"All"))))&amp;"!"&amp;BZ$72&amp;$DE46)*100,0)</f>
        <v>17.09430966134309</v>
      </c>
      <c r="CA46" s="338" cm="1">
        <f t="array" aca="1" ref="CA46" ca="1">IFERROR(INDIRECT("Yr"&amp;IF($C$5=Year1,1,IF($C$5=Year2,2,IF($C$5=Year3,3,IF($C$5=Lookups!$D$40,"All"))))&amp;"!"&amp;CA$72&amp;$DE46)*100,0)</f>
        <v>17.912293874470269</v>
      </c>
      <c r="CB46" s="338" cm="1">
        <f t="array" aca="1" ref="CB46" ca="1">IFERROR(INDIRECT("Yr"&amp;IF($C$5=Year1,1,IF($C$5=Year2,2,IF($C$5=Year3,3,IF($C$5=Lookups!$D$40,"All"))))&amp;"!"&amp;CB$72&amp;$DE46)*100,0)</f>
        <v>19.050121298638214</v>
      </c>
      <c r="CC46" s="338" cm="1">
        <f t="array" aca="1" ref="CC46" ca="1">IFERROR(INDIRECT("Yr"&amp;IF($C$5=Year1,1,IF($C$5=Year2,2,IF($C$5=Year3,3,IF($C$5=Lookups!$D$40,"All"))))&amp;"!"&amp;CC$72&amp;$DE46)*100,0)</f>
        <v>0</v>
      </c>
      <c r="CD46" s="338" cm="1">
        <f t="array" aca="1" ref="CD46" ca="1">IFERROR(INDIRECT("Yr"&amp;IF($C$5=Year1,1,IF($C$5=Year2,2,IF($C$5=Year3,3,IF($C$5=Lookups!$D$40,"All"))))&amp;"!"&amp;CD$72&amp;$DE46)*100,0)</f>
        <v>0</v>
      </c>
      <c r="CE46" s="338" cm="1">
        <f t="array" aca="1" ref="CE46" ca="1">IFERROR(INDIRECT("Yr"&amp;IF($C$5=Year1,1,IF($C$5=Year2,2,IF($C$5=Year3,3,IF($C$5=Lookups!$D$40,"All"))))&amp;"!"&amp;CE$72&amp;$DE46)*100,0)</f>
        <v>0</v>
      </c>
      <c r="CF46" s="338" cm="1">
        <f t="array" aca="1" ref="CF46" ca="1">IFERROR(INDIRECT("Yr"&amp;IF($C$5=Year1,1,IF($C$5=Year2,2,IF($C$5=Year3,3,IF($C$5=Lookups!$D$40,"All"))))&amp;"!"&amp;CF$72&amp;$DE46)*100,0)</f>
        <v>0</v>
      </c>
      <c r="CG46" s="338" cm="1">
        <f t="array" aca="1" ref="CG46" ca="1">IFERROR(INDIRECT("Yr"&amp;IF($C$5=Year1,1,IF($C$5=Year2,2,IF($C$5=Year3,3,IF($C$5=Lookups!$D$40,"All"))))&amp;"!"&amp;CG$72&amp;$DE46)*100,0)</f>
        <v>0</v>
      </c>
      <c r="CH46" s="338" cm="1">
        <f t="array" aca="1" ref="CH46" ca="1">IFERROR(INDIRECT("Yr"&amp;IF($C$5=Year1,1,IF($C$5=Year2,2,IF($C$5=Year3,3,IF($C$5=Lookups!$D$40,"All"))))&amp;"!"&amp;CH$72&amp;$DE46)*100,0)</f>
        <v>0</v>
      </c>
      <c r="CI46" s="338" cm="1">
        <f t="array" aca="1" ref="CI46" ca="1">IFERROR(INDIRECT("Yr"&amp;IF($C$5=Year1,1,IF($C$5=Year2,2,IF($C$5=Year3,3,IF($C$5=Lookups!$D$40,"All"))))&amp;"!"&amp;CI$72&amp;$DE46)*100,0)</f>
        <v>0</v>
      </c>
      <c r="CJ46" s="338" cm="1">
        <f t="array" aca="1" ref="CJ46" ca="1">IFERROR(INDIRECT("Yr"&amp;IF($C$5=Year1,1,IF($C$5=Year2,2,IF($C$5=Year3,3,IF($C$5=Lookups!$D$40,"All"))))&amp;"!"&amp;CJ$72&amp;$DE46)*100,0)</f>
        <v>0</v>
      </c>
      <c r="CK46" s="338" cm="1">
        <f t="array" aca="1" ref="CK46" ca="1">IFERROR(INDIRECT("Yr"&amp;IF($C$5=Year1,1,IF($C$5=Year2,2,IF($C$5=Year3,3,IF($C$5=Lookups!$D$40,"All"))))&amp;"!"&amp;CK$72&amp;$DE46)*100,0)</f>
        <v>0</v>
      </c>
      <c r="CL46" s="338" cm="1">
        <f t="array" aca="1" ref="CL46" ca="1">IFERROR(INDIRECT("Yr"&amp;IF($C$5=Year1,1,IF($C$5=Year2,2,IF($C$5=Year3,3,IF($C$5=Lookups!$D$40,"All"))))&amp;"!"&amp;CL$72&amp;$DE46)*100,0)</f>
        <v>0</v>
      </c>
      <c r="CM46" s="338" cm="1">
        <f t="array" aca="1" ref="CM46" ca="1">IFERROR(INDIRECT("Yr"&amp;IF($C$5=Year1,1,IF($C$5=Year2,2,IF($C$5=Year3,3,IF($C$5=Lookups!$D$40,"All"))))&amp;"!"&amp;CM$72&amp;$DE46)*100,0)</f>
        <v>0</v>
      </c>
      <c r="CN46" s="338" cm="1">
        <f t="array" aca="1" ref="CN46" ca="1">IFERROR(INDIRECT("Yr"&amp;IF($C$5=Year1,1,IF($C$5=Year2,2,IF($C$5=Year3,3,IF($C$5=Lookups!$D$40,"All"))))&amp;"!"&amp;CN$72&amp;$DE46)*100,0)</f>
        <v>0</v>
      </c>
      <c r="CO46" s="338" cm="1">
        <f t="array" aca="1" ref="CO46" ca="1">IFERROR(INDIRECT("Yr"&amp;IF($C$5=Year1,1,IF($C$5=Year2,2,IF($C$5=Year3,3,IF($C$5=Lookups!$D$40,"All"))))&amp;"!"&amp;CO$72&amp;$DE46)*100,0)</f>
        <v>0</v>
      </c>
      <c r="CP46" s="338" cm="1">
        <f t="array" aca="1" ref="CP46" ca="1">IFERROR(INDIRECT("Yr"&amp;IF($C$5=Year1,1,IF($C$5=Year2,2,IF($C$5=Year3,3,IF($C$5=Lookups!$D$40,"All"))))&amp;"!"&amp;CP$72&amp;$DE46)*100,0)</f>
        <v>0</v>
      </c>
      <c r="CQ46" s="338" cm="1">
        <f t="array" aca="1" ref="CQ46" ca="1">IFERROR(INDIRECT("Yr"&amp;IF($C$5=Year1,1,IF($C$5=Year2,2,IF($C$5=Year3,3,IF($C$5=Lookups!$D$40,"All"))))&amp;"!"&amp;CQ$72&amp;$DE46)*100,0)</f>
        <v>0</v>
      </c>
      <c r="CR46" s="338" cm="1">
        <f t="array" aca="1" ref="CR46" ca="1">IFERROR(INDIRECT("Yr"&amp;IF($C$5=Year1,1,IF($C$5=Year2,2,IF($C$5=Year3,3,IF($C$5=Lookups!$D$40,"All"))))&amp;"!"&amp;CR$72&amp;$DE46)*100,0)</f>
        <v>0</v>
      </c>
      <c r="CS46" s="338" cm="1">
        <f t="array" aca="1" ref="CS46" ca="1">IFERROR(INDIRECT("Yr"&amp;IF($C$5=Year1,1,IF($C$5=Year2,2,IF($C$5=Year3,3,IF($C$5=Lookups!$D$40,"All"))))&amp;"!"&amp;CS$72&amp;$DE46)*100,0)</f>
        <v>0</v>
      </c>
      <c r="CT46" s="338" cm="1">
        <f t="array" aca="1" ref="CT46" ca="1">IFERROR(INDIRECT("Yr"&amp;IF($C$5=Year1,1,IF($C$5=Year2,2,IF($C$5=Year3,3,IF($C$5=Lookups!$D$40,"All"))))&amp;"!"&amp;CT$72&amp;$DE46)*100,0)</f>
        <v>0</v>
      </c>
      <c r="CU46" s="338" cm="1">
        <f t="array" aca="1" ref="CU46" ca="1">IFERROR(INDIRECT("Yr"&amp;IF($C$5=Year1,1,IF($C$5=Year2,2,IF($C$5=Year3,3,IF($C$5=Lookups!$D$40,"All"))))&amp;"!"&amp;CU$72&amp;$DE46)*100,0)</f>
        <v>0</v>
      </c>
      <c r="CV46" s="338" cm="1">
        <f t="array" aca="1" ref="CV46" ca="1">IFERROR(INDIRECT("Yr"&amp;IF($C$5=Year1,1,IF($C$5=Year2,2,IF($C$5=Year3,3,IF($C$5=Lookups!$D$40,"All"))))&amp;"!"&amp;CV$72&amp;$DE46)*100,0)</f>
        <v>0</v>
      </c>
      <c r="CW46" s="338" cm="1">
        <f t="array" aca="1" ref="CW46" ca="1">IFERROR(INDIRECT("Yr"&amp;IF($C$5=Year1,1,IF($C$5=Year2,2,IF($C$5=Year3,3,IF($C$5=Lookups!$D$40,"All"))))&amp;"!"&amp;CW$72&amp;$DE46)*100,0)</f>
        <v>0</v>
      </c>
      <c r="CX46" s="338" cm="1">
        <f t="array" aca="1" ref="CX46" ca="1">IFERROR(INDIRECT("Yr"&amp;IF($C$5=Year1,1,IF($C$5=Year2,2,IF($C$5=Year3,3,IF($C$5=Lookups!$D$40,"All"))))&amp;"!"&amp;CX$72&amp;$DE46)*100,0)</f>
        <v>0</v>
      </c>
      <c r="CY46" s="338" cm="1">
        <f t="array" aca="1" ref="CY46" ca="1">IFERROR(INDIRECT("Yr"&amp;IF($C$5=Year1,1,IF($C$5=Year2,2,IF($C$5=Year3,3,IF($C$5=Lookups!$D$40,"All"))))&amp;"!"&amp;CY$72&amp;$DE46)*100,0)</f>
        <v>0</v>
      </c>
      <c r="CZ46" s="338" cm="1">
        <f t="array" aca="1" ref="CZ46" ca="1">IFERROR(INDIRECT("Yr"&amp;IF($C$5=Year1,1,IF($C$5=Year2,2,IF($C$5=Year3,3,IF($C$5=Lookups!$D$40,"All"))))&amp;"!"&amp;CZ$72&amp;$DE46)*100,0)</f>
        <v>0</v>
      </c>
      <c r="DA46" s="152"/>
      <c r="DB46" s="338"/>
      <c r="DE46" s="516">
        <f t="shared" si="6"/>
        <v>207</v>
      </c>
    </row>
    <row r="47" spans="3:114" x14ac:dyDescent="0.25">
      <c r="BV47" s="343"/>
      <c r="BW47" s="346"/>
      <c r="BX47" s="350" t="s">
        <v>69</v>
      </c>
      <c r="BY47" s="350" t="s">
        <v>409</v>
      </c>
      <c r="BZ47" s="473" cm="1">
        <f t="array" aca="1" ref="BZ47" ca="1">IFERROR(INDIRECT("Yr"&amp;IF($C$5=Year1,1,IF($C$5=Year2,2,IF($C$5=Year3,3,IF($C$5=Lookups!$D$40,"All"))))&amp;"!"&amp;BZ$72&amp;$DE47)*100,0)</f>
        <v>0.73283510478104885</v>
      </c>
      <c r="CA47" s="473" cm="1">
        <f t="array" aca="1" ref="CA47" ca="1">IFERROR(INDIRECT("Yr"&amp;IF($C$5=Year1,1,IF($C$5=Year2,2,IF($C$5=Year3,3,IF($C$5=Lookups!$D$40,"All"))))&amp;"!"&amp;CA$72&amp;$DE47)*100,0)</f>
        <v>1.5325145237878701</v>
      </c>
      <c r="CB47" s="473" cm="1">
        <f t="array" aca="1" ref="CB47" ca="1">IFERROR(INDIRECT("Yr"&amp;IF($C$5=Year1,1,IF($C$5=Year2,2,IF($C$5=Year3,3,IF($C$5=Lookups!$D$40,"All"))))&amp;"!"&amp;CB$72&amp;$DE47)*100,0)</f>
        <v>2.4006982349993433</v>
      </c>
      <c r="CC47" s="473" cm="1">
        <f t="array" aca="1" ref="CC47" ca="1">IFERROR(INDIRECT("Yr"&amp;IF($C$5=Year1,1,IF($C$5=Year2,2,IF($C$5=Year3,3,IF($C$5=Lookups!$D$40,"All"))))&amp;"!"&amp;CC$72&amp;$DE47)*100,0)</f>
        <v>2.4006982349993433</v>
      </c>
      <c r="CD47" s="473" cm="1">
        <f t="array" aca="1" ref="CD47" ca="1">IFERROR(INDIRECT("Yr"&amp;IF($C$5=Year1,1,IF($C$5=Year2,2,IF($C$5=Year3,3,IF($C$5=Lookups!$D$40,"All"))))&amp;"!"&amp;CD$72&amp;$DE47)*100,0)</f>
        <v>2.4006982349993433</v>
      </c>
      <c r="CE47" s="473" cm="1">
        <f t="array" aca="1" ref="CE47" ca="1">IFERROR(INDIRECT("Yr"&amp;IF($C$5=Year1,1,IF($C$5=Year2,2,IF($C$5=Year3,3,IF($C$5=Lookups!$D$40,"All"))))&amp;"!"&amp;CE$72&amp;$DE47)*100,0)</f>
        <v>2.4006982349993433</v>
      </c>
      <c r="CF47" s="473" cm="1">
        <f t="array" aca="1" ref="CF47" ca="1">IFERROR(INDIRECT("Yr"&amp;IF($C$5=Year1,1,IF($C$5=Year2,2,IF($C$5=Year3,3,IF($C$5=Lookups!$D$40,"All"))))&amp;"!"&amp;CF$72&amp;$DE47)*100,0)</f>
        <v>2.4006982349993433</v>
      </c>
      <c r="CG47" s="473" cm="1">
        <f t="array" aca="1" ref="CG47" ca="1">IFERROR(INDIRECT("Yr"&amp;IF($C$5=Year1,1,IF($C$5=Year2,2,IF($C$5=Year3,3,IF($C$5=Lookups!$D$40,"All"))))&amp;"!"&amp;CG$72&amp;$DE47)*100,0)</f>
        <v>2.4006982349993433</v>
      </c>
      <c r="CH47" s="473" cm="1">
        <f t="array" aca="1" ref="CH47" ca="1">IFERROR(INDIRECT("Yr"&amp;IF($C$5=Year1,1,IF($C$5=Year2,2,IF($C$5=Year3,3,IF($C$5=Lookups!$D$40,"All"))))&amp;"!"&amp;CH$72&amp;$DE47)*100,0)</f>
        <v>2.4006982349993433</v>
      </c>
      <c r="CI47" s="473" cm="1">
        <f t="array" aca="1" ref="CI47" ca="1">IFERROR(INDIRECT("Yr"&amp;IF($C$5=Year1,1,IF($C$5=Year2,2,IF($C$5=Year3,3,IF($C$5=Lookups!$D$40,"All"))))&amp;"!"&amp;CI$72&amp;$DE47)*100,0)</f>
        <v>2.4006982349993433</v>
      </c>
      <c r="CJ47" s="473" cm="1">
        <f t="array" aca="1" ref="CJ47" ca="1">IFERROR(INDIRECT("Yr"&amp;IF($C$5=Year1,1,IF($C$5=Year2,2,IF($C$5=Year3,3,IF($C$5=Lookups!$D$40,"All"))))&amp;"!"&amp;CJ$72&amp;$DE47)*100,0)</f>
        <v>2.4006982349993433</v>
      </c>
      <c r="CK47" s="473" cm="1">
        <f t="array" aca="1" ref="CK47" ca="1">IFERROR(INDIRECT("Yr"&amp;IF($C$5=Year1,1,IF($C$5=Year2,2,IF($C$5=Year3,3,IF($C$5=Lookups!$D$40,"All"))))&amp;"!"&amp;CK$72&amp;$DE47)*100,0)</f>
        <v>2.4006982349993433</v>
      </c>
      <c r="CL47" s="473" cm="1">
        <f t="array" aca="1" ref="CL47" ca="1">IFERROR(INDIRECT("Yr"&amp;IF($C$5=Year1,1,IF($C$5=Year2,2,IF($C$5=Year3,3,IF($C$5=Lookups!$D$40,"All"))))&amp;"!"&amp;CL$72&amp;$DE47)*100,0)</f>
        <v>2.4006982349993433</v>
      </c>
      <c r="CM47" s="473" cm="1">
        <f t="array" aca="1" ref="CM47" ca="1">IFERROR(INDIRECT("Yr"&amp;IF($C$5=Year1,1,IF($C$5=Year2,2,IF($C$5=Year3,3,IF($C$5=Lookups!$D$40,"All"))))&amp;"!"&amp;CM$72&amp;$DE47)*100,0)</f>
        <v>2.4006982349993433</v>
      </c>
      <c r="CN47" s="473" cm="1">
        <f t="array" aca="1" ref="CN47" ca="1">IFERROR(INDIRECT("Yr"&amp;IF($C$5=Year1,1,IF($C$5=Year2,2,IF($C$5=Year3,3,IF($C$5=Lookups!$D$40,"All"))))&amp;"!"&amp;CN$72&amp;$DE47)*100,0)</f>
        <v>2.4006982349993433</v>
      </c>
      <c r="CO47" s="473" cm="1">
        <f t="array" aca="1" ref="CO47" ca="1">IFERROR(INDIRECT("Yr"&amp;IF($C$5=Year1,1,IF($C$5=Year2,2,IF($C$5=Year3,3,IF($C$5=Lookups!$D$40,"All"))))&amp;"!"&amp;CO$72&amp;$DE47)*100,0)</f>
        <v>2.4006982349993433</v>
      </c>
      <c r="CP47" s="473" cm="1">
        <f t="array" aca="1" ref="CP47" ca="1">IFERROR(INDIRECT("Yr"&amp;IF($C$5=Year1,1,IF($C$5=Year2,2,IF($C$5=Year3,3,IF($C$5=Lookups!$D$40,"All"))))&amp;"!"&amp;CP$72&amp;$DE47)*100,0)</f>
        <v>1.6118446346344462</v>
      </c>
      <c r="CQ47" s="473" cm="1">
        <f t="array" aca="1" ref="CQ47" ca="1">IFERROR(INDIRECT("Yr"&amp;IF($C$5=Year1,1,IF($C$5=Year2,2,IF($C$5=Year3,3,IF($C$5=Lookups!$D$40,"All"))))&amp;"!"&amp;CQ$72&amp;$DE47)*100,0)</f>
        <v>0.8093603649148351</v>
      </c>
      <c r="CR47" s="473" cm="1">
        <f t="array" aca="1" ref="CR47" ca="1">IFERROR(INDIRECT("Yr"&amp;IF($C$5=Year1,1,IF($C$5=Year2,2,IF($C$5=Year3,3,IF($C$5=Lookups!$D$40,"All"))))&amp;"!"&amp;CR$72&amp;$DE47)*100,0)</f>
        <v>0</v>
      </c>
      <c r="CS47" s="473" cm="1">
        <f t="array" aca="1" ref="CS47" ca="1">IFERROR(INDIRECT("Yr"&amp;IF($C$5=Year1,1,IF($C$5=Year2,2,IF($C$5=Year3,3,IF($C$5=Lookups!$D$40,"All"))))&amp;"!"&amp;CS$72&amp;$DE47)*100,0)</f>
        <v>0</v>
      </c>
      <c r="CT47" s="473" cm="1">
        <f t="array" aca="1" ref="CT47" ca="1">IFERROR(INDIRECT("Yr"&amp;IF($C$5=Year1,1,IF($C$5=Year2,2,IF($C$5=Year3,3,IF($C$5=Lookups!$D$40,"All"))))&amp;"!"&amp;CT$72&amp;$DE47)*100,0)</f>
        <v>0</v>
      </c>
      <c r="CU47" s="473" cm="1">
        <f t="array" aca="1" ref="CU47" ca="1">IFERROR(INDIRECT("Yr"&amp;IF($C$5=Year1,1,IF($C$5=Year2,2,IF($C$5=Year3,3,IF($C$5=Lookups!$D$40,"All"))))&amp;"!"&amp;CU$72&amp;$DE47)*100,0)</f>
        <v>0</v>
      </c>
      <c r="CV47" s="473" cm="1">
        <f t="array" aca="1" ref="CV47" ca="1">IFERROR(INDIRECT("Yr"&amp;IF($C$5=Year1,1,IF($C$5=Year2,2,IF($C$5=Year3,3,IF($C$5=Lookups!$D$40,"All"))))&amp;"!"&amp;CV$72&amp;$DE47)*100,0)</f>
        <v>0</v>
      </c>
      <c r="CW47" s="473" cm="1">
        <f t="array" aca="1" ref="CW47" ca="1">IFERROR(INDIRECT("Yr"&amp;IF($C$5=Year1,1,IF($C$5=Year2,2,IF($C$5=Year3,3,IF($C$5=Lookups!$D$40,"All"))))&amp;"!"&amp;CW$72&amp;$DE47)*100,0)</f>
        <v>0</v>
      </c>
      <c r="CX47" s="473" cm="1">
        <f t="array" aca="1" ref="CX47" ca="1">IFERROR(INDIRECT("Yr"&amp;IF($C$5=Year1,1,IF($C$5=Year2,2,IF($C$5=Year3,3,IF($C$5=Lookups!$D$40,"All"))))&amp;"!"&amp;CX$72&amp;$DE47)*100,0)</f>
        <v>0</v>
      </c>
      <c r="CY47" s="473" cm="1">
        <f t="array" aca="1" ref="CY47" ca="1">IFERROR(INDIRECT("Yr"&amp;IF($C$5=Year1,1,IF($C$5=Year2,2,IF($C$5=Year3,3,IF($C$5=Lookups!$D$40,"All"))))&amp;"!"&amp;CY$72&amp;$DE47)*100,0)</f>
        <v>0</v>
      </c>
      <c r="CZ47" s="473" cm="1">
        <f t="array" aca="1" ref="CZ47" ca="1">IFERROR(INDIRECT("Yr"&amp;IF($C$5=Year1,1,IF($C$5=Year2,2,IF($C$5=Year3,3,IF($C$5=Lookups!$D$40,"All"))))&amp;"!"&amp;CZ$72&amp;$DE47)*100,0)</f>
        <v>0</v>
      </c>
      <c r="DA47" s="152"/>
      <c r="DB47" s="473"/>
      <c r="DE47" s="516">
        <f t="shared" si="6"/>
        <v>208</v>
      </c>
    </row>
    <row r="48" spans="3:114" x14ac:dyDescent="0.25">
      <c r="BV48" s="343"/>
      <c r="BW48" s="346"/>
      <c r="BX48" s="165" t="s">
        <v>98</v>
      </c>
      <c r="BY48" s="131" t="s">
        <v>409</v>
      </c>
      <c r="BZ48" s="338">
        <f t="shared" ref="BZ48:CZ48" ca="1" si="7">SUM(BZ43:BZ45)</f>
        <v>-1.1580398278379238</v>
      </c>
      <c r="CA48" s="338">
        <f t="shared" ca="1" si="7"/>
        <v>-2.4267209567163484</v>
      </c>
      <c r="CB48" s="338">
        <f t="shared" ca="1" si="7"/>
        <v>-3.8091890968447646</v>
      </c>
      <c r="CC48" s="338">
        <f t="shared" ca="1" si="7"/>
        <v>-3.8091890968447646</v>
      </c>
      <c r="CD48" s="338">
        <f t="shared" ca="1" si="7"/>
        <v>-3.8091890968447646</v>
      </c>
      <c r="CE48" s="338">
        <f t="shared" ca="1" si="7"/>
        <v>-3.8091890968447646</v>
      </c>
      <c r="CF48" s="338">
        <f t="shared" ca="1" si="7"/>
        <v>-3.8091890968447646</v>
      </c>
      <c r="CG48" s="338">
        <f t="shared" ca="1" si="7"/>
        <v>-3.8091890968447646</v>
      </c>
      <c r="CH48" s="338">
        <f t="shared" ca="1" si="7"/>
        <v>-3.8091890968447646</v>
      </c>
      <c r="CI48" s="338">
        <f t="shared" ca="1" si="7"/>
        <v>-3.8091890968447646</v>
      </c>
      <c r="CJ48" s="338">
        <f t="shared" ca="1" si="7"/>
        <v>-3.8091890968447646</v>
      </c>
      <c r="CK48" s="338">
        <f t="shared" ca="1" si="7"/>
        <v>-3.8091890968447646</v>
      </c>
      <c r="CL48" s="338">
        <f t="shared" ca="1" si="7"/>
        <v>-3.8091890968447646</v>
      </c>
      <c r="CM48" s="338">
        <f t="shared" ca="1" si="7"/>
        <v>-3.8091890968447646</v>
      </c>
      <c r="CN48" s="338">
        <f t="shared" ca="1" si="7"/>
        <v>-3.8091890968447646</v>
      </c>
      <c r="CO48" s="338">
        <f t="shared" ca="1" si="7"/>
        <v>-3.8091890968447646</v>
      </c>
      <c r="CP48" s="338">
        <f t="shared" ca="1" si="7"/>
        <v>-2.5526085179978901</v>
      </c>
      <c r="CQ48" s="338">
        <f t="shared" ca="1" si="7"/>
        <v>-1.2789978138101008</v>
      </c>
      <c r="CR48" s="338">
        <f t="shared" ca="1" si="7"/>
        <v>0</v>
      </c>
      <c r="CS48" s="338">
        <f t="shared" ca="1" si="7"/>
        <v>0</v>
      </c>
      <c r="CT48" s="338">
        <f t="shared" ca="1" si="7"/>
        <v>0</v>
      </c>
      <c r="CU48" s="338">
        <f t="shared" ca="1" si="7"/>
        <v>0</v>
      </c>
      <c r="CV48" s="338">
        <f t="shared" ca="1" si="7"/>
        <v>0</v>
      </c>
      <c r="CW48" s="338">
        <f t="shared" ca="1" si="7"/>
        <v>0</v>
      </c>
      <c r="CX48" s="338">
        <f t="shared" ca="1" si="7"/>
        <v>0</v>
      </c>
      <c r="CY48" s="338">
        <f t="shared" ca="1" si="7"/>
        <v>0</v>
      </c>
      <c r="CZ48" s="338">
        <f t="shared" ca="1" si="7"/>
        <v>0</v>
      </c>
      <c r="DA48" s="152"/>
      <c r="DB48" s="338"/>
      <c r="DC48" s="123"/>
      <c r="DE48" s="516" t="str">
        <f t="shared" si="6"/>
        <v>Calculation</v>
      </c>
    </row>
    <row r="49" spans="3:117" x14ac:dyDescent="0.25">
      <c r="BV49" s="351"/>
      <c r="BW49" s="352"/>
      <c r="BX49" s="353" t="s">
        <v>99</v>
      </c>
      <c r="BY49" s="353" t="s">
        <v>409</v>
      </c>
      <c r="BZ49" s="338" cm="1">
        <f t="array" aca="1" ref="BZ49" ca="1">IFERROR(INDIRECT("Yr"&amp;IF($C$5=Year1,1,IF($C$5=Year2,2,IF($C$5=Year3,3,IF($C$5=Lookups!$D$40,"All"))))&amp;"!"&amp;BZ$72&amp;$DE49)*100,0)</f>
        <v>17.717786236123988</v>
      </c>
      <c r="CA49" s="338" cm="1">
        <f t="array" aca="1" ref="CA49" ca="1">IFERROR(INDIRECT("Yr"&amp;IF($C$5=Year1,1,IF($C$5=Year2,2,IF($C$5=Year3,3,IF($C$5=Lookups!$D$40,"All"))))&amp;"!"&amp;CA$72&amp;$DE49)*100,0)</f>
        <v>19.218724019538634</v>
      </c>
      <c r="CB49" s="338" cm="1">
        <f t="array" aca="1" ref="CB49" ca="1">IFERROR(INDIRECT("Yr"&amp;IF($C$5=Year1,1,IF($C$5=Year2,2,IF($C$5=Year3,3,IF($C$5=Lookups!$D$40,"All"))))&amp;"!"&amp;CB$72&amp;$DE49)*100,0)</f>
        <v>21.101060857805386</v>
      </c>
      <c r="CC49" s="338" cm="1">
        <f t="array" aca="1" ref="CC49" ca="1">IFERROR(INDIRECT("Yr"&amp;IF($C$5=Year1,1,IF($C$5=Year2,2,IF($C$5=Year3,3,IF($C$5=Lookups!$D$40,"All"))))&amp;"!"&amp;CC$72&amp;$DE49)*100,0)</f>
        <v>2.0509395591671753</v>
      </c>
      <c r="CD49" s="338" cm="1">
        <f t="array" aca="1" ref="CD49" ca="1">IFERROR(INDIRECT("Yr"&amp;IF($C$5=Year1,1,IF($C$5=Year2,2,IF($C$5=Year3,3,IF($C$5=Lookups!$D$40,"All"))))&amp;"!"&amp;CD$72&amp;$DE49)*100,0)</f>
        <v>2.0509395591671753</v>
      </c>
      <c r="CE49" s="338" cm="1">
        <f t="array" aca="1" ref="CE49" ca="1">IFERROR(INDIRECT("Yr"&amp;IF($C$5=Year1,1,IF($C$5=Year2,2,IF($C$5=Year3,3,IF($C$5=Lookups!$D$40,"All"))))&amp;"!"&amp;CE$72&amp;$DE49)*100,0)</f>
        <v>2.0509395591671753</v>
      </c>
      <c r="CF49" s="338" cm="1">
        <f t="array" aca="1" ref="CF49" ca="1">IFERROR(INDIRECT("Yr"&amp;IF($C$5=Year1,1,IF($C$5=Year2,2,IF($C$5=Year3,3,IF($C$5=Lookups!$D$40,"All"))))&amp;"!"&amp;CF$72&amp;$DE49)*100,0)</f>
        <v>2.0509395591671753</v>
      </c>
      <c r="CG49" s="338" cm="1">
        <f t="array" aca="1" ref="CG49" ca="1">IFERROR(INDIRECT("Yr"&amp;IF($C$5=Year1,1,IF($C$5=Year2,2,IF($C$5=Year3,3,IF($C$5=Lookups!$D$40,"All"))))&amp;"!"&amp;CG$72&amp;$DE49)*100,0)</f>
        <v>2.0509395591671753</v>
      </c>
      <c r="CH49" s="338" cm="1">
        <f t="array" aca="1" ref="CH49" ca="1">IFERROR(INDIRECT("Yr"&amp;IF($C$5=Year1,1,IF($C$5=Year2,2,IF($C$5=Year3,3,IF($C$5=Lookups!$D$40,"All"))))&amp;"!"&amp;CH$72&amp;$DE49)*100,0)</f>
        <v>2.0509395591671753</v>
      </c>
      <c r="CI49" s="338" cm="1">
        <f t="array" aca="1" ref="CI49" ca="1">IFERROR(INDIRECT("Yr"&amp;IF($C$5=Year1,1,IF($C$5=Year2,2,IF($C$5=Year3,3,IF($C$5=Lookups!$D$40,"All"))))&amp;"!"&amp;CI$72&amp;$DE49)*100,0)</f>
        <v>2.0509395591671753</v>
      </c>
      <c r="CJ49" s="338" cm="1">
        <f t="array" aca="1" ref="CJ49" ca="1">IFERROR(INDIRECT("Yr"&amp;IF($C$5=Year1,1,IF($C$5=Year2,2,IF($C$5=Year3,3,IF($C$5=Lookups!$D$40,"All"))))&amp;"!"&amp;CJ$72&amp;$DE49)*100,0)</f>
        <v>2.0509395591671753</v>
      </c>
      <c r="CK49" s="338" cm="1">
        <f t="array" aca="1" ref="CK49" ca="1">IFERROR(INDIRECT("Yr"&amp;IF($C$5=Year1,1,IF($C$5=Year2,2,IF($C$5=Year3,3,IF($C$5=Lookups!$D$40,"All"))))&amp;"!"&amp;CK$72&amp;$DE49)*100,0)</f>
        <v>2.0509395591671753</v>
      </c>
      <c r="CL49" s="338" cm="1">
        <f t="array" aca="1" ref="CL49" ca="1">IFERROR(INDIRECT("Yr"&amp;IF($C$5=Year1,1,IF($C$5=Year2,2,IF($C$5=Year3,3,IF($C$5=Lookups!$D$40,"All"))))&amp;"!"&amp;CL$72&amp;$DE49)*100,0)</f>
        <v>2.0509395591671753</v>
      </c>
      <c r="CM49" s="338" cm="1">
        <f t="array" aca="1" ref="CM49" ca="1">IFERROR(INDIRECT("Yr"&amp;IF($C$5=Year1,1,IF($C$5=Year2,2,IF($C$5=Year3,3,IF($C$5=Lookups!$D$40,"All"))))&amp;"!"&amp;CM$72&amp;$DE49)*100,0)</f>
        <v>2.0509395591671753</v>
      </c>
      <c r="CN49" s="338" cm="1">
        <f t="array" aca="1" ref="CN49" ca="1">IFERROR(INDIRECT("Yr"&amp;IF($C$5=Year1,1,IF($C$5=Year2,2,IF($C$5=Year3,3,IF($C$5=Lookups!$D$40,"All"))))&amp;"!"&amp;CN$72&amp;$DE49)*100,0)</f>
        <v>2.0509395591671753</v>
      </c>
      <c r="CO49" s="338" cm="1">
        <f t="array" aca="1" ref="CO49" ca="1">IFERROR(INDIRECT("Yr"&amp;IF($C$5=Year1,1,IF($C$5=Year2,2,IF($C$5=Year3,3,IF($C$5=Lookups!$D$40,"All"))))&amp;"!"&amp;CO$72&amp;$DE49)*100,0)</f>
        <v>2.0509395591671753</v>
      </c>
      <c r="CP49" s="338" cm="1">
        <f t="array" aca="1" ref="CP49" ca="1">IFERROR(INDIRECT("Yr"&amp;IF($C$5=Year1,1,IF($C$5=Year2,2,IF($C$5=Year3,3,IF($C$5=Lookups!$D$40,"All"))))&amp;"!"&amp;CP$72&amp;$DE49)*100,0)</f>
        <v>1.3744075302925651</v>
      </c>
      <c r="CQ49" s="338" cm="1">
        <f t="array" aca="1" ref="CQ49" ca="1">IFERROR(INDIRECT("Yr"&amp;IF($C$5=Year1,1,IF($C$5=Year2,2,IF($C$5=Year3,3,IF($C$5=Lookups!$D$40,"All"))))&amp;"!"&amp;CQ$72&amp;$DE49)*100,0)</f>
        <v>0.68879613175525378</v>
      </c>
      <c r="CR49" s="338" cm="1">
        <f t="array" aca="1" ref="CR49" ca="1">IFERROR(INDIRECT("Yr"&amp;IF($C$5=Year1,1,IF($C$5=Year2,2,IF($C$5=Year3,3,IF($C$5=Lookups!$D$40,"All"))))&amp;"!"&amp;CR$72&amp;$DE49)*100,0)</f>
        <v>0</v>
      </c>
      <c r="CS49" s="338" cm="1">
        <f t="array" aca="1" ref="CS49" ca="1">IFERROR(INDIRECT("Yr"&amp;IF($C$5=Year1,1,IF($C$5=Year2,2,IF($C$5=Year3,3,IF($C$5=Lookups!$D$40,"All"))))&amp;"!"&amp;CS$72&amp;$DE49)*100,0)</f>
        <v>0</v>
      </c>
      <c r="CT49" s="338" cm="1">
        <f t="array" aca="1" ref="CT49" ca="1">IFERROR(INDIRECT("Yr"&amp;IF($C$5=Year1,1,IF($C$5=Year2,2,IF($C$5=Year3,3,IF($C$5=Lookups!$D$40,"All"))))&amp;"!"&amp;CT$72&amp;$DE49)*100,0)</f>
        <v>0</v>
      </c>
      <c r="CU49" s="338" cm="1">
        <f t="array" aca="1" ref="CU49" ca="1">IFERROR(INDIRECT("Yr"&amp;IF($C$5=Year1,1,IF($C$5=Year2,2,IF($C$5=Year3,3,IF($C$5=Lookups!$D$40,"All"))))&amp;"!"&amp;CU$72&amp;$DE49)*100,0)</f>
        <v>0</v>
      </c>
      <c r="CV49" s="338" cm="1">
        <f t="array" aca="1" ref="CV49" ca="1">IFERROR(INDIRECT("Yr"&amp;IF($C$5=Year1,1,IF($C$5=Year2,2,IF($C$5=Year3,3,IF($C$5=Lookups!$D$40,"All"))))&amp;"!"&amp;CV$72&amp;$DE49)*100,0)</f>
        <v>0</v>
      </c>
      <c r="CW49" s="338" cm="1">
        <f t="array" aca="1" ref="CW49" ca="1">IFERROR(INDIRECT("Yr"&amp;IF($C$5=Year1,1,IF($C$5=Year2,2,IF($C$5=Year3,3,IF($C$5=Lookups!$D$40,"All"))))&amp;"!"&amp;CW$72&amp;$DE49)*100,0)</f>
        <v>0</v>
      </c>
      <c r="CX49" s="338" cm="1">
        <f t="array" aca="1" ref="CX49" ca="1">IFERROR(INDIRECT("Yr"&amp;IF($C$5=Year1,1,IF($C$5=Year2,2,IF($C$5=Year3,3,IF($C$5=Lookups!$D$40,"All"))))&amp;"!"&amp;CX$72&amp;$DE49)*100,0)</f>
        <v>0</v>
      </c>
      <c r="CY49" s="338" cm="1">
        <f t="array" aca="1" ref="CY49" ca="1">IFERROR(INDIRECT("Yr"&amp;IF($C$5=Year1,1,IF($C$5=Year2,2,IF($C$5=Year3,3,IF($C$5=Lookups!$D$40,"All"))))&amp;"!"&amp;CY$72&amp;$DE49)*100,0)</f>
        <v>0</v>
      </c>
      <c r="CZ49" s="338" cm="1">
        <f t="array" aca="1" ref="CZ49" ca="1">IFERROR(INDIRECT("Yr"&amp;IF($C$5=Year1,1,IF($C$5=Year2,2,IF($C$5=Year3,3,IF($C$5=Lookups!$D$40,"All"))))&amp;"!"&amp;CZ$72&amp;$DE49)*100,0)</f>
        <v>0</v>
      </c>
      <c r="DA49" s="353"/>
      <c r="DB49" s="338"/>
      <c r="DC49" s="355"/>
      <c r="DD49" s="5"/>
      <c r="DE49" s="516">
        <f t="shared" si="6"/>
        <v>217</v>
      </c>
      <c r="DF49" s="530"/>
    </row>
    <row r="50" spans="3:117" x14ac:dyDescent="0.25">
      <c r="BV50" s="343"/>
      <c r="BW50" s="346"/>
      <c r="BX50" s="131" t="s">
        <v>100</v>
      </c>
      <c r="BY50" s="353" t="s">
        <v>409</v>
      </c>
      <c r="BZ50" s="152">
        <f ca="1">IF($C$5=Lookups!$D$40,AVERAGE($BZ49:$CZ49),AVERAGE($BZ49:$CX49))</f>
        <v>3.213444038692189</v>
      </c>
      <c r="CA50" s="152">
        <f ca="1">IF($C$5=Lookups!$D$40,AVERAGE($BZ49:$CZ49),AVERAGE($BZ49:$CX49))</f>
        <v>3.213444038692189</v>
      </c>
      <c r="CB50" s="152">
        <f ca="1">IF($C$5=Lookups!$D$40,AVERAGE($BZ49:$CZ49),AVERAGE($BZ49:$CX49))</f>
        <v>3.213444038692189</v>
      </c>
      <c r="CC50" s="152">
        <f ca="1">IF($C$5=Lookups!$D$40,AVERAGE($BZ49:$CZ49),AVERAGE($BZ49:$CX49))</f>
        <v>3.213444038692189</v>
      </c>
      <c r="CD50" s="152">
        <f ca="1">IF($C$5=Lookups!$D$40,AVERAGE($BZ49:$CZ49),AVERAGE($BZ49:$CX49))</f>
        <v>3.213444038692189</v>
      </c>
      <c r="CE50" s="152">
        <f ca="1">IF($C$5=Lookups!$D$40,AVERAGE($BZ49:$CZ49),AVERAGE($BZ49:$CX49))</f>
        <v>3.213444038692189</v>
      </c>
      <c r="CF50" s="152">
        <f ca="1">IF($C$5=Lookups!$D$40,AVERAGE($BZ49:$CZ49),AVERAGE($BZ49:$CX49))</f>
        <v>3.213444038692189</v>
      </c>
      <c r="CG50" s="152">
        <f ca="1">IF($C$5=Lookups!$D$40,AVERAGE($BZ49:$CZ49),AVERAGE($BZ49:$CX49))</f>
        <v>3.213444038692189</v>
      </c>
      <c r="CH50" s="152">
        <f ca="1">IF($C$5=Lookups!$D$40,AVERAGE($BZ49:$CZ49),AVERAGE($BZ49:$CX49))</f>
        <v>3.213444038692189</v>
      </c>
      <c r="CI50" s="152">
        <f ca="1">IF($C$5=Lookups!$D$40,AVERAGE($BZ49:$CZ49),AVERAGE($BZ49:$CX49))</f>
        <v>3.213444038692189</v>
      </c>
      <c r="CJ50" s="152">
        <f ca="1">IF($C$5=Lookups!$D$40,AVERAGE($BZ49:$CZ49),AVERAGE($BZ49:$CX49))</f>
        <v>3.213444038692189</v>
      </c>
      <c r="CK50" s="152">
        <f ca="1">IF($C$5=Lookups!$D$40,AVERAGE($BZ49:$CZ49),AVERAGE($BZ49:$CX49))</f>
        <v>3.213444038692189</v>
      </c>
      <c r="CL50" s="152">
        <f ca="1">IF($C$5=Lookups!$D$40,AVERAGE($BZ49:$CZ49),AVERAGE($BZ49:$CX49))</f>
        <v>3.213444038692189</v>
      </c>
      <c r="CM50" s="152">
        <f ca="1">IF($C$5=Lookups!$D$40,AVERAGE($BZ49:$CZ49),AVERAGE($BZ49:$CX49))</f>
        <v>3.213444038692189</v>
      </c>
      <c r="CN50" s="152">
        <f ca="1">IF($C$5=Lookups!$D$40,AVERAGE($BZ49:$CZ49),AVERAGE($BZ49:$CX49))</f>
        <v>3.213444038692189</v>
      </c>
      <c r="CO50" s="152">
        <f ca="1">IF($C$5=Lookups!$D$40,AVERAGE($BZ49:$CZ49),AVERAGE($BZ49:$CX49))</f>
        <v>3.213444038692189</v>
      </c>
      <c r="CP50" s="152">
        <f ca="1">IF($C$5=Lookups!$D$40,AVERAGE($BZ49:$CZ49),AVERAGE($BZ49:$CX49))</f>
        <v>3.213444038692189</v>
      </c>
      <c r="CQ50" s="152">
        <f ca="1">IF($C$5=Lookups!$D$40,AVERAGE($BZ49:$CZ49),AVERAGE($BZ49:$CX49))</f>
        <v>3.213444038692189</v>
      </c>
      <c r="CR50" s="152">
        <f ca="1">IF($C$5=Lookups!$D$40,AVERAGE($BZ49:$CZ49),AVERAGE($BZ49:$CX49))</f>
        <v>3.213444038692189</v>
      </c>
      <c r="CS50" s="152">
        <f ca="1">IF($C$5=Lookups!$D$40,AVERAGE($BZ49:$CZ49),AVERAGE($BZ49:$CX49))</f>
        <v>3.213444038692189</v>
      </c>
      <c r="CT50" s="152">
        <f ca="1">IF($C$5=Lookups!$D$40,AVERAGE($BZ49:$CZ49),AVERAGE($BZ49:$CX49))</f>
        <v>3.213444038692189</v>
      </c>
      <c r="CU50" s="152">
        <f ca="1">IF($C$5=Lookups!$D$40,AVERAGE($BZ49:$CZ49),AVERAGE($BZ49:$CX49))</f>
        <v>3.213444038692189</v>
      </c>
      <c r="CV50" s="152">
        <f ca="1">IF($C$5=Lookups!$D$40,AVERAGE($BZ49:$CZ49),AVERAGE($BZ49:$CX49))</f>
        <v>3.213444038692189</v>
      </c>
      <c r="CW50" s="152">
        <f ca="1">IF($C$5=Lookups!$D$40,AVERAGE($BZ49:$CZ49),AVERAGE($BZ49:$CX49))</f>
        <v>3.213444038692189</v>
      </c>
      <c r="CX50" s="152">
        <f ca="1">IF($C$5=Lookups!$D$40,AVERAGE($BZ49:$CZ49),AVERAGE($BZ49:$CX49))</f>
        <v>3.213444038692189</v>
      </c>
      <c r="CY50" s="152">
        <f ca="1">IF($C$5=Lookups!$D$40,AVERAGE($BZ49:$CZ49),AVERAGE($BZ49:$CX49))</f>
        <v>3.213444038692189</v>
      </c>
      <c r="CZ50" s="152">
        <f ca="1">IF($C$5=Lookups!$D$40,AVERAGE($BZ49:$CZ49),AVERAGE($BZ49:$CX49))</f>
        <v>3.213444038692189</v>
      </c>
      <c r="DA50" s="131"/>
      <c r="DB50" s="152"/>
      <c r="DC50" s="123"/>
      <c r="DE50" s="516" t="str">
        <f t="shared" si="6"/>
        <v>Calculation</v>
      </c>
    </row>
    <row r="51" spans="3:117" x14ac:dyDescent="0.25">
      <c r="BV51" s="343"/>
      <c r="BW51" s="346"/>
      <c r="BX51" s="131" t="s">
        <v>99</v>
      </c>
      <c r="BY51" s="161" t="s">
        <v>16</v>
      </c>
      <c r="BZ51" s="236" cm="1">
        <f t="array" aca="1" ref="BZ51" ca="1">IFERROR(INDIRECT("Yr"&amp;IF($C$5=Year1,1,IF($C$5=Year2,2,IF($C$5=Year3,3,IF($C$5=Lookups!$D$40,"All"))))&amp;"!"&amp;BZ$72&amp;$DE51),0)</f>
        <v>0.13620190845696833</v>
      </c>
      <c r="CA51" s="236" cm="1">
        <f t="array" aca="1" ref="CA51" ca="1">IFERROR(INDIRECT("Yr"&amp;IF($C$5=Year1,1,IF($C$5=Year2,2,IF($C$5=Year3,3,IF($C$5=Lookups!$D$40,"All"))))&amp;"!"&amp;CA$72&amp;$DE51),0)</f>
        <v>0.14774006496545145</v>
      </c>
      <c r="CB51" s="236" cm="1">
        <f t="array" aca="1" ref="CB51" ca="1">IFERROR(INDIRECT("Yr"&amp;IF($C$5=Year1,1,IF($C$5=Year2,2,IF($C$5=Year3,3,IF($C$5=Lookups!$D$40,"All"))))&amp;"!"&amp;CB$72&amp;$DE51),0)</f>
        <v>0.16221014978948389</v>
      </c>
      <c r="CC51" s="236" cm="1">
        <f t="array" aca="1" ref="CC51" ca="1">IFERROR(INDIRECT("Yr"&amp;IF($C$5=Year1,1,IF($C$5=Year2,2,IF($C$5=Year3,3,IF($C$5=Lookups!$D$40,"All"))))&amp;"!"&amp;CC$72&amp;$DE51),0)</f>
        <v>1.5766184238013015E-2</v>
      </c>
      <c r="CD51" s="236" cm="1">
        <f t="array" aca="1" ref="CD51" ca="1">IFERROR(INDIRECT("Yr"&amp;IF($C$5=Year1,1,IF($C$5=Year2,2,IF($C$5=Year3,3,IF($C$5=Lookups!$D$40,"All"))))&amp;"!"&amp;CD$72&amp;$DE51),0)</f>
        <v>1.5766184238013015E-2</v>
      </c>
      <c r="CE51" s="236" cm="1">
        <f t="array" aca="1" ref="CE51" ca="1">IFERROR(INDIRECT("Yr"&amp;IF($C$5=Year1,1,IF($C$5=Year2,2,IF($C$5=Year3,3,IF($C$5=Lookups!$D$40,"All"))))&amp;"!"&amp;CE$72&amp;$DE51),0)</f>
        <v>1.5766184238013015E-2</v>
      </c>
      <c r="CF51" s="236" cm="1">
        <f t="array" aca="1" ref="CF51" ca="1">IFERROR(INDIRECT("Yr"&amp;IF($C$5=Year1,1,IF($C$5=Year2,2,IF($C$5=Year3,3,IF($C$5=Lookups!$D$40,"All"))))&amp;"!"&amp;CF$72&amp;$DE51),0)</f>
        <v>1.5766184238013015E-2</v>
      </c>
      <c r="CG51" s="236" cm="1">
        <f t="array" aca="1" ref="CG51" ca="1">IFERROR(INDIRECT("Yr"&amp;IF($C$5=Year1,1,IF($C$5=Year2,2,IF($C$5=Year3,3,IF($C$5=Lookups!$D$40,"All"))))&amp;"!"&amp;CG$72&amp;$DE51),0)</f>
        <v>1.5766184238013015E-2</v>
      </c>
      <c r="CH51" s="236" cm="1">
        <f t="array" aca="1" ref="CH51" ca="1">IFERROR(INDIRECT("Yr"&amp;IF($C$5=Year1,1,IF($C$5=Year2,2,IF($C$5=Year3,3,IF($C$5=Lookups!$D$40,"All"))))&amp;"!"&amp;CH$72&amp;$DE51),0)</f>
        <v>1.5766184238013015E-2</v>
      </c>
      <c r="CI51" s="236" cm="1">
        <f t="array" aca="1" ref="CI51" ca="1">IFERROR(INDIRECT("Yr"&amp;IF($C$5=Year1,1,IF($C$5=Year2,2,IF($C$5=Year3,3,IF($C$5=Lookups!$D$40,"All"))))&amp;"!"&amp;CI$72&amp;$DE51),0)</f>
        <v>1.5766184238013015E-2</v>
      </c>
      <c r="CJ51" s="236" cm="1">
        <f t="array" aca="1" ref="CJ51" ca="1">IFERROR(INDIRECT("Yr"&amp;IF($C$5=Year1,1,IF($C$5=Year2,2,IF($C$5=Year3,3,IF($C$5=Lookups!$D$40,"All"))))&amp;"!"&amp;CJ$72&amp;$DE51),0)</f>
        <v>1.5766184238013015E-2</v>
      </c>
      <c r="CK51" s="236" cm="1">
        <f t="array" aca="1" ref="CK51" ca="1">IFERROR(INDIRECT("Yr"&amp;IF($C$5=Year1,1,IF($C$5=Year2,2,IF($C$5=Year3,3,IF($C$5=Lookups!$D$40,"All"))))&amp;"!"&amp;CK$72&amp;$DE51),0)</f>
        <v>1.5766184238013015E-2</v>
      </c>
      <c r="CL51" s="236" cm="1">
        <f t="array" aca="1" ref="CL51" ca="1">IFERROR(INDIRECT("Yr"&amp;IF($C$5=Year1,1,IF($C$5=Year2,2,IF($C$5=Year3,3,IF($C$5=Lookups!$D$40,"All"))))&amp;"!"&amp;CL$72&amp;$DE51),0)</f>
        <v>1.5766184238013015E-2</v>
      </c>
      <c r="CM51" s="236" cm="1">
        <f t="array" aca="1" ref="CM51" ca="1">IFERROR(INDIRECT("Yr"&amp;IF($C$5=Year1,1,IF($C$5=Year2,2,IF($C$5=Year3,3,IF($C$5=Lookups!$D$40,"All"))))&amp;"!"&amp;CM$72&amp;$DE51),0)</f>
        <v>1.5766184238013015E-2</v>
      </c>
      <c r="CN51" s="236" cm="1">
        <f t="array" aca="1" ref="CN51" ca="1">IFERROR(INDIRECT("Yr"&amp;IF($C$5=Year1,1,IF($C$5=Year2,2,IF($C$5=Year3,3,IF($C$5=Lookups!$D$40,"All"))))&amp;"!"&amp;CN$72&amp;$DE51),0)</f>
        <v>1.5766184238013015E-2</v>
      </c>
      <c r="CO51" s="236" cm="1">
        <f t="array" aca="1" ref="CO51" ca="1">IFERROR(INDIRECT("Yr"&amp;IF($C$5=Year1,1,IF($C$5=Year2,2,IF($C$5=Year3,3,IF($C$5=Lookups!$D$40,"All"))))&amp;"!"&amp;CO$72&amp;$DE51),0)</f>
        <v>1.5766184238013015E-2</v>
      </c>
      <c r="CP51" s="236" cm="1">
        <f t="array" aca="1" ref="CP51" ca="1">IFERROR(INDIRECT("Yr"&amp;IF($C$5=Year1,1,IF($C$5=Year2,2,IF($C$5=Year3,3,IF($C$5=Lookups!$D$40,"All"))))&amp;"!"&amp;CP$72&amp;$DE51),0)</f>
        <v>1.0565480705586605E-2</v>
      </c>
      <c r="CQ51" s="236" cm="1">
        <f t="array" aca="1" ref="CQ51" ca="1">IFERROR(INDIRECT("Yr"&amp;IF($C$5=Year1,1,IF($C$5=Year2,2,IF($C$5=Year3,3,IF($C$5=Lookups!$D$40,"All"))))&amp;"!"&amp;CQ$72&amp;$DE51),0)</f>
        <v>5.2949813499594267E-3</v>
      </c>
      <c r="CR51" s="236" cm="1">
        <f t="array" aca="1" ref="CR51" ca="1">IFERROR(INDIRECT("Yr"&amp;IF($C$5=Year1,1,IF($C$5=Year2,2,IF($C$5=Year3,3,IF($C$5=Lookups!$D$40,"All"))))&amp;"!"&amp;CR$72&amp;$DE51),0)</f>
        <v>0</v>
      </c>
      <c r="CS51" s="236" cm="1">
        <f t="array" aca="1" ref="CS51" ca="1">IFERROR(INDIRECT("Yr"&amp;IF($C$5=Year1,1,IF($C$5=Year2,2,IF($C$5=Year3,3,IF($C$5=Lookups!$D$40,"All"))))&amp;"!"&amp;CS$72&amp;$DE51),0)</f>
        <v>0</v>
      </c>
      <c r="CT51" s="236" cm="1">
        <f t="array" aca="1" ref="CT51" ca="1">IFERROR(INDIRECT("Yr"&amp;IF($C$5=Year1,1,IF($C$5=Year2,2,IF($C$5=Year3,3,IF($C$5=Lookups!$D$40,"All"))))&amp;"!"&amp;CT$72&amp;$DE51),0)</f>
        <v>0</v>
      </c>
      <c r="CU51" s="236" cm="1">
        <f t="array" aca="1" ref="CU51" ca="1">IFERROR(INDIRECT("Yr"&amp;IF($C$5=Year1,1,IF($C$5=Year2,2,IF($C$5=Year3,3,IF($C$5=Lookups!$D$40,"All"))))&amp;"!"&amp;CU$72&amp;$DE51),0)</f>
        <v>0</v>
      </c>
      <c r="CV51" s="236" cm="1">
        <f t="array" aca="1" ref="CV51" ca="1">IFERROR(INDIRECT("Yr"&amp;IF($C$5=Year1,1,IF($C$5=Year2,2,IF($C$5=Year3,3,IF($C$5=Lookups!$D$40,"All"))))&amp;"!"&amp;CV$72&amp;$DE51),0)</f>
        <v>0</v>
      </c>
      <c r="CW51" s="236" cm="1">
        <f t="array" aca="1" ref="CW51" ca="1">IFERROR(INDIRECT("Yr"&amp;IF($C$5=Year1,1,IF($C$5=Year2,2,IF($C$5=Year3,3,IF($C$5=Lookups!$D$40,"All"))))&amp;"!"&amp;CW$72&amp;$DE51),0)</f>
        <v>0</v>
      </c>
      <c r="CX51" s="236" cm="1">
        <f t="array" aca="1" ref="CX51" ca="1">IFERROR(INDIRECT("Yr"&amp;IF($C$5=Year1,1,IF($C$5=Year2,2,IF($C$5=Year3,3,IF($C$5=Lookups!$D$40,"All"))))&amp;"!"&amp;CX$72&amp;$DE51),0)</f>
        <v>0</v>
      </c>
      <c r="CY51" s="236" cm="1">
        <f t="array" aca="1" ref="CY51" ca="1">IFERROR(INDIRECT("Yr"&amp;IF($C$5=Year1,1,IF($C$5=Year2,2,IF($C$5=Year3,3,IF($C$5=Lookups!$D$40,"All"))))&amp;"!"&amp;CY$72&amp;$DE51),0)</f>
        <v>0</v>
      </c>
      <c r="CZ51" s="236" cm="1">
        <f t="array" aca="1" ref="CZ51" ca="1">IFERROR(INDIRECT("Yr"&amp;IF($C$5=Year1,1,IF($C$5=Year2,2,IF($C$5=Year3,3,IF($C$5=Lookups!$D$40,"All"))))&amp;"!"&amp;CZ$72&amp;$DE51),0)</f>
        <v>0</v>
      </c>
      <c r="DA51" s="162"/>
      <c r="DB51" s="236"/>
      <c r="DC51" s="123"/>
      <c r="DE51" s="516">
        <f t="shared" si="6"/>
        <v>218</v>
      </c>
    </row>
    <row r="52" spans="3:117" x14ac:dyDescent="0.25">
      <c r="BV52" s="343"/>
      <c r="BW52" s="346"/>
      <c r="BX52" s="131" t="s">
        <v>100</v>
      </c>
      <c r="BY52" s="161" t="s">
        <v>16</v>
      </c>
      <c r="BZ52" s="163">
        <f ca="1">IF($C$5=Lookups!$D$40,AVERAGE($BZ51:$CZ51),AVERAGE($BZ51:$CX51))</f>
        <v>2.4702702976356256E-2</v>
      </c>
      <c r="CA52" s="236">
        <f ca="1">IF($C$5=Lookups!$D$40,AVERAGE($BZ51:$CZ51),AVERAGE($BZ51:$CX51))</f>
        <v>2.4702702976356256E-2</v>
      </c>
      <c r="CB52" s="236">
        <f ca="1">IF($C$5=Lookups!$D$40,AVERAGE($BZ51:$CZ51),AVERAGE($BZ51:$CX51))</f>
        <v>2.4702702976356256E-2</v>
      </c>
      <c r="CC52" s="236">
        <f ca="1">IF($C$5=Lookups!$D$40,AVERAGE($BZ51:$CZ51),AVERAGE($BZ51:$CX51))</f>
        <v>2.4702702976356256E-2</v>
      </c>
      <c r="CD52" s="236">
        <f ca="1">IF($C$5=Lookups!$D$40,AVERAGE($BZ51:$CZ51),AVERAGE($BZ51:$CX51))</f>
        <v>2.4702702976356256E-2</v>
      </c>
      <c r="CE52" s="236">
        <f ca="1">IF($C$5=Lookups!$D$40,AVERAGE($BZ51:$CZ51),AVERAGE($BZ51:$CX51))</f>
        <v>2.4702702976356256E-2</v>
      </c>
      <c r="CF52" s="236">
        <f ca="1">IF($C$5=Lookups!$D$40,AVERAGE($BZ51:$CZ51),AVERAGE($BZ51:$CX51))</f>
        <v>2.4702702976356256E-2</v>
      </c>
      <c r="CG52" s="236">
        <f ca="1">IF($C$5=Lookups!$D$40,AVERAGE($BZ51:$CZ51),AVERAGE($BZ51:$CX51))</f>
        <v>2.4702702976356256E-2</v>
      </c>
      <c r="CH52" s="236">
        <f ca="1">IF($C$5=Lookups!$D$40,AVERAGE($BZ51:$CZ51),AVERAGE($BZ51:$CX51))</f>
        <v>2.4702702976356256E-2</v>
      </c>
      <c r="CI52" s="236">
        <f ca="1">IF($C$5=Lookups!$D$40,AVERAGE($BZ51:$CZ51),AVERAGE($BZ51:$CX51))</f>
        <v>2.4702702976356256E-2</v>
      </c>
      <c r="CJ52" s="236">
        <f ca="1">IF($C$5=Lookups!$D$40,AVERAGE($BZ51:$CZ51),AVERAGE($BZ51:$CX51))</f>
        <v>2.4702702976356256E-2</v>
      </c>
      <c r="CK52" s="236">
        <f ca="1">IF($C$5=Lookups!$D$40,AVERAGE($BZ51:$CZ51),AVERAGE($BZ51:$CX51))</f>
        <v>2.4702702976356256E-2</v>
      </c>
      <c r="CL52" s="236">
        <f ca="1">IF($C$5=Lookups!$D$40,AVERAGE($BZ51:$CZ51),AVERAGE($BZ51:$CX51))</f>
        <v>2.4702702976356256E-2</v>
      </c>
      <c r="CM52" s="236">
        <f ca="1">IF($C$5=Lookups!$D$40,AVERAGE($BZ51:$CZ51),AVERAGE($BZ51:$CX51))</f>
        <v>2.4702702976356256E-2</v>
      </c>
      <c r="CN52" s="236">
        <f ca="1">IF($C$5=Lookups!$D$40,AVERAGE($BZ51:$CZ51),AVERAGE($BZ51:$CX51))</f>
        <v>2.4702702976356256E-2</v>
      </c>
      <c r="CO52" s="236">
        <f ca="1">IF($C$5=Lookups!$D$40,AVERAGE($BZ51:$CZ51),AVERAGE($BZ51:$CX51))</f>
        <v>2.4702702976356256E-2</v>
      </c>
      <c r="CP52" s="236">
        <f ca="1">IF($C$5=Lookups!$D$40,AVERAGE($BZ51:$CZ51),AVERAGE($BZ51:$CX51))</f>
        <v>2.4702702976356256E-2</v>
      </c>
      <c r="CQ52" s="236">
        <f ca="1">IF($C$5=Lookups!$D$40,AVERAGE($BZ51:$CZ51),AVERAGE($BZ51:$CX51))</f>
        <v>2.4702702976356256E-2</v>
      </c>
      <c r="CR52" s="236">
        <f ca="1">IF($C$5=Lookups!$D$40,AVERAGE($BZ51:$CZ51),AVERAGE($BZ51:$CX51))</f>
        <v>2.4702702976356256E-2</v>
      </c>
      <c r="CS52" s="236">
        <f ca="1">IF($C$5=Lookups!$D$40,AVERAGE($BZ51:$CZ51),AVERAGE($BZ51:$CX51))</f>
        <v>2.4702702976356256E-2</v>
      </c>
      <c r="CT52" s="236">
        <f ca="1">IF($C$5=Lookups!$D$40,AVERAGE($BZ51:$CZ51),AVERAGE($BZ51:$CX51))</f>
        <v>2.4702702976356256E-2</v>
      </c>
      <c r="CU52" s="236">
        <f ca="1">IF($C$5=Lookups!$D$40,AVERAGE($BZ51:$CZ51),AVERAGE($BZ51:$CX51))</f>
        <v>2.4702702976356256E-2</v>
      </c>
      <c r="CV52" s="236">
        <f ca="1">IF($C$5=Lookups!$D$40,AVERAGE($BZ51:$CZ51),AVERAGE($BZ51:$CX51))</f>
        <v>2.4702702976356256E-2</v>
      </c>
      <c r="CW52" s="236">
        <f ca="1">IF($C$5=Lookups!$D$40,AVERAGE($BZ51:$CZ51),AVERAGE($BZ51:$CX51))</f>
        <v>2.4702702976356256E-2</v>
      </c>
      <c r="CX52" s="236">
        <f ca="1">IF($C$5=Lookups!$D$40,AVERAGE($BZ51:$CZ51),AVERAGE($BZ51:$CX51))</f>
        <v>2.4702702976356256E-2</v>
      </c>
      <c r="CY52" s="236">
        <f ca="1">IF($C$5=Lookups!$D$40,AVERAGE($BZ51:$CZ51),AVERAGE($BZ51:$CX51))</f>
        <v>2.4702702976356256E-2</v>
      </c>
      <c r="CZ52" s="236">
        <f ca="1">IF($C$5=Lookups!$D$40,AVERAGE($BZ51:$CZ51),AVERAGE($BZ51:$CX51))</f>
        <v>2.4702702976356256E-2</v>
      </c>
      <c r="DA52" s="162"/>
      <c r="DB52" s="236"/>
      <c r="DC52" s="123"/>
      <c r="DE52" s="516" t="str">
        <f t="shared" si="6"/>
        <v>Calculation</v>
      </c>
    </row>
    <row r="53" spans="3:117" x14ac:dyDescent="0.25">
      <c r="BV53" s="343"/>
      <c r="BW53" s="346"/>
      <c r="BX53" s="182" t="str">
        <f ca="1">"Levelized net change "&amp;TEXT(DB53,"0.0%")</f>
        <v>Levelized net change 2.8%</v>
      </c>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2"/>
      <c r="DB53" s="723" cm="1">
        <f t="array" aca="1" ref="DB53" ca="1">IFERROR(INDIRECT("Yr"&amp;IF($C$5=Year1,1,IF($C$5=Year2,2,IF($C$5=Year3,3,IF($C$5=Lookups!$D$40,"All"))))&amp;"!"&amp;DB$74&amp;$DE53),0)</f>
        <v>2.797659503227945E-2</v>
      </c>
      <c r="DC53" s="123"/>
      <c r="DE53" s="516">
        <f>DE33</f>
        <v>218</v>
      </c>
    </row>
    <row r="54" spans="3:117" x14ac:dyDescent="0.25">
      <c r="BT54" s="5"/>
      <c r="BV54" s="343"/>
      <c r="BW54" s="346"/>
      <c r="BX54" s="131"/>
      <c r="BY54" s="131"/>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23"/>
      <c r="DE54" s="516"/>
    </row>
    <row r="55" spans="3:117" ht="18.75" x14ac:dyDescent="0.25">
      <c r="C55" s="411" t="s">
        <v>28</v>
      </c>
      <c r="D55" s="196"/>
      <c r="E55" s="196"/>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V55" s="166" t="str">
        <f>Lookups!$D$23&amp;" v "&amp;Lookups!$D$24</f>
        <v>Proposed EE v Alternative EE</v>
      </c>
      <c r="BW55" s="166"/>
      <c r="BX55" s="167"/>
      <c r="BY55" s="167"/>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23"/>
      <c r="DE55" s="516"/>
    </row>
    <row r="56" spans="3:117" x14ac:dyDescent="0.25">
      <c r="C56" s="412" t="s">
        <v>252</v>
      </c>
      <c r="D56" s="412"/>
      <c r="E56" s="412"/>
      <c r="F56" s="413"/>
      <c r="G56" s="413"/>
      <c r="H56" s="413"/>
      <c r="I56" s="413"/>
      <c r="J56" s="413"/>
      <c r="K56" s="413"/>
      <c r="L56" s="414"/>
      <c r="M56" s="413"/>
      <c r="N56" s="412"/>
      <c r="BV56" s="343"/>
      <c r="BW56" s="169" t="s">
        <v>72</v>
      </c>
      <c r="BX56" s="170"/>
      <c r="BY56" s="170"/>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23"/>
      <c r="DE56" s="516"/>
    </row>
    <row r="57" spans="3:117" x14ac:dyDescent="0.25">
      <c r="C57" s="412" t="s">
        <v>225</v>
      </c>
      <c r="D57" s="412"/>
      <c r="E57" s="412"/>
      <c r="F57" s="413"/>
      <c r="G57" s="413"/>
      <c r="H57" s="413"/>
      <c r="I57" s="413"/>
      <c r="J57" s="413"/>
      <c r="K57" s="413"/>
      <c r="L57" s="414"/>
      <c r="M57" s="413"/>
      <c r="N57" s="412"/>
      <c r="BV57" s="343"/>
      <c r="BW57" s="347"/>
      <c r="BX57" s="170" t="s">
        <v>224</v>
      </c>
      <c r="BY57" s="170" t="s">
        <v>409</v>
      </c>
      <c r="BZ57" s="172">
        <f t="shared" ref="BZ57:BZ63" ca="1" si="8">BZ43-BZ23</f>
        <v>-0.14145849085795459</v>
      </c>
      <c r="CA57" s="172">
        <f t="shared" ref="CA57:CZ58" ca="1" si="9">CA43-CA23</f>
        <v>-0.30162919151350698</v>
      </c>
      <c r="CB57" s="172">
        <f t="shared" ca="1" si="9"/>
        <v>-0.48231587506910056</v>
      </c>
      <c r="CC57" s="172">
        <f t="shared" ca="1" si="9"/>
        <v>-0.48231587506910056</v>
      </c>
      <c r="CD57" s="172">
        <f t="shared" ca="1" si="9"/>
        <v>-0.48231587506910056</v>
      </c>
      <c r="CE57" s="172">
        <f t="shared" ca="1" si="9"/>
        <v>-0.48231587506910056</v>
      </c>
      <c r="CF57" s="172">
        <f t="shared" ca="1" si="9"/>
        <v>-0.48231587506910056</v>
      </c>
      <c r="CG57" s="172">
        <f t="shared" ca="1" si="9"/>
        <v>-0.48231587506910056</v>
      </c>
      <c r="CH57" s="172">
        <f t="shared" ca="1" si="9"/>
        <v>-0.48231587506910056</v>
      </c>
      <c r="CI57" s="172">
        <f t="shared" ca="1" si="9"/>
        <v>-0.48231587506910056</v>
      </c>
      <c r="CJ57" s="172">
        <f t="shared" ca="1" si="9"/>
        <v>-0.48231587506910056</v>
      </c>
      <c r="CK57" s="172">
        <f t="shared" ca="1" si="9"/>
        <v>-0.48231587506910056</v>
      </c>
      <c r="CL57" s="172">
        <f t="shared" ca="1" si="9"/>
        <v>-0.48231587506910056</v>
      </c>
      <c r="CM57" s="172">
        <f t="shared" ca="1" si="9"/>
        <v>-0.48231587506910056</v>
      </c>
      <c r="CN57" s="172">
        <f t="shared" ca="1" si="9"/>
        <v>-0.48231587506910056</v>
      </c>
      <c r="CO57" s="172">
        <f t="shared" ca="1" si="9"/>
        <v>-0.48231587506910056</v>
      </c>
      <c r="CP57" s="172">
        <f t="shared" ca="1" si="9"/>
        <v>-0.31782638505464123</v>
      </c>
      <c r="CQ57" s="172">
        <f t="shared" ca="1" si="9"/>
        <v>-0.15650394850319427</v>
      </c>
      <c r="CR57" s="172">
        <f t="shared" ca="1" si="9"/>
        <v>0</v>
      </c>
      <c r="CS57" s="172">
        <f t="shared" ca="1" si="9"/>
        <v>0</v>
      </c>
      <c r="CT57" s="172">
        <f t="shared" ca="1" si="9"/>
        <v>0</v>
      </c>
      <c r="CU57" s="172">
        <f t="shared" ca="1" si="9"/>
        <v>0</v>
      </c>
      <c r="CV57" s="172">
        <f t="shared" ca="1" si="9"/>
        <v>0</v>
      </c>
      <c r="CW57" s="172">
        <f t="shared" ca="1" si="9"/>
        <v>0</v>
      </c>
      <c r="CX57" s="172">
        <f t="shared" ca="1" si="9"/>
        <v>0</v>
      </c>
      <c r="CY57" s="172">
        <f t="shared" ca="1" si="9"/>
        <v>0</v>
      </c>
      <c r="CZ57" s="172">
        <f t="shared" ca="1" si="9"/>
        <v>0</v>
      </c>
      <c r="DA57" s="172"/>
      <c r="DB57" s="172">
        <f ca="1">IF($C$5=Lookups!$D$40,-PMT(Lookups!$E$17,27,NPV(Lookups!$E$17,BZ57:CZ57),0,1),-PMT(Lookups!$E$17,25,NPV(Lookups!$E$17,BZ57:CX57),0,1))</f>
        <v>-0.29710135099825641</v>
      </c>
      <c r="DC57" s="123"/>
      <c r="DE57" s="516"/>
    </row>
    <row r="58" spans="3:117" ht="15" customHeight="1" x14ac:dyDescent="0.25">
      <c r="C58" s="415" t="s">
        <v>164</v>
      </c>
      <c r="D58" s="415"/>
      <c r="E58" s="415"/>
      <c r="F58" s="415"/>
      <c r="G58" s="415"/>
      <c r="H58" s="415"/>
      <c r="I58" s="415"/>
      <c r="J58" s="415"/>
      <c r="K58" s="415"/>
      <c r="L58" s="415"/>
      <c r="M58" s="415"/>
      <c r="N58" s="415"/>
      <c r="BV58" s="343"/>
      <c r="BW58" s="347"/>
      <c r="BX58" s="170" t="s">
        <v>412</v>
      </c>
      <c r="BY58" s="170" t="s">
        <v>409</v>
      </c>
      <c r="BZ58" s="172">
        <f t="shared" ca="1" si="8"/>
        <v>6.627331234266548E-2</v>
      </c>
      <c r="CA58" s="172">
        <f t="shared" ca="1" si="9"/>
        <v>0.13852415368257662</v>
      </c>
      <c r="CB58" s="172">
        <f t="shared" ca="1" si="9"/>
        <v>0.21684011179319787</v>
      </c>
      <c r="CC58" s="172">
        <f t="shared" ca="1" si="9"/>
        <v>0.21684011179319787</v>
      </c>
      <c r="CD58" s="172">
        <f t="shared" ca="1" si="9"/>
        <v>0.21684011179319787</v>
      </c>
      <c r="CE58" s="172">
        <f t="shared" ca="1" si="9"/>
        <v>0.21684011179319787</v>
      </c>
      <c r="CF58" s="172">
        <f t="shared" ca="1" si="9"/>
        <v>0.21684011179319787</v>
      </c>
      <c r="CG58" s="172">
        <f t="shared" ca="1" si="9"/>
        <v>0.21684011179319787</v>
      </c>
      <c r="CH58" s="172">
        <f t="shared" ca="1" si="9"/>
        <v>0.21684011179319787</v>
      </c>
      <c r="CI58" s="172">
        <f t="shared" ca="1" si="9"/>
        <v>0.21684011179319787</v>
      </c>
      <c r="CJ58" s="172">
        <f t="shared" ca="1" si="9"/>
        <v>0.21684011179319787</v>
      </c>
      <c r="CK58" s="172">
        <f t="shared" ca="1" si="9"/>
        <v>0.21684011179319787</v>
      </c>
      <c r="CL58" s="172">
        <f t="shared" ca="1" si="9"/>
        <v>0.21684011179319787</v>
      </c>
      <c r="CM58" s="172">
        <f t="shared" ca="1" si="9"/>
        <v>0.21684011179319787</v>
      </c>
      <c r="CN58" s="172">
        <f t="shared" ca="1" si="9"/>
        <v>0.21684011179319787</v>
      </c>
      <c r="CO58" s="172">
        <f t="shared" ca="1" si="9"/>
        <v>0.21684011179319787</v>
      </c>
      <c r="CP58" s="172">
        <f t="shared" ca="1" si="9"/>
        <v>0.1456769256095489</v>
      </c>
      <c r="CQ58" s="172">
        <f t="shared" ca="1" si="9"/>
        <v>7.3181356979678522E-2</v>
      </c>
      <c r="CR58" s="172">
        <f t="shared" ca="1" si="9"/>
        <v>0</v>
      </c>
      <c r="CS58" s="172">
        <f t="shared" ca="1" si="9"/>
        <v>0</v>
      </c>
      <c r="CT58" s="172">
        <f t="shared" ca="1" si="9"/>
        <v>0</v>
      </c>
      <c r="CU58" s="172">
        <f t="shared" ca="1" si="9"/>
        <v>0</v>
      </c>
      <c r="CV58" s="172">
        <f t="shared" ca="1" si="9"/>
        <v>0</v>
      </c>
      <c r="CW58" s="172">
        <f t="shared" ca="1" si="9"/>
        <v>0</v>
      </c>
      <c r="CX58" s="172">
        <f t="shared" ca="1" si="9"/>
        <v>0</v>
      </c>
      <c r="CY58" s="172">
        <f t="shared" ca="1" si="9"/>
        <v>0</v>
      </c>
      <c r="CZ58" s="172">
        <f t="shared" ca="1" si="9"/>
        <v>0</v>
      </c>
      <c r="DA58" s="172"/>
      <c r="DB58" s="172">
        <f ca="1">IF($C$5=Lookups!$D$40,-PMT(Lookups!$E$17,27,NPV(Lookups!$E$17,BZ58:CZ58),0,1),-PMT(Lookups!$E$17,25,NPV(Lookups!$E$17,BZ58:CX58),0,1))</f>
        <v>0.13400695521248424</v>
      </c>
      <c r="DC58" s="123"/>
      <c r="DE58" s="516"/>
    </row>
    <row r="59" spans="3:117" x14ac:dyDescent="0.25">
      <c r="D59" s="415"/>
      <c r="E59" s="415"/>
      <c r="F59" s="415"/>
      <c r="G59" s="415"/>
      <c r="H59" s="415"/>
      <c r="I59" s="415"/>
      <c r="J59" s="415"/>
      <c r="K59" s="415"/>
      <c r="L59" s="415"/>
      <c r="M59" s="415"/>
      <c r="N59" s="415"/>
      <c r="BV59" s="343"/>
      <c r="BW59" s="347"/>
      <c r="BX59" s="170" t="s">
        <v>175</v>
      </c>
      <c r="BY59" s="170" t="s">
        <v>409</v>
      </c>
      <c r="BZ59" s="172">
        <f t="shared" ca="1" si="8"/>
        <v>-5.6626683894615976E-3</v>
      </c>
      <c r="CA59" s="172">
        <f t="shared" ref="CA59:CZ59" ca="1" si="10">CA45-CA25</f>
        <v>-1.2074411372980209E-2</v>
      </c>
      <c r="CB59" s="172">
        <f t="shared" ca="1" si="10"/>
        <v>-1.9298703270493794E-2</v>
      </c>
      <c r="CC59" s="172">
        <f t="shared" ca="1" si="10"/>
        <v>-1.9298703270493794E-2</v>
      </c>
      <c r="CD59" s="172">
        <f t="shared" ca="1" si="10"/>
        <v>-1.9298703270493794E-2</v>
      </c>
      <c r="CE59" s="172">
        <f t="shared" ca="1" si="10"/>
        <v>-1.9298703270493794E-2</v>
      </c>
      <c r="CF59" s="172">
        <f t="shared" ca="1" si="10"/>
        <v>-1.9298703270493794E-2</v>
      </c>
      <c r="CG59" s="172">
        <f t="shared" ca="1" si="10"/>
        <v>-1.9298703270493794E-2</v>
      </c>
      <c r="CH59" s="172">
        <f t="shared" ca="1" si="10"/>
        <v>-1.9298703270493794E-2</v>
      </c>
      <c r="CI59" s="172">
        <f t="shared" ca="1" si="10"/>
        <v>-1.9298703270493794E-2</v>
      </c>
      <c r="CJ59" s="172">
        <f t="shared" ca="1" si="10"/>
        <v>-1.9298703270493794E-2</v>
      </c>
      <c r="CK59" s="172">
        <f t="shared" ca="1" si="10"/>
        <v>-1.9298703270493794E-2</v>
      </c>
      <c r="CL59" s="172">
        <f t="shared" ca="1" si="10"/>
        <v>-1.9298703270493794E-2</v>
      </c>
      <c r="CM59" s="172">
        <f t="shared" ca="1" si="10"/>
        <v>-1.9298703270493794E-2</v>
      </c>
      <c r="CN59" s="172">
        <f t="shared" ca="1" si="10"/>
        <v>-1.9298703270493794E-2</v>
      </c>
      <c r="CO59" s="172">
        <f t="shared" ca="1" si="10"/>
        <v>-1.9298703270493794E-2</v>
      </c>
      <c r="CP59" s="172">
        <f t="shared" ca="1" si="10"/>
        <v>-1.2714398518233513E-2</v>
      </c>
      <c r="CQ59" s="172">
        <f t="shared" ca="1" si="10"/>
        <v>-6.2568588874640646E-3</v>
      </c>
      <c r="CR59" s="172">
        <f t="shared" ca="1" si="10"/>
        <v>0</v>
      </c>
      <c r="CS59" s="172">
        <f t="shared" ca="1" si="10"/>
        <v>0</v>
      </c>
      <c r="CT59" s="172">
        <f t="shared" ca="1" si="10"/>
        <v>0</v>
      </c>
      <c r="CU59" s="172">
        <f t="shared" ca="1" si="10"/>
        <v>0</v>
      </c>
      <c r="CV59" s="172">
        <f t="shared" ca="1" si="10"/>
        <v>0</v>
      </c>
      <c r="CW59" s="172">
        <f t="shared" ca="1" si="10"/>
        <v>0</v>
      </c>
      <c r="CX59" s="172">
        <f t="shared" ca="1" si="10"/>
        <v>0</v>
      </c>
      <c r="CY59" s="172">
        <f t="shared" ca="1" si="10"/>
        <v>0</v>
      </c>
      <c r="CZ59" s="172">
        <f t="shared" ca="1" si="10"/>
        <v>0</v>
      </c>
      <c r="DA59" s="172"/>
      <c r="DB59" s="172">
        <f ca="1">IF($C$5=Lookups!$D$40,-PMT(Lookups!$E$17,27,NPV(Lookups!$E$17,BZ59:CZ59),0,1),-PMT(Lookups!$E$17,25,NPV(Lookups!$E$17,BZ59:CX59),0,1))</f>
        <v>-1.1887863988009782E-2</v>
      </c>
      <c r="DC59" s="123"/>
      <c r="DE59" s="516"/>
      <c r="DK59" s="5"/>
      <c r="DL59" s="5"/>
      <c r="DM59" s="5"/>
    </row>
    <row r="60" spans="3:117" x14ac:dyDescent="0.25">
      <c r="BV60" s="343"/>
      <c r="BW60" s="347"/>
      <c r="BX60" s="170" t="s">
        <v>405</v>
      </c>
      <c r="BY60" s="170" t="s">
        <v>409</v>
      </c>
      <c r="BZ60" s="172">
        <f t="shared" ca="1" si="8"/>
        <v>2.8490516102238477</v>
      </c>
      <c r="CA60" s="172">
        <f t="shared" ref="CA60:CZ60" ca="1" si="11">CA46-CA26</f>
        <v>2.9853823124117103</v>
      </c>
      <c r="CB60" s="172">
        <f t="shared" ca="1" si="11"/>
        <v>3.1750202164397017</v>
      </c>
      <c r="CC60" s="172">
        <f t="shared" ca="1" si="11"/>
        <v>0</v>
      </c>
      <c r="CD60" s="172">
        <f t="shared" ca="1" si="11"/>
        <v>0</v>
      </c>
      <c r="CE60" s="172">
        <f t="shared" ca="1" si="11"/>
        <v>0</v>
      </c>
      <c r="CF60" s="172">
        <f t="shared" ca="1" si="11"/>
        <v>0</v>
      </c>
      <c r="CG60" s="172">
        <f t="shared" ca="1" si="11"/>
        <v>0</v>
      </c>
      <c r="CH60" s="172">
        <f t="shared" ca="1" si="11"/>
        <v>0</v>
      </c>
      <c r="CI60" s="172">
        <f t="shared" ca="1" si="11"/>
        <v>0</v>
      </c>
      <c r="CJ60" s="172">
        <f t="shared" ca="1" si="11"/>
        <v>0</v>
      </c>
      <c r="CK60" s="172">
        <f t="shared" ca="1" si="11"/>
        <v>0</v>
      </c>
      <c r="CL60" s="172">
        <f t="shared" ca="1" si="11"/>
        <v>0</v>
      </c>
      <c r="CM60" s="172">
        <f t="shared" ca="1" si="11"/>
        <v>0</v>
      </c>
      <c r="CN60" s="172">
        <f t="shared" ca="1" si="11"/>
        <v>0</v>
      </c>
      <c r="CO60" s="172">
        <f t="shared" ca="1" si="11"/>
        <v>0</v>
      </c>
      <c r="CP60" s="172">
        <f t="shared" ca="1" si="11"/>
        <v>0</v>
      </c>
      <c r="CQ60" s="172">
        <f t="shared" ca="1" si="11"/>
        <v>0</v>
      </c>
      <c r="CR60" s="172">
        <f t="shared" ca="1" si="11"/>
        <v>0</v>
      </c>
      <c r="CS60" s="172">
        <f t="shared" ca="1" si="11"/>
        <v>0</v>
      </c>
      <c r="CT60" s="172">
        <f t="shared" ca="1" si="11"/>
        <v>0</v>
      </c>
      <c r="CU60" s="172">
        <f t="shared" ca="1" si="11"/>
        <v>0</v>
      </c>
      <c r="CV60" s="172">
        <f t="shared" ca="1" si="11"/>
        <v>0</v>
      </c>
      <c r="CW60" s="172">
        <f t="shared" ca="1" si="11"/>
        <v>0</v>
      </c>
      <c r="CX60" s="172">
        <f t="shared" ca="1" si="11"/>
        <v>0</v>
      </c>
      <c r="CY60" s="172">
        <f t="shared" ca="1" si="11"/>
        <v>0</v>
      </c>
      <c r="CZ60" s="172">
        <f t="shared" ca="1" si="11"/>
        <v>0</v>
      </c>
      <c r="DA60" s="172"/>
      <c r="DB60" s="172">
        <f ca="1">IF($C$5=Lookups!$D$40,-PMT(Lookups!$E$17,27,NPV(Lookups!$E$17,BZ60:CZ60),0,1),-PMT(Lookups!$E$17,25,NPV(Lookups!$E$17,BZ60:CX60),0,1))</f>
        <v>0.38693941095615486</v>
      </c>
      <c r="DC60" s="123"/>
      <c r="DE60" s="516"/>
    </row>
    <row r="61" spans="3:117" x14ac:dyDescent="0.25">
      <c r="BV61" s="343"/>
      <c r="BW61" s="347"/>
      <c r="BX61" s="170" t="s">
        <v>69</v>
      </c>
      <c r="BY61" s="170" t="s">
        <v>409</v>
      </c>
      <c r="BZ61" s="172">
        <f t="shared" ca="1" si="8"/>
        <v>9.2949493806337991E-2</v>
      </c>
      <c r="CA61" s="172">
        <f t="shared" ref="CA61:CZ61" ca="1" si="12">CA47-CA27</f>
        <v>0.1974552739977764</v>
      </c>
      <c r="CB61" s="172">
        <f t="shared" ca="1" si="12"/>
        <v>0.3145642533833426</v>
      </c>
      <c r="CC61" s="172">
        <f t="shared" ca="1" si="12"/>
        <v>0.3145642533833426</v>
      </c>
      <c r="CD61" s="172">
        <f t="shared" ca="1" si="12"/>
        <v>0.3145642533833426</v>
      </c>
      <c r="CE61" s="172">
        <f t="shared" ca="1" si="12"/>
        <v>0.3145642533833426</v>
      </c>
      <c r="CF61" s="172">
        <f t="shared" ca="1" si="12"/>
        <v>0.3145642533833426</v>
      </c>
      <c r="CG61" s="172">
        <f t="shared" ca="1" si="12"/>
        <v>0.3145642533833426</v>
      </c>
      <c r="CH61" s="172">
        <f t="shared" ca="1" si="12"/>
        <v>0.3145642533833426</v>
      </c>
      <c r="CI61" s="172">
        <f t="shared" ca="1" si="12"/>
        <v>0.3145642533833426</v>
      </c>
      <c r="CJ61" s="172">
        <f t="shared" ca="1" si="12"/>
        <v>0.3145642533833426</v>
      </c>
      <c r="CK61" s="172">
        <f t="shared" ca="1" si="12"/>
        <v>0.3145642533833426</v>
      </c>
      <c r="CL61" s="172">
        <f t="shared" ca="1" si="12"/>
        <v>0.3145642533833426</v>
      </c>
      <c r="CM61" s="172">
        <f t="shared" ca="1" si="12"/>
        <v>0.3145642533833426</v>
      </c>
      <c r="CN61" s="172">
        <f t="shared" ca="1" si="12"/>
        <v>0.3145642533833426</v>
      </c>
      <c r="CO61" s="172">
        <f t="shared" ca="1" si="12"/>
        <v>0.3145642533833426</v>
      </c>
      <c r="CP61" s="172">
        <f t="shared" ca="1" si="12"/>
        <v>0.20799815235723051</v>
      </c>
      <c r="CQ61" s="172">
        <f t="shared" ca="1" si="12"/>
        <v>0.10281100204240223</v>
      </c>
      <c r="CR61" s="172">
        <f t="shared" ca="1" si="12"/>
        <v>0</v>
      </c>
      <c r="CS61" s="172">
        <f t="shared" ca="1" si="12"/>
        <v>0</v>
      </c>
      <c r="CT61" s="172">
        <f t="shared" ca="1" si="12"/>
        <v>0</v>
      </c>
      <c r="CU61" s="172">
        <f t="shared" ca="1" si="12"/>
        <v>0</v>
      </c>
      <c r="CV61" s="172">
        <f t="shared" ca="1" si="12"/>
        <v>0</v>
      </c>
      <c r="CW61" s="172">
        <f t="shared" ca="1" si="12"/>
        <v>0</v>
      </c>
      <c r="CX61" s="172">
        <f t="shared" ca="1" si="12"/>
        <v>0</v>
      </c>
      <c r="CY61" s="172">
        <f t="shared" ca="1" si="12"/>
        <v>0</v>
      </c>
      <c r="CZ61" s="172">
        <f t="shared" ca="1" si="12"/>
        <v>0</v>
      </c>
      <c r="DA61" s="172"/>
      <c r="DB61" s="172">
        <f ca="1">IF($C$5=Lookups!$D$40,-PMT(Lookups!$E$17,27,NPV(Lookups!$E$17,BZ61:CZ61),0,1),-PMT(Lookups!$E$17,25,NPV(Lookups!$E$17,BZ61:CX61),0,1))</f>
        <v>0.19388003083158339</v>
      </c>
      <c r="DC61" s="123"/>
      <c r="DE61" s="516"/>
    </row>
    <row r="62" spans="3:117" x14ac:dyDescent="0.25">
      <c r="BV62" s="343"/>
      <c r="BW62" s="347"/>
      <c r="BX62" s="173" t="s">
        <v>98</v>
      </c>
      <c r="BY62" s="170" t="s">
        <v>409</v>
      </c>
      <c r="BZ62" s="172">
        <f t="shared" ca="1" si="8"/>
        <v>-8.0847846904750664E-2</v>
      </c>
      <c r="CA62" s="172">
        <f t="shared" ref="CA62:CZ62" ca="1" si="13">CA48-CA28</f>
        <v>-0.17517944920391049</v>
      </c>
      <c r="CB62" s="172">
        <f t="shared" ca="1" si="13"/>
        <v>-0.28477446654639671</v>
      </c>
      <c r="CC62" s="172">
        <f t="shared" ca="1" si="13"/>
        <v>-0.28477446654639671</v>
      </c>
      <c r="CD62" s="172">
        <f t="shared" ca="1" si="13"/>
        <v>-0.28477446654639671</v>
      </c>
      <c r="CE62" s="172">
        <f t="shared" ca="1" si="13"/>
        <v>-0.28477446654639671</v>
      </c>
      <c r="CF62" s="172">
        <f t="shared" ca="1" si="13"/>
        <v>-0.28477446654639671</v>
      </c>
      <c r="CG62" s="172">
        <f t="shared" ca="1" si="13"/>
        <v>-0.28477446654639671</v>
      </c>
      <c r="CH62" s="172">
        <f t="shared" ca="1" si="13"/>
        <v>-0.28477446654639671</v>
      </c>
      <c r="CI62" s="172">
        <f t="shared" ca="1" si="13"/>
        <v>-0.28477446654639671</v>
      </c>
      <c r="CJ62" s="172">
        <f t="shared" ca="1" si="13"/>
        <v>-0.28477446654639671</v>
      </c>
      <c r="CK62" s="172">
        <f t="shared" ca="1" si="13"/>
        <v>-0.28477446654639671</v>
      </c>
      <c r="CL62" s="172">
        <f t="shared" ca="1" si="13"/>
        <v>-0.28477446654639671</v>
      </c>
      <c r="CM62" s="172">
        <f t="shared" ca="1" si="13"/>
        <v>-0.28477446654639671</v>
      </c>
      <c r="CN62" s="172">
        <f t="shared" ca="1" si="13"/>
        <v>-0.28477446654639671</v>
      </c>
      <c r="CO62" s="172">
        <f t="shared" ca="1" si="13"/>
        <v>-0.28477446654639671</v>
      </c>
      <c r="CP62" s="172">
        <f t="shared" ca="1" si="13"/>
        <v>-0.18486385796332572</v>
      </c>
      <c r="CQ62" s="172">
        <f t="shared" ca="1" si="13"/>
        <v>-8.9579450410979922E-2</v>
      </c>
      <c r="CR62" s="172">
        <f t="shared" ca="1" si="13"/>
        <v>0</v>
      </c>
      <c r="CS62" s="172">
        <f t="shared" ca="1" si="13"/>
        <v>0</v>
      </c>
      <c r="CT62" s="172">
        <f t="shared" ca="1" si="13"/>
        <v>0</v>
      </c>
      <c r="CU62" s="172">
        <f t="shared" ca="1" si="13"/>
        <v>0</v>
      </c>
      <c r="CV62" s="172">
        <f t="shared" ca="1" si="13"/>
        <v>0</v>
      </c>
      <c r="CW62" s="172">
        <f t="shared" ca="1" si="13"/>
        <v>0</v>
      </c>
      <c r="CX62" s="172">
        <f t="shared" ca="1" si="13"/>
        <v>0</v>
      </c>
      <c r="CY62" s="172">
        <f t="shared" ca="1" si="13"/>
        <v>0</v>
      </c>
      <c r="CZ62" s="172">
        <f t="shared" ca="1" si="13"/>
        <v>0</v>
      </c>
      <c r="DA62" s="172"/>
      <c r="DB62" s="172">
        <f ca="1">IF($C$5=Lookups!$D$40,-PMT(Lookups!$E$17,27,NPV(Lookups!$E$17,BZ62:CZ62),0,1),-PMT(Lookups!$E$17,25,NPV(Lookups!$E$17,BZ62:CX62),0,1))</f>
        <v>-0.17498225977378207</v>
      </c>
      <c r="DC62" s="123"/>
      <c r="DE62" s="516"/>
    </row>
    <row r="63" spans="3:117" x14ac:dyDescent="0.25">
      <c r="BV63" s="343"/>
      <c r="BW63" s="347"/>
      <c r="BX63" s="170" t="s">
        <v>99</v>
      </c>
      <c r="BY63" s="170" t="s">
        <v>409</v>
      </c>
      <c r="BZ63" s="172">
        <f t="shared" ca="1" si="8"/>
        <v>2.9282601091375806</v>
      </c>
      <c r="CA63" s="172">
        <f t="shared" ref="CA63:CZ63" ca="1" si="14">CA49-CA29</f>
        <v>3.1542652827809086</v>
      </c>
      <c r="CB63" s="172">
        <f t="shared" ca="1" si="14"/>
        <v>3.4450990064435203</v>
      </c>
      <c r="CC63" s="172">
        <f t="shared" ca="1" si="14"/>
        <v>0.27007879000382484</v>
      </c>
      <c r="CD63" s="172">
        <f t="shared" ca="1" si="14"/>
        <v>0.27007879000382484</v>
      </c>
      <c r="CE63" s="172">
        <f t="shared" ca="1" si="14"/>
        <v>0.27007879000382484</v>
      </c>
      <c r="CF63" s="172">
        <f t="shared" ca="1" si="14"/>
        <v>0.27007879000382484</v>
      </c>
      <c r="CG63" s="172">
        <f t="shared" ca="1" si="14"/>
        <v>0.27007879000382484</v>
      </c>
      <c r="CH63" s="172">
        <f t="shared" ca="1" si="14"/>
        <v>0.27007879000382484</v>
      </c>
      <c r="CI63" s="172">
        <f t="shared" ca="1" si="14"/>
        <v>0.27007879000382484</v>
      </c>
      <c r="CJ63" s="172">
        <f t="shared" ca="1" si="14"/>
        <v>0.27007879000382484</v>
      </c>
      <c r="CK63" s="172">
        <f t="shared" ca="1" si="14"/>
        <v>0.27007879000382484</v>
      </c>
      <c r="CL63" s="172">
        <f t="shared" ca="1" si="14"/>
        <v>0.27007879000382484</v>
      </c>
      <c r="CM63" s="172">
        <f t="shared" ca="1" si="14"/>
        <v>0.27007879000382484</v>
      </c>
      <c r="CN63" s="172">
        <f t="shared" ca="1" si="14"/>
        <v>0.27007879000382484</v>
      </c>
      <c r="CO63" s="172">
        <f t="shared" ca="1" si="14"/>
        <v>0.27007879000382484</v>
      </c>
      <c r="CP63" s="172">
        <f t="shared" ca="1" si="14"/>
        <v>0.17797391915297389</v>
      </c>
      <c r="CQ63" s="172">
        <f t="shared" ca="1" si="14"/>
        <v>8.7653796841213882E-2</v>
      </c>
      <c r="CR63" s="172">
        <f t="shared" ca="1" si="14"/>
        <v>0</v>
      </c>
      <c r="CS63" s="172">
        <f t="shared" ca="1" si="14"/>
        <v>0</v>
      </c>
      <c r="CT63" s="172">
        <f t="shared" ca="1" si="14"/>
        <v>0</v>
      </c>
      <c r="CU63" s="172">
        <f t="shared" ca="1" si="14"/>
        <v>0</v>
      </c>
      <c r="CV63" s="172">
        <f t="shared" ca="1" si="14"/>
        <v>0</v>
      </c>
      <c r="CW63" s="172">
        <f t="shared" ca="1" si="14"/>
        <v>0</v>
      </c>
      <c r="CX63" s="172">
        <f t="shared" ca="1" si="14"/>
        <v>0</v>
      </c>
      <c r="CY63" s="172">
        <f t="shared" ca="1" si="14"/>
        <v>0</v>
      </c>
      <c r="CZ63" s="172">
        <f t="shared" ca="1" si="14"/>
        <v>0</v>
      </c>
      <c r="DA63" s="170"/>
      <c r="DB63" s="172">
        <f ca="1">IF($C$5=Lookups!$D$40,-PMT(Lookups!$E$17,27,NPV(Lookups!$E$17,BZ63:CZ63),0,1),-PMT(Lookups!$E$17,25,NPV(Lookups!$E$17,BZ63:CX63),0,1))</f>
        <v>0.55330481983370738</v>
      </c>
      <c r="DC63" s="123"/>
      <c r="DE63" s="516"/>
    </row>
    <row r="64" spans="3:117" x14ac:dyDescent="0.25">
      <c r="BV64" s="343"/>
      <c r="BW64" s="347"/>
      <c r="BX64" s="170" t="s">
        <v>100</v>
      </c>
      <c r="BY64" s="170" t="s">
        <v>409</v>
      </c>
      <c r="BZ64" s="172">
        <f ca="1">IF($C$5=Lookups!$D$40,AVERAGE($BZ63:$CZ63),AVERAGE($BZ63:$CX63))</f>
        <v>0.49275097720021965</v>
      </c>
      <c r="CA64" s="172">
        <f ca="1">IF($C$5=Lookups!$D$40,AVERAGE($BZ63:$CZ63),AVERAGE($BZ63:$CX63))</f>
        <v>0.49275097720021965</v>
      </c>
      <c r="CB64" s="172">
        <f ca="1">IF($C$5=Lookups!$D$40,AVERAGE($BZ63:$CZ63),AVERAGE($BZ63:$CX63))</f>
        <v>0.49275097720021965</v>
      </c>
      <c r="CC64" s="172">
        <f ca="1">IF($C$5=Lookups!$D$40,AVERAGE($BZ63:$CZ63),AVERAGE($BZ63:$CX63))</f>
        <v>0.49275097720021965</v>
      </c>
      <c r="CD64" s="172">
        <f ca="1">IF($C$5=Lookups!$D$40,AVERAGE($BZ63:$CZ63),AVERAGE($BZ63:$CX63))</f>
        <v>0.49275097720021965</v>
      </c>
      <c r="CE64" s="172">
        <f ca="1">IF($C$5=Lookups!$D$40,AVERAGE($BZ63:$CZ63),AVERAGE($BZ63:$CX63))</f>
        <v>0.49275097720021965</v>
      </c>
      <c r="CF64" s="172">
        <f ca="1">IF($C$5=Lookups!$D$40,AVERAGE($BZ63:$CZ63),AVERAGE($BZ63:$CX63))</f>
        <v>0.49275097720021965</v>
      </c>
      <c r="CG64" s="172">
        <f ca="1">IF($C$5=Lookups!$D$40,AVERAGE($BZ63:$CZ63),AVERAGE($BZ63:$CX63))</f>
        <v>0.49275097720021965</v>
      </c>
      <c r="CH64" s="172">
        <f ca="1">IF($C$5=Lookups!$D$40,AVERAGE($BZ63:$CZ63),AVERAGE($BZ63:$CX63))</f>
        <v>0.49275097720021965</v>
      </c>
      <c r="CI64" s="172">
        <f ca="1">IF($C$5=Lookups!$D$40,AVERAGE($BZ63:$CZ63),AVERAGE($BZ63:$CX63))</f>
        <v>0.49275097720021965</v>
      </c>
      <c r="CJ64" s="172">
        <f ca="1">IF($C$5=Lookups!$D$40,AVERAGE($BZ63:$CZ63),AVERAGE($BZ63:$CX63))</f>
        <v>0.49275097720021965</v>
      </c>
      <c r="CK64" s="172">
        <f ca="1">IF($C$5=Lookups!$D$40,AVERAGE($BZ63:$CZ63),AVERAGE($BZ63:$CX63))</f>
        <v>0.49275097720021965</v>
      </c>
      <c r="CL64" s="172">
        <f ca="1">IF($C$5=Lookups!$D$40,AVERAGE($BZ63:$CZ63),AVERAGE($BZ63:$CX63))</f>
        <v>0.49275097720021965</v>
      </c>
      <c r="CM64" s="172">
        <f ca="1">IF($C$5=Lookups!$D$40,AVERAGE($BZ63:$CZ63),AVERAGE($BZ63:$CX63))</f>
        <v>0.49275097720021965</v>
      </c>
      <c r="CN64" s="172">
        <f ca="1">IF($C$5=Lookups!$D$40,AVERAGE($BZ63:$CZ63),AVERAGE($BZ63:$CX63))</f>
        <v>0.49275097720021965</v>
      </c>
      <c r="CO64" s="172">
        <f ca="1">IF($C$5=Lookups!$D$40,AVERAGE($BZ63:$CZ63),AVERAGE($BZ63:$CX63))</f>
        <v>0.49275097720021965</v>
      </c>
      <c r="CP64" s="172">
        <f ca="1">IF($C$5=Lookups!$D$40,AVERAGE($BZ63:$CZ63),AVERAGE($BZ63:$CX63))</f>
        <v>0.49275097720021965</v>
      </c>
      <c r="CQ64" s="172">
        <f ca="1">IF($C$5=Lookups!$D$40,AVERAGE($BZ63:$CZ63),AVERAGE($BZ63:$CX63))</f>
        <v>0.49275097720021965</v>
      </c>
      <c r="CR64" s="172">
        <f ca="1">IF($C$5=Lookups!$D$40,AVERAGE($BZ63:$CZ63),AVERAGE($BZ63:$CX63))</f>
        <v>0.49275097720021965</v>
      </c>
      <c r="CS64" s="172">
        <f ca="1">IF($C$5=Lookups!$D$40,AVERAGE($BZ63:$CZ63),AVERAGE($BZ63:$CX63))</f>
        <v>0.49275097720021965</v>
      </c>
      <c r="CT64" s="172">
        <f ca="1">IF($C$5=Lookups!$D$40,AVERAGE($BZ63:$CZ63),AVERAGE($BZ63:$CX63))</f>
        <v>0.49275097720021965</v>
      </c>
      <c r="CU64" s="172">
        <f ca="1">IF($C$5=Lookups!$D$40,AVERAGE($BZ63:$CZ63),AVERAGE($BZ63:$CX63))</f>
        <v>0.49275097720021965</v>
      </c>
      <c r="CV64" s="172">
        <f ca="1">IF($C$5=Lookups!$D$40,AVERAGE($BZ63:$CZ63),AVERAGE($BZ63:$CX63))</f>
        <v>0.49275097720021965</v>
      </c>
      <c r="CW64" s="172">
        <f ca="1">IF($C$5=Lookups!$D$40,AVERAGE($BZ63:$CZ63),AVERAGE($BZ63:$CX63))</f>
        <v>0.49275097720021965</v>
      </c>
      <c r="CX64" s="172">
        <f ca="1">IF($C$5=Lookups!$D$40,AVERAGE($BZ63:$CZ63),AVERAGE($BZ63:$CX63))</f>
        <v>0.49275097720021965</v>
      </c>
      <c r="CY64" s="172">
        <f ca="1">IF($C$5=Lookups!$D$40,AVERAGE($BZ63:$CZ63),AVERAGE($BZ63:$CX63))</f>
        <v>0.49275097720021965</v>
      </c>
      <c r="CZ64" s="172">
        <f ca="1">IF($C$5=Lookups!$D$40,AVERAGE($BZ63:$CZ63),AVERAGE($BZ63:$CX63))</f>
        <v>0.49275097720021965</v>
      </c>
      <c r="DA64" s="170"/>
      <c r="DB64" s="172">
        <f ca="1">IF($C$5=Lookups!$D$40,-PMT(Lookups!$E$17,27,NPV(Lookups!$E$17,BZ64:CZ64),0,1),-PMT(Lookups!$E$17,25,NPV(Lookups!$E$17,BZ64:CX64),0,1))</f>
        <v>0.48587871175549008</v>
      </c>
      <c r="DC64" s="123"/>
      <c r="DE64" s="516"/>
    </row>
    <row r="65" spans="70:119" x14ac:dyDescent="0.25">
      <c r="BV65" s="343"/>
      <c r="BW65" s="347"/>
      <c r="BX65" s="170" t="s">
        <v>99</v>
      </c>
      <c r="BY65" s="174" t="s">
        <v>16</v>
      </c>
      <c r="BZ65" s="237">
        <f t="shared" ref="BZ65:CZ65" ca="1" si="15">IFERROR(SUM(BZ37:BZ41)/SUM(BZ$17:BZ$21)-1,0)</f>
        <v>2.0212427807865252E-2</v>
      </c>
      <c r="CA65" s="237">
        <f t="shared" ca="1" si="15"/>
        <v>2.1582505292949028E-2</v>
      </c>
      <c r="CB65" s="237">
        <f t="shared" ca="1" si="15"/>
        <v>2.3318554615212372E-2</v>
      </c>
      <c r="CC65" s="237">
        <f t="shared" ca="1" si="15"/>
        <v>2.0481372151572863E-3</v>
      </c>
      <c r="CD65" s="237">
        <f t="shared" ca="1" si="15"/>
        <v>2.0481372151572863E-3</v>
      </c>
      <c r="CE65" s="237">
        <f t="shared" ca="1" si="15"/>
        <v>2.0481372151572863E-3</v>
      </c>
      <c r="CF65" s="237">
        <f t="shared" ca="1" si="15"/>
        <v>2.0481372151572863E-3</v>
      </c>
      <c r="CG65" s="237">
        <f t="shared" ca="1" si="15"/>
        <v>2.0481372151572863E-3</v>
      </c>
      <c r="CH65" s="237">
        <f t="shared" ca="1" si="15"/>
        <v>2.0481372151572863E-3</v>
      </c>
      <c r="CI65" s="237">
        <f t="shared" ca="1" si="15"/>
        <v>2.0481372151572863E-3</v>
      </c>
      <c r="CJ65" s="237">
        <f t="shared" ca="1" si="15"/>
        <v>2.0481372151572863E-3</v>
      </c>
      <c r="CK65" s="237">
        <f t="shared" ca="1" si="15"/>
        <v>2.0481372151572863E-3</v>
      </c>
      <c r="CL65" s="237">
        <f t="shared" ca="1" si="15"/>
        <v>2.0481372151572863E-3</v>
      </c>
      <c r="CM65" s="237">
        <f t="shared" ca="1" si="15"/>
        <v>2.0481372151572863E-3</v>
      </c>
      <c r="CN65" s="237">
        <f t="shared" ca="1" si="15"/>
        <v>2.0481372151572863E-3</v>
      </c>
      <c r="CO65" s="237">
        <f t="shared" ca="1" si="15"/>
        <v>2.0481372151572863E-3</v>
      </c>
      <c r="CP65" s="237">
        <f t="shared" ca="1" si="15"/>
        <v>1.3556700493992935E-3</v>
      </c>
      <c r="CQ65" s="237">
        <f t="shared" ca="1" si="15"/>
        <v>6.7072137454493586E-4</v>
      </c>
      <c r="CR65" s="237">
        <f t="shared" ca="1" si="15"/>
        <v>0</v>
      </c>
      <c r="CS65" s="237">
        <f t="shared" ca="1" si="15"/>
        <v>0</v>
      </c>
      <c r="CT65" s="237">
        <f t="shared" ca="1" si="15"/>
        <v>0</v>
      </c>
      <c r="CU65" s="237">
        <f t="shared" ca="1" si="15"/>
        <v>0</v>
      </c>
      <c r="CV65" s="237">
        <f t="shared" ca="1" si="15"/>
        <v>0</v>
      </c>
      <c r="CW65" s="237">
        <f t="shared" ca="1" si="15"/>
        <v>0</v>
      </c>
      <c r="CX65" s="237">
        <f t="shared" ca="1" si="15"/>
        <v>0</v>
      </c>
      <c r="CY65" s="237">
        <f t="shared" ca="1" si="15"/>
        <v>0</v>
      </c>
      <c r="CZ65" s="237">
        <f t="shared" ca="1" si="15"/>
        <v>0</v>
      </c>
      <c r="DA65" s="176"/>
      <c r="DB65" s="172">
        <f ca="1">IF($C$5=Lookups!$D$40,-PMT(Lookups!$E$17,27,NPV(Lookups!$E$17,BZ65:CZ65),0,1),-PMT(Lookups!$E$17,25,NPV(Lookups!$E$17,BZ65:CX65),0,1))</f>
        <v>3.8901164817724877E-3</v>
      </c>
      <c r="DC65" s="123"/>
      <c r="DE65" s="516"/>
    </row>
    <row r="66" spans="70:119" x14ac:dyDescent="0.25">
      <c r="BV66" s="343"/>
      <c r="BW66" s="347"/>
      <c r="BX66" s="170" t="s">
        <v>100</v>
      </c>
      <c r="BY66" s="174" t="s">
        <v>16</v>
      </c>
      <c r="BZ66" s="237">
        <f ca="1">IF($C$5=Lookups!$D$40,AVERAGE($BZ65:$CZ65),AVERAGE($BZ65:$CX65))</f>
        <v>3.4728023310005777E-3</v>
      </c>
      <c r="CA66" s="237">
        <f ca="1">IF($C$5=Lookups!$D$40,AVERAGE($BZ65:$CZ65),AVERAGE($BZ65:$CX65))</f>
        <v>3.4728023310005777E-3</v>
      </c>
      <c r="CB66" s="237">
        <f ca="1">IF($C$5=Lookups!$D$40,AVERAGE($BZ65:$CZ65),AVERAGE($BZ65:$CX65))</f>
        <v>3.4728023310005777E-3</v>
      </c>
      <c r="CC66" s="237">
        <f ca="1">IF($C$5=Lookups!$D$40,AVERAGE($BZ65:$CZ65),AVERAGE($BZ65:$CX65))</f>
        <v>3.4728023310005777E-3</v>
      </c>
      <c r="CD66" s="237">
        <f ca="1">IF($C$5=Lookups!$D$40,AVERAGE($BZ65:$CZ65),AVERAGE($BZ65:$CX65))</f>
        <v>3.4728023310005777E-3</v>
      </c>
      <c r="CE66" s="237">
        <f ca="1">IF($C$5=Lookups!$D$40,AVERAGE($BZ65:$CZ65),AVERAGE($BZ65:$CX65))</f>
        <v>3.4728023310005777E-3</v>
      </c>
      <c r="CF66" s="237">
        <f ca="1">IF($C$5=Lookups!$D$40,AVERAGE($BZ65:$CZ65),AVERAGE($BZ65:$CX65))</f>
        <v>3.4728023310005777E-3</v>
      </c>
      <c r="CG66" s="237">
        <f ca="1">IF($C$5=Lookups!$D$40,AVERAGE($BZ65:$CZ65),AVERAGE($BZ65:$CX65))</f>
        <v>3.4728023310005777E-3</v>
      </c>
      <c r="CH66" s="237">
        <f ca="1">IF($C$5=Lookups!$D$40,AVERAGE($BZ65:$CZ65),AVERAGE($BZ65:$CX65))</f>
        <v>3.4728023310005777E-3</v>
      </c>
      <c r="CI66" s="237">
        <f ca="1">IF($C$5=Lookups!$D$40,AVERAGE($BZ65:$CZ65),AVERAGE($BZ65:$CX65))</f>
        <v>3.4728023310005777E-3</v>
      </c>
      <c r="CJ66" s="237">
        <f ca="1">IF($C$5=Lookups!$D$40,AVERAGE($BZ65:$CZ65),AVERAGE($BZ65:$CX65))</f>
        <v>3.4728023310005777E-3</v>
      </c>
      <c r="CK66" s="237">
        <f ca="1">IF($C$5=Lookups!$D$40,AVERAGE($BZ65:$CZ65),AVERAGE($BZ65:$CX65))</f>
        <v>3.4728023310005777E-3</v>
      </c>
      <c r="CL66" s="237">
        <f ca="1">IF($C$5=Lookups!$D$40,AVERAGE($BZ65:$CZ65),AVERAGE($BZ65:$CX65))</f>
        <v>3.4728023310005777E-3</v>
      </c>
      <c r="CM66" s="237">
        <f ca="1">IF($C$5=Lookups!$D$40,AVERAGE($BZ65:$CZ65),AVERAGE($BZ65:$CX65))</f>
        <v>3.4728023310005777E-3</v>
      </c>
      <c r="CN66" s="237">
        <f ca="1">IF($C$5=Lookups!$D$40,AVERAGE($BZ65:$CZ65),AVERAGE($BZ65:$CX65))</f>
        <v>3.4728023310005777E-3</v>
      </c>
      <c r="CO66" s="237">
        <f ca="1">IF($C$5=Lookups!$D$40,AVERAGE($BZ65:$CZ65),AVERAGE($BZ65:$CX65))</f>
        <v>3.4728023310005777E-3</v>
      </c>
      <c r="CP66" s="237">
        <f ca="1">IF($C$5=Lookups!$D$40,AVERAGE($BZ65:$CZ65),AVERAGE($BZ65:$CX65))</f>
        <v>3.4728023310005777E-3</v>
      </c>
      <c r="CQ66" s="237">
        <f ca="1">IF($C$5=Lookups!$D$40,AVERAGE($BZ65:$CZ65),AVERAGE($BZ65:$CX65))</f>
        <v>3.4728023310005777E-3</v>
      </c>
      <c r="CR66" s="237">
        <f ca="1">IF($C$5=Lookups!$D$40,AVERAGE($BZ65:$CZ65),AVERAGE($BZ65:$CX65))</f>
        <v>3.4728023310005777E-3</v>
      </c>
      <c r="CS66" s="237">
        <f ca="1">IF($C$5=Lookups!$D$40,AVERAGE($BZ65:$CZ65),AVERAGE($BZ65:$CX65))</f>
        <v>3.4728023310005777E-3</v>
      </c>
      <c r="CT66" s="237">
        <f ca="1">IF($C$5=Lookups!$D$40,AVERAGE($BZ65:$CZ65),AVERAGE($BZ65:$CX65))</f>
        <v>3.4728023310005777E-3</v>
      </c>
      <c r="CU66" s="237">
        <f ca="1">IF($C$5=Lookups!$D$40,AVERAGE($BZ65:$CZ65),AVERAGE($BZ65:$CX65))</f>
        <v>3.4728023310005777E-3</v>
      </c>
      <c r="CV66" s="237">
        <f ca="1">IF($C$5=Lookups!$D$40,AVERAGE($BZ65:$CZ65),AVERAGE($BZ65:$CX65))</f>
        <v>3.4728023310005777E-3</v>
      </c>
      <c r="CW66" s="237">
        <f ca="1">IF($C$5=Lookups!$D$40,AVERAGE($BZ65:$CZ65),AVERAGE($BZ65:$CX65))</f>
        <v>3.4728023310005777E-3</v>
      </c>
      <c r="CX66" s="237">
        <f ca="1">IF($C$5=Lookups!$D$40,AVERAGE($BZ65:$CZ65),AVERAGE($BZ65:$CX65))</f>
        <v>3.4728023310005777E-3</v>
      </c>
      <c r="CY66" s="237">
        <f ca="1">IF($C$5=Lookups!$D$40,AVERAGE($BZ65:$CZ65),AVERAGE($BZ65:$CX65))</f>
        <v>3.4728023310005777E-3</v>
      </c>
      <c r="CZ66" s="237">
        <f ca="1">IF($C$5=Lookups!$D$40,AVERAGE($BZ65:$CZ65),AVERAGE($BZ65:$CX65))</f>
        <v>3.4728023310005777E-3</v>
      </c>
      <c r="DA66" s="176"/>
      <c r="DB66" s="724">
        <f ca="1">IFERROR(SUM($DB$37:$DB$41)/SUM($DB$17:$DB$21)-1,0)</f>
        <v>4.2138667551292475E-3</v>
      </c>
      <c r="DC66" s="123"/>
      <c r="DE66" s="516"/>
    </row>
    <row r="67" spans="70:119" x14ac:dyDescent="0.25">
      <c r="BV67" s="343"/>
      <c r="BW67" s="347"/>
      <c r="BX67" s="181" t="str">
        <f ca="1">"Levelized net change "&amp;TEXT(DB66,"0.0%")</f>
        <v>Levelized net change 0.4%</v>
      </c>
      <c r="BY67" s="174"/>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6"/>
      <c r="DB67" s="176"/>
      <c r="DC67" s="123"/>
      <c r="DE67" s="516"/>
      <c r="DN67" s="5"/>
      <c r="DO67" s="5"/>
    </row>
    <row r="68" spans="70:119" x14ac:dyDescent="0.25">
      <c r="BV68" s="343"/>
      <c r="BW68" s="347"/>
      <c r="BX68" s="170"/>
      <c r="BY68" s="170"/>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row>
    <row r="69" spans="70:119" s="5" customFormat="1" x14ac:dyDescent="0.25">
      <c r="BR69"/>
      <c r="BS69"/>
      <c r="BT69"/>
      <c r="BU69"/>
      <c r="BV69" s="343"/>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6"/>
      <c r="DD69"/>
      <c r="DE69" s="512"/>
      <c r="DF69" s="522"/>
      <c r="DG69" s="512"/>
      <c r="DH69"/>
      <c r="DI69"/>
      <c r="DJ69"/>
      <c r="DK69"/>
      <c r="DL69"/>
      <c r="DM69"/>
      <c r="DN69"/>
      <c r="DO69"/>
    </row>
    <row r="70" spans="70:119" x14ac:dyDescent="0.25">
      <c r="BV70" s="343"/>
      <c r="BX70" s="532" t="s">
        <v>253</v>
      </c>
    </row>
    <row r="71" spans="70:119" x14ac:dyDescent="0.25">
      <c r="BV71" s="343"/>
      <c r="BX71" s="531" t="str">
        <f>Lookups!$D$23</f>
        <v>Proposed EE</v>
      </c>
      <c r="BY71" s="523"/>
      <c r="BZ71" s="523" t="str">
        <f>IFERROR(LEFT(ADDRESS(1,COLUMN('Yr1'!$G$6)+MATCH(BZ6,'Yr1'!$G$7:$AG$7,0)-1,4,1),LEN(ADDRESS(1,COLUMN('Yr1'!$G$6)+MATCH(BZ6,'Yr1'!$G$7:$AG$7,0)-1,4,1))-1),"")</f>
        <v>G</v>
      </c>
      <c r="CA71" s="523" t="str">
        <f>IFERROR(LEFT(ADDRESS(1,COLUMN('Yr1'!$G$6)+MATCH(CA6,'Yr1'!$G$7:$AG$7,0)-1,4,1),LEN(ADDRESS(1,COLUMN('Yr1'!$G$6)+MATCH(CA6,'Yr1'!$G$7:$AG$7,0)-1,4,1))-1),"")</f>
        <v>H</v>
      </c>
      <c r="CB71" s="523" t="str">
        <f>IFERROR(LEFT(ADDRESS(1,COLUMN('Yr1'!$G$6)+MATCH(CB6,'Yr1'!$G$7:$AG$7,0)-1,4,1),LEN(ADDRESS(1,COLUMN('Yr1'!$G$6)+MATCH(CB6,'Yr1'!$G$7:$AG$7,0)-1,4,1))-1),"")</f>
        <v>I</v>
      </c>
      <c r="CC71" s="523" t="str">
        <f>IFERROR(LEFT(ADDRESS(1,COLUMN('Yr1'!$G$6)+MATCH(CC6,'Yr1'!$G$7:$AG$7,0)-1,4,1),LEN(ADDRESS(1,COLUMN('Yr1'!$G$6)+MATCH(CC6,'Yr1'!$G$7:$AG$7,0)-1,4,1))-1),"")</f>
        <v>J</v>
      </c>
      <c r="CD71" s="523" t="str">
        <f>IFERROR(LEFT(ADDRESS(1,COLUMN('Yr1'!$G$6)+MATCH(CD6,'Yr1'!$G$7:$AG$7,0)-1,4,1),LEN(ADDRESS(1,COLUMN('Yr1'!$G$6)+MATCH(CD6,'Yr1'!$G$7:$AG$7,0)-1,4,1))-1),"")</f>
        <v>K</v>
      </c>
      <c r="CE71" s="523" t="str">
        <f>IFERROR(LEFT(ADDRESS(1,COLUMN('Yr1'!$G$6)+MATCH(CE6,'Yr1'!$G$7:$AG$7,0)-1,4,1),LEN(ADDRESS(1,COLUMN('Yr1'!$G$6)+MATCH(CE6,'Yr1'!$G$7:$AG$7,0)-1,4,1))-1),"")</f>
        <v>L</v>
      </c>
      <c r="CF71" s="523" t="str">
        <f>IFERROR(LEFT(ADDRESS(1,COLUMN('Yr1'!$G$6)+MATCH(CF6,'Yr1'!$G$7:$AG$7,0)-1,4,1),LEN(ADDRESS(1,COLUMN('Yr1'!$G$6)+MATCH(CF6,'Yr1'!$G$7:$AG$7,0)-1,4,1))-1),"")</f>
        <v>M</v>
      </c>
      <c r="CG71" s="523" t="str">
        <f>IFERROR(LEFT(ADDRESS(1,COLUMN('Yr1'!$G$6)+MATCH(CG6,'Yr1'!$G$7:$AG$7,0)-1,4,1),LEN(ADDRESS(1,COLUMN('Yr1'!$G$6)+MATCH(CG6,'Yr1'!$G$7:$AG$7,0)-1,4,1))-1),"")</f>
        <v>N</v>
      </c>
      <c r="CH71" s="523" t="str">
        <f>IFERROR(LEFT(ADDRESS(1,COLUMN('Yr1'!$G$6)+MATCH(CH6,'Yr1'!$G$7:$AG$7,0)-1,4,1),LEN(ADDRESS(1,COLUMN('Yr1'!$G$6)+MATCH(CH6,'Yr1'!$G$7:$AG$7,0)-1,4,1))-1),"")</f>
        <v>O</v>
      </c>
      <c r="CI71" s="523" t="str">
        <f>IFERROR(LEFT(ADDRESS(1,COLUMN('Yr1'!$G$6)+MATCH(CI6,'Yr1'!$G$7:$AG$7,0)-1,4,1),LEN(ADDRESS(1,COLUMN('Yr1'!$G$6)+MATCH(CI6,'Yr1'!$G$7:$AG$7,0)-1,4,1))-1),"")</f>
        <v>P</v>
      </c>
      <c r="CJ71" s="523" t="str">
        <f>IFERROR(LEFT(ADDRESS(1,COLUMN('Yr1'!$G$6)+MATCH(CJ6,'Yr1'!$G$7:$AG$7,0)-1,4,1),LEN(ADDRESS(1,COLUMN('Yr1'!$G$6)+MATCH(CJ6,'Yr1'!$G$7:$AG$7,0)-1,4,1))-1),"")</f>
        <v>Q</v>
      </c>
      <c r="CK71" s="523" t="str">
        <f>IFERROR(LEFT(ADDRESS(1,COLUMN('Yr1'!$G$6)+MATCH(CK6,'Yr1'!$G$7:$AG$7,0)-1,4,1),LEN(ADDRESS(1,COLUMN('Yr1'!$G$6)+MATCH(CK6,'Yr1'!$G$7:$AG$7,0)-1,4,1))-1),"")</f>
        <v>R</v>
      </c>
      <c r="CL71" s="523" t="str">
        <f>IFERROR(LEFT(ADDRESS(1,COLUMN('Yr1'!$G$6)+MATCH(CL6,'Yr1'!$G$7:$AG$7,0)-1,4,1),LEN(ADDRESS(1,COLUMN('Yr1'!$G$6)+MATCH(CL6,'Yr1'!$G$7:$AG$7,0)-1,4,1))-1),"")</f>
        <v>S</v>
      </c>
      <c r="CM71" s="523" t="str">
        <f>IFERROR(LEFT(ADDRESS(1,COLUMN('Yr1'!$G$6)+MATCH(CM6,'Yr1'!$G$7:$AG$7,0)-1,4,1),LEN(ADDRESS(1,COLUMN('Yr1'!$G$6)+MATCH(CM6,'Yr1'!$G$7:$AG$7,0)-1,4,1))-1),"")</f>
        <v>T</v>
      </c>
      <c r="CN71" s="523" t="str">
        <f>IFERROR(LEFT(ADDRESS(1,COLUMN('Yr1'!$G$6)+MATCH(CN6,'Yr1'!$G$7:$AG$7,0)-1,4,1),LEN(ADDRESS(1,COLUMN('Yr1'!$G$6)+MATCH(CN6,'Yr1'!$G$7:$AG$7,0)-1,4,1))-1),"")</f>
        <v>U</v>
      </c>
      <c r="CO71" s="523" t="str">
        <f>IFERROR(LEFT(ADDRESS(1,COLUMN('Yr1'!$G$6)+MATCH(CO6,'Yr1'!$G$7:$AG$7,0)-1,4,1),LEN(ADDRESS(1,COLUMN('Yr1'!$G$6)+MATCH(CO6,'Yr1'!$G$7:$AG$7,0)-1,4,1))-1),"")</f>
        <v>V</v>
      </c>
      <c r="CP71" s="523" t="str">
        <f>IFERROR(LEFT(ADDRESS(1,COLUMN('Yr1'!$G$6)+MATCH(CP6,'Yr1'!$G$7:$AG$7,0)-1,4,1),LEN(ADDRESS(1,COLUMN('Yr1'!$G$6)+MATCH(CP6,'Yr1'!$G$7:$AG$7,0)-1,4,1))-1),"")</f>
        <v>W</v>
      </c>
      <c r="CQ71" s="523" t="str">
        <f>IFERROR(LEFT(ADDRESS(1,COLUMN('Yr1'!$G$6)+MATCH(CQ6,'Yr1'!$G$7:$AG$7,0)-1,4,1),LEN(ADDRESS(1,COLUMN('Yr1'!$G$6)+MATCH(CQ6,'Yr1'!$G$7:$AG$7,0)-1,4,1))-1),"")</f>
        <v>X</v>
      </c>
      <c r="CR71" s="523" t="str">
        <f>IFERROR(LEFT(ADDRESS(1,COLUMN('Yr1'!$G$6)+MATCH(CR6,'Yr1'!$G$7:$AG$7,0)-1,4,1),LEN(ADDRESS(1,COLUMN('Yr1'!$G$6)+MATCH(CR6,'Yr1'!$G$7:$AG$7,0)-1,4,1))-1),"")</f>
        <v>Y</v>
      </c>
      <c r="CS71" s="523" t="str">
        <f>IFERROR(LEFT(ADDRESS(1,COLUMN('Yr1'!$G$6)+MATCH(CS6,'Yr1'!$G$7:$AG$7,0)-1,4,1),LEN(ADDRESS(1,COLUMN('Yr1'!$G$6)+MATCH(CS6,'Yr1'!$G$7:$AG$7,0)-1,4,1))-1),"")</f>
        <v>Z</v>
      </c>
      <c r="CT71" s="523" t="str">
        <f>IFERROR(LEFT(ADDRESS(1,COLUMN('Yr1'!$G$6)+MATCH(CT6,'Yr1'!$G$7:$AG$7,0)-1,4,1),LEN(ADDRESS(1,COLUMN('Yr1'!$G$6)+MATCH(CT6,'Yr1'!$G$7:$AG$7,0)-1,4,1))-1),"")</f>
        <v>AA</v>
      </c>
      <c r="CU71" s="523" t="str">
        <f>IFERROR(LEFT(ADDRESS(1,COLUMN('Yr1'!$G$6)+MATCH(CU6,'Yr1'!$G$7:$AG$7,0)-1,4,1),LEN(ADDRESS(1,COLUMN('Yr1'!$G$6)+MATCH(CU6,'Yr1'!$G$7:$AG$7,0)-1,4,1))-1),"")</f>
        <v>AB</v>
      </c>
      <c r="CV71" s="523" t="str">
        <f>IFERROR(LEFT(ADDRESS(1,COLUMN('Yr1'!$G$6)+MATCH(CV6,'Yr1'!$G$7:$AG$7,0)-1,4,1),LEN(ADDRESS(1,COLUMN('Yr1'!$G$6)+MATCH(CV6,'Yr1'!$G$7:$AG$7,0)-1,4,1))-1),"")</f>
        <v>AC</v>
      </c>
      <c r="CW71" s="523" t="str">
        <f>IFERROR(LEFT(ADDRESS(1,COLUMN('Yr1'!$G$6)+MATCH(CW6,'Yr1'!$G$7:$AG$7,0)-1,4,1),LEN(ADDRESS(1,COLUMN('Yr1'!$G$6)+MATCH(CW6,'Yr1'!$G$7:$AG$7,0)-1,4,1))-1),"")</f>
        <v>AD</v>
      </c>
      <c r="CX71" s="523" t="str">
        <f>IFERROR(LEFT(ADDRESS(1,COLUMN('Yr1'!$G$6)+MATCH(CX6,'Yr1'!$G$7:$AG$7,0)-1,4,1),LEN(ADDRESS(1,COLUMN('Yr1'!$G$6)+MATCH(CX6,'Yr1'!$G$7:$AG$7,0)-1,4,1))-1),"")</f>
        <v>AE</v>
      </c>
      <c r="CY71" s="523" t="str">
        <f>IFERROR(LEFT(ADDRESS(1,COLUMN('Yr1'!$G$6)+MATCH(CY6,'Yr1'!$G$7:$AG$7,0)-1,4,1),LEN(ADDRESS(1,COLUMN('Yr1'!$G$6)+MATCH(CY6,'Yr1'!$G$7:$AG$7,0)-1,4,1))-1),"")</f>
        <v>AF</v>
      </c>
      <c r="CZ71" s="523" t="str">
        <f>IFERROR(LEFT(ADDRESS(1,COLUMN('Yr1'!$G$6)+MATCH(CZ6,'Yr1'!$G$7:$AG$7,0)-1,4,1),LEN(ADDRESS(1,COLUMN('Yr1'!$G$6)+MATCH(CZ6,'Yr1'!$G$7:$AG$7,0)-1,4,1))-1),"")</f>
        <v>AG</v>
      </c>
    </row>
    <row r="72" spans="70:119" x14ac:dyDescent="0.25">
      <c r="BR72" s="5"/>
      <c r="BS72" s="5"/>
      <c r="BV72" s="343"/>
      <c r="BX72" s="531" t="str">
        <f>Lookups!$D$24</f>
        <v>Alternative EE</v>
      </c>
      <c r="BY72" s="523"/>
      <c r="BZ72" s="523" t="str">
        <f>IFERROR(LEFT(ADDRESS(1,COLUMN('Yr1'!$AM$6)+MATCH(BZ6,'Yr1'!$G$7:$AG$7,0)-1,4,1),LEN(ADDRESS(1,COLUMN('Yr1'!$AM$6)+MATCH(BZ6,'Yr1'!$G$7:$AG$7,0)-1,4,1))-1),"")</f>
        <v>AM</v>
      </c>
      <c r="CA72" s="523" t="str">
        <f>IFERROR(LEFT(ADDRESS(1,COLUMN('Yr1'!$AM$6)+MATCH(CA6,'Yr1'!$G$7:$AG$7,0)-1,4,1),LEN(ADDRESS(1,COLUMN('Yr1'!$AM$6)+MATCH(CA6,'Yr1'!$G$7:$AG$7,0)-1,4,1))-1),"")</f>
        <v>AN</v>
      </c>
      <c r="CB72" s="523" t="str">
        <f>IFERROR(LEFT(ADDRESS(1,COLUMN('Yr1'!$AM$6)+MATCH(CB6,'Yr1'!$G$7:$AG$7,0)-1,4,1),LEN(ADDRESS(1,COLUMN('Yr1'!$AM$6)+MATCH(CB6,'Yr1'!$G$7:$AG$7,0)-1,4,1))-1),"")</f>
        <v>AO</v>
      </c>
      <c r="CC72" s="523" t="str">
        <f>IFERROR(LEFT(ADDRESS(1,COLUMN('Yr1'!$AM$6)+MATCH(CC6,'Yr1'!$G$7:$AG$7,0)-1,4,1),LEN(ADDRESS(1,COLUMN('Yr1'!$AM$6)+MATCH(CC6,'Yr1'!$G$7:$AG$7,0)-1,4,1))-1),"")</f>
        <v>AP</v>
      </c>
      <c r="CD72" s="523" t="str">
        <f>IFERROR(LEFT(ADDRESS(1,COLUMN('Yr1'!$AM$6)+MATCH(CD6,'Yr1'!$G$7:$AG$7,0)-1,4,1),LEN(ADDRESS(1,COLUMN('Yr1'!$AM$6)+MATCH(CD6,'Yr1'!$G$7:$AG$7,0)-1,4,1))-1),"")</f>
        <v>AQ</v>
      </c>
      <c r="CE72" s="523" t="str">
        <f>IFERROR(LEFT(ADDRESS(1,COLUMN('Yr1'!$AM$6)+MATCH(CE6,'Yr1'!$G$7:$AG$7,0)-1,4,1),LEN(ADDRESS(1,COLUMN('Yr1'!$AM$6)+MATCH(CE6,'Yr1'!$G$7:$AG$7,0)-1,4,1))-1),"")</f>
        <v>AR</v>
      </c>
      <c r="CF72" s="523" t="str">
        <f>IFERROR(LEFT(ADDRESS(1,COLUMN('Yr1'!$AM$6)+MATCH(CF6,'Yr1'!$G$7:$AG$7,0)-1,4,1),LEN(ADDRESS(1,COLUMN('Yr1'!$AM$6)+MATCH(CF6,'Yr1'!$G$7:$AG$7,0)-1,4,1))-1),"")</f>
        <v>AS</v>
      </c>
      <c r="CG72" s="523" t="str">
        <f>IFERROR(LEFT(ADDRESS(1,COLUMN('Yr1'!$AM$6)+MATCH(CG6,'Yr1'!$G$7:$AG$7,0)-1,4,1),LEN(ADDRESS(1,COLUMN('Yr1'!$AM$6)+MATCH(CG6,'Yr1'!$G$7:$AG$7,0)-1,4,1))-1),"")</f>
        <v>AT</v>
      </c>
      <c r="CH72" s="523" t="str">
        <f>IFERROR(LEFT(ADDRESS(1,COLUMN('Yr1'!$AM$6)+MATCH(CH6,'Yr1'!$G$7:$AG$7,0)-1,4,1),LEN(ADDRESS(1,COLUMN('Yr1'!$AM$6)+MATCH(CH6,'Yr1'!$G$7:$AG$7,0)-1,4,1))-1),"")</f>
        <v>AU</v>
      </c>
      <c r="CI72" s="523" t="str">
        <f>IFERROR(LEFT(ADDRESS(1,COLUMN('Yr1'!$AM$6)+MATCH(CI6,'Yr1'!$G$7:$AG$7,0)-1,4,1),LEN(ADDRESS(1,COLUMN('Yr1'!$AM$6)+MATCH(CI6,'Yr1'!$G$7:$AG$7,0)-1,4,1))-1),"")</f>
        <v>AV</v>
      </c>
      <c r="CJ72" s="523" t="str">
        <f>IFERROR(LEFT(ADDRESS(1,COLUMN('Yr1'!$AM$6)+MATCH(CJ6,'Yr1'!$G$7:$AG$7,0)-1,4,1),LEN(ADDRESS(1,COLUMN('Yr1'!$AM$6)+MATCH(CJ6,'Yr1'!$G$7:$AG$7,0)-1,4,1))-1),"")</f>
        <v>AW</v>
      </c>
      <c r="CK72" s="523" t="str">
        <f>IFERROR(LEFT(ADDRESS(1,COLUMN('Yr1'!$AM$6)+MATCH(CK6,'Yr1'!$G$7:$AG$7,0)-1,4,1),LEN(ADDRESS(1,COLUMN('Yr1'!$AM$6)+MATCH(CK6,'Yr1'!$G$7:$AG$7,0)-1,4,1))-1),"")</f>
        <v>AX</v>
      </c>
      <c r="CL72" s="523" t="str">
        <f>IFERROR(LEFT(ADDRESS(1,COLUMN('Yr1'!$AM$6)+MATCH(CL6,'Yr1'!$G$7:$AG$7,0)-1,4,1),LEN(ADDRESS(1,COLUMN('Yr1'!$AM$6)+MATCH(CL6,'Yr1'!$G$7:$AG$7,0)-1,4,1))-1),"")</f>
        <v>AY</v>
      </c>
      <c r="CM72" s="523" t="str">
        <f>IFERROR(LEFT(ADDRESS(1,COLUMN('Yr1'!$AM$6)+MATCH(CM6,'Yr1'!$G$7:$AG$7,0)-1,4,1),LEN(ADDRESS(1,COLUMN('Yr1'!$AM$6)+MATCH(CM6,'Yr1'!$G$7:$AG$7,0)-1,4,1))-1),"")</f>
        <v>AZ</v>
      </c>
      <c r="CN72" s="523" t="str">
        <f>IFERROR(LEFT(ADDRESS(1,COLUMN('Yr1'!$AM$6)+MATCH(CN6,'Yr1'!$G$7:$AG$7,0)-1,4,1),LEN(ADDRESS(1,COLUMN('Yr1'!$AM$6)+MATCH(CN6,'Yr1'!$G$7:$AG$7,0)-1,4,1))-1),"")</f>
        <v>BA</v>
      </c>
      <c r="CO72" s="523" t="str">
        <f>IFERROR(LEFT(ADDRESS(1,COLUMN('Yr1'!$AM$6)+MATCH(CO6,'Yr1'!$G$7:$AG$7,0)-1,4,1),LEN(ADDRESS(1,COLUMN('Yr1'!$AM$6)+MATCH(CO6,'Yr1'!$G$7:$AG$7,0)-1,4,1))-1),"")</f>
        <v>BB</v>
      </c>
      <c r="CP72" s="523" t="str">
        <f>IFERROR(LEFT(ADDRESS(1,COLUMN('Yr1'!$AM$6)+MATCH(CP6,'Yr1'!$G$7:$AG$7,0)-1,4,1),LEN(ADDRESS(1,COLUMN('Yr1'!$AM$6)+MATCH(CP6,'Yr1'!$G$7:$AG$7,0)-1,4,1))-1),"")</f>
        <v>BC</v>
      </c>
      <c r="CQ72" s="523" t="str">
        <f>IFERROR(LEFT(ADDRESS(1,COLUMN('Yr1'!$AM$6)+MATCH(CQ6,'Yr1'!$G$7:$AG$7,0)-1,4,1),LEN(ADDRESS(1,COLUMN('Yr1'!$AM$6)+MATCH(CQ6,'Yr1'!$G$7:$AG$7,0)-1,4,1))-1),"")</f>
        <v>BD</v>
      </c>
      <c r="CR72" s="523" t="str">
        <f>IFERROR(LEFT(ADDRESS(1,COLUMN('Yr1'!$AM$6)+MATCH(CR6,'Yr1'!$G$7:$AG$7,0)-1,4,1),LEN(ADDRESS(1,COLUMN('Yr1'!$AM$6)+MATCH(CR6,'Yr1'!$G$7:$AG$7,0)-1,4,1))-1),"")</f>
        <v>BE</v>
      </c>
      <c r="CS72" s="523" t="str">
        <f>IFERROR(LEFT(ADDRESS(1,COLUMN('Yr1'!$AM$6)+MATCH(CS6,'Yr1'!$G$7:$AG$7,0)-1,4,1),LEN(ADDRESS(1,COLUMN('Yr1'!$AM$6)+MATCH(CS6,'Yr1'!$G$7:$AG$7,0)-1,4,1))-1),"")</f>
        <v>BF</v>
      </c>
      <c r="CT72" s="523" t="str">
        <f>IFERROR(LEFT(ADDRESS(1,COLUMN('Yr1'!$AM$6)+MATCH(CT6,'Yr1'!$G$7:$AG$7,0)-1,4,1),LEN(ADDRESS(1,COLUMN('Yr1'!$AM$6)+MATCH(CT6,'Yr1'!$G$7:$AG$7,0)-1,4,1))-1),"")</f>
        <v>BG</v>
      </c>
      <c r="CU72" s="523" t="str">
        <f>IFERROR(LEFT(ADDRESS(1,COLUMN('Yr1'!$AM$6)+MATCH(CU6,'Yr1'!$G$7:$AG$7,0)-1,4,1),LEN(ADDRESS(1,COLUMN('Yr1'!$AM$6)+MATCH(CU6,'Yr1'!$G$7:$AG$7,0)-1,4,1))-1),"")</f>
        <v>BH</v>
      </c>
      <c r="CV72" s="523" t="str">
        <f>IFERROR(LEFT(ADDRESS(1,COLUMN('Yr1'!$AM$6)+MATCH(CV6,'Yr1'!$G$7:$AG$7,0)-1,4,1),LEN(ADDRESS(1,COLUMN('Yr1'!$AM$6)+MATCH(CV6,'Yr1'!$G$7:$AG$7,0)-1,4,1))-1),"")</f>
        <v>BI</v>
      </c>
      <c r="CW72" s="523" t="str">
        <f>IFERROR(LEFT(ADDRESS(1,COLUMN('Yr1'!$AM$6)+MATCH(CW6,'Yr1'!$G$7:$AG$7,0)-1,4,1),LEN(ADDRESS(1,COLUMN('Yr1'!$AM$6)+MATCH(CW6,'Yr1'!$G$7:$AG$7,0)-1,4,1))-1),"")</f>
        <v>BJ</v>
      </c>
      <c r="CX72" s="523" t="str">
        <f>IFERROR(LEFT(ADDRESS(1,COLUMN('Yr1'!$AM$6)+MATCH(CX6,'Yr1'!$G$7:$AG$7,0)-1,4,1),LEN(ADDRESS(1,COLUMN('Yr1'!$AM$6)+MATCH(CX6,'Yr1'!$G$7:$AG$7,0)-1,4,1))-1),"")</f>
        <v>BK</v>
      </c>
      <c r="CY72" s="523" t="str">
        <f>IFERROR(LEFT(ADDRESS(1,COLUMN('Yr1'!$AM$6)+MATCH(CY6,'Yr1'!$G$7:$AG$7,0)-1,4,1),LEN(ADDRESS(1,COLUMN('Yr1'!$AM$6)+MATCH(CY6,'Yr1'!$G$7:$AG$7,0)-1,4,1))-1),"")</f>
        <v>BL</v>
      </c>
      <c r="CZ72" s="523" t="str">
        <f>IFERROR(LEFT(ADDRESS(1,COLUMN('Yr1'!$AM$6)+MATCH(CZ6,'Yr1'!$G$7:$AG$7,0)-1,4,1),LEN(ADDRESS(1,COLUMN('Yr1'!$AM$6)+MATCH(CZ6,'Yr1'!$G$7:$AG$7,0)-1,4,1))-1),"")</f>
        <v>BM</v>
      </c>
    </row>
    <row r="73" spans="70:119" x14ac:dyDescent="0.25">
      <c r="BX73" s="531" t="s">
        <v>419</v>
      </c>
      <c r="DB73" s="721" t="str">
        <f>LEFT(ADDRESS(1,COLUMN('Yr1'!AJ6),4,1),2)</f>
        <v>AJ</v>
      </c>
    </row>
    <row r="74" spans="70:119" x14ac:dyDescent="0.25">
      <c r="BX74" s="531" t="s">
        <v>420</v>
      </c>
      <c r="DB74" s="721" t="str">
        <f>LEFT(ADDRESS(1,COLUMN('Yr1'!BP6),4,1),2)</f>
        <v>BP</v>
      </c>
    </row>
    <row r="75" spans="70:119" x14ac:dyDescent="0.25">
      <c r="DB75" s="721"/>
    </row>
  </sheetData>
  <mergeCells count="2">
    <mergeCell ref="C4:G4"/>
    <mergeCell ref="C5:G5"/>
  </mergeCells>
  <pageMargins left="0.7" right="0.7" top="0.75" bottom="0.75" header="0.3" footer="0.3"/>
  <pageSetup scale="55"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37BD9B6-AB1A-4882-8D93-7C508F41889E}">
          <x14:formula1>
            <xm:f>Lookups!$D$26:$D$29</xm:f>
          </x14:formula1>
          <xm:sqref>C4</xm:sqref>
        </x14:dataValidation>
        <x14:dataValidation type="list" allowBlank="1" showInputMessage="1" showErrorMessage="1" xr:uid="{1B2FD9AB-F7E5-425F-8F39-160856AE4C25}">
          <x14:formula1>
            <xm:f>Lookups!$D$37:$D$40</xm:f>
          </x14:formula1>
          <xm:sqref>C5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D0A2-9897-4E45-9B3D-425EBE7E297D}">
  <sheetPr>
    <tabColor theme="4"/>
  </sheetPr>
  <dimension ref="A1:DO75"/>
  <sheetViews>
    <sheetView showGridLines="0" zoomScale="85" zoomScaleNormal="85" workbookViewId="0">
      <selection activeCell="DP58" sqref="DP58"/>
    </sheetView>
  </sheetViews>
  <sheetFormatPr defaultRowHeight="15" outlineLevelCol="1" x14ac:dyDescent="0.25"/>
  <cols>
    <col min="1" max="74" width="2.7109375" customWidth="1"/>
    <col min="75" max="75" width="2.7109375" style="115" customWidth="1"/>
    <col min="76" max="76" width="25.7109375" style="115" bestFit="1" customWidth="1"/>
    <col min="77" max="77" width="8.85546875" style="115" customWidth="1"/>
    <col min="78" max="78" width="12.28515625" style="115" bestFit="1" customWidth="1"/>
    <col min="79" max="81" width="12" style="115" bestFit="1" customWidth="1"/>
    <col min="82" max="92" width="12" style="115" customWidth="1"/>
    <col min="93" max="102" width="12" style="115" hidden="1" customWidth="1" outlineLevel="1"/>
    <col min="103" max="103" width="4" style="115" hidden="1" customWidth="1" outlineLevel="1"/>
    <col min="104" max="104" width="6.42578125" style="115" hidden="1" customWidth="1" outlineLevel="1"/>
    <col min="105" max="105" width="5.28515625" style="115" customWidth="1" collapsed="1"/>
    <col min="106" max="106" width="13" style="115" customWidth="1"/>
    <col min="107" max="107" width="2.7109375" style="116" customWidth="1"/>
    <col min="108" max="108" width="2.7109375" customWidth="1"/>
    <col min="109" max="109" width="6" style="512" bestFit="1" customWidth="1"/>
    <col min="110" max="110" width="2.85546875" style="522" bestFit="1" customWidth="1"/>
    <col min="111" max="111" width="6" style="512" bestFit="1" customWidth="1"/>
    <col min="112" max="112" width="2.140625" bestFit="1" customWidth="1"/>
    <col min="113" max="114" width="10.5703125" bestFit="1" customWidth="1"/>
    <col min="115" max="115" width="8" bestFit="1" customWidth="1"/>
    <col min="118" max="118" width="11.5703125" bestFit="1" customWidth="1"/>
    <col min="119" max="119" width="10.7109375" bestFit="1" customWidth="1"/>
  </cols>
  <sheetData>
    <row r="1" spans="1:119" x14ac:dyDescent="0.25">
      <c r="Q1" s="1"/>
      <c r="T1" s="1"/>
      <c r="U1" s="1"/>
      <c r="AX1" s="1"/>
      <c r="BX1"/>
      <c r="BZ1" s="153"/>
      <c r="CA1" s="153"/>
    </row>
    <row r="2" spans="1:119" s="115" customFormat="1" ht="26.25" x14ac:dyDescent="0.25">
      <c r="B2" s="2" t="s">
        <v>79</v>
      </c>
      <c r="Q2" s="128"/>
      <c r="T2" s="128"/>
      <c r="AD2" s="128"/>
      <c r="AK2" s="128"/>
      <c r="AQ2" s="128"/>
      <c r="AX2" s="128"/>
      <c r="BV2" s="361" t="s">
        <v>74</v>
      </c>
      <c r="BY2" s="128"/>
      <c r="BZ2" s="128"/>
      <c r="CA2" s="153"/>
      <c r="DC2" s="214"/>
      <c r="DE2" s="523"/>
      <c r="DF2" s="524"/>
      <c r="DG2" s="523"/>
    </row>
    <row r="3" spans="1:119" s="115" customFormat="1" ht="21" x14ac:dyDescent="0.25">
      <c r="B3" s="245" t="str">
        <f>Lookups!$E$6</f>
        <v>Liberty</v>
      </c>
      <c r="Q3" s="128"/>
      <c r="T3" s="128"/>
      <c r="V3" s="128"/>
      <c r="AD3" s="128"/>
      <c r="AK3" s="128"/>
      <c r="AQ3" s="128"/>
      <c r="AX3" s="128"/>
      <c r="BW3" s="100"/>
      <c r="DC3" s="214"/>
      <c r="DE3" s="523"/>
      <c r="DF3" s="524"/>
      <c r="DG3" s="523"/>
      <c r="DI3" s="424"/>
      <c r="DJ3" s="425"/>
      <c r="DK3" s="429"/>
      <c r="DM3" s="6"/>
    </row>
    <row r="4" spans="1:119" s="6" customFormat="1" x14ac:dyDescent="0.25">
      <c r="B4" s="348"/>
      <c r="C4" s="773" t="s">
        <v>43</v>
      </c>
      <c r="D4" s="774"/>
      <c r="E4" s="774"/>
      <c r="F4" s="774"/>
      <c r="G4" s="775"/>
      <c r="H4" t="s">
        <v>27</v>
      </c>
      <c r="I4" s="349"/>
      <c r="J4" s="349"/>
      <c r="K4" s="349"/>
      <c r="L4" s="349"/>
      <c r="M4" s="349"/>
      <c r="N4" s="349"/>
      <c r="O4" s="349"/>
      <c r="P4" s="349"/>
      <c r="Q4" s="128"/>
      <c r="R4" s="349"/>
      <c r="S4" s="349"/>
      <c r="T4" s="128"/>
      <c r="U4" s="349"/>
      <c r="V4" s="128"/>
      <c r="W4" s="349"/>
      <c r="X4" s="349"/>
      <c r="Y4" s="349"/>
      <c r="Z4" s="349"/>
      <c r="AA4" s="349"/>
      <c r="AB4" s="349"/>
      <c r="AC4" s="349"/>
      <c r="AD4" s="349"/>
      <c r="AE4" s="349"/>
      <c r="AF4" s="349"/>
      <c r="AG4" s="349"/>
      <c r="AH4" s="349"/>
      <c r="AI4" s="349"/>
      <c r="AJ4" s="349"/>
      <c r="AK4" s="128"/>
      <c r="AL4" s="349"/>
      <c r="AM4" s="349"/>
      <c r="AN4" s="349"/>
      <c r="AO4" s="349"/>
      <c r="AP4" s="349"/>
      <c r="AQ4" s="128"/>
      <c r="AR4" s="349"/>
      <c r="AS4" s="349"/>
      <c r="AT4" s="349"/>
      <c r="AU4" s="349"/>
      <c r="AV4" s="349"/>
      <c r="AW4" s="349"/>
      <c r="AX4" s="128"/>
      <c r="AY4" s="349"/>
      <c r="AZ4" s="349"/>
      <c r="BA4" s="349"/>
      <c r="BB4" s="349"/>
      <c r="BC4" s="349"/>
      <c r="BD4" s="349"/>
      <c r="BE4" s="349"/>
      <c r="BF4" s="349"/>
      <c r="BG4" s="349"/>
      <c r="BH4" s="349"/>
      <c r="BI4" s="349"/>
      <c r="BJ4" s="349"/>
      <c r="BK4" s="349"/>
      <c r="BL4" s="349"/>
      <c r="BM4" s="349"/>
      <c r="BN4" s="349"/>
      <c r="BO4" s="349"/>
      <c r="BP4" s="349"/>
      <c r="BQ4" s="349"/>
      <c r="BW4" s="349"/>
      <c r="DA4" s="349"/>
      <c r="DB4" s="349"/>
      <c r="DC4" s="116"/>
      <c r="DE4" s="512"/>
      <c r="DF4" s="522"/>
      <c r="DG4" s="512"/>
      <c r="DI4" s="426"/>
      <c r="DJ4" s="422"/>
      <c r="DK4" s="410"/>
    </row>
    <row r="5" spans="1:119" x14ac:dyDescent="0.25">
      <c r="C5" s="773" t="s">
        <v>389</v>
      </c>
      <c r="D5" s="774"/>
      <c r="E5" s="774"/>
      <c r="F5" s="774"/>
      <c r="G5" s="775"/>
      <c r="H5" t="s">
        <v>73</v>
      </c>
      <c r="M5" s="154"/>
      <c r="V5" s="1"/>
      <c r="AK5" s="1"/>
      <c r="DI5" s="426"/>
      <c r="DJ5" s="423"/>
      <c r="DK5" s="410"/>
      <c r="DM5" s="6"/>
    </row>
    <row r="6" spans="1:119" x14ac:dyDescent="0.25">
      <c r="M6" s="154"/>
      <c r="AK6" s="1"/>
      <c r="AX6" s="1"/>
      <c r="BW6"/>
      <c r="BX6"/>
      <c r="BY6"/>
      <c r="BZ6" s="420">
        <f>IF($C$5=Lookups!$D$40,Lookups!$D$37,$C$5)</f>
        <v>2021</v>
      </c>
      <c r="CA6" s="117">
        <f>BZ6+1</f>
        <v>2022</v>
      </c>
      <c r="CB6" s="117">
        <f t="shared" ref="CB6:CZ6" si="0">CA6+1</f>
        <v>2023</v>
      </c>
      <c r="CC6" s="117">
        <f t="shared" si="0"/>
        <v>2024</v>
      </c>
      <c r="CD6" s="117">
        <f t="shared" si="0"/>
        <v>2025</v>
      </c>
      <c r="CE6" s="117">
        <f t="shared" si="0"/>
        <v>2026</v>
      </c>
      <c r="CF6" s="117">
        <f t="shared" si="0"/>
        <v>2027</v>
      </c>
      <c r="CG6" s="117">
        <f t="shared" si="0"/>
        <v>2028</v>
      </c>
      <c r="CH6" s="117">
        <f t="shared" si="0"/>
        <v>2029</v>
      </c>
      <c r="CI6" s="117">
        <f t="shared" si="0"/>
        <v>2030</v>
      </c>
      <c r="CJ6" s="117">
        <f t="shared" si="0"/>
        <v>2031</v>
      </c>
      <c r="CK6" s="117">
        <f t="shared" si="0"/>
        <v>2032</v>
      </c>
      <c r="CL6" s="117">
        <f t="shared" si="0"/>
        <v>2033</v>
      </c>
      <c r="CM6" s="117">
        <f t="shared" si="0"/>
        <v>2034</v>
      </c>
      <c r="CN6" s="117">
        <f t="shared" si="0"/>
        <v>2035</v>
      </c>
      <c r="CO6" s="117">
        <f t="shared" si="0"/>
        <v>2036</v>
      </c>
      <c r="CP6" s="117">
        <f t="shared" si="0"/>
        <v>2037</v>
      </c>
      <c r="CQ6" s="117">
        <f t="shared" si="0"/>
        <v>2038</v>
      </c>
      <c r="CR6" s="117">
        <f t="shared" si="0"/>
        <v>2039</v>
      </c>
      <c r="CS6" s="117">
        <f t="shared" si="0"/>
        <v>2040</v>
      </c>
      <c r="CT6" s="117">
        <f t="shared" si="0"/>
        <v>2041</v>
      </c>
      <c r="CU6" s="117">
        <f t="shared" si="0"/>
        <v>2042</v>
      </c>
      <c r="CV6" s="117">
        <f t="shared" si="0"/>
        <v>2043</v>
      </c>
      <c r="CW6" s="117">
        <f t="shared" si="0"/>
        <v>2044</v>
      </c>
      <c r="CX6" s="117">
        <f t="shared" si="0"/>
        <v>2045</v>
      </c>
      <c r="CY6" s="117">
        <f t="shared" si="0"/>
        <v>2046</v>
      </c>
      <c r="CZ6" s="117">
        <f t="shared" si="0"/>
        <v>2047</v>
      </c>
      <c r="DA6"/>
      <c r="DB6" s="4" t="s">
        <v>418</v>
      </c>
      <c r="DC6"/>
      <c r="DI6" s="427"/>
      <c r="DJ6" s="423"/>
      <c r="DK6" s="410"/>
      <c r="DM6" s="6"/>
    </row>
    <row r="7" spans="1:119" s="96" customFormat="1" ht="18.75" x14ac:dyDescent="0.3">
      <c r="A7"/>
      <c r="C7" s="91" t="str">
        <f>"Total Rates: "&amp;Lookups!$D$23</f>
        <v>Total Rates: Proposed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c r="AK7" s="91" t="str">
        <f>"Change in Rates: "&amp;Lookups!$D$23&amp;" v "&amp;Lookups!$D$22</f>
        <v>Change in Rates: 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c r="BS7"/>
      <c r="BT7"/>
      <c r="BU7"/>
      <c r="BV7" s="118" t="str">
        <f>Lookups!$D$22</f>
        <v>No EE</v>
      </c>
      <c r="BW7" s="118"/>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20"/>
      <c r="DE7" s="525"/>
      <c r="DF7" s="522"/>
      <c r="DG7" s="525"/>
    </row>
    <row r="8" spans="1:119" x14ac:dyDescent="0.25">
      <c r="BV8" s="343"/>
      <c r="BW8" s="158" t="s">
        <v>30</v>
      </c>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E8" s="532" t="s">
        <v>253</v>
      </c>
      <c r="DI8" s="428"/>
      <c r="DL8" s="96"/>
      <c r="DM8" s="96"/>
    </row>
    <row r="9" spans="1:119" x14ac:dyDescent="0.25">
      <c r="BV9" s="343"/>
      <c r="BW9" s="344"/>
      <c r="BX9" s="121" t="s">
        <v>95</v>
      </c>
      <c r="BY9" s="121" t="s">
        <v>247</v>
      </c>
      <c r="BZ9" s="150" cm="1">
        <f t="array" aca="1" ref="BZ9" ca="1">IFERROR(INDIRECT("Yr"&amp;IF($C$5=Year1,1,IF($C$5=Year2,2,IF($C$5=Year3,3,IF($C$5=Lookups!$D$40,"All"))))&amp;"!"&amp;BZ$71&amp;$DE9)*100,0)</f>
        <v>4.271893828439878</v>
      </c>
      <c r="CA9" s="150" cm="1">
        <f t="array" aca="1" ref="CA9" ca="1">IFERROR(INDIRECT("Yr"&amp;IF($C$5=Year1,1,IF($C$5=Year2,2,IF($C$5=Year3,3,IF($C$5=Lookups!$D$40,"All"))))&amp;"!"&amp;CA$71&amp;$DE9)*100,0)</f>
        <v>4.271893828439878</v>
      </c>
      <c r="CB9" s="150" cm="1">
        <f t="array" aca="1" ref="CB9" ca="1">IFERROR(INDIRECT("Yr"&amp;IF($C$5=Year1,1,IF($C$5=Year2,2,IF($C$5=Year3,3,IF($C$5=Lookups!$D$40,"All"))))&amp;"!"&amp;CB$71&amp;$DE9)*100,0)</f>
        <v>4.271893828439878</v>
      </c>
      <c r="CC9" s="150" cm="1">
        <f t="array" aca="1" ref="CC9" ca="1">IFERROR(INDIRECT("Yr"&amp;IF($C$5=Year1,1,IF($C$5=Year2,2,IF($C$5=Year3,3,IF($C$5=Lookups!$D$40,"All"))))&amp;"!"&amp;CC$71&amp;$DE9)*100,0)</f>
        <v>4.271893828439878</v>
      </c>
      <c r="CD9" s="150" cm="1">
        <f t="array" aca="1" ref="CD9" ca="1">IFERROR(INDIRECT("Yr"&amp;IF($C$5=Year1,1,IF($C$5=Year2,2,IF($C$5=Year3,3,IF($C$5=Lookups!$D$40,"All"))))&amp;"!"&amp;CD$71&amp;$DE9)*100,0)</f>
        <v>4.271893828439878</v>
      </c>
      <c r="CE9" s="150" cm="1">
        <f t="array" aca="1" ref="CE9" ca="1">IFERROR(INDIRECT("Yr"&amp;IF($C$5=Year1,1,IF($C$5=Year2,2,IF($C$5=Year3,3,IF($C$5=Lookups!$D$40,"All"))))&amp;"!"&amp;CE$71&amp;$DE9)*100,0)</f>
        <v>4.271893828439878</v>
      </c>
      <c r="CF9" s="150" cm="1">
        <f t="array" aca="1" ref="CF9" ca="1">IFERROR(INDIRECT("Yr"&amp;IF($C$5=Year1,1,IF($C$5=Year2,2,IF($C$5=Year3,3,IF($C$5=Lookups!$D$40,"All"))))&amp;"!"&amp;CF$71&amp;$DE9)*100,0)</f>
        <v>4.271893828439878</v>
      </c>
      <c r="CG9" s="150" cm="1">
        <f t="array" aca="1" ref="CG9" ca="1">IFERROR(INDIRECT("Yr"&amp;IF($C$5=Year1,1,IF($C$5=Year2,2,IF($C$5=Year3,3,IF($C$5=Lookups!$D$40,"All"))))&amp;"!"&amp;CG$71&amp;$DE9)*100,0)</f>
        <v>4.271893828439878</v>
      </c>
      <c r="CH9" s="150" cm="1">
        <f t="array" aca="1" ref="CH9" ca="1">IFERROR(INDIRECT("Yr"&amp;IF($C$5=Year1,1,IF($C$5=Year2,2,IF($C$5=Year3,3,IF($C$5=Lookups!$D$40,"All"))))&amp;"!"&amp;CH$71&amp;$DE9)*100,0)</f>
        <v>4.271893828439878</v>
      </c>
      <c r="CI9" s="150" cm="1">
        <f t="array" aca="1" ref="CI9" ca="1">IFERROR(INDIRECT("Yr"&amp;IF($C$5=Year1,1,IF($C$5=Year2,2,IF($C$5=Year3,3,IF($C$5=Lookups!$D$40,"All"))))&amp;"!"&amp;CI$71&amp;$DE9)*100,0)</f>
        <v>4.271893828439878</v>
      </c>
      <c r="CJ9" s="150" cm="1">
        <f t="array" aca="1" ref="CJ9" ca="1">IFERROR(INDIRECT("Yr"&amp;IF($C$5=Year1,1,IF($C$5=Year2,2,IF($C$5=Year3,3,IF($C$5=Lookups!$D$40,"All"))))&amp;"!"&amp;CJ$71&amp;$DE9)*100,0)</f>
        <v>4.271893828439878</v>
      </c>
      <c r="CK9" s="150" cm="1">
        <f t="array" aca="1" ref="CK9" ca="1">IFERROR(INDIRECT("Yr"&amp;IF($C$5=Year1,1,IF($C$5=Year2,2,IF($C$5=Year3,3,IF($C$5=Lookups!$D$40,"All"))))&amp;"!"&amp;CK$71&amp;$DE9)*100,0)</f>
        <v>4.271893828439878</v>
      </c>
      <c r="CL9" s="150" cm="1">
        <f t="array" aca="1" ref="CL9" ca="1">IFERROR(INDIRECT("Yr"&amp;IF($C$5=Year1,1,IF($C$5=Year2,2,IF($C$5=Year3,3,IF($C$5=Lookups!$D$40,"All"))))&amp;"!"&amp;CL$71&amp;$DE9)*100,0)</f>
        <v>4.271893828439878</v>
      </c>
      <c r="CM9" s="150" cm="1">
        <f t="array" aca="1" ref="CM9" ca="1">IFERROR(INDIRECT("Yr"&amp;IF($C$5=Year1,1,IF($C$5=Year2,2,IF($C$5=Year3,3,IF($C$5=Lookups!$D$40,"All"))))&amp;"!"&amp;CM$71&amp;$DE9)*100,0)</f>
        <v>4.271893828439878</v>
      </c>
      <c r="CN9" s="150" cm="1">
        <f t="array" aca="1" ref="CN9" ca="1">IFERROR(INDIRECT("Yr"&amp;IF($C$5=Year1,1,IF($C$5=Year2,2,IF($C$5=Year3,3,IF($C$5=Lookups!$D$40,"All"))))&amp;"!"&amp;CN$71&amp;$DE9)*100,0)</f>
        <v>4.271893828439878</v>
      </c>
      <c r="CO9" s="150" cm="1">
        <f t="array" aca="1" ref="CO9" ca="1">IFERROR(INDIRECT("Yr"&amp;IF($C$5=Year1,1,IF($C$5=Year2,2,IF($C$5=Year3,3,IF($C$5=Lookups!$D$40,"All"))))&amp;"!"&amp;CO$71&amp;$DE9)*100,0)</f>
        <v>4.271893828439878</v>
      </c>
      <c r="CP9" s="150" cm="1">
        <f t="array" aca="1" ref="CP9" ca="1">IFERROR(INDIRECT("Yr"&amp;IF($C$5=Year1,1,IF($C$5=Year2,2,IF($C$5=Year3,3,IF($C$5=Lookups!$D$40,"All"))))&amp;"!"&amp;CP$71&amp;$DE9)*100,0)</f>
        <v>4.271893828439878</v>
      </c>
      <c r="CQ9" s="150" cm="1">
        <f t="array" aca="1" ref="CQ9" ca="1">IFERROR(INDIRECT("Yr"&amp;IF($C$5=Year1,1,IF($C$5=Year2,2,IF($C$5=Year3,3,IF($C$5=Lookups!$D$40,"All"))))&amp;"!"&amp;CQ$71&amp;$DE9)*100,0)</f>
        <v>4.271893828439878</v>
      </c>
      <c r="CR9" s="150" cm="1">
        <f t="array" aca="1" ref="CR9" ca="1">IFERROR(INDIRECT("Yr"&amp;IF($C$5=Year1,1,IF($C$5=Year2,2,IF($C$5=Year3,3,IF($C$5=Lookups!$D$40,"All"))))&amp;"!"&amp;CR$71&amp;$DE9)*100,0)</f>
        <v>4.271893828439878</v>
      </c>
      <c r="CS9" s="150" cm="1">
        <f t="array" aca="1" ref="CS9" ca="1">IFERROR(INDIRECT("Yr"&amp;IF($C$5=Year1,1,IF($C$5=Year2,2,IF($C$5=Year3,3,IF($C$5=Lookups!$D$40,"All"))))&amp;"!"&amp;CS$71&amp;$DE9)*100,0)</f>
        <v>4.271893828439878</v>
      </c>
      <c r="CT9" s="150" cm="1">
        <f t="array" aca="1" ref="CT9" ca="1">IFERROR(INDIRECT("Yr"&amp;IF($C$5=Year1,1,IF($C$5=Year2,2,IF($C$5=Year3,3,IF($C$5=Lookups!$D$40,"All"))))&amp;"!"&amp;CT$71&amp;$DE9)*100,0)</f>
        <v>4.271893828439878</v>
      </c>
      <c r="CU9" s="150" cm="1">
        <f t="array" aca="1" ref="CU9" ca="1">IFERROR(INDIRECT("Yr"&amp;IF($C$5=Year1,1,IF($C$5=Year2,2,IF($C$5=Year3,3,IF($C$5=Lookups!$D$40,"All"))))&amp;"!"&amp;CU$71&amp;$DE9)*100,0)</f>
        <v>4.271893828439878</v>
      </c>
      <c r="CV9" s="150" cm="1">
        <f t="array" aca="1" ref="CV9" ca="1">IFERROR(INDIRECT("Yr"&amp;IF($C$5=Year1,1,IF($C$5=Year2,2,IF($C$5=Year3,3,IF($C$5=Lookups!$D$40,"All"))))&amp;"!"&amp;CV$71&amp;$DE9)*100,0)</f>
        <v>4.271893828439878</v>
      </c>
      <c r="CW9" s="150" cm="1">
        <f t="array" aca="1" ref="CW9" ca="1">IFERROR(INDIRECT("Yr"&amp;IF($C$5=Year1,1,IF($C$5=Year2,2,IF($C$5=Year3,3,IF($C$5=Lookups!$D$40,"All"))))&amp;"!"&amp;CW$71&amp;$DE9)*100,0)</f>
        <v>4.271893828439878</v>
      </c>
      <c r="CX9" s="150" cm="1">
        <f t="array" aca="1" ref="CX9" ca="1">IFERROR(INDIRECT("Yr"&amp;IF($C$5=Year1,1,IF($C$5=Year2,2,IF($C$5=Year3,3,IF($C$5=Lookups!$D$40,"All"))))&amp;"!"&amp;CX$71&amp;$DE9)*100,0)</f>
        <v>4.271893828439878</v>
      </c>
      <c r="CY9" s="150" cm="1">
        <f t="array" aca="1" ref="CY9" ca="1">IFERROR(INDIRECT("Yr"&amp;IF($C$5=Year1,1,IF($C$5=Year2,2,IF($C$5=Year3,3,IF($C$5=Lookups!$D$40,"All"))))&amp;"!"&amp;CY$71&amp;$DE9)*100,0)</f>
        <v>4.271893828439878</v>
      </c>
      <c r="CZ9" s="150" cm="1">
        <f t="array" aca="1" ref="CZ9" ca="1">IFERROR(INDIRECT("Yr"&amp;IF($C$5=Year1,1,IF($C$5=Year2,2,IF($C$5=Year3,3,IF($C$5=Lookups!$D$40,"All"))))&amp;"!"&amp;CZ$71&amp;$DE9)*100,0)</f>
        <v>4.271893828439878</v>
      </c>
      <c r="DA9" s="150"/>
      <c r="DB9" s="150"/>
      <c r="DE9" s="515">
        <f>ROW('Yr1'!E41)+($DG$9*IF($C$4=Lookups!$D$26,0,IF($C$4=Lookups!$D$27,1,IF($C$4=Lookups!$D$28,2,IF($C$4=Lookups!$D$29,3)))))</f>
        <v>278</v>
      </c>
      <c r="DG9" s="515">
        <f>'Output Summary'!T33</f>
        <v>79</v>
      </c>
      <c r="DI9" s="22"/>
      <c r="DJ9" s="431"/>
      <c r="DK9" s="421"/>
      <c r="DL9" s="96"/>
      <c r="DM9" s="96"/>
      <c r="DN9" s="410"/>
      <c r="DO9" s="22"/>
    </row>
    <row r="10" spans="1:119" x14ac:dyDescent="0.25">
      <c r="BV10" s="343"/>
      <c r="BW10" s="344"/>
      <c r="BX10" s="121" t="s">
        <v>26</v>
      </c>
      <c r="BY10" s="121" t="s">
        <v>182</v>
      </c>
      <c r="BZ10" s="150" cm="1">
        <f t="array" aca="1" ref="BZ10" ca="1">IFERROR(INDIRECT("Yr"&amp;IF($C$5=Year1,1,IF($C$5=Year2,2,IF($C$5=Year3,3,IF($C$5=Lookups!$D$40,"All"))))&amp;"!"&amp;BZ$71&amp;$DE10)*100,0)</f>
        <v>11.81</v>
      </c>
      <c r="CA10" s="150" cm="1">
        <f t="array" aca="1" ref="CA10" ca="1">IFERROR(INDIRECT("Yr"&amp;IF($C$5=Year1,1,IF($C$5=Year2,2,IF($C$5=Year3,3,IF($C$5=Lookups!$D$40,"All"))))&amp;"!"&amp;CA$71&amp;$DE10)*100,0)</f>
        <v>11.81</v>
      </c>
      <c r="CB10" s="150" cm="1">
        <f t="array" aca="1" ref="CB10" ca="1">IFERROR(INDIRECT("Yr"&amp;IF($C$5=Year1,1,IF($C$5=Year2,2,IF($C$5=Year3,3,IF($C$5=Lookups!$D$40,"All"))))&amp;"!"&amp;CB$71&amp;$DE10)*100,0)</f>
        <v>11.81</v>
      </c>
      <c r="CC10" s="150" cm="1">
        <f t="array" aca="1" ref="CC10" ca="1">IFERROR(INDIRECT("Yr"&amp;IF($C$5=Year1,1,IF($C$5=Year2,2,IF($C$5=Year3,3,IF($C$5=Lookups!$D$40,"All"))))&amp;"!"&amp;CC$71&amp;$DE10)*100,0)</f>
        <v>11.81</v>
      </c>
      <c r="CD10" s="150" cm="1">
        <f t="array" aca="1" ref="CD10" ca="1">IFERROR(INDIRECT("Yr"&amp;IF($C$5=Year1,1,IF($C$5=Year2,2,IF($C$5=Year3,3,IF($C$5=Lookups!$D$40,"All"))))&amp;"!"&amp;CD$71&amp;$DE10)*100,0)</f>
        <v>11.81</v>
      </c>
      <c r="CE10" s="150" cm="1">
        <f t="array" aca="1" ref="CE10" ca="1">IFERROR(INDIRECT("Yr"&amp;IF($C$5=Year1,1,IF($C$5=Year2,2,IF($C$5=Year3,3,IF($C$5=Lookups!$D$40,"All"))))&amp;"!"&amp;CE$71&amp;$DE10)*100,0)</f>
        <v>11.81</v>
      </c>
      <c r="CF10" s="150" cm="1">
        <f t="array" aca="1" ref="CF10" ca="1">IFERROR(INDIRECT("Yr"&amp;IF($C$5=Year1,1,IF($C$5=Year2,2,IF($C$5=Year3,3,IF($C$5=Lookups!$D$40,"All"))))&amp;"!"&amp;CF$71&amp;$DE10)*100,0)</f>
        <v>11.81</v>
      </c>
      <c r="CG10" s="150" cm="1">
        <f t="array" aca="1" ref="CG10" ca="1">IFERROR(INDIRECT("Yr"&amp;IF($C$5=Year1,1,IF($C$5=Year2,2,IF($C$5=Year3,3,IF($C$5=Lookups!$D$40,"All"))))&amp;"!"&amp;CG$71&amp;$DE10)*100,0)</f>
        <v>11.81</v>
      </c>
      <c r="CH10" s="150" cm="1">
        <f t="array" aca="1" ref="CH10" ca="1">IFERROR(INDIRECT("Yr"&amp;IF($C$5=Year1,1,IF($C$5=Year2,2,IF($C$5=Year3,3,IF($C$5=Lookups!$D$40,"All"))))&amp;"!"&amp;CH$71&amp;$DE10)*100,0)</f>
        <v>11.81</v>
      </c>
      <c r="CI10" s="150" cm="1">
        <f t="array" aca="1" ref="CI10" ca="1">IFERROR(INDIRECT("Yr"&amp;IF($C$5=Year1,1,IF($C$5=Year2,2,IF($C$5=Year3,3,IF($C$5=Lookups!$D$40,"All"))))&amp;"!"&amp;CI$71&amp;$DE10)*100,0)</f>
        <v>11.81</v>
      </c>
      <c r="CJ10" s="150" cm="1">
        <f t="array" aca="1" ref="CJ10" ca="1">IFERROR(INDIRECT("Yr"&amp;IF($C$5=Year1,1,IF($C$5=Year2,2,IF($C$5=Year3,3,IF($C$5=Lookups!$D$40,"All"))))&amp;"!"&amp;CJ$71&amp;$DE10)*100,0)</f>
        <v>11.81</v>
      </c>
      <c r="CK10" s="150" cm="1">
        <f t="array" aca="1" ref="CK10" ca="1">IFERROR(INDIRECT("Yr"&amp;IF($C$5=Year1,1,IF($C$5=Year2,2,IF($C$5=Year3,3,IF($C$5=Lookups!$D$40,"All"))))&amp;"!"&amp;CK$71&amp;$DE10)*100,0)</f>
        <v>11.81</v>
      </c>
      <c r="CL10" s="150" cm="1">
        <f t="array" aca="1" ref="CL10" ca="1">IFERROR(INDIRECT("Yr"&amp;IF($C$5=Year1,1,IF($C$5=Year2,2,IF($C$5=Year3,3,IF($C$5=Lookups!$D$40,"All"))))&amp;"!"&amp;CL$71&amp;$DE10)*100,0)</f>
        <v>11.81</v>
      </c>
      <c r="CM10" s="150" cm="1">
        <f t="array" aca="1" ref="CM10" ca="1">IFERROR(INDIRECT("Yr"&amp;IF($C$5=Year1,1,IF($C$5=Year2,2,IF($C$5=Year3,3,IF($C$5=Lookups!$D$40,"All"))))&amp;"!"&amp;CM$71&amp;$DE10)*100,0)</f>
        <v>11.81</v>
      </c>
      <c r="CN10" s="150" cm="1">
        <f t="array" aca="1" ref="CN10" ca="1">IFERROR(INDIRECT("Yr"&amp;IF($C$5=Year1,1,IF($C$5=Year2,2,IF($C$5=Year3,3,IF($C$5=Lookups!$D$40,"All"))))&amp;"!"&amp;CN$71&amp;$DE10)*100,0)</f>
        <v>11.81</v>
      </c>
      <c r="CO10" s="150" cm="1">
        <f t="array" aca="1" ref="CO10" ca="1">IFERROR(INDIRECT("Yr"&amp;IF($C$5=Year1,1,IF($C$5=Year2,2,IF($C$5=Year3,3,IF($C$5=Lookups!$D$40,"All"))))&amp;"!"&amp;CO$71&amp;$DE10)*100,0)</f>
        <v>11.81</v>
      </c>
      <c r="CP10" s="150" cm="1">
        <f t="array" aca="1" ref="CP10" ca="1">IFERROR(INDIRECT("Yr"&amp;IF($C$5=Year1,1,IF($C$5=Year2,2,IF($C$5=Year3,3,IF($C$5=Lookups!$D$40,"All"))))&amp;"!"&amp;CP$71&amp;$DE10)*100,0)</f>
        <v>11.81</v>
      </c>
      <c r="CQ10" s="150" cm="1">
        <f t="array" aca="1" ref="CQ10" ca="1">IFERROR(INDIRECT("Yr"&amp;IF($C$5=Year1,1,IF($C$5=Year2,2,IF($C$5=Year3,3,IF($C$5=Lookups!$D$40,"All"))))&amp;"!"&amp;CQ$71&amp;$DE10)*100,0)</f>
        <v>11.81</v>
      </c>
      <c r="CR10" s="150" cm="1">
        <f t="array" aca="1" ref="CR10" ca="1">IFERROR(INDIRECT("Yr"&amp;IF($C$5=Year1,1,IF($C$5=Year2,2,IF($C$5=Year3,3,IF($C$5=Lookups!$D$40,"All"))))&amp;"!"&amp;CR$71&amp;$DE10)*100,0)</f>
        <v>11.81</v>
      </c>
      <c r="CS10" s="150" cm="1">
        <f t="array" aca="1" ref="CS10" ca="1">IFERROR(INDIRECT("Yr"&amp;IF($C$5=Year1,1,IF($C$5=Year2,2,IF($C$5=Year3,3,IF($C$5=Lookups!$D$40,"All"))))&amp;"!"&amp;CS$71&amp;$DE10)*100,0)</f>
        <v>11.81</v>
      </c>
      <c r="CT10" s="150" cm="1">
        <f t="array" aca="1" ref="CT10" ca="1">IFERROR(INDIRECT("Yr"&amp;IF($C$5=Year1,1,IF($C$5=Year2,2,IF($C$5=Year3,3,IF($C$5=Lookups!$D$40,"All"))))&amp;"!"&amp;CT$71&amp;$DE10)*100,0)</f>
        <v>11.81</v>
      </c>
      <c r="CU10" s="150" cm="1">
        <f t="array" aca="1" ref="CU10" ca="1">IFERROR(INDIRECT("Yr"&amp;IF($C$5=Year1,1,IF($C$5=Year2,2,IF($C$5=Year3,3,IF($C$5=Lookups!$D$40,"All"))))&amp;"!"&amp;CU$71&amp;$DE10)*100,0)</f>
        <v>11.81</v>
      </c>
      <c r="CV10" s="150" cm="1">
        <f t="array" aca="1" ref="CV10" ca="1">IFERROR(INDIRECT("Yr"&amp;IF($C$5=Year1,1,IF($C$5=Year2,2,IF($C$5=Year3,3,IF($C$5=Lookups!$D$40,"All"))))&amp;"!"&amp;CV$71&amp;$DE10)*100,0)</f>
        <v>11.81</v>
      </c>
      <c r="CW10" s="150" cm="1">
        <f t="array" aca="1" ref="CW10" ca="1">IFERROR(INDIRECT("Yr"&amp;IF($C$5=Year1,1,IF($C$5=Year2,2,IF($C$5=Year3,3,IF($C$5=Lookups!$D$40,"All"))))&amp;"!"&amp;CW$71&amp;$DE10)*100,0)</f>
        <v>11.81</v>
      </c>
      <c r="CX10" s="150" cm="1">
        <f t="array" aca="1" ref="CX10" ca="1">IFERROR(INDIRECT("Yr"&amp;IF($C$5=Year1,1,IF($C$5=Year2,2,IF($C$5=Year3,3,IF($C$5=Lookups!$D$40,"All"))))&amp;"!"&amp;CX$71&amp;$DE10)*100,0)</f>
        <v>11.81</v>
      </c>
      <c r="CY10" s="150" cm="1">
        <f t="array" aca="1" ref="CY10" ca="1">IFERROR(INDIRECT("Yr"&amp;IF($C$5=Year1,1,IF($C$5=Year2,2,IF($C$5=Year3,3,IF($C$5=Lookups!$D$40,"All"))))&amp;"!"&amp;CY$71&amp;$DE10)*100,0)</f>
        <v>11.81</v>
      </c>
      <c r="CZ10" s="150" cm="1">
        <f t="array" aca="1" ref="CZ10" ca="1">IFERROR(INDIRECT("Yr"&amp;IF($C$5=Year1,1,IF($C$5=Year2,2,IF($C$5=Year3,3,IF($C$5=Lookups!$D$40,"All"))))&amp;"!"&amp;CZ$71&amp;$DE10)*100,0)</f>
        <v>11.81</v>
      </c>
      <c r="DA10" s="150"/>
      <c r="DB10" s="150"/>
      <c r="DE10" s="516">
        <f>DE9+DF10</f>
        <v>275</v>
      </c>
      <c r="DF10" s="526">
        <v>-3</v>
      </c>
      <c r="DI10" s="22"/>
      <c r="DJ10" s="22"/>
      <c r="DK10" s="421"/>
      <c r="DL10" s="96"/>
      <c r="DM10" s="96"/>
      <c r="DN10" s="410"/>
      <c r="DO10" s="22"/>
    </row>
    <row r="11" spans="1:119" x14ac:dyDescent="0.25">
      <c r="BV11" s="343"/>
      <c r="BW11" s="344"/>
      <c r="BX11" s="121" t="s">
        <v>407</v>
      </c>
      <c r="BY11" s="121" t="s">
        <v>182</v>
      </c>
      <c r="BZ11" s="150" cm="1">
        <f t="array" aca="1" ref="BZ11" ca="1">IFERROR(INDIRECT("Yr"&amp;IF($C$5=Year1,1,IF($C$5=Year2,2,IF($C$5=Year3,3,IF($C$5=Lookups!$D$40,"All"))))&amp;"!"&amp;BZ$71&amp;$DE11)*100,0)</f>
        <v>0.52000000000000035</v>
      </c>
      <c r="CA11" s="150" cm="1">
        <f t="array" aca="1" ref="CA11" ca="1">IFERROR(INDIRECT("Yr"&amp;IF($C$5=Year1,1,IF($C$5=Year2,2,IF($C$5=Year3,3,IF($C$5=Lookups!$D$40,"All"))))&amp;"!"&amp;CA$71&amp;$DE11)*100,0)</f>
        <v>0.52000000000000035</v>
      </c>
      <c r="CB11" s="150" cm="1">
        <f t="array" aca="1" ref="CB11" ca="1">IFERROR(INDIRECT("Yr"&amp;IF($C$5=Year1,1,IF($C$5=Year2,2,IF($C$5=Year3,3,IF($C$5=Lookups!$D$40,"All"))))&amp;"!"&amp;CB$71&amp;$DE11)*100,0)</f>
        <v>0.52000000000000035</v>
      </c>
      <c r="CC11" s="150" cm="1">
        <f t="array" aca="1" ref="CC11" ca="1">IFERROR(INDIRECT("Yr"&amp;IF($C$5=Year1,1,IF($C$5=Year2,2,IF($C$5=Year3,3,IF($C$5=Lookups!$D$40,"All"))))&amp;"!"&amp;CC$71&amp;$DE11)*100,0)</f>
        <v>0.52000000000000035</v>
      </c>
      <c r="CD11" s="150" cm="1">
        <f t="array" aca="1" ref="CD11" ca="1">IFERROR(INDIRECT("Yr"&amp;IF($C$5=Year1,1,IF($C$5=Year2,2,IF($C$5=Year3,3,IF($C$5=Lookups!$D$40,"All"))))&amp;"!"&amp;CD$71&amp;$DE11)*100,0)</f>
        <v>0.52000000000000035</v>
      </c>
      <c r="CE11" s="150" cm="1">
        <f t="array" aca="1" ref="CE11" ca="1">IFERROR(INDIRECT("Yr"&amp;IF($C$5=Year1,1,IF($C$5=Year2,2,IF($C$5=Year3,3,IF($C$5=Lookups!$D$40,"All"))))&amp;"!"&amp;CE$71&amp;$DE11)*100,0)</f>
        <v>0.52000000000000035</v>
      </c>
      <c r="CF11" s="150" cm="1">
        <f t="array" aca="1" ref="CF11" ca="1">IFERROR(INDIRECT("Yr"&amp;IF($C$5=Year1,1,IF($C$5=Year2,2,IF($C$5=Year3,3,IF($C$5=Lookups!$D$40,"All"))))&amp;"!"&amp;CF$71&amp;$DE11)*100,0)</f>
        <v>0.52000000000000035</v>
      </c>
      <c r="CG11" s="150" cm="1">
        <f t="array" aca="1" ref="CG11" ca="1">IFERROR(INDIRECT("Yr"&amp;IF($C$5=Year1,1,IF($C$5=Year2,2,IF($C$5=Year3,3,IF($C$5=Lookups!$D$40,"All"))))&amp;"!"&amp;CG$71&amp;$DE11)*100,0)</f>
        <v>0.52000000000000035</v>
      </c>
      <c r="CH11" s="150" cm="1">
        <f t="array" aca="1" ref="CH11" ca="1">IFERROR(INDIRECT("Yr"&amp;IF($C$5=Year1,1,IF($C$5=Year2,2,IF($C$5=Year3,3,IF($C$5=Lookups!$D$40,"All"))))&amp;"!"&amp;CH$71&amp;$DE11)*100,0)</f>
        <v>0.52000000000000035</v>
      </c>
      <c r="CI11" s="150" cm="1">
        <f t="array" aca="1" ref="CI11" ca="1">IFERROR(INDIRECT("Yr"&amp;IF($C$5=Year1,1,IF($C$5=Year2,2,IF($C$5=Year3,3,IF($C$5=Lookups!$D$40,"All"))))&amp;"!"&amp;CI$71&amp;$DE11)*100,0)</f>
        <v>0.52000000000000035</v>
      </c>
      <c r="CJ11" s="150" cm="1">
        <f t="array" aca="1" ref="CJ11" ca="1">IFERROR(INDIRECT("Yr"&amp;IF($C$5=Year1,1,IF($C$5=Year2,2,IF($C$5=Year3,3,IF($C$5=Lookups!$D$40,"All"))))&amp;"!"&amp;CJ$71&amp;$DE11)*100,0)</f>
        <v>0.52000000000000035</v>
      </c>
      <c r="CK11" s="150" cm="1">
        <f t="array" aca="1" ref="CK11" ca="1">IFERROR(INDIRECT("Yr"&amp;IF($C$5=Year1,1,IF($C$5=Year2,2,IF($C$5=Year3,3,IF($C$5=Lookups!$D$40,"All"))))&amp;"!"&amp;CK$71&amp;$DE11)*100,0)</f>
        <v>0.52000000000000035</v>
      </c>
      <c r="CL11" s="150" cm="1">
        <f t="array" aca="1" ref="CL11" ca="1">IFERROR(INDIRECT("Yr"&amp;IF($C$5=Year1,1,IF($C$5=Year2,2,IF($C$5=Year3,3,IF($C$5=Lookups!$D$40,"All"))))&amp;"!"&amp;CL$71&amp;$DE11)*100,0)</f>
        <v>0.52000000000000035</v>
      </c>
      <c r="CM11" s="150" cm="1">
        <f t="array" aca="1" ref="CM11" ca="1">IFERROR(INDIRECT("Yr"&amp;IF($C$5=Year1,1,IF($C$5=Year2,2,IF($C$5=Year3,3,IF($C$5=Lookups!$D$40,"All"))))&amp;"!"&amp;CM$71&amp;$DE11)*100,0)</f>
        <v>0.52000000000000035</v>
      </c>
      <c r="CN11" s="150" cm="1">
        <f t="array" aca="1" ref="CN11" ca="1">IFERROR(INDIRECT("Yr"&amp;IF($C$5=Year1,1,IF($C$5=Year2,2,IF($C$5=Year3,3,IF($C$5=Lookups!$D$40,"All"))))&amp;"!"&amp;CN$71&amp;$DE11)*100,0)</f>
        <v>0.52000000000000035</v>
      </c>
      <c r="CO11" s="150" cm="1">
        <f t="array" aca="1" ref="CO11" ca="1">IFERROR(INDIRECT("Yr"&amp;IF($C$5=Year1,1,IF($C$5=Year2,2,IF($C$5=Year3,3,IF($C$5=Lookups!$D$40,"All"))))&amp;"!"&amp;CO$71&amp;$DE11)*100,0)</f>
        <v>0.52000000000000035</v>
      </c>
      <c r="CP11" s="150" cm="1">
        <f t="array" aca="1" ref="CP11" ca="1">IFERROR(INDIRECT("Yr"&amp;IF($C$5=Year1,1,IF($C$5=Year2,2,IF($C$5=Year3,3,IF($C$5=Lookups!$D$40,"All"))))&amp;"!"&amp;CP$71&amp;$DE11)*100,0)</f>
        <v>0.52000000000000035</v>
      </c>
      <c r="CQ11" s="150" cm="1">
        <f t="array" aca="1" ref="CQ11" ca="1">IFERROR(INDIRECT("Yr"&amp;IF($C$5=Year1,1,IF($C$5=Year2,2,IF($C$5=Year3,3,IF($C$5=Lookups!$D$40,"All"))))&amp;"!"&amp;CQ$71&amp;$DE11)*100,0)</f>
        <v>0.52000000000000035</v>
      </c>
      <c r="CR11" s="150" cm="1">
        <f t="array" aca="1" ref="CR11" ca="1">IFERROR(INDIRECT("Yr"&amp;IF($C$5=Year1,1,IF($C$5=Year2,2,IF($C$5=Year3,3,IF($C$5=Lookups!$D$40,"All"))))&amp;"!"&amp;CR$71&amp;$DE11)*100,0)</f>
        <v>0.52000000000000035</v>
      </c>
      <c r="CS11" s="150" cm="1">
        <f t="array" aca="1" ref="CS11" ca="1">IFERROR(INDIRECT("Yr"&amp;IF($C$5=Year1,1,IF($C$5=Year2,2,IF($C$5=Year3,3,IF($C$5=Lookups!$D$40,"All"))))&amp;"!"&amp;CS$71&amp;$DE11)*100,0)</f>
        <v>0.52000000000000035</v>
      </c>
      <c r="CT11" s="150" cm="1">
        <f t="array" aca="1" ref="CT11" ca="1">IFERROR(INDIRECT("Yr"&amp;IF($C$5=Year1,1,IF($C$5=Year2,2,IF($C$5=Year3,3,IF($C$5=Lookups!$D$40,"All"))))&amp;"!"&amp;CT$71&amp;$DE11)*100,0)</f>
        <v>0.52000000000000035</v>
      </c>
      <c r="CU11" s="150" cm="1">
        <f t="array" aca="1" ref="CU11" ca="1">IFERROR(INDIRECT("Yr"&amp;IF($C$5=Year1,1,IF($C$5=Year2,2,IF($C$5=Year3,3,IF($C$5=Lookups!$D$40,"All"))))&amp;"!"&amp;CU$71&amp;$DE11)*100,0)</f>
        <v>0.52000000000000035</v>
      </c>
      <c r="CV11" s="150" cm="1">
        <f t="array" aca="1" ref="CV11" ca="1">IFERROR(INDIRECT("Yr"&amp;IF($C$5=Year1,1,IF($C$5=Year2,2,IF($C$5=Year3,3,IF($C$5=Lookups!$D$40,"All"))))&amp;"!"&amp;CV$71&amp;$DE11)*100,0)</f>
        <v>0.52000000000000035</v>
      </c>
      <c r="CW11" s="150" cm="1">
        <f t="array" aca="1" ref="CW11" ca="1">IFERROR(INDIRECT("Yr"&amp;IF($C$5=Year1,1,IF($C$5=Year2,2,IF($C$5=Year3,3,IF($C$5=Lookups!$D$40,"All"))))&amp;"!"&amp;CW$71&amp;$DE11)*100,0)</f>
        <v>0.52000000000000035</v>
      </c>
      <c r="CX11" s="150" cm="1">
        <f t="array" aca="1" ref="CX11" ca="1">IFERROR(INDIRECT("Yr"&amp;IF($C$5=Year1,1,IF($C$5=Year2,2,IF($C$5=Year3,3,IF($C$5=Lookups!$D$40,"All"))))&amp;"!"&amp;CX$71&amp;$DE11)*100,0)</f>
        <v>0.52000000000000035</v>
      </c>
      <c r="CY11" s="150" cm="1">
        <f t="array" aca="1" ref="CY11" ca="1">IFERROR(INDIRECT("Yr"&amp;IF($C$5=Year1,1,IF($C$5=Year2,2,IF($C$5=Year3,3,IF($C$5=Lookups!$D$40,"All"))))&amp;"!"&amp;CY$71&amp;$DE11)*100,0)</f>
        <v>0.52000000000000035</v>
      </c>
      <c r="CZ11" s="150" cm="1">
        <f t="array" aca="1" ref="CZ11" ca="1">IFERROR(INDIRECT("Yr"&amp;IF($C$5=Year1,1,IF($C$5=Year2,2,IF($C$5=Year3,3,IF($C$5=Lookups!$D$40,"All"))))&amp;"!"&amp;CZ$71&amp;$DE11)*100,0)</f>
        <v>0.52000000000000035</v>
      </c>
      <c r="DA11" s="150"/>
      <c r="DB11" s="150"/>
      <c r="DE11" s="516">
        <f t="shared" ref="DE11" si="1">DE10+DF11</f>
        <v>276</v>
      </c>
      <c r="DF11" s="526">
        <v>1</v>
      </c>
      <c r="DI11" s="22"/>
      <c r="DJ11" s="22"/>
      <c r="DK11" s="421"/>
      <c r="DL11" s="96"/>
      <c r="DM11" s="96"/>
      <c r="DN11" s="410"/>
      <c r="DO11" s="22"/>
    </row>
    <row r="12" spans="1:119" x14ac:dyDescent="0.25">
      <c r="BV12" s="343"/>
      <c r="BW12" s="344"/>
      <c r="BX12" s="121" t="s">
        <v>197</v>
      </c>
      <c r="BY12" s="121" t="s">
        <v>182</v>
      </c>
      <c r="BZ12" s="150" cm="1">
        <f t="array" aca="1" ref="BZ12" ca="1">IFERROR(INDIRECT("Yr"&amp;IF($C$5=Year1,1,IF($C$5=Year2,2,IF($C$5=Year3,3,IF($C$5=Lookups!$D$40,"All"))))&amp;"!"&amp;BZ$71&amp;$DE12)*100,0)</f>
        <v>61.9</v>
      </c>
      <c r="CA12" s="150" cm="1">
        <f t="array" aca="1" ref="CA12" ca="1">IFERROR(INDIRECT("Yr"&amp;IF($C$5=Year1,1,IF($C$5=Year2,2,IF($C$5=Year3,3,IF($C$5=Lookups!$D$40,"All"))))&amp;"!"&amp;CA$71&amp;$DE12)*100,0)</f>
        <v>61.9</v>
      </c>
      <c r="CB12" s="150" cm="1">
        <f t="array" aca="1" ref="CB12" ca="1">IFERROR(INDIRECT("Yr"&amp;IF($C$5=Year1,1,IF($C$5=Year2,2,IF($C$5=Year3,3,IF($C$5=Lookups!$D$40,"All"))))&amp;"!"&amp;CB$71&amp;$DE12)*100,0)</f>
        <v>61.9</v>
      </c>
      <c r="CC12" s="150" cm="1">
        <f t="array" aca="1" ref="CC12" ca="1">IFERROR(INDIRECT("Yr"&amp;IF($C$5=Year1,1,IF($C$5=Year2,2,IF($C$5=Year3,3,IF($C$5=Lookups!$D$40,"All"))))&amp;"!"&amp;CC$71&amp;$DE12)*100,0)</f>
        <v>61.9</v>
      </c>
      <c r="CD12" s="150" cm="1">
        <f t="array" aca="1" ref="CD12" ca="1">IFERROR(INDIRECT("Yr"&amp;IF($C$5=Year1,1,IF($C$5=Year2,2,IF($C$5=Year3,3,IF($C$5=Lookups!$D$40,"All"))))&amp;"!"&amp;CD$71&amp;$DE12)*100,0)</f>
        <v>61.9</v>
      </c>
      <c r="CE12" s="150" cm="1">
        <f t="array" aca="1" ref="CE12" ca="1">IFERROR(INDIRECT("Yr"&amp;IF($C$5=Year1,1,IF($C$5=Year2,2,IF($C$5=Year3,3,IF($C$5=Lookups!$D$40,"All"))))&amp;"!"&amp;CE$71&amp;$DE12)*100,0)</f>
        <v>61.9</v>
      </c>
      <c r="CF12" s="150" cm="1">
        <f t="array" aca="1" ref="CF12" ca="1">IFERROR(INDIRECT("Yr"&amp;IF($C$5=Year1,1,IF($C$5=Year2,2,IF($C$5=Year3,3,IF($C$5=Lookups!$D$40,"All"))))&amp;"!"&amp;CF$71&amp;$DE12)*100,0)</f>
        <v>61.9</v>
      </c>
      <c r="CG12" s="150" cm="1">
        <f t="array" aca="1" ref="CG12" ca="1">IFERROR(INDIRECT("Yr"&amp;IF($C$5=Year1,1,IF($C$5=Year2,2,IF($C$5=Year3,3,IF($C$5=Lookups!$D$40,"All"))))&amp;"!"&amp;CG$71&amp;$DE12)*100,0)</f>
        <v>61.9</v>
      </c>
      <c r="CH12" s="150" cm="1">
        <f t="array" aca="1" ref="CH12" ca="1">IFERROR(INDIRECT("Yr"&amp;IF($C$5=Year1,1,IF($C$5=Year2,2,IF($C$5=Year3,3,IF($C$5=Lookups!$D$40,"All"))))&amp;"!"&amp;CH$71&amp;$DE12)*100,0)</f>
        <v>61.9</v>
      </c>
      <c r="CI12" s="150" cm="1">
        <f t="array" aca="1" ref="CI12" ca="1">IFERROR(INDIRECT("Yr"&amp;IF($C$5=Year1,1,IF($C$5=Year2,2,IF($C$5=Year3,3,IF($C$5=Lookups!$D$40,"All"))))&amp;"!"&amp;CI$71&amp;$DE12)*100,0)</f>
        <v>61.9</v>
      </c>
      <c r="CJ12" s="150" cm="1">
        <f t="array" aca="1" ref="CJ12" ca="1">IFERROR(INDIRECT("Yr"&amp;IF($C$5=Year1,1,IF($C$5=Year2,2,IF($C$5=Year3,3,IF($C$5=Lookups!$D$40,"All"))))&amp;"!"&amp;CJ$71&amp;$DE12)*100,0)</f>
        <v>61.9</v>
      </c>
      <c r="CK12" s="150" cm="1">
        <f t="array" aca="1" ref="CK12" ca="1">IFERROR(INDIRECT("Yr"&amp;IF($C$5=Year1,1,IF($C$5=Year2,2,IF($C$5=Year3,3,IF($C$5=Lookups!$D$40,"All"))))&amp;"!"&amp;CK$71&amp;$DE12)*100,0)</f>
        <v>61.9</v>
      </c>
      <c r="CL12" s="150" cm="1">
        <f t="array" aca="1" ref="CL12" ca="1">IFERROR(INDIRECT("Yr"&amp;IF($C$5=Year1,1,IF($C$5=Year2,2,IF($C$5=Year3,3,IF($C$5=Lookups!$D$40,"All"))))&amp;"!"&amp;CL$71&amp;$DE12)*100,0)</f>
        <v>61.9</v>
      </c>
      <c r="CM12" s="150" cm="1">
        <f t="array" aca="1" ref="CM12" ca="1">IFERROR(INDIRECT("Yr"&amp;IF($C$5=Year1,1,IF($C$5=Year2,2,IF($C$5=Year3,3,IF($C$5=Lookups!$D$40,"All"))))&amp;"!"&amp;CM$71&amp;$DE12)*100,0)</f>
        <v>61.9</v>
      </c>
      <c r="CN12" s="150" cm="1">
        <f t="array" aca="1" ref="CN12" ca="1">IFERROR(INDIRECT("Yr"&amp;IF($C$5=Year1,1,IF($C$5=Year2,2,IF($C$5=Year3,3,IF($C$5=Lookups!$D$40,"All"))))&amp;"!"&amp;CN$71&amp;$DE12)*100,0)</f>
        <v>61.9</v>
      </c>
      <c r="CO12" s="150" cm="1">
        <f t="array" aca="1" ref="CO12" ca="1">IFERROR(INDIRECT("Yr"&amp;IF($C$5=Year1,1,IF($C$5=Year2,2,IF($C$5=Year3,3,IF($C$5=Lookups!$D$40,"All"))))&amp;"!"&amp;CO$71&amp;$DE12)*100,0)</f>
        <v>61.9</v>
      </c>
      <c r="CP12" s="150" cm="1">
        <f t="array" aca="1" ref="CP12" ca="1">IFERROR(INDIRECT("Yr"&amp;IF($C$5=Year1,1,IF($C$5=Year2,2,IF($C$5=Year3,3,IF($C$5=Lookups!$D$40,"All"))))&amp;"!"&amp;CP$71&amp;$DE12)*100,0)</f>
        <v>61.9</v>
      </c>
      <c r="CQ12" s="150" cm="1">
        <f t="array" aca="1" ref="CQ12" ca="1">IFERROR(INDIRECT("Yr"&amp;IF($C$5=Year1,1,IF($C$5=Year2,2,IF($C$5=Year3,3,IF($C$5=Lookups!$D$40,"All"))))&amp;"!"&amp;CQ$71&amp;$DE12)*100,0)</f>
        <v>61.9</v>
      </c>
      <c r="CR12" s="150" cm="1">
        <f t="array" aca="1" ref="CR12" ca="1">IFERROR(INDIRECT("Yr"&amp;IF($C$5=Year1,1,IF($C$5=Year2,2,IF($C$5=Year3,3,IF($C$5=Lookups!$D$40,"All"))))&amp;"!"&amp;CR$71&amp;$DE12)*100,0)</f>
        <v>61.9</v>
      </c>
      <c r="CS12" s="150" cm="1">
        <f t="array" aca="1" ref="CS12" ca="1">IFERROR(INDIRECT("Yr"&amp;IF($C$5=Year1,1,IF($C$5=Year2,2,IF($C$5=Year3,3,IF($C$5=Lookups!$D$40,"All"))))&amp;"!"&amp;CS$71&amp;$DE12)*100,0)</f>
        <v>61.9</v>
      </c>
      <c r="CT12" s="150" cm="1">
        <f t="array" aca="1" ref="CT12" ca="1">IFERROR(INDIRECT("Yr"&amp;IF($C$5=Year1,1,IF($C$5=Year2,2,IF($C$5=Year3,3,IF($C$5=Lookups!$D$40,"All"))))&amp;"!"&amp;CT$71&amp;$DE12)*100,0)</f>
        <v>61.9</v>
      </c>
      <c r="CU12" s="150" cm="1">
        <f t="array" aca="1" ref="CU12" ca="1">IFERROR(INDIRECT("Yr"&amp;IF($C$5=Year1,1,IF($C$5=Year2,2,IF($C$5=Year3,3,IF($C$5=Lookups!$D$40,"All"))))&amp;"!"&amp;CU$71&amp;$DE12)*100,0)</f>
        <v>61.9</v>
      </c>
      <c r="CV12" s="150" cm="1">
        <f t="array" aca="1" ref="CV12" ca="1">IFERROR(INDIRECT("Yr"&amp;IF($C$5=Year1,1,IF($C$5=Year2,2,IF($C$5=Year3,3,IF($C$5=Lookups!$D$40,"All"))))&amp;"!"&amp;CV$71&amp;$DE12)*100,0)</f>
        <v>61.9</v>
      </c>
      <c r="CW12" s="150" cm="1">
        <f t="array" aca="1" ref="CW12" ca="1">IFERROR(INDIRECT("Yr"&amp;IF($C$5=Year1,1,IF($C$5=Year2,2,IF($C$5=Year3,3,IF($C$5=Lookups!$D$40,"All"))))&amp;"!"&amp;CW$71&amp;$DE12)*100,0)</f>
        <v>61.9</v>
      </c>
      <c r="CX12" s="150" cm="1">
        <f t="array" aca="1" ref="CX12" ca="1">IFERROR(INDIRECT("Yr"&amp;IF($C$5=Year1,1,IF($C$5=Year2,2,IF($C$5=Year3,3,IF($C$5=Lookups!$D$40,"All"))))&amp;"!"&amp;CX$71&amp;$DE12)*100,0)</f>
        <v>61.9</v>
      </c>
      <c r="CY12" s="150" cm="1">
        <f t="array" aca="1" ref="CY12" ca="1">IFERROR(INDIRECT("Yr"&amp;IF($C$5=Year1,1,IF($C$5=Year2,2,IF($C$5=Year3,3,IF($C$5=Lookups!$D$40,"All"))))&amp;"!"&amp;CY$71&amp;$DE12)*100,0)</f>
        <v>61.9</v>
      </c>
      <c r="CZ12" s="150" cm="1">
        <f t="array" aca="1" ref="CZ12" ca="1">IFERROR(INDIRECT("Yr"&amp;IF($C$5=Year1,1,IF($C$5=Year2,2,IF($C$5=Year3,3,IF($C$5=Lookups!$D$40,"All"))))&amp;"!"&amp;CZ$71&amp;$DE12)*100,0)</f>
        <v>61.9</v>
      </c>
      <c r="DA12" s="150"/>
      <c r="DB12" s="150"/>
      <c r="DE12" s="516">
        <f>DE11+DF12</f>
        <v>277</v>
      </c>
      <c r="DF12" s="526">
        <v>1</v>
      </c>
      <c r="DI12" s="22"/>
      <c r="DJ12" s="22"/>
      <c r="DK12" s="421"/>
      <c r="DL12" s="96"/>
      <c r="DM12" s="96"/>
      <c r="DN12" s="410"/>
      <c r="DO12" s="22"/>
    </row>
    <row r="13" spans="1:119" x14ac:dyDescent="0.25">
      <c r="BV13" s="343"/>
      <c r="BW13" s="344"/>
      <c r="BX13" s="121" t="s">
        <v>405</v>
      </c>
      <c r="BY13" s="121" t="s">
        <v>182</v>
      </c>
      <c r="BZ13" s="150" cm="1">
        <f t="array" aca="1" ref="BZ13" ca="1">IFERROR(INDIRECT("Yr"&amp;IF($C$5=Year1,1,IF($C$5=Year2,2,IF($C$5=Year3,3,IF($C$5=Lookups!$D$40,"All"))))&amp;"!"&amp;BZ$71&amp;$DE13)*100,0)</f>
        <v>0</v>
      </c>
      <c r="CA13" s="150" cm="1">
        <f t="array" aca="1" ref="CA13" ca="1">IFERROR(INDIRECT("Yr"&amp;IF($C$5=Year1,1,IF($C$5=Year2,2,IF($C$5=Year3,3,IF($C$5=Lookups!$D$40,"All"))))&amp;"!"&amp;CA$71&amp;$DE13)*100,0)</f>
        <v>0</v>
      </c>
      <c r="CB13" s="150" cm="1">
        <f t="array" aca="1" ref="CB13" ca="1">IFERROR(INDIRECT("Yr"&amp;IF($C$5=Year1,1,IF($C$5=Year2,2,IF($C$5=Year3,3,IF($C$5=Lookups!$D$40,"All"))))&amp;"!"&amp;CB$71&amp;$DE13)*100,0)</f>
        <v>0</v>
      </c>
      <c r="CC13" s="150" cm="1">
        <f t="array" aca="1" ref="CC13" ca="1">IFERROR(INDIRECT("Yr"&amp;IF($C$5=Year1,1,IF($C$5=Year2,2,IF($C$5=Year3,3,IF($C$5=Lookups!$D$40,"All"))))&amp;"!"&amp;CC$71&amp;$DE13)*100,0)</f>
        <v>0</v>
      </c>
      <c r="CD13" s="150" cm="1">
        <f t="array" aca="1" ref="CD13" ca="1">IFERROR(INDIRECT("Yr"&amp;IF($C$5=Year1,1,IF($C$5=Year2,2,IF($C$5=Year3,3,IF($C$5=Lookups!$D$40,"All"))))&amp;"!"&amp;CD$71&amp;$DE13)*100,0)</f>
        <v>0</v>
      </c>
      <c r="CE13" s="150" cm="1">
        <f t="array" aca="1" ref="CE13" ca="1">IFERROR(INDIRECT("Yr"&amp;IF($C$5=Year1,1,IF($C$5=Year2,2,IF($C$5=Year3,3,IF($C$5=Lookups!$D$40,"All"))))&amp;"!"&amp;CE$71&amp;$DE13)*100,0)</f>
        <v>0</v>
      </c>
      <c r="CF13" s="150" cm="1">
        <f t="array" aca="1" ref="CF13" ca="1">IFERROR(INDIRECT("Yr"&amp;IF($C$5=Year1,1,IF($C$5=Year2,2,IF($C$5=Year3,3,IF($C$5=Lookups!$D$40,"All"))))&amp;"!"&amp;CF$71&amp;$DE13)*100,0)</f>
        <v>0</v>
      </c>
      <c r="CG13" s="150" cm="1">
        <f t="array" aca="1" ref="CG13" ca="1">IFERROR(INDIRECT("Yr"&amp;IF($C$5=Year1,1,IF($C$5=Year2,2,IF($C$5=Year3,3,IF($C$5=Lookups!$D$40,"All"))))&amp;"!"&amp;CG$71&amp;$DE13)*100,0)</f>
        <v>0</v>
      </c>
      <c r="CH13" s="150" cm="1">
        <f t="array" aca="1" ref="CH13" ca="1">IFERROR(INDIRECT("Yr"&amp;IF($C$5=Year1,1,IF($C$5=Year2,2,IF($C$5=Year3,3,IF($C$5=Lookups!$D$40,"All"))))&amp;"!"&amp;CH$71&amp;$DE13)*100,0)</f>
        <v>0</v>
      </c>
      <c r="CI13" s="150" cm="1">
        <f t="array" aca="1" ref="CI13" ca="1">IFERROR(INDIRECT("Yr"&amp;IF($C$5=Year1,1,IF($C$5=Year2,2,IF($C$5=Year3,3,IF($C$5=Lookups!$D$40,"All"))))&amp;"!"&amp;CI$71&amp;$DE13)*100,0)</f>
        <v>0</v>
      </c>
      <c r="CJ13" s="150" cm="1">
        <f t="array" aca="1" ref="CJ13" ca="1">IFERROR(INDIRECT("Yr"&amp;IF($C$5=Year1,1,IF($C$5=Year2,2,IF($C$5=Year3,3,IF($C$5=Lookups!$D$40,"All"))))&amp;"!"&amp;CJ$71&amp;$DE13)*100,0)</f>
        <v>0</v>
      </c>
      <c r="CK13" s="150" cm="1">
        <f t="array" aca="1" ref="CK13" ca="1">IFERROR(INDIRECT("Yr"&amp;IF($C$5=Year1,1,IF($C$5=Year2,2,IF($C$5=Year3,3,IF($C$5=Lookups!$D$40,"All"))))&amp;"!"&amp;CK$71&amp;$DE13)*100,0)</f>
        <v>0</v>
      </c>
      <c r="CL13" s="150" cm="1">
        <f t="array" aca="1" ref="CL13" ca="1">IFERROR(INDIRECT("Yr"&amp;IF($C$5=Year1,1,IF($C$5=Year2,2,IF($C$5=Year3,3,IF($C$5=Lookups!$D$40,"All"))))&amp;"!"&amp;CL$71&amp;$DE13)*100,0)</f>
        <v>0</v>
      </c>
      <c r="CM13" s="150" cm="1">
        <f t="array" aca="1" ref="CM13" ca="1">IFERROR(INDIRECT("Yr"&amp;IF($C$5=Year1,1,IF($C$5=Year2,2,IF($C$5=Year3,3,IF($C$5=Lookups!$D$40,"All"))))&amp;"!"&amp;CM$71&amp;$DE13)*100,0)</f>
        <v>0</v>
      </c>
      <c r="CN13" s="150" cm="1">
        <f t="array" aca="1" ref="CN13" ca="1">IFERROR(INDIRECT("Yr"&amp;IF($C$5=Year1,1,IF($C$5=Year2,2,IF($C$5=Year3,3,IF($C$5=Lookups!$D$40,"All"))))&amp;"!"&amp;CN$71&amp;$DE13)*100,0)</f>
        <v>0</v>
      </c>
      <c r="CO13" s="150" cm="1">
        <f t="array" aca="1" ref="CO13" ca="1">IFERROR(INDIRECT("Yr"&amp;IF($C$5=Year1,1,IF($C$5=Year2,2,IF($C$5=Year3,3,IF($C$5=Lookups!$D$40,"All"))))&amp;"!"&amp;CO$71&amp;$DE13)*100,0)</f>
        <v>0</v>
      </c>
      <c r="CP13" s="150" cm="1">
        <f t="array" aca="1" ref="CP13" ca="1">IFERROR(INDIRECT("Yr"&amp;IF($C$5=Year1,1,IF($C$5=Year2,2,IF($C$5=Year3,3,IF($C$5=Lookups!$D$40,"All"))))&amp;"!"&amp;CP$71&amp;$DE13)*100,0)</f>
        <v>0</v>
      </c>
      <c r="CQ13" s="150" cm="1">
        <f t="array" aca="1" ref="CQ13" ca="1">IFERROR(INDIRECT("Yr"&amp;IF($C$5=Year1,1,IF($C$5=Year2,2,IF($C$5=Year3,3,IF($C$5=Lookups!$D$40,"All"))))&amp;"!"&amp;CQ$71&amp;$DE13)*100,0)</f>
        <v>0</v>
      </c>
      <c r="CR13" s="150" cm="1">
        <f t="array" aca="1" ref="CR13" ca="1">IFERROR(INDIRECT("Yr"&amp;IF($C$5=Year1,1,IF($C$5=Year2,2,IF($C$5=Year3,3,IF($C$5=Lookups!$D$40,"All"))))&amp;"!"&amp;CR$71&amp;$DE13)*100,0)</f>
        <v>0</v>
      </c>
      <c r="CS13" s="150" cm="1">
        <f t="array" aca="1" ref="CS13" ca="1">IFERROR(INDIRECT("Yr"&amp;IF($C$5=Year1,1,IF($C$5=Year2,2,IF($C$5=Year3,3,IF($C$5=Lookups!$D$40,"All"))))&amp;"!"&amp;CS$71&amp;$DE13)*100,0)</f>
        <v>0</v>
      </c>
      <c r="CT13" s="150" cm="1">
        <f t="array" aca="1" ref="CT13" ca="1">IFERROR(INDIRECT("Yr"&amp;IF($C$5=Year1,1,IF($C$5=Year2,2,IF($C$5=Year3,3,IF($C$5=Lookups!$D$40,"All"))))&amp;"!"&amp;CT$71&amp;$DE13)*100,0)</f>
        <v>0</v>
      </c>
      <c r="CU13" s="150" cm="1">
        <f t="array" aca="1" ref="CU13" ca="1">IFERROR(INDIRECT("Yr"&amp;IF($C$5=Year1,1,IF($C$5=Year2,2,IF($C$5=Year3,3,IF($C$5=Lookups!$D$40,"All"))))&amp;"!"&amp;CU$71&amp;$DE13)*100,0)</f>
        <v>0</v>
      </c>
      <c r="CV13" s="150" cm="1">
        <f t="array" aca="1" ref="CV13" ca="1">IFERROR(INDIRECT("Yr"&amp;IF($C$5=Year1,1,IF($C$5=Year2,2,IF($C$5=Year3,3,IF($C$5=Lookups!$D$40,"All"))))&amp;"!"&amp;CV$71&amp;$DE13)*100,0)</f>
        <v>0</v>
      </c>
      <c r="CW13" s="150" cm="1">
        <f t="array" aca="1" ref="CW13" ca="1">IFERROR(INDIRECT("Yr"&amp;IF($C$5=Year1,1,IF($C$5=Year2,2,IF($C$5=Year3,3,IF($C$5=Lookups!$D$40,"All"))))&amp;"!"&amp;CW$71&amp;$DE13)*100,0)</f>
        <v>0</v>
      </c>
      <c r="CX13" s="150" cm="1">
        <f t="array" aca="1" ref="CX13" ca="1">IFERROR(INDIRECT("Yr"&amp;IF($C$5=Year1,1,IF($C$5=Year2,2,IF($C$5=Year3,3,IF($C$5=Lookups!$D$40,"All"))))&amp;"!"&amp;CX$71&amp;$DE13)*100,0)</f>
        <v>0</v>
      </c>
      <c r="CY13" s="150" cm="1">
        <f t="array" aca="1" ref="CY13" ca="1">IFERROR(INDIRECT("Yr"&amp;IF($C$5=Year1,1,IF($C$5=Year2,2,IF($C$5=Year3,3,IF($C$5=Lookups!$D$40,"All"))))&amp;"!"&amp;CY$71&amp;$DE13)*100,0)</f>
        <v>0</v>
      </c>
      <c r="CZ13" s="150" cm="1">
        <f t="array" aca="1" ref="CZ13" ca="1">IFERROR(INDIRECT("Yr"&amp;IF($C$5=Year1,1,IF($C$5=Year2,2,IF($C$5=Year3,3,IF($C$5=Lookups!$D$40,"All"))))&amp;"!"&amp;CZ$71&amp;$DE13)*100,0)</f>
        <v>0</v>
      </c>
      <c r="DA13" s="122"/>
      <c r="DB13" s="150"/>
      <c r="DE13" s="527"/>
      <c r="DI13" s="22"/>
      <c r="DJ13" s="22"/>
      <c r="DK13" s="421"/>
      <c r="DL13" s="96"/>
      <c r="DM13" s="96"/>
      <c r="DN13" s="410"/>
      <c r="DO13" s="22"/>
    </row>
    <row r="14" spans="1:119" x14ac:dyDescent="0.25">
      <c r="BV14" s="343"/>
      <c r="BW14" s="344"/>
      <c r="BX14" s="121"/>
      <c r="BY14" s="121"/>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E14" s="527"/>
      <c r="DL14" s="96"/>
      <c r="DM14" s="96"/>
      <c r="DO14" s="22"/>
    </row>
    <row r="15" spans="1:119" ht="18.75" x14ac:dyDescent="0.3">
      <c r="BV15" s="91" t="str">
        <f>Lookups!$D$23&amp;" v "&amp;Lookups!$D$22</f>
        <v>Proposed EE v No EE</v>
      </c>
      <c r="BW15" s="91"/>
      <c r="BX15" s="124"/>
      <c r="BY15" s="124"/>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E15" s="528"/>
    </row>
    <row r="16" spans="1:119" x14ac:dyDescent="0.25">
      <c r="BV16" s="343"/>
      <c r="BW16" s="159" t="s">
        <v>30</v>
      </c>
      <c r="BX16" s="126"/>
      <c r="BY16" s="126"/>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E16" s="527"/>
    </row>
    <row r="17" spans="3:116" x14ac:dyDescent="0.25">
      <c r="BV17" s="343"/>
      <c r="BW17" s="345"/>
      <c r="BX17" s="126" t="s">
        <v>95</v>
      </c>
      <c r="BY17" s="126" t="s">
        <v>409</v>
      </c>
      <c r="BZ17" s="151" cm="1">
        <f t="array" aca="1" ref="BZ17" ca="1">IFERROR(INDIRECT("Yr"&amp;IF($C$5=Year1,1,IF($C$5=Year2,2,IF($C$5=Year3,3,IF($C$5=Lookups!$D$40,"All"))))&amp;"!"&amp;BZ$71&amp;$DE17)*100,0)</f>
        <v>4.271893828439878</v>
      </c>
      <c r="CA17" s="151" cm="1">
        <f t="array" aca="1" ref="CA17" ca="1">IFERROR(INDIRECT("Yr"&amp;IF($C$5=Year1,1,IF($C$5=Year2,2,IF($C$5=Year3,3,IF($C$5=Lookups!$D$40,"All"))))&amp;"!"&amp;CA$71&amp;$DE17)*100,0)</f>
        <v>4.271893828439878</v>
      </c>
      <c r="CB17" s="151" cm="1">
        <f t="array" aca="1" ref="CB17" ca="1">IFERROR(INDIRECT("Yr"&amp;IF($C$5=Year1,1,IF($C$5=Year2,2,IF($C$5=Year3,3,IF($C$5=Lookups!$D$40,"All"))))&amp;"!"&amp;CB$71&amp;$DE17)*100,0)</f>
        <v>4.271893828439878</v>
      </c>
      <c r="CC17" s="151" cm="1">
        <f t="array" aca="1" ref="CC17" ca="1">IFERROR(INDIRECT("Yr"&amp;IF($C$5=Year1,1,IF($C$5=Year2,2,IF($C$5=Year3,3,IF($C$5=Lookups!$D$40,"All"))))&amp;"!"&amp;CC$71&amp;$DE17)*100,0)</f>
        <v>4.271893828439878</v>
      </c>
      <c r="CD17" s="151" cm="1">
        <f t="array" aca="1" ref="CD17" ca="1">IFERROR(INDIRECT("Yr"&amp;IF($C$5=Year1,1,IF($C$5=Year2,2,IF($C$5=Year3,3,IF($C$5=Lookups!$D$40,"All"))))&amp;"!"&amp;CD$71&amp;$DE17)*100,0)</f>
        <v>4.271893828439878</v>
      </c>
      <c r="CE17" s="151" cm="1">
        <f t="array" aca="1" ref="CE17" ca="1">IFERROR(INDIRECT("Yr"&amp;IF($C$5=Year1,1,IF($C$5=Year2,2,IF($C$5=Year3,3,IF($C$5=Lookups!$D$40,"All"))))&amp;"!"&amp;CE$71&amp;$DE17)*100,0)</f>
        <v>4.271893828439878</v>
      </c>
      <c r="CF17" s="151" cm="1">
        <f t="array" aca="1" ref="CF17" ca="1">IFERROR(INDIRECT("Yr"&amp;IF($C$5=Year1,1,IF($C$5=Year2,2,IF($C$5=Year3,3,IF($C$5=Lookups!$D$40,"All"))))&amp;"!"&amp;CF$71&amp;$DE17)*100,0)</f>
        <v>4.271893828439878</v>
      </c>
      <c r="CG17" s="151" cm="1">
        <f t="array" aca="1" ref="CG17" ca="1">IFERROR(INDIRECT("Yr"&amp;IF($C$5=Year1,1,IF($C$5=Year2,2,IF($C$5=Year3,3,IF($C$5=Lookups!$D$40,"All"))))&amp;"!"&amp;CG$71&amp;$DE17)*100,0)</f>
        <v>4.271893828439878</v>
      </c>
      <c r="CH17" s="151" cm="1">
        <f t="array" aca="1" ref="CH17" ca="1">IFERROR(INDIRECT("Yr"&amp;IF($C$5=Year1,1,IF($C$5=Year2,2,IF($C$5=Year3,3,IF($C$5=Lookups!$D$40,"All"))))&amp;"!"&amp;CH$71&amp;$DE17)*100,0)</f>
        <v>4.271893828439878</v>
      </c>
      <c r="CI17" s="151" cm="1">
        <f t="array" aca="1" ref="CI17" ca="1">IFERROR(INDIRECT("Yr"&amp;IF($C$5=Year1,1,IF($C$5=Year2,2,IF($C$5=Year3,3,IF($C$5=Lookups!$D$40,"All"))))&amp;"!"&amp;CI$71&amp;$DE17)*100,0)</f>
        <v>4.271893828439878</v>
      </c>
      <c r="CJ17" s="151" cm="1">
        <f t="array" aca="1" ref="CJ17" ca="1">IFERROR(INDIRECT("Yr"&amp;IF($C$5=Year1,1,IF($C$5=Year2,2,IF($C$5=Year3,3,IF($C$5=Lookups!$D$40,"All"))))&amp;"!"&amp;CJ$71&amp;$DE17)*100,0)</f>
        <v>4.271893828439878</v>
      </c>
      <c r="CK17" s="151" cm="1">
        <f t="array" aca="1" ref="CK17" ca="1">IFERROR(INDIRECT("Yr"&amp;IF($C$5=Year1,1,IF($C$5=Year2,2,IF($C$5=Year3,3,IF($C$5=Lookups!$D$40,"All"))))&amp;"!"&amp;CK$71&amp;$DE17)*100,0)</f>
        <v>4.271893828439878</v>
      </c>
      <c r="CL17" s="151" cm="1">
        <f t="array" aca="1" ref="CL17" ca="1">IFERROR(INDIRECT("Yr"&amp;IF($C$5=Year1,1,IF($C$5=Year2,2,IF($C$5=Year3,3,IF($C$5=Lookups!$D$40,"All"))))&amp;"!"&amp;CL$71&amp;$DE17)*100,0)</f>
        <v>4.271893828439878</v>
      </c>
      <c r="CM17" s="151" cm="1">
        <f t="array" aca="1" ref="CM17" ca="1">IFERROR(INDIRECT("Yr"&amp;IF($C$5=Year1,1,IF($C$5=Year2,2,IF($C$5=Year3,3,IF($C$5=Lookups!$D$40,"All"))))&amp;"!"&amp;CM$71&amp;$DE17)*100,0)</f>
        <v>4.271893828439878</v>
      </c>
      <c r="CN17" s="151" cm="1">
        <f t="array" aca="1" ref="CN17" ca="1">IFERROR(INDIRECT("Yr"&amp;IF($C$5=Year1,1,IF($C$5=Year2,2,IF($C$5=Year3,3,IF($C$5=Lookups!$D$40,"All"))))&amp;"!"&amp;CN$71&amp;$DE17)*100,0)</f>
        <v>4.271893828439878</v>
      </c>
      <c r="CO17" s="151" cm="1">
        <f t="array" aca="1" ref="CO17" ca="1">IFERROR(INDIRECT("Yr"&amp;IF($C$5=Year1,1,IF($C$5=Year2,2,IF($C$5=Year3,3,IF($C$5=Lookups!$D$40,"All"))))&amp;"!"&amp;CO$71&amp;$DE17)*100,0)</f>
        <v>4.271893828439878</v>
      </c>
      <c r="CP17" s="151" cm="1">
        <f t="array" aca="1" ref="CP17" ca="1">IFERROR(INDIRECT("Yr"&amp;IF($C$5=Year1,1,IF($C$5=Year2,2,IF($C$5=Year3,3,IF($C$5=Lookups!$D$40,"All"))))&amp;"!"&amp;CP$71&amp;$DE17)*100,0)</f>
        <v>4.271893828439878</v>
      </c>
      <c r="CQ17" s="151" cm="1">
        <f t="array" aca="1" ref="CQ17" ca="1">IFERROR(INDIRECT("Yr"&amp;IF($C$5=Year1,1,IF($C$5=Year2,2,IF($C$5=Year3,3,IF($C$5=Lookups!$D$40,"All"))))&amp;"!"&amp;CQ$71&amp;$DE17)*100,0)</f>
        <v>4.271893828439878</v>
      </c>
      <c r="CR17" s="151" cm="1">
        <f t="array" aca="1" ref="CR17" ca="1">IFERROR(INDIRECT("Yr"&amp;IF($C$5=Year1,1,IF($C$5=Year2,2,IF($C$5=Year3,3,IF($C$5=Lookups!$D$40,"All"))))&amp;"!"&amp;CR$71&amp;$DE17)*100,0)</f>
        <v>4.271893828439878</v>
      </c>
      <c r="CS17" s="151" cm="1">
        <f t="array" aca="1" ref="CS17" ca="1">IFERROR(INDIRECT("Yr"&amp;IF($C$5=Year1,1,IF($C$5=Year2,2,IF($C$5=Year3,3,IF($C$5=Lookups!$D$40,"All"))))&amp;"!"&amp;CS$71&amp;$DE17)*100,0)</f>
        <v>4.271893828439878</v>
      </c>
      <c r="CT17" s="151" cm="1">
        <f t="array" aca="1" ref="CT17" ca="1">IFERROR(INDIRECT("Yr"&amp;IF($C$5=Year1,1,IF($C$5=Year2,2,IF($C$5=Year3,3,IF($C$5=Lookups!$D$40,"All"))))&amp;"!"&amp;CT$71&amp;$DE17)*100,0)</f>
        <v>4.271893828439878</v>
      </c>
      <c r="CU17" s="151" cm="1">
        <f t="array" aca="1" ref="CU17" ca="1">IFERROR(INDIRECT("Yr"&amp;IF($C$5=Year1,1,IF($C$5=Year2,2,IF($C$5=Year3,3,IF($C$5=Lookups!$D$40,"All"))))&amp;"!"&amp;CU$71&amp;$DE17)*100,0)</f>
        <v>4.271893828439878</v>
      </c>
      <c r="CV17" s="151" cm="1">
        <f t="array" aca="1" ref="CV17" ca="1">IFERROR(INDIRECT("Yr"&amp;IF($C$5=Year1,1,IF($C$5=Year2,2,IF($C$5=Year3,3,IF($C$5=Lookups!$D$40,"All"))))&amp;"!"&amp;CV$71&amp;$DE17)*100,0)</f>
        <v>4.271893828439878</v>
      </c>
      <c r="CW17" s="151" cm="1">
        <f t="array" aca="1" ref="CW17" ca="1">IFERROR(INDIRECT("Yr"&amp;IF($C$5=Year1,1,IF($C$5=Year2,2,IF($C$5=Year3,3,IF($C$5=Lookups!$D$40,"All"))))&amp;"!"&amp;CW$71&amp;$DE17)*100,0)</f>
        <v>4.271893828439878</v>
      </c>
      <c r="CX17" s="151" cm="1">
        <f t="array" aca="1" ref="CX17" ca="1">IFERROR(INDIRECT("Yr"&amp;IF($C$5=Year1,1,IF($C$5=Year2,2,IF($C$5=Year3,3,IF($C$5=Lookups!$D$40,"All"))))&amp;"!"&amp;CX$71&amp;$DE17)*100,0)</f>
        <v>4.271893828439878</v>
      </c>
      <c r="CY17" s="151" cm="1">
        <f t="array" aca="1" ref="CY17" ca="1">IFERROR(INDIRECT("Yr"&amp;IF($C$5=Year1,1,IF($C$5=Year2,2,IF($C$5=Year3,3,IF($C$5=Lookups!$D$40,"All"))))&amp;"!"&amp;CY$71&amp;$DE17)*100,0)</f>
        <v>4.271893828439878</v>
      </c>
      <c r="CZ17" s="151" cm="1">
        <f t="array" aca="1" ref="CZ17" ca="1">IFERROR(INDIRECT("Yr"&amp;IF($C$5=Year1,1,IF($C$5=Year2,2,IF($C$5=Year3,3,IF($C$5=Lookups!$D$40,"All"))))&amp;"!"&amp;CZ$71&amp;$DE17)*100,0)</f>
        <v>4.271893828439878</v>
      </c>
      <c r="DA17" s="151"/>
      <c r="DB17" s="151">
        <f ca="1">IF($C$5=Lookups!$D$40,-PMT(Lookups!$E$17,27,NPV(Lookups!$E$17,BZ17:CZ17),0,1),-PMT(Lookups!$E$17,25,NPV(Lookups!$E$17,BZ17:CX17),0,1))</f>
        <v>4.2123148733507403</v>
      </c>
      <c r="DE17" s="515">
        <f>ROW('Yr1'!E56)+($DG$9*IF($C$4=Lookups!$D$26,0,IF($C$4=Lookups!$D$27,1,IF($C$4=Lookups!$D$28,2,IF($C$4=Lookups!$D$29,3)))))</f>
        <v>293</v>
      </c>
      <c r="DI17" s="419"/>
    </row>
    <row r="18" spans="3:116" x14ac:dyDescent="0.25">
      <c r="BV18" s="343"/>
      <c r="BW18" s="345"/>
      <c r="BX18" s="126" t="s">
        <v>26</v>
      </c>
      <c r="BY18" s="126" t="s">
        <v>409</v>
      </c>
      <c r="BZ18" s="151" cm="1">
        <f t="array" aca="1" ref="BZ18" ca="1">IFERROR(INDIRECT("Yr"&amp;IF($C$5=Year1,1,IF($C$5=Year2,2,IF($C$5=Year3,3,IF($C$5=Lookups!$D$40,"All"))))&amp;"!"&amp;BZ$71&amp;$DE18)*100,0)</f>
        <v>12.483993226813153</v>
      </c>
      <c r="CA18" s="151" cm="1">
        <f t="array" aca="1" ref="CA18" ca="1">IFERROR(INDIRECT("Yr"&amp;IF($C$5=Year1,1,IF($C$5=Year2,2,IF($C$5=Year3,3,IF($C$5=Lookups!$D$40,"All"))))&amp;"!"&amp;CA$71&amp;$DE18)*100,0)</f>
        <v>13.333885877233756</v>
      </c>
      <c r="CB18" s="151" cm="1">
        <f t="array" aca="1" ref="CB18" ca="1">IFERROR(INDIRECT("Yr"&amp;IF($C$5=Year1,1,IF($C$5=Year2,2,IF($C$5=Year3,3,IF($C$5=Lookups!$D$40,"All"))))&amp;"!"&amp;CB$71&amp;$DE18)*100,0)</f>
        <v>14.445424193884564</v>
      </c>
      <c r="CC18" s="151" cm="1">
        <f t="array" aca="1" ref="CC18" ca="1">IFERROR(INDIRECT("Yr"&amp;IF($C$5=Year1,1,IF($C$5=Year2,2,IF($C$5=Year3,3,IF($C$5=Lookups!$D$40,"All"))))&amp;"!"&amp;CC$71&amp;$DE18)*100,0)</f>
        <v>14.445424193884564</v>
      </c>
      <c r="CD18" s="151" cm="1">
        <f t="array" aca="1" ref="CD18" ca="1">IFERROR(INDIRECT("Yr"&amp;IF($C$5=Year1,1,IF($C$5=Year2,2,IF($C$5=Year3,3,IF($C$5=Lookups!$D$40,"All"))))&amp;"!"&amp;CD$71&amp;$DE18)*100,0)</f>
        <v>14.445424193884564</v>
      </c>
      <c r="CE18" s="151" cm="1">
        <f t="array" aca="1" ref="CE18" ca="1">IFERROR(INDIRECT("Yr"&amp;IF($C$5=Year1,1,IF($C$5=Year2,2,IF($C$5=Year3,3,IF($C$5=Lookups!$D$40,"All"))))&amp;"!"&amp;CE$71&amp;$DE18)*100,0)</f>
        <v>14.445424193884564</v>
      </c>
      <c r="CF18" s="151" cm="1">
        <f t="array" aca="1" ref="CF18" ca="1">IFERROR(INDIRECT("Yr"&amp;IF($C$5=Year1,1,IF($C$5=Year2,2,IF($C$5=Year3,3,IF($C$5=Lookups!$D$40,"All"))))&amp;"!"&amp;CF$71&amp;$DE18)*100,0)</f>
        <v>14.445424193884564</v>
      </c>
      <c r="CG18" s="151" cm="1">
        <f t="array" aca="1" ref="CG18" ca="1">IFERROR(INDIRECT("Yr"&amp;IF($C$5=Year1,1,IF($C$5=Year2,2,IF($C$5=Year3,3,IF($C$5=Lookups!$D$40,"All"))))&amp;"!"&amp;CG$71&amp;$DE18)*100,0)</f>
        <v>14.445424193884564</v>
      </c>
      <c r="CH18" s="151" cm="1">
        <f t="array" aca="1" ref="CH18" ca="1">IFERROR(INDIRECT("Yr"&amp;IF($C$5=Year1,1,IF($C$5=Year2,2,IF($C$5=Year3,3,IF($C$5=Lookups!$D$40,"All"))))&amp;"!"&amp;CH$71&amp;$DE18)*100,0)</f>
        <v>14.445424193884564</v>
      </c>
      <c r="CI18" s="151" cm="1">
        <f t="array" aca="1" ref="CI18" ca="1">IFERROR(INDIRECT("Yr"&amp;IF($C$5=Year1,1,IF($C$5=Year2,2,IF($C$5=Year3,3,IF($C$5=Lookups!$D$40,"All"))))&amp;"!"&amp;CI$71&amp;$DE18)*100,0)</f>
        <v>14.445424193884564</v>
      </c>
      <c r="CJ18" s="151" cm="1">
        <f t="array" aca="1" ref="CJ18" ca="1">IFERROR(INDIRECT("Yr"&amp;IF($C$5=Year1,1,IF($C$5=Year2,2,IF($C$5=Year3,3,IF($C$5=Lookups!$D$40,"All"))))&amp;"!"&amp;CJ$71&amp;$DE18)*100,0)</f>
        <v>14.445424193884564</v>
      </c>
      <c r="CK18" s="151" cm="1">
        <f t="array" aca="1" ref="CK18" ca="1">IFERROR(INDIRECT("Yr"&amp;IF($C$5=Year1,1,IF($C$5=Year2,2,IF($C$5=Year3,3,IF($C$5=Lookups!$D$40,"All"))))&amp;"!"&amp;CK$71&amp;$DE18)*100,0)</f>
        <v>14.445424193884564</v>
      </c>
      <c r="CL18" s="151" cm="1">
        <f t="array" aca="1" ref="CL18" ca="1">IFERROR(INDIRECT("Yr"&amp;IF($C$5=Year1,1,IF($C$5=Year2,2,IF($C$5=Year3,3,IF($C$5=Lookups!$D$40,"All"))))&amp;"!"&amp;CL$71&amp;$DE18)*100,0)</f>
        <v>14.445424193884564</v>
      </c>
      <c r="CM18" s="151" cm="1">
        <f t="array" aca="1" ref="CM18" ca="1">IFERROR(INDIRECT("Yr"&amp;IF($C$5=Year1,1,IF($C$5=Year2,2,IF($C$5=Year3,3,IF($C$5=Lookups!$D$40,"All"))))&amp;"!"&amp;CM$71&amp;$DE18)*100,0)</f>
        <v>13.429646718426152</v>
      </c>
      <c r="CN18" s="151" cm="1">
        <f t="array" aca="1" ref="CN18" ca="1">IFERROR(INDIRECT("Yr"&amp;IF($C$5=Year1,1,IF($C$5=Year2,2,IF($C$5=Year3,3,IF($C$5=Lookups!$D$40,"All"))))&amp;"!"&amp;CN$71&amp;$DE18)*100,0)</f>
        <v>12.56251251682842</v>
      </c>
      <c r="CO18" s="151" cm="1">
        <f t="array" aca="1" ref="CO18" ca="1">IFERROR(INDIRECT("Yr"&amp;IF($C$5=Year1,1,IF($C$5=Year2,2,IF($C$5=Year3,3,IF($C$5=Lookups!$D$40,"All"))))&amp;"!"&amp;CO$71&amp;$DE18)*100,0)</f>
        <v>11.81</v>
      </c>
      <c r="CP18" s="151" cm="1">
        <f t="array" aca="1" ref="CP18" ca="1">IFERROR(INDIRECT("Yr"&amp;IF($C$5=Year1,1,IF($C$5=Year2,2,IF($C$5=Year3,3,IF($C$5=Lookups!$D$40,"All"))))&amp;"!"&amp;CP$71&amp;$DE18)*100,0)</f>
        <v>11.81</v>
      </c>
      <c r="CQ18" s="151" cm="1">
        <f t="array" aca="1" ref="CQ18" ca="1">IFERROR(INDIRECT("Yr"&amp;IF($C$5=Year1,1,IF($C$5=Year2,2,IF($C$5=Year3,3,IF($C$5=Lookups!$D$40,"All"))))&amp;"!"&amp;CQ$71&amp;$DE18)*100,0)</f>
        <v>11.81</v>
      </c>
      <c r="CR18" s="151" cm="1">
        <f t="array" aca="1" ref="CR18" ca="1">IFERROR(INDIRECT("Yr"&amp;IF($C$5=Year1,1,IF($C$5=Year2,2,IF($C$5=Year3,3,IF($C$5=Lookups!$D$40,"All"))))&amp;"!"&amp;CR$71&amp;$DE18)*100,0)</f>
        <v>11.81</v>
      </c>
      <c r="CS18" s="151" cm="1">
        <f t="array" aca="1" ref="CS18" ca="1">IFERROR(INDIRECT("Yr"&amp;IF($C$5=Year1,1,IF($C$5=Year2,2,IF($C$5=Year3,3,IF($C$5=Lookups!$D$40,"All"))))&amp;"!"&amp;CS$71&amp;$DE18)*100,0)</f>
        <v>11.81</v>
      </c>
      <c r="CT18" s="151" cm="1">
        <f t="array" aca="1" ref="CT18" ca="1">IFERROR(INDIRECT("Yr"&amp;IF($C$5=Year1,1,IF($C$5=Year2,2,IF($C$5=Year3,3,IF($C$5=Lookups!$D$40,"All"))))&amp;"!"&amp;CT$71&amp;$DE18)*100,0)</f>
        <v>11.81</v>
      </c>
      <c r="CU18" s="151" cm="1">
        <f t="array" aca="1" ref="CU18" ca="1">IFERROR(INDIRECT("Yr"&amp;IF($C$5=Year1,1,IF($C$5=Year2,2,IF($C$5=Year3,3,IF($C$5=Lookups!$D$40,"All"))))&amp;"!"&amp;CU$71&amp;$DE18)*100,0)</f>
        <v>11.81</v>
      </c>
      <c r="CV18" s="151" cm="1">
        <f t="array" aca="1" ref="CV18" ca="1">IFERROR(INDIRECT("Yr"&amp;IF($C$5=Year1,1,IF($C$5=Year2,2,IF($C$5=Year3,3,IF($C$5=Lookups!$D$40,"All"))))&amp;"!"&amp;CV$71&amp;$DE18)*100,0)</f>
        <v>11.81</v>
      </c>
      <c r="CW18" s="151" cm="1">
        <f t="array" aca="1" ref="CW18" ca="1">IFERROR(INDIRECT("Yr"&amp;IF($C$5=Year1,1,IF($C$5=Year2,2,IF($C$5=Year3,3,IF($C$5=Lookups!$D$40,"All"))))&amp;"!"&amp;CW$71&amp;$DE18)*100,0)</f>
        <v>11.81</v>
      </c>
      <c r="CX18" s="151" cm="1">
        <f t="array" aca="1" ref="CX18" ca="1">IFERROR(INDIRECT("Yr"&amp;IF($C$5=Year1,1,IF($C$5=Year2,2,IF($C$5=Year3,3,IF($C$5=Lookups!$D$40,"All"))))&amp;"!"&amp;CX$71&amp;$DE18)*100,0)</f>
        <v>11.81</v>
      </c>
      <c r="CY18" s="151" cm="1">
        <f t="array" aca="1" ref="CY18" ca="1">IFERROR(INDIRECT("Yr"&amp;IF($C$5=Year1,1,IF($C$5=Year2,2,IF($C$5=Year3,3,IF($C$5=Lookups!$D$40,"All"))))&amp;"!"&amp;CY$71&amp;$DE18)*100,0)</f>
        <v>11.81</v>
      </c>
      <c r="CZ18" s="151" cm="1">
        <f t="array" aca="1" ref="CZ18" ca="1">IFERROR(INDIRECT("Yr"&amp;IF($C$5=Year1,1,IF($C$5=Year2,2,IF($C$5=Year3,3,IF($C$5=Lookups!$D$40,"All"))))&amp;"!"&amp;CZ$71&amp;$DE18)*100,0)</f>
        <v>11.81</v>
      </c>
      <c r="DA18" s="151"/>
      <c r="DB18" s="151">
        <f ca="1">IF($C$5=Lookups!$D$40,-PMT(Lookups!$E$17,27,NPV(Lookups!$E$17,BZ18:CZ18),0,1),-PMT(Lookups!$E$17,25,NPV(Lookups!$E$17,BZ18:CX18),0,1))</f>
        <v>12.971938352834711</v>
      </c>
      <c r="DE18" s="516">
        <f>DE17+DF18</f>
        <v>289</v>
      </c>
      <c r="DF18" s="526">
        <v>-4</v>
      </c>
      <c r="DI18" s="419"/>
    </row>
    <row r="19" spans="3:116" x14ac:dyDescent="0.25">
      <c r="BV19" s="343"/>
      <c r="BW19" s="345"/>
      <c r="BX19" s="126" t="s">
        <v>407</v>
      </c>
      <c r="BY19" s="126" t="s">
        <v>409</v>
      </c>
      <c r="BZ19" s="151" cm="1">
        <f t="array" aca="1" ref="BZ19" ca="1">IFERROR(INDIRECT("Yr"&amp;IF($C$5=Year1,1,IF($C$5=Year2,2,IF($C$5=Year3,3,IF($C$5=Lookups!$D$40,"All"))))&amp;"!"&amp;BZ$71&amp;$DE19)*100,0)</f>
        <v>0.56667651891697135</v>
      </c>
      <c r="CA19" s="151" cm="1">
        <f t="array" aca="1" ref="CA19" ca="1">IFERROR(INDIRECT("Yr"&amp;IF($C$5=Year1,1,IF($C$5=Year2,2,IF($C$5=Year3,3,IF($C$5=Lookups!$D$40,"All"))))&amp;"!"&amp;CA$71&amp;$DE19)*100,0)</f>
        <v>0.62553669434658599</v>
      </c>
      <c r="CB19" s="151" cm="1">
        <f t="array" aca="1" ref="CB19" ca="1">IFERROR(INDIRECT("Yr"&amp;IF($C$5=Year1,1,IF($C$5=Year2,2,IF($C$5=Year3,3,IF($C$5=Lookups!$D$40,"All"))))&amp;"!"&amp;CB$71&amp;$DE19)*100,0)</f>
        <v>0.7025061323660643</v>
      </c>
      <c r="CC19" s="151" cm="1">
        <f t="array" aca="1" ref="CC19" ca="1">IFERROR(INDIRECT("Yr"&amp;IF($C$5=Year1,1,IF($C$5=Year2,2,IF($C$5=Year3,3,IF($C$5=Lookups!$D$40,"All"))))&amp;"!"&amp;CC$71&amp;$DE19)*100,0)</f>
        <v>0.7025061323660643</v>
      </c>
      <c r="CD19" s="151" cm="1">
        <f t="array" aca="1" ref="CD19" ca="1">IFERROR(INDIRECT("Yr"&amp;IF($C$5=Year1,1,IF($C$5=Year2,2,IF($C$5=Year3,3,IF($C$5=Lookups!$D$40,"All"))))&amp;"!"&amp;CD$71&amp;$DE19)*100,0)</f>
        <v>0.7025061323660643</v>
      </c>
      <c r="CE19" s="151" cm="1">
        <f t="array" aca="1" ref="CE19" ca="1">IFERROR(INDIRECT("Yr"&amp;IF($C$5=Year1,1,IF($C$5=Year2,2,IF($C$5=Year3,3,IF($C$5=Lookups!$D$40,"All"))))&amp;"!"&amp;CE$71&amp;$DE19)*100,0)</f>
        <v>0.7025061323660643</v>
      </c>
      <c r="CF19" s="151" cm="1">
        <f t="array" aca="1" ref="CF19" ca="1">IFERROR(INDIRECT("Yr"&amp;IF($C$5=Year1,1,IF($C$5=Year2,2,IF($C$5=Year3,3,IF($C$5=Lookups!$D$40,"All"))))&amp;"!"&amp;CF$71&amp;$DE19)*100,0)</f>
        <v>0.7025061323660643</v>
      </c>
      <c r="CG19" s="151" cm="1">
        <f t="array" aca="1" ref="CG19" ca="1">IFERROR(INDIRECT("Yr"&amp;IF($C$5=Year1,1,IF($C$5=Year2,2,IF($C$5=Year3,3,IF($C$5=Lookups!$D$40,"All"))))&amp;"!"&amp;CG$71&amp;$DE19)*100,0)</f>
        <v>0.7025061323660643</v>
      </c>
      <c r="CH19" s="151" cm="1">
        <f t="array" aca="1" ref="CH19" ca="1">IFERROR(INDIRECT("Yr"&amp;IF($C$5=Year1,1,IF($C$5=Year2,2,IF($C$5=Year3,3,IF($C$5=Lookups!$D$40,"All"))))&amp;"!"&amp;CH$71&amp;$DE19)*100,0)</f>
        <v>0.7025061323660643</v>
      </c>
      <c r="CI19" s="151" cm="1">
        <f t="array" aca="1" ref="CI19" ca="1">IFERROR(INDIRECT("Yr"&amp;IF($C$5=Year1,1,IF($C$5=Year2,2,IF($C$5=Year3,3,IF($C$5=Lookups!$D$40,"All"))))&amp;"!"&amp;CI$71&amp;$DE19)*100,0)</f>
        <v>0.7025061323660643</v>
      </c>
      <c r="CJ19" s="151" cm="1">
        <f t="array" aca="1" ref="CJ19" ca="1">IFERROR(INDIRECT("Yr"&amp;IF($C$5=Year1,1,IF($C$5=Year2,2,IF($C$5=Year3,3,IF($C$5=Lookups!$D$40,"All"))))&amp;"!"&amp;CJ$71&amp;$DE19)*100,0)</f>
        <v>0.7025061323660643</v>
      </c>
      <c r="CK19" s="151" cm="1">
        <f t="array" aca="1" ref="CK19" ca="1">IFERROR(INDIRECT("Yr"&amp;IF($C$5=Year1,1,IF($C$5=Year2,2,IF($C$5=Year3,3,IF($C$5=Lookups!$D$40,"All"))))&amp;"!"&amp;CK$71&amp;$DE19)*100,0)</f>
        <v>0.7025061323660643</v>
      </c>
      <c r="CL19" s="151" cm="1">
        <f t="array" aca="1" ref="CL19" ca="1">IFERROR(INDIRECT("Yr"&amp;IF($C$5=Year1,1,IF($C$5=Year2,2,IF($C$5=Year3,3,IF($C$5=Lookups!$D$40,"All"))))&amp;"!"&amp;CL$71&amp;$DE19)*100,0)</f>
        <v>0.7025061323660643</v>
      </c>
      <c r="CM19" s="151" cm="1">
        <f t="array" aca="1" ref="CM19" ca="1">IFERROR(INDIRECT("Yr"&amp;IF($C$5=Year1,1,IF($C$5=Year2,2,IF($C$5=Year3,3,IF($C$5=Lookups!$D$40,"All"))))&amp;"!"&amp;CM$71&amp;$DE19)*100,0)</f>
        <v>0.63216046562615202</v>
      </c>
      <c r="CN19" s="151" cm="1">
        <f t="array" aca="1" ref="CN19" ca="1">IFERROR(INDIRECT("Yr"&amp;IF($C$5=Year1,1,IF($C$5=Year2,2,IF($C$5=Year3,3,IF($C$5=Lookups!$D$40,"All"))))&amp;"!"&amp;CN$71&amp;$DE19)*100,0)</f>
        <v>0.57210699215510574</v>
      </c>
      <c r="CO19" s="151" cm="1">
        <f t="array" aca="1" ref="CO19" ca="1">IFERROR(INDIRECT("Yr"&amp;IF($C$5=Year1,1,IF($C$5=Year2,2,IF($C$5=Year3,3,IF($C$5=Lookups!$D$40,"All"))))&amp;"!"&amp;CO$71&amp;$DE19)*100,0)</f>
        <v>0.52000000000000035</v>
      </c>
      <c r="CP19" s="151" cm="1">
        <f t="array" aca="1" ref="CP19" ca="1">IFERROR(INDIRECT("Yr"&amp;IF($C$5=Year1,1,IF($C$5=Year2,2,IF($C$5=Year3,3,IF($C$5=Lookups!$D$40,"All"))))&amp;"!"&amp;CP$71&amp;$DE19)*100,0)</f>
        <v>0.52000000000000035</v>
      </c>
      <c r="CQ19" s="151" cm="1">
        <f t="array" aca="1" ref="CQ19" ca="1">IFERROR(INDIRECT("Yr"&amp;IF($C$5=Year1,1,IF($C$5=Year2,2,IF($C$5=Year3,3,IF($C$5=Lookups!$D$40,"All"))))&amp;"!"&amp;CQ$71&amp;$DE19)*100,0)</f>
        <v>0.52000000000000035</v>
      </c>
      <c r="CR19" s="151" cm="1">
        <f t="array" aca="1" ref="CR19" ca="1">IFERROR(INDIRECT("Yr"&amp;IF($C$5=Year1,1,IF($C$5=Year2,2,IF($C$5=Year3,3,IF($C$5=Lookups!$D$40,"All"))))&amp;"!"&amp;CR$71&amp;$DE19)*100,0)</f>
        <v>0.52000000000000035</v>
      </c>
      <c r="CS19" s="151" cm="1">
        <f t="array" aca="1" ref="CS19" ca="1">IFERROR(INDIRECT("Yr"&amp;IF($C$5=Year1,1,IF($C$5=Year2,2,IF($C$5=Year3,3,IF($C$5=Lookups!$D$40,"All"))))&amp;"!"&amp;CS$71&amp;$DE19)*100,0)</f>
        <v>0.52000000000000035</v>
      </c>
      <c r="CT19" s="151" cm="1">
        <f t="array" aca="1" ref="CT19" ca="1">IFERROR(INDIRECT("Yr"&amp;IF($C$5=Year1,1,IF($C$5=Year2,2,IF($C$5=Year3,3,IF($C$5=Lookups!$D$40,"All"))))&amp;"!"&amp;CT$71&amp;$DE19)*100,0)</f>
        <v>0.52000000000000035</v>
      </c>
      <c r="CU19" s="151" cm="1">
        <f t="array" aca="1" ref="CU19" ca="1">IFERROR(INDIRECT("Yr"&amp;IF($C$5=Year1,1,IF($C$5=Year2,2,IF($C$5=Year3,3,IF($C$5=Lookups!$D$40,"All"))))&amp;"!"&amp;CU$71&amp;$DE19)*100,0)</f>
        <v>0.52000000000000035</v>
      </c>
      <c r="CV19" s="151" cm="1">
        <f t="array" aca="1" ref="CV19" ca="1">IFERROR(INDIRECT("Yr"&amp;IF($C$5=Year1,1,IF($C$5=Year2,2,IF($C$5=Year3,3,IF($C$5=Lookups!$D$40,"All"))))&amp;"!"&amp;CV$71&amp;$DE19)*100,0)</f>
        <v>0.52000000000000035</v>
      </c>
      <c r="CW19" s="151" cm="1">
        <f t="array" aca="1" ref="CW19" ca="1">IFERROR(INDIRECT("Yr"&amp;IF($C$5=Year1,1,IF($C$5=Year2,2,IF($C$5=Year3,3,IF($C$5=Lookups!$D$40,"All"))))&amp;"!"&amp;CW$71&amp;$DE19)*100,0)</f>
        <v>0.52000000000000035</v>
      </c>
      <c r="CX19" s="151" cm="1">
        <f t="array" aca="1" ref="CX19" ca="1">IFERROR(INDIRECT("Yr"&amp;IF($C$5=Year1,1,IF($C$5=Year2,2,IF($C$5=Year3,3,IF($C$5=Lookups!$D$40,"All"))))&amp;"!"&amp;CX$71&amp;$DE19)*100,0)</f>
        <v>0.52000000000000035</v>
      </c>
      <c r="CY19" s="151" cm="1">
        <f t="array" aca="1" ref="CY19" ca="1">IFERROR(INDIRECT("Yr"&amp;IF($C$5=Year1,1,IF($C$5=Year2,2,IF($C$5=Year3,3,IF($C$5=Lookups!$D$40,"All"))))&amp;"!"&amp;CY$71&amp;$DE19)*100,0)</f>
        <v>0.52000000000000035</v>
      </c>
      <c r="CZ19" s="151" cm="1">
        <f t="array" aca="1" ref="CZ19" ca="1">IFERROR(INDIRECT("Yr"&amp;IF($C$5=Year1,1,IF($C$5=Year2,2,IF($C$5=Year3,3,IF($C$5=Lookups!$D$40,"All"))))&amp;"!"&amp;CZ$71&amp;$DE19)*100,0)</f>
        <v>0.52000000000000035</v>
      </c>
      <c r="DA19" s="151"/>
      <c r="DB19" s="151">
        <f ca="1">IF($C$5=Lookups!$D$40,-PMT(Lookups!$E$17,27,NPV(Lookups!$E$17,BZ19:CZ19),0,1),-PMT(Lookups!$E$17,25,NPV(Lookups!$E$17,BZ19:CX19),0,1))</f>
        <v>0.6046197391103314</v>
      </c>
      <c r="DE19" s="516">
        <f t="shared" ref="DE19:DE21" si="2">DE18+DF19</f>
        <v>290</v>
      </c>
      <c r="DF19" s="529">
        <f>DF11</f>
        <v>1</v>
      </c>
      <c r="DI19" s="419"/>
    </row>
    <row r="20" spans="3:116" x14ac:dyDescent="0.25">
      <c r="BV20" s="343"/>
      <c r="BW20" s="345"/>
      <c r="BX20" s="126" t="s">
        <v>197</v>
      </c>
      <c r="BY20" s="126" t="s">
        <v>409</v>
      </c>
      <c r="BZ20" s="151" cm="1">
        <f t="array" aca="1" ref="BZ20" ca="1">IFERROR(INDIRECT("Yr"&amp;IF($C$5=Year1,1,IF($C$5=Year2,2,IF($C$5=Year3,3,IF($C$5=Lookups!$D$40,"All"))))&amp;"!"&amp;BZ$71&amp;$DE20)*100,0)</f>
        <v>61.593283789457608</v>
      </c>
      <c r="CA20" s="151" cm="1">
        <f t="array" aca="1" ref="CA20" ca="1">IFERROR(INDIRECT("Yr"&amp;IF($C$5=Year1,1,IF($C$5=Year2,2,IF($C$5=Year3,3,IF($C$5=Lookups!$D$40,"All"))))&amp;"!"&amp;CA$71&amp;$DE20)*100,0)</f>
        <v>61.20625647813317</v>
      </c>
      <c r="CB20" s="151" cm="1">
        <f t="array" aca="1" ref="CB20" ca="1">IFERROR(INDIRECT("Yr"&amp;IF($C$5=Year1,1,IF($C$5=Year2,2,IF($C$5=Year3,3,IF($C$5=Lookups!$D$40,"All"))))&amp;"!"&amp;CB$71&amp;$DE20)*100,0)</f>
        <v>60.701706329622155</v>
      </c>
      <c r="CC20" s="151" cm="1">
        <f t="array" aca="1" ref="CC20" ca="1">IFERROR(INDIRECT("Yr"&amp;IF($C$5=Year1,1,IF($C$5=Year2,2,IF($C$5=Year3,3,IF($C$5=Lookups!$D$40,"All"))))&amp;"!"&amp;CC$71&amp;$DE20)*100,0)</f>
        <v>60.701706329622155</v>
      </c>
      <c r="CD20" s="151" cm="1">
        <f t="array" aca="1" ref="CD20" ca="1">IFERROR(INDIRECT("Yr"&amp;IF($C$5=Year1,1,IF($C$5=Year2,2,IF($C$5=Year3,3,IF($C$5=Lookups!$D$40,"All"))))&amp;"!"&amp;CD$71&amp;$DE20)*100,0)</f>
        <v>60.701706329622155</v>
      </c>
      <c r="CE20" s="151" cm="1">
        <f t="array" aca="1" ref="CE20" ca="1">IFERROR(INDIRECT("Yr"&amp;IF($C$5=Year1,1,IF($C$5=Year2,2,IF($C$5=Year3,3,IF($C$5=Lookups!$D$40,"All"))))&amp;"!"&amp;CE$71&amp;$DE20)*100,0)</f>
        <v>60.701706329622155</v>
      </c>
      <c r="CF20" s="151" cm="1">
        <f t="array" aca="1" ref="CF20" ca="1">IFERROR(INDIRECT("Yr"&amp;IF($C$5=Year1,1,IF($C$5=Year2,2,IF($C$5=Year3,3,IF($C$5=Lookups!$D$40,"All"))))&amp;"!"&amp;CF$71&amp;$DE20)*100,0)</f>
        <v>60.701706329622155</v>
      </c>
      <c r="CG20" s="151" cm="1">
        <f t="array" aca="1" ref="CG20" ca="1">IFERROR(INDIRECT("Yr"&amp;IF($C$5=Year1,1,IF($C$5=Year2,2,IF($C$5=Year3,3,IF($C$5=Lookups!$D$40,"All"))))&amp;"!"&amp;CG$71&amp;$DE20)*100,0)</f>
        <v>60.701706329622155</v>
      </c>
      <c r="CH20" s="151" cm="1">
        <f t="array" aca="1" ref="CH20" ca="1">IFERROR(INDIRECT("Yr"&amp;IF($C$5=Year1,1,IF($C$5=Year2,2,IF($C$5=Year3,3,IF($C$5=Lookups!$D$40,"All"))))&amp;"!"&amp;CH$71&amp;$DE20)*100,0)</f>
        <v>60.701706329622155</v>
      </c>
      <c r="CI20" s="151" cm="1">
        <f t="array" aca="1" ref="CI20" ca="1">IFERROR(INDIRECT("Yr"&amp;IF($C$5=Year1,1,IF($C$5=Year2,2,IF($C$5=Year3,3,IF($C$5=Lookups!$D$40,"All"))))&amp;"!"&amp;CI$71&amp;$DE20)*100,0)</f>
        <v>60.701706329622155</v>
      </c>
      <c r="CJ20" s="151" cm="1">
        <f t="array" aca="1" ref="CJ20" ca="1">IFERROR(INDIRECT("Yr"&amp;IF($C$5=Year1,1,IF($C$5=Year2,2,IF($C$5=Year3,3,IF($C$5=Lookups!$D$40,"All"))))&amp;"!"&amp;CJ$71&amp;$DE20)*100,0)</f>
        <v>60.701706329622155</v>
      </c>
      <c r="CK20" s="151" cm="1">
        <f t="array" aca="1" ref="CK20" ca="1">IFERROR(INDIRECT("Yr"&amp;IF($C$5=Year1,1,IF($C$5=Year2,2,IF($C$5=Year3,3,IF($C$5=Lookups!$D$40,"All"))))&amp;"!"&amp;CK$71&amp;$DE20)*100,0)</f>
        <v>60.701706329622155</v>
      </c>
      <c r="CL20" s="151" cm="1">
        <f t="array" aca="1" ref="CL20" ca="1">IFERROR(INDIRECT("Yr"&amp;IF($C$5=Year1,1,IF($C$5=Year2,2,IF($C$5=Year3,3,IF($C$5=Lookups!$D$40,"All"))))&amp;"!"&amp;CL$71&amp;$DE20)*100,0)</f>
        <v>60.701706329622155</v>
      </c>
      <c r="CM20" s="151" cm="1">
        <f t="array" aca="1" ref="CM20" ca="1">IFERROR(INDIRECT("Yr"&amp;IF($C$5=Year1,1,IF($C$5=Year2,2,IF($C$5=Year3,3,IF($C$5=Lookups!$D$40,"All"))))&amp;"!"&amp;CM$71&amp;$DE20)*100,0)</f>
        <v>61.163857524095476</v>
      </c>
      <c r="CN20" s="151" cm="1">
        <f t="array" aca="1" ref="CN20" ca="1">IFERROR(INDIRECT("Yr"&amp;IF($C$5=Year1,1,IF($C$5=Year2,2,IF($C$5=Year3,3,IF($C$5=Lookups!$D$40,"All"))))&amp;"!"&amp;CN$71&amp;$DE20)*100,0)</f>
        <v>61.558621508316158</v>
      </c>
      <c r="CO20" s="151" cm="1">
        <f t="array" aca="1" ref="CO20" ca="1">IFERROR(INDIRECT("Yr"&amp;IF($C$5=Year1,1,IF($C$5=Year2,2,IF($C$5=Year3,3,IF($C$5=Lookups!$D$40,"All"))))&amp;"!"&amp;CO$71&amp;$DE20)*100,0)</f>
        <v>61.9</v>
      </c>
      <c r="CP20" s="151" cm="1">
        <f t="array" aca="1" ref="CP20" ca="1">IFERROR(INDIRECT("Yr"&amp;IF($C$5=Year1,1,IF($C$5=Year2,2,IF($C$5=Year3,3,IF($C$5=Lookups!$D$40,"All"))))&amp;"!"&amp;CP$71&amp;$DE20)*100,0)</f>
        <v>61.9</v>
      </c>
      <c r="CQ20" s="151" cm="1">
        <f t="array" aca="1" ref="CQ20" ca="1">IFERROR(INDIRECT("Yr"&amp;IF($C$5=Year1,1,IF($C$5=Year2,2,IF($C$5=Year3,3,IF($C$5=Lookups!$D$40,"All"))))&amp;"!"&amp;CQ$71&amp;$DE20)*100,0)</f>
        <v>61.9</v>
      </c>
      <c r="CR20" s="151" cm="1">
        <f t="array" aca="1" ref="CR20" ca="1">IFERROR(INDIRECT("Yr"&amp;IF($C$5=Year1,1,IF($C$5=Year2,2,IF($C$5=Year3,3,IF($C$5=Lookups!$D$40,"All"))))&amp;"!"&amp;CR$71&amp;$DE20)*100,0)</f>
        <v>61.9</v>
      </c>
      <c r="CS20" s="151" cm="1">
        <f t="array" aca="1" ref="CS20" ca="1">IFERROR(INDIRECT("Yr"&amp;IF($C$5=Year1,1,IF($C$5=Year2,2,IF($C$5=Year3,3,IF($C$5=Lookups!$D$40,"All"))))&amp;"!"&amp;CS$71&amp;$DE20)*100,0)</f>
        <v>61.9</v>
      </c>
      <c r="CT20" s="151" cm="1">
        <f t="array" aca="1" ref="CT20" ca="1">IFERROR(INDIRECT("Yr"&amp;IF($C$5=Year1,1,IF($C$5=Year2,2,IF($C$5=Year3,3,IF($C$5=Lookups!$D$40,"All"))))&amp;"!"&amp;CT$71&amp;$DE20)*100,0)</f>
        <v>61.9</v>
      </c>
      <c r="CU20" s="151" cm="1">
        <f t="array" aca="1" ref="CU20" ca="1">IFERROR(INDIRECT("Yr"&amp;IF($C$5=Year1,1,IF($C$5=Year2,2,IF($C$5=Year3,3,IF($C$5=Lookups!$D$40,"All"))))&amp;"!"&amp;CU$71&amp;$DE20)*100,0)</f>
        <v>61.9</v>
      </c>
      <c r="CV20" s="151" cm="1">
        <f t="array" aca="1" ref="CV20" ca="1">IFERROR(INDIRECT("Yr"&amp;IF($C$5=Year1,1,IF($C$5=Year2,2,IF($C$5=Year3,3,IF($C$5=Lookups!$D$40,"All"))))&amp;"!"&amp;CV$71&amp;$DE20)*100,0)</f>
        <v>61.9</v>
      </c>
      <c r="CW20" s="151" cm="1">
        <f t="array" aca="1" ref="CW20" ca="1">IFERROR(INDIRECT("Yr"&amp;IF($C$5=Year1,1,IF($C$5=Year2,2,IF($C$5=Year3,3,IF($C$5=Lookups!$D$40,"All"))))&amp;"!"&amp;CW$71&amp;$DE20)*100,0)</f>
        <v>61.9</v>
      </c>
      <c r="CX20" s="151" cm="1">
        <f t="array" aca="1" ref="CX20" ca="1">IFERROR(INDIRECT("Yr"&amp;IF($C$5=Year1,1,IF($C$5=Year2,2,IF($C$5=Year3,3,IF($C$5=Lookups!$D$40,"All"))))&amp;"!"&amp;CX$71&amp;$DE20)*100,0)</f>
        <v>61.9</v>
      </c>
      <c r="CY20" s="151" cm="1">
        <f t="array" aca="1" ref="CY20" ca="1">IFERROR(INDIRECT("Yr"&amp;IF($C$5=Year1,1,IF($C$5=Year2,2,IF($C$5=Year3,3,IF($C$5=Lookups!$D$40,"All"))))&amp;"!"&amp;CY$71&amp;$DE20)*100,0)</f>
        <v>61.9</v>
      </c>
      <c r="CZ20" s="151" cm="1">
        <f t="array" aca="1" ref="CZ20" ca="1">IFERROR(INDIRECT("Yr"&amp;IF($C$5=Year1,1,IF($C$5=Year2,2,IF($C$5=Year3,3,IF($C$5=Lookups!$D$40,"All"))))&amp;"!"&amp;CZ$71&amp;$DE20)*100,0)</f>
        <v>61.9</v>
      </c>
      <c r="DA20" s="151"/>
      <c r="DB20" s="151">
        <f ca="1">IF($C$5=Lookups!$D$40,-PMT(Lookups!$E$17,27,NPV(Lookups!$E$17,BZ20:CZ20),0,1),-PMT(Lookups!$E$17,25,NPV(Lookups!$E$17,BZ20:CX20),0,1))</f>
        <v>60.433477377001005</v>
      </c>
      <c r="DE20" s="516">
        <f t="shared" si="2"/>
        <v>291</v>
      </c>
      <c r="DF20" s="526">
        <v>1</v>
      </c>
      <c r="DI20" s="419"/>
    </row>
    <row r="21" spans="3:116" x14ac:dyDescent="0.25">
      <c r="BV21" s="343"/>
      <c r="BW21" s="345"/>
      <c r="BX21" s="126" t="s">
        <v>405</v>
      </c>
      <c r="BY21" s="126" t="s">
        <v>409</v>
      </c>
      <c r="BZ21" s="151" cm="1">
        <f t="array" aca="1" ref="BZ21" ca="1">IFERROR(INDIRECT("Yr"&amp;IF($C$5=Year1,1,IF($C$5=Year2,2,IF($C$5=Year3,3,IF($C$5=Lookups!$D$40,"All"))))&amp;"!"&amp;BZ$71&amp;$DE21)*100,0)</f>
        <v>14.245258051119242</v>
      </c>
      <c r="CA21" s="151" cm="1">
        <f t="array" aca="1" ref="CA21" ca="1">IFERROR(INDIRECT("Yr"&amp;IF($C$5=Year1,1,IF($C$5=Year2,2,IF($C$5=Year3,3,IF($C$5=Lookups!$D$40,"All"))))&amp;"!"&amp;CA$71&amp;$DE21)*100,0)</f>
        <v>14.926911562058558</v>
      </c>
      <c r="CB21" s="151" cm="1">
        <f t="array" aca="1" ref="CB21" ca="1">IFERROR(INDIRECT("Yr"&amp;IF($C$5=Year1,1,IF($C$5=Year2,2,IF($C$5=Year3,3,IF($C$5=Lookups!$D$40,"All"))))&amp;"!"&amp;CB$71&amp;$DE21)*100,0)</f>
        <v>15.875101082198512</v>
      </c>
      <c r="CC21" s="151" cm="1">
        <f t="array" aca="1" ref="CC21" ca="1">IFERROR(INDIRECT("Yr"&amp;IF($C$5=Year1,1,IF($C$5=Year2,2,IF($C$5=Year3,3,IF($C$5=Lookups!$D$40,"All"))))&amp;"!"&amp;CC$71&amp;$DE21)*100,0)</f>
        <v>0</v>
      </c>
      <c r="CD21" s="151" cm="1">
        <f t="array" aca="1" ref="CD21" ca="1">IFERROR(INDIRECT("Yr"&amp;IF($C$5=Year1,1,IF($C$5=Year2,2,IF($C$5=Year3,3,IF($C$5=Lookups!$D$40,"All"))))&amp;"!"&amp;CD$71&amp;$DE21)*100,0)</f>
        <v>0</v>
      </c>
      <c r="CE21" s="151" cm="1">
        <f t="array" aca="1" ref="CE21" ca="1">IFERROR(INDIRECT("Yr"&amp;IF($C$5=Year1,1,IF($C$5=Year2,2,IF($C$5=Year3,3,IF($C$5=Lookups!$D$40,"All"))))&amp;"!"&amp;CE$71&amp;$DE21)*100,0)</f>
        <v>0</v>
      </c>
      <c r="CF21" s="151" cm="1">
        <f t="array" aca="1" ref="CF21" ca="1">IFERROR(INDIRECT("Yr"&amp;IF($C$5=Year1,1,IF($C$5=Year2,2,IF($C$5=Year3,3,IF($C$5=Lookups!$D$40,"All"))))&amp;"!"&amp;CF$71&amp;$DE21)*100,0)</f>
        <v>0</v>
      </c>
      <c r="CG21" s="151" cm="1">
        <f t="array" aca="1" ref="CG21" ca="1">IFERROR(INDIRECT("Yr"&amp;IF($C$5=Year1,1,IF($C$5=Year2,2,IF($C$5=Year3,3,IF($C$5=Lookups!$D$40,"All"))))&amp;"!"&amp;CG$71&amp;$DE21)*100,0)</f>
        <v>0</v>
      </c>
      <c r="CH21" s="151" cm="1">
        <f t="array" aca="1" ref="CH21" ca="1">IFERROR(INDIRECT("Yr"&amp;IF($C$5=Year1,1,IF($C$5=Year2,2,IF($C$5=Year3,3,IF($C$5=Lookups!$D$40,"All"))))&amp;"!"&amp;CH$71&amp;$DE21)*100,0)</f>
        <v>0</v>
      </c>
      <c r="CI21" s="151" cm="1">
        <f t="array" aca="1" ref="CI21" ca="1">IFERROR(INDIRECT("Yr"&amp;IF($C$5=Year1,1,IF($C$5=Year2,2,IF($C$5=Year3,3,IF($C$5=Lookups!$D$40,"All"))))&amp;"!"&amp;CI$71&amp;$DE21)*100,0)</f>
        <v>0</v>
      </c>
      <c r="CJ21" s="151" cm="1">
        <f t="array" aca="1" ref="CJ21" ca="1">IFERROR(INDIRECT("Yr"&amp;IF($C$5=Year1,1,IF($C$5=Year2,2,IF($C$5=Year3,3,IF($C$5=Lookups!$D$40,"All"))))&amp;"!"&amp;CJ$71&amp;$DE21)*100,0)</f>
        <v>0</v>
      </c>
      <c r="CK21" s="151" cm="1">
        <f t="array" aca="1" ref="CK21" ca="1">IFERROR(INDIRECT("Yr"&amp;IF($C$5=Year1,1,IF($C$5=Year2,2,IF($C$5=Year3,3,IF($C$5=Lookups!$D$40,"All"))))&amp;"!"&amp;CK$71&amp;$DE21)*100,0)</f>
        <v>0</v>
      </c>
      <c r="CL21" s="151" cm="1">
        <f t="array" aca="1" ref="CL21" ca="1">IFERROR(INDIRECT("Yr"&amp;IF($C$5=Year1,1,IF($C$5=Year2,2,IF($C$5=Year3,3,IF($C$5=Lookups!$D$40,"All"))))&amp;"!"&amp;CL$71&amp;$DE21)*100,0)</f>
        <v>0</v>
      </c>
      <c r="CM21" s="151" cm="1">
        <f t="array" aca="1" ref="CM21" ca="1">IFERROR(INDIRECT("Yr"&amp;IF($C$5=Year1,1,IF($C$5=Year2,2,IF($C$5=Year3,3,IF($C$5=Lookups!$D$40,"All"))))&amp;"!"&amp;CM$71&amp;$DE21)*100,0)</f>
        <v>0</v>
      </c>
      <c r="CN21" s="151" cm="1">
        <f t="array" aca="1" ref="CN21" ca="1">IFERROR(INDIRECT("Yr"&amp;IF($C$5=Year1,1,IF($C$5=Year2,2,IF($C$5=Year3,3,IF($C$5=Lookups!$D$40,"All"))))&amp;"!"&amp;CN$71&amp;$DE21)*100,0)</f>
        <v>0</v>
      </c>
      <c r="CO21" s="151" cm="1">
        <f t="array" aca="1" ref="CO21" ca="1">IFERROR(INDIRECT("Yr"&amp;IF($C$5=Year1,1,IF($C$5=Year2,2,IF($C$5=Year3,3,IF($C$5=Lookups!$D$40,"All"))))&amp;"!"&amp;CO$71&amp;$DE21)*100,0)</f>
        <v>0</v>
      </c>
      <c r="CP21" s="151" cm="1">
        <f t="array" aca="1" ref="CP21" ca="1">IFERROR(INDIRECT("Yr"&amp;IF($C$5=Year1,1,IF($C$5=Year2,2,IF($C$5=Year3,3,IF($C$5=Lookups!$D$40,"All"))))&amp;"!"&amp;CP$71&amp;$DE21)*100,0)</f>
        <v>0</v>
      </c>
      <c r="CQ21" s="151" cm="1">
        <f t="array" aca="1" ref="CQ21" ca="1">IFERROR(INDIRECT("Yr"&amp;IF($C$5=Year1,1,IF($C$5=Year2,2,IF($C$5=Year3,3,IF($C$5=Lookups!$D$40,"All"))))&amp;"!"&amp;CQ$71&amp;$DE21)*100,0)</f>
        <v>0</v>
      </c>
      <c r="CR21" s="151" cm="1">
        <f t="array" aca="1" ref="CR21" ca="1">IFERROR(INDIRECT("Yr"&amp;IF($C$5=Year1,1,IF($C$5=Year2,2,IF($C$5=Year3,3,IF($C$5=Lookups!$D$40,"All"))))&amp;"!"&amp;CR$71&amp;$DE21)*100,0)</f>
        <v>0</v>
      </c>
      <c r="CS21" s="151" cm="1">
        <f t="array" aca="1" ref="CS21" ca="1">IFERROR(INDIRECT("Yr"&amp;IF($C$5=Year1,1,IF($C$5=Year2,2,IF($C$5=Year3,3,IF($C$5=Lookups!$D$40,"All"))))&amp;"!"&amp;CS$71&amp;$DE21)*100,0)</f>
        <v>0</v>
      </c>
      <c r="CT21" s="151" cm="1">
        <f t="array" aca="1" ref="CT21" ca="1">IFERROR(INDIRECT("Yr"&amp;IF($C$5=Year1,1,IF($C$5=Year2,2,IF($C$5=Year3,3,IF($C$5=Lookups!$D$40,"All"))))&amp;"!"&amp;CT$71&amp;$DE21)*100,0)</f>
        <v>0</v>
      </c>
      <c r="CU21" s="151" cm="1">
        <f t="array" aca="1" ref="CU21" ca="1">IFERROR(INDIRECT("Yr"&amp;IF($C$5=Year1,1,IF($C$5=Year2,2,IF($C$5=Year3,3,IF($C$5=Lookups!$D$40,"All"))))&amp;"!"&amp;CU$71&amp;$DE21)*100,0)</f>
        <v>0</v>
      </c>
      <c r="CV21" s="151" cm="1">
        <f t="array" aca="1" ref="CV21" ca="1">IFERROR(INDIRECT("Yr"&amp;IF($C$5=Year1,1,IF($C$5=Year2,2,IF($C$5=Year3,3,IF($C$5=Lookups!$D$40,"All"))))&amp;"!"&amp;CV$71&amp;$DE21)*100,0)</f>
        <v>0</v>
      </c>
      <c r="CW21" s="151" cm="1">
        <f t="array" aca="1" ref="CW21" ca="1">IFERROR(INDIRECT("Yr"&amp;IF($C$5=Year1,1,IF($C$5=Year2,2,IF($C$5=Year3,3,IF($C$5=Lookups!$D$40,"All"))))&amp;"!"&amp;CW$71&amp;$DE21)*100,0)</f>
        <v>0</v>
      </c>
      <c r="CX21" s="151" cm="1">
        <f t="array" aca="1" ref="CX21" ca="1">IFERROR(INDIRECT("Yr"&amp;IF($C$5=Year1,1,IF($C$5=Year2,2,IF($C$5=Year3,3,IF($C$5=Lookups!$D$40,"All"))))&amp;"!"&amp;CX$71&amp;$DE21)*100,0)</f>
        <v>0</v>
      </c>
      <c r="CY21" s="151" cm="1">
        <f t="array" aca="1" ref="CY21" ca="1">IFERROR(INDIRECT("Yr"&amp;IF($C$5=Year1,1,IF($C$5=Year2,2,IF($C$5=Year3,3,IF($C$5=Lookups!$D$40,"All"))))&amp;"!"&amp;CY$71&amp;$DE21)*100,0)</f>
        <v>0</v>
      </c>
      <c r="CZ21" s="151" cm="1">
        <f t="array" aca="1" ref="CZ21" ca="1">IFERROR(INDIRECT("Yr"&amp;IF($C$5=Year1,1,IF($C$5=Year2,2,IF($C$5=Year3,3,IF($C$5=Lookups!$D$40,"All"))))&amp;"!"&amp;CZ$71&amp;$DE21)*100,0)</f>
        <v>0</v>
      </c>
      <c r="DA21" s="151"/>
      <c r="DB21" s="151">
        <f ca="1">IF($C$5=Lookups!$D$40,-PMT(Lookups!$E$17,27,NPV(Lookups!$E$17,BZ21:CZ21),0,1),-PMT(Lookups!$E$17,25,NPV(Lookups!$E$17,BZ21:CX21),0,1))</f>
        <v>1.9346970547807747</v>
      </c>
      <c r="DE21" s="516">
        <f t="shared" si="2"/>
        <v>292</v>
      </c>
      <c r="DF21" s="526">
        <v>1</v>
      </c>
      <c r="DI21" s="419"/>
    </row>
    <row r="22" spans="3:116" x14ac:dyDescent="0.25">
      <c r="BV22" s="343"/>
      <c r="BW22" s="159" t="s">
        <v>72</v>
      </c>
      <c r="BX22" s="126"/>
      <c r="BY22" s="126"/>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E22" s="527"/>
    </row>
    <row r="23" spans="3:116" ht="18.75" x14ac:dyDescent="0.3">
      <c r="C23" s="92" t="str">
        <f>"Total Rates: "&amp;Lookups!$D$24</f>
        <v>Total Rates: Alternative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K23" s="92" t="str">
        <f>"Change in Rates: "&amp;Lookups!$D$24&amp;" v "&amp;Lookups!$D$22</f>
        <v>Change in Rates: 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V23" s="343"/>
      <c r="BW23" s="345"/>
      <c r="BX23" s="155" t="s">
        <v>224</v>
      </c>
      <c r="BY23" s="126" t="s">
        <v>409</v>
      </c>
      <c r="BZ23" s="151" cm="1">
        <f t="array" aca="1" ref="BZ23" ca="1">IFERROR(INDIRECT("Yr"&amp;IF($C$5=Year1,1,IF($C$5=Year2,2,IF($C$5=Year3,3,IF($C$5=Lookups!$D$40,"All"))))&amp;"!"&amp;BZ$71&amp;$DE23)*100,0)</f>
        <v>-5.6628341413653001</v>
      </c>
      <c r="CA23" s="151" cm="1">
        <f t="array" aca="1" ref="CA23" ca="1">IFERROR(INDIRECT("Yr"&amp;IF($C$5=Year1,1,IF($C$5=Year2,2,IF($C$5=Year3,3,IF($C$5=Lookups!$D$40,"All"))))&amp;"!"&amp;CA$71&amp;$DE23)*100,0)</f>
        <v>-12.804217294327838</v>
      </c>
      <c r="CB23" s="151" cm="1">
        <f t="array" aca="1" ref="CB23" ca="1">IFERROR(INDIRECT("Yr"&amp;IF($C$5=Year1,1,IF($C$5=Year2,2,IF($C$5=Year3,3,IF($C$5=Lookups!$D$40,"All"))))&amp;"!"&amp;CB$71&amp;$DE23)*100,0)</f>
        <v>-22.140372478604235</v>
      </c>
      <c r="CC23" s="151" cm="1">
        <f t="array" aca="1" ref="CC23" ca="1">IFERROR(INDIRECT("Yr"&amp;IF($C$5=Year1,1,IF($C$5=Year2,2,IF($C$5=Year3,3,IF($C$5=Lookups!$D$40,"All"))))&amp;"!"&amp;CC$71&amp;$DE23)*100,0)</f>
        <v>-22.140372478604235</v>
      </c>
      <c r="CD23" s="151" cm="1">
        <f t="array" aca="1" ref="CD23" ca="1">IFERROR(INDIRECT("Yr"&amp;IF($C$5=Year1,1,IF($C$5=Year2,2,IF($C$5=Year3,3,IF($C$5=Lookups!$D$40,"All"))))&amp;"!"&amp;CD$71&amp;$DE23)*100,0)</f>
        <v>-22.140372478604235</v>
      </c>
      <c r="CE23" s="151" cm="1">
        <f t="array" aca="1" ref="CE23" ca="1">IFERROR(INDIRECT("Yr"&amp;IF($C$5=Year1,1,IF($C$5=Year2,2,IF($C$5=Year3,3,IF($C$5=Lookups!$D$40,"All"))))&amp;"!"&amp;CE$71&amp;$DE23)*100,0)</f>
        <v>-22.140372478604235</v>
      </c>
      <c r="CF23" s="151" cm="1">
        <f t="array" aca="1" ref="CF23" ca="1">IFERROR(INDIRECT("Yr"&amp;IF($C$5=Year1,1,IF($C$5=Year2,2,IF($C$5=Year3,3,IF($C$5=Lookups!$D$40,"All"))))&amp;"!"&amp;CF$71&amp;$DE23)*100,0)</f>
        <v>-22.140372478604235</v>
      </c>
      <c r="CG23" s="151" cm="1">
        <f t="array" aca="1" ref="CG23" ca="1">IFERROR(INDIRECT("Yr"&amp;IF($C$5=Year1,1,IF($C$5=Year2,2,IF($C$5=Year3,3,IF($C$5=Lookups!$D$40,"All"))))&amp;"!"&amp;CG$71&amp;$DE23)*100,0)</f>
        <v>-22.140372478604235</v>
      </c>
      <c r="CH23" s="151" cm="1">
        <f t="array" aca="1" ref="CH23" ca="1">IFERROR(INDIRECT("Yr"&amp;IF($C$5=Year1,1,IF($C$5=Year2,2,IF($C$5=Year3,3,IF($C$5=Lookups!$D$40,"All"))))&amp;"!"&amp;CH$71&amp;$DE23)*100,0)</f>
        <v>-22.140372478604235</v>
      </c>
      <c r="CI23" s="151" cm="1">
        <f t="array" aca="1" ref="CI23" ca="1">IFERROR(INDIRECT("Yr"&amp;IF($C$5=Year1,1,IF($C$5=Year2,2,IF($C$5=Year3,3,IF($C$5=Lookups!$D$40,"All"))))&amp;"!"&amp;CI$71&amp;$DE23)*100,0)</f>
        <v>-22.140372478604235</v>
      </c>
      <c r="CJ23" s="151" cm="1">
        <f t="array" aca="1" ref="CJ23" ca="1">IFERROR(INDIRECT("Yr"&amp;IF($C$5=Year1,1,IF($C$5=Year2,2,IF($C$5=Year3,3,IF($C$5=Lookups!$D$40,"All"))))&amp;"!"&amp;CJ$71&amp;$DE23)*100,0)</f>
        <v>-22.140372478604235</v>
      </c>
      <c r="CK23" s="151" cm="1">
        <f t="array" aca="1" ref="CK23" ca="1">IFERROR(INDIRECT("Yr"&amp;IF($C$5=Year1,1,IF($C$5=Year2,2,IF($C$5=Year3,3,IF($C$5=Lookups!$D$40,"All"))))&amp;"!"&amp;CK$71&amp;$DE23)*100,0)</f>
        <v>-22.140372478604235</v>
      </c>
      <c r="CL23" s="151" cm="1">
        <f t="array" aca="1" ref="CL23" ca="1">IFERROR(INDIRECT("Yr"&amp;IF($C$5=Year1,1,IF($C$5=Year2,2,IF($C$5=Year3,3,IF($C$5=Lookups!$D$40,"All"))))&amp;"!"&amp;CL$71&amp;$DE23)*100,0)</f>
        <v>-22.140372478604235</v>
      </c>
      <c r="CM23" s="151" cm="1">
        <f t="array" aca="1" ref="CM23" ca="1">IFERROR(INDIRECT("Yr"&amp;IF($C$5=Year1,1,IF($C$5=Year2,2,IF($C$5=Year3,3,IF($C$5=Lookups!$D$40,"All"))))&amp;"!"&amp;CM$71&amp;$DE23)*100,0)</f>
        <v>-13.6061201540917</v>
      </c>
      <c r="CN23" s="151" cm="1">
        <f t="array" aca="1" ref="CN23" ca="1">IFERROR(INDIRECT("Yr"&amp;IF($C$5=Year1,1,IF($C$5=Year2,2,IF($C$5=Year3,3,IF($C$5=Lookups!$D$40,"All"))))&amp;"!"&amp;CN$71&amp;$DE23)*100,0)</f>
        <v>-6.3201224477209941</v>
      </c>
      <c r="CO23" s="151" cm="1">
        <f t="array" aca="1" ref="CO23" ca="1">IFERROR(INDIRECT("Yr"&amp;IF($C$5=Year1,1,IF($C$5=Year2,2,IF($C$5=Year3,3,IF($C$5=Lookups!$D$40,"All"))))&amp;"!"&amp;CO$71&amp;$DE23)*100,0)</f>
        <v>0</v>
      </c>
      <c r="CP23" s="151" cm="1">
        <f t="array" aca="1" ref="CP23" ca="1">IFERROR(INDIRECT("Yr"&amp;IF($C$5=Year1,1,IF($C$5=Year2,2,IF($C$5=Year3,3,IF($C$5=Lookups!$D$40,"All"))))&amp;"!"&amp;CP$71&amp;$DE23)*100,0)</f>
        <v>0</v>
      </c>
      <c r="CQ23" s="151" cm="1">
        <f t="array" aca="1" ref="CQ23" ca="1">IFERROR(INDIRECT("Yr"&amp;IF($C$5=Year1,1,IF($C$5=Year2,2,IF($C$5=Year3,3,IF($C$5=Lookups!$D$40,"All"))))&amp;"!"&amp;CQ$71&amp;$DE23)*100,0)</f>
        <v>0</v>
      </c>
      <c r="CR23" s="151" cm="1">
        <f t="array" aca="1" ref="CR23" ca="1">IFERROR(INDIRECT("Yr"&amp;IF($C$5=Year1,1,IF($C$5=Year2,2,IF($C$5=Year3,3,IF($C$5=Lookups!$D$40,"All"))))&amp;"!"&amp;CR$71&amp;$DE23)*100,0)</f>
        <v>0</v>
      </c>
      <c r="CS23" s="151" cm="1">
        <f t="array" aca="1" ref="CS23" ca="1">IFERROR(INDIRECT("Yr"&amp;IF($C$5=Year1,1,IF($C$5=Year2,2,IF($C$5=Year3,3,IF($C$5=Lookups!$D$40,"All"))))&amp;"!"&amp;CS$71&amp;$DE23)*100,0)</f>
        <v>0</v>
      </c>
      <c r="CT23" s="151" cm="1">
        <f t="array" aca="1" ref="CT23" ca="1">IFERROR(INDIRECT("Yr"&amp;IF($C$5=Year1,1,IF($C$5=Year2,2,IF($C$5=Year3,3,IF($C$5=Lookups!$D$40,"All"))))&amp;"!"&amp;CT$71&amp;$DE23)*100,0)</f>
        <v>0</v>
      </c>
      <c r="CU23" s="151" cm="1">
        <f t="array" aca="1" ref="CU23" ca="1">IFERROR(INDIRECT("Yr"&amp;IF($C$5=Year1,1,IF($C$5=Year2,2,IF($C$5=Year3,3,IF($C$5=Lookups!$D$40,"All"))))&amp;"!"&amp;CU$71&amp;$DE23)*100,0)</f>
        <v>0</v>
      </c>
      <c r="CV23" s="151" cm="1">
        <f t="array" aca="1" ref="CV23" ca="1">IFERROR(INDIRECT("Yr"&amp;IF($C$5=Year1,1,IF($C$5=Year2,2,IF($C$5=Year3,3,IF($C$5=Lookups!$D$40,"All"))))&amp;"!"&amp;CV$71&amp;$DE23)*100,0)</f>
        <v>0</v>
      </c>
      <c r="CW23" s="151" cm="1">
        <f t="array" aca="1" ref="CW23" ca="1">IFERROR(INDIRECT("Yr"&amp;IF($C$5=Year1,1,IF($C$5=Year2,2,IF($C$5=Year3,3,IF($C$5=Lookups!$D$40,"All"))))&amp;"!"&amp;CW$71&amp;$DE23)*100,0)</f>
        <v>0</v>
      </c>
      <c r="CX23" s="151" cm="1">
        <f t="array" aca="1" ref="CX23" ca="1">IFERROR(INDIRECT("Yr"&amp;IF($C$5=Year1,1,IF($C$5=Year2,2,IF($C$5=Year3,3,IF($C$5=Lookups!$D$40,"All"))))&amp;"!"&amp;CX$71&amp;$DE23)*100,0)</f>
        <v>0</v>
      </c>
      <c r="CY23" s="151" cm="1">
        <f t="array" aca="1" ref="CY23" ca="1">IFERROR(INDIRECT("Yr"&amp;IF($C$5=Year1,1,IF($C$5=Year2,2,IF($C$5=Year3,3,IF($C$5=Lookups!$D$40,"All"))))&amp;"!"&amp;CY$71&amp;$DE23)*100,0)</f>
        <v>0</v>
      </c>
      <c r="CZ23" s="151" cm="1">
        <f t="array" aca="1" ref="CZ23" ca="1">IFERROR(INDIRECT("Yr"&amp;IF($C$5=Year1,1,IF($C$5=Year2,2,IF($C$5=Year3,3,IF($C$5=Lookups!$D$40,"All"))))&amp;"!"&amp;CZ$71&amp;$DE23)*100,0)</f>
        <v>0</v>
      </c>
      <c r="DA23" s="151"/>
      <c r="DB23" s="151"/>
      <c r="DE23" s="515">
        <f>ROW('Yr1'!E44)+($DG$9*IF($C$4=Lookups!$D$26,0,IF($C$4=Lookups!$D$27,1,IF($C$4=Lookups!$D$28,2,IF($C$4=Lookups!$D$29,3)))))</f>
        <v>281</v>
      </c>
      <c r="DK23" s="421"/>
      <c r="DL23" s="421"/>
    </row>
    <row r="24" spans="3:116" x14ac:dyDescent="0.25">
      <c r="BV24" s="343"/>
      <c r="BW24" s="345"/>
      <c r="BX24" s="155" t="s">
        <v>412</v>
      </c>
      <c r="BY24" s="126" t="s">
        <v>409</v>
      </c>
      <c r="BZ24" s="151" cm="1">
        <f t="array" aca="1" ref="BZ24" ca="1">IFERROR(INDIRECT("Yr"&amp;IF($C$5=Year1,1,IF($C$5=Year2,2,IF($C$5=Year3,3,IF($C$5=Lookups!$D$40,"All"))))&amp;"!"&amp;BZ$71&amp;$DE24)*100,0)</f>
        <v>-0.38610232782036141</v>
      </c>
      <c r="CA24" s="151" cm="1">
        <f t="array" aca="1" ref="CA24" ca="1">IFERROR(INDIRECT("Yr"&amp;IF($C$5=Year1,1,IF($C$5=Year2,2,IF($C$5=Year3,3,IF($C$5=Lookups!$D$40,"All"))))&amp;"!"&amp;CA$71&amp;$DE24)*100,0)</f>
        <v>-0.87301481552235272</v>
      </c>
      <c r="CB24" s="151" cm="1">
        <f t="array" aca="1" ref="CB24" ca="1">IFERROR(INDIRECT("Yr"&amp;IF($C$5=Year1,1,IF($C$5=Year2,2,IF($C$5=Year3,3,IF($C$5=Lookups!$D$40,"All"))))&amp;"!"&amp;CB$71&amp;$DE24)*100,0)</f>
        <v>-1.5095708508139249</v>
      </c>
      <c r="CC24" s="151" cm="1">
        <f t="array" aca="1" ref="CC24" ca="1">IFERROR(INDIRECT("Yr"&amp;IF($C$5=Year1,1,IF($C$5=Year2,2,IF($C$5=Year3,3,IF($C$5=Lookups!$D$40,"All"))))&amp;"!"&amp;CC$71&amp;$DE24)*100,0)</f>
        <v>-1.5095708508139249</v>
      </c>
      <c r="CD24" s="151" cm="1">
        <f t="array" aca="1" ref="CD24" ca="1">IFERROR(INDIRECT("Yr"&amp;IF($C$5=Year1,1,IF($C$5=Year2,2,IF($C$5=Year3,3,IF($C$5=Lookups!$D$40,"All"))))&amp;"!"&amp;CD$71&amp;$DE24)*100,0)</f>
        <v>-1.5095708508139249</v>
      </c>
      <c r="CE24" s="151" cm="1">
        <f t="array" aca="1" ref="CE24" ca="1">IFERROR(INDIRECT("Yr"&amp;IF($C$5=Year1,1,IF($C$5=Year2,2,IF($C$5=Year3,3,IF($C$5=Lookups!$D$40,"All"))))&amp;"!"&amp;CE$71&amp;$DE24)*100,0)</f>
        <v>-1.5095708508139249</v>
      </c>
      <c r="CF24" s="151" cm="1">
        <f t="array" aca="1" ref="CF24" ca="1">IFERROR(INDIRECT("Yr"&amp;IF($C$5=Year1,1,IF($C$5=Year2,2,IF($C$5=Year3,3,IF($C$5=Lookups!$D$40,"All"))))&amp;"!"&amp;CF$71&amp;$DE24)*100,0)</f>
        <v>-1.5095708508139249</v>
      </c>
      <c r="CG24" s="151" cm="1">
        <f t="array" aca="1" ref="CG24" ca="1">IFERROR(INDIRECT("Yr"&amp;IF($C$5=Year1,1,IF($C$5=Year2,2,IF($C$5=Year3,3,IF($C$5=Lookups!$D$40,"All"))))&amp;"!"&amp;CG$71&amp;$DE24)*100,0)</f>
        <v>-1.5095708508139249</v>
      </c>
      <c r="CH24" s="151" cm="1">
        <f t="array" aca="1" ref="CH24" ca="1">IFERROR(INDIRECT("Yr"&amp;IF($C$5=Year1,1,IF($C$5=Year2,2,IF($C$5=Year3,3,IF($C$5=Lookups!$D$40,"All"))))&amp;"!"&amp;CH$71&amp;$DE24)*100,0)</f>
        <v>-1.5095708508139249</v>
      </c>
      <c r="CI24" s="151" cm="1">
        <f t="array" aca="1" ref="CI24" ca="1">IFERROR(INDIRECT("Yr"&amp;IF($C$5=Year1,1,IF($C$5=Year2,2,IF($C$5=Year3,3,IF($C$5=Lookups!$D$40,"All"))))&amp;"!"&amp;CI$71&amp;$DE24)*100,0)</f>
        <v>-1.5095708508139249</v>
      </c>
      <c r="CJ24" s="151" cm="1">
        <f t="array" aca="1" ref="CJ24" ca="1">IFERROR(INDIRECT("Yr"&amp;IF($C$5=Year1,1,IF($C$5=Year2,2,IF($C$5=Year3,3,IF($C$5=Lookups!$D$40,"All"))))&amp;"!"&amp;CJ$71&amp;$DE24)*100,0)</f>
        <v>-1.5095708508139249</v>
      </c>
      <c r="CK24" s="151" cm="1">
        <f t="array" aca="1" ref="CK24" ca="1">IFERROR(INDIRECT("Yr"&amp;IF($C$5=Year1,1,IF($C$5=Year2,2,IF($C$5=Year3,3,IF($C$5=Lookups!$D$40,"All"))))&amp;"!"&amp;CK$71&amp;$DE24)*100,0)</f>
        <v>-1.5095708508139249</v>
      </c>
      <c r="CL24" s="151" cm="1">
        <f t="array" aca="1" ref="CL24" ca="1">IFERROR(INDIRECT("Yr"&amp;IF($C$5=Year1,1,IF($C$5=Year2,2,IF($C$5=Year3,3,IF($C$5=Lookups!$D$40,"All"))))&amp;"!"&amp;CL$71&amp;$DE24)*100,0)</f>
        <v>-1.5095708508139249</v>
      </c>
      <c r="CM24" s="151" cm="1">
        <f t="array" aca="1" ref="CM24" ca="1">IFERROR(INDIRECT("Yr"&amp;IF($C$5=Year1,1,IF($C$5=Year2,2,IF($C$5=Year3,3,IF($C$5=Lookups!$D$40,"All"))))&amp;"!"&amp;CM$71&amp;$DE24)*100,0)</f>
        <v>-0.92769001050625222</v>
      </c>
      <c r="CN24" s="151" cm="1">
        <f t="array" aca="1" ref="CN24" ca="1">IFERROR(INDIRECT("Yr"&amp;IF($C$5=Year1,1,IF($C$5=Year2,2,IF($C$5=Year3,3,IF($C$5=Lookups!$D$40,"All"))))&amp;"!"&amp;CN$71&amp;$DE24)*100,0)</f>
        <v>-0.43091743961734047</v>
      </c>
      <c r="CO24" s="151" cm="1">
        <f t="array" aca="1" ref="CO24" ca="1">IFERROR(INDIRECT("Yr"&amp;IF($C$5=Year1,1,IF($C$5=Year2,2,IF($C$5=Year3,3,IF($C$5=Lookups!$D$40,"All"))))&amp;"!"&amp;CO$71&amp;$DE24)*100,0)</f>
        <v>0</v>
      </c>
      <c r="CP24" s="151" cm="1">
        <f t="array" aca="1" ref="CP24" ca="1">IFERROR(INDIRECT("Yr"&amp;IF($C$5=Year1,1,IF($C$5=Year2,2,IF($C$5=Year3,3,IF($C$5=Lookups!$D$40,"All"))))&amp;"!"&amp;CP$71&amp;$DE24)*100,0)</f>
        <v>0</v>
      </c>
      <c r="CQ24" s="151" cm="1">
        <f t="array" aca="1" ref="CQ24" ca="1">IFERROR(INDIRECT("Yr"&amp;IF($C$5=Year1,1,IF($C$5=Year2,2,IF($C$5=Year3,3,IF($C$5=Lookups!$D$40,"All"))))&amp;"!"&amp;CQ$71&amp;$DE24)*100,0)</f>
        <v>0</v>
      </c>
      <c r="CR24" s="151" cm="1">
        <f t="array" aca="1" ref="CR24" ca="1">IFERROR(INDIRECT("Yr"&amp;IF($C$5=Year1,1,IF($C$5=Year2,2,IF($C$5=Year3,3,IF($C$5=Lookups!$D$40,"All"))))&amp;"!"&amp;CR$71&amp;$DE24)*100,0)</f>
        <v>0</v>
      </c>
      <c r="CS24" s="151" cm="1">
        <f t="array" aca="1" ref="CS24" ca="1">IFERROR(INDIRECT("Yr"&amp;IF($C$5=Year1,1,IF($C$5=Year2,2,IF($C$5=Year3,3,IF($C$5=Lookups!$D$40,"All"))))&amp;"!"&amp;CS$71&amp;$DE24)*100,0)</f>
        <v>0</v>
      </c>
      <c r="CT24" s="151" cm="1">
        <f t="array" aca="1" ref="CT24" ca="1">IFERROR(INDIRECT("Yr"&amp;IF($C$5=Year1,1,IF($C$5=Year2,2,IF($C$5=Year3,3,IF($C$5=Lookups!$D$40,"All"))))&amp;"!"&amp;CT$71&amp;$DE24)*100,0)</f>
        <v>0</v>
      </c>
      <c r="CU24" s="151" cm="1">
        <f t="array" aca="1" ref="CU24" ca="1">IFERROR(INDIRECT("Yr"&amp;IF($C$5=Year1,1,IF($C$5=Year2,2,IF($C$5=Year3,3,IF($C$5=Lookups!$D$40,"All"))))&amp;"!"&amp;CU$71&amp;$DE24)*100,0)</f>
        <v>0</v>
      </c>
      <c r="CV24" s="151" cm="1">
        <f t="array" aca="1" ref="CV24" ca="1">IFERROR(INDIRECT("Yr"&amp;IF($C$5=Year1,1,IF($C$5=Year2,2,IF($C$5=Year3,3,IF($C$5=Lookups!$D$40,"All"))))&amp;"!"&amp;CV$71&amp;$DE24)*100,0)</f>
        <v>0</v>
      </c>
      <c r="CW24" s="151" cm="1">
        <f t="array" aca="1" ref="CW24" ca="1">IFERROR(INDIRECT("Yr"&amp;IF($C$5=Year1,1,IF($C$5=Year2,2,IF($C$5=Year3,3,IF($C$5=Lookups!$D$40,"All"))))&amp;"!"&amp;CW$71&amp;$DE24)*100,0)</f>
        <v>0</v>
      </c>
      <c r="CX24" s="151" cm="1">
        <f t="array" aca="1" ref="CX24" ca="1">IFERROR(INDIRECT("Yr"&amp;IF($C$5=Year1,1,IF($C$5=Year2,2,IF($C$5=Year3,3,IF($C$5=Lookups!$D$40,"All"))))&amp;"!"&amp;CX$71&amp;$DE24)*100,0)</f>
        <v>0</v>
      </c>
      <c r="CY24" s="151" cm="1">
        <f t="array" aca="1" ref="CY24" ca="1">IFERROR(INDIRECT("Yr"&amp;IF($C$5=Year1,1,IF($C$5=Year2,2,IF($C$5=Year3,3,IF($C$5=Lookups!$D$40,"All"))))&amp;"!"&amp;CY$71&amp;$DE24)*100,0)</f>
        <v>0</v>
      </c>
      <c r="CZ24" s="151" cm="1">
        <f t="array" aca="1" ref="CZ24" ca="1">IFERROR(INDIRECT("Yr"&amp;IF($C$5=Year1,1,IF($C$5=Year2,2,IF($C$5=Year3,3,IF($C$5=Lookups!$D$40,"All"))))&amp;"!"&amp;CZ$71&amp;$DE24)*100,0)</f>
        <v>0</v>
      </c>
      <c r="DA24" s="151"/>
      <c r="DB24" s="151"/>
      <c r="DE24" s="516">
        <f>DE23+DF24</f>
        <v>282</v>
      </c>
      <c r="DF24" s="526">
        <v>1</v>
      </c>
      <c r="DK24" s="421"/>
      <c r="DL24" s="421"/>
    </row>
    <row r="25" spans="3:116" x14ac:dyDescent="0.25">
      <c r="BV25" s="343"/>
      <c r="BW25" s="345"/>
      <c r="BX25" s="155" t="s">
        <v>175</v>
      </c>
      <c r="BY25" s="126" t="s">
        <v>409</v>
      </c>
      <c r="BZ25" s="151" cm="1">
        <f t="array" aca="1" ref="BZ25" ca="1">IFERROR(INDIRECT("Yr"&amp;IF($C$5=Year1,1,IF($C$5=Year2,2,IF($C$5=Year3,3,IF($C$5=Lookups!$D$40,"All"))))&amp;"!"&amp;BZ$71&amp;$DE25)*100,0)</f>
        <v>-0.30671621054238496</v>
      </c>
      <c r="CA25" s="151" cm="1">
        <f t="array" aca="1" ref="CA25" ca="1">IFERROR(INDIRECT("Yr"&amp;IF($C$5=Year1,1,IF($C$5=Year2,2,IF($C$5=Year3,3,IF($C$5=Lookups!$D$40,"All"))))&amp;"!"&amp;CA$71&amp;$DE25)*100,0)</f>
        <v>-0.69374352186682797</v>
      </c>
      <c r="CB25" s="151" cm="1">
        <f t="array" aca="1" ref="CB25" ca="1">IFERROR(INDIRECT("Yr"&amp;IF($C$5=Year1,1,IF($C$5=Year2,2,IF($C$5=Year3,3,IF($C$5=Lookups!$D$40,"All"))))&amp;"!"&amp;CB$71&amp;$DE25)*100,0)</f>
        <v>-1.1982936703778504</v>
      </c>
      <c r="CC25" s="151" cm="1">
        <f t="array" aca="1" ref="CC25" ca="1">IFERROR(INDIRECT("Yr"&amp;IF($C$5=Year1,1,IF($C$5=Year2,2,IF($C$5=Year3,3,IF($C$5=Lookups!$D$40,"All"))))&amp;"!"&amp;CC$71&amp;$DE25)*100,0)</f>
        <v>-1.1982936703778504</v>
      </c>
      <c r="CD25" s="151" cm="1">
        <f t="array" aca="1" ref="CD25" ca="1">IFERROR(INDIRECT("Yr"&amp;IF($C$5=Year1,1,IF($C$5=Year2,2,IF($C$5=Year3,3,IF($C$5=Lookups!$D$40,"All"))))&amp;"!"&amp;CD$71&amp;$DE25)*100,0)</f>
        <v>-1.1982936703778504</v>
      </c>
      <c r="CE25" s="151" cm="1">
        <f t="array" aca="1" ref="CE25" ca="1">IFERROR(INDIRECT("Yr"&amp;IF($C$5=Year1,1,IF($C$5=Year2,2,IF($C$5=Year3,3,IF($C$5=Lookups!$D$40,"All"))))&amp;"!"&amp;CE$71&amp;$DE25)*100,0)</f>
        <v>-1.1982936703778504</v>
      </c>
      <c r="CF25" s="151" cm="1">
        <f t="array" aca="1" ref="CF25" ca="1">IFERROR(INDIRECT("Yr"&amp;IF($C$5=Year1,1,IF($C$5=Year2,2,IF($C$5=Year3,3,IF($C$5=Lookups!$D$40,"All"))))&amp;"!"&amp;CF$71&amp;$DE25)*100,0)</f>
        <v>-1.1982936703778504</v>
      </c>
      <c r="CG25" s="151" cm="1">
        <f t="array" aca="1" ref="CG25" ca="1">IFERROR(INDIRECT("Yr"&amp;IF($C$5=Year1,1,IF($C$5=Year2,2,IF($C$5=Year3,3,IF($C$5=Lookups!$D$40,"All"))))&amp;"!"&amp;CG$71&amp;$DE25)*100,0)</f>
        <v>-1.1982936703778504</v>
      </c>
      <c r="CH25" s="151" cm="1">
        <f t="array" aca="1" ref="CH25" ca="1">IFERROR(INDIRECT("Yr"&amp;IF($C$5=Year1,1,IF($C$5=Year2,2,IF($C$5=Year3,3,IF($C$5=Lookups!$D$40,"All"))))&amp;"!"&amp;CH$71&amp;$DE25)*100,0)</f>
        <v>-1.1982936703778504</v>
      </c>
      <c r="CI25" s="151" cm="1">
        <f t="array" aca="1" ref="CI25" ca="1">IFERROR(INDIRECT("Yr"&amp;IF($C$5=Year1,1,IF($C$5=Year2,2,IF($C$5=Year3,3,IF($C$5=Lookups!$D$40,"All"))))&amp;"!"&amp;CI$71&amp;$DE25)*100,0)</f>
        <v>-1.1982936703778504</v>
      </c>
      <c r="CJ25" s="151" cm="1">
        <f t="array" aca="1" ref="CJ25" ca="1">IFERROR(INDIRECT("Yr"&amp;IF($C$5=Year1,1,IF($C$5=Year2,2,IF($C$5=Year3,3,IF($C$5=Lookups!$D$40,"All"))))&amp;"!"&amp;CJ$71&amp;$DE25)*100,0)</f>
        <v>-1.1982936703778504</v>
      </c>
      <c r="CK25" s="151" cm="1">
        <f t="array" aca="1" ref="CK25" ca="1">IFERROR(INDIRECT("Yr"&amp;IF($C$5=Year1,1,IF($C$5=Year2,2,IF($C$5=Year3,3,IF($C$5=Lookups!$D$40,"All"))))&amp;"!"&amp;CK$71&amp;$DE25)*100,0)</f>
        <v>-1.1982936703778504</v>
      </c>
      <c r="CL25" s="151" cm="1">
        <f t="array" aca="1" ref="CL25" ca="1">IFERROR(INDIRECT("Yr"&amp;IF($C$5=Year1,1,IF($C$5=Year2,2,IF($C$5=Year3,3,IF($C$5=Lookups!$D$40,"All"))))&amp;"!"&amp;CL$71&amp;$DE25)*100,0)</f>
        <v>-1.1982936703778504</v>
      </c>
      <c r="CM25" s="151" cm="1">
        <f t="array" aca="1" ref="CM25" ca="1">IFERROR(INDIRECT("Yr"&amp;IF($C$5=Year1,1,IF($C$5=Year2,2,IF($C$5=Year3,3,IF($C$5=Lookups!$D$40,"All"))))&amp;"!"&amp;CM$71&amp;$DE25)*100,0)</f>
        <v>-0.73614247590451876</v>
      </c>
      <c r="CN25" s="151" cm="1">
        <f t="array" aca="1" ref="CN25" ca="1">IFERROR(INDIRECT("Yr"&amp;IF($C$5=Year1,1,IF($C$5=Year2,2,IF($C$5=Year3,3,IF($C$5=Lookups!$D$40,"All"))))&amp;"!"&amp;CN$71&amp;$DE25)*100,0)</f>
        <v>-0.34137849168384293</v>
      </c>
      <c r="CO25" s="151" cm="1">
        <f t="array" aca="1" ref="CO25" ca="1">IFERROR(INDIRECT("Yr"&amp;IF($C$5=Year1,1,IF($C$5=Year2,2,IF($C$5=Year3,3,IF($C$5=Lookups!$D$40,"All"))))&amp;"!"&amp;CO$71&amp;$DE25)*100,0)</f>
        <v>0</v>
      </c>
      <c r="CP25" s="151" cm="1">
        <f t="array" aca="1" ref="CP25" ca="1">IFERROR(INDIRECT("Yr"&amp;IF($C$5=Year1,1,IF($C$5=Year2,2,IF($C$5=Year3,3,IF($C$5=Lookups!$D$40,"All"))))&amp;"!"&amp;CP$71&amp;$DE25)*100,0)</f>
        <v>0</v>
      </c>
      <c r="CQ25" s="151" cm="1">
        <f t="array" aca="1" ref="CQ25" ca="1">IFERROR(INDIRECT("Yr"&amp;IF($C$5=Year1,1,IF($C$5=Year2,2,IF($C$5=Year3,3,IF($C$5=Lookups!$D$40,"All"))))&amp;"!"&amp;CQ$71&amp;$DE25)*100,0)</f>
        <v>0</v>
      </c>
      <c r="CR25" s="151" cm="1">
        <f t="array" aca="1" ref="CR25" ca="1">IFERROR(INDIRECT("Yr"&amp;IF($C$5=Year1,1,IF($C$5=Year2,2,IF($C$5=Year3,3,IF($C$5=Lookups!$D$40,"All"))))&amp;"!"&amp;CR$71&amp;$DE25)*100,0)</f>
        <v>0</v>
      </c>
      <c r="CS25" s="151" cm="1">
        <f t="array" aca="1" ref="CS25" ca="1">IFERROR(INDIRECT("Yr"&amp;IF($C$5=Year1,1,IF($C$5=Year2,2,IF($C$5=Year3,3,IF($C$5=Lookups!$D$40,"All"))))&amp;"!"&amp;CS$71&amp;$DE25)*100,0)</f>
        <v>0</v>
      </c>
      <c r="CT25" s="151" cm="1">
        <f t="array" aca="1" ref="CT25" ca="1">IFERROR(INDIRECT("Yr"&amp;IF($C$5=Year1,1,IF($C$5=Year2,2,IF($C$5=Year3,3,IF($C$5=Lookups!$D$40,"All"))))&amp;"!"&amp;CT$71&amp;$DE25)*100,0)</f>
        <v>0</v>
      </c>
      <c r="CU25" s="151" cm="1">
        <f t="array" aca="1" ref="CU25" ca="1">IFERROR(INDIRECT("Yr"&amp;IF($C$5=Year1,1,IF($C$5=Year2,2,IF($C$5=Year3,3,IF($C$5=Lookups!$D$40,"All"))))&amp;"!"&amp;CU$71&amp;$DE25)*100,0)</f>
        <v>0</v>
      </c>
      <c r="CV25" s="151" cm="1">
        <f t="array" aca="1" ref="CV25" ca="1">IFERROR(INDIRECT("Yr"&amp;IF($C$5=Year1,1,IF($C$5=Year2,2,IF($C$5=Year3,3,IF($C$5=Lookups!$D$40,"All"))))&amp;"!"&amp;CV$71&amp;$DE25)*100,0)</f>
        <v>0</v>
      </c>
      <c r="CW25" s="151" cm="1">
        <f t="array" aca="1" ref="CW25" ca="1">IFERROR(INDIRECT("Yr"&amp;IF($C$5=Year1,1,IF($C$5=Year2,2,IF($C$5=Year3,3,IF($C$5=Lookups!$D$40,"All"))))&amp;"!"&amp;CW$71&amp;$DE25)*100,0)</f>
        <v>0</v>
      </c>
      <c r="CX25" s="151" cm="1">
        <f t="array" aca="1" ref="CX25" ca="1">IFERROR(INDIRECT("Yr"&amp;IF($C$5=Year1,1,IF($C$5=Year2,2,IF($C$5=Year3,3,IF($C$5=Lookups!$D$40,"All"))))&amp;"!"&amp;CX$71&amp;$DE25)*100,0)</f>
        <v>0</v>
      </c>
      <c r="CY25" s="151" cm="1">
        <f t="array" aca="1" ref="CY25" ca="1">IFERROR(INDIRECT("Yr"&amp;IF($C$5=Year1,1,IF($C$5=Year2,2,IF($C$5=Year3,3,IF($C$5=Lookups!$D$40,"All"))))&amp;"!"&amp;CY$71&amp;$DE25)*100,0)</f>
        <v>0</v>
      </c>
      <c r="CZ25" s="151" cm="1">
        <f t="array" aca="1" ref="CZ25" ca="1">IFERROR(INDIRECT("Yr"&amp;IF($C$5=Year1,1,IF($C$5=Year2,2,IF($C$5=Year3,3,IF($C$5=Lookups!$D$40,"All"))))&amp;"!"&amp;CZ$71&amp;$DE25)*100,0)</f>
        <v>0</v>
      </c>
      <c r="DA25" s="151"/>
      <c r="DB25" s="151"/>
      <c r="DE25" s="516">
        <f>DE24+DF25</f>
        <v>283</v>
      </c>
      <c r="DF25" s="526">
        <v>1</v>
      </c>
      <c r="DK25" s="421"/>
      <c r="DL25" s="421"/>
    </row>
    <row r="26" spans="3:116" x14ac:dyDescent="0.25">
      <c r="BV26" s="343"/>
      <c r="BW26" s="345"/>
      <c r="BX26" s="334" t="s">
        <v>405</v>
      </c>
      <c r="BY26" s="335" t="s">
        <v>409</v>
      </c>
      <c r="BZ26" s="151" cm="1">
        <f t="array" aca="1" ref="BZ26" ca="1">IFERROR(INDIRECT("Yr"&amp;IF($C$5=Year1,1,IF($C$5=Year2,2,IF($C$5=Year3,3,IF($C$5=Lookups!$D$40,"All"))))&amp;"!"&amp;BZ$71&amp;$DE26)*100,0)</f>
        <v>14.245258051119242</v>
      </c>
      <c r="CA26" s="151" cm="1">
        <f t="array" aca="1" ref="CA26" ca="1">IFERROR(INDIRECT("Yr"&amp;IF($C$5=Year1,1,IF($C$5=Year2,2,IF($C$5=Year3,3,IF($C$5=Lookups!$D$40,"All"))))&amp;"!"&amp;CA$71&amp;$DE26)*100,0)</f>
        <v>14.926911562058558</v>
      </c>
      <c r="CB26" s="151" cm="1">
        <f t="array" aca="1" ref="CB26" ca="1">IFERROR(INDIRECT("Yr"&amp;IF($C$5=Year1,1,IF($C$5=Year2,2,IF($C$5=Year3,3,IF($C$5=Lookups!$D$40,"All"))))&amp;"!"&amp;CB$71&amp;$DE26)*100,0)</f>
        <v>15.875101082198512</v>
      </c>
      <c r="CC26" s="151" cm="1">
        <f t="array" aca="1" ref="CC26" ca="1">IFERROR(INDIRECT("Yr"&amp;IF($C$5=Year1,1,IF($C$5=Year2,2,IF($C$5=Year3,3,IF($C$5=Lookups!$D$40,"All"))))&amp;"!"&amp;CC$71&amp;$DE26)*100,0)</f>
        <v>0</v>
      </c>
      <c r="CD26" s="151" cm="1">
        <f t="array" aca="1" ref="CD26" ca="1">IFERROR(INDIRECT("Yr"&amp;IF($C$5=Year1,1,IF($C$5=Year2,2,IF($C$5=Year3,3,IF($C$5=Lookups!$D$40,"All"))))&amp;"!"&amp;CD$71&amp;$DE26)*100,0)</f>
        <v>0</v>
      </c>
      <c r="CE26" s="151" cm="1">
        <f t="array" aca="1" ref="CE26" ca="1">IFERROR(INDIRECT("Yr"&amp;IF($C$5=Year1,1,IF($C$5=Year2,2,IF($C$5=Year3,3,IF($C$5=Lookups!$D$40,"All"))))&amp;"!"&amp;CE$71&amp;$DE26)*100,0)</f>
        <v>0</v>
      </c>
      <c r="CF26" s="151" cm="1">
        <f t="array" aca="1" ref="CF26" ca="1">IFERROR(INDIRECT("Yr"&amp;IF($C$5=Year1,1,IF($C$5=Year2,2,IF($C$5=Year3,3,IF($C$5=Lookups!$D$40,"All"))))&amp;"!"&amp;CF$71&amp;$DE26)*100,0)</f>
        <v>0</v>
      </c>
      <c r="CG26" s="151" cm="1">
        <f t="array" aca="1" ref="CG26" ca="1">IFERROR(INDIRECT("Yr"&amp;IF($C$5=Year1,1,IF($C$5=Year2,2,IF($C$5=Year3,3,IF($C$5=Lookups!$D$40,"All"))))&amp;"!"&amp;CG$71&amp;$DE26)*100,0)</f>
        <v>0</v>
      </c>
      <c r="CH26" s="151" cm="1">
        <f t="array" aca="1" ref="CH26" ca="1">IFERROR(INDIRECT("Yr"&amp;IF($C$5=Year1,1,IF($C$5=Year2,2,IF($C$5=Year3,3,IF($C$5=Lookups!$D$40,"All"))))&amp;"!"&amp;CH$71&amp;$DE26)*100,0)</f>
        <v>0</v>
      </c>
      <c r="CI26" s="151" cm="1">
        <f t="array" aca="1" ref="CI26" ca="1">IFERROR(INDIRECT("Yr"&amp;IF($C$5=Year1,1,IF($C$5=Year2,2,IF($C$5=Year3,3,IF($C$5=Lookups!$D$40,"All"))))&amp;"!"&amp;CI$71&amp;$DE26)*100,0)</f>
        <v>0</v>
      </c>
      <c r="CJ26" s="151" cm="1">
        <f t="array" aca="1" ref="CJ26" ca="1">IFERROR(INDIRECT("Yr"&amp;IF($C$5=Year1,1,IF($C$5=Year2,2,IF($C$5=Year3,3,IF($C$5=Lookups!$D$40,"All"))))&amp;"!"&amp;CJ$71&amp;$DE26)*100,0)</f>
        <v>0</v>
      </c>
      <c r="CK26" s="151" cm="1">
        <f t="array" aca="1" ref="CK26" ca="1">IFERROR(INDIRECT("Yr"&amp;IF($C$5=Year1,1,IF($C$5=Year2,2,IF($C$5=Year3,3,IF($C$5=Lookups!$D$40,"All"))))&amp;"!"&amp;CK$71&amp;$DE26)*100,0)</f>
        <v>0</v>
      </c>
      <c r="CL26" s="151" cm="1">
        <f t="array" aca="1" ref="CL26" ca="1">IFERROR(INDIRECT("Yr"&amp;IF($C$5=Year1,1,IF($C$5=Year2,2,IF($C$5=Year3,3,IF($C$5=Lookups!$D$40,"All"))))&amp;"!"&amp;CL$71&amp;$DE26)*100,0)</f>
        <v>0</v>
      </c>
      <c r="CM26" s="151" cm="1">
        <f t="array" aca="1" ref="CM26" ca="1">IFERROR(INDIRECT("Yr"&amp;IF($C$5=Year1,1,IF($C$5=Year2,2,IF($C$5=Year3,3,IF($C$5=Lookups!$D$40,"All"))))&amp;"!"&amp;CM$71&amp;$DE26)*100,0)</f>
        <v>0</v>
      </c>
      <c r="CN26" s="151" cm="1">
        <f t="array" aca="1" ref="CN26" ca="1">IFERROR(INDIRECT("Yr"&amp;IF($C$5=Year1,1,IF($C$5=Year2,2,IF($C$5=Year3,3,IF($C$5=Lookups!$D$40,"All"))))&amp;"!"&amp;CN$71&amp;$DE26)*100,0)</f>
        <v>0</v>
      </c>
      <c r="CO26" s="151" cm="1">
        <f t="array" aca="1" ref="CO26" ca="1">IFERROR(INDIRECT("Yr"&amp;IF($C$5=Year1,1,IF($C$5=Year2,2,IF($C$5=Year3,3,IF($C$5=Lookups!$D$40,"All"))))&amp;"!"&amp;CO$71&amp;$DE26)*100,0)</f>
        <v>0</v>
      </c>
      <c r="CP26" s="151" cm="1">
        <f t="array" aca="1" ref="CP26" ca="1">IFERROR(INDIRECT("Yr"&amp;IF($C$5=Year1,1,IF($C$5=Year2,2,IF($C$5=Year3,3,IF($C$5=Lookups!$D$40,"All"))))&amp;"!"&amp;CP$71&amp;$DE26)*100,0)</f>
        <v>0</v>
      </c>
      <c r="CQ26" s="151" cm="1">
        <f t="array" aca="1" ref="CQ26" ca="1">IFERROR(INDIRECT("Yr"&amp;IF($C$5=Year1,1,IF($C$5=Year2,2,IF($C$5=Year3,3,IF($C$5=Lookups!$D$40,"All"))))&amp;"!"&amp;CQ$71&amp;$DE26)*100,0)</f>
        <v>0</v>
      </c>
      <c r="CR26" s="151" cm="1">
        <f t="array" aca="1" ref="CR26" ca="1">IFERROR(INDIRECT("Yr"&amp;IF($C$5=Year1,1,IF($C$5=Year2,2,IF($C$5=Year3,3,IF($C$5=Lookups!$D$40,"All"))))&amp;"!"&amp;CR$71&amp;$DE26)*100,0)</f>
        <v>0</v>
      </c>
      <c r="CS26" s="151" cm="1">
        <f t="array" aca="1" ref="CS26" ca="1">IFERROR(INDIRECT("Yr"&amp;IF($C$5=Year1,1,IF($C$5=Year2,2,IF($C$5=Year3,3,IF($C$5=Lookups!$D$40,"All"))))&amp;"!"&amp;CS$71&amp;$DE26)*100,0)</f>
        <v>0</v>
      </c>
      <c r="CT26" s="151" cm="1">
        <f t="array" aca="1" ref="CT26" ca="1">IFERROR(INDIRECT("Yr"&amp;IF($C$5=Year1,1,IF($C$5=Year2,2,IF($C$5=Year3,3,IF($C$5=Lookups!$D$40,"All"))))&amp;"!"&amp;CT$71&amp;$DE26)*100,0)</f>
        <v>0</v>
      </c>
      <c r="CU26" s="151" cm="1">
        <f t="array" aca="1" ref="CU26" ca="1">IFERROR(INDIRECT("Yr"&amp;IF($C$5=Year1,1,IF($C$5=Year2,2,IF($C$5=Year3,3,IF($C$5=Lookups!$D$40,"All"))))&amp;"!"&amp;CU$71&amp;$DE26)*100,0)</f>
        <v>0</v>
      </c>
      <c r="CV26" s="151" cm="1">
        <f t="array" aca="1" ref="CV26" ca="1">IFERROR(INDIRECT("Yr"&amp;IF($C$5=Year1,1,IF($C$5=Year2,2,IF($C$5=Year3,3,IF($C$5=Lookups!$D$40,"All"))))&amp;"!"&amp;CV$71&amp;$DE26)*100,0)</f>
        <v>0</v>
      </c>
      <c r="CW26" s="151" cm="1">
        <f t="array" aca="1" ref="CW26" ca="1">IFERROR(INDIRECT("Yr"&amp;IF($C$5=Year1,1,IF($C$5=Year2,2,IF($C$5=Year3,3,IF($C$5=Lookups!$D$40,"All"))))&amp;"!"&amp;CW$71&amp;$DE26)*100,0)</f>
        <v>0</v>
      </c>
      <c r="CX26" s="151" cm="1">
        <f t="array" aca="1" ref="CX26" ca="1">IFERROR(INDIRECT("Yr"&amp;IF($C$5=Year1,1,IF($C$5=Year2,2,IF($C$5=Year3,3,IF($C$5=Lookups!$D$40,"All"))))&amp;"!"&amp;CX$71&amp;$DE26)*100,0)</f>
        <v>0</v>
      </c>
      <c r="CY26" s="151" cm="1">
        <f t="array" aca="1" ref="CY26" ca="1">IFERROR(INDIRECT("Yr"&amp;IF($C$5=Year1,1,IF($C$5=Year2,2,IF($C$5=Year3,3,IF($C$5=Lookups!$D$40,"All"))))&amp;"!"&amp;CY$71&amp;$DE26)*100,0)</f>
        <v>0</v>
      </c>
      <c r="CZ26" s="151" cm="1">
        <f t="array" aca="1" ref="CZ26" ca="1">IFERROR(INDIRECT("Yr"&amp;IF($C$5=Year1,1,IF($C$5=Year2,2,IF($C$5=Year3,3,IF($C$5=Lookups!$D$40,"All"))))&amp;"!"&amp;CZ$71&amp;$DE26)*100,0)</f>
        <v>0</v>
      </c>
      <c r="DA26" s="151"/>
      <c r="DB26" s="151"/>
      <c r="DE26" s="516">
        <f t="shared" ref="DE26:DE27" si="3">DE25+DF26</f>
        <v>286</v>
      </c>
      <c r="DF26" s="526">
        <v>3</v>
      </c>
      <c r="DK26" s="421"/>
      <c r="DL26" s="421"/>
    </row>
    <row r="27" spans="3:116" x14ac:dyDescent="0.25">
      <c r="BV27" s="343"/>
      <c r="BW27" s="345"/>
      <c r="BX27" s="336" t="s">
        <v>69</v>
      </c>
      <c r="BY27" s="337" t="s">
        <v>409</v>
      </c>
      <c r="BZ27" s="472" cm="1">
        <f t="array" aca="1" ref="BZ27" ca="1">IFERROR(INDIRECT("Yr"&amp;IF($C$5=Year1,1,IF($C$5=Year2,2,IF($C$5=Year3,3,IF($C$5=Lookups!$D$40,"All"))))&amp;"!"&amp;BZ$71&amp;$DE27)*100,0)</f>
        <v>1.0282927323764068</v>
      </c>
      <c r="CA27" s="472" cm="1">
        <f t="array" aca="1" ref="CA27" ca="1">IFERROR(INDIRECT("Yr"&amp;IF($C$5=Year1,1,IF($C$5=Year2,2,IF($C$5=Year3,3,IF($C$5=Lookups!$D$40,"All"))))&amp;"!"&amp;CA$71&amp;$DE27)*100,0)</f>
        <v>2.2496110156220368</v>
      </c>
      <c r="CB27" s="472" cm="1">
        <f t="array" aca="1" ref="CB27" ca="1">IFERROR(INDIRECT("Yr"&amp;IF($C$5=Year1,1,IF($C$5=Year2,2,IF($C$5=Year3,3,IF($C$5=Lookups!$D$40,"All"))))&amp;"!"&amp;CB$71&amp;$DE27)*100,0)</f>
        <v>3.7528191976540173</v>
      </c>
      <c r="CC27" s="472" cm="1">
        <f t="array" aca="1" ref="CC27" ca="1">IFERROR(INDIRECT("Yr"&amp;IF($C$5=Year1,1,IF($C$5=Year2,2,IF($C$5=Year3,3,IF($C$5=Lookups!$D$40,"All"))))&amp;"!"&amp;CC$71&amp;$DE27)*100,0)</f>
        <v>3.7528191976540173</v>
      </c>
      <c r="CD27" s="472" cm="1">
        <f t="array" aca="1" ref="CD27" ca="1">IFERROR(INDIRECT("Yr"&amp;IF($C$5=Year1,1,IF($C$5=Year2,2,IF($C$5=Year3,3,IF($C$5=Lookups!$D$40,"All"))))&amp;"!"&amp;CD$71&amp;$DE27)*100,0)</f>
        <v>3.7528191976540173</v>
      </c>
      <c r="CE27" s="472" cm="1">
        <f t="array" aca="1" ref="CE27" ca="1">IFERROR(INDIRECT("Yr"&amp;IF($C$5=Year1,1,IF($C$5=Year2,2,IF($C$5=Year3,3,IF($C$5=Lookups!$D$40,"All"))))&amp;"!"&amp;CE$71&amp;$DE27)*100,0)</f>
        <v>3.7528191976540173</v>
      </c>
      <c r="CF27" s="472" cm="1">
        <f t="array" aca="1" ref="CF27" ca="1">IFERROR(INDIRECT("Yr"&amp;IF($C$5=Year1,1,IF($C$5=Year2,2,IF($C$5=Year3,3,IF($C$5=Lookups!$D$40,"All"))))&amp;"!"&amp;CF$71&amp;$DE27)*100,0)</f>
        <v>3.7528191976540173</v>
      </c>
      <c r="CG27" s="472" cm="1">
        <f t="array" aca="1" ref="CG27" ca="1">IFERROR(INDIRECT("Yr"&amp;IF($C$5=Year1,1,IF($C$5=Year2,2,IF($C$5=Year3,3,IF($C$5=Lookups!$D$40,"All"))))&amp;"!"&amp;CG$71&amp;$DE27)*100,0)</f>
        <v>3.7528191976540173</v>
      </c>
      <c r="CH27" s="472" cm="1">
        <f t="array" aca="1" ref="CH27" ca="1">IFERROR(INDIRECT("Yr"&amp;IF($C$5=Year1,1,IF($C$5=Year2,2,IF($C$5=Year3,3,IF($C$5=Lookups!$D$40,"All"))))&amp;"!"&amp;CH$71&amp;$DE27)*100,0)</f>
        <v>3.7528191976540173</v>
      </c>
      <c r="CI27" s="472" cm="1">
        <f t="array" aca="1" ref="CI27" ca="1">IFERROR(INDIRECT("Yr"&amp;IF($C$5=Year1,1,IF($C$5=Year2,2,IF($C$5=Year3,3,IF($C$5=Lookups!$D$40,"All"))))&amp;"!"&amp;CI$71&amp;$DE27)*100,0)</f>
        <v>3.7528191976540173</v>
      </c>
      <c r="CJ27" s="472" cm="1">
        <f t="array" aca="1" ref="CJ27" ca="1">IFERROR(INDIRECT("Yr"&amp;IF($C$5=Year1,1,IF($C$5=Year2,2,IF($C$5=Year3,3,IF($C$5=Lookups!$D$40,"All"))))&amp;"!"&amp;CJ$71&amp;$DE27)*100,0)</f>
        <v>3.7528191976540173</v>
      </c>
      <c r="CK27" s="472" cm="1">
        <f t="array" aca="1" ref="CK27" ca="1">IFERROR(INDIRECT("Yr"&amp;IF($C$5=Year1,1,IF($C$5=Year2,2,IF($C$5=Year3,3,IF($C$5=Lookups!$D$40,"All"))))&amp;"!"&amp;CK$71&amp;$DE27)*100,0)</f>
        <v>3.7528191976540173</v>
      </c>
      <c r="CL27" s="472" cm="1">
        <f t="array" aca="1" ref="CL27" ca="1">IFERROR(INDIRECT("Yr"&amp;IF($C$5=Year1,1,IF($C$5=Year2,2,IF($C$5=Year3,3,IF($C$5=Lookups!$D$40,"All"))))&amp;"!"&amp;CL$71&amp;$DE27)*100,0)</f>
        <v>3.7528191976540173</v>
      </c>
      <c r="CM27" s="472" cm="1">
        <f t="array" aca="1" ref="CM27" ca="1">IFERROR(INDIRECT("Yr"&amp;IF($C$5=Year1,1,IF($C$5=Year2,2,IF($C$5=Year3,3,IF($C$5=Lookups!$D$40,"All"))))&amp;"!"&amp;CM$71&amp;$DE27)*100,0)</f>
        <v>2.3827422166323524</v>
      </c>
      <c r="CN27" s="472" cm="1">
        <f t="array" aca="1" ref="CN27" ca="1">IFERROR(INDIRECT("Yr"&amp;IF($C$5=Year1,1,IF($C$5=Year2,2,IF($C$5=Year3,3,IF($C$5=Lookups!$D$40,"All"))))&amp;"!"&amp;CN$71&amp;$DE27)*100,0)</f>
        <v>1.1441823822095896</v>
      </c>
      <c r="CO27" s="472" cm="1">
        <f t="array" aca="1" ref="CO27" ca="1">IFERROR(INDIRECT("Yr"&amp;IF($C$5=Year1,1,IF($C$5=Year2,2,IF($C$5=Year3,3,IF($C$5=Lookups!$D$40,"All"))))&amp;"!"&amp;CO$71&amp;$DE27)*100,0)</f>
        <v>0</v>
      </c>
      <c r="CP27" s="472" cm="1">
        <f t="array" aca="1" ref="CP27" ca="1">IFERROR(INDIRECT("Yr"&amp;IF($C$5=Year1,1,IF($C$5=Year2,2,IF($C$5=Year3,3,IF($C$5=Lookups!$D$40,"All"))))&amp;"!"&amp;CP$71&amp;$DE27)*100,0)</f>
        <v>0</v>
      </c>
      <c r="CQ27" s="472" cm="1">
        <f t="array" aca="1" ref="CQ27" ca="1">IFERROR(INDIRECT("Yr"&amp;IF($C$5=Year1,1,IF($C$5=Year2,2,IF($C$5=Year3,3,IF($C$5=Lookups!$D$40,"All"))))&amp;"!"&amp;CQ$71&amp;$DE27)*100,0)</f>
        <v>0</v>
      </c>
      <c r="CR27" s="472" cm="1">
        <f t="array" aca="1" ref="CR27" ca="1">IFERROR(INDIRECT("Yr"&amp;IF($C$5=Year1,1,IF($C$5=Year2,2,IF($C$5=Year3,3,IF($C$5=Lookups!$D$40,"All"))))&amp;"!"&amp;CR$71&amp;$DE27)*100,0)</f>
        <v>0</v>
      </c>
      <c r="CS27" s="472" cm="1">
        <f t="array" aca="1" ref="CS27" ca="1">IFERROR(INDIRECT("Yr"&amp;IF($C$5=Year1,1,IF($C$5=Year2,2,IF($C$5=Year3,3,IF($C$5=Lookups!$D$40,"All"))))&amp;"!"&amp;CS$71&amp;$DE27)*100,0)</f>
        <v>0</v>
      </c>
      <c r="CT27" s="472" cm="1">
        <f t="array" aca="1" ref="CT27" ca="1">IFERROR(INDIRECT("Yr"&amp;IF($C$5=Year1,1,IF($C$5=Year2,2,IF($C$5=Year3,3,IF($C$5=Lookups!$D$40,"All"))))&amp;"!"&amp;CT$71&amp;$DE27)*100,0)</f>
        <v>0</v>
      </c>
      <c r="CU27" s="472" cm="1">
        <f t="array" aca="1" ref="CU27" ca="1">IFERROR(INDIRECT("Yr"&amp;IF($C$5=Year1,1,IF($C$5=Year2,2,IF($C$5=Year3,3,IF($C$5=Lookups!$D$40,"All"))))&amp;"!"&amp;CU$71&amp;$DE27)*100,0)</f>
        <v>0</v>
      </c>
      <c r="CV27" s="472" cm="1">
        <f t="array" aca="1" ref="CV27" ca="1">IFERROR(INDIRECT("Yr"&amp;IF($C$5=Year1,1,IF($C$5=Year2,2,IF($C$5=Year3,3,IF($C$5=Lookups!$D$40,"All"))))&amp;"!"&amp;CV$71&amp;$DE27)*100,0)</f>
        <v>0</v>
      </c>
      <c r="CW27" s="472" cm="1">
        <f t="array" aca="1" ref="CW27" ca="1">IFERROR(INDIRECT("Yr"&amp;IF($C$5=Year1,1,IF($C$5=Year2,2,IF($C$5=Year3,3,IF($C$5=Lookups!$D$40,"All"))))&amp;"!"&amp;CW$71&amp;$DE27)*100,0)</f>
        <v>0</v>
      </c>
      <c r="CX27" s="472" cm="1">
        <f t="array" aca="1" ref="CX27" ca="1">IFERROR(INDIRECT("Yr"&amp;IF($C$5=Year1,1,IF($C$5=Year2,2,IF($C$5=Year3,3,IF($C$5=Lookups!$D$40,"All"))))&amp;"!"&amp;CX$71&amp;$DE27)*100,0)</f>
        <v>0</v>
      </c>
      <c r="CY27" s="472" cm="1">
        <f t="array" aca="1" ref="CY27" ca="1">IFERROR(INDIRECT("Yr"&amp;IF($C$5=Year1,1,IF($C$5=Year2,2,IF($C$5=Year3,3,IF($C$5=Lookups!$D$40,"All"))))&amp;"!"&amp;CY$71&amp;$DE27)*100,0)</f>
        <v>0</v>
      </c>
      <c r="CZ27" s="472" cm="1">
        <f t="array" aca="1" ref="CZ27" ca="1">IFERROR(INDIRECT("Yr"&amp;IF($C$5=Year1,1,IF($C$5=Year2,2,IF($C$5=Year3,3,IF($C$5=Lookups!$D$40,"All"))))&amp;"!"&amp;CZ$71&amp;$DE27)*100,0)</f>
        <v>0</v>
      </c>
      <c r="DA27" s="151"/>
      <c r="DB27" s="472"/>
      <c r="DE27" s="516">
        <f t="shared" si="3"/>
        <v>287</v>
      </c>
      <c r="DF27" s="526">
        <v>1</v>
      </c>
      <c r="DK27" s="421"/>
      <c r="DL27" s="421"/>
    </row>
    <row r="28" spans="3:116" x14ac:dyDescent="0.25">
      <c r="BV28" s="343"/>
      <c r="BW28" s="345"/>
      <c r="BX28" s="155" t="s">
        <v>98</v>
      </c>
      <c r="BY28" s="126" t="s">
        <v>409</v>
      </c>
      <c r="BZ28" s="151">
        <f t="shared" ref="BZ28:CZ28" ca="1" si="4">SUM(BZ23:BZ25)</f>
        <v>-6.3556526797280464</v>
      </c>
      <c r="CA28" s="151">
        <f t="shared" ca="1" si="4"/>
        <v>-14.37097563171702</v>
      </c>
      <c r="CB28" s="151">
        <f t="shared" ca="1" si="4"/>
        <v>-24.848236999796011</v>
      </c>
      <c r="CC28" s="151">
        <f t="shared" ca="1" si="4"/>
        <v>-24.848236999796011</v>
      </c>
      <c r="CD28" s="151">
        <f t="shared" ca="1" si="4"/>
        <v>-24.848236999796011</v>
      </c>
      <c r="CE28" s="151">
        <f t="shared" ca="1" si="4"/>
        <v>-24.848236999796011</v>
      </c>
      <c r="CF28" s="151">
        <f t="shared" ca="1" si="4"/>
        <v>-24.848236999796011</v>
      </c>
      <c r="CG28" s="151">
        <f t="shared" ca="1" si="4"/>
        <v>-24.848236999796011</v>
      </c>
      <c r="CH28" s="151">
        <f t="shared" ca="1" si="4"/>
        <v>-24.848236999796011</v>
      </c>
      <c r="CI28" s="151">
        <f t="shared" ca="1" si="4"/>
        <v>-24.848236999796011</v>
      </c>
      <c r="CJ28" s="151">
        <f t="shared" ca="1" si="4"/>
        <v>-24.848236999796011</v>
      </c>
      <c r="CK28" s="151">
        <f t="shared" ca="1" si="4"/>
        <v>-24.848236999796011</v>
      </c>
      <c r="CL28" s="151">
        <f t="shared" ca="1" si="4"/>
        <v>-24.848236999796011</v>
      </c>
      <c r="CM28" s="151">
        <f t="shared" ca="1" si="4"/>
        <v>-15.269952640502471</v>
      </c>
      <c r="CN28" s="151">
        <f t="shared" ca="1" si="4"/>
        <v>-7.0924183790221775</v>
      </c>
      <c r="CO28" s="151">
        <f t="shared" ca="1" si="4"/>
        <v>0</v>
      </c>
      <c r="CP28" s="151">
        <f t="shared" ca="1" si="4"/>
        <v>0</v>
      </c>
      <c r="CQ28" s="151">
        <f t="shared" ca="1" si="4"/>
        <v>0</v>
      </c>
      <c r="CR28" s="151">
        <f t="shared" ca="1" si="4"/>
        <v>0</v>
      </c>
      <c r="CS28" s="151">
        <f t="shared" ca="1" si="4"/>
        <v>0</v>
      </c>
      <c r="CT28" s="151">
        <f t="shared" ca="1" si="4"/>
        <v>0</v>
      </c>
      <c r="CU28" s="151">
        <f t="shared" ca="1" si="4"/>
        <v>0</v>
      </c>
      <c r="CV28" s="151">
        <f t="shared" ca="1" si="4"/>
        <v>0</v>
      </c>
      <c r="CW28" s="151">
        <f t="shared" ca="1" si="4"/>
        <v>0</v>
      </c>
      <c r="CX28" s="151">
        <f t="shared" ca="1" si="4"/>
        <v>0</v>
      </c>
      <c r="CY28" s="151">
        <f t="shared" ca="1" si="4"/>
        <v>0</v>
      </c>
      <c r="CZ28" s="151">
        <f t="shared" ca="1" si="4"/>
        <v>0</v>
      </c>
      <c r="DA28" s="151"/>
      <c r="DB28" s="151"/>
      <c r="DE28" s="516" t="s">
        <v>408</v>
      </c>
      <c r="DF28" s="529"/>
      <c r="DK28" s="421"/>
      <c r="DL28" s="421"/>
    </row>
    <row r="29" spans="3:116" x14ac:dyDescent="0.25">
      <c r="BV29" s="343"/>
      <c r="BW29" s="345"/>
      <c r="BX29" s="126" t="s">
        <v>99</v>
      </c>
      <c r="BY29" s="126" t="s">
        <v>409</v>
      </c>
      <c r="BZ29" s="151" cm="1">
        <f t="array" aca="1" ref="BZ29" ca="1">IFERROR(INDIRECT("Yr"&amp;IF($C$5=Year1,1,IF($C$5=Year2,2,IF($C$5=Year3,3,IF($C$5=Lookups!$D$40,"All"))))&amp;"!"&amp;BZ$71&amp;$DE29)*100,0)</f>
        <v>14.659211586306986</v>
      </c>
      <c r="CA29" s="151" cm="1">
        <f t="array" aca="1" ref="CA29" ca="1">IFERROR(INDIRECT("Yr"&amp;IF($C$5=Year1,1,IF($C$5=Year2,2,IF($C$5=Year3,3,IF($C$5=Lookups!$D$40,"All"))))&amp;"!"&amp;CA$71&amp;$DE29)*100,0)</f>
        <v>15.862590611772088</v>
      </c>
      <c r="CB29" s="151" cm="1">
        <f t="array" aca="1" ref="CB29" ca="1">IFERROR(INDIRECT("Yr"&amp;IF($C$5=Year1,1,IF($C$5=Year2,2,IF($C$5=Year3,3,IF($C$5=Lookups!$D$40,"All"))))&amp;"!"&amp;CB$71&amp;$DE29)*100,0)</f>
        <v>17.494737738071308</v>
      </c>
      <c r="CC29" s="151" cm="1">
        <f t="array" aca="1" ref="CC29" ca="1">IFERROR(INDIRECT("Yr"&amp;IF($C$5=Year1,1,IF($C$5=Year2,2,IF($C$5=Year3,3,IF($C$5=Lookups!$D$40,"All"))))&amp;"!"&amp;CC$71&amp;$DE29)*100,0)</f>
        <v>1.6196366558727915</v>
      </c>
      <c r="CD29" s="151" cm="1">
        <f t="array" aca="1" ref="CD29" ca="1">IFERROR(INDIRECT("Yr"&amp;IF($C$5=Year1,1,IF($C$5=Year2,2,IF($C$5=Year3,3,IF($C$5=Lookups!$D$40,"All"))))&amp;"!"&amp;CD$71&amp;$DE29)*100,0)</f>
        <v>1.6196366558727915</v>
      </c>
      <c r="CE29" s="151" cm="1">
        <f t="array" aca="1" ref="CE29" ca="1">IFERROR(INDIRECT("Yr"&amp;IF($C$5=Year1,1,IF($C$5=Year2,2,IF($C$5=Year3,3,IF($C$5=Lookups!$D$40,"All"))))&amp;"!"&amp;CE$71&amp;$DE29)*100,0)</f>
        <v>1.6196366558727915</v>
      </c>
      <c r="CF29" s="151" cm="1">
        <f t="array" aca="1" ref="CF29" ca="1">IFERROR(INDIRECT("Yr"&amp;IF($C$5=Year1,1,IF($C$5=Year2,2,IF($C$5=Year3,3,IF($C$5=Lookups!$D$40,"All"))))&amp;"!"&amp;CF$71&amp;$DE29)*100,0)</f>
        <v>1.6196366558727915</v>
      </c>
      <c r="CG29" s="151" cm="1">
        <f t="array" aca="1" ref="CG29" ca="1">IFERROR(INDIRECT("Yr"&amp;IF($C$5=Year1,1,IF($C$5=Year2,2,IF($C$5=Year3,3,IF($C$5=Lookups!$D$40,"All"))))&amp;"!"&amp;CG$71&amp;$DE29)*100,0)</f>
        <v>1.6196366558727915</v>
      </c>
      <c r="CH29" s="151" cm="1">
        <f t="array" aca="1" ref="CH29" ca="1">IFERROR(INDIRECT("Yr"&amp;IF($C$5=Year1,1,IF($C$5=Year2,2,IF($C$5=Year3,3,IF($C$5=Lookups!$D$40,"All"))))&amp;"!"&amp;CH$71&amp;$DE29)*100,0)</f>
        <v>1.6196366558727915</v>
      </c>
      <c r="CI29" s="151" cm="1">
        <f t="array" aca="1" ref="CI29" ca="1">IFERROR(INDIRECT("Yr"&amp;IF($C$5=Year1,1,IF($C$5=Year2,2,IF($C$5=Year3,3,IF($C$5=Lookups!$D$40,"All"))))&amp;"!"&amp;CI$71&amp;$DE29)*100,0)</f>
        <v>1.6196366558727915</v>
      </c>
      <c r="CJ29" s="151" cm="1">
        <f t="array" aca="1" ref="CJ29" ca="1">IFERROR(INDIRECT("Yr"&amp;IF($C$5=Year1,1,IF($C$5=Year2,2,IF($C$5=Year3,3,IF($C$5=Lookups!$D$40,"All"))))&amp;"!"&amp;CJ$71&amp;$DE29)*100,0)</f>
        <v>1.6196366558727915</v>
      </c>
      <c r="CK29" s="151" cm="1">
        <f t="array" aca="1" ref="CK29" ca="1">IFERROR(INDIRECT("Yr"&amp;IF($C$5=Year1,1,IF($C$5=Year2,2,IF($C$5=Year3,3,IF($C$5=Lookups!$D$40,"All"))))&amp;"!"&amp;CK$71&amp;$DE29)*100,0)</f>
        <v>1.6196366558727915</v>
      </c>
      <c r="CL29" s="151" cm="1">
        <f t="array" aca="1" ref="CL29" ca="1">IFERROR(INDIRECT("Yr"&amp;IF($C$5=Year1,1,IF($C$5=Year2,2,IF($C$5=Year3,3,IF($C$5=Lookups!$D$40,"All"))))&amp;"!"&amp;CL$71&amp;$DE29)*100,0)</f>
        <v>1.6196366558727915</v>
      </c>
      <c r="CM29" s="151" cm="1">
        <f t="array" aca="1" ref="CM29" ca="1">IFERROR(INDIRECT("Yr"&amp;IF($C$5=Year1,1,IF($C$5=Year2,2,IF($C$5=Year3,3,IF($C$5=Lookups!$D$40,"All"))))&amp;"!"&amp;CM$71&amp;$DE29)*100,0)</f>
        <v>0.99566470814778096</v>
      </c>
      <c r="CN29" s="151" cm="1">
        <f t="array" aca="1" ref="CN29" ca="1">IFERROR(INDIRECT("Yr"&amp;IF($C$5=Year1,1,IF($C$5=Year2,2,IF($C$5=Year3,3,IF($C$5=Lookups!$D$40,"All"))))&amp;"!"&amp;CN$71&amp;$DE29)*100,0)</f>
        <v>0.46324101729968703</v>
      </c>
      <c r="CO29" s="151" cm="1">
        <f t="array" aca="1" ref="CO29" ca="1">IFERROR(INDIRECT("Yr"&amp;IF($C$5=Year1,1,IF($C$5=Year2,2,IF($C$5=Year3,3,IF($C$5=Lookups!$D$40,"All"))))&amp;"!"&amp;CO$71&amp;$DE29)*100,0)</f>
        <v>0</v>
      </c>
      <c r="CP29" s="151" cm="1">
        <f t="array" aca="1" ref="CP29" ca="1">IFERROR(INDIRECT("Yr"&amp;IF($C$5=Year1,1,IF($C$5=Year2,2,IF($C$5=Year3,3,IF($C$5=Lookups!$D$40,"All"))))&amp;"!"&amp;CP$71&amp;$DE29)*100,0)</f>
        <v>0</v>
      </c>
      <c r="CQ29" s="151" cm="1">
        <f t="array" aca="1" ref="CQ29" ca="1">IFERROR(INDIRECT("Yr"&amp;IF($C$5=Year1,1,IF($C$5=Year2,2,IF($C$5=Year3,3,IF($C$5=Lookups!$D$40,"All"))))&amp;"!"&amp;CQ$71&amp;$DE29)*100,0)</f>
        <v>0</v>
      </c>
      <c r="CR29" s="151" cm="1">
        <f t="array" aca="1" ref="CR29" ca="1">IFERROR(INDIRECT("Yr"&amp;IF($C$5=Year1,1,IF($C$5=Year2,2,IF($C$5=Year3,3,IF($C$5=Lookups!$D$40,"All"))))&amp;"!"&amp;CR$71&amp;$DE29)*100,0)</f>
        <v>0</v>
      </c>
      <c r="CS29" s="151" cm="1">
        <f t="array" aca="1" ref="CS29" ca="1">IFERROR(INDIRECT("Yr"&amp;IF($C$5=Year1,1,IF($C$5=Year2,2,IF($C$5=Year3,3,IF($C$5=Lookups!$D$40,"All"))))&amp;"!"&amp;CS$71&amp;$DE29)*100,0)</f>
        <v>0</v>
      </c>
      <c r="CT29" s="151" cm="1">
        <f t="array" aca="1" ref="CT29" ca="1">IFERROR(INDIRECT("Yr"&amp;IF($C$5=Year1,1,IF($C$5=Year2,2,IF($C$5=Year3,3,IF($C$5=Lookups!$D$40,"All"))))&amp;"!"&amp;CT$71&amp;$DE29)*100,0)</f>
        <v>0</v>
      </c>
      <c r="CU29" s="151" cm="1">
        <f t="array" aca="1" ref="CU29" ca="1">IFERROR(INDIRECT("Yr"&amp;IF($C$5=Year1,1,IF($C$5=Year2,2,IF($C$5=Year3,3,IF($C$5=Lookups!$D$40,"All"))))&amp;"!"&amp;CU$71&amp;$DE29)*100,0)</f>
        <v>0</v>
      </c>
      <c r="CV29" s="151" cm="1">
        <f t="array" aca="1" ref="CV29" ca="1">IFERROR(INDIRECT("Yr"&amp;IF($C$5=Year1,1,IF($C$5=Year2,2,IF($C$5=Year3,3,IF($C$5=Lookups!$D$40,"All"))))&amp;"!"&amp;CV$71&amp;$DE29)*100,0)</f>
        <v>0</v>
      </c>
      <c r="CW29" s="151" cm="1">
        <f t="array" aca="1" ref="CW29" ca="1">IFERROR(INDIRECT("Yr"&amp;IF($C$5=Year1,1,IF($C$5=Year2,2,IF($C$5=Year3,3,IF($C$5=Lookups!$D$40,"All"))))&amp;"!"&amp;CW$71&amp;$DE29)*100,0)</f>
        <v>0</v>
      </c>
      <c r="CX29" s="151" cm="1">
        <f t="array" aca="1" ref="CX29" ca="1">IFERROR(INDIRECT("Yr"&amp;IF($C$5=Year1,1,IF($C$5=Year2,2,IF($C$5=Year3,3,IF($C$5=Lookups!$D$40,"All"))))&amp;"!"&amp;CX$71&amp;$DE29)*100,0)</f>
        <v>0</v>
      </c>
      <c r="CY29" s="151" cm="1">
        <f t="array" aca="1" ref="CY29" ca="1">IFERROR(INDIRECT("Yr"&amp;IF($C$5=Year1,1,IF($C$5=Year2,2,IF($C$5=Year3,3,IF($C$5=Lookups!$D$40,"All"))))&amp;"!"&amp;CY$71&amp;$DE29)*100,0)</f>
        <v>0</v>
      </c>
      <c r="CZ29" s="151" cm="1">
        <f t="array" aca="1" ref="CZ29" ca="1">IFERROR(INDIRECT("Yr"&amp;IF($C$5=Year1,1,IF($C$5=Year2,2,IF($C$5=Year3,3,IF($C$5=Lookups!$D$40,"All"))))&amp;"!"&amp;CZ$71&amp;$DE29)*100,0)</f>
        <v>0</v>
      </c>
      <c r="DA29" s="151"/>
      <c r="DB29" s="151"/>
      <c r="DE29" s="515">
        <f>ROW('Yr1'!E59)+($DG$9*IF($C$4=Lookups!$D$26,0,IF($C$4=Lookups!$D$27,1,IF($C$4=Lookups!$D$28,2,IF($C$4=Lookups!$D$29,3)))))</f>
        <v>296</v>
      </c>
      <c r="DF29" s="529"/>
    </row>
    <row r="30" spans="3:116" x14ac:dyDescent="0.25">
      <c r="BV30" s="343"/>
      <c r="BW30" s="345"/>
      <c r="BX30" s="126" t="s">
        <v>100</v>
      </c>
      <c r="BY30" s="126" t="s">
        <v>409</v>
      </c>
      <c r="BZ30" s="151">
        <f ca="1">IF($C$5=Lookups!$D$40,AVERAGE($BZ29:$CZ29),AVERAGE($BZ29:$CX29))</f>
        <v>2.4322893414935458</v>
      </c>
      <c r="CA30" s="151">
        <f ca="1">IF($C$5=Lookups!$D$40,AVERAGE($BZ29:$CZ29),AVERAGE($BZ29:$CX29))</f>
        <v>2.4322893414935458</v>
      </c>
      <c r="CB30" s="151">
        <f ca="1">IF($C$5=Lookups!$D$40,AVERAGE($BZ29:$CZ29),AVERAGE($BZ29:$CX29))</f>
        <v>2.4322893414935458</v>
      </c>
      <c r="CC30" s="151">
        <f ca="1">IF($C$5=Lookups!$D$40,AVERAGE($BZ29:$CZ29),AVERAGE($BZ29:$CX29))</f>
        <v>2.4322893414935458</v>
      </c>
      <c r="CD30" s="151">
        <f ca="1">IF($C$5=Lookups!$D$40,AVERAGE($BZ29:$CZ29),AVERAGE($BZ29:$CX29))</f>
        <v>2.4322893414935458</v>
      </c>
      <c r="CE30" s="151">
        <f ca="1">IF($C$5=Lookups!$D$40,AVERAGE($BZ29:$CZ29),AVERAGE($BZ29:$CX29))</f>
        <v>2.4322893414935458</v>
      </c>
      <c r="CF30" s="151">
        <f ca="1">IF($C$5=Lookups!$D$40,AVERAGE($BZ29:$CZ29),AVERAGE($BZ29:$CX29))</f>
        <v>2.4322893414935458</v>
      </c>
      <c r="CG30" s="151">
        <f ca="1">IF($C$5=Lookups!$D$40,AVERAGE($BZ29:$CZ29),AVERAGE($BZ29:$CX29))</f>
        <v>2.4322893414935458</v>
      </c>
      <c r="CH30" s="151">
        <f ca="1">IF($C$5=Lookups!$D$40,AVERAGE($BZ29:$CZ29),AVERAGE($BZ29:$CX29))</f>
        <v>2.4322893414935458</v>
      </c>
      <c r="CI30" s="151">
        <f ca="1">IF($C$5=Lookups!$D$40,AVERAGE($BZ29:$CZ29),AVERAGE($BZ29:$CX29))</f>
        <v>2.4322893414935458</v>
      </c>
      <c r="CJ30" s="151">
        <f ca="1">IF($C$5=Lookups!$D$40,AVERAGE($BZ29:$CZ29),AVERAGE($BZ29:$CX29))</f>
        <v>2.4322893414935458</v>
      </c>
      <c r="CK30" s="151">
        <f ca="1">IF($C$5=Lookups!$D$40,AVERAGE($BZ29:$CZ29),AVERAGE($BZ29:$CX29))</f>
        <v>2.4322893414935458</v>
      </c>
      <c r="CL30" s="151">
        <f ca="1">IF($C$5=Lookups!$D$40,AVERAGE($BZ29:$CZ29),AVERAGE($BZ29:$CX29))</f>
        <v>2.4322893414935458</v>
      </c>
      <c r="CM30" s="151">
        <f ca="1">IF($C$5=Lookups!$D$40,AVERAGE($BZ29:$CZ29),AVERAGE($BZ29:$CX29))</f>
        <v>2.4322893414935458</v>
      </c>
      <c r="CN30" s="151">
        <f ca="1">IF($C$5=Lookups!$D$40,AVERAGE($BZ29:$CZ29),AVERAGE($BZ29:$CX29))</f>
        <v>2.4322893414935458</v>
      </c>
      <c r="CO30" s="151">
        <f ca="1">IF($C$5=Lookups!$D$40,AVERAGE($BZ29:$CZ29),AVERAGE($BZ29:$CX29))</f>
        <v>2.4322893414935458</v>
      </c>
      <c r="CP30" s="151">
        <f ca="1">IF($C$5=Lookups!$D$40,AVERAGE($BZ29:$CZ29),AVERAGE($BZ29:$CX29))</f>
        <v>2.4322893414935458</v>
      </c>
      <c r="CQ30" s="151">
        <f ca="1">IF($C$5=Lookups!$D$40,AVERAGE($BZ29:$CZ29),AVERAGE($BZ29:$CX29))</f>
        <v>2.4322893414935458</v>
      </c>
      <c r="CR30" s="151">
        <f ca="1">IF($C$5=Lookups!$D$40,AVERAGE($BZ29:$CZ29),AVERAGE($BZ29:$CX29))</f>
        <v>2.4322893414935458</v>
      </c>
      <c r="CS30" s="151">
        <f ca="1">IF($C$5=Lookups!$D$40,AVERAGE($BZ29:$CZ29),AVERAGE($BZ29:$CX29))</f>
        <v>2.4322893414935458</v>
      </c>
      <c r="CT30" s="151">
        <f ca="1">IF($C$5=Lookups!$D$40,AVERAGE($BZ29:$CZ29),AVERAGE($BZ29:$CX29))</f>
        <v>2.4322893414935458</v>
      </c>
      <c r="CU30" s="151">
        <f ca="1">IF($C$5=Lookups!$D$40,AVERAGE($BZ29:$CZ29),AVERAGE($BZ29:$CX29))</f>
        <v>2.4322893414935458</v>
      </c>
      <c r="CV30" s="151">
        <f ca="1">IF($C$5=Lookups!$D$40,AVERAGE($BZ29:$CZ29),AVERAGE($BZ29:$CX29))</f>
        <v>2.4322893414935458</v>
      </c>
      <c r="CW30" s="151">
        <f ca="1">IF($C$5=Lookups!$D$40,AVERAGE($BZ29:$CZ29),AVERAGE($BZ29:$CX29))</f>
        <v>2.4322893414935458</v>
      </c>
      <c r="CX30" s="151">
        <f ca="1">IF($C$5=Lookups!$D$40,AVERAGE($BZ29:$CZ29),AVERAGE($BZ29:$CX29))</f>
        <v>2.4322893414935458</v>
      </c>
      <c r="CY30" s="151">
        <f ca="1">IF($C$5=Lookups!$D$40,AVERAGE($BZ29:$CZ29),AVERAGE($BZ29:$CX29))</f>
        <v>2.4322893414935458</v>
      </c>
      <c r="CZ30" s="151">
        <f ca="1">IF($C$5=Lookups!$D$40,AVERAGE($BZ29:$CZ29),AVERAGE($BZ29:$CX29))</f>
        <v>2.4322893414935458</v>
      </c>
      <c r="DA30" s="151"/>
      <c r="DB30" s="151"/>
      <c r="DE30" s="516" t="s">
        <v>408</v>
      </c>
      <c r="DF30" s="529"/>
    </row>
    <row r="31" spans="3:116" x14ac:dyDescent="0.25">
      <c r="BV31" s="343"/>
      <c r="BW31" s="345"/>
      <c r="BX31" s="126" t="s">
        <v>99</v>
      </c>
      <c r="BY31" s="156" t="s">
        <v>16</v>
      </c>
      <c r="BZ31" s="183" cm="1">
        <f t="array" aca="1" ref="BZ31" ca="1">IFERROR(INDIRECT("Yr"&amp;IF($C$5=Year1,1,IF($C$5=Year2,2,IF($C$5=Year3,3,IF($C$5=Lookups!$D$40,"All"))))&amp;"!"&amp;BZ$71&amp;$DE31),0)</f>
        <v>0.18673704380105294</v>
      </c>
      <c r="CA31" s="183" cm="1">
        <f t="array" aca="1" ref="CA31" ca="1">IFERROR(INDIRECT("Yr"&amp;IF($C$5=Year1,1,IF($C$5=Year2,2,IF($C$5=Year3,3,IF($C$5=Lookups!$D$40,"All"))))&amp;"!"&amp;CA$71&amp;$DE31),0)</f>
        <v>0.20206634309280003</v>
      </c>
      <c r="CB31" s="183" cm="1">
        <f t="array" aca="1" ref="CB31" ca="1">IFERROR(INDIRECT("Yr"&amp;IF($C$5=Year1,1,IF($C$5=Year2,2,IF($C$5=Year3,3,IF($C$5=Lookups!$D$40,"All"))))&amp;"!"&amp;CB$71&amp;$DE31),0)</f>
        <v>0.22285752463889308</v>
      </c>
      <c r="CC31" s="183" cm="1">
        <f t="array" aca="1" ref="CC31" ca="1">IFERROR(INDIRECT("Yr"&amp;IF($C$5=Year1,1,IF($C$5=Year2,2,IF($C$5=Year3,3,IF($C$5=Lookups!$D$40,"All"))))&amp;"!"&amp;CC$71&amp;$DE31),0)</f>
        <v>2.0631816340792808E-2</v>
      </c>
      <c r="CD31" s="183" cm="1">
        <f t="array" aca="1" ref="CD31" ca="1">IFERROR(INDIRECT("Yr"&amp;IF($C$5=Year1,1,IF($C$5=Year2,2,IF($C$5=Year3,3,IF($C$5=Lookups!$D$40,"All"))))&amp;"!"&amp;CD$71&amp;$DE31),0)</f>
        <v>2.0631816340792808E-2</v>
      </c>
      <c r="CE31" s="183" cm="1">
        <f t="array" aca="1" ref="CE31" ca="1">IFERROR(INDIRECT("Yr"&amp;IF($C$5=Year1,1,IF($C$5=Year2,2,IF($C$5=Year3,3,IF($C$5=Lookups!$D$40,"All"))))&amp;"!"&amp;CE$71&amp;$DE31),0)</f>
        <v>2.0631816340792808E-2</v>
      </c>
      <c r="CF31" s="183" cm="1">
        <f t="array" aca="1" ref="CF31" ca="1">IFERROR(INDIRECT("Yr"&amp;IF($C$5=Year1,1,IF($C$5=Year2,2,IF($C$5=Year3,3,IF($C$5=Lookups!$D$40,"All"))))&amp;"!"&amp;CF$71&amp;$DE31),0)</f>
        <v>2.0631816340792808E-2</v>
      </c>
      <c r="CG31" s="183" cm="1">
        <f t="array" aca="1" ref="CG31" ca="1">IFERROR(INDIRECT("Yr"&amp;IF($C$5=Year1,1,IF($C$5=Year2,2,IF($C$5=Year3,3,IF($C$5=Lookups!$D$40,"All"))))&amp;"!"&amp;CG$71&amp;$DE31),0)</f>
        <v>2.0631816340792808E-2</v>
      </c>
      <c r="CH31" s="183" cm="1">
        <f t="array" aca="1" ref="CH31" ca="1">IFERROR(INDIRECT("Yr"&amp;IF($C$5=Year1,1,IF($C$5=Year2,2,IF($C$5=Year3,3,IF($C$5=Lookups!$D$40,"All"))))&amp;"!"&amp;CH$71&amp;$DE31),0)</f>
        <v>2.0631816340792808E-2</v>
      </c>
      <c r="CI31" s="183" cm="1">
        <f t="array" aca="1" ref="CI31" ca="1">IFERROR(INDIRECT("Yr"&amp;IF($C$5=Year1,1,IF($C$5=Year2,2,IF($C$5=Year3,3,IF($C$5=Lookups!$D$40,"All"))))&amp;"!"&amp;CI$71&amp;$DE31),0)</f>
        <v>2.0631816340792808E-2</v>
      </c>
      <c r="CJ31" s="183" cm="1">
        <f t="array" aca="1" ref="CJ31" ca="1">IFERROR(INDIRECT("Yr"&amp;IF($C$5=Year1,1,IF($C$5=Year2,2,IF($C$5=Year3,3,IF($C$5=Lookups!$D$40,"All"))))&amp;"!"&amp;CJ$71&amp;$DE31),0)</f>
        <v>2.0631816340792808E-2</v>
      </c>
      <c r="CK31" s="183" cm="1">
        <f t="array" aca="1" ref="CK31" ca="1">IFERROR(INDIRECT("Yr"&amp;IF($C$5=Year1,1,IF($C$5=Year2,2,IF($C$5=Year3,3,IF($C$5=Lookups!$D$40,"All"))))&amp;"!"&amp;CK$71&amp;$DE31),0)</f>
        <v>2.0631816340792808E-2</v>
      </c>
      <c r="CL31" s="183" cm="1">
        <f t="array" aca="1" ref="CL31" ca="1">IFERROR(INDIRECT("Yr"&amp;IF($C$5=Year1,1,IF($C$5=Year2,2,IF($C$5=Year3,3,IF($C$5=Lookups!$D$40,"All"))))&amp;"!"&amp;CL$71&amp;$DE31),0)</f>
        <v>2.0631816340792808E-2</v>
      </c>
      <c r="CM31" s="183" cm="1">
        <f t="array" aca="1" ref="CM31" ca="1">IFERROR(INDIRECT("Yr"&amp;IF($C$5=Year1,1,IF($C$5=Year2,2,IF($C$5=Year3,3,IF($C$5=Lookups!$D$40,"All"))))&amp;"!"&amp;CM$71&amp;$DE31),0)</f>
        <v>1.2683320867694414E-2</v>
      </c>
      <c r="CN31" s="183" cm="1">
        <f t="array" aca="1" ref="CN31" ca="1">IFERROR(INDIRECT("Yr"&amp;IF($C$5=Year1,1,IF($C$5=Year2,2,IF($C$5=Year3,3,IF($C$5=Lookups!$D$40,"All"))))&amp;"!"&amp;CN$71&amp;$DE31),0)</f>
        <v>5.9010170928113226E-3</v>
      </c>
      <c r="CO31" s="183" cm="1">
        <f t="array" aca="1" ref="CO31" ca="1">IFERROR(INDIRECT("Yr"&amp;IF($C$5=Year1,1,IF($C$5=Year2,2,IF($C$5=Year3,3,IF($C$5=Lookups!$D$40,"All"))))&amp;"!"&amp;CO$71&amp;$DE31),0)</f>
        <v>0</v>
      </c>
      <c r="CP31" s="183" cm="1">
        <f t="array" aca="1" ref="CP31" ca="1">IFERROR(INDIRECT("Yr"&amp;IF($C$5=Year1,1,IF($C$5=Year2,2,IF($C$5=Year3,3,IF($C$5=Lookups!$D$40,"All"))))&amp;"!"&amp;CP$71&amp;$DE31),0)</f>
        <v>0</v>
      </c>
      <c r="CQ31" s="183" cm="1">
        <f t="array" aca="1" ref="CQ31" ca="1">IFERROR(INDIRECT("Yr"&amp;IF($C$5=Year1,1,IF($C$5=Year2,2,IF($C$5=Year3,3,IF($C$5=Lookups!$D$40,"All"))))&amp;"!"&amp;CQ$71&amp;$DE31),0)</f>
        <v>0</v>
      </c>
      <c r="CR31" s="183" cm="1">
        <f t="array" aca="1" ref="CR31" ca="1">IFERROR(INDIRECT("Yr"&amp;IF($C$5=Year1,1,IF($C$5=Year2,2,IF($C$5=Year3,3,IF($C$5=Lookups!$D$40,"All"))))&amp;"!"&amp;CR$71&amp;$DE31),0)</f>
        <v>0</v>
      </c>
      <c r="CS31" s="183" cm="1">
        <f t="array" aca="1" ref="CS31" ca="1">IFERROR(INDIRECT("Yr"&amp;IF($C$5=Year1,1,IF($C$5=Year2,2,IF($C$5=Year3,3,IF($C$5=Lookups!$D$40,"All"))))&amp;"!"&amp;CS$71&amp;$DE31),0)</f>
        <v>0</v>
      </c>
      <c r="CT31" s="183" cm="1">
        <f t="array" aca="1" ref="CT31" ca="1">IFERROR(INDIRECT("Yr"&amp;IF($C$5=Year1,1,IF($C$5=Year2,2,IF($C$5=Year3,3,IF($C$5=Lookups!$D$40,"All"))))&amp;"!"&amp;CT$71&amp;$DE31),0)</f>
        <v>0</v>
      </c>
      <c r="CU31" s="183" cm="1">
        <f t="array" aca="1" ref="CU31" ca="1">IFERROR(INDIRECT("Yr"&amp;IF($C$5=Year1,1,IF($C$5=Year2,2,IF($C$5=Year3,3,IF($C$5=Lookups!$D$40,"All"))))&amp;"!"&amp;CU$71&amp;$DE31),0)</f>
        <v>0</v>
      </c>
      <c r="CV31" s="183" cm="1">
        <f t="array" aca="1" ref="CV31" ca="1">IFERROR(INDIRECT("Yr"&amp;IF($C$5=Year1,1,IF($C$5=Year2,2,IF($C$5=Year3,3,IF($C$5=Lookups!$D$40,"All"))))&amp;"!"&amp;CV$71&amp;$DE31),0)</f>
        <v>0</v>
      </c>
      <c r="CW31" s="183" cm="1">
        <f t="array" aca="1" ref="CW31" ca="1">IFERROR(INDIRECT("Yr"&amp;IF($C$5=Year1,1,IF($C$5=Year2,2,IF($C$5=Year3,3,IF($C$5=Lookups!$D$40,"All"))))&amp;"!"&amp;CW$71&amp;$DE31),0)</f>
        <v>0</v>
      </c>
      <c r="CX31" s="183" cm="1">
        <f t="array" aca="1" ref="CX31" ca="1">IFERROR(INDIRECT("Yr"&amp;IF($C$5=Year1,1,IF($C$5=Year2,2,IF($C$5=Year3,3,IF($C$5=Lookups!$D$40,"All"))))&amp;"!"&amp;CX$71&amp;$DE31),0)</f>
        <v>0</v>
      </c>
      <c r="CY31" s="183" cm="1">
        <f t="array" aca="1" ref="CY31" ca="1">IFERROR(INDIRECT("Yr"&amp;IF($C$5=Year1,1,IF($C$5=Year2,2,IF($C$5=Year3,3,IF($C$5=Lookups!$D$40,"All"))))&amp;"!"&amp;CY$71&amp;$DE31),0)</f>
        <v>0</v>
      </c>
      <c r="CZ31" s="183" cm="1">
        <f t="array" aca="1" ref="CZ31" ca="1">IFERROR(INDIRECT("Yr"&amp;IF($C$5=Year1,1,IF($C$5=Year2,2,IF($C$5=Year3,3,IF($C$5=Lookups!$D$40,"All"))))&amp;"!"&amp;CZ$71&amp;$DE31),0)</f>
        <v>0</v>
      </c>
      <c r="DA31" s="157"/>
      <c r="DB31" s="183"/>
      <c r="DE31" s="516">
        <f>DE29+DF31</f>
        <v>297</v>
      </c>
      <c r="DF31" s="526">
        <v>1</v>
      </c>
    </row>
    <row r="32" spans="3:116" x14ac:dyDescent="0.25">
      <c r="BV32" s="343"/>
      <c r="BW32" s="345"/>
      <c r="BX32" s="126" t="s">
        <v>100</v>
      </c>
      <c r="BY32" s="156" t="s">
        <v>16</v>
      </c>
      <c r="BZ32" s="157">
        <f ca="1">IF($C$5=Lookups!$D$40,AVERAGE($BZ31:$CZ31),AVERAGE($BZ31:$CX31))</f>
        <v>3.0983830107451107E-2</v>
      </c>
      <c r="CA32" s="157">
        <f ca="1">IF($C$5=Lookups!$D$40,AVERAGE($BZ31:$CZ31),AVERAGE($BZ31:$CX31))</f>
        <v>3.0983830107451107E-2</v>
      </c>
      <c r="CB32" s="157">
        <f ca="1">IF($C$5=Lookups!$D$40,AVERAGE($BZ31:$CZ31),AVERAGE($BZ31:$CX31))</f>
        <v>3.0983830107451107E-2</v>
      </c>
      <c r="CC32" s="157">
        <f ca="1">IF($C$5=Lookups!$D$40,AVERAGE($BZ31:$CZ31),AVERAGE($BZ31:$CX31))</f>
        <v>3.0983830107451107E-2</v>
      </c>
      <c r="CD32" s="157">
        <f ca="1">IF($C$5=Lookups!$D$40,AVERAGE($BZ31:$CZ31),AVERAGE($BZ31:$CX31))</f>
        <v>3.0983830107451107E-2</v>
      </c>
      <c r="CE32" s="157">
        <f ca="1">IF($C$5=Lookups!$D$40,AVERAGE($BZ31:$CZ31),AVERAGE($BZ31:$CX31))</f>
        <v>3.0983830107451107E-2</v>
      </c>
      <c r="CF32" s="157">
        <f ca="1">IF($C$5=Lookups!$D$40,AVERAGE($BZ31:$CZ31),AVERAGE($BZ31:$CX31))</f>
        <v>3.0983830107451107E-2</v>
      </c>
      <c r="CG32" s="157">
        <f ca="1">IF($C$5=Lookups!$D$40,AVERAGE($BZ31:$CZ31),AVERAGE($BZ31:$CX31))</f>
        <v>3.0983830107451107E-2</v>
      </c>
      <c r="CH32" s="157">
        <f ca="1">IF($C$5=Lookups!$D$40,AVERAGE($BZ31:$CZ31),AVERAGE($BZ31:$CX31))</f>
        <v>3.0983830107451107E-2</v>
      </c>
      <c r="CI32" s="157">
        <f ca="1">IF($C$5=Lookups!$D$40,AVERAGE($BZ31:$CZ31),AVERAGE($BZ31:$CX31))</f>
        <v>3.0983830107451107E-2</v>
      </c>
      <c r="CJ32" s="157">
        <f ca="1">IF($C$5=Lookups!$D$40,AVERAGE($BZ31:$CZ31),AVERAGE($BZ31:$CX31))</f>
        <v>3.0983830107451107E-2</v>
      </c>
      <c r="CK32" s="157">
        <f ca="1">IF($C$5=Lookups!$D$40,AVERAGE($BZ31:$CZ31),AVERAGE($BZ31:$CX31))</f>
        <v>3.0983830107451107E-2</v>
      </c>
      <c r="CL32" s="157">
        <f ca="1">IF($C$5=Lookups!$D$40,AVERAGE($BZ31:$CZ31),AVERAGE($BZ31:$CX31))</f>
        <v>3.0983830107451107E-2</v>
      </c>
      <c r="CM32" s="157">
        <f ca="1">IF($C$5=Lookups!$D$40,AVERAGE($BZ31:$CZ31),AVERAGE($BZ31:$CX31))</f>
        <v>3.0983830107451107E-2</v>
      </c>
      <c r="CN32" s="157">
        <f ca="1">IF($C$5=Lookups!$D$40,AVERAGE($BZ31:$CZ31),AVERAGE($BZ31:$CX31))</f>
        <v>3.0983830107451107E-2</v>
      </c>
      <c r="CO32" s="157">
        <f ca="1">IF($C$5=Lookups!$D$40,AVERAGE($BZ31:$CZ31),AVERAGE($BZ31:$CX31))</f>
        <v>3.0983830107451107E-2</v>
      </c>
      <c r="CP32" s="157">
        <f ca="1">IF($C$5=Lookups!$D$40,AVERAGE($BZ31:$CZ31),AVERAGE($BZ31:$CX31))</f>
        <v>3.0983830107451107E-2</v>
      </c>
      <c r="CQ32" s="157">
        <f ca="1">IF($C$5=Lookups!$D$40,AVERAGE($BZ31:$CZ31),AVERAGE($BZ31:$CX31))</f>
        <v>3.0983830107451107E-2</v>
      </c>
      <c r="CR32" s="157">
        <f ca="1">IF($C$5=Lookups!$D$40,AVERAGE($BZ31:$CZ31),AVERAGE($BZ31:$CX31))</f>
        <v>3.0983830107451107E-2</v>
      </c>
      <c r="CS32" s="157">
        <f ca="1">IF($C$5=Lookups!$D$40,AVERAGE($BZ31:$CZ31),AVERAGE($BZ31:$CX31))</f>
        <v>3.0983830107451107E-2</v>
      </c>
      <c r="CT32" s="157">
        <f ca="1">IF($C$5=Lookups!$D$40,AVERAGE($BZ31:$CZ31),AVERAGE($BZ31:$CX31))</f>
        <v>3.0983830107451107E-2</v>
      </c>
      <c r="CU32" s="157">
        <f ca="1">IF($C$5=Lookups!$D$40,AVERAGE($BZ31:$CZ31),AVERAGE($BZ31:$CX31))</f>
        <v>3.0983830107451107E-2</v>
      </c>
      <c r="CV32" s="157">
        <f ca="1">IF($C$5=Lookups!$D$40,AVERAGE($BZ31:$CZ31),AVERAGE($BZ31:$CX31))</f>
        <v>3.0983830107451107E-2</v>
      </c>
      <c r="CW32" s="157">
        <f ca="1">IF($C$5=Lookups!$D$40,AVERAGE($BZ31:$CZ31),AVERAGE($BZ31:$CX31))</f>
        <v>3.0983830107451107E-2</v>
      </c>
      <c r="CX32" s="157">
        <f ca="1">IF($C$5=Lookups!$D$40,AVERAGE($BZ31:$CZ31),AVERAGE($BZ31:$CX31))</f>
        <v>3.0983830107451107E-2</v>
      </c>
      <c r="CY32" s="157">
        <f ca="1">IF($C$5=Lookups!$D$40,AVERAGE($BZ31:$CZ31),AVERAGE($BZ31:$CX31))</f>
        <v>3.0983830107451107E-2</v>
      </c>
      <c r="CZ32" s="157">
        <f ca="1">IF($C$5=Lookups!$D$40,AVERAGE($BZ31:$CZ31),AVERAGE($BZ31:$CX31))</f>
        <v>3.0983830107451107E-2</v>
      </c>
      <c r="DA32" s="157"/>
      <c r="DB32" s="157"/>
      <c r="DE32" s="516" t="s">
        <v>408</v>
      </c>
    </row>
    <row r="33" spans="3:114" x14ac:dyDescent="0.25">
      <c r="BV33" s="343"/>
      <c r="BW33" s="345"/>
      <c r="BX33" s="180" t="str">
        <f ca="1">"Levelized net change "&amp;TEXT(DB33,"0.0%")</f>
        <v>Levelized net change 3.6%</v>
      </c>
      <c r="BY33" s="126"/>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57"/>
      <c r="DB33" s="722" cm="1">
        <f t="array" aca="1" ref="DB33" ca="1">IFERROR(INDIRECT("Yr"&amp;IF($C$5=Year1,1,IF($C$5=Year2,2,IF($C$5=Year3,3,IF($C$5=Lookups!$D$40,"All"))))&amp;"!"&amp;DB$73&amp;$DE33),0)</f>
        <v>3.5526459390037957E-2</v>
      </c>
      <c r="DE33" s="527">
        <f>DE31</f>
        <v>297</v>
      </c>
    </row>
    <row r="34" spans="3:114" x14ac:dyDescent="0.25">
      <c r="BV34" s="343"/>
      <c r="BW34" s="345"/>
      <c r="BX34" s="126"/>
      <c r="BY34" s="126"/>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E34" s="527"/>
    </row>
    <row r="35" spans="3:114" ht="18.75" x14ac:dyDescent="0.3">
      <c r="BV35" s="92" t="str">
        <f>Lookups!$D$24&amp;" v "&amp;Lookups!$D$22</f>
        <v>Alternative EE v No EE</v>
      </c>
      <c r="BW35" s="92"/>
      <c r="BX35" s="129"/>
      <c r="BY35" s="129"/>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E35" s="528"/>
    </row>
    <row r="36" spans="3:114" x14ac:dyDescent="0.25">
      <c r="BV36" s="343"/>
      <c r="BW36" s="160" t="s">
        <v>30</v>
      </c>
      <c r="BX36" s="131"/>
      <c r="BY36" s="131"/>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E36" s="527"/>
    </row>
    <row r="37" spans="3:114" x14ac:dyDescent="0.25">
      <c r="BV37" s="343"/>
      <c r="BW37" s="346"/>
      <c r="BX37" s="131" t="s">
        <v>95</v>
      </c>
      <c r="BY37" s="131" t="s">
        <v>409</v>
      </c>
      <c r="BZ37" s="152" cm="1">
        <f t="array" aca="1" ref="BZ37" ca="1">IFERROR(INDIRECT("Yr"&amp;IF($C$5=Year1,1,IF($C$5=Year2,2,IF($C$5=Year3,3,IF($C$5=Lookups!$D$40,"All"))))&amp;"!"&amp;BZ$72&amp;$DE37)*100,0)</f>
        <v>4.271893828439878</v>
      </c>
      <c r="CA37" s="152" cm="1">
        <f t="array" aca="1" ref="CA37" ca="1">IFERROR(INDIRECT("Yr"&amp;IF($C$5=Year1,1,IF($C$5=Year2,2,IF($C$5=Year3,3,IF($C$5=Lookups!$D$40,"All"))))&amp;"!"&amp;CA$72&amp;$DE37)*100,0)</f>
        <v>4.271893828439878</v>
      </c>
      <c r="CB37" s="152" cm="1">
        <f t="array" aca="1" ref="CB37" ca="1">IFERROR(INDIRECT("Yr"&amp;IF($C$5=Year1,1,IF($C$5=Year2,2,IF($C$5=Year3,3,IF($C$5=Lookups!$D$40,"All"))))&amp;"!"&amp;CB$72&amp;$DE37)*100,0)</f>
        <v>4.271893828439878</v>
      </c>
      <c r="CC37" s="152" cm="1">
        <f t="array" aca="1" ref="CC37" ca="1">IFERROR(INDIRECT("Yr"&amp;IF($C$5=Year1,1,IF($C$5=Year2,2,IF($C$5=Year3,3,IF($C$5=Lookups!$D$40,"All"))))&amp;"!"&amp;CC$72&amp;$DE37)*100,0)</f>
        <v>4.271893828439878</v>
      </c>
      <c r="CD37" s="152" cm="1">
        <f t="array" aca="1" ref="CD37" ca="1">IFERROR(INDIRECT("Yr"&amp;IF($C$5=Year1,1,IF($C$5=Year2,2,IF($C$5=Year3,3,IF($C$5=Lookups!$D$40,"All"))))&amp;"!"&amp;CD$72&amp;$DE37)*100,0)</f>
        <v>4.271893828439878</v>
      </c>
      <c r="CE37" s="152" cm="1">
        <f t="array" aca="1" ref="CE37" ca="1">IFERROR(INDIRECT("Yr"&amp;IF($C$5=Year1,1,IF($C$5=Year2,2,IF($C$5=Year3,3,IF($C$5=Lookups!$D$40,"All"))))&amp;"!"&amp;CE$72&amp;$DE37)*100,0)</f>
        <v>4.271893828439878</v>
      </c>
      <c r="CF37" s="152" cm="1">
        <f t="array" aca="1" ref="CF37" ca="1">IFERROR(INDIRECT("Yr"&amp;IF($C$5=Year1,1,IF($C$5=Year2,2,IF($C$5=Year3,3,IF($C$5=Lookups!$D$40,"All"))))&amp;"!"&amp;CF$72&amp;$DE37)*100,0)</f>
        <v>4.271893828439878</v>
      </c>
      <c r="CG37" s="152" cm="1">
        <f t="array" aca="1" ref="CG37" ca="1">IFERROR(INDIRECT("Yr"&amp;IF($C$5=Year1,1,IF($C$5=Year2,2,IF($C$5=Year3,3,IF($C$5=Lookups!$D$40,"All"))))&amp;"!"&amp;CG$72&amp;$DE37)*100,0)</f>
        <v>4.271893828439878</v>
      </c>
      <c r="CH37" s="152" cm="1">
        <f t="array" aca="1" ref="CH37" ca="1">IFERROR(INDIRECT("Yr"&amp;IF($C$5=Year1,1,IF($C$5=Year2,2,IF($C$5=Year3,3,IF($C$5=Lookups!$D$40,"All"))))&amp;"!"&amp;CH$72&amp;$DE37)*100,0)</f>
        <v>4.271893828439878</v>
      </c>
      <c r="CI37" s="152" cm="1">
        <f t="array" aca="1" ref="CI37" ca="1">IFERROR(INDIRECT("Yr"&amp;IF($C$5=Year1,1,IF($C$5=Year2,2,IF($C$5=Year3,3,IF($C$5=Lookups!$D$40,"All"))))&amp;"!"&amp;CI$72&amp;$DE37)*100,0)</f>
        <v>4.271893828439878</v>
      </c>
      <c r="CJ37" s="152" cm="1">
        <f t="array" aca="1" ref="CJ37" ca="1">IFERROR(INDIRECT("Yr"&amp;IF($C$5=Year1,1,IF($C$5=Year2,2,IF($C$5=Year3,3,IF($C$5=Lookups!$D$40,"All"))))&amp;"!"&amp;CJ$72&amp;$DE37)*100,0)</f>
        <v>4.271893828439878</v>
      </c>
      <c r="CK37" s="152" cm="1">
        <f t="array" aca="1" ref="CK37" ca="1">IFERROR(INDIRECT("Yr"&amp;IF($C$5=Year1,1,IF($C$5=Year2,2,IF($C$5=Year3,3,IF($C$5=Lookups!$D$40,"All"))))&amp;"!"&amp;CK$72&amp;$DE37)*100,0)</f>
        <v>4.271893828439878</v>
      </c>
      <c r="CL37" s="152" cm="1">
        <f t="array" aca="1" ref="CL37" ca="1">IFERROR(INDIRECT("Yr"&amp;IF($C$5=Year1,1,IF($C$5=Year2,2,IF($C$5=Year3,3,IF($C$5=Lookups!$D$40,"All"))))&amp;"!"&amp;CL$72&amp;$DE37)*100,0)</f>
        <v>4.271893828439878</v>
      </c>
      <c r="CM37" s="152" cm="1">
        <f t="array" aca="1" ref="CM37" ca="1">IFERROR(INDIRECT("Yr"&amp;IF($C$5=Year1,1,IF($C$5=Year2,2,IF($C$5=Year3,3,IF($C$5=Lookups!$D$40,"All"))))&amp;"!"&amp;CM$72&amp;$DE37)*100,0)</f>
        <v>4.271893828439878</v>
      </c>
      <c r="CN37" s="152" cm="1">
        <f t="array" aca="1" ref="CN37" ca="1">IFERROR(INDIRECT("Yr"&amp;IF($C$5=Year1,1,IF($C$5=Year2,2,IF($C$5=Year3,3,IF($C$5=Lookups!$D$40,"All"))))&amp;"!"&amp;CN$72&amp;$DE37)*100,0)</f>
        <v>4.271893828439878</v>
      </c>
      <c r="CO37" s="152" cm="1">
        <f t="array" aca="1" ref="CO37" ca="1">IFERROR(INDIRECT("Yr"&amp;IF($C$5=Year1,1,IF($C$5=Year2,2,IF($C$5=Year3,3,IF($C$5=Lookups!$D$40,"All"))))&amp;"!"&amp;CO$72&amp;$DE37)*100,0)</f>
        <v>4.271893828439878</v>
      </c>
      <c r="CP37" s="152" cm="1">
        <f t="array" aca="1" ref="CP37" ca="1">IFERROR(INDIRECT("Yr"&amp;IF($C$5=Year1,1,IF($C$5=Year2,2,IF($C$5=Year3,3,IF($C$5=Lookups!$D$40,"All"))))&amp;"!"&amp;CP$72&amp;$DE37)*100,0)</f>
        <v>4.271893828439878</v>
      </c>
      <c r="CQ37" s="152" cm="1">
        <f t="array" aca="1" ref="CQ37" ca="1">IFERROR(INDIRECT("Yr"&amp;IF($C$5=Year1,1,IF($C$5=Year2,2,IF($C$5=Year3,3,IF($C$5=Lookups!$D$40,"All"))))&amp;"!"&amp;CQ$72&amp;$DE37)*100,0)</f>
        <v>4.271893828439878</v>
      </c>
      <c r="CR37" s="152" cm="1">
        <f t="array" aca="1" ref="CR37" ca="1">IFERROR(INDIRECT("Yr"&amp;IF($C$5=Year1,1,IF($C$5=Year2,2,IF($C$5=Year3,3,IF($C$5=Lookups!$D$40,"All"))))&amp;"!"&amp;CR$72&amp;$DE37)*100,0)</f>
        <v>4.271893828439878</v>
      </c>
      <c r="CS37" s="152" cm="1">
        <f t="array" aca="1" ref="CS37" ca="1">IFERROR(INDIRECT("Yr"&amp;IF($C$5=Year1,1,IF($C$5=Year2,2,IF($C$5=Year3,3,IF($C$5=Lookups!$D$40,"All"))))&amp;"!"&amp;CS$72&amp;$DE37)*100,0)</f>
        <v>4.271893828439878</v>
      </c>
      <c r="CT37" s="152" cm="1">
        <f t="array" aca="1" ref="CT37" ca="1">IFERROR(INDIRECT("Yr"&amp;IF($C$5=Year1,1,IF($C$5=Year2,2,IF($C$5=Year3,3,IF($C$5=Lookups!$D$40,"All"))))&amp;"!"&amp;CT$72&amp;$DE37)*100,0)</f>
        <v>4.271893828439878</v>
      </c>
      <c r="CU37" s="152" cm="1">
        <f t="array" aca="1" ref="CU37" ca="1">IFERROR(INDIRECT("Yr"&amp;IF($C$5=Year1,1,IF($C$5=Year2,2,IF($C$5=Year3,3,IF($C$5=Lookups!$D$40,"All"))))&amp;"!"&amp;CU$72&amp;$DE37)*100,0)</f>
        <v>4.271893828439878</v>
      </c>
      <c r="CV37" s="152" cm="1">
        <f t="array" aca="1" ref="CV37" ca="1">IFERROR(INDIRECT("Yr"&amp;IF($C$5=Year1,1,IF($C$5=Year2,2,IF($C$5=Year3,3,IF($C$5=Lookups!$D$40,"All"))))&amp;"!"&amp;CV$72&amp;$DE37)*100,0)</f>
        <v>4.271893828439878</v>
      </c>
      <c r="CW37" s="152" cm="1">
        <f t="array" aca="1" ref="CW37" ca="1">IFERROR(INDIRECT("Yr"&amp;IF($C$5=Year1,1,IF($C$5=Year2,2,IF($C$5=Year3,3,IF($C$5=Lookups!$D$40,"All"))))&amp;"!"&amp;CW$72&amp;$DE37)*100,0)</f>
        <v>4.271893828439878</v>
      </c>
      <c r="CX37" s="152" cm="1">
        <f t="array" aca="1" ref="CX37" ca="1">IFERROR(INDIRECT("Yr"&amp;IF($C$5=Year1,1,IF($C$5=Year2,2,IF($C$5=Year3,3,IF($C$5=Lookups!$D$40,"All"))))&amp;"!"&amp;CX$72&amp;$DE37)*100,0)</f>
        <v>4.271893828439878</v>
      </c>
      <c r="CY37" s="152" cm="1">
        <f t="array" aca="1" ref="CY37" ca="1">IFERROR(INDIRECT("Yr"&amp;IF($C$5=Year1,1,IF($C$5=Year2,2,IF($C$5=Year3,3,IF($C$5=Lookups!$D$40,"All"))))&amp;"!"&amp;CY$72&amp;$DE37)*100,0)</f>
        <v>4.271893828439878</v>
      </c>
      <c r="CZ37" s="152" cm="1">
        <f t="array" aca="1" ref="CZ37" ca="1">IFERROR(INDIRECT("Yr"&amp;IF($C$5=Year1,1,IF($C$5=Year2,2,IF($C$5=Year3,3,IF($C$5=Lookups!$D$40,"All"))))&amp;"!"&amp;CZ$72&amp;$DE37)*100,0)</f>
        <v>4.271893828439878</v>
      </c>
      <c r="DA37" s="152"/>
      <c r="DB37" s="152">
        <f ca="1">IF($C$5=Lookups!$D$40,-PMT(Lookups!$E$17,27,NPV(Lookups!$E$17,BZ37:CZ37),0,1),-PMT(Lookups!$E$17,25,NPV(Lookups!$E$17,BZ37:CX37),0,1))</f>
        <v>4.2123148733507403</v>
      </c>
      <c r="DE37" s="516">
        <f t="shared" ref="DE37:DE43" si="5">DE17</f>
        <v>293</v>
      </c>
    </row>
    <row r="38" spans="3:114" x14ac:dyDescent="0.25">
      <c r="BV38" s="343"/>
      <c r="BW38" s="346"/>
      <c r="BX38" s="131" t="s">
        <v>26</v>
      </c>
      <c r="BY38" s="131" t="s">
        <v>409</v>
      </c>
      <c r="BZ38" s="152" cm="1">
        <f t="array" aca="1" ref="BZ38" ca="1">IFERROR(INDIRECT("Yr"&amp;IF($C$5=Year1,1,IF($C$5=Year2,2,IF($C$5=Year3,3,IF($C$5=Lookups!$D$40,"All"))))&amp;"!"&amp;BZ$72&amp;$DE38)*100,0)</f>
        <v>12.590283722938759</v>
      </c>
      <c r="CA38" s="152" cm="1">
        <f t="array" aca="1" ref="CA38" ca="1">IFERROR(INDIRECT("Yr"&amp;IF($C$5=Year1,1,IF($C$5=Year2,2,IF($C$5=Year3,3,IF($C$5=Lookups!$D$40,"All"))))&amp;"!"&amp;CA$72&amp;$DE38)*100,0)</f>
        <v>13.603586381036278</v>
      </c>
      <c r="CB38" s="152" cm="1">
        <f t="array" aca="1" ref="CB38" ca="1">IFERROR(INDIRECT("Yr"&amp;IF($C$5=Year1,1,IF($C$5=Year2,2,IF($C$5=Year3,3,IF($C$5=Lookups!$D$40,"All"))))&amp;"!"&amp;CB$72&amp;$DE38)*100,0)</f>
        <v>14.980899231142336</v>
      </c>
      <c r="CC38" s="152" cm="1">
        <f t="array" aca="1" ref="CC38" ca="1">IFERROR(INDIRECT("Yr"&amp;IF($C$5=Year1,1,IF($C$5=Year2,2,IF($C$5=Year3,3,IF($C$5=Lookups!$D$40,"All"))))&amp;"!"&amp;CC$72&amp;$DE38)*100,0)</f>
        <v>14.980899231142336</v>
      </c>
      <c r="CD38" s="152" cm="1">
        <f t="array" aca="1" ref="CD38" ca="1">IFERROR(INDIRECT("Yr"&amp;IF($C$5=Year1,1,IF($C$5=Year2,2,IF($C$5=Year3,3,IF($C$5=Lookups!$D$40,"All"))))&amp;"!"&amp;CD$72&amp;$DE38)*100,0)</f>
        <v>14.980899231142336</v>
      </c>
      <c r="CE38" s="152" cm="1">
        <f t="array" aca="1" ref="CE38" ca="1">IFERROR(INDIRECT("Yr"&amp;IF($C$5=Year1,1,IF($C$5=Year2,2,IF($C$5=Year3,3,IF($C$5=Lookups!$D$40,"All"))))&amp;"!"&amp;CE$72&amp;$DE38)*100,0)</f>
        <v>14.980899231142336</v>
      </c>
      <c r="CF38" s="152" cm="1">
        <f t="array" aca="1" ref="CF38" ca="1">IFERROR(INDIRECT("Yr"&amp;IF($C$5=Year1,1,IF($C$5=Year2,2,IF($C$5=Year3,3,IF($C$5=Lookups!$D$40,"All"))))&amp;"!"&amp;CF$72&amp;$DE38)*100,0)</f>
        <v>14.980899231142336</v>
      </c>
      <c r="CG38" s="152" cm="1">
        <f t="array" aca="1" ref="CG38" ca="1">IFERROR(INDIRECT("Yr"&amp;IF($C$5=Year1,1,IF($C$5=Year2,2,IF($C$5=Year3,3,IF($C$5=Lookups!$D$40,"All"))))&amp;"!"&amp;CG$72&amp;$DE38)*100,0)</f>
        <v>14.980899231142336</v>
      </c>
      <c r="CH38" s="152" cm="1">
        <f t="array" aca="1" ref="CH38" ca="1">IFERROR(INDIRECT("Yr"&amp;IF($C$5=Year1,1,IF($C$5=Year2,2,IF($C$5=Year3,3,IF($C$5=Lookups!$D$40,"All"))))&amp;"!"&amp;CH$72&amp;$DE38)*100,0)</f>
        <v>14.980899231142336</v>
      </c>
      <c r="CI38" s="152" cm="1">
        <f t="array" aca="1" ref="CI38" ca="1">IFERROR(INDIRECT("Yr"&amp;IF($C$5=Year1,1,IF($C$5=Year2,2,IF($C$5=Year3,3,IF($C$5=Lookups!$D$40,"All"))))&amp;"!"&amp;CI$72&amp;$DE38)*100,0)</f>
        <v>14.980899231142336</v>
      </c>
      <c r="CJ38" s="152" cm="1">
        <f t="array" aca="1" ref="CJ38" ca="1">IFERROR(INDIRECT("Yr"&amp;IF($C$5=Year1,1,IF($C$5=Year2,2,IF($C$5=Year3,3,IF($C$5=Lookups!$D$40,"All"))))&amp;"!"&amp;CJ$72&amp;$DE38)*100,0)</f>
        <v>14.980899231142336</v>
      </c>
      <c r="CK38" s="152" cm="1">
        <f t="array" aca="1" ref="CK38" ca="1">IFERROR(INDIRECT("Yr"&amp;IF($C$5=Year1,1,IF($C$5=Year2,2,IF($C$5=Year3,3,IF($C$5=Lookups!$D$40,"All"))))&amp;"!"&amp;CK$72&amp;$DE38)*100,0)</f>
        <v>14.980899231142336</v>
      </c>
      <c r="CL38" s="152" cm="1">
        <f t="array" aca="1" ref="CL38" ca="1">IFERROR(INDIRECT("Yr"&amp;IF($C$5=Year1,1,IF($C$5=Year2,2,IF($C$5=Year3,3,IF($C$5=Lookups!$D$40,"All"))))&amp;"!"&amp;CL$72&amp;$DE38)*100,0)</f>
        <v>14.980899231142336</v>
      </c>
      <c r="CM38" s="152" cm="1">
        <f t="array" aca="1" ref="CM38" ca="1">IFERROR(INDIRECT("Yr"&amp;IF($C$5=Year1,1,IF($C$5=Year2,2,IF($C$5=Year3,3,IF($C$5=Lookups!$D$40,"All"))))&amp;"!"&amp;CM$72&amp;$DE38)*100,0)</f>
        <v>13.719874381474288</v>
      </c>
      <c r="CN38" s="152" cm="1">
        <f t="array" aca="1" ref="CN38" ca="1">IFERROR(INDIRECT("Yr"&amp;IF($C$5=Year1,1,IF($C$5=Year2,2,IF($C$5=Year3,3,IF($C$5=Lookups!$D$40,"All"))))&amp;"!"&amp;CN$72&amp;$DE38)*100,0)</f>
        <v>12.682504297971404</v>
      </c>
      <c r="CO38" s="152" cm="1">
        <f t="array" aca="1" ref="CO38" ca="1">IFERROR(INDIRECT("Yr"&amp;IF($C$5=Year1,1,IF($C$5=Year2,2,IF($C$5=Year3,3,IF($C$5=Lookups!$D$40,"All"))))&amp;"!"&amp;CO$72&amp;$DE38)*100,0)</f>
        <v>11.81</v>
      </c>
      <c r="CP38" s="152" cm="1">
        <f t="array" aca="1" ref="CP38" ca="1">IFERROR(INDIRECT("Yr"&amp;IF($C$5=Year1,1,IF($C$5=Year2,2,IF($C$5=Year3,3,IF($C$5=Lookups!$D$40,"All"))))&amp;"!"&amp;CP$72&amp;$DE38)*100,0)</f>
        <v>11.81</v>
      </c>
      <c r="CQ38" s="152" cm="1">
        <f t="array" aca="1" ref="CQ38" ca="1">IFERROR(INDIRECT("Yr"&amp;IF($C$5=Year1,1,IF($C$5=Year2,2,IF($C$5=Year3,3,IF($C$5=Lookups!$D$40,"All"))))&amp;"!"&amp;CQ$72&amp;$DE38)*100,0)</f>
        <v>11.81</v>
      </c>
      <c r="CR38" s="152" cm="1">
        <f t="array" aca="1" ref="CR38" ca="1">IFERROR(INDIRECT("Yr"&amp;IF($C$5=Year1,1,IF($C$5=Year2,2,IF($C$5=Year3,3,IF($C$5=Lookups!$D$40,"All"))))&amp;"!"&amp;CR$72&amp;$DE38)*100,0)</f>
        <v>11.81</v>
      </c>
      <c r="CS38" s="152" cm="1">
        <f t="array" aca="1" ref="CS38" ca="1">IFERROR(INDIRECT("Yr"&amp;IF($C$5=Year1,1,IF($C$5=Year2,2,IF($C$5=Year3,3,IF($C$5=Lookups!$D$40,"All"))))&amp;"!"&amp;CS$72&amp;$DE38)*100,0)</f>
        <v>11.81</v>
      </c>
      <c r="CT38" s="152" cm="1">
        <f t="array" aca="1" ref="CT38" ca="1">IFERROR(INDIRECT("Yr"&amp;IF($C$5=Year1,1,IF($C$5=Year2,2,IF($C$5=Year3,3,IF($C$5=Lookups!$D$40,"All"))))&amp;"!"&amp;CT$72&amp;$DE38)*100,0)</f>
        <v>11.81</v>
      </c>
      <c r="CU38" s="152" cm="1">
        <f t="array" aca="1" ref="CU38" ca="1">IFERROR(INDIRECT("Yr"&amp;IF($C$5=Year1,1,IF($C$5=Year2,2,IF($C$5=Year3,3,IF($C$5=Lookups!$D$40,"All"))))&amp;"!"&amp;CU$72&amp;$DE38)*100,0)</f>
        <v>11.81</v>
      </c>
      <c r="CV38" s="152" cm="1">
        <f t="array" aca="1" ref="CV38" ca="1">IFERROR(INDIRECT("Yr"&amp;IF($C$5=Year1,1,IF($C$5=Year2,2,IF($C$5=Year3,3,IF($C$5=Lookups!$D$40,"All"))))&amp;"!"&amp;CV$72&amp;$DE38)*100,0)</f>
        <v>11.81</v>
      </c>
      <c r="CW38" s="152" cm="1">
        <f t="array" aca="1" ref="CW38" ca="1">IFERROR(INDIRECT("Yr"&amp;IF($C$5=Year1,1,IF($C$5=Year2,2,IF($C$5=Year3,3,IF($C$5=Lookups!$D$40,"All"))))&amp;"!"&amp;CW$72&amp;$DE38)*100,0)</f>
        <v>11.81</v>
      </c>
      <c r="CX38" s="152" cm="1">
        <f t="array" aca="1" ref="CX38" ca="1">IFERROR(INDIRECT("Yr"&amp;IF($C$5=Year1,1,IF($C$5=Year2,2,IF($C$5=Year3,3,IF($C$5=Lookups!$D$40,"All"))))&amp;"!"&amp;CX$72&amp;$DE38)*100,0)</f>
        <v>11.81</v>
      </c>
      <c r="CY38" s="152" cm="1">
        <f t="array" aca="1" ref="CY38" ca="1">IFERROR(INDIRECT("Yr"&amp;IF($C$5=Year1,1,IF($C$5=Year2,2,IF($C$5=Year3,3,IF($C$5=Lookups!$D$40,"All"))))&amp;"!"&amp;CY$72&amp;$DE38)*100,0)</f>
        <v>11.81</v>
      </c>
      <c r="CZ38" s="152" cm="1">
        <f t="array" aca="1" ref="CZ38" ca="1">IFERROR(INDIRECT("Yr"&amp;IF($C$5=Year1,1,IF($C$5=Year2,2,IF($C$5=Year3,3,IF($C$5=Lookups!$D$40,"All"))))&amp;"!"&amp;CZ$72&amp;$DE38)*100,0)</f>
        <v>11.81</v>
      </c>
      <c r="DA38" s="152"/>
      <c r="DB38" s="152">
        <f ca="1">IF($C$5=Lookups!$D$40,-PMT(Lookups!$E$17,27,NPV(Lookups!$E$17,BZ38:CZ38),0,1),-PMT(Lookups!$E$17,25,NPV(Lookups!$E$17,BZ38:CX38),0,1))</f>
        <v>13.235851819577173</v>
      </c>
      <c r="DE38" s="516">
        <f t="shared" si="5"/>
        <v>289</v>
      </c>
    </row>
    <row r="39" spans="3:114" ht="18.75" x14ac:dyDescent="0.3">
      <c r="C39" s="94" t="str">
        <f>"Total Rates: "&amp;Lookups!$D$22</f>
        <v>Total Rates: No EE</v>
      </c>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K39" s="101" t="str">
        <f>"Change in Rates: "&amp;Lookups!$D$23&amp;" v "&amp;Lookups!$D$24</f>
        <v>Change in Rates: 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V39" s="343"/>
      <c r="BW39" s="346"/>
      <c r="BX39" s="131" t="s">
        <v>407</v>
      </c>
      <c r="BY39" s="131" t="s">
        <v>409</v>
      </c>
      <c r="BZ39" s="152" cm="1">
        <f t="array" aca="1" ref="BZ39" ca="1">IFERROR(INDIRECT("Yr"&amp;IF($C$5=Year1,1,IF($C$5=Year2,2,IF($C$5=Year3,3,IF($C$5=Lookups!$D$40,"All"))))&amp;"!"&amp;BZ$72&amp;$DE39)*100,0)</f>
        <v>0.57403752813149922</v>
      </c>
      <c r="CA39" s="152" cm="1">
        <f t="array" aca="1" ref="CA39" ca="1">IFERROR(INDIRECT("Yr"&amp;IF($C$5=Year1,1,IF($C$5=Year2,2,IF($C$5=Year3,3,IF($C$5=Lookups!$D$40,"All"))))&amp;"!"&amp;CA$72&amp;$DE39)*100,0)</f>
        <v>0.64421479882944599</v>
      </c>
      <c r="CB39" s="152" cm="1">
        <f t="array" aca="1" ref="CB39" ca="1">IFERROR(INDIRECT("Yr"&amp;IF($C$5=Year1,1,IF($C$5=Year2,2,IF($C$5=Year3,3,IF($C$5=Lookups!$D$40,"All"))))&amp;"!"&amp;CB$72&amp;$DE39)*100,0)</f>
        <v>0.7395883896570401</v>
      </c>
      <c r="CC39" s="152" cm="1">
        <f t="array" aca="1" ref="CC39" ca="1">IFERROR(INDIRECT("Yr"&amp;IF($C$5=Year1,1,IF($C$5=Year2,2,IF($C$5=Year3,3,IF($C$5=Lookups!$D$40,"All"))))&amp;"!"&amp;CC$72&amp;$DE39)*100,0)</f>
        <v>0.7395883896570401</v>
      </c>
      <c r="CD39" s="152" cm="1">
        <f t="array" aca="1" ref="CD39" ca="1">IFERROR(INDIRECT("Yr"&amp;IF($C$5=Year1,1,IF($C$5=Year2,2,IF($C$5=Year3,3,IF($C$5=Lookups!$D$40,"All"))))&amp;"!"&amp;CD$72&amp;$DE39)*100,0)</f>
        <v>0.7395883896570401</v>
      </c>
      <c r="CE39" s="152" cm="1">
        <f t="array" aca="1" ref="CE39" ca="1">IFERROR(INDIRECT("Yr"&amp;IF($C$5=Year1,1,IF($C$5=Year2,2,IF($C$5=Year3,3,IF($C$5=Lookups!$D$40,"All"))))&amp;"!"&amp;CE$72&amp;$DE39)*100,0)</f>
        <v>0.7395883896570401</v>
      </c>
      <c r="CF39" s="152" cm="1">
        <f t="array" aca="1" ref="CF39" ca="1">IFERROR(INDIRECT("Yr"&amp;IF($C$5=Year1,1,IF($C$5=Year2,2,IF($C$5=Year3,3,IF($C$5=Lookups!$D$40,"All"))))&amp;"!"&amp;CF$72&amp;$DE39)*100,0)</f>
        <v>0.7395883896570401</v>
      </c>
      <c r="CG39" s="152" cm="1">
        <f t="array" aca="1" ref="CG39" ca="1">IFERROR(INDIRECT("Yr"&amp;IF($C$5=Year1,1,IF($C$5=Year2,2,IF($C$5=Year3,3,IF($C$5=Lookups!$D$40,"All"))))&amp;"!"&amp;CG$72&amp;$DE39)*100,0)</f>
        <v>0.7395883896570401</v>
      </c>
      <c r="CH39" s="152" cm="1">
        <f t="array" aca="1" ref="CH39" ca="1">IFERROR(INDIRECT("Yr"&amp;IF($C$5=Year1,1,IF($C$5=Year2,2,IF($C$5=Year3,3,IF($C$5=Lookups!$D$40,"All"))))&amp;"!"&amp;CH$72&amp;$DE39)*100,0)</f>
        <v>0.7395883896570401</v>
      </c>
      <c r="CI39" s="152" cm="1">
        <f t="array" aca="1" ref="CI39" ca="1">IFERROR(INDIRECT("Yr"&amp;IF($C$5=Year1,1,IF($C$5=Year2,2,IF($C$5=Year3,3,IF($C$5=Lookups!$D$40,"All"))))&amp;"!"&amp;CI$72&amp;$DE39)*100,0)</f>
        <v>0.7395883896570401</v>
      </c>
      <c r="CJ39" s="152" cm="1">
        <f t="array" aca="1" ref="CJ39" ca="1">IFERROR(INDIRECT("Yr"&amp;IF($C$5=Year1,1,IF($C$5=Year2,2,IF($C$5=Year3,3,IF($C$5=Lookups!$D$40,"All"))))&amp;"!"&amp;CJ$72&amp;$DE39)*100,0)</f>
        <v>0.7395883896570401</v>
      </c>
      <c r="CK39" s="152" cm="1">
        <f t="array" aca="1" ref="CK39" ca="1">IFERROR(INDIRECT("Yr"&amp;IF($C$5=Year1,1,IF($C$5=Year2,2,IF($C$5=Year3,3,IF($C$5=Lookups!$D$40,"All"))))&amp;"!"&amp;CK$72&amp;$DE39)*100,0)</f>
        <v>0.7395883896570401</v>
      </c>
      <c r="CL39" s="152" cm="1">
        <f t="array" aca="1" ref="CL39" ca="1">IFERROR(INDIRECT("Yr"&amp;IF($C$5=Year1,1,IF($C$5=Year2,2,IF($C$5=Year3,3,IF($C$5=Lookups!$D$40,"All"))))&amp;"!"&amp;CL$72&amp;$DE39)*100,0)</f>
        <v>0.7395883896570401</v>
      </c>
      <c r="CM39" s="152" cm="1">
        <f t="array" aca="1" ref="CM39" ca="1">IFERROR(INDIRECT("Yr"&amp;IF($C$5=Year1,1,IF($C$5=Year2,2,IF($C$5=Year3,3,IF($C$5=Lookups!$D$40,"All"))))&amp;"!"&amp;CM$72&amp;$DE39)*100,0)</f>
        <v>0.6522587188160206</v>
      </c>
      <c r="CN39" s="152" cm="1">
        <f t="array" aca="1" ref="CN39" ca="1">IFERROR(INDIRECT("Yr"&amp;IF($C$5=Year1,1,IF($C$5=Year2,2,IF($C$5=Year3,3,IF($C$5=Lookups!$D$40,"All"))))&amp;"!"&amp;CN$72&amp;$DE39)*100,0)</f>
        <v>0.5804157055105279</v>
      </c>
      <c r="CO39" s="152" cm="1">
        <f t="array" aca="1" ref="CO39" ca="1">IFERROR(INDIRECT("Yr"&amp;IF($C$5=Year1,1,IF($C$5=Year2,2,IF($C$5=Year3,3,IF($C$5=Lookups!$D$40,"All"))))&amp;"!"&amp;CO$72&amp;$DE39)*100,0)</f>
        <v>0.52000000000000035</v>
      </c>
      <c r="CP39" s="152" cm="1">
        <f t="array" aca="1" ref="CP39" ca="1">IFERROR(INDIRECT("Yr"&amp;IF($C$5=Year1,1,IF($C$5=Year2,2,IF($C$5=Year3,3,IF($C$5=Lookups!$D$40,"All"))))&amp;"!"&amp;CP$72&amp;$DE39)*100,0)</f>
        <v>0.52000000000000035</v>
      </c>
      <c r="CQ39" s="152" cm="1">
        <f t="array" aca="1" ref="CQ39" ca="1">IFERROR(INDIRECT("Yr"&amp;IF($C$5=Year1,1,IF($C$5=Year2,2,IF($C$5=Year3,3,IF($C$5=Lookups!$D$40,"All"))))&amp;"!"&amp;CQ$72&amp;$DE39)*100,0)</f>
        <v>0.52000000000000035</v>
      </c>
      <c r="CR39" s="152" cm="1">
        <f t="array" aca="1" ref="CR39" ca="1">IFERROR(INDIRECT("Yr"&amp;IF($C$5=Year1,1,IF($C$5=Year2,2,IF($C$5=Year3,3,IF($C$5=Lookups!$D$40,"All"))))&amp;"!"&amp;CR$72&amp;$DE39)*100,0)</f>
        <v>0.52000000000000035</v>
      </c>
      <c r="CS39" s="152" cm="1">
        <f t="array" aca="1" ref="CS39" ca="1">IFERROR(INDIRECT("Yr"&amp;IF($C$5=Year1,1,IF($C$5=Year2,2,IF($C$5=Year3,3,IF($C$5=Lookups!$D$40,"All"))))&amp;"!"&amp;CS$72&amp;$DE39)*100,0)</f>
        <v>0.52000000000000035</v>
      </c>
      <c r="CT39" s="152" cm="1">
        <f t="array" aca="1" ref="CT39" ca="1">IFERROR(INDIRECT("Yr"&amp;IF($C$5=Year1,1,IF($C$5=Year2,2,IF($C$5=Year3,3,IF($C$5=Lookups!$D$40,"All"))))&amp;"!"&amp;CT$72&amp;$DE39)*100,0)</f>
        <v>0.52000000000000035</v>
      </c>
      <c r="CU39" s="152" cm="1">
        <f t="array" aca="1" ref="CU39" ca="1">IFERROR(INDIRECT("Yr"&amp;IF($C$5=Year1,1,IF($C$5=Year2,2,IF($C$5=Year3,3,IF($C$5=Lookups!$D$40,"All"))))&amp;"!"&amp;CU$72&amp;$DE39)*100,0)</f>
        <v>0.52000000000000035</v>
      </c>
      <c r="CV39" s="152" cm="1">
        <f t="array" aca="1" ref="CV39" ca="1">IFERROR(INDIRECT("Yr"&amp;IF($C$5=Year1,1,IF($C$5=Year2,2,IF($C$5=Year3,3,IF($C$5=Lookups!$D$40,"All"))))&amp;"!"&amp;CV$72&amp;$DE39)*100,0)</f>
        <v>0.52000000000000035</v>
      </c>
      <c r="CW39" s="152" cm="1">
        <f t="array" aca="1" ref="CW39" ca="1">IFERROR(INDIRECT("Yr"&amp;IF($C$5=Year1,1,IF($C$5=Year2,2,IF($C$5=Year3,3,IF($C$5=Lookups!$D$40,"All"))))&amp;"!"&amp;CW$72&amp;$DE39)*100,0)</f>
        <v>0.52000000000000035</v>
      </c>
      <c r="CX39" s="152" cm="1">
        <f t="array" aca="1" ref="CX39" ca="1">IFERROR(INDIRECT("Yr"&amp;IF($C$5=Year1,1,IF($C$5=Year2,2,IF($C$5=Year3,3,IF($C$5=Lookups!$D$40,"All"))))&amp;"!"&amp;CX$72&amp;$DE39)*100,0)</f>
        <v>0.52000000000000035</v>
      </c>
      <c r="CY39" s="152" cm="1">
        <f t="array" aca="1" ref="CY39" ca="1">IFERROR(INDIRECT("Yr"&amp;IF($C$5=Year1,1,IF($C$5=Year2,2,IF($C$5=Year3,3,IF($C$5=Lookups!$D$40,"All"))))&amp;"!"&amp;CY$72&amp;$DE39)*100,0)</f>
        <v>0.52000000000000035</v>
      </c>
      <c r="CZ39" s="152" cm="1">
        <f t="array" aca="1" ref="CZ39" ca="1">IFERROR(INDIRECT("Yr"&amp;IF($C$5=Year1,1,IF($C$5=Year2,2,IF($C$5=Year3,3,IF($C$5=Lookups!$D$40,"All"))))&amp;"!"&amp;CZ$72&amp;$DE39)*100,0)</f>
        <v>0.52000000000000035</v>
      </c>
      <c r="DA39" s="152"/>
      <c r="DB39" s="152">
        <f ca="1">IF($C$5=Lookups!$D$40,-PMT(Lookups!$E$17,27,NPV(Lookups!$E$17,BZ39:CZ39),0,1),-PMT(Lookups!$E$17,25,NPV(Lookups!$E$17,BZ39:CX39),0,1))</f>
        <v>0.62289606110479512</v>
      </c>
      <c r="DE39" s="516">
        <f t="shared" si="5"/>
        <v>290</v>
      </c>
    </row>
    <row r="40" spans="3:114" x14ac:dyDescent="0.25">
      <c r="BV40" s="343"/>
      <c r="BW40" s="346"/>
      <c r="BX40" s="131" t="s">
        <v>197</v>
      </c>
      <c r="BY40" s="131" t="s">
        <v>409</v>
      </c>
      <c r="BZ40" s="152" cm="1">
        <f t="array" aca="1" ref="BZ40" ca="1">IFERROR(INDIRECT("Yr"&amp;IF($C$5=Year1,1,IF($C$5=Year2,2,IF($C$5=Year3,3,IF($C$5=Lookups!$D$40,"All"))))&amp;"!"&amp;BZ$72&amp;$DE40)*100,0)</f>
        <v>61.544913840189039</v>
      </c>
      <c r="CA40" s="152" cm="1">
        <f t="array" aca="1" ref="CA40" ca="1">IFERROR(INDIRECT("Yr"&amp;IF($C$5=Year1,1,IF($C$5=Year2,2,IF($C$5=Year3,3,IF($C$5=Lookups!$D$40,"All"))))&amp;"!"&amp;CA$72&amp;$DE40)*100,0)</f>
        <v>61.083476301380792</v>
      </c>
      <c r="CB40" s="152" cm="1">
        <f t="array" aca="1" ref="CB40" ca="1">IFERROR(INDIRECT("Yr"&amp;IF($C$5=Year1,1,IF($C$5=Year2,2,IF($C$5=Year3,3,IF($C$5=Lookups!$D$40,"All"))))&amp;"!"&amp;CB$72&amp;$DE40)*100,0)</f>
        <v>60.45823267961913</v>
      </c>
      <c r="CC40" s="152" cm="1">
        <f t="array" aca="1" ref="CC40" ca="1">IFERROR(INDIRECT("Yr"&amp;IF($C$5=Year1,1,IF($C$5=Year2,2,IF($C$5=Year3,3,IF($C$5=Lookups!$D$40,"All"))))&amp;"!"&amp;CC$72&amp;$DE40)*100,0)</f>
        <v>60.45823267961913</v>
      </c>
      <c r="CD40" s="152" cm="1">
        <f t="array" aca="1" ref="CD40" ca="1">IFERROR(INDIRECT("Yr"&amp;IF($C$5=Year1,1,IF($C$5=Year2,2,IF($C$5=Year3,3,IF($C$5=Lookups!$D$40,"All"))))&amp;"!"&amp;CD$72&amp;$DE40)*100,0)</f>
        <v>60.45823267961913</v>
      </c>
      <c r="CE40" s="152" cm="1">
        <f t="array" aca="1" ref="CE40" ca="1">IFERROR(INDIRECT("Yr"&amp;IF($C$5=Year1,1,IF($C$5=Year2,2,IF($C$5=Year3,3,IF($C$5=Lookups!$D$40,"All"))))&amp;"!"&amp;CE$72&amp;$DE40)*100,0)</f>
        <v>60.45823267961913</v>
      </c>
      <c r="CF40" s="152" cm="1">
        <f t="array" aca="1" ref="CF40" ca="1">IFERROR(INDIRECT("Yr"&amp;IF($C$5=Year1,1,IF($C$5=Year2,2,IF($C$5=Year3,3,IF($C$5=Lookups!$D$40,"All"))))&amp;"!"&amp;CF$72&amp;$DE40)*100,0)</f>
        <v>60.45823267961913</v>
      </c>
      <c r="CG40" s="152" cm="1">
        <f t="array" aca="1" ref="CG40" ca="1">IFERROR(INDIRECT("Yr"&amp;IF($C$5=Year1,1,IF($C$5=Year2,2,IF($C$5=Year3,3,IF($C$5=Lookups!$D$40,"All"))))&amp;"!"&amp;CG$72&amp;$DE40)*100,0)</f>
        <v>60.45823267961913</v>
      </c>
      <c r="CH40" s="152" cm="1">
        <f t="array" aca="1" ref="CH40" ca="1">IFERROR(INDIRECT("Yr"&amp;IF($C$5=Year1,1,IF($C$5=Year2,2,IF($C$5=Year3,3,IF($C$5=Lookups!$D$40,"All"))))&amp;"!"&amp;CH$72&amp;$DE40)*100,0)</f>
        <v>60.45823267961913</v>
      </c>
      <c r="CI40" s="152" cm="1">
        <f t="array" aca="1" ref="CI40" ca="1">IFERROR(INDIRECT("Yr"&amp;IF($C$5=Year1,1,IF($C$5=Year2,2,IF($C$5=Year3,3,IF($C$5=Lookups!$D$40,"All"))))&amp;"!"&amp;CI$72&amp;$DE40)*100,0)</f>
        <v>60.45823267961913</v>
      </c>
      <c r="CJ40" s="152" cm="1">
        <f t="array" aca="1" ref="CJ40" ca="1">IFERROR(INDIRECT("Yr"&amp;IF($C$5=Year1,1,IF($C$5=Year2,2,IF($C$5=Year3,3,IF($C$5=Lookups!$D$40,"All"))))&amp;"!"&amp;CJ$72&amp;$DE40)*100,0)</f>
        <v>60.45823267961913</v>
      </c>
      <c r="CK40" s="152" cm="1">
        <f t="array" aca="1" ref="CK40" ca="1">IFERROR(INDIRECT("Yr"&amp;IF($C$5=Year1,1,IF($C$5=Year2,2,IF($C$5=Year3,3,IF($C$5=Lookups!$D$40,"All"))))&amp;"!"&amp;CK$72&amp;$DE40)*100,0)</f>
        <v>60.45823267961913</v>
      </c>
      <c r="CL40" s="152" cm="1">
        <f t="array" aca="1" ref="CL40" ca="1">IFERROR(INDIRECT("Yr"&amp;IF($C$5=Year1,1,IF($C$5=Year2,2,IF($C$5=Year3,3,IF($C$5=Lookups!$D$40,"All"))))&amp;"!"&amp;CL$72&amp;$DE40)*100,0)</f>
        <v>60.45823267961913</v>
      </c>
      <c r="CM40" s="152" cm="1">
        <f t="array" aca="1" ref="CM40" ca="1">IFERROR(INDIRECT("Yr"&amp;IF($C$5=Year1,1,IF($C$5=Year2,2,IF($C$5=Year3,3,IF($C$5=Lookups!$D$40,"All"))))&amp;"!"&amp;CM$72&amp;$DE40)*100,0)</f>
        <v>61.03194671415055</v>
      </c>
      <c r="CN40" s="152" cm="1">
        <f t="array" aca="1" ref="CN40" ca="1">IFERROR(INDIRECT("Yr"&amp;IF($C$5=Year1,1,IF($C$5=Year2,2,IF($C$5=Year3,3,IF($C$5=Lookups!$D$40,"All"))))&amp;"!"&amp;CN$72&amp;$DE40)*100,0)</f>
        <v>61.504187047300555</v>
      </c>
      <c r="CO40" s="152" cm="1">
        <f t="array" aca="1" ref="CO40" ca="1">IFERROR(INDIRECT("Yr"&amp;IF($C$5=Year1,1,IF($C$5=Year2,2,IF($C$5=Year3,3,IF($C$5=Lookups!$D$40,"All"))))&amp;"!"&amp;CO$72&amp;$DE40)*100,0)</f>
        <v>61.9</v>
      </c>
      <c r="CP40" s="152" cm="1">
        <f t="array" aca="1" ref="CP40" ca="1">IFERROR(INDIRECT("Yr"&amp;IF($C$5=Year1,1,IF($C$5=Year2,2,IF($C$5=Year3,3,IF($C$5=Lookups!$D$40,"All"))))&amp;"!"&amp;CP$72&amp;$DE40)*100,0)</f>
        <v>61.9</v>
      </c>
      <c r="CQ40" s="152" cm="1">
        <f t="array" aca="1" ref="CQ40" ca="1">IFERROR(INDIRECT("Yr"&amp;IF($C$5=Year1,1,IF($C$5=Year2,2,IF($C$5=Year3,3,IF($C$5=Lookups!$D$40,"All"))))&amp;"!"&amp;CQ$72&amp;$DE40)*100,0)</f>
        <v>61.9</v>
      </c>
      <c r="CR40" s="152" cm="1">
        <f t="array" aca="1" ref="CR40" ca="1">IFERROR(INDIRECT("Yr"&amp;IF($C$5=Year1,1,IF($C$5=Year2,2,IF($C$5=Year3,3,IF($C$5=Lookups!$D$40,"All"))))&amp;"!"&amp;CR$72&amp;$DE40)*100,0)</f>
        <v>61.9</v>
      </c>
      <c r="CS40" s="152" cm="1">
        <f t="array" aca="1" ref="CS40" ca="1">IFERROR(INDIRECT("Yr"&amp;IF($C$5=Year1,1,IF($C$5=Year2,2,IF($C$5=Year3,3,IF($C$5=Lookups!$D$40,"All"))))&amp;"!"&amp;CS$72&amp;$DE40)*100,0)</f>
        <v>61.9</v>
      </c>
      <c r="CT40" s="152" cm="1">
        <f t="array" aca="1" ref="CT40" ca="1">IFERROR(INDIRECT("Yr"&amp;IF($C$5=Year1,1,IF($C$5=Year2,2,IF($C$5=Year3,3,IF($C$5=Lookups!$D$40,"All"))))&amp;"!"&amp;CT$72&amp;$DE40)*100,0)</f>
        <v>61.9</v>
      </c>
      <c r="CU40" s="152" cm="1">
        <f t="array" aca="1" ref="CU40" ca="1">IFERROR(INDIRECT("Yr"&amp;IF($C$5=Year1,1,IF($C$5=Year2,2,IF($C$5=Year3,3,IF($C$5=Lookups!$D$40,"All"))))&amp;"!"&amp;CU$72&amp;$DE40)*100,0)</f>
        <v>61.9</v>
      </c>
      <c r="CV40" s="152" cm="1">
        <f t="array" aca="1" ref="CV40" ca="1">IFERROR(INDIRECT("Yr"&amp;IF($C$5=Year1,1,IF($C$5=Year2,2,IF($C$5=Year3,3,IF($C$5=Lookups!$D$40,"All"))))&amp;"!"&amp;CV$72&amp;$DE40)*100,0)</f>
        <v>61.9</v>
      </c>
      <c r="CW40" s="152" cm="1">
        <f t="array" aca="1" ref="CW40" ca="1">IFERROR(INDIRECT("Yr"&amp;IF($C$5=Year1,1,IF($C$5=Year2,2,IF($C$5=Year3,3,IF($C$5=Lookups!$D$40,"All"))))&amp;"!"&amp;CW$72&amp;$DE40)*100,0)</f>
        <v>61.9</v>
      </c>
      <c r="CX40" s="152" cm="1">
        <f t="array" aca="1" ref="CX40" ca="1">IFERROR(INDIRECT("Yr"&amp;IF($C$5=Year1,1,IF($C$5=Year2,2,IF($C$5=Year3,3,IF($C$5=Lookups!$D$40,"All"))))&amp;"!"&amp;CX$72&amp;$DE40)*100,0)</f>
        <v>61.9</v>
      </c>
      <c r="CY40" s="152" cm="1">
        <f t="array" aca="1" ref="CY40" ca="1">IFERROR(INDIRECT("Yr"&amp;IF($C$5=Year1,1,IF($C$5=Year2,2,IF($C$5=Year3,3,IF($C$5=Lookups!$D$40,"All"))))&amp;"!"&amp;CY$72&amp;$DE40)*100,0)</f>
        <v>61.9</v>
      </c>
      <c r="CZ40" s="152" cm="1">
        <f t="array" aca="1" ref="CZ40" ca="1">IFERROR(INDIRECT("Yr"&amp;IF($C$5=Year1,1,IF($C$5=Year2,2,IF($C$5=Year3,3,IF($C$5=Lookups!$D$40,"All"))))&amp;"!"&amp;CZ$72&amp;$DE40)*100,0)</f>
        <v>61.9</v>
      </c>
      <c r="DA40" s="152"/>
      <c r="DB40" s="152">
        <f ca="1">IF($C$5=Lookups!$D$40,-PMT(Lookups!$E$17,27,NPV(Lookups!$E$17,BZ40:CZ40),0,1),-PMT(Lookups!$E$17,25,NPV(Lookups!$E$17,BZ40:CX40),0,1))</f>
        <v>60.313477368194739</v>
      </c>
      <c r="DE40" s="516">
        <f t="shared" si="5"/>
        <v>291</v>
      </c>
    </row>
    <row r="41" spans="3:114" x14ac:dyDescent="0.25">
      <c r="BV41" s="343"/>
      <c r="BW41" s="346"/>
      <c r="BX41" s="131" t="s">
        <v>405</v>
      </c>
      <c r="BY41" s="131" t="s">
        <v>409</v>
      </c>
      <c r="BZ41" s="152" cm="1">
        <f t="array" aca="1" ref="BZ41" ca="1">IFERROR(INDIRECT("Yr"&amp;IF($C$5=Year1,1,IF($C$5=Year2,2,IF($C$5=Year3,3,IF($C$5=Lookups!$D$40,"All"))))&amp;"!"&amp;BZ$72&amp;$DE41)*100,0)</f>
        <v>17.09430966134309</v>
      </c>
      <c r="CA41" s="152" cm="1">
        <f t="array" aca="1" ref="CA41" ca="1">IFERROR(INDIRECT("Yr"&amp;IF($C$5=Year1,1,IF($C$5=Year2,2,IF($C$5=Year3,3,IF($C$5=Lookups!$D$40,"All"))))&amp;"!"&amp;CA$72&amp;$DE41)*100,0)</f>
        <v>17.912293874470269</v>
      </c>
      <c r="CB41" s="152" cm="1">
        <f t="array" aca="1" ref="CB41" ca="1">IFERROR(INDIRECT("Yr"&amp;IF($C$5=Year1,1,IF($C$5=Year2,2,IF($C$5=Year3,3,IF($C$5=Lookups!$D$40,"All"))))&amp;"!"&amp;CB$72&amp;$DE41)*100,0)</f>
        <v>19.050121298638214</v>
      </c>
      <c r="CC41" s="152" cm="1">
        <f t="array" aca="1" ref="CC41" ca="1">IFERROR(INDIRECT("Yr"&amp;IF($C$5=Year1,1,IF($C$5=Year2,2,IF($C$5=Year3,3,IF($C$5=Lookups!$D$40,"All"))))&amp;"!"&amp;CC$72&amp;$DE41)*100,0)</f>
        <v>0</v>
      </c>
      <c r="CD41" s="152" cm="1">
        <f t="array" aca="1" ref="CD41" ca="1">IFERROR(INDIRECT("Yr"&amp;IF($C$5=Year1,1,IF($C$5=Year2,2,IF($C$5=Year3,3,IF($C$5=Lookups!$D$40,"All"))))&amp;"!"&amp;CD$72&amp;$DE41)*100,0)</f>
        <v>0</v>
      </c>
      <c r="CE41" s="152" cm="1">
        <f t="array" aca="1" ref="CE41" ca="1">IFERROR(INDIRECT("Yr"&amp;IF($C$5=Year1,1,IF($C$5=Year2,2,IF($C$5=Year3,3,IF($C$5=Lookups!$D$40,"All"))))&amp;"!"&amp;CE$72&amp;$DE41)*100,0)</f>
        <v>0</v>
      </c>
      <c r="CF41" s="152" cm="1">
        <f t="array" aca="1" ref="CF41" ca="1">IFERROR(INDIRECT("Yr"&amp;IF($C$5=Year1,1,IF($C$5=Year2,2,IF($C$5=Year3,3,IF($C$5=Lookups!$D$40,"All"))))&amp;"!"&amp;CF$72&amp;$DE41)*100,0)</f>
        <v>0</v>
      </c>
      <c r="CG41" s="152" cm="1">
        <f t="array" aca="1" ref="CG41" ca="1">IFERROR(INDIRECT("Yr"&amp;IF($C$5=Year1,1,IF($C$5=Year2,2,IF($C$5=Year3,3,IF($C$5=Lookups!$D$40,"All"))))&amp;"!"&amp;CG$72&amp;$DE41)*100,0)</f>
        <v>0</v>
      </c>
      <c r="CH41" s="152" cm="1">
        <f t="array" aca="1" ref="CH41" ca="1">IFERROR(INDIRECT("Yr"&amp;IF($C$5=Year1,1,IF($C$5=Year2,2,IF($C$5=Year3,3,IF($C$5=Lookups!$D$40,"All"))))&amp;"!"&amp;CH$72&amp;$DE41)*100,0)</f>
        <v>0</v>
      </c>
      <c r="CI41" s="152" cm="1">
        <f t="array" aca="1" ref="CI41" ca="1">IFERROR(INDIRECT("Yr"&amp;IF($C$5=Year1,1,IF($C$5=Year2,2,IF($C$5=Year3,3,IF($C$5=Lookups!$D$40,"All"))))&amp;"!"&amp;CI$72&amp;$DE41)*100,0)</f>
        <v>0</v>
      </c>
      <c r="CJ41" s="152" cm="1">
        <f t="array" aca="1" ref="CJ41" ca="1">IFERROR(INDIRECT("Yr"&amp;IF($C$5=Year1,1,IF($C$5=Year2,2,IF($C$5=Year3,3,IF($C$5=Lookups!$D$40,"All"))))&amp;"!"&amp;CJ$72&amp;$DE41)*100,0)</f>
        <v>0</v>
      </c>
      <c r="CK41" s="152" cm="1">
        <f t="array" aca="1" ref="CK41" ca="1">IFERROR(INDIRECT("Yr"&amp;IF($C$5=Year1,1,IF($C$5=Year2,2,IF($C$5=Year3,3,IF($C$5=Lookups!$D$40,"All"))))&amp;"!"&amp;CK$72&amp;$DE41)*100,0)</f>
        <v>0</v>
      </c>
      <c r="CL41" s="152" cm="1">
        <f t="array" aca="1" ref="CL41" ca="1">IFERROR(INDIRECT("Yr"&amp;IF($C$5=Year1,1,IF($C$5=Year2,2,IF($C$5=Year3,3,IF($C$5=Lookups!$D$40,"All"))))&amp;"!"&amp;CL$72&amp;$DE41)*100,0)</f>
        <v>0</v>
      </c>
      <c r="CM41" s="152" cm="1">
        <f t="array" aca="1" ref="CM41" ca="1">IFERROR(INDIRECT("Yr"&amp;IF($C$5=Year1,1,IF($C$5=Year2,2,IF($C$5=Year3,3,IF($C$5=Lookups!$D$40,"All"))))&amp;"!"&amp;CM$72&amp;$DE41)*100,0)</f>
        <v>0</v>
      </c>
      <c r="CN41" s="152" cm="1">
        <f t="array" aca="1" ref="CN41" ca="1">IFERROR(INDIRECT("Yr"&amp;IF($C$5=Year1,1,IF($C$5=Year2,2,IF($C$5=Year3,3,IF($C$5=Lookups!$D$40,"All"))))&amp;"!"&amp;CN$72&amp;$DE41)*100,0)</f>
        <v>0</v>
      </c>
      <c r="CO41" s="152" cm="1">
        <f t="array" aca="1" ref="CO41" ca="1">IFERROR(INDIRECT("Yr"&amp;IF($C$5=Year1,1,IF($C$5=Year2,2,IF($C$5=Year3,3,IF($C$5=Lookups!$D$40,"All"))))&amp;"!"&amp;CO$72&amp;$DE41)*100,0)</f>
        <v>0</v>
      </c>
      <c r="CP41" s="152" cm="1">
        <f t="array" aca="1" ref="CP41" ca="1">IFERROR(INDIRECT("Yr"&amp;IF($C$5=Year1,1,IF($C$5=Year2,2,IF($C$5=Year3,3,IF($C$5=Lookups!$D$40,"All"))))&amp;"!"&amp;CP$72&amp;$DE41)*100,0)</f>
        <v>0</v>
      </c>
      <c r="CQ41" s="152" cm="1">
        <f t="array" aca="1" ref="CQ41" ca="1">IFERROR(INDIRECT("Yr"&amp;IF($C$5=Year1,1,IF($C$5=Year2,2,IF($C$5=Year3,3,IF($C$5=Lookups!$D$40,"All"))))&amp;"!"&amp;CQ$72&amp;$DE41)*100,0)</f>
        <v>0</v>
      </c>
      <c r="CR41" s="152" cm="1">
        <f t="array" aca="1" ref="CR41" ca="1">IFERROR(INDIRECT("Yr"&amp;IF($C$5=Year1,1,IF($C$5=Year2,2,IF($C$5=Year3,3,IF($C$5=Lookups!$D$40,"All"))))&amp;"!"&amp;CR$72&amp;$DE41)*100,0)</f>
        <v>0</v>
      </c>
      <c r="CS41" s="152" cm="1">
        <f t="array" aca="1" ref="CS41" ca="1">IFERROR(INDIRECT("Yr"&amp;IF($C$5=Year1,1,IF($C$5=Year2,2,IF($C$5=Year3,3,IF($C$5=Lookups!$D$40,"All"))))&amp;"!"&amp;CS$72&amp;$DE41)*100,0)</f>
        <v>0</v>
      </c>
      <c r="CT41" s="152" cm="1">
        <f t="array" aca="1" ref="CT41" ca="1">IFERROR(INDIRECT("Yr"&amp;IF($C$5=Year1,1,IF($C$5=Year2,2,IF($C$5=Year3,3,IF($C$5=Lookups!$D$40,"All"))))&amp;"!"&amp;CT$72&amp;$DE41)*100,0)</f>
        <v>0</v>
      </c>
      <c r="CU41" s="152" cm="1">
        <f t="array" aca="1" ref="CU41" ca="1">IFERROR(INDIRECT("Yr"&amp;IF($C$5=Year1,1,IF($C$5=Year2,2,IF($C$5=Year3,3,IF($C$5=Lookups!$D$40,"All"))))&amp;"!"&amp;CU$72&amp;$DE41)*100,0)</f>
        <v>0</v>
      </c>
      <c r="CV41" s="152" cm="1">
        <f t="array" aca="1" ref="CV41" ca="1">IFERROR(INDIRECT("Yr"&amp;IF($C$5=Year1,1,IF($C$5=Year2,2,IF($C$5=Year3,3,IF($C$5=Lookups!$D$40,"All"))))&amp;"!"&amp;CV$72&amp;$DE41)*100,0)</f>
        <v>0</v>
      </c>
      <c r="CW41" s="152" cm="1">
        <f t="array" aca="1" ref="CW41" ca="1">IFERROR(INDIRECT("Yr"&amp;IF($C$5=Year1,1,IF($C$5=Year2,2,IF($C$5=Year3,3,IF($C$5=Lookups!$D$40,"All"))))&amp;"!"&amp;CW$72&amp;$DE41)*100,0)</f>
        <v>0</v>
      </c>
      <c r="CX41" s="152" cm="1">
        <f t="array" aca="1" ref="CX41" ca="1">IFERROR(INDIRECT("Yr"&amp;IF($C$5=Year1,1,IF($C$5=Year2,2,IF($C$5=Year3,3,IF($C$5=Lookups!$D$40,"All"))))&amp;"!"&amp;CX$72&amp;$DE41)*100,0)</f>
        <v>0</v>
      </c>
      <c r="CY41" s="152" cm="1">
        <f t="array" aca="1" ref="CY41" ca="1">IFERROR(INDIRECT("Yr"&amp;IF($C$5=Year1,1,IF($C$5=Year2,2,IF($C$5=Year3,3,IF($C$5=Lookups!$D$40,"All"))))&amp;"!"&amp;CY$72&amp;$DE41)*100,0)</f>
        <v>0</v>
      </c>
      <c r="CZ41" s="152" cm="1">
        <f t="array" aca="1" ref="CZ41" ca="1">IFERROR(INDIRECT("Yr"&amp;IF($C$5=Year1,1,IF($C$5=Year2,2,IF($C$5=Year3,3,IF($C$5=Lookups!$D$40,"All"))))&amp;"!"&amp;CZ$72&amp;$DE41)*100,0)</f>
        <v>0</v>
      </c>
      <c r="DA41" s="152"/>
      <c r="DB41" s="152">
        <f ca="1">IF($C$5=Lookups!$D$40,-PMT(Lookups!$E$17,27,NPV(Lookups!$E$17,BZ41:CZ41),0,1),-PMT(Lookups!$E$17,25,NPV(Lookups!$E$17,BZ41:CX41),0,1))</f>
        <v>2.3216364657369293</v>
      </c>
      <c r="DE41" s="516">
        <f t="shared" si="5"/>
        <v>292</v>
      </c>
    </row>
    <row r="42" spans="3:114" x14ac:dyDescent="0.25">
      <c r="BV42" s="343"/>
      <c r="BW42" s="160" t="s">
        <v>72</v>
      </c>
      <c r="BX42" s="131"/>
      <c r="BY42" s="131"/>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E42" s="516">
        <f t="shared" si="5"/>
        <v>0</v>
      </c>
    </row>
    <row r="43" spans="3:114" x14ac:dyDescent="0.25">
      <c r="BV43" s="343"/>
      <c r="BW43" s="346"/>
      <c r="BX43" s="131" t="s">
        <v>224</v>
      </c>
      <c r="BY43" s="131" t="s">
        <v>409</v>
      </c>
      <c r="BZ43" s="338" cm="1">
        <f t="array" aca="1" ref="BZ43" ca="1">IFERROR(INDIRECT("Yr"&amp;IF($C$5=Year1,1,IF($C$5=Year2,2,IF($C$5=Year3,3,IF($C$5=Lookups!$D$40,"All"))))&amp;"!"&amp;BZ$72&amp;$DE43)*100,0)</f>
        <v>-6.5558779085982675</v>
      </c>
      <c r="CA43" s="338" cm="1">
        <f t="array" aca="1" ref="CA43" ca="1">IFERROR(INDIRECT("Yr"&amp;IF($C$5=Year1,1,IF($C$5=Year2,2,IF($C$5=Year3,3,IF($C$5=Lookups!$D$40,"All"))))&amp;"!"&amp;CA$72&amp;$DE43)*100,0)</f>
        <v>-15.07033440104045</v>
      </c>
      <c r="CB43" s="338" cm="1">
        <f t="array" aca="1" ref="CB43" ca="1">IFERROR(INDIRECT("Yr"&amp;IF($C$5=Year1,1,IF($C$5=Year2,2,IF($C$5=Year3,3,IF($C$5=Lookups!$D$40,"All"))))&amp;"!"&amp;CB$72&amp;$DE43)*100,0)</f>
        <v>-26.638933585158608</v>
      </c>
      <c r="CC43" s="338" cm="1">
        <f t="array" aca="1" ref="CC43" ca="1">IFERROR(INDIRECT("Yr"&amp;IF($C$5=Year1,1,IF($C$5=Year2,2,IF($C$5=Year3,3,IF($C$5=Lookups!$D$40,"All"))))&amp;"!"&amp;CC$72&amp;$DE43)*100,0)</f>
        <v>-26.638933585158608</v>
      </c>
      <c r="CD43" s="338" cm="1">
        <f t="array" aca="1" ref="CD43" ca="1">IFERROR(INDIRECT("Yr"&amp;IF($C$5=Year1,1,IF($C$5=Year2,2,IF($C$5=Year3,3,IF($C$5=Lookups!$D$40,"All"))))&amp;"!"&amp;CD$72&amp;$DE43)*100,0)</f>
        <v>-26.638933585158608</v>
      </c>
      <c r="CE43" s="338" cm="1">
        <f t="array" aca="1" ref="CE43" ca="1">IFERROR(INDIRECT("Yr"&amp;IF($C$5=Year1,1,IF($C$5=Year2,2,IF($C$5=Year3,3,IF($C$5=Lookups!$D$40,"All"))))&amp;"!"&amp;CE$72&amp;$DE43)*100,0)</f>
        <v>-26.638933585158608</v>
      </c>
      <c r="CF43" s="338" cm="1">
        <f t="array" aca="1" ref="CF43" ca="1">IFERROR(INDIRECT("Yr"&amp;IF($C$5=Year1,1,IF($C$5=Year2,2,IF($C$5=Year3,3,IF($C$5=Lookups!$D$40,"All"))))&amp;"!"&amp;CF$72&amp;$DE43)*100,0)</f>
        <v>-26.638933585158608</v>
      </c>
      <c r="CG43" s="338" cm="1">
        <f t="array" aca="1" ref="CG43" ca="1">IFERROR(INDIRECT("Yr"&amp;IF($C$5=Year1,1,IF($C$5=Year2,2,IF($C$5=Year3,3,IF($C$5=Lookups!$D$40,"All"))))&amp;"!"&amp;CG$72&amp;$DE43)*100,0)</f>
        <v>-26.638933585158608</v>
      </c>
      <c r="CH43" s="338" cm="1">
        <f t="array" aca="1" ref="CH43" ca="1">IFERROR(INDIRECT("Yr"&amp;IF($C$5=Year1,1,IF($C$5=Year2,2,IF($C$5=Year3,3,IF($C$5=Lookups!$D$40,"All"))))&amp;"!"&amp;CH$72&amp;$DE43)*100,0)</f>
        <v>-26.638933585158608</v>
      </c>
      <c r="CI43" s="338" cm="1">
        <f t="array" aca="1" ref="CI43" ca="1">IFERROR(INDIRECT("Yr"&amp;IF($C$5=Year1,1,IF($C$5=Year2,2,IF($C$5=Year3,3,IF($C$5=Lookups!$D$40,"All"))))&amp;"!"&amp;CI$72&amp;$DE43)*100,0)</f>
        <v>-26.638933585158608</v>
      </c>
      <c r="CJ43" s="338" cm="1">
        <f t="array" aca="1" ref="CJ43" ca="1">IFERROR(INDIRECT("Yr"&amp;IF($C$5=Year1,1,IF($C$5=Year2,2,IF($C$5=Year3,3,IF($C$5=Lookups!$D$40,"All"))))&amp;"!"&amp;CJ$72&amp;$DE43)*100,0)</f>
        <v>-26.638933585158608</v>
      </c>
      <c r="CK43" s="338" cm="1">
        <f t="array" aca="1" ref="CK43" ca="1">IFERROR(INDIRECT("Yr"&amp;IF($C$5=Year1,1,IF($C$5=Year2,2,IF($C$5=Year3,3,IF($C$5=Lookups!$D$40,"All"))))&amp;"!"&amp;CK$72&amp;$DE43)*100,0)</f>
        <v>-26.638933585158608</v>
      </c>
      <c r="CL43" s="338" cm="1">
        <f t="array" aca="1" ref="CL43" ca="1">IFERROR(INDIRECT("Yr"&amp;IF($C$5=Year1,1,IF($C$5=Year2,2,IF($C$5=Year3,3,IF($C$5=Lookups!$D$40,"All"))))&amp;"!"&amp;CL$72&amp;$DE43)*100,0)</f>
        <v>-26.638933585158608</v>
      </c>
      <c r="CM43" s="338" cm="1">
        <f t="array" aca="1" ref="CM43" ca="1">IFERROR(INDIRECT("Yr"&amp;IF($C$5=Year1,1,IF($C$5=Year2,2,IF($C$5=Year3,3,IF($C$5=Lookups!$D$40,"All"))))&amp;"!"&amp;CM$72&amp;$DE43)*100,0)</f>
        <v>-16.044227434246828</v>
      </c>
      <c r="CN43" s="338" cm="1">
        <f t="array" aca="1" ref="CN43" ca="1">IFERROR(INDIRECT("Yr"&amp;IF($C$5=Year1,1,IF($C$5=Year2,2,IF($C$5=Year3,3,IF($C$5=Lookups!$D$40,"All"))))&amp;"!"&amp;CN$72&amp;$DE43)*100,0)</f>
        <v>-7.3278967140415707</v>
      </c>
      <c r="CO43" s="338" cm="1">
        <f t="array" aca="1" ref="CO43" ca="1">IFERROR(INDIRECT("Yr"&amp;IF($C$5=Year1,1,IF($C$5=Year2,2,IF($C$5=Year3,3,IF($C$5=Lookups!$D$40,"All"))))&amp;"!"&amp;CO$72&amp;$DE43)*100,0)</f>
        <v>0</v>
      </c>
      <c r="CP43" s="338" cm="1">
        <f t="array" aca="1" ref="CP43" ca="1">IFERROR(INDIRECT("Yr"&amp;IF($C$5=Year1,1,IF($C$5=Year2,2,IF($C$5=Year3,3,IF($C$5=Lookups!$D$40,"All"))))&amp;"!"&amp;CP$72&amp;$DE43)*100,0)</f>
        <v>0</v>
      </c>
      <c r="CQ43" s="338" cm="1">
        <f t="array" aca="1" ref="CQ43" ca="1">IFERROR(INDIRECT("Yr"&amp;IF($C$5=Year1,1,IF($C$5=Year2,2,IF($C$5=Year3,3,IF($C$5=Lookups!$D$40,"All"))))&amp;"!"&amp;CQ$72&amp;$DE43)*100,0)</f>
        <v>0</v>
      </c>
      <c r="CR43" s="338" cm="1">
        <f t="array" aca="1" ref="CR43" ca="1">IFERROR(INDIRECT("Yr"&amp;IF($C$5=Year1,1,IF($C$5=Year2,2,IF($C$5=Year3,3,IF($C$5=Lookups!$D$40,"All"))))&amp;"!"&amp;CR$72&amp;$DE43)*100,0)</f>
        <v>0</v>
      </c>
      <c r="CS43" s="338" cm="1">
        <f t="array" aca="1" ref="CS43" ca="1">IFERROR(INDIRECT("Yr"&amp;IF($C$5=Year1,1,IF($C$5=Year2,2,IF($C$5=Year3,3,IF($C$5=Lookups!$D$40,"All"))))&amp;"!"&amp;CS$72&amp;$DE43)*100,0)</f>
        <v>0</v>
      </c>
      <c r="CT43" s="338" cm="1">
        <f t="array" aca="1" ref="CT43" ca="1">IFERROR(INDIRECT("Yr"&amp;IF($C$5=Year1,1,IF($C$5=Year2,2,IF($C$5=Year3,3,IF($C$5=Lookups!$D$40,"All"))))&amp;"!"&amp;CT$72&amp;$DE43)*100,0)</f>
        <v>0</v>
      </c>
      <c r="CU43" s="338" cm="1">
        <f t="array" aca="1" ref="CU43" ca="1">IFERROR(INDIRECT("Yr"&amp;IF($C$5=Year1,1,IF($C$5=Year2,2,IF($C$5=Year3,3,IF($C$5=Lookups!$D$40,"All"))))&amp;"!"&amp;CU$72&amp;$DE43)*100,0)</f>
        <v>0</v>
      </c>
      <c r="CV43" s="338" cm="1">
        <f t="array" aca="1" ref="CV43" ca="1">IFERROR(INDIRECT("Yr"&amp;IF($C$5=Year1,1,IF($C$5=Year2,2,IF($C$5=Year3,3,IF($C$5=Lookups!$D$40,"All"))))&amp;"!"&amp;CV$72&amp;$DE43)*100,0)</f>
        <v>0</v>
      </c>
      <c r="CW43" s="338" cm="1">
        <f t="array" aca="1" ref="CW43" ca="1">IFERROR(INDIRECT("Yr"&amp;IF($C$5=Year1,1,IF($C$5=Year2,2,IF($C$5=Year3,3,IF($C$5=Lookups!$D$40,"All"))))&amp;"!"&amp;CW$72&amp;$DE43)*100,0)</f>
        <v>0</v>
      </c>
      <c r="CX43" s="338" cm="1">
        <f t="array" aca="1" ref="CX43" ca="1">IFERROR(INDIRECT("Yr"&amp;IF($C$5=Year1,1,IF($C$5=Year2,2,IF($C$5=Year3,3,IF($C$5=Lookups!$D$40,"All"))))&amp;"!"&amp;CX$72&amp;$DE43)*100,0)</f>
        <v>0</v>
      </c>
      <c r="CY43" s="338" cm="1">
        <f t="array" aca="1" ref="CY43" ca="1">IFERROR(INDIRECT("Yr"&amp;IF($C$5=Year1,1,IF($C$5=Year2,2,IF($C$5=Year3,3,IF($C$5=Lookups!$D$40,"All"))))&amp;"!"&amp;CY$72&amp;$DE43)*100,0)</f>
        <v>0</v>
      </c>
      <c r="CZ43" s="338" cm="1">
        <f t="array" aca="1" ref="CZ43" ca="1">IFERROR(INDIRECT("Yr"&amp;IF($C$5=Year1,1,IF($C$5=Year2,2,IF($C$5=Year3,3,IF($C$5=Lookups!$D$40,"All"))))&amp;"!"&amp;CZ$72&amp;$DE43)*100,0)</f>
        <v>0</v>
      </c>
      <c r="DA43" s="152"/>
      <c r="DB43" s="338"/>
      <c r="DE43" s="516">
        <f t="shared" si="5"/>
        <v>281</v>
      </c>
    </row>
    <row r="44" spans="3:114" x14ac:dyDescent="0.25">
      <c r="BV44" s="343"/>
      <c r="BW44" s="346"/>
      <c r="BX44" s="131" t="s">
        <v>412</v>
      </c>
      <c r="BY44" s="131" t="s">
        <v>409</v>
      </c>
      <c r="BZ44" s="338" cm="1">
        <f t="array" aca="1" ref="BZ44" ca="1">IFERROR(INDIRECT("Yr"&amp;IF($C$5=Year1,1,IF($C$5=Year2,2,IF($C$5=Year3,3,IF($C$5=Lookups!$D$40,"All"))))&amp;"!"&amp;BZ$72&amp;$DE44)*100,0)</f>
        <v>0</v>
      </c>
      <c r="CA44" s="338" cm="1">
        <f t="array" aca="1" ref="CA44" ca="1">IFERROR(INDIRECT("Yr"&amp;IF($C$5=Year1,1,IF($C$5=Year2,2,IF($C$5=Year3,3,IF($C$5=Lookups!$D$40,"All"))))&amp;"!"&amp;CA$72&amp;$DE44)*100,0)</f>
        <v>0</v>
      </c>
      <c r="CB44" s="338" cm="1">
        <f t="array" aca="1" ref="CB44" ca="1">IFERROR(INDIRECT("Yr"&amp;IF($C$5=Year1,1,IF($C$5=Year2,2,IF($C$5=Year3,3,IF($C$5=Lookups!$D$40,"All"))))&amp;"!"&amp;CB$72&amp;$DE44)*100,0)</f>
        <v>0</v>
      </c>
      <c r="CC44" s="338" cm="1">
        <f t="array" aca="1" ref="CC44" ca="1">IFERROR(INDIRECT("Yr"&amp;IF($C$5=Year1,1,IF($C$5=Year2,2,IF($C$5=Year3,3,IF($C$5=Lookups!$D$40,"All"))))&amp;"!"&amp;CC$72&amp;$DE44)*100,0)</f>
        <v>0</v>
      </c>
      <c r="CD44" s="338" cm="1">
        <f t="array" aca="1" ref="CD44" ca="1">IFERROR(INDIRECT("Yr"&amp;IF($C$5=Year1,1,IF($C$5=Year2,2,IF($C$5=Year3,3,IF($C$5=Lookups!$D$40,"All"))))&amp;"!"&amp;CD$72&amp;$DE44)*100,0)</f>
        <v>0</v>
      </c>
      <c r="CE44" s="338" cm="1">
        <f t="array" aca="1" ref="CE44" ca="1">IFERROR(INDIRECT("Yr"&amp;IF($C$5=Year1,1,IF($C$5=Year2,2,IF($C$5=Year3,3,IF($C$5=Lookups!$D$40,"All"))))&amp;"!"&amp;CE$72&amp;$DE44)*100,0)</f>
        <v>0</v>
      </c>
      <c r="CF44" s="338" cm="1">
        <f t="array" aca="1" ref="CF44" ca="1">IFERROR(INDIRECT("Yr"&amp;IF($C$5=Year1,1,IF($C$5=Year2,2,IF($C$5=Year3,3,IF($C$5=Lookups!$D$40,"All"))))&amp;"!"&amp;CF$72&amp;$DE44)*100,0)</f>
        <v>0</v>
      </c>
      <c r="CG44" s="338" cm="1">
        <f t="array" aca="1" ref="CG44" ca="1">IFERROR(INDIRECT("Yr"&amp;IF($C$5=Year1,1,IF($C$5=Year2,2,IF($C$5=Year3,3,IF($C$5=Lookups!$D$40,"All"))))&amp;"!"&amp;CG$72&amp;$DE44)*100,0)</f>
        <v>0</v>
      </c>
      <c r="CH44" s="338" cm="1">
        <f t="array" aca="1" ref="CH44" ca="1">IFERROR(INDIRECT("Yr"&amp;IF($C$5=Year1,1,IF($C$5=Year2,2,IF($C$5=Year3,3,IF($C$5=Lookups!$D$40,"All"))))&amp;"!"&amp;CH$72&amp;$DE44)*100,0)</f>
        <v>0</v>
      </c>
      <c r="CI44" s="338" cm="1">
        <f t="array" aca="1" ref="CI44" ca="1">IFERROR(INDIRECT("Yr"&amp;IF($C$5=Year1,1,IF($C$5=Year2,2,IF($C$5=Year3,3,IF($C$5=Lookups!$D$40,"All"))))&amp;"!"&amp;CI$72&amp;$DE44)*100,0)</f>
        <v>0</v>
      </c>
      <c r="CJ44" s="338" cm="1">
        <f t="array" aca="1" ref="CJ44" ca="1">IFERROR(INDIRECT("Yr"&amp;IF($C$5=Year1,1,IF($C$5=Year2,2,IF($C$5=Year3,3,IF($C$5=Lookups!$D$40,"All"))))&amp;"!"&amp;CJ$72&amp;$DE44)*100,0)</f>
        <v>0</v>
      </c>
      <c r="CK44" s="338" cm="1">
        <f t="array" aca="1" ref="CK44" ca="1">IFERROR(INDIRECT("Yr"&amp;IF($C$5=Year1,1,IF($C$5=Year2,2,IF($C$5=Year3,3,IF($C$5=Lookups!$D$40,"All"))))&amp;"!"&amp;CK$72&amp;$DE44)*100,0)</f>
        <v>0</v>
      </c>
      <c r="CL44" s="338" cm="1">
        <f t="array" aca="1" ref="CL44" ca="1">IFERROR(INDIRECT("Yr"&amp;IF($C$5=Year1,1,IF($C$5=Year2,2,IF($C$5=Year3,3,IF($C$5=Lookups!$D$40,"All"))))&amp;"!"&amp;CL$72&amp;$DE44)*100,0)</f>
        <v>0</v>
      </c>
      <c r="CM44" s="338" cm="1">
        <f t="array" aca="1" ref="CM44" ca="1">IFERROR(INDIRECT("Yr"&amp;IF($C$5=Year1,1,IF($C$5=Year2,2,IF($C$5=Year3,3,IF($C$5=Lookups!$D$40,"All"))))&amp;"!"&amp;CM$72&amp;$DE44)*100,0)</f>
        <v>0</v>
      </c>
      <c r="CN44" s="338" cm="1">
        <f t="array" aca="1" ref="CN44" ca="1">IFERROR(INDIRECT("Yr"&amp;IF($C$5=Year1,1,IF($C$5=Year2,2,IF($C$5=Year3,3,IF($C$5=Lookups!$D$40,"All"))))&amp;"!"&amp;CN$72&amp;$DE44)*100,0)</f>
        <v>0</v>
      </c>
      <c r="CO44" s="338" cm="1">
        <f t="array" aca="1" ref="CO44" ca="1">IFERROR(INDIRECT("Yr"&amp;IF($C$5=Year1,1,IF($C$5=Year2,2,IF($C$5=Year3,3,IF($C$5=Lookups!$D$40,"All"))))&amp;"!"&amp;CO$72&amp;$DE44)*100,0)</f>
        <v>0</v>
      </c>
      <c r="CP44" s="338" cm="1">
        <f t="array" aca="1" ref="CP44" ca="1">IFERROR(INDIRECT("Yr"&amp;IF($C$5=Year1,1,IF($C$5=Year2,2,IF($C$5=Year3,3,IF($C$5=Lookups!$D$40,"All"))))&amp;"!"&amp;CP$72&amp;$DE44)*100,0)</f>
        <v>0</v>
      </c>
      <c r="CQ44" s="338" cm="1">
        <f t="array" aca="1" ref="CQ44" ca="1">IFERROR(INDIRECT("Yr"&amp;IF($C$5=Year1,1,IF($C$5=Year2,2,IF($C$5=Year3,3,IF($C$5=Lookups!$D$40,"All"))))&amp;"!"&amp;CQ$72&amp;$DE44)*100,0)</f>
        <v>0</v>
      </c>
      <c r="CR44" s="338" cm="1">
        <f t="array" aca="1" ref="CR44" ca="1">IFERROR(INDIRECT("Yr"&amp;IF($C$5=Year1,1,IF($C$5=Year2,2,IF($C$5=Year3,3,IF($C$5=Lookups!$D$40,"All"))))&amp;"!"&amp;CR$72&amp;$DE44)*100,0)</f>
        <v>0</v>
      </c>
      <c r="CS44" s="338" cm="1">
        <f t="array" aca="1" ref="CS44" ca="1">IFERROR(INDIRECT("Yr"&amp;IF($C$5=Year1,1,IF($C$5=Year2,2,IF($C$5=Year3,3,IF($C$5=Lookups!$D$40,"All"))))&amp;"!"&amp;CS$72&amp;$DE44)*100,0)</f>
        <v>0</v>
      </c>
      <c r="CT44" s="338" cm="1">
        <f t="array" aca="1" ref="CT44" ca="1">IFERROR(INDIRECT("Yr"&amp;IF($C$5=Year1,1,IF($C$5=Year2,2,IF($C$5=Year3,3,IF($C$5=Lookups!$D$40,"All"))))&amp;"!"&amp;CT$72&amp;$DE44)*100,0)</f>
        <v>0</v>
      </c>
      <c r="CU44" s="338" cm="1">
        <f t="array" aca="1" ref="CU44" ca="1">IFERROR(INDIRECT("Yr"&amp;IF($C$5=Year1,1,IF($C$5=Year2,2,IF($C$5=Year3,3,IF($C$5=Lookups!$D$40,"All"))))&amp;"!"&amp;CU$72&amp;$DE44)*100,0)</f>
        <v>0</v>
      </c>
      <c r="CV44" s="338" cm="1">
        <f t="array" aca="1" ref="CV44" ca="1">IFERROR(INDIRECT("Yr"&amp;IF($C$5=Year1,1,IF($C$5=Year2,2,IF($C$5=Year3,3,IF($C$5=Lookups!$D$40,"All"))))&amp;"!"&amp;CV$72&amp;$DE44)*100,0)</f>
        <v>0</v>
      </c>
      <c r="CW44" s="338" cm="1">
        <f t="array" aca="1" ref="CW44" ca="1">IFERROR(INDIRECT("Yr"&amp;IF($C$5=Year1,1,IF($C$5=Year2,2,IF($C$5=Year3,3,IF($C$5=Lookups!$D$40,"All"))))&amp;"!"&amp;CW$72&amp;$DE44)*100,0)</f>
        <v>0</v>
      </c>
      <c r="CX44" s="338" cm="1">
        <f t="array" aca="1" ref="CX44" ca="1">IFERROR(INDIRECT("Yr"&amp;IF($C$5=Year1,1,IF($C$5=Year2,2,IF($C$5=Year3,3,IF($C$5=Lookups!$D$40,"All"))))&amp;"!"&amp;CX$72&amp;$DE44)*100,0)</f>
        <v>0</v>
      </c>
      <c r="CY44" s="338" cm="1">
        <f t="array" aca="1" ref="CY44" ca="1">IFERROR(INDIRECT("Yr"&amp;IF($C$5=Year1,1,IF($C$5=Year2,2,IF($C$5=Year3,3,IF($C$5=Lookups!$D$40,"All"))))&amp;"!"&amp;CY$72&amp;$DE44)*100,0)</f>
        <v>0</v>
      </c>
      <c r="CZ44" s="338" cm="1">
        <f t="array" aca="1" ref="CZ44" ca="1">IFERROR(INDIRECT("Yr"&amp;IF($C$5=Year1,1,IF($C$5=Year2,2,IF($C$5=Year3,3,IF($C$5=Lookups!$D$40,"All"))))&amp;"!"&amp;CZ$72&amp;$DE44)*100,0)</f>
        <v>0</v>
      </c>
      <c r="DA44" s="152"/>
      <c r="DB44" s="338"/>
      <c r="DE44" s="516"/>
      <c r="DJ44" s="5"/>
    </row>
    <row r="45" spans="3:114" x14ac:dyDescent="0.25">
      <c r="BV45" s="343"/>
      <c r="BW45" s="346"/>
      <c r="BX45" s="131" t="s">
        <v>175</v>
      </c>
      <c r="BY45" s="131" t="s">
        <v>409</v>
      </c>
      <c r="BZ45" s="338" cm="1">
        <f t="array" aca="1" ref="BZ45" ca="1">IFERROR(INDIRECT("Yr"&amp;IF($C$5=Year1,1,IF($C$5=Year2,2,IF($C$5=Year3,3,IF($C$5=Lookups!$D$40,"All"))))&amp;"!"&amp;BZ$72&amp;$DE45)*100,0)</f>
        <v>-0.35508615981095948</v>
      </c>
      <c r="CA45" s="338" cm="1">
        <f t="array" aca="1" ref="CA45" ca="1">IFERROR(INDIRECT("Yr"&amp;IF($C$5=Year1,1,IF($C$5=Year2,2,IF($C$5=Year3,3,IF($C$5=Lookups!$D$40,"All"))))&amp;"!"&amp;CA$72&amp;$DE45)*100,0)</f>
        <v>-0.81652369861920948</v>
      </c>
      <c r="CB45" s="338" cm="1">
        <f t="array" aca="1" ref="CB45" ca="1">IFERROR(INDIRECT("Yr"&amp;IF($C$5=Year1,1,IF($C$5=Year2,2,IF($C$5=Year3,3,IF($C$5=Lookups!$D$40,"All"))))&amp;"!"&amp;CB$72&amp;$DE45)*100,0)</f>
        <v>-1.4417673203808661</v>
      </c>
      <c r="CC45" s="338" cm="1">
        <f t="array" aca="1" ref="CC45" ca="1">IFERROR(INDIRECT("Yr"&amp;IF($C$5=Year1,1,IF($C$5=Year2,2,IF($C$5=Year3,3,IF($C$5=Lookups!$D$40,"All"))))&amp;"!"&amp;CC$72&amp;$DE45)*100,0)</f>
        <v>-1.4417673203808661</v>
      </c>
      <c r="CD45" s="338" cm="1">
        <f t="array" aca="1" ref="CD45" ca="1">IFERROR(INDIRECT("Yr"&amp;IF($C$5=Year1,1,IF($C$5=Year2,2,IF($C$5=Year3,3,IF($C$5=Lookups!$D$40,"All"))))&amp;"!"&amp;CD$72&amp;$DE45)*100,0)</f>
        <v>-1.4417673203808661</v>
      </c>
      <c r="CE45" s="338" cm="1">
        <f t="array" aca="1" ref="CE45" ca="1">IFERROR(INDIRECT("Yr"&amp;IF($C$5=Year1,1,IF($C$5=Year2,2,IF($C$5=Year3,3,IF($C$5=Lookups!$D$40,"All"))))&amp;"!"&amp;CE$72&amp;$DE45)*100,0)</f>
        <v>-1.4417673203808661</v>
      </c>
      <c r="CF45" s="338" cm="1">
        <f t="array" aca="1" ref="CF45" ca="1">IFERROR(INDIRECT("Yr"&amp;IF($C$5=Year1,1,IF($C$5=Year2,2,IF($C$5=Year3,3,IF($C$5=Lookups!$D$40,"All"))))&amp;"!"&amp;CF$72&amp;$DE45)*100,0)</f>
        <v>-1.4417673203808661</v>
      </c>
      <c r="CG45" s="338" cm="1">
        <f t="array" aca="1" ref="CG45" ca="1">IFERROR(INDIRECT("Yr"&amp;IF($C$5=Year1,1,IF($C$5=Year2,2,IF($C$5=Year3,3,IF($C$5=Lookups!$D$40,"All"))))&amp;"!"&amp;CG$72&amp;$DE45)*100,0)</f>
        <v>-1.4417673203808661</v>
      </c>
      <c r="CH45" s="338" cm="1">
        <f t="array" aca="1" ref="CH45" ca="1">IFERROR(INDIRECT("Yr"&amp;IF($C$5=Year1,1,IF($C$5=Year2,2,IF($C$5=Year3,3,IF($C$5=Lookups!$D$40,"All"))))&amp;"!"&amp;CH$72&amp;$DE45)*100,0)</f>
        <v>-1.4417673203808661</v>
      </c>
      <c r="CI45" s="338" cm="1">
        <f t="array" aca="1" ref="CI45" ca="1">IFERROR(INDIRECT("Yr"&amp;IF($C$5=Year1,1,IF($C$5=Year2,2,IF($C$5=Year3,3,IF($C$5=Lookups!$D$40,"All"))))&amp;"!"&amp;CI$72&amp;$DE45)*100,0)</f>
        <v>-1.4417673203808661</v>
      </c>
      <c r="CJ45" s="338" cm="1">
        <f t="array" aca="1" ref="CJ45" ca="1">IFERROR(INDIRECT("Yr"&amp;IF($C$5=Year1,1,IF($C$5=Year2,2,IF($C$5=Year3,3,IF($C$5=Lookups!$D$40,"All"))))&amp;"!"&amp;CJ$72&amp;$DE45)*100,0)</f>
        <v>-1.4417673203808661</v>
      </c>
      <c r="CK45" s="338" cm="1">
        <f t="array" aca="1" ref="CK45" ca="1">IFERROR(INDIRECT("Yr"&amp;IF($C$5=Year1,1,IF($C$5=Year2,2,IF($C$5=Year3,3,IF($C$5=Lookups!$D$40,"All"))))&amp;"!"&amp;CK$72&amp;$DE45)*100,0)</f>
        <v>-1.4417673203808661</v>
      </c>
      <c r="CL45" s="338" cm="1">
        <f t="array" aca="1" ref="CL45" ca="1">IFERROR(INDIRECT("Yr"&amp;IF($C$5=Year1,1,IF($C$5=Year2,2,IF($C$5=Year3,3,IF($C$5=Lookups!$D$40,"All"))))&amp;"!"&amp;CL$72&amp;$DE45)*100,0)</f>
        <v>-1.4417673203808661</v>
      </c>
      <c r="CM45" s="338" cm="1">
        <f t="array" aca="1" ref="CM45" ca="1">IFERROR(INDIRECT("Yr"&amp;IF($C$5=Year1,1,IF($C$5=Year2,2,IF($C$5=Year3,3,IF($C$5=Lookups!$D$40,"All"))))&amp;"!"&amp;CM$72&amp;$DE45)*100,0)</f>
        <v>-0.86805328584944574</v>
      </c>
      <c r="CN45" s="338" cm="1">
        <f t="array" aca="1" ref="CN45" ca="1">IFERROR(INDIRECT("Yr"&amp;IF($C$5=Year1,1,IF($C$5=Year2,2,IF($C$5=Year3,3,IF($C$5=Lookups!$D$40,"All"))))&amp;"!"&amp;CN$72&amp;$DE45)*100,0)</f>
        <v>-0.39581295269944655</v>
      </c>
      <c r="CO45" s="338" cm="1">
        <f t="array" aca="1" ref="CO45" ca="1">IFERROR(INDIRECT("Yr"&amp;IF($C$5=Year1,1,IF($C$5=Year2,2,IF($C$5=Year3,3,IF($C$5=Lookups!$D$40,"All"))))&amp;"!"&amp;CO$72&amp;$DE45)*100,0)</f>
        <v>0</v>
      </c>
      <c r="CP45" s="338" cm="1">
        <f t="array" aca="1" ref="CP45" ca="1">IFERROR(INDIRECT("Yr"&amp;IF($C$5=Year1,1,IF($C$5=Year2,2,IF($C$5=Year3,3,IF($C$5=Lookups!$D$40,"All"))))&amp;"!"&amp;CP$72&amp;$DE45)*100,0)</f>
        <v>0</v>
      </c>
      <c r="CQ45" s="338" cm="1">
        <f t="array" aca="1" ref="CQ45" ca="1">IFERROR(INDIRECT("Yr"&amp;IF($C$5=Year1,1,IF($C$5=Year2,2,IF($C$5=Year3,3,IF($C$5=Lookups!$D$40,"All"))))&amp;"!"&amp;CQ$72&amp;$DE45)*100,0)</f>
        <v>0</v>
      </c>
      <c r="CR45" s="338" cm="1">
        <f t="array" aca="1" ref="CR45" ca="1">IFERROR(INDIRECT("Yr"&amp;IF($C$5=Year1,1,IF($C$5=Year2,2,IF($C$5=Year3,3,IF($C$5=Lookups!$D$40,"All"))))&amp;"!"&amp;CR$72&amp;$DE45)*100,0)</f>
        <v>0</v>
      </c>
      <c r="CS45" s="338" cm="1">
        <f t="array" aca="1" ref="CS45" ca="1">IFERROR(INDIRECT("Yr"&amp;IF($C$5=Year1,1,IF($C$5=Year2,2,IF($C$5=Year3,3,IF($C$5=Lookups!$D$40,"All"))))&amp;"!"&amp;CS$72&amp;$DE45)*100,0)</f>
        <v>0</v>
      </c>
      <c r="CT45" s="338" cm="1">
        <f t="array" aca="1" ref="CT45" ca="1">IFERROR(INDIRECT("Yr"&amp;IF($C$5=Year1,1,IF($C$5=Year2,2,IF($C$5=Year3,3,IF($C$5=Lookups!$D$40,"All"))))&amp;"!"&amp;CT$72&amp;$DE45)*100,0)</f>
        <v>0</v>
      </c>
      <c r="CU45" s="338" cm="1">
        <f t="array" aca="1" ref="CU45" ca="1">IFERROR(INDIRECT("Yr"&amp;IF($C$5=Year1,1,IF($C$5=Year2,2,IF($C$5=Year3,3,IF($C$5=Lookups!$D$40,"All"))))&amp;"!"&amp;CU$72&amp;$DE45)*100,0)</f>
        <v>0</v>
      </c>
      <c r="CV45" s="338" cm="1">
        <f t="array" aca="1" ref="CV45" ca="1">IFERROR(INDIRECT("Yr"&amp;IF($C$5=Year1,1,IF($C$5=Year2,2,IF($C$5=Year3,3,IF($C$5=Lookups!$D$40,"All"))))&amp;"!"&amp;CV$72&amp;$DE45)*100,0)</f>
        <v>0</v>
      </c>
      <c r="CW45" s="338" cm="1">
        <f t="array" aca="1" ref="CW45" ca="1">IFERROR(INDIRECT("Yr"&amp;IF($C$5=Year1,1,IF($C$5=Year2,2,IF($C$5=Year3,3,IF($C$5=Lookups!$D$40,"All"))))&amp;"!"&amp;CW$72&amp;$DE45)*100,0)</f>
        <v>0</v>
      </c>
      <c r="CX45" s="338" cm="1">
        <f t="array" aca="1" ref="CX45" ca="1">IFERROR(INDIRECT("Yr"&amp;IF($C$5=Year1,1,IF($C$5=Year2,2,IF($C$5=Year3,3,IF($C$5=Lookups!$D$40,"All"))))&amp;"!"&amp;CX$72&amp;$DE45)*100,0)</f>
        <v>0</v>
      </c>
      <c r="CY45" s="338" cm="1">
        <f t="array" aca="1" ref="CY45" ca="1">IFERROR(INDIRECT("Yr"&amp;IF($C$5=Year1,1,IF($C$5=Year2,2,IF($C$5=Year3,3,IF($C$5=Lookups!$D$40,"All"))))&amp;"!"&amp;CY$72&amp;$DE45)*100,0)</f>
        <v>0</v>
      </c>
      <c r="CZ45" s="338" cm="1">
        <f t="array" aca="1" ref="CZ45" ca="1">IFERROR(INDIRECT("Yr"&amp;IF($C$5=Year1,1,IF($C$5=Year2,2,IF($C$5=Year3,3,IF($C$5=Lookups!$D$40,"All"))))&amp;"!"&amp;CZ$72&amp;$DE45)*100,0)</f>
        <v>0</v>
      </c>
      <c r="DA45" s="152"/>
      <c r="DB45" s="338"/>
      <c r="DE45" s="516">
        <f t="shared" ref="DE45:DE52" si="6">DE25</f>
        <v>283</v>
      </c>
    </row>
    <row r="46" spans="3:114" x14ac:dyDescent="0.25">
      <c r="BV46" s="343"/>
      <c r="BW46" s="346"/>
      <c r="BX46" s="131" t="s">
        <v>405</v>
      </c>
      <c r="BY46" s="131" t="s">
        <v>409</v>
      </c>
      <c r="BZ46" s="338" cm="1">
        <f t="array" aca="1" ref="BZ46" ca="1">IFERROR(INDIRECT("Yr"&amp;IF($C$5=Year1,1,IF($C$5=Year2,2,IF($C$5=Year3,3,IF($C$5=Lookups!$D$40,"All"))))&amp;"!"&amp;BZ$72&amp;$DE46)*100,0)</f>
        <v>17.09430966134309</v>
      </c>
      <c r="CA46" s="338" cm="1">
        <f t="array" aca="1" ref="CA46" ca="1">IFERROR(INDIRECT("Yr"&amp;IF($C$5=Year1,1,IF($C$5=Year2,2,IF($C$5=Year3,3,IF($C$5=Lookups!$D$40,"All"))))&amp;"!"&amp;CA$72&amp;$DE46)*100,0)</f>
        <v>17.912293874470269</v>
      </c>
      <c r="CB46" s="338" cm="1">
        <f t="array" aca="1" ref="CB46" ca="1">IFERROR(INDIRECT("Yr"&amp;IF($C$5=Year1,1,IF($C$5=Year2,2,IF($C$5=Year3,3,IF($C$5=Lookups!$D$40,"All"))))&amp;"!"&amp;CB$72&amp;$DE46)*100,0)</f>
        <v>19.050121298638214</v>
      </c>
      <c r="CC46" s="338" cm="1">
        <f t="array" aca="1" ref="CC46" ca="1">IFERROR(INDIRECT("Yr"&amp;IF($C$5=Year1,1,IF($C$5=Year2,2,IF($C$5=Year3,3,IF($C$5=Lookups!$D$40,"All"))))&amp;"!"&amp;CC$72&amp;$DE46)*100,0)</f>
        <v>0</v>
      </c>
      <c r="CD46" s="338" cm="1">
        <f t="array" aca="1" ref="CD46" ca="1">IFERROR(INDIRECT("Yr"&amp;IF($C$5=Year1,1,IF($C$5=Year2,2,IF($C$5=Year3,3,IF($C$5=Lookups!$D$40,"All"))))&amp;"!"&amp;CD$72&amp;$DE46)*100,0)</f>
        <v>0</v>
      </c>
      <c r="CE46" s="338" cm="1">
        <f t="array" aca="1" ref="CE46" ca="1">IFERROR(INDIRECT("Yr"&amp;IF($C$5=Year1,1,IF($C$5=Year2,2,IF($C$5=Year3,3,IF($C$5=Lookups!$D$40,"All"))))&amp;"!"&amp;CE$72&amp;$DE46)*100,0)</f>
        <v>0</v>
      </c>
      <c r="CF46" s="338" cm="1">
        <f t="array" aca="1" ref="CF46" ca="1">IFERROR(INDIRECT("Yr"&amp;IF($C$5=Year1,1,IF($C$5=Year2,2,IF($C$5=Year3,3,IF($C$5=Lookups!$D$40,"All"))))&amp;"!"&amp;CF$72&amp;$DE46)*100,0)</f>
        <v>0</v>
      </c>
      <c r="CG46" s="338" cm="1">
        <f t="array" aca="1" ref="CG46" ca="1">IFERROR(INDIRECT("Yr"&amp;IF($C$5=Year1,1,IF($C$5=Year2,2,IF($C$5=Year3,3,IF($C$5=Lookups!$D$40,"All"))))&amp;"!"&amp;CG$72&amp;$DE46)*100,0)</f>
        <v>0</v>
      </c>
      <c r="CH46" s="338" cm="1">
        <f t="array" aca="1" ref="CH46" ca="1">IFERROR(INDIRECT("Yr"&amp;IF($C$5=Year1,1,IF($C$5=Year2,2,IF($C$5=Year3,3,IF($C$5=Lookups!$D$40,"All"))))&amp;"!"&amp;CH$72&amp;$DE46)*100,0)</f>
        <v>0</v>
      </c>
      <c r="CI46" s="338" cm="1">
        <f t="array" aca="1" ref="CI46" ca="1">IFERROR(INDIRECT("Yr"&amp;IF($C$5=Year1,1,IF($C$5=Year2,2,IF($C$5=Year3,3,IF($C$5=Lookups!$D$40,"All"))))&amp;"!"&amp;CI$72&amp;$DE46)*100,0)</f>
        <v>0</v>
      </c>
      <c r="CJ46" s="338" cm="1">
        <f t="array" aca="1" ref="CJ46" ca="1">IFERROR(INDIRECT("Yr"&amp;IF($C$5=Year1,1,IF($C$5=Year2,2,IF($C$5=Year3,3,IF($C$5=Lookups!$D$40,"All"))))&amp;"!"&amp;CJ$72&amp;$DE46)*100,0)</f>
        <v>0</v>
      </c>
      <c r="CK46" s="338" cm="1">
        <f t="array" aca="1" ref="CK46" ca="1">IFERROR(INDIRECT("Yr"&amp;IF($C$5=Year1,1,IF($C$5=Year2,2,IF($C$5=Year3,3,IF($C$5=Lookups!$D$40,"All"))))&amp;"!"&amp;CK$72&amp;$DE46)*100,0)</f>
        <v>0</v>
      </c>
      <c r="CL46" s="338" cm="1">
        <f t="array" aca="1" ref="CL46" ca="1">IFERROR(INDIRECT("Yr"&amp;IF($C$5=Year1,1,IF($C$5=Year2,2,IF($C$5=Year3,3,IF($C$5=Lookups!$D$40,"All"))))&amp;"!"&amp;CL$72&amp;$DE46)*100,0)</f>
        <v>0</v>
      </c>
      <c r="CM46" s="338" cm="1">
        <f t="array" aca="1" ref="CM46" ca="1">IFERROR(INDIRECT("Yr"&amp;IF($C$5=Year1,1,IF($C$5=Year2,2,IF($C$5=Year3,3,IF($C$5=Lookups!$D$40,"All"))))&amp;"!"&amp;CM$72&amp;$DE46)*100,0)</f>
        <v>0</v>
      </c>
      <c r="CN46" s="338" cm="1">
        <f t="array" aca="1" ref="CN46" ca="1">IFERROR(INDIRECT("Yr"&amp;IF($C$5=Year1,1,IF($C$5=Year2,2,IF($C$5=Year3,3,IF($C$5=Lookups!$D$40,"All"))))&amp;"!"&amp;CN$72&amp;$DE46)*100,0)</f>
        <v>0</v>
      </c>
      <c r="CO46" s="338" cm="1">
        <f t="array" aca="1" ref="CO46" ca="1">IFERROR(INDIRECT("Yr"&amp;IF($C$5=Year1,1,IF($C$5=Year2,2,IF($C$5=Year3,3,IF($C$5=Lookups!$D$40,"All"))))&amp;"!"&amp;CO$72&amp;$DE46)*100,0)</f>
        <v>0</v>
      </c>
      <c r="CP46" s="338" cm="1">
        <f t="array" aca="1" ref="CP46" ca="1">IFERROR(INDIRECT("Yr"&amp;IF($C$5=Year1,1,IF($C$5=Year2,2,IF($C$5=Year3,3,IF($C$5=Lookups!$D$40,"All"))))&amp;"!"&amp;CP$72&amp;$DE46)*100,0)</f>
        <v>0</v>
      </c>
      <c r="CQ46" s="338" cm="1">
        <f t="array" aca="1" ref="CQ46" ca="1">IFERROR(INDIRECT("Yr"&amp;IF($C$5=Year1,1,IF($C$5=Year2,2,IF($C$5=Year3,3,IF($C$5=Lookups!$D$40,"All"))))&amp;"!"&amp;CQ$72&amp;$DE46)*100,0)</f>
        <v>0</v>
      </c>
      <c r="CR46" s="338" cm="1">
        <f t="array" aca="1" ref="CR46" ca="1">IFERROR(INDIRECT("Yr"&amp;IF($C$5=Year1,1,IF($C$5=Year2,2,IF($C$5=Year3,3,IF($C$5=Lookups!$D$40,"All"))))&amp;"!"&amp;CR$72&amp;$DE46)*100,0)</f>
        <v>0</v>
      </c>
      <c r="CS46" s="338" cm="1">
        <f t="array" aca="1" ref="CS46" ca="1">IFERROR(INDIRECT("Yr"&amp;IF($C$5=Year1,1,IF($C$5=Year2,2,IF($C$5=Year3,3,IF($C$5=Lookups!$D$40,"All"))))&amp;"!"&amp;CS$72&amp;$DE46)*100,0)</f>
        <v>0</v>
      </c>
      <c r="CT46" s="338" cm="1">
        <f t="array" aca="1" ref="CT46" ca="1">IFERROR(INDIRECT("Yr"&amp;IF($C$5=Year1,1,IF($C$5=Year2,2,IF($C$5=Year3,3,IF($C$5=Lookups!$D$40,"All"))))&amp;"!"&amp;CT$72&amp;$DE46)*100,0)</f>
        <v>0</v>
      </c>
      <c r="CU46" s="338" cm="1">
        <f t="array" aca="1" ref="CU46" ca="1">IFERROR(INDIRECT("Yr"&amp;IF($C$5=Year1,1,IF($C$5=Year2,2,IF($C$5=Year3,3,IF($C$5=Lookups!$D$40,"All"))))&amp;"!"&amp;CU$72&amp;$DE46)*100,0)</f>
        <v>0</v>
      </c>
      <c r="CV46" s="338" cm="1">
        <f t="array" aca="1" ref="CV46" ca="1">IFERROR(INDIRECT("Yr"&amp;IF($C$5=Year1,1,IF($C$5=Year2,2,IF($C$5=Year3,3,IF($C$5=Lookups!$D$40,"All"))))&amp;"!"&amp;CV$72&amp;$DE46)*100,0)</f>
        <v>0</v>
      </c>
      <c r="CW46" s="338" cm="1">
        <f t="array" aca="1" ref="CW46" ca="1">IFERROR(INDIRECT("Yr"&amp;IF($C$5=Year1,1,IF($C$5=Year2,2,IF($C$5=Year3,3,IF($C$5=Lookups!$D$40,"All"))))&amp;"!"&amp;CW$72&amp;$DE46)*100,0)</f>
        <v>0</v>
      </c>
      <c r="CX46" s="338" cm="1">
        <f t="array" aca="1" ref="CX46" ca="1">IFERROR(INDIRECT("Yr"&amp;IF($C$5=Year1,1,IF($C$5=Year2,2,IF($C$5=Year3,3,IF($C$5=Lookups!$D$40,"All"))))&amp;"!"&amp;CX$72&amp;$DE46)*100,0)</f>
        <v>0</v>
      </c>
      <c r="CY46" s="338" cm="1">
        <f t="array" aca="1" ref="CY46" ca="1">IFERROR(INDIRECT("Yr"&amp;IF($C$5=Year1,1,IF($C$5=Year2,2,IF($C$5=Year3,3,IF($C$5=Lookups!$D$40,"All"))))&amp;"!"&amp;CY$72&amp;$DE46)*100,0)</f>
        <v>0</v>
      </c>
      <c r="CZ46" s="338" cm="1">
        <f t="array" aca="1" ref="CZ46" ca="1">IFERROR(INDIRECT("Yr"&amp;IF($C$5=Year1,1,IF($C$5=Year2,2,IF($C$5=Year3,3,IF($C$5=Lookups!$D$40,"All"))))&amp;"!"&amp;CZ$72&amp;$DE46)*100,0)</f>
        <v>0</v>
      </c>
      <c r="DA46" s="152"/>
      <c r="DB46" s="338"/>
      <c r="DE46" s="516">
        <f t="shared" si="6"/>
        <v>286</v>
      </c>
    </row>
    <row r="47" spans="3:114" x14ac:dyDescent="0.25">
      <c r="BV47" s="343"/>
      <c r="BW47" s="346"/>
      <c r="BX47" s="350" t="s">
        <v>69</v>
      </c>
      <c r="BY47" s="350" t="s">
        <v>409</v>
      </c>
      <c r="BZ47" s="473" cm="1">
        <f t="array" aca="1" ref="BZ47" ca="1">IFERROR(INDIRECT("Yr"&amp;IF($C$5=Year1,1,IF($C$5=Year2,2,IF($C$5=Year3,3,IF($C$5=Lookups!$D$40,"All"))))&amp;"!"&amp;BZ$72&amp;$DE47)*100,0)</f>
        <v>1.1851974435824766</v>
      </c>
      <c r="CA47" s="473" cm="1">
        <f t="array" aca="1" ref="CA47" ca="1">IFERROR(INDIRECT("Yr"&amp;IF($C$5=Year1,1,IF($C$5=Year2,2,IF($C$5=Year3,3,IF($C$5=Lookups!$D$40,"All"))))&amp;"!"&amp;CA$72&amp;$DE47)*100,0)</f>
        <v>2.6229865391943123</v>
      </c>
      <c r="CB47" s="473" cm="1">
        <f t="array" aca="1" ref="CB47" ca="1">IFERROR(INDIRECT("Yr"&amp;IF($C$5=Year1,1,IF($C$5=Year2,2,IF($C$5=Year3,3,IF($C$5=Lookups!$D$40,"All"))))&amp;"!"&amp;CB$72&amp;$DE47)*100,0)</f>
        <v>4.4479220925931369</v>
      </c>
      <c r="CC47" s="473" cm="1">
        <f t="array" aca="1" ref="CC47" ca="1">IFERROR(INDIRECT("Yr"&amp;IF($C$5=Year1,1,IF($C$5=Year2,2,IF($C$5=Year3,3,IF($C$5=Lookups!$D$40,"All"))))&amp;"!"&amp;CC$72&amp;$DE47)*100,0)</f>
        <v>4.4479220925931369</v>
      </c>
      <c r="CD47" s="473" cm="1">
        <f t="array" aca="1" ref="CD47" ca="1">IFERROR(INDIRECT("Yr"&amp;IF($C$5=Year1,1,IF($C$5=Year2,2,IF($C$5=Year3,3,IF($C$5=Lookups!$D$40,"All"))))&amp;"!"&amp;CD$72&amp;$DE47)*100,0)</f>
        <v>4.4479220925931369</v>
      </c>
      <c r="CE47" s="473" cm="1">
        <f t="array" aca="1" ref="CE47" ca="1">IFERROR(INDIRECT("Yr"&amp;IF($C$5=Year1,1,IF($C$5=Year2,2,IF($C$5=Year3,3,IF($C$5=Lookups!$D$40,"All"))))&amp;"!"&amp;CE$72&amp;$DE47)*100,0)</f>
        <v>4.4479220925931369</v>
      </c>
      <c r="CF47" s="473" cm="1">
        <f t="array" aca="1" ref="CF47" ca="1">IFERROR(INDIRECT("Yr"&amp;IF($C$5=Year1,1,IF($C$5=Year2,2,IF($C$5=Year3,3,IF($C$5=Lookups!$D$40,"All"))))&amp;"!"&amp;CF$72&amp;$DE47)*100,0)</f>
        <v>4.4479220925931369</v>
      </c>
      <c r="CG47" s="473" cm="1">
        <f t="array" aca="1" ref="CG47" ca="1">IFERROR(INDIRECT("Yr"&amp;IF($C$5=Year1,1,IF($C$5=Year2,2,IF($C$5=Year3,3,IF($C$5=Lookups!$D$40,"All"))))&amp;"!"&amp;CG$72&amp;$DE47)*100,0)</f>
        <v>4.4479220925931369</v>
      </c>
      <c r="CH47" s="473" cm="1">
        <f t="array" aca="1" ref="CH47" ca="1">IFERROR(INDIRECT("Yr"&amp;IF($C$5=Year1,1,IF($C$5=Year2,2,IF($C$5=Year3,3,IF($C$5=Lookups!$D$40,"All"))))&amp;"!"&amp;CH$72&amp;$DE47)*100,0)</f>
        <v>4.4479220925931369</v>
      </c>
      <c r="CI47" s="473" cm="1">
        <f t="array" aca="1" ref="CI47" ca="1">IFERROR(INDIRECT("Yr"&amp;IF($C$5=Year1,1,IF($C$5=Year2,2,IF($C$5=Year3,3,IF($C$5=Lookups!$D$40,"All"))))&amp;"!"&amp;CI$72&amp;$DE47)*100,0)</f>
        <v>4.4479220925931369</v>
      </c>
      <c r="CJ47" s="473" cm="1">
        <f t="array" aca="1" ref="CJ47" ca="1">IFERROR(INDIRECT("Yr"&amp;IF($C$5=Year1,1,IF($C$5=Year2,2,IF($C$5=Year3,3,IF($C$5=Lookups!$D$40,"All"))))&amp;"!"&amp;CJ$72&amp;$DE47)*100,0)</f>
        <v>4.4479220925931369</v>
      </c>
      <c r="CK47" s="473" cm="1">
        <f t="array" aca="1" ref="CK47" ca="1">IFERROR(INDIRECT("Yr"&amp;IF($C$5=Year1,1,IF($C$5=Year2,2,IF($C$5=Year3,3,IF($C$5=Lookups!$D$40,"All"))))&amp;"!"&amp;CK$72&amp;$DE47)*100,0)</f>
        <v>4.4479220925931369</v>
      </c>
      <c r="CL47" s="473" cm="1">
        <f t="array" aca="1" ref="CL47" ca="1">IFERROR(INDIRECT("Yr"&amp;IF($C$5=Year1,1,IF($C$5=Year2,2,IF($C$5=Year3,3,IF($C$5=Lookups!$D$40,"All"))))&amp;"!"&amp;CL$72&amp;$DE47)*100,0)</f>
        <v>4.4479220925931369</v>
      </c>
      <c r="CM47" s="473" cm="1">
        <f t="array" aca="1" ref="CM47" ca="1">IFERROR(INDIRECT("Yr"&amp;IF($C$5=Year1,1,IF($C$5=Year2,2,IF($C$5=Year3,3,IF($C$5=Lookups!$D$40,"All"))))&amp;"!"&amp;CM$72&amp;$DE47)*100,0)</f>
        <v>2.7819835222813727</v>
      </c>
      <c r="CN47" s="473" cm="1">
        <f t="array" aca="1" ref="CN47" ca="1">IFERROR(INDIRECT("Yr"&amp;IF($C$5=Year1,1,IF($C$5=Year2,2,IF($C$5=Year3,3,IF($C$5=Lookups!$D$40,"All"))))&amp;"!"&amp;CN$72&amp;$DE47)*100,0)</f>
        <v>1.3201270012641708</v>
      </c>
      <c r="CO47" s="473" cm="1">
        <f t="array" aca="1" ref="CO47" ca="1">IFERROR(INDIRECT("Yr"&amp;IF($C$5=Year1,1,IF($C$5=Year2,2,IF($C$5=Year3,3,IF($C$5=Lookups!$D$40,"All"))))&amp;"!"&amp;CO$72&amp;$DE47)*100,0)</f>
        <v>0</v>
      </c>
      <c r="CP47" s="473" cm="1">
        <f t="array" aca="1" ref="CP47" ca="1">IFERROR(INDIRECT("Yr"&amp;IF($C$5=Year1,1,IF($C$5=Year2,2,IF($C$5=Year3,3,IF($C$5=Lookups!$D$40,"All"))))&amp;"!"&amp;CP$72&amp;$DE47)*100,0)</f>
        <v>0</v>
      </c>
      <c r="CQ47" s="473" cm="1">
        <f t="array" aca="1" ref="CQ47" ca="1">IFERROR(INDIRECT("Yr"&amp;IF($C$5=Year1,1,IF($C$5=Year2,2,IF($C$5=Year3,3,IF($C$5=Lookups!$D$40,"All"))))&amp;"!"&amp;CQ$72&amp;$DE47)*100,0)</f>
        <v>0</v>
      </c>
      <c r="CR47" s="473" cm="1">
        <f t="array" aca="1" ref="CR47" ca="1">IFERROR(INDIRECT("Yr"&amp;IF($C$5=Year1,1,IF($C$5=Year2,2,IF($C$5=Year3,3,IF($C$5=Lookups!$D$40,"All"))))&amp;"!"&amp;CR$72&amp;$DE47)*100,0)</f>
        <v>0</v>
      </c>
      <c r="CS47" s="473" cm="1">
        <f t="array" aca="1" ref="CS47" ca="1">IFERROR(INDIRECT("Yr"&amp;IF($C$5=Year1,1,IF($C$5=Year2,2,IF($C$5=Year3,3,IF($C$5=Lookups!$D$40,"All"))))&amp;"!"&amp;CS$72&amp;$DE47)*100,0)</f>
        <v>0</v>
      </c>
      <c r="CT47" s="473" cm="1">
        <f t="array" aca="1" ref="CT47" ca="1">IFERROR(INDIRECT("Yr"&amp;IF($C$5=Year1,1,IF($C$5=Year2,2,IF($C$5=Year3,3,IF($C$5=Lookups!$D$40,"All"))))&amp;"!"&amp;CT$72&amp;$DE47)*100,0)</f>
        <v>0</v>
      </c>
      <c r="CU47" s="473" cm="1">
        <f t="array" aca="1" ref="CU47" ca="1">IFERROR(INDIRECT("Yr"&amp;IF($C$5=Year1,1,IF($C$5=Year2,2,IF($C$5=Year3,3,IF($C$5=Lookups!$D$40,"All"))))&amp;"!"&amp;CU$72&amp;$DE47)*100,0)</f>
        <v>0</v>
      </c>
      <c r="CV47" s="473" cm="1">
        <f t="array" aca="1" ref="CV47" ca="1">IFERROR(INDIRECT("Yr"&amp;IF($C$5=Year1,1,IF($C$5=Year2,2,IF($C$5=Year3,3,IF($C$5=Lookups!$D$40,"All"))))&amp;"!"&amp;CV$72&amp;$DE47)*100,0)</f>
        <v>0</v>
      </c>
      <c r="CW47" s="473" cm="1">
        <f t="array" aca="1" ref="CW47" ca="1">IFERROR(INDIRECT("Yr"&amp;IF($C$5=Year1,1,IF($C$5=Year2,2,IF($C$5=Year3,3,IF($C$5=Lookups!$D$40,"All"))))&amp;"!"&amp;CW$72&amp;$DE47)*100,0)</f>
        <v>0</v>
      </c>
      <c r="CX47" s="473" cm="1">
        <f t="array" aca="1" ref="CX47" ca="1">IFERROR(INDIRECT("Yr"&amp;IF($C$5=Year1,1,IF($C$5=Year2,2,IF($C$5=Year3,3,IF($C$5=Lookups!$D$40,"All"))))&amp;"!"&amp;CX$72&amp;$DE47)*100,0)</f>
        <v>0</v>
      </c>
      <c r="CY47" s="473" cm="1">
        <f t="array" aca="1" ref="CY47" ca="1">IFERROR(INDIRECT("Yr"&amp;IF($C$5=Year1,1,IF($C$5=Year2,2,IF($C$5=Year3,3,IF($C$5=Lookups!$D$40,"All"))))&amp;"!"&amp;CY$72&amp;$DE47)*100,0)</f>
        <v>0</v>
      </c>
      <c r="CZ47" s="473" cm="1">
        <f t="array" aca="1" ref="CZ47" ca="1">IFERROR(INDIRECT("Yr"&amp;IF($C$5=Year1,1,IF($C$5=Year2,2,IF($C$5=Year3,3,IF($C$5=Lookups!$D$40,"All"))))&amp;"!"&amp;CZ$72&amp;$DE47)*100,0)</f>
        <v>0</v>
      </c>
      <c r="DA47" s="152"/>
      <c r="DB47" s="473"/>
      <c r="DE47" s="516">
        <f t="shared" si="6"/>
        <v>287</v>
      </c>
    </row>
    <row r="48" spans="3:114" x14ac:dyDescent="0.25">
      <c r="BV48" s="343"/>
      <c r="BW48" s="346"/>
      <c r="BX48" s="165" t="s">
        <v>98</v>
      </c>
      <c r="BY48" s="131" t="s">
        <v>409</v>
      </c>
      <c r="BZ48" s="338">
        <f t="shared" ref="BZ48:CZ48" ca="1" si="7">SUM(BZ43:BZ45)</f>
        <v>-6.9109640684092266</v>
      </c>
      <c r="CA48" s="338">
        <f t="shared" ca="1" si="7"/>
        <v>-15.886858099659658</v>
      </c>
      <c r="CB48" s="338">
        <f t="shared" ca="1" si="7"/>
        <v>-28.080700905539473</v>
      </c>
      <c r="CC48" s="338">
        <f t="shared" ca="1" si="7"/>
        <v>-28.080700905539473</v>
      </c>
      <c r="CD48" s="338">
        <f t="shared" ca="1" si="7"/>
        <v>-28.080700905539473</v>
      </c>
      <c r="CE48" s="338">
        <f t="shared" ca="1" si="7"/>
        <v>-28.080700905539473</v>
      </c>
      <c r="CF48" s="338">
        <f t="shared" ca="1" si="7"/>
        <v>-28.080700905539473</v>
      </c>
      <c r="CG48" s="338">
        <f t="shared" ca="1" si="7"/>
        <v>-28.080700905539473</v>
      </c>
      <c r="CH48" s="338">
        <f t="shared" ca="1" si="7"/>
        <v>-28.080700905539473</v>
      </c>
      <c r="CI48" s="338">
        <f t="shared" ca="1" si="7"/>
        <v>-28.080700905539473</v>
      </c>
      <c r="CJ48" s="338">
        <f t="shared" ca="1" si="7"/>
        <v>-28.080700905539473</v>
      </c>
      <c r="CK48" s="338">
        <f t="shared" ca="1" si="7"/>
        <v>-28.080700905539473</v>
      </c>
      <c r="CL48" s="338">
        <f t="shared" ca="1" si="7"/>
        <v>-28.080700905539473</v>
      </c>
      <c r="CM48" s="338">
        <f t="shared" ca="1" si="7"/>
        <v>-16.912280720096273</v>
      </c>
      <c r="CN48" s="338">
        <f t="shared" ca="1" si="7"/>
        <v>-7.7237096667410174</v>
      </c>
      <c r="CO48" s="338">
        <f t="shared" ca="1" si="7"/>
        <v>0</v>
      </c>
      <c r="CP48" s="338">
        <f t="shared" ca="1" si="7"/>
        <v>0</v>
      </c>
      <c r="CQ48" s="338">
        <f t="shared" ca="1" si="7"/>
        <v>0</v>
      </c>
      <c r="CR48" s="338">
        <f t="shared" ca="1" si="7"/>
        <v>0</v>
      </c>
      <c r="CS48" s="338">
        <f t="shared" ca="1" si="7"/>
        <v>0</v>
      </c>
      <c r="CT48" s="338">
        <f t="shared" ca="1" si="7"/>
        <v>0</v>
      </c>
      <c r="CU48" s="338">
        <f t="shared" ca="1" si="7"/>
        <v>0</v>
      </c>
      <c r="CV48" s="338">
        <f t="shared" ca="1" si="7"/>
        <v>0</v>
      </c>
      <c r="CW48" s="338">
        <f t="shared" ca="1" si="7"/>
        <v>0</v>
      </c>
      <c r="CX48" s="338">
        <f t="shared" ca="1" si="7"/>
        <v>0</v>
      </c>
      <c r="CY48" s="338">
        <f t="shared" ca="1" si="7"/>
        <v>0</v>
      </c>
      <c r="CZ48" s="338">
        <f t="shared" ca="1" si="7"/>
        <v>0</v>
      </c>
      <c r="DA48" s="152"/>
      <c r="DB48" s="338"/>
      <c r="DC48" s="123"/>
      <c r="DE48" s="516" t="str">
        <f t="shared" si="6"/>
        <v>Calculation</v>
      </c>
    </row>
    <row r="49" spans="3:117" x14ac:dyDescent="0.25">
      <c r="BV49" s="351"/>
      <c r="BW49" s="352"/>
      <c r="BX49" s="353" t="s">
        <v>99</v>
      </c>
      <c r="BY49" s="353" t="s">
        <v>409</v>
      </c>
      <c r="BZ49" s="338" cm="1">
        <f t="array" aca="1" ref="BZ49" ca="1">IFERROR(INDIRECT("Yr"&amp;IF($C$5=Year1,1,IF($C$5=Year2,2,IF($C$5=Year3,3,IF($C$5=Lookups!$D$40,"All"))))&amp;"!"&amp;BZ$72&amp;$DE49)*100,0)</f>
        <v>17.573544752602388</v>
      </c>
      <c r="CA49" s="338" cm="1">
        <f t="array" aca="1" ref="CA49" ca="1">IFERROR(INDIRECT("Yr"&amp;IF($C$5=Year1,1,IF($C$5=Year2,2,IF($C$5=Year3,3,IF($C$5=Lookups!$D$40,"All"))))&amp;"!"&amp;CA$72&amp;$DE49)*100,0)</f>
        <v>19.013571355716795</v>
      </c>
      <c r="CB49" s="338" cm="1">
        <f t="array" aca="1" ref="CB49" ca="1">IFERROR(INDIRECT("Yr"&amp;IF($C$5=Year1,1,IF($C$5=Year2,2,IF($C$5=Year3,3,IF($C$5=Lookups!$D$40,"All"))))&amp;"!"&amp;CB$72&amp;$DE49)*100,0)</f>
        <v>20.998841599056718</v>
      </c>
      <c r="CC49" s="338" cm="1">
        <f t="array" aca="1" ref="CC49" ca="1">IFERROR(INDIRECT("Yr"&amp;IF($C$5=Year1,1,IF($C$5=Year2,2,IF($C$5=Year3,3,IF($C$5=Lookups!$D$40,"All"))))&amp;"!"&amp;CC$72&amp;$DE49)*100,0)</f>
        <v>1.948720300418505</v>
      </c>
      <c r="CD49" s="338" cm="1">
        <f t="array" aca="1" ref="CD49" ca="1">IFERROR(INDIRECT("Yr"&amp;IF($C$5=Year1,1,IF($C$5=Year2,2,IF($C$5=Year3,3,IF($C$5=Lookups!$D$40,"All"))))&amp;"!"&amp;CD$72&amp;$DE49)*100,0)</f>
        <v>1.948720300418505</v>
      </c>
      <c r="CE49" s="338" cm="1">
        <f t="array" aca="1" ref="CE49" ca="1">IFERROR(INDIRECT("Yr"&amp;IF($C$5=Year1,1,IF($C$5=Year2,2,IF($C$5=Year3,3,IF($C$5=Lookups!$D$40,"All"))))&amp;"!"&amp;CE$72&amp;$DE49)*100,0)</f>
        <v>1.948720300418505</v>
      </c>
      <c r="CF49" s="338" cm="1">
        <f t="array" aca="1" ref="CF49" ca="1">IFERROR(INDIRECT("Yr"&amp;IF($C$5=Year1,1,IF($C$5=Year2,2,IF($C$5=Year3,3,IF($C$5=Lookups!$D$40,"All"))))&amp;"!"&amp;CF$72&amp;$DE49)*100,0)</f>
        <v>1.948720300418505</v>
      </c>
      <c r="CG49" s="338" cm="1">
        <f t="array" aca="1" ref="CG49" ca="1">IFERROR(INDIRECT("Yr"&amp;IF($C$5=Year1,1,IF($C$5=Year2,2,IF($C$5=Year3,3,IF($C$5=Lookups!$D$40,"All"))))&amp;"!"&amp;CG$72&amp;$DE49)*100,0)</f>
        <v>1.948720300418505</v>
      </c>
      <c r="CH49" s="338" cm="1">
        <f t="array" aca="1" ref="CH49" ca="1">IFERROR(INDIRECT("Yr"&amp;IF($C$5=Year1,1,IF($C$5=Year2,2,IF($C$5=Year3,3,IF($C$5=Lookups!$D$40,"All"))))&amp;"!"&amp;CH$72&amp;$DE49)*100,0)</f>
        <v>1.948720300418505</v>
      </c>
      <c r="CI49" s="338" cm="1">
        <f t="array" aca="1" ref="CI49" ca="1">IFERROR(INDIRECT("Yr"&amp;IF($C$5=Year1,1,IF($C$5=Year2,2,IF($C$5=Year3,3,IF($C$5=Lookups!$D$40,"All"))))&amp;"!"&amp;CI$72&amp;$DE49)*100,0)</f>
        <v>1.948720300418505</v>
      </c>
      <c r="CJ49" s="338" cm="1">
        <f t="array" aca="1" ref="CJ49" ca="1">IFERROR(INDIRECT("Yr"&amp;IF($C$5=Year1,1,IF($C$5=Year2,2,IF($C$5=Year3,3,IF($C$5=Lookups!$D$40,"All"))))&amp;"!"&amp;CJ$72&amp;$DE49)*100,0)</f>
        <v>1.948720300418505</v>
      </c>
      <c r="CK49" s="338" cm="1">
        <f t="array" aca="1" ref="CK49" ca="1">IFERROR(INDIRECT("Yr"&amp;IF($C$5=Year1,1,IF($C$5=Year2,2,IF($C$5=Year3,3,IF($C$5=Lookups!$D$40,"All"))))&amp;"!"&amp;CK$72&amp;$DE49)*100,0)</f>
        <v>1.948720300418505</v>
      </c>
      <c r="CL49" s="338" cm="1">
        <f t="array" aca="1" ref="CL49" ca="1">IFERROR(INDIRECT("Yr"&amp;IF($C$5=Year1,1,IF($C$5=Year2,2,IF($C$5=Year3,3,IF($C$5=Lookups!$D$40,"All"))))&amp;"!"&amp;CL$72&amp;$DE49)*100,0)</f>
        <v>1.948720300418505</v>
      </c>
      <c r="CM49" s="338" cm="1">
        <f t="array" aca="1" ref="CM49" ca="1">IFERROR(INDIRECT("Yr"&amp;IF($C$5=Year1,1,IF($C$5=Year2,2,IF($C$5=Year3,3,IF($C$5=Lookups!$D$40,"All"))))&amp;"!"&amp;CM$72&amp;$DE49)*100,0)</f>
        <v>1.1740798144408648</v>
      </c>
      <c r="CN49" s="338" cm="1">
        <f t="array" aca="1" ref="CN49" ca="1">IFERROR(INDIRECT("Yr"&amp;IF($C$5=Year1,1,IF($C$5=Year2,2,IF($C$5=Year3,3,IF($C$5=Lookups!$D$40,"All"))))&amp;"!"&amp;CN$72&amp;$DE49)*100,0)</f>
        <v>0.53710705078249266</v>
      </c>
      <c r="CO49" s="338" cm="1">
        <f t="array" aca="1" ref="CO49" ca="1">IFERROR(INDIRECT("Yr"&amp;IF($C$5=Year1,1,IF($C$5=Year2,2,IF($C$5=Year3,3,IF($C$5=Lookups!$D$40,"All"))))&amp;"!"&amp;CO$72&amp;$DE49)*100,0)</f>
        <v>0</v>
      </c>
      <c r="CP49" s="338" cm="1">
        <f t="array" aca="1" ref="CP49" ca="1">IFERROR(INDIRECT("Yr"&amp;IF($C$5=Year1,1,IF($C$5=Year2,2,IF($C$5=Year3,3,IF($C$5=Lookups!$D$40,"All"))))&amp;"!"&amp;CP$72&amp;$DE49)*100,0)</f>
        <v>0</v>
      </c>
      <c r="CQ49" s="338" cm="1">
        <f t="array" aca="1" ref="CQ49" ca="1">IFERROR(INDIRECT("Yr"&amp;IF($C$5=Year1,1,IF($C$5=Year2,2,IF($C$5=Year3,3,IF($C$5=Lookups!$D$40,"All"))))&amp;"!"&amp;CQ$72&amp;$DE49)*100,0)</f>
        <v>0</v>
      </c>
      <c r="CR49" s="338" cm="1">
        <f t="array" aca="1" ref="CR49" ca="1">IFERROR(INDIRECT("Yr"&amp;IF($C$5=Year1,1,IF($C$5=Year2,2,IF($C$5=Year3,3,IF($C$5=Lookups!$D$40,"All"))))&amp;"!"&amp;CR$72&amp;$DE49)*100,0)</f>
        <v>0</v>
      </c>
      <c r="CS49" s="338" cm="1">
        <f t="array" aca="1" ref="CS49" ca="1">IFERROR(INDIRECT("Yr"&amp;IF($C$5=Year1,1,IF($C$5=Year2,2,IF($C$5=Year3,3,IF($C$5=Lookups!$D$40,"All"))))&amp;"!"&amp;CS$72&amp;$DE49)*100,0)</f>
        <v>0</v>
      </c>
      <c r="CT49" s="338" cm="1">
        <f t="array" aca="1" ref="CT49" ca="1">IFERROR(INDIRECT("Yr"&amp;IF($C$5=Year1,1,IF($C$5=Year2,2,IF($C$5=Year3,3,IF($C$5=Lookups!$D$40,"All"))))&amp;"!"&amp;CT$72&amp;$DE49)*100,0)</f>
        <v>0</v>
      </c>
      <c r="CU49" s="338" cm="1">
        <f t="array" aca="1" ref="CU49" ca="1">IFERROR(INDIRECT("Yr"&amp;IF($C$5=Year1,1,IF($C$5=Year2,2,IF($C$5=Year3,3,IF($C$5=Lookups!$D$40,"All"))))&amp;"!"&amp;CU$72&amp;$DE49)*100,0)</f>
        <v>0</v>
      </c>
      <c r="CV49" s="338" cm="1">
        <f t="array" aca="1" ref="CV49" ca="1">IFERROR(INDIRECT("Yr"&amp;IF($C$5=Year1,1,IF($C$5=Year2,2,IF($C$5=Year3,3,IF($C$5=Lookups!$D$40,"All"))))&amp;"!"&amp;CV$72&amp;$DE49)*100,0)</f>
        <v>0</v>
      </c>
      <c r="CW49" s="338" cm="1">
        <f t="array" aca="1" ref="CW49" ca="1">IFERROR(INDIRECT("Yr"&amp;IF($C$5=Year1,1,IF($C$5=Year2,2,IF($C$5=Year3,3,IF($C$5=Lookups!$D$40,"All"))))&amp;"!"&amp;CW$72&amp;$DE49)*100,0)</f>
        <v>0</v>
      </c>
      <c r="CX49" s="338" cm="1">
        <f t="array" aca="1" ref="CX49" ca="1">IFERROR(INDIRECT("Yr"&amp;IF($C$5=Year1,1,IF($C$5=Year2,2,IF($C$5=Year3,3,IF($C$5=Lookups!$D$40,"All"))))&amp;"!"&amp;CX$72&amp;$DE49)*100,0)</f>
        <v>0</v>
      </c>
      <c r="CY49" s="338" cm="1">
        <f t="array" aca="1" ref="CY49" ca="1">IFERROR(INDIRECT("Yr"&amp;IF($C$5=Year1,1,IF($C$5=Year2,2,IF($C$5=Year3,3,IF($C$5=Lookups!$D$40,"All"))))&amp;"!"&amp;CY$72&amp;$DE49)*100,0)</f>
        <v>0</v>
      </c>
      <c r="CZ49" s="338" cm="1">
        <f t="array" aca="1" ref="CZ49" ca="1">IFERROR(INDIRECT("Yr"&amp;IF($C$5=Year1,1,IF($C$5=Year2,2,IF($C$5=Year3,3,IF($C$5=Lookups!$D$40,"All"))))&amp;"!"&amp;CZ$72&amp;$DE49)*100,0)</f>
        <v>0</v>
      </c>
      <c r="DA49" s="353"/>
      <c r="DB49" s="338"/>
      <c r="DC49" s="355"/>
      <c r="DD49" s="5"/>
      <c r="DE49" s="516">
        <f t="shared" si="6"/>
        <v>296</v>
      </c>
      <c r="DF49" s="530"/>
    </row>
    <row r="50" spans="3:117" x14ac:dyDescent="0.25">
      <c r="BV50" s="343"/>
      <c r="BW50" s="346"/>
      <c r="BX50" s="131" t="s">
        <v>100</v>
      </c>
      <c r="BY50" s="353" t="s">
        <v>409</v>
      </c>
      <c r="BZ50" s="152">
        <f ca="1">IF($C$5=Lookups!$D$40,AVERAGE($BZ49:$CZ49),AVERAGE($BZ49:$CX49))</f>
        <v>2.9179387991401589</v>
      </c>
      <c r="CA50" s="152">
        <f ca="1">IF($C$5=Lookups!$D$40,AVERAGE($BZ49:$CZ49),AVERAGE($BZ49:$CX49))</f>
        <v>2.9179387991401589</v>
      </c>
      <c r="CB50" s="152">
        <f ca="1">IF($C$5=Lookups!$D$40,AVERAGE($BZ49:$CZ49),AVERAGE($BZ49:$CX49))</f>
        <v>2.9179387991401589</v>
      </c>
      <c r="CC50" s="152">
        <f ca="1">IF($C$5=Lookups!$D$40,AVERAGE($BZ49:$CZ49),AVERAGE($BZ49:$CX49))</f>
        <v>2.9179387991401589</v>
      </c>
      <c r="CD50" s="152">
        <f ca="1">IF($C$5=Lookups!$D$40,AVERAGE($BZ49:$CZ49),AVERAGE($BZ49:$CX49))</f>
        <v>2.9179387991401589</v>
      </c>
      <c r="CE50" s="152">
        <f ca="1">IF($C$5=Lookups!$D$40,AVERAGE($BZ49:$CZ49),AVERAGE($BZ49:$CX49))</f>
        <v>2.9179387991401589</v>
      </c>
      <c r="CF50" s="152">
        <f ca="1">IF($C$5=Lookups!$D$40,AVERAGE($BZ49:$CZ49),AVERAGE($BZ49:$CX49))</f>
        <v>2.9179387991401589</v>
      </c>
      <c r="CG50" s="152">
        <f ca="1">IF($C$5=Lookups!$D$40,AVERAGE($BZ49:$CZ49),AVERAGE($BZ49:$CX49))</f>
        <v>2.9179387991401589</v>
      </c>
      <c r="CH50" s="152">
        <f ca="1">IF($C$5=Lookups!$D$40,AVERAGE($BZ49:$CZ49),AVERAGE($BZ49:$CX49))</f>
        <v>2.9179387991401589</v>
      </c>
      <c r="CI50" s="152">
        <f ca="1">IF($C$5=Lookups!$D$40,AVERAGE($BZ49:$CZ49),AVERAGE($BZ49:$CX49))</f>
        <v>2.9179387991401589</v>
      </c>
      <c r="CJ50" s="152">
        <f ca="1">IF($C$5=Lookups!$D$40,AVERAGE($BZ49:$CZ49),AVERAGE($BZ49:$CX49))</f>
        <v>2.9179387991401589</v>
      </c>
      <c r="CK50" s="152">
        <f ca="1">IF($C$5=Lookups!$D$40,AVERAGE($BZ49:$CZ49),AVERAGE($BZ49:$CX49))</f>
        <v>2.9179387991401589</v>
      </c>
      <c r="CL50" s="152">
        <f ca="1">IF($C$5=Lookups!$D$40,AVERAGE($BZ49:$CZ49),AVERAGE($BZ49:$CX49))</f>
        <v>2.9179387991401589</v>
      </c>
      <c r="CM50" s="152">
        <f ca="1">IF($C$5=Lookups!$D$40,AVERAGE($BZ49:$CZ49),AVERAGE($BZ49:$CX49))</f>
        <v>2.9179387991401589</v>
      </c>
      <c r="CN50" s="152">
        <f ca="1">IF($C$5=Lookups!$D$40,AVERAGE($BZ49:$CZ49),AVERAGE($BZ49:$CX49))</f>
        <v>2.9179387991401589</v>
      </c>
      <c r="CO50" s="152">
        <f ca="1">IF($C$5=Lookups!$D$40,AVERAGE($BZ49:$CZ49),AVERAGE($BZ49:$CX49))</f>
        <v>2.9179387991401589</v>
      </c>
      <c r="CP50" s="152">
        <f ca="1">IF($C$5=Lookups!$D$40,AVERAGE($BZ49:$CZ49),AVERAGE($BZ49:$CX49))</f>
        <v>2.9179387991401589</v>
      </c>
      <c r="CQ50" s="152">
        <f ca="1">IF($C$5=Lookups!$D$40,AVERAGE($BZ49:$CZ49),AVERAGE($BZ49:$CX49))</f>
        <v>2.9179387991401589</v>
      </c>
      <c r="CR50" s="152">
        <f ca="1">IF($C$5=Lookups!$D$40,AVERAGE($BZ49:$CZ49),AVERAGE($BZ49:$CX49))</f>
        <v>2.9179387991401589</v>
      </c>
      <c r="CS50" s="152">
        <f ca="1">IF($C$5=Lookups!$D$40,AVERAGE($BZ49:$CZ49),AVERAGE($BZ49:$CX49))</f>
        <v>2.9179387991401589</v>
      </c>
      <c r="CT50" s="152">
        <f ca="1">IF($C$5=Lookups!$D$40,AVERAGE($BZ49:$CZ49),AVERAGE($BZ49:$CX49))</f>
        <v>2.9179387991401589</v>
      </c>
      <c r="CU50" s="152">
        <f ca="1">IF($C$5=Lookups!$D$40,AVERAGE($BZ49:$CZ49),AVERAGE($BZ49:$CX49))</f>
        <v>2.9179387991401589</v>
      </c>
      <c r="CV50" s="152">
        <f ca="1">IF($C$5=Lookups!$D$40,AVERAGE($BZ49:$CZ49),AVERAGE($BZ49:$CX49))</f>
        <v>2.9179387991401589</v>
      </c>
      <c r="CW50" s="152">
        <f ca="1">IF($C$5=Lookups!$D$40,AVERAGE($BZ49:$CZ49),AVERAGE($BZ49:$CX49))</f>
        <v>2.9179387991401589</v>
      </c>
      <c r="CX50" s="152">
        <f ca="1">IF($C$5=Lookups!$D$40,AVERAGE($BZ49:$CZ49),AVERAGE($BZ49:$CX49))</f>
        <v>2.9179387991401589</v>
      </c>
      <c r="CY50" s="152">
        <f ca="1">IF($C$5=Lookups!$D$40,AVERAGE($BZ49:$CZ49),AVERAGE($BZ49:$CX49))</f>
        <v>2.9179387991401589</v>
      </c>
      <c r="CZ50" s="152">
        <f ca="1">IF($C$5=Lookups!$D$40,AVERAGE($BZ49:$CZ49),AVERAGE($BZ49:$CX49))</f>
        <v>2.9179387991401589</v>
      </c>
      <c r="DA50" s="131"/>
      <c r="DB50" s="152"/>
      <c r="DC50" s="123"/>
      <c r="DE50" s="516" t="str">
        <f t="shared" si="6"/>
        <v>Calculation</v>
      </c>
    </row>
    <row r="51" spans="3:117" x14ac:dyDescent="0.25">
      <c r="BV51" s="343"/>
      <c r="BW51" s="346"/>
      <c r="BX51" s="131" t="s">
        <v>99</v>
      </c>
      <c r="BY51" s="161" t="s">
        <v>16</v>
      </c>
      <c r="BZ51" s="236" cm="1">
        <f t="array" aca="1" ref="BZ51" ca="1">IFERROR(INDIRECT("Yr"&amp;IF($C$5=Year1,1,IF($C$5=Year2,2,IF($C$5=Year3,3,IF($C$5=Lookups!$D$40,"All"))))&amp;"!"&amp;BZ$72&amp;$DE51),0)</f>
        <v>0.22386141143305505</v>
      </c>
      <c r="CA51" s="236" cm="1">
        <f t="array" aca="1" ref="CA51" ca="1">IFERROR(INDIRECT("Yr"&amp;IF($C$5=Year1,1,IF($C$5=Year2,2,IF($C$5=Year3,3,IF($C$5=Lookups!$D$40,"All"))))&amp;"!"&amp;CA$72&amp;$DE51),0)</f>
        <v>0.24220525682182337</v>
      </c>
      <c r="CB51" s="236" cm="1">
        <f t="array" aca="1" ref="CB51" ca="1">IFERROR(INDIRECT("Yr"&amp;IF($C$5=Year1,1,IF($C$5=Year2,2,IF($C$5=Year3,3,IF($C$5=Lookups!$D$40,"All"))))&amp;"!"&amp;CB$72&amp;$DE51),0)</f>
        <v>0.26749471350268506</v>
      </c>
      <c r="CC51" s="236" cm="1">
        <f t="array" aca="1" ref="CC51" ca="1">IFERROR(INDIRECT("Yr"&amp;IF($C$5=Year1,1,IF($C$5=Year2,2,IF($C$5=Year3,3,IF($C$5=Lookups!$D$40,"All"))))&amp;"!"&amp;CC$72&amp;$DE51),0)</f>
        <v>2.4823863544964686E-2</v>
      </c>
      <c r="CD51" s="236" cm="1">
        <f t="array" aca="1" ref="CD51" ca="1">IFERROR(INDIRECT("Yr"&amp;IF($C$5=Year1,1,IF($C$5=Year2,2,IF($C$5=Year3,3,IF($C$5=Lookups!$D$40,"All"))))&amp;"!"&amp;CD$72&amp;$DE51),0)</f>
        <v>2.4823863544964686E-2</v>
      </c>
      <c r="CE51" s="236" cm="1">
        <f t="array" aca="1" ref="CE51" ca="1">IFERROR(INDIRECT("Yr"&amp;IF($C$5=Year1,1,IF($C$5=Year2,2,IF($C$5=Year3,3,IF($C$5=Lookups!$D$40,"All"))))&amp;"!"&amp;CE$72&amp;$DE51),0)</f>
        <v>2.4823863544964686E-2</v>
      </c>
      <c r="CF51" s="236" cm="1">
        <f t="array" aca="1" ref="CF51" ca="1">IFERROR(INDIRECT("Yr"&amp;IF($C$5=Year1,1,IF($C$5=Year2,2,IF($C$5=Year3,3,IF($C$5=Lookups!$D$40,"All"))))&amp;"!"&amp;CF$72&amp;$DE51),0)</f>
        <v>2.4823863544964686E-2</v>
      </c>
      <c r="CG51" s="236" cm="1">
        <f t="array" aca="1" ref="CG51" ca="1">IFERROR(INDIRECT("Yr"&amp;IF($C$5=Year1,1,IF($C$5=Year2,2,IF($C$5=Year3,3,IF($C$5=Lookups!$D$40,"All"))))&amp;"!"&amp;CG$72&amp;$DE51),0)</f>
        <v>2.4823863544964686E-2</v>
      </c>
      <c r="CH51" s="236" cm="1">
        <f t="array" aca="1" ref="CH51" ca="1">IFERROR(INDIRECT("Yr"&amp;IF($C$5=Year1,1,IF($C$5=Year2,2,IF($C$5=Year3,3,IF($C$5=Lookups!$D$40,"All"))))&amp;"!"&amp;CH$72&amp;$DE51),0)</f>
        <v>2.4823863544964686E-2</v>
      </c>
      <c r="CI51" s="236" cm="1">
        <f t="array" aca="1" ref="CI51" ca="1">IFERROR(INDIRECT("Yr"&amp;IF($C$5=Year1,1,IF($C$5=Year2,2,IF($C$5=Year3,3,IF($C$5=Lookups!$D$40,"All"))))&amp;"!"&amp;CI$72&amp;$DE51),0)</f>
        <v>2.4823863544964686E-2</v>
      </c>
      <c r="CJ51" s="236" cm="1">
        <f t="array" aca="1" ref="CJ51" ca="1">IFERROR(INDIRECT("Yr"&amp;IF($C$5=Year1,1,IF($C$5=Year2,2,IF($C$5=Year3,3,IF($C$5=Lookups!$D$40,"All"))))&amp;"!"&amp;CJ$72&amp;$DE51),0)</f>
        <v>2.4823863544964686E-2</v>
      </c>
      <c r="CK51" s="236" cm="1">
        <f t="array" aca="1" ref="CK51" ca="1">IFERROR(INDIRECT("Yr"&amp;IF($C$5=Year1,1,IF($C$5=Year2,2,IF($C$5=Year3,3,IF($C$5=Lookups!$D$40,"All"))))&amp;"!"&amp;CK$72&amp;$DE51),0)</f>
        <v>2.4823863544964686E-2</v>
      </c>
      <c r="CL51" s="236" cm="1">
        <f t="array" aca="1" ref="CL51" ca="1">IFERROR(INDIRECT("Yr"&amp;IF($C$5=Year1,1,IF($C$5=Year2,2,IF($C$5=Year3,3,IF($C$5=Lookups!$D$40,"All"))))&amp;"!"&amp;CL$72&amp;$DE51),0)</f>
        <v>2.4823863544964686E-2</v>
      </c>
      <c r="CM51" s="236" cm="1">
        <f t="array" aca="1" ref="CM51" ca="1">IFERROR(INDIRECT("Yr"&amp;IF($C$5=Year1,1,IF($C$5=Year2,2,IF($C$5=Year3,3,IF($C$5=Lookups!$D$40,"All"))))&amp;"!"&amp;CM$72&amp;$DE51),0)</f>
        <v>1.4956069938984351E-2</v>
      </c>
      <c r="CN51" s="236" cm="1">
        <f t="array" aca="1" ref="CN51" ca="1">IFERROR(INDIRECT("Yr"&amp;IF($C$5=Year1,1,IF($C$5=Year2,2,IF($C$5=Year3,3,IF($C$5=Lookups!$D$40,"All"))))&amp;"!"&amp;CN$72&amp;$DE51),0)</f>
        <v>6.8419629716998109E-3</v>
      </c>
      <c r="CO51" s="236" cm="1">
        <f t="array" aca="1" ref="CO51" ca="1">IFERROR(INDIRECT("Yr"&amp;IF($C$5=Year1,1,IF($C$5=Year2,2,IF($C$5=Year3,3,IF($C$5=Lookups!$D$40,"All"))))&amp;"!"&amp;CO$72&amp;$DE51),0)</f>
        <v>0</v>
      </c>
      <c r="CP51" s="236" cm="1">
        <f t="array" aca="1" ref="CP51" ca="1">IFERROR(INDIRECT("Yr"&amp;IF($C$5=Year1,1,IF($C$5=Year2,2,IF($C$5=Year3,3,IF($C$5=Lookups!$D$40,"All"))))&amp;"!"&amp;CP$72&amp;$DE51),0)</f>
        <v>0</v>
      </c>
      <c r="CQ51" s="236" cm="1">
        <f t="array" aca="1" ref="CQ51" ca="1">IFERROR(INDIRECT("Yr"&amp;IF($C$5=Year1,1,IF($C$5=Year2,2,IF($C$5=Year3,3,IF($C$5=Lookups!$D$40,"All"))))&amp;"!"&amp;CQ$72&amp;$DE51),0)</f>
        <v>0</v>
      </c>
      <c r="CR51" s="236" cm="1">
        <f t="array" aca="1" ref="CR51" ca="1">IFERROR(INDIRECT("Yr"&amp;IF($C$5=Year1,1,IF($C$5=Year2,2,IF($C$5=Year3,3,IF($C$5=Lookups!$D$40,"All"))))&amp;"!"&amp;CR$72&amp;$DE51),0)</f>
        <v>0</v>
      </c>
      <c r="CS51" s="236" cm="1">
        <f t="array" aca="1" ref="CS51" ca="1">IFERROR(INDIRECT("Yr"&amp;IF($C$5=Year1,1,IF($C$5=Year2,2,IF($C$5=Year3,3,IF($C$5=Lookups!$D$40,"All"))))&amp;"!"&amp;CS$72&amp;$DE51),0)</f>
        <v>0</v>
      </c>
      <c r="CT51" s="236" cm="1">
        <f t="array" aca="1" ref="CT51" ca="1">IFERROR(INDIRECT("Yr"&amp;IF($C$5=Year1,1,IF($C$5=Year2,2,IF($C$5=Year3,3,IF($C$5=Lookups!$D$40,"All"))))&amp;"!"&amp;CT$72&amp;$DE51),0)</f>
        <v>0</v>
      </c>
      <c r="CU51" s="236" cm="1">
        <f t="array" aca="1" ref="CU51" ca="1">IFERROR(INDIRECT("Yr"&amp;IF($C$5=Year1,1,IF($C$5=Year2,2,IF($C$5=Year3,3,IF($C$5=Lookups!$D$40,"All"))))&amp;"!"&amp;CU$72&amp;$DE51),0)</f>
        <v>0</v>
      </c>
      <c r="CV51" s="236" cm="1">
        <f t="array" aca="1" ref="CV51" ca="1">IFERROR(INDIRECT("Yr"&amp;IF($C$5=Year1,1,IF($C$5=Year2,2,IF($C$5=Year3,3,IF($C$5=Lookups!$D$40,"All"))))&amp;"!"&amp;CV$72&amp;$DE51),0)</f>
        <v>0</v>
      </c>
      <c r="CW51" s="236" cm="1">
        <f t="array" aca="1" ref="CW51" ca="1">IFERROR(INDIRECT("Yr"&amp;IF($C$5=Year1,1,IF($C$5=Year2,2,IF($C$5=Year3,3,IF($C$5=Lookups!$D$40,"All"))))&amp;"!"&amp;CW$72&amp;$DE51),0)</f>
        <v>0</v>
      </c>
      <c r="CX51" s="236" cm="1">
        <f t="array" aca="1" ref="CX51" ca="1">IFERROR(INDIRECT("Yr"&amp;IF($C$5=Year1,1,IF($C$5=Year2,2,IF($C$5=Year3,3,IF($C$5=Lookups!$D$40,"All"))))&amp;"!"&amp;CX$72&amp;$DE51),0)</f>
        <v>0</v>
      </c>
      <c r="CY51" s="236" cm="1">
        <f t="array" aca="1" ref="CY51" ca="1">IFERROR(INDIRECT("Yr"&amp;IF($C$5=Year1,1,IF($C$5=Year2,2,IF($C$5=Year3,3,IF($C$5=Lookups!$D$40,"All"))))&amp;"!"&amp;CY$72&amp;$DE51),0)</f>
        <v>0</v>
      </c>
      <c r="CZ51" s="236" cm="1">
        <f t="array" aca="1" ref="CZ51" ca="1">IFERROR(INDIRECT("Yr"&amp;IF($C$5=Year1,1,IF($C$5=Year2,2,IF($C$5=Year3,3,IF($C$5=Lookups!$D$40,"All"))))&amp;"!"&amp;CZ$72&amp;$DE51),0)</f>
        <v>0</v>
      </c>
      <c r="DA51" s="162"/>
      <c r="DB51" s="236"/>
      <c r="DC51" s="123"/>
      <c r="DE51" s="516">
        <f t="shared" si="6"/>
        <v>297</v>
      </c>
    </row>
    <row r="52" spans="3:117" x14ac:dyDescent="0.25">
      <c r="BV52" s="343"/>
      <c r="BW52" s="346"/>
      <c r="BX52" s="131" t="s">
        <v>100</v>
      </c>
      <c r="BY52" s="161" t="s">
        <v>16</v>
      </c>
      <c r="BZ52" s="163">
        <f ca="1">IF($C$5=Lookups!$D$40,AVERAGE($BZ51:$CZ51),AVERAGE($BZ51:$CX51))</f>
        <v>3.717029815251461E-2</v>
      </c>
      <c r="CA52" s="236">
        <f ca="1">IF($C$5=Lookups!$D$40,AVERAGE($BZ51:$CZ51),AVERAGE($BZ51:$CX51))</f>
        <v>3.717029815251461E-2</v>
      </c>
      <c r="CB52" s="236">
        <f ca="1">IF($C$5=Lookups!$D$40,AVERAGE($BZ51:$CZ51),AVERAGE($BZ51:$CX51))</f>
        <v>3.717029815251461E-2</v>
      </c>
      <c r="CC52" s="236">
        <f ca="1">IF($C$5=Lookups!$D$40,AVERAGE($BZ51:$CZ51),AVERAGE($BZ51:$CX51))</f>
        <v>3.717029815251461E-2</v>
      </c>
      <c r="CD52" s="236">
        <f ca="1">IF($C$5=Lookups!$D$40,AVERAGE($BZ51:$CZ51),AVERAGE($BZ51:$CX51))</f>
        <v>3.717029815251461E-2</v>
      </c>
      <c r="CE52" s="236">
        <f ca="1">IF($C$5=Lookups!$D$40,AVERAGE($BZ51:$CZ51),AVERAGE($BZ51:$CX51))</f>
        <v>3.717029815251461E-2</v>
      </c>
      <c r="CF52" s="236">
        <f ca="1">IF($C$5=Lookups!$D$40,AVERAGE($BZ51:$CZ51),AVERAGE($BZ51:$CX51))</f>
        <v>3.717029815251461E-2</v>
      </c>
      <c r="CG52" s="236">
        <f ca="1">IF($C$5=Lookups!$D$40,AVERAGE($BZ51:$CZ51),AVERAGE($BZ51:$CX51))</f>
        <v>3.717029815251461E-2</v>
      </c>
      <c r="CH52" s="236">
        <f ca="1">IF($C$5=Lookups!$D$40,AVERAGE($BZ51:$CZ51),AVERAGE($BZ51:$CX51))</f>
        <v>3.717029815251461E-2</v>
      </c>
      <c r="CI52" s="236">
        <f ca="1">IF($C$5=Lookups!$D$40,AVERAGE($BZ51:$CZ51),AVERAGE($BZ51:$CX51))</f>
        <v>3.717029815251461E-2</v>
      </c>
      <c r="CJ52" s="236">
        <f ca="1">IF($C$5=Lookups!$D$40,AVERAGE($BZ51:$CZ51),AVERAGE($BZ51:$CX51))</f>
        <v>3.717029815251461E-2</v>
      </c>
      <c r="CK52" s="236">
        <f ca="1">IF($C$5=Lookups!$D$40,AVERAGE($BZ51:$CZ51),AVERAGE($BZ51:$CX51))</f>
        <v>3.717029815251461E-2</v>
      </c>
      <c r="CL52" s="236">
        <f ca="1">IF($C$5=Lookups!$D$40,AVERAGE($BZ51:$CZ51),AVERAGE($BZ51:$CX51))</f>
        <v>3.717029815251461E-2</v>
      </c>
      <c r="CM52" s="236">
        <f ca="1">IF($C$5=Lookups!$D$40,AVERAGE($BZ51:$CZ51),AVERAGE($BZ51:$CX51))</f>
        <v>3.717029815251461E-2</v>
      </c>
      <c r="CN52" s="236">
        <f ca="1">IF($C$5=Lookups!$D$40,AVERAGE($BZ51:$CZ51),AVERAGE($BZ51:$CX51))</f>
        <v>3.717029815251461E-2</v>
      </c>
      <c r="CO52" s="236">
        <f ca="1">IF($C$5=Lookups!$D$40,AVERAGE($BZ51:$CZ51),AVERAGE($BZ51:$CX51))</f>
        <v>3.717029815251461E-2</v>
      </c>
      <c r="CP52" s="236">
        <f ca="1">IF($C$5=Lookups!$D$40,AVERAGE($BZ51:$CZ51),AVERAGE($BZ51:$CX51))</f>
        <v>3.717029815251461E-2</v>
      </c>
      <c r="CQ52" s="236">
        <f ca="1">IF($C$5=Lookups!$D$40,AVERAGE($BZ51:$CZ51),AVERAGE($BZ51:$CX51))</f>
        <v>3.717029815251461E-2</v>
      </c>
      <c r="CR52" s="236">
        <f ca="1">IF($C$5=Lookups!$D$40,AVERAGE($BZ51:$CZ51),AVERAGE($BZ51:$CX51))</f>
        <v>3.717029815251461E-2</v>
      </c>
      <c r="CS52" s="236">
        <f ca="1">IF($C$5=Lookups!$D$40,AVERAGE($BZ51:$CZ51),AVERAGE($BZ51:$CX51))</f>
        <v>3.717029815251461E-2</v>
      </c>
      <c r="CT52" s="236">
        <f ca="1">IF($C$5=Lookups!$D$40,AVERAGE($BZ51:$CZ51),AVERAGE($BZ51:$CX51))</f>
        <v>3.717029815251461E-2</v>
      </c>
      <c r="CU52" s="236">
        <f ca="1">IF($C$5=Lookups!$D$40,AVERAGE($BZ51:$CZ51),AVERAGE($BZ51:$CX51))</f>
        <v>3.717029815251461E-2</v>
      </c>
      <c r="CV52" s="236">
        <f ca="1">IF($C$5=Lookups!$D$40,AVERAGE($BZ51:$CZ51),AVERAGE($BZ51:$CX51))</f>
        <v>3.717029815251461E-2</v>
      </c>
      <c r="CW52" s="236">
        <f ca="1">IF($C$5=Lookups!$D$40,AVERAGE($BZ51:$CZ51),AVERAGE($BZ51:$CX51))</f>
        <v>3.717029815251461E-2</v>
      </c>
      <c r="CX52" s="236">
        <f ca="1">IF($C$5=Lookups!$D$40,AVERAGE($BZ51:$CZ51),AVERAGE($BZ51:$CX51))</f>
        <v>3.717029815251461E-2</v>
      </c>
      <c r="CY52" s="236">
        <f ca="1">IF($C$5=Lookups!$D$40,AVERAGE($BZ51:$CZ51),AVERAGE($BZ51:$CX51))</f>
        <v>3.717029815251461E-2</v>
      </c>
      <c r="CZ52" s="236">
        <f ca="1">IF($C$5=Lookups!$D$40,AVERAGE($BZ51:$CZ51),AVERAGE($BZ51:$CX51))</f>
        <v>3.717029815251461E-2</v>
      </c>
      <c r="DA52" s="162"/>
      <c r="DB52" s="236"/>
      <c r="DC52" s="123"/>
      <c r="DE52" s="516" t="str">
        <f t="shared" si="6"/>
        <v>Calculation</v>
      </c>
    </row>
    <row r="53" spans="3:117" x14ac:dyDescent="0.25">
      <c r="BV53" s="343"/>
      <c r="BW53" s="346"/>
      <c r="BX53" s="182" t="str">
        <f ca="1">"Levelized net change "&amp;TEXT(DB53,"0.0%")</f>
        <v>Levelized net change 4.3%</v>
      </c>
      <c r="BY53" s="131"/>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2"/>
      <c r="DB53" s="723" cm="1">
        <f t="array" aca="1" ref="DB53" ca="1">IFERROR(INDIRECT("Yr"&amp;IF($C$5=Year1,1,IF($C$5=Year2,2,IF($C$5=Year3,3,IF($C$5=Lookups!$D$40,"All"))))&amp;"!"&amp;DB$74&amp;$DE53),0)</f>
        <v>4.2620505706014056E-2</v>
      </c>
      <c r="DC53" s="123"/>
      <c r="DE53" s="516">
        <f>DE33</f>
        <v>297</v>
      </c>
    </row>
    <row r="54" spans="3:117" x14ac:dyDescent="0.25">
      <c r="BT54" s="5"/>
      <c r="BV54" s="343"/>
      <c r="BW54" s="346"/>
      <c r="BX54" s="131"/>
      <c r="BY54" s="131"/>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23"/>
      <c r="DE54" s="516"/>
    </row>
    <row r="55" spans="3:117" ht="18.75" x14ac:dyDescent="0.25">
      <c r="C55" s="411" t="s">
        <v>28</v>
      </c>
      <c r="D55" s="196"/>
      <c r="E55" s="196"/>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c r="BL55" s="197"/>
      <c r="BM55" s="197"/>
      <c r="BN55" s="197"/>
      <c r="BO55" s="197"/>
      <c r="BP55" s="197"/>
      <c r="BQ55" s="197"/>
      <c r="BV55" s="166" t="str">
        <f>Lookups!$D$23&amp;" v "&amp;Lookups!$D$24</f>
        <v>Proposed EE v Alternative EE</v>
      </c>
      <c r="BW55" s="166"/>
      <c r="BX55" s="167"/>
      <c r="BY55" s="167"/>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23"/>
      <c r="DE55" s="516"/>
    </row>
    <row r="56" spans="3:117" x14ac:dyDescent="0.25">
      <c r="C56" s="412" t="s">
        <v>252</v>
      </c>
      <c r="D56" s="412"/>
      <c r="E56" s="412"/>
      <c r="F56" s="413"/>
      <c r="G56" s="413"/>
      <c r="H56" s="413"/>
      <c r="I56" s="413"/>
      <c r="J56" s="413"/>
      <c r="K56" s="413"/>
      <c r="L56" s="414"/>
      <c r="M56" s="413"/>
      <c r="N56" s="412"/>
      <c r="BV56" s="343"/>
      <c r="BW56" s="169" t="s">
        <v>72</v>
      </c>
      <c r="BX56" s="170"/>
      <c r="BY56" s="170"/>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23"/>
      <c r="DE56" s="516"/>
    </row>
    <row r="57" spans="3:117" x14ac:dyDescent="0.25">
      <c r="C57" s="412" t="s">
        <v>225</v>
      </c>
      <c r="D57" s="412"/>
      <c r="E57" s="412"/>
      <c r="F57" s="413"/>
      <c r="G57" s="413"/>
      <c r="H57" s="413"/>
      <c r="I57" s="413"/>
      <c r="J57" s="413"/>
      <c r="K57" s="413"/>
      <c r="L57" s="414"/>
      <c r="M57" s="413"/>
      <c r="N57" s="412"/>
      <c r="BV57" s="343"/>
      <c r="BW57" s="347"/>
      <c r="BX57" s="170" t="s">
        <v>224</v>
      </c>
      <c r="BY57" s="170" t="s">
        <v>409</v>
      </c>
      <c r="BZ57" s="172">
        <f t="shared" ref="BZ57:BZ63" ca="1" si="8">BZ43-BZ23</f>
        <v>-0.89304376723296741</v>
      </c>
      <c r="CA57" s="172">
        <f t="shared" ref="CA57:CZ58" ca="1" si="9">CA43-CA23</f>
        <v>-2.2661171067126116</v>
      </c>
      <c r="CB57" s="172">
        <f t="shared" ca="1" si="9"/>
        <v>-4.4985611065543729</v>
      </c>
      <c r="CC57" s="172">
        <f t="shared" ca="1" si="9"/>
        <v>-4.4985611065543729</v>
      </c>
      <c r="CD57" s="172">
        <f t="shared" ca="1" si="9"/>
        <v>-4.4985611065543729</v>
      </c>
      <c r="CE57" s="172">
        <f t="shared" ca="1" si="9"/>
        <v>-4.4985611065543729</v>
      </c>
      <c r="CF57" s="172">
        <f t="shared" ca="1" si="9"/>
        <v>-4.4985611065543729</v>
      </c>
      <c r="CG57" s="172">
        <f t="shared" ca="1" si="9"/>
        <v>-4.4985611065543729</v>
      </c>
      <c r="CH57" s="172">
        <f t="shared" ca="1" si="9"/>
        <v>-4.4985611065543729</v>
      </c>
      <c r="CI57" s="172">
        <f t="shared" ca="1" si="9"/>
        <v>-4.4985611065543729</v>
      </c>
      <c r="CJ57" s="172">
        <f t="shared" ca="1" si="9"/>
        <v>-4.4985611065543729</v>
      </c>
      <c r="CK57" s="172">
        <f t="shared" ca="1" si="9"/>
        <v>-4.4985611065543729</v>
      </c>
      <c r="CL57" s="172">
        <f t="shared" ca="1" si="9"/>
        <v>-4.4985611065543729</v>
      </c>
      <c r="CM57" s="172">
        <f t="shared" ca="1" si="9"/>
        <v>-2.438107280155128</v>
      </c>
      <c r="CN57" s="172">
        <f t="shared" ca="1" si="9"/>
        <v>-1.0077742663205767</v>
      </c>
      <c r="CO57" s="172">
        <f t="shared" ca="1" si="9"/>
        <v>0</v>
      </c>
      <c r="CP57" s="172">
        <f t="shared" ca="1" si="9"/>
        <v>0</v>
      </c>
      <c r="CQ57" s="172">
        <f t="shared" ca="1" si="9"/>
        <v>0</v>
      </c>
      <c r="CR57" s="172">
        <f t="shared" ca="1" si="9"/>
        <v>0</v>
      </c>
      <c r="CS57" s="172">
        <f t="shared" ca="1" si="9"/>
        <v>0</v>
      </c>
      <c r="CT57" s="172">
        <f t="shared" ca="1" si="9"/>
        <v>0</v>
      </c>
      <c r="CU57" s="172">
        <f t="shared" ca="1" si="9"/>
        <v>0</v>
      </c>
      <c r="CV57" s="172">
        <f t="shared" ca="1" si="9"/>
        <v>0</v>
      </c>
      <c r="CW57" s="172">
        <f t="shared" ca="1" si="9"/>
        <v>0</v>
      </c>
      <c r="CX57" s="172">
        <f t="shared" ca="1" si="9"/>
        <v>0</v>
      </c>
      <c r="CY57" s="172">
        <f t="shared" ca="1" si="9"/>
        <v>0</v>
      </c>
      <c r="CZ57" s="172">
        <f t="shared" ca="1" si="9"/>
        <v>0</v>
      </c>
      <c r="DA57" s="172"/>
      <c r="DB57" s="172">
        <f ca="1">IF($C$5=Lookups!$D$40,-PMT(Lookups!$E$17,27,NPV(Lookups!$E$17,BZ57:CZ57),0,1),-PMT(Lookups!$E$17,25,NPV(Lookups!$E$17,BZ57:CX57),0,1))</f>
        <v>-2.2171588731637226</v>
      </c>
      <c r="DC57" s="123"/>
      <c r="DE57" s="516"/>
    </row>
    <row r="58" spans="3:117" ht="15" customHeight="1" x14ac:dyDescent="0.25">
      <c r="C58" s="415" t="s">
        <v>164</v>
      </c>
      <c r="D58" s="415"/>
      <c r="E58" s="415"/>
      <c r="F58" s="415"/>
      <c r="G58" s="415"/>
      <c r="H58" s="415"/>
      <c r="I58" s="415"/>
      <c r="J58" s="415"/>
      <c r="K58" s="415"/>
      <c r="L58" s="415"/>
      <c r="M58" s="415"/>
      <c r="N58" s="415"/>
      <c r="BV58" s="343"/>
      <c r="BW58" s="347"/>
      <c r="BX58" s="170" t="s">
        <v>412</v>
      </c>
      <c r="BY58" s="170" t="s">
        <v>409</v>
      </c>
      <c r="BZ58" s="172">
        <f t="shared" ca="1" si="8"/>
        <v>0.38610232782036141</v>
      </c>
      <c r="CA58" s="172">
        <f t="shared" ca="1" si="9"/>
        <v>0.87301481552235272</v>
      </c>
      <c r="CB58" s="172">
        <f t="shared" ca="1" si="9"/>
        <v>1.5095708508139249</v>
      </c>
      <c r="CC58" s="172">
        <f t="shared" ca="1" si="9"/>
        <v>1.5095708508139249</v>
      </c>
      <c r="CD58" s="172">
        <f t="shared" ca="1" si="9"/>
        <v>1.5095708508139249</v>
      </c>
      <c r="CE58" s="172">
        <f t="shared" ca="1" si="9"/>
        <v>1.5095708508139249</v>
      </c>
      <c r="CF58" s="172">
        <f t="shared" ca="1" si="9"/>
        <v>1.5095708508139249</v>
      </c>
      <c r="CG58" s="172">
        <f t="shared" ca="1" si="9"/>
        <v>1.5095708508139249</v>
      </c>
      <c r="CH58" s="172">
        <f t="shared" ca="1" si="9"/>
        <v>1.5095708508139249</v>
      </c>
      <c r="CI58" s="172">
        <f t="shared" ca="1" si="9"/>
        <v>1.5095708508139249</v>
      </c>
      <c r="CJ58" s="172">
        <f t="shared" ca="1" si="9"/>
        <v>1.5095708508139249</v>
      </c>
      <c r="CK58" s="172">
        <f t="shared" ca="1" si="9"/>
        <v>1.5095708508139249</v>
      </c>
      <c r="CL58" s="172">
        <f t="shared" ca="1" si="9"/>
        <v>1.5095708508139249</v>
      </c>
      <c r="CM58" s="172">
        <f t="shared" ca="1" si="9"/>
        <v>0.92769001050625222</v>
      </c>
      <c r="CN58" s="172">
        <f t="shared" ca="1" si="9"/>
        <v>0.43091743961734047</v>
      </c>
      <c r="CO58" s="172">
        <f t="shared" ca="1" si="9"/>
        <v>0</v>
      </c>
      <c r="CP58" s="172">
        <f t="shared" ca="1" si="9"/>
        <v>0</v>
      </c>
      <c r="CQ58" s="172">
        <f t="shared" ca="1" si="9"/>
        <v>0</v>
      </c>
      <c r="CR58" s="172">
        <f t="shared" ca="1" si="9"/>
        <v>0</v>
      </c>
      <c r="CS58" s="172">
        <f t="shared" ca="1" si="9"/>
        <v>0</v>
      </c>
      <c r="CT58" s="172">
        <f t="shared" ca="1" si="9"/>
        <v>0</v>
      </c>
      <c r="CU58" s="172">
        <f t="shared" ca="1" si="9"/>
        <v>0</v>
      </c>
      <c r="CV58" s="172">
        <f t="shared" ca="1" si="9"/>
        <v>0</v>
      </c>
      <c r="CW58" s="172">
        <f t="shared" ca="1" si="9"/>
        <v>0</v>
      </c>
      <c r="CX58" s="172">
        <f t="shared" ca="1" si="9"/>
        <v>0</v>
      </c>
      <c r="CY58" s="172">
        <f t="shared" ca="1" si="9"/>
        <v>0</v>
      </c>
      <c r="CZ58" s="172">
        <f t="shared" ca="1" si="9"/>
        <v>0</v>
      </c>
      <c r="DA58" s="172"/>
      <c r="DB58" s="172">
        <f ca="1">IF($C$5=Lookups!$D$40,-PMT(Lookups!$E$17,27,NPV(Lookups!$E$17,BZ58:CZ58),0,1),-PMT(Lookups!$E$17,25,NPV(Lookups!$E$17,BZ58:CX58),0,1))</f>
        <v>0.75990610657492674</v>
      </c>
      <c r="DC58" s="123"/>
      <c r="DE58" s="516"/>
    </row>
    <row r="59" spans="3:117" x14ac:dyDescent="0.25">
      <c r="D59" s="415"/>
      <c r="E59" s="415"/>
      <c r="F59" s="415"/>
      <c r="G59" s="415"/>
      <c r="H59" s="415"/>
      <c r="I59" s="415"/>
      <c r="J59" s="415"/>
      <c r="K59" s="415"/>
      <c r="L59" s="415"/>
      <c r="M59" s="415"/>
      <c r="N59" s="415"/>
      <c r="BV59" s="343"/>
      <c r="BW59" s="347"/>
      <c r="BX59" s="170" t="s">
        <v>175</v>
      </c>
      <c r="BY59" s="170" t="s">
        <v>409</v>
      </c>
      <c r="BZ59" s="172">
        <f t="shared" ca="1" si="8"/>
        <v>-4.8369949268574519E-2</v>
      </c>
      <c r="CA59" s="172">
        <f t="shared" ref="CA59:CZ59" ca="1" si="10">CA45-CA25</f>
        <v>-0.12278017675238151</v>
      </c>
      <c r="CB59" s="172">
        <f t="shared" ca="1" si="10"/>
        <v>-0.24347365000301568</v>
      </c>
      <c r="CC59" s="172">
        <f t="shared" ca="1" si="10"/>
        <v>-0.24347365000301568</v>
      </c>
      <c r="CD59" s="172">
        <f t="shared" ca="1" si="10"/>
        <v>-0.24347365000301568</v>
      </c>
      <c r="CE59" s="172">
        <f t="shared" ca="1" si="10"/>
        <v>-0.24347365000301568</v>
      </c>
      <c r="CF59" s="172">
        <f t="shared" ca="1" si="10"/>
        <v>-0.24347365000301568</v>
      </c>
      <c r="CG59" s="172">
        <f t="shared" ca="1" si="10"/>
        <v>-0.24347365000301568</v>
      </c>
      <c r="CH59" s="172">
        <f t="shared" ca="1" si="10"/>
        <v>-0.24347365000301568</v>
      </c>
      <c r="CI59" s="172">
        <f t="shared" ca="1" si="10"/>
        <v>-0.24347365000301568</v>
      </c>
      <c r="CJ59" s="172">
        <f t="shared" ca="1" si="10"/>
        <v>-0.24347365000301568</v>
      </c>
      <c r="CK59" s="172">
        <f t="shared" ca="1" si="10"/>
        <v>-0.24347365000301568</v>
      </c>
      <c r="CL59" s="172">
        <f t="shared" ca="1" si="10"/>
        <v>-0.24347365000301568</v>
      </c>
      <c r="CM59" s="172">
        <f t="shared" ca="1" si="10"/>
        <v>-0.13191080994492699</v>
      </c>
      <c r="CN59" s="172">
        <f t="shared" ca="1" si="10"/>
        <v>-5.4434461015603619E-2</v>
      </c>
      <c r="CO59" s="172">
        <f t="shared" ca="1" si="10"/>
        <v>0</v>
      </c>
      <c r="CP59" s="172">
        <f t="shared" ca="1" si="10"/>
        <v>0</v>
      </c>
      <c r="CQ59" s="172">
        <f t="shared" ca="1" si="10"/>
        <v>0</v>
      </c>
      <c r="CR59" s="172">
        <f t="shared" ca="1" si="10"/>
        <v>0</v>
      </c>
      <c r="CS59" s="172">
        <f t="shared" ca="1" si="10"/>
        <v>0</v>
      </c>
      <c r="CT59" s="172">
        <f t="shared" ca="1" si="10"/>
        <v>0</v>
      </c>
      <c r="CU59" s="172">
        <f t="shared" ca="1" si="10"/>
        <v>0</v>
      </c>
      <c r="CV59" s="172">
        <f t="shared" ca="1" si="10"/>
        <v>0</v>
      </c>
      <c r="CW59" s="172">
        <f t="shared" ca="1" si="10"/>
        <v>0</v>
      </c>
      <c r="CX59" s="172">
        <f t="shared" ca="1" si="10"/>
        <v>0</v>
      </c>
      <c r="CY59" s="172">
        <f t="shared" ca="1" si="10"/>
        <v>0</v>
      </c>
      <c r="CZ59" s="172">
        <f t="shared" ca="1" si="10"/>
        <v>0</v>
      </c>
      <c r="DA59" s="172"/>
      <c r="DB59" s="172">
        <f ca="1">IF($C$5=Lookups!$D$40,-PMT(Lookups!$E$17,27,NPV(Lookups!$E$17,BZ59:CZ59),0,1),-PMT(Lookups!$E$17,25,NPV(Lookups!$E$17,BZ59:CX59),0,1))</f>
        <v>-0.12000000880625741</v>
      </c>
      <c r="DC59" s="123"/>
      <c r="DE59" s="516"/>
      <c r="DK59" s="5"/>
      <c r="DL59" s="5"/>
      <c r="DM59" s="5"/>
    </row>
    <row r="60" spans="3:117" x14ac:dyDescent="0.25">
      <c r="BV60" s="343"/>
      <c r="BW60" s="347"/>
      <c r="BX60" s="170" t="s">
        <v>405</v>
      </c>
      <c r="BY60" s="170" t="s">
        <v>409</v>
      </c>
      <c r="BZ60" s="172">
        <f t="shared" ca="1" si="8"/>
        <v>2.8490516102238477</v>
      </c>
      <c r="CA60" s="172">
        <f t="shared" ref="CA60:CZ60" ca="1" si="11">CA46-CA26</f>
        <v>2.9853823124117103</v>
      </c>
      <c r="CB60" s="172">
        <f t="shared" ca="1" si="11"/>
        <v>3.1750202164397017</v>
      </c>
      <c r="CC60" s="172">
        <f t="shared" ca="1" si="11"/>
        <v>0</v>
      </c>
      <c r="CD60" s="172">
        <f t="shared" ca="1" si="11"/>
        <v>0</v>
      </c>
      <c r="CE60" s="172">
        <f t="shared" ca="1" si="11"/>
        <v>0</v>
      </c>
      <c r="CF60" s="172">
        <f t="shared" ca="1" si="11"/>
        <v>0</v>
      </c>
      <c r="CG60" s="172">
        <f t="shared" ca="1" si="11"/>
        <v>0</v>
      </c>
      <c r="CH60" s="172">
        <f t="shared" ca="1" si="11"/>
        <v>0</v>
      </c>
      <c r="CI60" s="172">
        <f t="shared" ca="1" si="11"/>
        <v>0</v>
      </c>
      <c r="CJ60" s="172">
        <f t="shared" ca="1" si="11"/>
        <v>0</v>
      </c>
      <c r="CK60" s="172">
        <f t="shared" ca="1" si="11"/>
        <v>0</v>
      </c>
      <c r="CL60" s="172">
        <f t="shared" ca="1" si="11"/>
        <v>0</v>
      </c>
      <c r="CM60" s="172">
        <f t="shared" ca="1" si="11"/>
        <v>0</v>
      </c>
      <c r="CN60" s="172">
        <f t="shared" ca="1" si="11"/>
        <v>0</v>
      </c>
      <c r="CO60" s="172">
        <f t="shared" ca="1" si="11"/>
        <v>0</v>
      </c>
      <c r="CP60" s="172">
        <f t="shared" ca="1" si="11"/>
        <v>0</v>
      </c>
      <c r="CQ60" s="172">
        <f t="shared" ca="1" si="11"/>
        <v>0</v>
      </c>
      <c r="CR60" s="172">
        <f t="shared" ca="1" si="11"/>
        <v>0</v>
      </c>
      <c r="CS60" s="172">
        <f t="shared" ca="1" si="11"/>
        <v>0</v>
      </c>
      <c r="CT60" s="172">
        <f t="shared" ca="1" si="11"/>
        <v>0</v>
      </c>
      <c r="CU60" s="172">
        <f t="shared" ca="1" si="11"/>
        <v>0</v>
      </c>
      <c r="CV60" s="172">
        <f t="shared" ca="1" si="11"/>
        <v>0</v>
      </c>
      <c r="CW60" s="172">
        <f t="shared" ca="1" si="11"/>
        <v>0</v>
      </c>
      <c r="CX60" s="172">
        <f t="shared" ca="1" si="11"/>
        <v>0</v>
      </c>
      <c r="CY60" s="172">
        <f t="shared" ca="1" si="11"/>
        <v>0</v>
      </c>
      <c r="CZ60" s="172">
        <f t="shared" ca="1" si="11"/>
        <v>0</v>
      </c>
      <c r="DA60" s="172"/>
      <c r="DB60" s="172">
        <f ca="1">IF($C$5=Lookups!$D$40,-PMT(Lookups!$E$17,27,NPV(Lookups!$E$17,BZ60:CZ60),0,1),-PMT(Lookups!$E$17,25,NPV(Lookups!$E$17,BZ60:CX60),0,1))</f>
        <v>0.38693941095615486</v>
      </c>
      <c r="DC60" s="123"/>
      <c r="DE60" s="516"/>
    </row>
    <row r="61" spans="3:117" x14ac:dyDescent="0.25">
      <c r="BV61" s="343"/>
      <c r="BW61" s="347"/>
      <c r="BX61" s="170" t="s">
        <v>69</v>
      </c>
      <c r="BY61" s="170" t="s">
        <v>409</v>
      </c>
      <c r="BZ61" s="172">
        <f t="shared" ca="1" si="8"/>
        <v>0.15690471120606975</v>
      </c>
      <c r="CA61" s="172">
        <f t="shared" ref="CA61:CZ61" ca="1" si="12">CA47-CA27</f>
        <v>0.37337552357227555</v>
      </c>
      <c r="CB61" s="172">
        <f t="shared" ca="1" si="12"/>
        <v>0.69510289493911959</v>
      </c>
      <c r="CC61" s="172">
        <f t="shared" ca="1" si="12"/>
        <v>0.69510289493911959</v>
      </c>
      <c r="CD61" s="172">
        <f t="shared" ca="1" si="12"/>
        <v>0.69510289493911959</v>
      </c>
      <c r="CE61" s="172">
        <f t="shared" ca="1" si="12"/>
        <v>0.69510289493911959</v>
      </c>
      <c r="CF61" s="172">
        <f t="shared" ca="1" si="12"/>
        <v>0.69510289493911959</v>
      </c>
      <c r="CG61" s="172">
        <f t="shared" ca="1" si="12"/>
        <v>0.69510289493911959</v>
      </c>
      <c r="CH61" s="172">
        <f t="shared" ca="1" si="12"/>
        <v>0.69510289493911959</v>
      </c>
      <c r="CI61" s="172">
        <f t="shared" ca="1" si="12"/>
        <v>0.69510289493911959</v>
      </c>
      <c r="CJ61" s="172">
        <f t="shared" ca="1" si="12"/>
        <v>0.69510289493911959</v>
      </c>
      <c r="CK61" s="172">
        <f t="shared" ca="1" si="12"/>
        <v>0.69510289493911959</v>
      </c>
      <c r="CL61" s="172">
        <f t="shared" ca="1" si="12"/>
        <v>0.69510289493911959</v>
      </c>
      <c r="CM61" s="172">
        <f t="shared" ca="1" si="12"/>
        <v>0.39924130564902027</v>
      </c>
      <c r="CN61" s="172">
        <f t="shared" ca="1" si="12"/>
        <v>0.17594461905458125</v>
      </c>
      <c r="CO61" s="172">
        <f t="shared" ca="1" si="12"/>
        <v>0</v>
      </c>
      <c r="CP61" s="172">
        <f t="shared" ca="1" si="12"/>
        <v>0</v>
      </c>
      <c r="CQ61" s="172">
        <f t="shared" ca="1" si="12"/>
        <v>0</v>
      </c>
      <c r="CR61" s="172">
        <f t="shared" ca="1" si="12"/>
        <v>0</v>
      </c>
      <c r="CS61" s="172">
        <f t="shared" ca="1" si="12"/>
        <v>0</v>
      </c>
      <c r="CT61" s="172">
        <f t="shared" ca="1" si="12"/>
        <v>0</v>
      </c>
      <c r="CU61" s="172">
        <f t="shared" ca="1" si="12"/>
        <v>0</v>
      </c>
      <c r="CV61" s="172">
        <f t="shared" ca="1" si="12"/>
        <v>0</v>
      </c>
      <c r="CW61" s="172">
        <f t="shared" ca="1" si="12"/>
        <v>0</v>
      </c>
      <c r="CX61" s="172">
        <f t="shared" ca="1" si="12"/>
        <v>0</v>
      </c>
      <c r="CY61" s="172">
        <f t="shared" ca="1" si="12"/>
        <v>0</v>
      </c>
      <c r="CZ61" s="172">
        <f t="shared" ca="1" si="12"/>
        <v>0</v>
      </c>
      <c r="DA61" s="172"/>
      <c r="DB61" s="172">
        <f ca="1">IF($C$5=Lookups!$D$40,-PMT(Lookups!$E$17,27,NPV(Lookups!$E$17,BZ61:CZ61),0,1),-PMT(Lookups!$E$17,25,NPV(Lookups!$E$17,BZ61:CX61),0,1))</f>
        <v>0.34595144611250178</v>
      </c>
      <c r="DC61" s="123"/>
      <c r="DE61" s="516"/>
    </row>
    <row r="62" spans="3:117" x14ac:dyDescent="0.25">
      <c r="BV62" s="343"/>
      <c r="BW62" s="347"/>
      <c r="BX62" s="173" t="s">
        <v>98</v>
      </c>
      <c r="BY62" s="170" t="s">
        <v>409</v>
      </c>
      <c r="BZ62" s="172">
        <f t="shared" ca="1" si="8"/>
        <v>-0.55531138868118024</v>
      </c>
      <c r="CA62" s="172">
        <f t="shared" ref="CA62:CZ62" ca="1" si="13">CA48-CA28</f>
        <v>-1.5158824679426388</v>
      </c>
      <c r="CB62" s="172">
        <f t="shared" ca="1" si="13"/>
        <v>-3.2324639057434617</v>
      </c>
      <c r="CC62" s="172">
        <f t="shared" ca="1" si="13"/>
        <v>-3.2324639057434617</v>
      </c>
      <c r="CD62" s="172">
        <f t="shared" ca="1" si="13"/>
        <v>-3.2324639057434617</v>
      </c>
      <c r="CE62" s="172">
        <f t="shared" ca="1" si="13"/>
        <v>-3.2324639057434617</v>
      </c>
      <c r="CF62" s="172">
        <f t="shared" ca="1" si="13"/>
        <v>-3.2324639057434617</v>
      </c>
      <c r="CG62" s="172">
        <f t="shared" ca="1" si="13"/>
        <v>-3.2324639057434617</v>
      </c>
      <c r="CH62" s="172">
        <f t="shared" ca="1" si="13"/>
        <v>-3.2324639057434617</v>
      </c>
      <c r="CI62" s="172">
        <f t="shared" ca="1" si="13"/>
        <v>-3.2324639057434617</v>
      </c>
      <c r="CJ62" s="172">
        <f t="shared" ca="1" si="13"/>
        <v>-3.2324639057434617</v>
      </c>
      <c r="CK62" s="172">
        <f t="shared" ca="1" si="13"/>
        <v>-3.2324639057434617</v>
      </c>
      <c r="CL62" s="172">
        <f t="shared" ca="1" si="13"/>
        <v>-3.2324639057434617</v>
      </c>
      <c r="CM62" s="172">
        <f t="shared" ca="1" si="13"/>
        <v>-1.6423280795938027</v>
      </c>
      <c r="CN62" s="172">
        <f t="shared" ca="1" si="13"/>
        <v>-0.63129128771883991</v>
      </c>
      <c r="CO62" s="172">
        <f t="shared" ca="1" si="13"/>
        <v>0</v>
      </c>
      <c r="CP62" s="172">
        <f t="shared" ca="1" si="13"/>
        <v>0</v>
      </c>
      <c r="CQ62" s="172">
        <f t="shared" ca="1" si="13"/>
        <v>0</v>
      </c>
      <c r="CR62" s="172">
        <f t="shared" ca="1" si="13"/>
        <v>0</v>
      </c>
      <c r="CS62" s="172">
        <f t="shared" ca="1" si="13"/>
        <v>0</v>
      </c>
      <c r="CT62" s="172">
        <f t="shared" ca="1" si="13"/>
        <v>0</v>
      </c>
      <c r="CU62" s="172">
        <f t="shared" ca="1" si="13"/>
        <v>0</v>
      </c>
      <c r="CV62" s="172">
        <f t="shared" ca="1" si="13"/>
        <v>0</v>
      </c>
      <c r="CW62" s="172">
        <f t="shared" ca="1" si="13"/>
        <v>0</v>
      </c>
      <c r="CX62" s="172">
        <f t="shared" ca="1" si="13"/>
        <v>0</v>
      </c>
      <c r="CY62" s="172">
        <f t="shared" ca="1" si="13"/>
        <v>0</v>
      </c>
      <c r="CZ62" s="172">
        <f t="shared" ca="1" si="13"/>
        <v>0</v>
      </c>
      <c r="DA62" s="172"/>
      <c r="DB62" s="172">
        <f ca="1">IF($C$5=Lookups!$D$40,-PMT(Lookups!$E$17,27,NPV(Lookups!$E$17,BZ62:CZ62),0,1),-PMT(Lookups!$E$17,25,NPV(Lookups!$E$17,BZ62:CX62),0,1))</f>
        <v>-1.5772527753950525</v>
      </c>
      <c r="DC62" s="123"/>
      <c r="DE62" s="516"/>
    </row>
    <row r="63" spans="3:117" x14ac:dyDescent="0.25">
      <c r="BV63" s="343"/>
      <c r="BW63" s="347"/>
      <c r="BX63" s="170" t="s">
        <v>99</v>
      </c>
      <c r="BY63" s="170" t="s">
        <v>409</v>
      </c>
      <c r="BZ63" s="172">
        <f t="shared" ca="1" si="8"/>
        <v>2.9143331662954015</v>
      </c>
      <c r="CA63" s="172">
        <f t="shared" ref="CA63:CZ63" ca="1" si="14">CA49-CA29</f>
        <v>3.1509807439447073</v>
      </c>
      <c r="CB63" s="172">
        <f t="shared" ca="1" si="14"/>
        <v>3.5041038609854098</v>
      </c>
      <c r="CC63" s="172">
        <f t="shared" ca="1" si="14"/>
        <v>0.32908364454571348</v>
      </c>
      <c r="CD63" s="172">
        <f t="shared" ca="1" si="14"/>
        <v>0.32908364454571348</v>
      </c>
      <c r="CE63" s="172">
        <f t="shared" ca="1" si="14"/>
        <v>0.32908364454571348</v>
      </c>
      <c r="CF63" s="172">
        <f t="shared" ca="1" si="14"/>
        <v>0.32908364454571348</v>
      </c>
      <c r="CG63" s="172">
        <f t="shared" ca="1" si="14"/>
        <v>0.32908364454571348</v>
      </c>
      <c r="CH63" s="172">
        <f t="shared" ca="1" si="14"/>
        <v>0.32908364454571348</v>
      </c>
      <c r="CI63" s="172">
        <f t="shared" ca="1" si="14"/>
        <v>0.32908364454571348</v>
      </c>
      <c r="CJ63" s="172">
        <f t="shared" ca="1" si="14"/>
        <v>0.32908364454571348</v>
      </c>
      <c r="CK63" s="172">
        <f t="shared" ca="1" si="14"/>
        <v>0.32908364454571348</v>
      </c>
      <c r="CL63" s="172">
        <f t="shared" ca="1" si="14"/>
        <v>0.32908364454571348</v>
      </c>
      <c r="CM63" s="172">
        <f t="shared" ca="1" si="14"/>
        <v>0.17841510629308388</v>
      </c>
      <c r="CN63" s="172">
        <f t="shared" ca="1" si="14"/>
        <v>7.3866033482805626E-2</v>
      </c>
      <c r="CO63" s="172">
        <f t="shared" ca="1" si="14"/>
        <v>0</v>
      </c>
      <c r="CP63" s="172">
        <f t="shared" ca="1" si="14"/>
        <v>0</v>
      </c>
      <c r="CQ63" s="172">
        <f t="shared" ca="1" si="14"/>
        <v>0</v>
      </c>
      <c r="CR63" s="172">
        <f t="shared" ca="1" si="14"/>
        <v>0</v>
      </c>
      <c r="CS63" s="172">
        <f t="shared" ca="1" si="14"/>
        <v>0</v>
      </c>
      <c r="CT63" s="172">
        <f t="shared" ca="1" si="14"/>
        <v>0</v>
      </c>
      <c r="CU63" s="172">
        <f t="shared" ca="1" si="14"/>
        <v>0</v>
      </c>
      <c r="CV63" s="172">
        <f t="shared" ca="1" si="14"/>
        <v>0</v>
      </c>
      <c r="CW63" s="172">
        <f t="shared" ca="1" si="14"/>
        <v>0</v>
      </c>
      <c r="CX63" s="172">
        <f t="shared" ca="1" si="14"/>
        <v>0</v>
      </c>
      <c r="CY63" s="172">
        <f t="shared" ca="1" si="14"/>
        <v>0</v>
      </c>
      <c r="CZ63" s="172">
        <f t="shared" ca="1" si="14"/>
        <v>0</v>
      </c>
      <c r="DA63" s="170"/>
      <c r="DB63" s="172">
        <f ca="1">IF($C$5=Lookups!$D$40,-PMT(Lookups!$E$17,27,NPV(Lookups!$E$17,BZ63:CZ63),0,1),-PMT(Lookups!$E$17,25,NPV(Lookups!$E$17,BZ63:CX63),0,1))</f>
        <v>0.54912919088681966</v>
      </c>
      <c r="DC63" s="123"/>
      <c r="DE63" s="516"/>
    </row>
    <row r="64" spans="3:117" x14ac:dyDescent="0.25">
      <c r="BV64" s="343"/>
      <c r="BW64" s="347"/>
      <c r="BX64" s="170" t="s">
        <v>100</v>
      </c>
      <c r="BY64" s="170" t="s">
        <v>409</v>
      </c>
      <c r="BZ64" s="172">
        <f ca="1">IF($C$5=Lookups!$D$40,AVERAGE($BZ63:$CZ63),AVERAGE($BZ63:$CX63))</f>
        <v>0.48564945764661271</v>
      </c>
      <c r="CA64" s="172">
        <f ca="1">IF($C$5=Lookups!$D$40,AVERAGE($BZ63:$CZ63),AVERAGE($BZ63:$CX63))</f>
        <v>0.48564945764661271</v>
      </c>
      <c r="CB64" s="172">
        <f ca="1">IF($C$5=Lookups!$D$40,AVERAGE($BZ63:$CZ63),AVERAGE($BZ63:$CX63))</f>
        <v>0.48564945764661271</v>
      </c>
      <c r="CC64" s="172">
        <f ca="1">IF($C$5=Lookups!$D$40,AVERAGE($BZ63:$CZ63),AVERAGE($BZ63:$CX63))</f>
        <v>0.48564945764661271</v>
      </c>
      <c r="CD64" s="172">
        <f ca="1">IF($C$5=Lookups!$D$40,AVERAGE($BZ63:$CZ63),AVERAGE($BZ63:$CX63))</f>
        <v>0.48564945764661271</v>
      </c>
      <c r="CE64" s="172">
        <f ca="1">IF($C$5=Lookups!$D$40,AVERAGE($BZ63:$CZ63),AVERAGE($BZ63:$CX63))</f>
        <v>0.48564945764661271</v>
      </c>
      <c r="CF64" s="172">
        <f ca="1">IF($C$5=Lookups!$D$40,AVERAGE($BZ63:$CZ63),AVERAGE($BZ63:$CX63))</f>
        <v>0.48564945764661271</v>
      </c>
      <c r="CG64" s="172">
        <f ca="1">IF($C$5=Lookups!$D$40,AVERAGE($BZ63:$CZ63),AVERAGE($BZ63:$CX63))</f>
        <v>0.48564945764661271</v>
      </c>
      <c r="CH64" s="172">
        <f ca="1">IF($C$5=Lookups!$D$40,AVERAGE($BZ63:$CZ63),AVERAGE($BZ63:$CX63))</f>
        <v>0.48564945764661271</v>
      </c>
      <c r="CI64" s="172">
        <f ca="1">IF($C$5=Lookups!$D$40,AVERAGE($BZ63:$CZ63),AVERAGE($BZ63:$CX63))</f>
        <v>0.48564945764661271</v>
      </c>
      <c r="CJ64" s="172">
        <f ca="1">IF($C$5=Lookups!$D$40,AVERAGE($BZ63:$CZ63),AVERAGE($BZ63:$CX63))</f>
        <v>0.48564945764661271</v>
      </c>
      <c r="CK64" s="172">
        <f ca="1">IF($C$5=Lookups!$D$40,AVERAGE($BZ63:$CZ63),AVERAGE($BZ63:$CX63))</f>
        <v>0.48564945764661271</v>
      </c>
      <c r="CL64" s="172">
        <f ca="1">IF($C$5=Lookups!$D$40,AVERAGE($BZ63:$CZ63),AVERAGE($BZ63:$CX63))</f>
        <v>0.48564945764661271</v>
      </c>
      <c r="CM64" s="172">
        <f ca="1">IF($C$5=Lookups!$D$40,AVERAGE($BZ63:$CZ63),AVERAGE($BZ63:$CX63))</f>
        <v>0.48564945764661271</v>
      </c>
      <c r="CN64" s="172">
        <f ca="1">IF($C$5=Lookups!$D$40,AVERAGE($BZ63:$CZ63),AVERAGE($BZ63:$CX63))</f>
        <v>0.48564945764661271</v>
      </c>
      <c r="CO64" s="172">
        <f ca="1">IF($C$5=Lookups!$D$40,AVERAGE($BZ63:$CZ63),AVERAGE($BZ63:$CX63))</f>
        <v>0.48564945764661271</v>
      </c>
      <c r="CP64" s="172">
        <f ca="1">IF($C$5=Lookups!$D$40,AVERAGE($BZ63:$CZ63),AVERAGE($BZ63:$CX63))</f>
        <v>0.48564945764661271</v>
      </c>
      <c r="CQ64" s="172">
        <f ca="1">IF($C$5=Lookups!$D$40,AVERAGE($BZ63:$CZ63),AVERAGE($BZ63:$CX63))</f>
        <v>0.48564945764661271</v>
      </c>
      <c r="CR64" s="172">
        <f ca="1">IF($C$5=Lookups!$D$40,AVERAGE($BZ63:$CZ63),AVERAGE($BZ63:$CX63))</f>
        <v>0.48564945764661271</v>
      </c>
      <c r="CS64" s="172">
        <f ca="1">IF($C$5=Lookups!$D$40,AVERAGE($BZ63:$CZ63),AVERAGE($BZ63:$CX63))</f>
        <v>0.48564945764661271</v>
      </c>
      <c r="CT64" s="172">
        <f ca="1">IF($C$5=Lookups!$D$40,AVERAGE($BZ63:$CZ63),AVERAGE($BZ63:$CX63))</f>
        <v>0.48564945764661271</v>
      </c>
      <c r="CU64" s="172">
        <f ca="1">IF($C$5=Lookups!$D$40,AVERAGE($BZ63:$CZ63),AVERAGE($BZ63:$CX63))</f>
        <v>0.48564945764661271</v>
      </c>
      <c r="CV64" s="172">
        <f ca="1">IF($C$5=Lookups!$D$40,AVERAGE($BZ63:$CZ63),AVERAGE($BZ63:$CX63))</f>
        <v>0.48564945764661271</v>
      </c>
      <c r="CW64" s="172">
        <f ca="1">IF($C$5=Lookups!$D$40,AVERAGE($BZ63:$CZ63),AVERAGE($BZ63:$CX63))</f>
        <v>0.48564945764661271</v>
      </c>
      <c r="CX64" s="172">
        <f ca="1">IF($C$5=Lookups!$D$40,AVERAGE($BZ63:$CZ63),AVERAGE($BZ63:$CX63))</f>
        <v>0.48564945764661271</v>
      </c>
      <c r="CY64" s="172">
        <f ca="1">IF($C$5=Lookups!$D$40,AVERAGE($BZ63:$CZ63),AVERAGE($BZ63:$CX63))</f>
        <v>0.48564945764661271</v>
      </c>
      <c r="CZ64" s="172">
        <f ca="1">IF($C$5=Lookups!$D$40,AVERAGE($BZ63:$CZ63),AVERAGE($BZ63:$CX63))</f>
        <v>0.48564945764661271</v>
      </c>
      <c r="DA64" s="170"/>
      <c r="DB64" s="172">
        <f ca="1">IF($C$5=Lookups!$D$40,-PMT(Lookups!$E$17,27,NPV(Lookups!$E$17,BZ64:CZ64),0,1),-PMT(Lookups!$E$17,25,NPV(Lookups!$E$17,BZ64:CX64),0,1))</f>
        <v>0.47887623518645644</v>
      </c>
      <c r="DC64" s="123"/>
      <c r="DE64" s="516"/>
    </row>
    <row r="65" spans="70:119" x14ac:dyDescent="0.25">
      <c r="BV65" s="343"/>
      <c r="BW65" s="347"/>
      <c r="BX65" s="170" t="s">
        <v>99</v>
      </c>
      <c r="BY65" s="174" t="s">
        <v>16</v>
      </c>
      <c r="BZ65" s="237">
        <f t="shared" ref="BZ65:CZ65" ca="1" si="15">IFERROR(SUM(BZ37:BZ41)/SUM(BZ$17:BZ$21)-1,0)</f>
        <v>3.1282724193975708E-2</v>
      </c>
      <c r="CA65" s="237">
        <f t="shared" ca="1" si="15"/>
        <v>3.3391596029342052E-2</v>
      </c>
      <c r="CB65" s="237">
        <f t="shared" ca="1" si="15"/>
        <v>3.6502362674648792E-2</v>
      </c>
      <c r="CC65" s="237">
        <f t="shared" ca="1" si="15"/>
        <v>4.107306020697532E-3</v>
      </c>
      <c r="CD65" s="237">
        <f t="shared" ca="1" si="15"/>
        <v>4.107306020697532E-3</v>
      </c>
      <c r="CE65" s="237">
        <f t="shared" ca="1" si="15"/>
        <v>4.107306020697532E-3</v>
      </c>
      <c r="CF65" s="237">
        <f t="shared" ca="1" si="15"/>
        <v>4.107306020697532E-3</v>
      </c>
      <c r="CG65" s="237">
        <f t="shared" ca="1" si="15"/>
        <v>4.107306020697532E-3</v>
      </c>
      <c r="CH65" s="237">
        <f t="shared" ca="1" si="15"/>
        <v>4.107306020697532E-3</v>
      </c>
      <c r="CI65" s="237">
        <f t="shared" ca="1" si="15"/>
        <v>4.107306020697532E-3</v>
      </c>
      <c r="CJ65" s="237">
        <f t="shared" ca="1" si="15"/>
        <v>4.107306020697532E-3</v>
      </c>
      <c r="CK65" s="237">
        <f t="shared" ca="1" si="15"/>
        <v>4.107306020697532E-3</v>
      </c>
      <c r="CL65" s="237">
        <f t="shared" ca="1" si="15"/>
        <v>4.107306020697532E-3</v>
      </c>
      <c r="CM65" s="237">
        <f t="shared" ca="1" si="15"/>
        <v>2.2442840959822075E-3</v>
      </c>
      <c r="CN65" s="237">
        <f t="shared" ca="1" si="15"/>
        <v>9.3542591457729252E-4</v>
      </c>
      <c r="CO65" s="237">
        <f t="shared" ca="1" si="15"/>
        <v>0</v>
      </c>
      <c r="CP65" s="237">
        <f t="shared" ca="1" si="15"/>
        <v>0</v>
      </c>
      <c r="CQ65" s="237">
        <f t="shared" ca="1" si="15"/>
        <v>0</v>
      </c>
      <c r="CR65" s="237">
        <f t="shared" ca="1" si="15"/>
        <v>0</v>
      </c>
      <c r="CS65" s="237">
        <f t="shared" ca="1" si="15"/>
        <v>0</v>
      </c>
      <c r="CT65" s="237">
        <f t="shared" ca="1" si="15"/>
        <v>0</v>
      </c>
      <c r="CU65" s="237">
        <f t="shared" ca="1" si="15"/>
        <v>0</v>
      </c>
      <c r="CV65" s="237">
        <f t="shared" ca="1" si="15"/>
        <v>0</v>
      </c>
      <c r="CW65" s="237">
        <f t="shared" ca="1" si="15"/>
        <v>0</v>
      </c>
      <c r="CX65" s="237">
        <f t="shared" ca="1" si="15"/>
        <v>0</v>
      </c>
      <c r="CY65" s="237">
        <f t="shared" ca="1" si="15"/>
        <v>0</v>
      </c>
      <c r="CZ65" s="237">
        <f t="shared" ca="1" si="15"/>
        <v>0</v>
      </c>
      <c r="DA65" s="176"/>
      <c r="DB65" s="172">
        <f ca="1">IF($C$5=Lookups!$D$40,-PMT(Lookups!$E$17,27,NPV(Lookups!$E$17,BZ65:CZ65),0,1),-PMT(Lookups!$E$17,25,NPV(Lookups!$E$17,BZ65:CX65),0,1))</f>
        <v>6.0714980073737854E-3</v>
      </c>
      <c r="DC65" s="123"/>
      <c r="DE65" s="516"/>
    </row>
    <row r="66" spans="70:119" x14ac:dyDescent="0.25">
      <c r="BV66" s="343"/>
      <c r="BW66" s="347"/>
      <c r="BX66" s="170" t="s">
        <v>100</v>
      </c>
      <c r="BY66" s="174" t="s">
        <v>16</v>
      </c>
      <c r="BZ66" s="237">
        <f ca="1">IF($C$5=Lookups!$D$40,AVERAGE($BZ65:$CZ65),AVERAGE($BZ65:$CX65))</f>
        <v>5.3862760413148653E-3</v>
      </c>
      <c r="CA66" s="237">
        <f ca="1">IF($C$5=Lookups!$D$40,AVERAGE($BZ65:$CZ65),AVERAGE($BZ65:$CX65))</f>
        <v>5.3862760413148653E-3</v>
      </c>
      <c r="CB66" s="237">
        <f ca="1">IF($C$5=Lookups!$D$40,AVERAGE($BZ65:$CZ65),AVERAGE($BZ65:$CX65))</f>
        <v>5.3862760413148653E-3</v>
      </c>
      <c r="CC66" s="237">
        <f ca="1">IF($C$5=Lookups!$D$40,AVERAGE($BZ65:$CZ65),AVERAGE($BZ65:$CX65))</f>
        <v>5.3862760413148653E-3</v>
      </c>
      <c r="CD66" s="237">
        <f ca="1">IF($C$5=Lookups!$D$40,AVERAGE($BZ65:$CZ65),AVERAGE($BZ65:$CX65))</f>
        <v>5.3862760413148653E-3</v>
      </c>
      <c r="CE66" s="237">
        <f ca="1">IF($C$5=Lookups!$D$40,AVERAGE($BZ65:$CZ65),AVERAGE($BZ65:$CX65))</f>
        <v>5.3862760413148653E-3</v>
      </c>
      <c r="CF66" s="237">
        <f ca="1">IF($C$5=Lookups!$D$40,AVERAGE($BZ65:$CZ65),AVERAGE($BZ65:$CX65))</f>
        <v>5.3862760413148653E-3</v>
      </c>
      <c r="CG66" s="237">
        <f ca="1">IF($C$5=Lookups!$D$40,AVERAGE($BZ65:$CZ65),AVERAGE($BZ65:$CX65))</f>
        <v>5.3862760413148653E-3</v>
      </c>
      <c r="CH66" s="237">
        <f ca="1">IF($C$5=Lookups!$D$40,AVERAGE($BZ65:$CZ65),AVERAGE($BZ65:$CX65))</f>
        <v>5.3862760413148653E-3</v>
      </c>
      <c r="CI66" s="237">
        <f ca="1">IF($C$5=Lookups!$D$40,AVERAGE($BZ65:$CZ65),AVERAGE($BZ65:$CX65))</f>
        <v>5.3862760413148653E-3</v>
      </c>
      <c r="CJ66" s="237">
        <f ca="1">IF($C$5=Lookups!$D$40,AVERAGE($BZ65:$CZ65),AVERAGE($BZ65:$CX65))</f>
        <v>5.3862760413148653E-3</v>
      </c>
      <c r="CK66" s="237">
        <f ca="1">IF($C$5=Lookups!$D$40,AVERAGE($BZ65:$CZ65),AVERAGE($BZ65:$CX65))</f>
        <v>5.3862760413148653E-3</v>
      </c>
      <c r="CL66" s="237">
        <f ca="1">IF($C$5=Lookups!$D$40,AVERAGE($BZ65:$CZ65),AVERAGE($BZ65:$CX65))</f>
        <v>5.3862760413148653E-3</v>
      </c>
      <c r="CM66" s="237">
        <f ca="1">IF($C$5=Lookups!$D$40,AVERAGE($BZ65:$CZ65),AVERAGE($BZ65:$CX65))</f>
        <v>5.3862760413148653E-3</v>
      </c>
      <c r="CN66" s="237">
        <f ca="1">IF($C$5=Lookups!$D$40,AVERAGE($BZ65:$CZ65),AVERAGE($BZ65:$CX65))</f>
        <v>5.3862760413148653E-3</v>
      </c>
      <c r="CO66" s="237">
        <f ca="1">IF($C$5=Lookups!$D$40,AVERAGE($BZ65:$CZ65),AVERAGE($BZ65:$CX65))</f>
        <v>5.3862760413148653E-3</v>
      </c>
      <c r="CP66" s="237">
        <f ca="1">IF($C$5=Lookups!$D$40,AVERAGE($BZ65:$CZ65),AVERAGE($BZ65:$CX65))</f>
        <v>5.3862760413148653E-3</v>
      </c>
      <c r="CQ66" s="237">
        <f ca="1">IF($C$5=Lookups!$D$40,AVERAGE($BZ65:$CZ65),AVERAGE($BZ65:$CX65))</f>
        <v>5.3862760413148653E-3</v>
      </c>
      <c r="CR66" s="237">
        <f ca="1">IF($C$5=Lookups!$D$40,AVERAGE($BZ65:$CZ65),AVERAGE($BZ65:$CX65))</f>
        <v>5.3862760413148653E-3</v>
      </c>
      <c r="CS66" s="237">
        <f ca="1">IF($C$5=Lookups!$D$40,AVERAGE($BZ65:$CZ65),AVERAGE($BZ65:$CX65))</f>
        <v>5.3862760413148653E-3</v>
      </c>
      <c r="CT66" s="237">
        <f ca="1">IF($C$5=Lookups!$D$40,AVERAGE($BZ65:$CZ65),AVERAGE($BZ65:$CX65))</f>
        <v>5.3862760413148653E-3</v>
      </c>
      <c r="CU66" s="237">
        <f ca="1">IF($C$5=Lookups!$D$40,AVERAGE($BZ65:$CZ65),AVERAGE($BZ65:$CX65))</f>
        <v>5.3862760413148653E-3</v>
      </c>
      <c r="CV66" s="237">
        <f ca="1">IF($C$5=Lookups!$D$40,AVERAGE($BZ65:$CZ65),AVERAGE($BZ65:$CX65))</f>
        <v>5.3862760413148653E-3</v>
      </c>
      <c r="CW66" s="237">
        <f ca="1">IF($C$5=Lookups!$D$40,AVERAGE($BZ65:$CZ65),AVERAGE($BZ65:$CX65))</f>
        <v>5.3862760413148653E-3</v>
      </c>
      <c r="CX66" s="237">
        <f ca="1">IF($C$5=Lookups!$D$40,AVERAGE($BZ65:$CZ65),AVERAGE($BZ65:$CX65))</f>
        <v>5.3862760413148653E-3</v>
      </c>
      <c r="CY66" s="237">
        <f ca="1">IF($C$5=Lookups!$D$40,AVERAGE($BZ65:$CZ65),AVERAGE($BZ65:$CX65))</f>
        <v>5.3862760413148653E-3</v>
      </c>
      <c r="CZ66" s="237">
        <f ca="1">IF($C$5=Lookups!$D$40,AVERAGE($BZ65:$CZ65),AVERAGE($BZ65:$CX65))</f>
        <v>5.3862760413148653E-3</v>
      </c>
      <c r="DA66" s="176"/>
      <c r="DB66" s="724">
        <f ca="1">IFERROR(SUM($DB$37:$DB$41)/SUM($DB$17:$DB$21)-1,0)</f>
        <v>6.8506663945164803E-3</v>
      </c>
      <c r="DC66" s="123"/>
      <c r="DE66" s="516"/>
    </row>
    <row r="67" spans="70:119" x14ac:dyDescent="0.25">
      <c r="BV67" s="343"/>
      <c r="BW67" s="347"/>
      <c r="BX67" s="181" t="str">
        <f ca="1">"Levelized net change "&amp;TEXT(DB66,"0.0%")</f>
        <v>Levelized net change 0.7%</v>
      </c>
      <c r="BY67" s="174"/>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6"/>
      <c r="DB67" s="176"/>
      <c r="DC67" s="123"/>
      <c r="DE67" s="516"/>
      <c r="DN67" s="5"/>
      <c r="DO67" s="5"/>
    </row>
    <row r="68" spans="70:119" x14ac:dyDescent="0.25">
      <c r="BV68" s="343"/>
      <c r="BW68" s="347"/>
      <c r="BX68" s="170"/>
      <c r="BY68" s="170"/>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row>
    <row r="69" spans="70:119" s="5" customFormat="1" x14ac:dyDescent="0.25">
      <c r="BR69"/>
      <c r="BS69"/>
      <c r="BT69"/>
      <c r="BU69"/>
      <c r="BV69" s="343"/>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6"/>
      <c r="DD69"/>
      <c r="DE69" s="512"/>
      <c r="DF69" s="522"/>
      <c r="DG69" s="512"/>
      <c r="DH69"/>
      <c r="DI69"/>
      <c r="DJ69"/>
      <c r="DK69"/>
      <c r="DL69"/>
      <c r="DM69"/>
      <c r="DN69"/>
      <c r="DO69"/>
    </row>
    <row r="70" spans="70:119" x14ac:dyDescent="0.25">
      <c r="BV70" s="343"/>
      <c r="BX70" s="532" t="s">
        <v>253</v>
      </c>
    </row>
    <row r="71" spans="70:119" x14ac:dyDescent="0.25">
      <c r="BV71" s="343"/>
      <c r="BX71" s="531" t="str">
        <f>Lookups!$D$23</f>
        <v>Proposed EE</v>
      </c>
      <c r="BY71" s="523"/>
      <c r="BZ71" s="523" t="str">
        <f>IFERROR(LEFT(ADDRESS(1,COLUMN('Yr1'!$G$6)+MATCH(BZ6,'Yr1'!$G$7:$AG$7,0)-1,4,1),LEN(ADDRESS(1,COLUMN('Yr1'!$G$6)+MATCH(BZ6,'Yr1'!$G$7:$AG$7,0)-1,4,1))-1),"")</f>
        <v>G</v>
      </c>
      <c r="CA71" s="523" t="str">
        <f>IFERROR(LEFT(ADDRESS(1,COLUMN('Yr1'!$G$6)+MATCH(CA6,'Yr1'!$G$7:$AG$7,0)-1,4,1),LEN(ADDRESS(1,COLUMN('Yr1'!$G$6)+MATCH(CA6,'Yr1'!$G$7:$AG$7,0)-1,4,1))-1),"")</f>
        <v>H</v>
      </c>
      <c r="CB71" s="523" t="str">
        <f>IFERROR(LEFT(ADDRESS(1,COLUMN('Yr1'!$G$6)+MATCH(CB6,'Yr1'!$G$7:$AG$7,0)-1,4,1),LEN(ADDRESS(1,COLUMN('Yr1'!$G$6)+MATCH(CB6,'Yr1'!$G$7:$AG$7,0)-1,4,1))-1),"")</f>
        <v>I</v>
      </c>
      <c r="CC71" s="523" t="str">
        <f>IFERROR(LEFT(ADDRESS(1,COLUMN('Yr1'!$G$6)+MATCH(CC6,'Yr1'!$G$7:$AG$7,0)-1,4,1),LEN(ADDRESS(1,COLUMN('Yr1'!$G$6)+MATCH(CC6,'Yr1'!$G$7:$AG$7,0)-1,4,1))-1),"")</f>
        <v>J</v>
      </c>
      <c r="CD71" s="523" t="str">
        <f>IFERROR(LEFT(ADDRESS(1,COLUMN('Yr1'!$G$6)+MATCH(CD6,'Yr1'!$G$7:$AG$7,0)-1,4,1),LEN(ADDRESS(1,COLUMN('Yr1'!$G$6)+MATCH(CD6,'Yr1'!$G$7:$AG$7,0)-1,4,1))-1),"")</f>
        <v>K</v>
      </c>
      <c r="CE71" s="523" t="str">
        <f>IFERROR(LEFT(ADDRESS(1,COLUMN('Yr1'!$G$6)+MATCH(CE6,'Yr1'!$G$7:$AG$7,0)-1,4,1),LEN(ADDRESS(1,COLUMN('Yr1'!$G$6)+MATCH(CE6,'Yr1'!$G$7:$AG$7,0)-1,4,1))-1),"")</f>
        <v>L</v>
      </c>
      <c r="CF71" s="523" t="str">
        <f>IFERROR(LEFT(ADDRESS(1,COLUMN('Yr1'!$G$6)+MATCH(CF6,'Yr1'!$G$7:$AG$7,0)-1,4,1),LEN(ADDRESS(1,COLUMN('Yr1'!$G$6)+MATCH(CF6,'Yr1'!$G$7:$AG$7,0)-1,4,1))-1),"")</f>
        <v>M</v>
      </c>
      <c r="CG71" s="523" t="str">
        <f>IFERROR(LEFT(ADDRESS(1,COLUMN('Yr1'!$G$6)+MATCH(CG6,'Yr1'!$G$7:$AG$7,0)-1,4,1),LEN(ADDRESS(1,COLUMN('Yr1'!$G$6)+MATCH(CG6,'Yr1'!$G$7:$AG$7,0)-1,4,1))-1),"")</f>
        <v>N</v>
      </c>
      <c r="CH71" s="523" t="str">
        <f>IFERROR(LEFT(ADDRESS(1,COLUMN('Yr1'!$G$6)+MATCH(CH6,'Yr1'!$G$7:$AG$7,0)-1,4,1),LEN(ADDRESS(1,COLUMN('Yr1'!$G$6)+MATCH(CH6,'Yr1'!$G$7:$AG$7,0)-1,4,1))-1),"")</f>
        <v>O</v>
      </c>
      <c r="CI71" s="523" t="str">
        <f>IFERROR(LEFT(ADDRESS(1,COLUMN('Yr1'!$G$6)+MATCH(CI6,'Yr1'!$G$7:$AG$7,0)-1,4,1),LEN(ADDRESS(1,COLUMN('Yr1'!$G$6)+MATCH(CI6,'Yr1'!$G$7:$AG$7,0)-1,4,1))-1),"")</f>
        <v>P</v>
      </c>
      <c r="CJ71" s="523" t="str">
        <f>IFERROR(LEFT(ADDRESS(1,COLUMN('Yr1'!$G$6)+MATCH(CJ6,'Yr1'!$G$7:$AG$7,0)-1,4,1),LEN(ADDRESS(1,COLUMN('Yr1'!$G$6)+MATCH(CJ6,'Yr1'!$G$7:$AG$7,0)-1,4,1))-1),"")</f>
        <v>Q</v>
      </c>
      <c r="CK71" s="523" t="str">
        <f>IFERROR(LEFT(ADDRESS(1,COLUMN('Yr1'!$G$6)+MATCH(CK6,'Yr1'!$G$7:$AG$7,0)-1,4,1),LEN(ADDRESS(1,COLUMN('Yr1'!$G$6)+MATCH(CK6,'Yr1'!$G$7:$AG$7,0)-1,4,1))-1),"")</f>
        <v>R</v>
      </c>
      <c r="CL71" s="523" t="str">
        <f>IFERROR(LEFT(ADDRESS(1,COLUMN('Yr1'!$G$6)+MATCH(CL6,'Yr1'!$G$7:$AG$7,0)-1,4,1),LEN(ADDRESS(1,COLUMN('Yr1'!$G$6)+MATCH(CL6,'Yr1'!$G$7:$AG$7,0)-1,4,1))-1),"")</f>
        <v>S</v>
      </c>
      <c r="CM71" s="523" t="str">
        <f>IFERROR(LEFT(ADDRESS(1,COLUMN('Yr1'!$G$6)+MATCH(CM6,'Yr1'!$G$7:$AG$7,0)-1,4,1),LEN(ADDRESS(1,COLUMN('Yr1'!$G$6)+MATCH(CM6,'Yr1'!$G$7:$AG$7,0)-1,4,1))-1),"")</f>
        <v>T</v>
      </c>
      <c r="CN71" s="523" t="str">
        <f>IFERROR(LEFT(ADDRESS(1,COLUMN('Yr1'!$G$6)+MATCH(CN6,'Yr1'!$G$7:$AG$7,0)-1,4,1),LEN(ADDRESS(1,COLUMN('Yr1'!$G$6)+MATCH(CN6,'Yr1'!$G$7:$AG$7,0)-1,4,1))-1),"")</f>
        <v>U</v>
      </c>
      <c r="CO71" s="523" t="str">
        <f>IFERROR(LEFT(ADDRESS(1,COLUMN('Yr1'!$G$6)+MATCH(CO6,'Yr1'!$G$7:$AG$7,0)-1,4,1),LEN(ADDRESS(1,COLUMN('Yr1'!$G$6)+MATCH(CO6,'Yr1'!$G$7:$AG$7,0)-1,4,1))-1),"")</f>
        <v>V</v>
      </c>
      <c r="CP71" s="523" t="str">
        <f>IFERROR(LEFT(ADDRESS(1,COLUMN('Yr1'!$G$6)+MATCH(CP6,'Yr1'!$G$7:$AG$7,0)-1,4,1),LEN(ADDRESS(1,COLUMN('Yr1'!$G$6)+MATCH(CP6,'Yr1'!$G$7:$AG$7,0)-1,4,1))-1),"")</f>
        <v>W</v>
      </c>
      <c r="CQ71" s="523" t="str">
        <f>IFERROR(LEFT(ADDRESS(1,COLUMN('Yr1'!$G$6)+MATCH(CQ6,'Yr1'!$G$7:$AG$7,0)-1,4,1),LEN(ADDRESS(1,COLUMN('Yr1'!$G$6)+MATCH(CQ6,'Yr1'!$G$7:$AG$7,0)-1,4,1))-1),"")</f>
        <v>X</v>
      </c>
      <c r="CR71" s="523" t="str">
        <f>IFERROR(LEFT(ADDRESS(1,COLUMN('Yr1'!$G$6)+MATCH(CR6,'Yr1'!$G$7:$AG$7,0)-1,4,1),LEN(ADDRESS(1,COLUMN('Yr1'!$G$6)+MATCH(CR6,'Yr1'!$G$7:$AG$7,0)-1,4,1))-1),"")</f>
        <v>Y</v>
      </c>
      <c r="CS71" s="523" t="str">
        <f>IFERROR(LEFT(ADDRESS(1,COLUMN('Yr1'!$G$6)+MATCH(CS6,'Yr1'!$G$7:$AG$7,0)-1,4,1),LEN(ADDRESS(1,COLUMN('Yr1'!$G$6)+MATCH(CS6,'Yr1'!$G$7:$AG$7,0)-1,4,1))-1),"")</f>
        <v>Z</v>
      </c>
      <c r="CT71" s="523" t="str">
        <f>IFERROR(LEFT(ADDRESS(1,COLUMN('Yr1'!$G$6)+MATCH(CT6,'Yr1'!$G$7:$AG$7,0)-1,4,1),LEN(ADDRESS(1,COLUMN('Yr1'!$G$6)+MATCH(CT6,'Yr1'!$G$7:$AG$7,0)-1,4,1))-1),"")</f>
        <v>AA</v>
      </c>
      <c r="CU71" s="523" t="str">
        <f>IFERROR(LEFT(ADDRESS(1,COLUMN('Yr1'!$G$6)+MATCH(CU6,'Yr1'!$G$7:$AG$7,0)-1,4,1),LEN(ADDRESS(1,COLUMN('Yr1'!$G$6)+MATCH(CU6,'Yr1'!$G$7:$AG$7,0)-1,4,1))-1),"")</f>
        <v>AB</v>
      </c>
      <c r="CV71" s="523" t="str">
        <f>IFERROR(LEFT(ADDRESS(1,COLUMN('Yr1'!$G$6)+MATCH(CV6,'Yr1'!$G$7:$AG$7,0)-1,4,1),LEN(ADDRESS(1,COLUMN('Yr1'!$G$6)+MATCH(CV6,'Yr1'!$G$7:$AG$7,0)-1,4,1))-1),"")</f>
        <v>AC</v>
      </c>
      <c r="CW71" s="523" t="str">
        <f>IFERROR(LEFT(ADDRESS(1,COLUMN('Yr1'!$G$6)+MATCH(CW6,'Yr1'!$G$7:$AG$7,0)-1,4,1),LEN(ADDRESS(1,COLUMN('Yr1'!$G$6)+MATCH(CW6,'Yr1'!$G$7:$AG$7,0)-1,4,1))-1),"")</f>
        <v>AD</v>
      </c>
      <c r="CX71" s="523" t="str">
        <f>IFERROR(LEFT(ADDRESS(1,COLUMN('Yr1'!$G$6)+MATCH(CX6,'Yr1'!$G$7:$AG$7,0)-1,4,1),LEN(ADDRESS(1,COLUMN('Yr1'!$G$6)+MATCH(CX6,'Yr1'!$G$7:$AG$7,0)-1,4,1))-1),"")</f>
        <v>AE</v>
      </c>
      <c r="CY71" s="523" t="str">
        <f>IFERROR(LEFT(ADDRESS(1,COLUMN('Yr1'!$G$6)+MATCH(CY6,'Yr1'!$G$7:$AG$7,0)-1,4,1),LEN(ADDRESS(1,COLUMN('Yr1'!$G$6)+MATCH(CY6,'Yr1'!$G$7:$AG$7,0)-1,4,1))-1),"")</f>
        <v>AF</v>
      </c>
      <c r="CZ71" s="523" t="str">
        <f>IFERROR(LEFT(ADDRESS(1,COLUMN('Yr1'!$G$6)+MATCH(CZ6,'Yr1'!$G$7:$AG$7,0)-1,4,1),LEN(ADDRESS(1,COLUMN('Yr1'!$G$6)+MATCH(CZ6,'Yr1'!$G$7:$AG$7,0)-1,4,1))-1),"")</f>
        <v>AG</v>
      </c>
    </row>
    <row r="72" spans="70:119" x14ac:dyDescent="0.25">
      <c r="BR72" s="5"/>
      <c r="BS72" s="5"/>
      <c r="BV72" s="343"/>
      <c r="BX72" s="531" t="str">
        <f>Lookups!$D$24</f>
        <v>Alternative EE</v>
      </c>
      <c r="BY72" s="523"/>
      <c r="BZ72" s="523" t="str">
        <f>IFERROR(LEFT(ADDRESS(1,COLUMN('Yr1'!$AM$6)+MATCH(BZ6,'Yr1'!$G$7:$AG$7,0)-1,4,1),LEN(ADDRESS(1,COLUMN('Yr1'!$AM$6)+MATCH(BZ6,'Yr1'!$G$7:$AG$7,0)-1,4,1))-1),"")</f>
        <v>AM</v>
      </c>
      <c r="CA72" s="523" t="str">
        <f>IFERROR(LEFT(ADDRESS(1,COLUMN('Yr1'!$AM$6)+MATCH(CA6,'Yr1'!$G$7:$AG$7,0)-1,4,1),LEN(ADDRESS(1,COLUMN('Yr1'!$AM$6)+MATCH(CA6,'Yr1'!$G$7:$AG$7,0)-1,4,1))-1),"")</f>
        <v>AN</v>
      </c>
      <c r="CB72" s="523" t="str">
        <f>IFERROR(LEFT(ADDRESS(1,COLUMN('Yr1'!$AM$6)+MATCH(CB6,'Yr1'!$G$7:$AG$7,0)-1,4,1),LEN(ADDRESS(1,COLUMN('Yr1'!$AM$6)+MATCH(CB6,'Yr1'!$G$7:$AG$7,0)-1,4,1))-1),"")</f>
        <v>AO</v>
      </c>
      <c r="CC72" s="523" t="str">
        <f>IFERROR(LEFT(ADDRESS(1,COLUMN('Yr1'!$AM$6)+MATCH(CC6,'Yr1'!$G$7:$AG$7,0)-1,4,1),LEN(ADDRESS(1,COLUMN('Yr1'!$AM$6)+MATCH(CC6,'Yr1'!$G$7:$AG$7,0)-1,4,1))-1),"")</f>
        <v>AP</v>
      </c>
      <c r="CD72" s="523" t="str">
        <f>IFERROR(LEFT(ADDRESS(1,COLUMN('Yr1'!$AM$6)+MATCH(CD6,'Yr1'!$G$7:$AG$7,0)-1,4,1),LEN(ADDRESS(1,COLUMN('Yr1'!$AM$6)+MATCH(CD6,'Yr1'!$G$7:$AG$7,0)-1,4,1))-1),"")</f>
        <v>AQ</v>
      </c>
      <c r="CE72" s="523" t="str">
        <f>IFERROR(LEFT(ADDRESS(1,COLUMN('Yr1'!$AM$6)+MATCH(CE6,'Yr1'!$G$7:$AG$7,0)-1,4,1),LEN(ADDRESS(1,COLUMN('Yr1'!$AM$6)+MATCH(CE6,'Yr1'!$G$7:$AG$7,0)-1,4,1))-1),"")</f>
        <v>AR</v>
      </c>
      <c r="CF72" s="523" t="str">
        <f>IFERROR(LEFT(ADDRESS(1,COLUMN('Yr1'!$AM$6)+MATCH(CF6,'Yr1'!$G$7:$AG$7,0)-1,4,1),LEN(ADDRESS(1,COLUMN('Yr1'!$AM$6)+MATCH(CF6,'Yr1'!$G$7:$AG$7,0)-1,4,1))-1),"")</f>
        <v>AS</v>
      </c>
      <c r="CG72" s="523" t="str">
        <f>IFERROR(LEFT(ADDRESS(1,COLUMN('Yr1'!$AM$6)+MATCH(CG6,'Yr1'!$G$7:$AG$7,0)-1,4,1),LEN(ADDRESS(1,COLUMN('Yr1'!$AM$6)+MATCH(CG6,'Yr1'!$G$7:$AG$7,0)-1,4,1))-1),"")</f>
        <v>AT</v>
      </c>
      <c r="CH72" s="523" t="str">
        <f>IFERROR(LEFT(ADDRESS(1,COLUMN('Yr1'!$AM$6)+MATCH(CH6,'Yr1'!$G$7:$AG$7,0)-1,4,1),LEN(ADDRESS(1,COLUMN('Yr1'!$AM$6)+MATCH(CH6,'Yr1'!$G$7:$AG$7,0)-1,4,1))-1),"")</f>
        <v>AU</v>
      </c>
      <c r="CI72" s="523" t="str">
        <f>IFERROR(LEFT(ADDRESS(1,COLUMN('Yr1'!$AM$6)+MATCH(CI6,'Yr1'!$G$7:$AG$7,0)-1,4,1),LEN(ADDRESS(1,COLUMN('Yr1'!$AM$6)+MATCH(CI6,'Yr1'!$G$7:$AG$7,0)-1,4,1))-1),"")</f>
        <v>AV</v>
      </c>
      <c r="CJ72" s="523" t="str">
        <f>IFERROR(LEFT(ADDRESS(1,COLUMN('Yr1'!$AM$6)+MATCH(CJ6,'Yr1'!$G$7:$AG$7,0)-1,4,1),LEN(ADDRESS(1,COLUMN('Yr1'!$AM$6)+MATCH(CJ6,'Yr1'!$G$7:$AG$7,0)-1,4,1))-1),"")</f>
        <v>AW</v>
      </c>
      <c r="CK72" s="523" t="str">
        <f>IFERROR(LEFT(ADDRESS(1,COLUMN('Yr1'!$AM$6)+MATCH(CK6,'Yr1'!$G$7:$AG$7,0)-1,4,1),LEN(ADDRESS(1,COLUMN('Yr1'!$AM$6)+MATCH(CK6,'Yr1'!$G$7:$AG$7,0)-1,4,1))-1),"")</f>
        <v>AX</v>
      </c>
      <c r="CL72" s="523" t="str">
        <f>IFERROR(LEFT(ADDRESS(1,COLUMN('Yr1'!$AM$6)+MATCH(CL6,'Yr1'!$G$7:$AG$7,0)-1,4,1),LEN(ADDRESS(1,COLUMN('Yr1'!$AM$6)+MATCH(CL6,'Yr1'!$G$7:$AG$7,0)-1,4,1))-1),"")</f>
        <v>AY</v>
      </c>
      <c r="CM72" s="523" t="str">
        <f>IFERROR(LEFT(ADDRESS(1,COLUMN('Yr1'!$AM$6)+MATCH(CM6,'Yr1'!$G$7:$AG$7,0)-1,4,1),LEN(ADDRESS(1,COLUMN('Yr1'!$AM$6)+MATCH(CM6,'Yr1'!$G$7:$AG$7,0)-1,4,1))-1),"")</f>
        <v>AZ</v>
      </c>
      <c r="CN72" s="523" t="str">
        <f>IFERROR(LEFT(ADDRESS(1,COLUMN('Yr1'!$AM$6)+MATCH(CN6,'Yr1'!$G$7:$AG$7,0)-1,4,1),LEN(ADDRESS(1,COLUMN('Yr1'!$AM$6)+MATCH(CN6,'Yr1'!$G$7:$AG$7,0)-1,4,1))-1),"")</f>
        <v>BA</v>
      </c>
      <c r="CO72" s="523" t="str">
        <f>IFERROR(LEFT(ADDRESS(1,COLUMN('Yr1'!$AM$6)+MATCH(CO6,'Yr1'!$G$7:$AG$7,0)-1,4,1),LEN(ADDRESS(1,COLUMN('Yr1'!$AM$6)+MATCH(CO6,'Yr1'!$G$7:$AG$7,0)-1,4,1))-1),"")</f>
        <v>BB</v>
      </c>
      <c r="CP72" s="523" t="str">
        <f>IFERROR(LEFT(ADDRESS(1,COLUMN('Yr1'!$AM$6)+MATCH(CP6,'Yr1'!$G$7:$AG$7,0)-1,4,1),LEN(ADDRESS(1,COLUMN('Yr1'!$AM$6)+MATCH(CP6,'Yr1'!$G$7:$AG$7,0)-1,4,1))-1),"")</f>
        <v>BC</v>
      </c>
      <c r="CQ72" s="523" t="str">
        <f>IFERROR(LEFT(ADDRESS(1,COLUMN('Yr1'!$AM$6)+MATCH(CQ6,'Yr1'!$G$7:$AG$7,0)-1,4,1),LEN(ADDRESS(1,COLUMN('Yr1'!$AM$6)+MATCH(CQ6,'Yr1'!$G$7:$AG$7,0)-1,4,1))-1),"")</f>
        <v>BD</v>
      </c>
      <c r="CR72" s="523" t="str">
        <f>IFERROR(LEFT(ADDRESS(1,COLUMN('Yr1'!$AM$6)+MATCH(CR6,'Yr1'!$G$7:$AG$7,0)-1,4,1),LEN(ADDRESS(1,COLUMN('Yr1'!$AM$6)+MATCH(CR6,'Yr1'!$G$7:$AG$7,0)-1,4,1))-1),"")</f>
        <v>BE</v>
      </c>
      <c r="CS72" s="523" t="str">
        <f>IFERROR(LEFT(ADDRESS(1,COLUMN('Yr1'!$AM$6)+MATCH(CS6,'Yr1'!$G$7:$AG$7,0)-1,4,1),LEN(ADDRESS(1,COLUMN('Yr1'!$AM$6)+MATCH(CS6,'Yr1'!$G$7:$AG$7,0)-1,4,1))-1),"")</f>
        <v>BF</v>
      </c>
      <c r="CT72" s="523" t="str">
        <f>IFERROR(LEFT(ADDRESS(1,COLUMN('Yr1'!$AM$6)+MATCH(CT6,'Yr1'!$G$7:$AG$7,0)-1,4,1),LEN(ADDRESS(1,COLUMN('Yr1'!$AM$6)+MATCH(CT6,'Yr1'!$G$7:$AG$7,0)-1,4,1))-1),"")</f>
        <v>BG</v>
      </c>
      <c r="CU72" s="523" t="str">
        <f>IFERROR(LEFT(ADDRESS(1,COLUMN('Yr1'!$AM$6)+MATCH(CU6,'Yr1'!$G$7:$AG$7,0)-1,4,1),LEN(ADDRESS(1,COLUMN('Yr1'!$AM$6)+MATCH(CU6,'Yr1'!$G$7:$AG$7,0)-1,4,1))-1),"")</f>
        <v>BH</v>
      </c>
      <c r="CV72" s="523" t="str">
        <f>IFERROR(LEFT(ADDRESS(1,COLUMN('Yr1'!$AM$6)+MATCH(CV6,'Yr1'!$G$7:$AG$7,0)-1,4,1),LEN(ADDRESS(1,COLUMN('Yr1'!$AM$6)+MATCH(CV6,'Yr1'!$G$7:$AG$7,0)-1,4,1))-1),"")</f>
        <v>BI</v>
      </c>
      <c r="CW72" s="523" t="str">
        <f>IFERROR(LEFT(ADDRESS(1,COLUMN('Yr1'!$AM$6)+MATCH(CW6,'Yr1'!$G$7:$AG$7,0)-1,4,1),LEN(ADDRESS(1,COLUMN('Yr1'!$AM$6)+MATCH(CW6,'Yr1'!$G$7:$AG$7,0)-1,4,1))-1),"")</f>
        <v>BJ</v>
      </c>
      <c r="CX72" s="523" t="str">
        <f>IFERROR(LEFT(ADDRESS(1,COLUMN('Yr1'!$AM$6)+MATCH(CX6,'Yr1'!$G$7:$AG$7,0)-1,4,1),LEN(ADDRESS(1,COLUMN('Yr1'!$AM$6)+MATCH(CX6,'Yr1'!$G$7:$AG$7,0)-1,4,1))-1),"")</f>
        <v>BK</v>
      </c>
      <c r="CY72" s="523" t="str">
        <f>IFERROR(LEFT(ADDRESS(1,COLUMN('Yr1'!$AM$6)+MATCH(CY6,'Yr1'!$G$7:$AG$7,0)-1,4,1),LEN(ADDRESS(1,COLUMN('Yr1'!$AM$6)+MATCH(CY6,'Yr1'!$G$7:$AG$7,0)-1,4,1))-1),"")</f>
        <v>BL</v>
      </c>
      <c r="CZ72" s="523" t="str">
        <f>IFERROR(LEFT(ADDRESS(1,COLUMN('Yr1'!$AM$6)+MATCH(CZ6,'Yr1'!$G$7:$AG$7,0)-1,4,1),LEN(ADDRESS(1,COLUMN('Yr1'!$AM$6)+MATCH(CZ6,'Yr1'!$G$7:$AG$7,0)-1,4,1))-1),"")</f>
        <v>BM</v>
      </c>
    </row>
    <row r="73" spans="70:119" x14ac:dyDescent="0.25">
      <c r="BX73" s="531" t="s">
        <v>419</v>
      </c>
      <c r="DB73" s="721" t="str">
        <f>LEFT(ADDRESS(1,COLUMN('Yr1'!AJ6),4,1),2)</f>
        <v>AJ</v>
      </c>
    </row>
    <row r="74" spans="70:119" x14ac:dyDescent="0.25">
      <c r="BX74" s="531" t="s">
        <v>420</v>
      </c>
      <c r="DB74" s="721" t="str">
        <f>LEFT(ADDRESS(1,COLUMN('Yr1'!BP6),4,1),2)</f>
        <v>BP</v>
      </c>
    </row>
    <row r="75" spans="70:119" x14ac:dyDescent="0.25">
      <c r="DB75" s="721"/>
    </row>
  </sheetData>
  <mergeCells count="2">
    <mergeCell ref="C4:G4"/>
    <mergeCell ref="C5:G5"/>
  </mergeCells>
  <pageMargins left="0.7" right="0.7" top="0.75" bottom="0.75" header="0.3" footer="0.3"/>
  <pageSetup scale="55"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F0D988F-CCE9-46E0-91F6-571DB0A7809A}">
          <x14:formula1>
            <xm:f>Lookups!$D$37:$D$40</xm:f>
          </x14:formula1>
          <xm:sqref>C5</xm:sqref>
        </x14:dataValidation>
        <x14:dataValidation type="list" allowBlank="1" showInputMessage="1" showErrorMessage="1" xr:uid="{DFA233E6-13C5-4C57-B99C-5041F38F9638}">
          <x14:formula1>
            <xm:f>Lookups!$D$26:$D$29</xm:f>
          </x14:formula1>
          <xm:sqref>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249977111117893"/>
  </sheetPr>
  <dimension ref="A1:EB59"/>
  <sheetViews>
    <sheetView showGridLines="0" topLeftCell="AZ22" zoomScale="85" zoomScaleNormal="85" workbookViewId="0">
      <selection activeCell="DN22" sqref="DN1:DN1048576"/>
    </sheetView>
  </sheetViews>
  <sheetFormatPr defaultRowHeight="15" x14ac:dyDescent="0.25"/>
  <cols>
    <col min="1" max="108" width="2.7109375" customWidth="1"/>
    <col min="109" max="109" width="25.7109375" bestFit="1" customWidth="1"/>
    <col min="110" max="110" width="4.7109375" style="5" customWidth="1"/>
    <col min="111" max="111" width="12" style="5" customWidth="1"/>
    <col min="112" max="114" width="12" customWidth="1"/>
    <col min="115" max="117" width="2.7109375" customWidth="1"/>
    <col min="118" max="118" width="5.5703125" style="533" bestFit="1" customWidth="1"/>
    <col min="119" max="119" width="5" style="512" bestFit="1" customWidth="1"/>
  </cols>
  <sheetData>
    <row r="1" spans="2:120" x14ac:dyDescent="0.25">
      <c r="AA1" s="1"/>
      <c r="BA1" s="1"/>
      <c r="DF1" s="354"/>
      <c r="DG1" s="354"/>
      <c r="DH1" s="115"/>
      <c r="DI1" s="115"/>
      <c r="DJ1" s="115"/>
      <c r="DK1" s="115"/>
    </row>
    <row r="2" spans="2:120" s="115" customFormat="1" ht="26.25" x14ac:dyDescent="0.25">
      <c r="B2" s="2" t="s">
        <v>396</v>
      </c>
      <c r="D2" s="2"/>
      <c r="E2" s="2"/>
      <c r="F2" s="2"/>
      <c r="G2" s="2"/>
      <c r="H2" s="2"/>
      <c r="I2" s="2"/>
      <c r="J2" s="2"/>
      <c r="K2" s="2"/>
      <c r="L2" s="2"/>
      <c r="M2" s="2"/>
      <c r="N2" s="2"/>
      <c r="O2" s="2"/>
      <c r="P2" s="680"/>
      <c r="Q2" s="2"/>
      <c r="R2" s="2"/>
      <c r="S2" s="136"/>
      <c r="T2" s="2"/>
      <c r="U2" s="2"/>
      <c r="V2" s="2"/>
      <c r="W2" s="2"/>
      <c r="X2" s="2"/>
      <c r="Y2" s="2"/>
      <c r="Z2" s="2"/>
      <c r="AA2" s="2"/>
      <c r="AB2" s="2"/>
      <c r="AC2" s="2"/>
      <c r="AD2" s="2"/>
      <c r="AE2" s="2"/>
      <c r="AF2" s="2"/>
      <c r="AG2" s="2"/>
      <c r="AH2" s="2"/>
      <c r="AI2" s="2"/>
      <c r="AJ2" s="1"/>
      <c r="AK2" s="2"/>
      <c r="AL2" s="2"/>
      <c r="AM2" s="2"/>
      <c r="AN2" s="2"/>
      <c r="AO2" s="2"/>
      <c r="AP2" s="2"/>
      <c r="AQ2" s="136"/>
      <c r="AR2" s="2"/>
      <c r="AS2" s="2"/>
      <c r="AT2" s="2"/>
      <c r="AU2" s="2"/>
      <c r="AV2" s="2"/>
      <c r="AW2" s="2"/>
      <c r="AX2" s="2"/>
      <c r="AY2" s="2"/>
      <c r="AZ2" s="2"/>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t="s">
        <v>74</v>
      </c>
      <c r="DE2" s="2"/>
      <c r="DF2" s="683"/>
      <c r="DG2" s="354"/>
      <c r="DN2" s="533"/>
      <c r="DO2" s="523"/>
    </row>
    <row r="3" spans="2:120" ht="21" x14ac:dyDescent="0.25">
      <c r="B3" s="245" t="str">
        <f>Lookups!$E$6</f>
        <v>Liberty</v>
      </c>
      <c r="P3" s="1"/>
      <c r="S3" s="1"/>
      <c r="AK3" s="1"/>
      <c r="BA3" s="1"/>
      <c r="CC3" s="1"/>
      <c r="DC3" s="115"/>
      <c r="DD3" s="100"/>
      <c r="DE3" s="115"/>
      <c r="DF3" s="354"/>
      <c r="DG3" s="354"/>
      <c r="DH3" s="115"/>
      <c r="DI3" s="115"/>
      <c r="DJ3" s="115"/>
      <c r="DK3" s="115"/>
    </row>
    <row r="4" spans="2:120" x14ac:dyDescent="0.25">
      <c r="B4" s="348"/>
      <c r="C4" s="773" t="s">
        <v>20</v>
      </c>
      <c r="D4" s="774"/>
      <c r="E4" s="774"/>
      <c r="F4" s="774"/>
      <c r="G4" s="775"/>
      <c r="H4" t="s">
        <v>27</v>
      </c>
      <c r="P4" s="1"/>
      <c r="AK4" s="1"/>
      <c r="BA4" s="1"/>
      <c r="CC4" s="1"/>
      <c r="DF4" s="354"/>
      <c r="DG4" s="354"/>
      <c r="DH4" s="115"/>
      <c r="DI4" s="115"/>
      <c r="DJ4" s="115"/>
      <c r="DK4" s="115"/>
    </row>
    <row r="5" spans="2:120" x14ac:dyDescent="0.25">
      <c r="M5" s="154"/>
      <c r="P5" s="1"/>
      <c r="DG5" s="644">
        <f>Year1</f>
        <v>2021</v>
      </c>
      <c r="DH5" s="117">
        <f>DG5+1</f>
        <v>2022</v>
      </c>
      <c r="DI5" s="117">
        <f>DH5+1</f>
        <v>2023</v>
      </c>
      <c r="DJ5" s="97" t="str">
        <f>Year1&amp;"-"&amp;Year3</f>
        <v>2021-2023</v>
      </c>
      <c r="DK5" s="97"/>
      <c r="DN5" s="535" t="s">
        <v>253</v>
      </c>
    </row>
    <row r="6" spans="2:120" ht="23.25" x14ac:dyDescent="0.35">
      <c r="C6" s="682" t="str">
        <f>Year1&amp;"-"&amp;Year3&amp;" Long-Term Levelized Change in Bills"</f>
        <v>2021-2023 Long-Term Levelized Change in Bills</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1"/>
      <c r="AK6" s="682" t="s">
        <v>421</v>
      </c>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1"/>
      <c r="BS6" s="682" t="s">
        <v>422</v>
      </c>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c r="CU6" s="682"/>
      <c r="CV6" s="682"/>
      <c r="CW6" s="682"/>
      <c r="CX6" s="682"/>
      <c r="CY6" s="682"/>
      <c r="DC6" s="91" t="str">
        <f>Lookups!$D$23&amp;" v "&amp;Lookups!$D$22</f>
        <v>Proposed EE v No EE</v>
      </c>
      <c r="DD6" s="91"/>
      <c r="DE6" s="90"/>
      <c r="DF6" s="684"/>
      <c r="DG6" s="685"/>
      <c r="DH6" s="209"/>
      <c r="DI6" s="209"/>
      <c r="DJ6" s="209"/>
      <c r="DK6" s="98"/>
      <c r="DL6" s="98"/>
      <c r="DN6" s="515">
        <f>'Output Summary'!T33</f>
        <v>79</v>
      </c>
    </row>
    <row r="7" spans="2:120" ht="18.75" x14ac:dyDescent="0.3">
      <c r="C7" s="91" t="str">
        <f>Lookups!$D$23&amp;" v "&amp;Lookups!$D$22</f>
        <v>Proposed EE v No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K7" s="91" t="str">
        <f>C7</f>
        <v>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S7" s="91" t="str">
        <f>Lookups!$D$23</f>
        <v>Proposed EE</v>
      </c>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DD7" s="178" t="s">
        <v>51</v>
      </c>
      <c r="DE7" s="49"/>
      <c r="DF7" s="48"/>
      <c r="DG7" s="686"/>
      <c r="DH7" s="103"/>
      <c r="DI7" s="103"/>
      <c r="DJ7" s="103"/>
      <c r="DK7" s="49"/>
      <c r="DN7" s="536"/>
    </row>
    <row r="8" spans="2:120" x14ac:dyDescent="0.25">
      <c r="DD8" s="49"/>
      <c r="DE8" s="49" t="s">
        <v>80</v>
      </c>
      <c r="DF8" s="48" t="s">
        <v>32</v>
      </c>
      <c r="DG8" s="687" cm="1">
        <f t="array" aca="1" ref="DG8" ca="1">IFERROR(INDIRECT(DG$54&amp;DG$55&amp;$DN8),0)</f>
        <v>934.48311971694216</v>
      </c>
      <c r="DH8" s="643" cm="1">
        <f t="array" aca="1" ref="DH8" ca="1">IFERROR(INDIRECT(DH$54&amp;DH$55&amp;$DN8),0)</f>
        <v>934.56111321850904</v>
      </c>
      <c r="DI8" s="643" cm="1">
        <f t="array" aca="1" ref="DI8" ca="1">IFERROR(INDIRECT(DI$54&amp;DI$55&amp;$DN8),0)</f>
        <v>934.65069772094739</v>
      </c>
      <c r="DJ8" s="643" cm="1">
        <f t="array" aca="1" ref="DJ8" ca="1">IFERROR(INDIRECT(DJ$54&amp;DJ$55&amp;$DN8),0)</f>
        <v>940.46302104832387</v>
      </c>
      <c r="DK8" s="134"/>
      <c r="DN8" s="515">
        <f>ROW('Yr1'!AK72)+($DN$6*IF($C$4=Lookups!$D$26,0,IF($C$4=Lookups!$D$27,1,IF($C$4=Lookups!$D$28,2,IF($C$4=Lookups!$D$29,3)))))</f>
        <v>72</v>
      </c>
      <c r="DP8" s="1"/>
    </row>
    <row r="9" spans="2:120" x14ac:dyDescent="0.25">
      <c r="DD9" s="49"/>
      <c r="DE9" s="49" t="s">
        <v>78</v>
      </c>
      <c r="DF9" s="48" t="s">
        <v>32</v>
      </c>
      <c r="DG9" s="687" cm="1">
        <f t="array" aca="1" ref="DG9" ca="1">IFERROR(INDIRECT(DG$54&amp;DG$55&amp;$DN9),0)</f>
        <v>930.6663814363186</v>
      </c>
      <c r="DH9" s="643" cm="1">
        <f t="array" aca="1" ref="DH9" ca="1">IFERROR(INDIRECT(DH$54&amp;DH$55&amp;$DN9),0)</f>
        <v>930.69235333555309</v>
      </c>
      <c r="DI9" s="643" cm="1">
        <f t="array" aca="1" ref="DI9" ca="1">IFERROR(INDIRECT(DI$54&amp;DI$55&amp;$DN9),0)</f>
        <v>930.70849081402184</v>
      </c>
      <c r="DJ9" s="643" cm="1">
        <f t="array" aca="1" ref="DJ9" ca="1">IFERROR(INDIRECT(DJ$54&amp;DJ$55&amp;$DN9),0)</f>
        <v>929.61011221956255</v>
      </c>
      <c r="DK9" s="134"/>
      <c r="DN9" s="534">
        <f>DN8+1</f>
        <v>73</v>
      </c>
    </row>
    <row r="10" spans="2:120" x14ac:dyDescent="0.25">
      <c r="DD10" s="49"/>
      <c r="DE10" s="49" t="str">
        <f>'EE Inputs'!$N$15&amp;" Partcipant"</f>
        <v>Low Savings Partcipant</v>
      </c>
      <c r="DF10" s="48" t="s">
        <v>32</v>
      </c>
      <c r="DG10" s="687" cm="1">
        <f t="array" aca="1" ref="DG10" ca="1">IFERROR(INDIRECT(DG$54&amp;DG$55&amp;$DN10),0)</f>
        <v>929.63035351420876</v>
      </c>
      <c r="DH10" s="643" cm="1">
        <f t="array" aca="1" ref="DH10" ca="1">IFERROR(INDIRECT(DH$54&amp;DH$55&amp;$DN10),0)</f>
        <v>929.70756708075976</v>
      </c>
      <c r="DI10" s="643" cm="1">
        <f t="array" aca="1" ref="DI10" ca="1">IFERROR(INDIRECT(DI$54&amp;DI$55&amp;$DN10),0)</f>
        <v>929.79625573817384</v>
      </c>
      <c r="DJ10" s="643" cm="1">
        <f t="array" aca="1" ref="DJ10" ca="1">IFERROR(INDIRECT(DJ$54&amp;DJ$55&amp;$DN10),0)</f>
        <v>935.85035522977739</v>
      </c>
      <c r="DK10" s="134"/>
      <c r="DN10" s="534">
        <f t="shared" ref="DN10:DN11" si="0">DN9+1</f>
        <v>74</v>
      </c>
    </row>
    <row r="11" spans="2:120" x14ac:dyDescent="0.25">
      <c r="DD11" s="49"/>
      <c r="DE11" s="49" t="str">
        <f>'EE Inputs'!$N$16&amp;" Partcipant"</f>
        <v>High Savings Partcipant</v>
      </c>
      <c r="DF11" s="48" t="s">
        <v>32</v>
      </c>
      <c r="DG11" s="687" cm="1">
        <f t="array" aca="1" ref="DG11" ca="1">IFERROR(INDIRECT(DG$54&amp;DG$55&amp;$DN11),0)</f>
        <v>900.51375629780773</v>
      </c>
      <c r="DH11" s="643" cm="1">
        <f t="array" aca="1" ref="DH11" ca="1">IFERROR(INDIRECT(DH$54&amp;DH$55&amp;$DN11),0)</f>
        <v>900.58629025426512</v>
      </c>
      <c r="DI11" s="643" cm="1">
        <f t="array" aca="1" ref="DI11" ca="1">IFERROR(INDIRECT(DI$54&amp;DI$55&amp;$DN11),0)</f>
        <v>900.66960384153276</v>
      </c>
      <c r="DJ11" s="643" cm="1">
        <f t="array" aca="1" ref="DJ11" ca="1">IFERROR(INDIRECT(DJ$54&amp;DJ$55&amp;$DN11),0)</f>
        <v>908.17436031849854</v>
      </c>
      <c r="DK11" s="134"/>
      <c r="DN11" s="534">
        <f t="shared" si="0"/>
        <v>75</v>
      </c>
    </row>
    <row r="12" spans="2:120" x14ac:dyDescent="0.25">
      <c r="DC12" s="18"/>
      <c r="DD12" s="178" t="s">
        <v>101</v>
      </c>
      <c r="DE12" s="49"/>
      <c r="DF12" s="48"/>
      <c r="DG12" s="688"/>
      <c r="DH12" s="642"/>
      <c r="DI12" s="642"/>
      <c r="DJ12" s="642"/>
      <c r="DK12" s="134"/>
      <c r="DN12" s="534"/>
    </row>
    <row r="13" spans="2:120" x14ac:dyDescent="0.25">
      <c r="DB13" s="18"/>
      <c r="DD13" s="49"/>
      <c r="DE13" s="49" t="s">
        <v>80</v>
      </c>
      <c r="DF13" s="48" t="s">
        <v>32</v>
      </c>
      <c r="DG13" s="688" cm="1">
        <f t="array" aca="1" ref="DG13" ca="1">IFERROR(INDIRECT(DG$54&amp;DG$55&amp;$DN13),0)</f>
        <v>3.2177315135524562</v>
      </c>
      <c r="DH13" s="642" cm="1">
        <f t="array" aca="1" ref="DH13" ca="1">IFERROR(INDIRECT(DH$54&amp;DH$55&amp;$DN13),0)</f>
        <v>3.2957250151192783</v>
      </c>
      <c r="DI13" s="642" cm="1">
        <f t="array" aca="1" ref="DI13" ca="1">IFERROR(INDIRECT(DI$54&amp;DI$55&amp;$DN13),0)</f>
        <v>3.3853095175577788</v>
      </c>
      <c r="DJ13" s="642" cm="1">
        <f t="array" aca="1" ref="DJ13" ca="1">IFERROR(INDIRECT(DJ$54&amp;DJ$55&amp;$DN13),0)</f>
        <v>9.1976328449342155</v>
      </c>
      <c r="DK13" s="134"/>
      <c r="DN13" s="534">
        <f>DN11+2</f>
        <v>77</v>
      </c>
    </row>
    <row r="14" spans="2:120" x14ac:dyDescent="0.25">
      <c r="DD14" s="49"/>
      <c r="DE14" s="49" t="s">
        <v>78</v>
      </c>
      <c r="DF14" s="48" t="s">
        <v>32</v>
      </c>
      <c r="DG14" s="688" cm="1">
        <f t="array" aca="1" ref="DG14" ca="1">IFERROR(INDIRECT(DG$54&amp;DG$55&amp;$DN14),0)</f>
        <v>-0.59900676707088951</v>
      </c>
      <c r="DH14" s="642" cm="1">
        <f t="array" aca="1" ref="DH14" ca="1">IFERROR(INDIRECT(DH$54&amp;DH$55&amp;$DN14),0)</f>
        <v>-0.57303486783655599</v>
      </c>
      <c r="DI14" s="642" cm="1">
        <f t="array" aca="1" ref="DI14" ca="1">IFERROR(INDIRECT(DI$54&amp;DI$55&amp;$DN14),0)</f>
        <v>-0.55689738936786526</v>
      </c>
      <c r="DJ14" s="642" cm="1">
        <f t="array" aca="1" ref="DJ14" ca="1">IFERROR(INDIRECT(DJ$54&amp;DJ$55&amp;$DN14),0)</f>
        <v>-1.6552759838273285</v>
      </c>
      <c r="DK14" s="134"/>
      <c r="DN14" s="534">
        <f>DN13+2</f>
        <v>79</v>
      </c>
    </row>
    <row r="15" spans="2:120" x14ac:dyDescent="0.25">
      <c r="DD15" s="49"/>
      <c r="DE15" s="49" t="str">
        <f>'EE Inputs'!$N$15&amp;" Partcipant"</f>
        <v>Low Savings Partcipant</v>
      </c>
      <c r="DF15" s="48" t="s">
        <v>32</v>
      </c>
      <c r="DG15" s="688" cm="1">
        <f t="array" aca="1" ref="DG15" ca="1">IFERROR(INDIRECT(DG$54&amp;DG$55&amp;$DN15),0)</f>
        <v>-1.6350346891809564</v>
      </c>
      <c r="DH15" s="642" cm="1">
        <f t="array" aca="1" ref="DH15" ca="1">IFERROR(INDIRECT(DH$54&amp;DH$55&amp;$DN15),0)</f>
        <v>-1.5578211226298151</v>
      </c>
      <c r="DI15" s="642" cm="1">
        <f t="array" aca="1" ref="DI15" ca="1">IFERROR(INDIRECT(DI$54&amp;DI$55&amp;$DN15),0)</f>
        <v>-1.4691324652157141</v>
      </c>
      <c r="DJ15" s="642" cm="1">
        <f t="array" aca="1" ref="DJ15" ca="1">IFERROR(INDIRECT(DJ$54&amp;DJ$55&amp;$DN15),0)</f>
        <v>4.584967026387738</v>
      </c>
      <c r="DK15" s="134"/>
      <c r="DN15" s="534">
        <f t="shared" ref="DN15:DN21" si="1">DN14+2</f>
        <v>81</v>
      </c>
    </row>
    <row r="16" spans="2:120" x14ac:dyDescent="0.25">
      <c r="DD16" s="49"/>
      <c r="DE16" s="49" t="str">
        <f>'EE Inputs'!$N$16&amp;" Partcipant"</f>
        <v>High Savings Partcipant</v>
      </c>
      <c r="DF16" s="48" t="s">
        <v>32</v>
      </c>
      <c r="DG16" s="688" cm="1">
        <f t="array" aca="1" ref="DG16" ca="1">IFERROR(INDIRECT(DG$54&amp;DG$55&amp;$DN16),0)</f>
        <v>-30.751631905581792</v>
      </c>
      <c r="DH16" s="642" cm="1">
        <f t="array" aca="1" ref="DH16" ca="1">IFERROR(INDIRECT(DH$54&amp;DH$55&amp;$DN16),0)</f>
        <v>-30.679097949124653</v>
      </c>
      <c r="DI16" s="642" cm="1">
        <f t="array" aca="1" ref="DI16" ca="1">IFERROR(INDIRECT(DI$54&amp;DI$55&amp;$DN16),0)</f>
        <v>-30.595784361856808</v>
      </c>
      <c r="DJ16" s="642" cm="1">
        <f t="array" aca="1" ref="DJ16" ca="1">IFERROR(INDIRECT(DJ$54&amp;DJ$55&amp;$DN16),0)</f>
        <v>-23.091027884891044</v>
      </c>
      <c r="DK16" s="134"/>
      <c r="DN16" s="534">
        <f t="shared" si="1"/>
        <v>83</v>
      </c>
    </row>
    <row r="17" spans="2:132" s="512" customForma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s="178" t="s">
        <v>102</v>
      </c>
      <c r="DE17" s="49"/>
      <c r="DF17" s="48"/>
      <c r="DG17" s="689"/>
      <c r="DH17" s="134"/>
      <c r="DI17" s="134"/>
      <c r="DJ17" s="134"/>
      <c r="DK17" s="134"/>
      <c r="DL17"/>
      <c r="DM17"/>
      <c r="DN17" s="534"/>
      <c r="DP17"/>
      <c r="DQ17"/>
      <c r="DR17"/>
      <c r="DS17"/>
      <c r="DT17"/>
      <c r="DU17"/>
      <c r="DV17"/>
      <c r="DW17"/>
      <c r="DX17"/>
      <c r="DY17"/>
      <c r="DZ17"/>
      <c r="EA17"/>
      <c r="EB17"/>
    </row>
    <row r="18" spans="2:132" s="512" customFormat="1" x14ac:dyDescent="0.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s="49"/>
      <c r="DE18" s="49" t="s">
        <v>80</v>
      </c>
      <c r="DF18" s="48" t="s">
        <v>16</v>
      </c>
      <c r="DG18" s="690" cm="1">
        <f t="array" aca="1" ref="DG18" ca="1">IFERROR(INDIRECT(DG$54&amp;DG$55&amp;$DN18),0)</f>
        <v>3.4552250672177376E-3</v>
      </c>
      <c r="DH18" s="164" cm="1">
        <f t="array" aca="1" ref="DH18" ca="1">IFERROR(INDIRECT(DH$54&amp;DH$55&amp;$DN18),0)</f>
        <v>3.5389750943903842E-3</v>
      </c>
      <c r="DI18" s="164" cm="1">
        <f t="array" aca="1" ref="DI18" ca="1">IFERROR(INDIRECT(DI$54&amp;DI$55&amp;$DN18),0)</f>
        <v>3.635171628239009E-3</v>
      </c>
      <c r="DJ18" s="164" cm="1">
        <f t="array" aca="1" ref="DJ18" ca="1">IFERROR(INDIRECT(DJ$54&amp;DJ$55&amp;$DN18),0)</f>
        <v>9.8764895178575784E-3</v>
      </c>
      <c r="DK18" s="157"/>
      <c r="DL18"/>
      <c r="DM18"/>
      <c r="DN18" s="534">
        <f>DN13+1</f>
        <v>78</v>
      </c>
      <c r="DP18"/>
      <c r="DQ18"/>
      <c r="DR18"/>
      <c r="DS18"/>
      <c r="DT18"/>
      <c r="DU18"/>
      <c r="DV18"/>
      <c r="DW18"/>
      <c r="DX18"/>
      <c r="DY18"/>
      <c r="DZ18"/>
      <c r="EA18"/>
      <c r="EB18"/>
    </row>
    <row r="19" spans="2:132" s="512" customFormat="1" x14ac:dyDescent="0.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49"/>
      <c r="DE19" s="49" t="s">
        <v>78</v>
      </c>
      <c r="DF19" s="48" t="s">
        <v>16</v>
      </c>
      <c r="DG19" s="690" cm="1">
        <f t="array" aca="1" ref="DG19" ca="1">IFERROR(INDIRECT(DG$54&amp;DG$55&amp;$DN19),0)</f>
        <v>-6.4321811446954591E-4</v>
      </c>
      <c r="DH19" s="164" cm="1">
        <f t="array" aca="1" ref="DH19" ca="1">IFERROR(INDIRECT(DH$54&amp;DH$55&amp;$DN19),0)</f>
        <v>-6.1532928754282068E-4</v>
      </c>
      <c r="DI19" s="164" cm="1">
        <f t="array" aca="1" ref="DI19" ca="1">IFERROR(INDIRECT(DI$54&amp;DI$55&amp;$DN19),0)</f>
        <v>-5.9800073794435971E-4</v>
      </c>
      <c r="DJ19" s="164" cm="1">
        <f t="array" aca="1" ref="DJ19" ca="1">IFERROR(INDIRECT(DJ$54&amp;DJ$55&amp;$DN19),0)</f>
        <v>-1.7774481955357135E-3</v>
      </c>
      <c r="DK19" s="157"/>
      <c r="DL19"/>
      <c r="DM19"/>
      <c r="DN19" s="534">
        <f t="shared" si="1"/>
        <v>80</v>
      </c>
      <c r="DP19"/>
      <c r="DQ19"/>
      <c r="DR19"/>
      <c r="DS19"/>
      <c r="DT19"/>
      <c r="DU19"/>
      <c r="DV19"/>
      <c r="DW19"/>
      <c r="DX19"/>
      <c r="DY19"/>
      <c r="DZ19"/>
      <c r="EA19"/>
      <c r="EB19"/>
    </row>
    <row r="20" spans="2:132" s="512" customFormat="1" x14ac:dyDescent="0.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49"/>
      <c r="DE20" s="49" t="str">
        <f>'EE Inputs'!$N$15&amp;" Partcipant"</f>
        <v>Low Savings Partcipant</v>
      </c>
      <c r="DF20" s="48" t="s">
        <v>16</v>
      </c>
      <c r="DG20" s="690" cm="1">
        <f t="array" aca="1" ref="DG20" ca="1">IFERROR(INDIRECT(DG$54&amp;DG$55&amp;$DN20),0)</f>
        <v>-1.7557129362824053E-3</v>
      </c>
      <c r="DH20" s="164" cm="1">
        <f t="array" aca="1" ref="DH20" ca="1">IFERROR(INDIRECT(DH$54&amp;DH$55&amp;$DN20),0)</f>
        <v>-1.6728004093818916E-3</v>
      </c>
      <c r="DI20" s="164" cm="1">
        <f t="array" aca="1" ref="DI20" ca="1">IFERROR(INDIRECT(DI$54&amp;DI$55&amp;$DN20),0)</f>
        <v>-1.5775658408715421E-3</v>
      </c>
      <c r="DJ20" s="164" cm="1">
        <f t="array" aca="1" ref="DJ20" ca="1">IFERROR(INDIRECT(DJ$54&amp;DJ$55&amp;$DN20),0)</f>
        <v>4.9233731699545036E-3</v>
      </c>
      <c r="DK20" s="157"/>
      <c r="DL20"/>
      <c r="DM20"/>
      <c r="DN20" s="534">
        <f t="shared" si="1"/>
        <v>82</v>
      </c>
      <c r="DP20"/>
      <c r="DQ20"/>
      <c r="DR20"/>
      <c r="DS20"/>
      <c r="DT20"/>
      <c r="DU20"/>
      <c r="DV20"/>
      <c r="DW20"/>
      <c r="DX20"/>
      <c r="DY20"/>
      <c r="DZ20"/>
      <c r="EA20"/>
      <c r="EB20"/>
    </row>
    <row r="21" spans="2:132" s="512" customFormat="1" x14ac:dyDescent="0.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s="49"/>
      <c r="DE21" s="49" t="str">
        <f>'EE Inputs'!$N$16&amp;" Partcipant"</f>
        <v>High Savings Partcipant</v>
      </c>
      <c r="DF21" s="48" t="s">
        <v>16</v>
      </c>
      <c r="DG21" s="690" cm="1">
        <f t="array" aca="1" ref="DG21" ca="1">IFERROR(INDIRECT(DG$54&amp;DG$55&amp;$DN21),0)</f>
        <v>-3.3021340957284262E-2</v>
      </c>
      <c r="DH21" s="164" cm="1">
        <f t="array" aca="1" ref="DH21" ca="1">IFERROR(INDIRECT(DH$54&amp;DH$55&amp;$DN21),0)</f>
        <v>-3.2943453432013547E-2</v>
      </c>
      <c r="DI21" s="164" cm="1">
        <f t="array" aca="1" ref="DI21" ca="1">IFERROR(INDIRECT(DI$54&amp;DI$55&amp;$DN21),0)</f>
        <v>-3.2853990655534404E-2</v>
      </c>
      <c r="DJ21" s="164" cm="1">
        <f t="array" aca="1" ref="DJ21" ca="1">IFERROR(INDIRECT(DJ$54&amp;DJ$55&amp;$DN21),0)</f>
        <v>-2.4795324917463724E-2</v>
      </c>
      <c r="DK21" s="157"/>
      <c r="DL21"/>
      <c r="DM21"/>
      <c r="DN21" s="534">
        <f t="shared" si="1"/>
        <v>84</v>
      </c>
      <c r="DP21"/>
      <c r="DQ21"/>
      <c r="DR21"/>
      <c r="DS21"/>
      <c r="DT21"/>
      <c r="DU21"/>
      <c r="DV21"/>
      <c r="DW21"/>
      <c r="DX21"/>
      <c r="DY21"/>
      <c r="DZ21"/>
      <c r="EA21"/>
      <c r="EB21"/>
    </row>
    <row r="22" spans="2:132" s="512" customFormat="1" x14ac:dyDescent="0.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s="49"/>
      <c r="DE22" s="49"/>
      <c r="DF22" s="48"/>
      <c r="DG22" s="48"/>
      <c r="DH22" s="49"/>
      <c r="DI22" s="49"/>
      <c r="DJ22" s="49"/>
      <c r="DK22" s="49"/>
      <c r="DL22"/>
      <c r="DM22"/>
      <c r="DN22" s="534"/>
      <c r="DP22"/>
      <c r="DQ22"/>
      <c r="DR22"/>
      <c r="DS22"/>
      <c r="DT22"/>
      <c r="DU22"/>
      <c r="DV22"/>
      <c r="DW22"/>
      <c r="DX22"/>
      <c r="DY22"/>
      <c r="DZ22"/>
      <c r="EA22"/>
      <c r="EB22"/>
    </row>
    <row r="23" spans="2:132" s="512" customFormat="1" ht="18.75" x14ac:dyDescent="0.3">
      <c r="B23"/>
      <c r="C23" s="92" t="str">
        <f>Lookups!$D$24&amp;" v "&amp;Lookups!$D$22</f>
        <v>Alternative EE v No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c r="AK23" s="92" t="str">
        <f>C23</f>
        <v>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c r="BS23" s="92" t="str">
        <f>Lookups!$D$24</f>
        <v>Alternative EE</v>
      </c>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c r="DA23"/>
      <c r="DB23"/>
      <c r="DC23" s="92" t="str">
        <f>Lookups!$D$24&amp;" v "&amp;Lookups!$D$22</f>
        <v>Alternative EE v No EE</v>
      </c>
      <c r="DD23" s="92"/>
      <c r="DE23" s="93"/>
      <c r="DF23" s="691"/>
      <c r="DG23" s="691"/>
      <c r="DH23" s="99"/>
      <c r="DI23" s="99"/>
      <c r="DJ23" s="99"/>
      <c r="DK23" s="99"/>
      <c r="DL23" s="99"/>
      <c r="DM23"/>
      <c r="DN23" s="534"/>
      <c r="DP23"/>
      <c r="DQ23"/>
      <c r="DR23"/>
      <c r="DS23"/>
      <c r="DT23"/>
      <c r="DU23"/>
      <c r="DV23"/>
      <c r="DW23"/>
      <c r="DX23"/>
      <c r="DY23"/>
      <c r="DZ23"/>
      <c r="EA23"/>
      <c r="EB23"/>
    </row>
    <row r="24" spans="2:132" s="512" customFormat="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s="177" t="s">
        <v>51</v>
      </c>
      <c r="DE24" s="74"/>
      <c r="DF24" s="73"/>
      <c r="DG24" s="73"/>
      <c r="DH24" s="74"/>
      <c r="DI24" s="74"/>
      <c r="DJ24" s="74"/>
      <c r="DK24" s="74"/>
      <c r="DL24"/>
      <c r="DM24"/>
      <c r="DN24" s="534"/>
      <c r="DP24"/>
      <c r="DQ24"/>
      <c r="DR24"/>
      <c r="DS24"/>
      <c r="DT24"/>
      <c r="DU24"/>
      <c r="DV24"/>
      <c r="DW24"/>
      <c r="DX24"/>
      <c r="DY24"/>
      <c r="DZ24"/>
      <c r="EA24"/>
      <c r="EB24"/>
    </row>
    <row r="25" spans="2:132" s="512" customFormat="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s="74"/>
      <c r="DE25" s="74" t="s">
        <v>80</v>
      </c>
      <c r="DF25" s="73" t="s">
        <v>32</v>
      </c>
      <c r="DG25" s="692" cm="1">
        <f t="array" aca="1" ref="DG25" ca="1">IFERROR(INDIRECT(DG$54&amp;DG$56&amp;$DN25),0)</f>
        <v>935.05841472563975</v>
      </c>
      <c r="DH25" s="646" cm="1">
        <f t="array" aca="1" ref="DH25" ca="1">IFERROR(INDIRECT(DH$54&amp;DH$56&amp;$DN25),0)</f>
        <v>935.15106393488509</v>
      </c>
      <c r="DI25" s="646" cm="1">
        <f t="array" aca="1" ref="DI25" ca="1">IFERROR(INDIRECT(DI$54&amp;DI$56&amp;$DN25),0)</f>
        <v>935.25726478295405</v>
      </c>
      <c r="DJ25" s="646" cm="1">
        <f t="array" aca="1" ref="DJ25" ca="1">IFERROR(INDIRECT(DJ$54&amp;DJ$56&amp;$DN25),0)</f>
        <v>942.11479781434991</v>
      </c>
      <c r="DK25" s="135"/>
      <c r="DL25"/>
      <c r="DM25"/>
      <c r="DN25" s="534">
        <f t="shared" ref="DN25:DN38" si="2">DN8</f>
        <v>72</v>
      </c>
      <c r="DP25"/>
      <c r="DQ25"/>
      <c r="DR25"/>
      <c r="DS25"/>
      <c r="DT25"/>
      <c r="DU25"/>
      <c r="DV25"/>
      <c r="DW25"/>
      <c r="DX25"/>
      <c r="DY25"/>
      <c r="DZ25"/>
      <c r="EA25"/>
      <c r="EB25"/>
    </row>
    <row r="26" spans="2:132" s="512" customFormat="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s="74"/>
      <c r="DE26" s="74" t="s">
        <v>78</v>
      </c>
      <c r="DF26" s="73" t="s">
        <v>32</v>
      </c>
      <c r="DG26" s="692" cm="1">
        <f t="array" aca="1" ref="DG26" ca="1">IFERROR(INDIRECT(DG$54&amp;DG$56&amp;$DN26),0)</f>
        <v>930.69125698790822</v>
      </c>
      <c r="DH26" s="646" cm="1">
        <f t="array" aca="1" ref="DH26" ca="1">IFERROR(INDIRECT(DH$54&amp;DH$56&amp;$DN26),0)</f>
        <v>930.72424978860317</v>
      </c>
      <c r="DI26" s="646" cm="1">
        <f t="array" aca="1" ref="DI26" ca="1">IFERROR(INDIRECT(DI$54&amp;DI$56&amp;$DN26),0)</f>
        <v>930.74625594718941</v>
      </c>
      <c r="DJ26" s="646" cm="1">
        <f t="array" aca="1" ref="DJ26" ca="1">IFERROR(INDIRECT(DJ$54&amp;DJ$56&amp;$DN26),0)</f>
        <v>929.67750422532572</v>
      </c>
      <c r="DK26" s="135"/>
      <c r="DL26"/>
      <c r="DM26"/>
      <c r="DN26" s="534">
        <f t="shared" si="2"/>
        <v>73</v>
      </c>
      <c r="DP26"/>
      <c r="DQ26"/>
      <c r="DR26"/>
      <c r="DS26"/>
      <c r="DT26"/>
      <c r="DU26"/>
      <c r="DV26"/>
      <c r="DW26"/>
      <c r="DX26"/>
      <c r="DY26"/>
      <c r="DZ26"/>
      <c r="EA26"/>
      <c r="EB26"/>
    </row>
    <row r="27" spans="2:132" s="512" customFormat="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s="74"/>
      <c r="DE27" s="74" t="str">
        <f>'EE Inputs'!$N$15&amp;" Partcipant"</f>
        <v>Low Savings Partcipant</v>
      </c>
      <c r="DF27" s="73" t="s">
        <v>32</v>
      </c>
      <c r="DG27" s="692" cm="1">
        <f t="array" aca="1" ref="DG27" ca="1">IFERROR(INDIRECT(DG$54&amp;DG$56&amp;$DN27),0)</f>
        <v>929.22819174225538</v>
      </c>
      <c r="DH27" s="646" cm="1">
        <f t="array" aca="1" ref="DH27" ca="1">IFERROR(INDIRECT(DH$54&amp;DH$56&amp;$DN27),0)</f>
        <v>929.31972916098971</v>
      </c>
      <c r="DI27" s="646" cm="1">
        <f t="array" aca="1" ref="DI27" ca="1">IFERROR(INDIRECT(DI$54&amp;DI$56&amp;$DN27),0)</f>
        <v>929.42465559888183</v>
      </c>
      <c r="DJ27" s="646" cm="1">
        <f t="array" aca="1" ref="DJ27" ca="1">IFERROR(INDIRECT(DJ$54&amp;DJ$56&amp;$DN27),0)</f>
        <v>936.5601406079162</v>
      </c>
      <c r="DK27" s="135"/>
      <c r="DL27"/>
      <c r="DM27"/>
      <c r="DN27" s="534">
        <f t="shared" si="2"/>
        <v>74</v>
      </c>
      <c r="DP27"/>
      <c r="DQ27"/>
      <c r="DR27"/>
      <c r="DS27"/>
      <c r="DT27"/>
      <c r="DU27"/>
      <c r="DV27"/>
      <c r="DW27"/>
      <c r="DX27"/>
      <c r="DY27"/>
      <c r="DZ27"/>
      <c r="EA27"/>
      <c r="EB27"/>
    </row>
    <row r="28" spans="2:132" s="512" customFormat="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s="74"/>
      <c r="DE28" s="74" t="str">
        <f>'EE Inputs'!$N$16&amp;" Partcipant"</f>
        <v>High Savings Partcipant</v>
      </c>
      <c r="DF28" s="73" t="s">
        <v>32</v>
      </c>
      <c r="DG28" s="692" cm="1">
        <f t="array" aca="1" ref="DG28" ca="1">IFERROR(INDIRECT(DG$54&amp;DG$56&amp;$DN28),0)</f>
        <v>894.24685384194834</v>
      </c>
      <c r="DH28" s="646" cm="1">
        <f t="array" aca="1" ref="DH28" ca="1">IFERROR(INDIRECT(DH$54&amp;DH$56&amp;$DN28),0)</f>
        <v>894.33172051761665</v>
      </c>
      <c r="DI28" s="646" cm="1">
        <f t="array" aca="1" ref="DI28" ca="1">IFERROR(INDIRECT(DI$54&amp;DI$56&amp;$DN28),0)</f>
        <v>894.42900049444802</v>
      </c>
      <c r="DJ28" s="646" cm="1">
        <f t="array" aca="1" ref="DJ28" ca="1">IFERROR(INDIRECT(DJ$54&amp;DJ$56&amp;$DN28),0)</f>
        <v>903.2321973693131</v>
      </c>
      <c r="DK28" s="135"/>
      <c r="DL28"/>
      <c r="DM28"/>
      <c r="DN28" s="534">
        <f t="shared" si="2"/>
        <v>75</v>
      </c>
      <c r="DP28"/>
      <c r="DQ28"/>
      <c r="DR28"/>
      <c r="DS28"/>
      <c r="DT28"/>
      <c r="DU28"/>
      <c r="DV28"/>
      <c r="DW28"/>
      <c r="DX28"/>
      <c r="DY28"/>
      <c r="DZ28"/>
      <c r="EA28"/>
      <c r="EB28"/>
    </row>
    <row r="29" spans="2:132" s="512" customFormat="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s="177" t="s">
        <v>101</v>
      </c>
      <c r="DE29" s="74"/>
      <c r="DF29" s="73"/>
      <c r="DG29" s="692"/>
      <c r="DH29" s="646"/>
      <c r="DI29" s="646"/>
      <c r="DJ29" s="646"/>
      <c r="DK29" s="135"/>
      <c r="DL29"/>
      <c r="DM29"/>
      <c r="DN29" s="534">
        <f t="shared" si="2"/>
        <v>0</v>
      </c>
      <c r="DP29"/>
      <c r="DQ29"/>
      <c r="DR29"/>
      <c r="DS29"/>
      <c r="DT29"/>
      <c r="DU29"/>
      <c r="DV29"/>
      <c r="DW29"/>
      <c r="DX29"/>
      <c r="DY29"/>
      <c r="DZ29"/>
      <c r="EA29"/>
      <c r="EB29"/>
    </row>
    <row r="30" spans="2:132" s="512" customForma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s="74"/>
      <c r="DE30" s="74" t="s">
        <v>80</v>
      </c>
      <c r="DF30" s="73" t="s">
        <v>32</v>
      </c>
      <c r="DG30" s="693" cm="1">
        <f t="array" aca="1" ref="DG30" ca="1">IFERROR(INDIRECT(DG$54&amp;DG$56&amp;$DN30),0)</f>
        <v>3.7930265222503547</v>
      </c>
      <c r="DH30" s="647" cm="1">
        <f t="array" aca="1" ref="DH30" ca="1">IFERROR(INDIRECT(DH$54&amp;DH$56&amp;$DN30),0)</f>
        <v>3.8856757314954655</v>
      </c>
      <c r="DI30" s="647" cm="1">
        <f t="array" aca="1" ref="DI30" ca="1">IFERROR(INDIRECT(DI$54&amp;DI$56&amp;$DN30),0)</f>
        <v>3.9918765795643409</v>
      </c>
      <c r="DJ30" s="647" cm="1">
        <f t="array" aca="1" ref="DJ30" ca="1">IFERROR(INDIRECT(DJ$54&amp;DJ$56&amp;$DN30),0)</f>
        <v>10.849409610960254</v>
      </c>
      <c r="DK30" s="135"/>
      <c r="DL30"/>
      <c r="DM30"/>
      <c r="DN30" s="534">
        <f t="shared" si="2"/>
        <v>77</v>
      </c>
      <c r="DP30"/>
      <c r="DQ30"/>
      <c r="DR30"/>
      <c r="DS30"/>
      <c r="DT30"/>
      <c r="DU30"/>
      <c r="DV30"/>
      <c r="DW30"/>
      <c r="DX30"/>
      <c r="DY30"/>
      <c r="DZ30"/>
      <c r="EA30"/>
      <c r="EB30"/>
    </row>
    <row r="31" spans="2:132" s="512" customFormat="1"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s="74"/>
      <c r="DE31" s="74" t="s">
        <v>78</v>
      </c>
      <c r="DF31" s="73" t="s">
        <v>32</v>
      </c>
      <c r="DG31" s="693" cm="1">
        <f t="array" aca="1" ref="DG31" ca="1">IFERROR(INDIRECT(DG$54&amp;DG$56&amp;$DN31),0)</f>
        <v>-0.57413121548127233</v>
      </c>
      <c r="DH31" s="647" cm="1">
        <f t="array" aca="1" ref="DH31" ca="1">IFERROR(INDIRECT(DH$54&amp;DH$56&amp;$DN31),0)</f>
        <v>-0.54113841478668512</v>
      </c>
      <c r="DI31" s="647" cm="1">
        <f t="array" aca="1" ref="DI31" ca="1">IFERROR(INDIRECT(DI$54&amp;DI$56&amp;$DN31),0)</f>
        <v>-0.51913225620023595</v>
      </c>
      <c r="DJ31" s="647" cm="1">
        <f t="array" aca="1" ref="DJ31" ca="1">IFERROR(INDIRECT(DJ$54&amp;DJ$56&amp;$DN31),0)</f>
        <v>-1.5878839780638696</v>
      </c>
      <c r="DK31" s="135"/>
      <c r="DL31"/>
      <c r="DM31"/>
      <c r="DN31" s="534">
        <f t="shared" si="2"/>
        <v>79</v>
      </c>
      <c r="DP31"/>
      <c r="DQ31"/>
      <c r="DR31"/>
      <c r="DS31"/>
      <c r="DT31"/>
      <c r="DU31"/>
      <c r="DV31"/>
      <c r="DW31"/>
      <c r="DX31"/>
      <c r="DY31"/>
      <c r="DZ31"/>
      <c r="EA31"/>
      <c r="EB31"/>
    </row>
    <row r="32" spans="2:132" s="512" customForma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s="74"/>
      <c r="DE32" s="74" t="str">
        <f>'EE Inputs'!$N$15&amp;" Partcipant"</f>
        <v>Low Savings Partcipant</v>
      </c>
      <c r="DF32" s="73" t="s">
        <v>32</v>
      </c>
      <c r="DG32" s="693" cm="1">
        <f t="array" aca="1" ref="DG32" ca="1">IFERROR(INDIRECT(DG$54&amp;DG$56&amp;$DN32),0)</f>
        <v>-2.0371964611341169</v>
      </c>
      <c r="DH32" s="647" cm="1">
        <f t="array" aca="1" ref="DH32" ca="1">IFERROR(INDIRECT(DH$54&amp;DH$56&amp;$DN32),0)</f>
        <v>-1.9456590423999129</v>
      </c>
      <c r="DI32" s="647" cm="1">
        <f t="array" aca="1" ref="DI32" ca="1">IFERROR(INDIRECT(DI$54&amp;DI$56&amp;$DN32),0)</f>
        <v>-1.8407326045078745</v>
      </c>
      <c r="DJ32" s="647" cm="1">
        <f t="array" aca="1" ref="DJ32" ca="1">IFERROR(INDIRECT(DJ$54&amp;DJ$56&amp;$DN32),0)</f>
        <v>5.2947524045264833</v>
      </c>
      <c r="DK32" s="135"/>
      <c r="DL32"/>
      <c r="DM32"/>
      <c r="DN32" s="534">
        <f t="shared" si="2"/>
        <v>81</v>
      </c>
      <c r="DP32"/>
      <c r="DQ32"/>
      <c r="DR32"/>
      <c r="DS32"/>
      <c r="DT32"/>
      <c r="DU32"/>
      <c r="DV32"/>
      <c r="DW32"/>
      <c r="DX32"/>
      <c r="DY32"/>
      <c r="DZ32"/>
      <c r="EA32"/>
      <c r="EB32"/>
    </row>
    <row r="33" spans="2:132" s="512" customForma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s="74"/>
      <c r="DE33" s="74" t="str">
        <f>'EE Inputs'!$N$16&amp;" Partcipant"</f>
        <v>High Savings Partcipant</v>
      </c>
      <c r="DF33" s="73" t="s">
        <v>32</v>
      </c>
      <c r="DG33" s="693" cm="1">
        <f t="array" aca="1" ref="DG33" ca="1">IFERROR(INDIRECT(DG$54&amp;DG$56&amp;$DN33),0)</f>
        <v>-37.018534361441304</v>
      </c>
      <c r="DH33" s="647" cm="1">
        <f t="array" aca="1" ref="DH33" ca="1">IFERROR(INDIRECT(DH$54&amp;DH$56&amp;$DN33),0)</f>
        <v>-36.933667685772797</v>
      </c>
      <c r="DI33" s="647" cm="1">
        <f t="array" aca="1" ref="DI33" ca="1">IFERROR(INDIRECT(DI$54&amp;DI$56&amp;$DN33),0)</f>
        <v>-36.836387708941707</v>
      </c>
      <c r="DJ33" s="647" cm="1">
        <f t="array" aca="1" ref="DJ33" ca="1">IFERROR(INDIRECT(DJ$54&amp;DJ$56&amp;$DN33),0)</f>
        <v>-28.033190834076382</v>
      </c>
      <c r="DK33" s="135"/>
      <c r="DL33"/>
      <c r="DM33"/>
      <c r="DN33" s="534">
        <f t="shared" si="2"/>
        <v>83</v>
      </c>
      <c r="DP33"/>
      <c r="DQ33"/>
      <c r="DR33"/>
      <c r="DS33"/>
      <c r="DT33"/>
      <c r="DU33"/>
      <c r="DV33"/>
      <c r="DW33"/>
      <c r="DX33"/>
      <c r="DY33"/>
      <c r="DZ33"/>
      <c r="EA33"/>
      <c r="EB33"/>
    </row>
    <row r="34" spans="2:132" s="512" customForma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s="177" t="s">
        <v>102</v>
      </c>
      <c r="DE34" s="74"/>
      <c r="DF34" s="73"/>
      <c r="DG34" s="694"/>
      <c r="DH34" s="135"/>
      <c r="DI34" s="135"/>
      <c r="DJ34" s="135"/>
      <c r="DK34" s="135"/>
      <c r="DL34"/>
      <c r="DM34"/>
      <c r="DN34" s="534">
        <f t="shared" si="2"/>
        <v>0</v>
      </c>
      <c r="DP34"/>
      <c r="DQ34"/>
      <c r="DR34"/>
      <c r="DS34"/>
      <c r="DT34"/>
      <c r="DU34"/>
      <c r="DV34"/>
      <c r="DW34"/>
      <c r="DX34"/>
      <c r="DY34"/>
      <c r="DZ34"/>
      <c r="EA34"/>
      <c r="EB34"/>
    </row>
    <row r="35" spans="2:132" s="512" customFormat="1"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s="74"/>
      <c r="DE35" s="74" t="s">
        <v>80</v>
      </c>
      <c r="DF35" s="73" t="s">
        <v>16</v>
      </c>
      <c r="DG35" s="695" cm="1">
        <f t="array" aca="1" ref="DG35" ca="1">IFERROR(INDIRECT(DG$54&amp;DG$56&amp;$DN35),0)</f>
        <v>4.0729813115547575E-3</v>
      </c>
      <c r="DH35" s="163" cm="1">
        <f t="array" aca="1" ref="DH35" ca="1">IFERROR(INDIRECT(DH$54&amp;DH$56&amp;$DN35),0)</f>
        <v>4.1724687513533532E-3</v>
      </c>
      <c r="DI35" s="163" cm="1">
        <f t="array" aca="1" ref="DI35" ca="1">IFERROR(INDIRECT(DI$54&amp;DI$56&amp;$DN35),0)</f>
        <v>4.2865080460745553E-3</v>
      </c>
      <c r="DJ35" s="163" cm="1">
        <f t="array" aca="1" ref="DJ35" ca="1">IFERROR(INDIRECT(DJ$54&amp;DJ$56&amp;$DN35),0)</f>
        <v>1.1650180226166373E-2</v>
      </c>
      <c r="DK35" s="135"/>
      <c r="DL35"/>
      <c r="DM35"/>
      <c r="DN35" s="534">
        <f t="shared" si="2"/>
        <v>78</v>
      </c>
      <c r="DP35"/>
      <c r="DQ35"/>
      <c r="DR35"/>
      <c r="DS35"/>
      <c r="DT35"/>
      <c r="DU35"/>
      <c r="DV35"/>
      <c r="DW35"/>
      <c r="DX35"/>
      <c r="DY35"/>
      <c r="DZ35"/>
      <c r="EA35"/>
      <c r="EB35"/>
    </row>
    <row r="36" spans="2:132" s="512" customFormat="1"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s="74"/>
      <c r="DE36" s="74" t="s">
        <v>78</v>
      </c>
      <c r="DF36" s="73" t="s">
        <v>16</v>
      </c>
      <c r="DG36" s="695" cm="1">
        <f t="array" aca="1" ref="DG36" ca="1">IFERROR(INDIRECT(DG$54&amp;DG$56&amp;$DN36),0)</f>
        <v>-6.1650655415090849E-4</v>
      </c>
      <c r="DH36" s="163" cm="1">
        <f t="array" aca="1" ref="DH36" ca="1">IFERROR(INDIRECT(DH$54&amp;DH$56&amp;$DN36),0)</f>
        <v>-5.8107862875733662E-4</v>
      </c>
      <c r="DI36" s="163" cm="1">
        <f t="array" aca="1" ref="DI36" ca="1">IFERROR(INDIRECT(DI$54&amp;DI$56&amp;$DN36),0)</f>
        <v>-5.5744824491077427E-4</v>
      </c>
      <c r="DJ36" s="163" cm="1">
        <f t="array" aca="1" ref="DJ36" ca="1">IFERROR(INDIRECT(DJ$54&amp;DJ$56&amp;$DN36),0)</f>
        <v>-1.7050821368194136E-3</v>
      </c>
      <c r="DK36" s="135"/>
      <c r="DL36"/>
      <c r="DM36"/>
      <c r="DN36" s="534">
        <f t="shared" si="2"/>
        <v>80</v>
      </c>
      <c r="DP36"/>
      <c r="DQ36"/>
      <c r="DR36"/>
      <c r="DS36"/>
      <c r="DT36"/>
      <c r="DU36"/>
      <c r="DV36"/>
      <c r="DW36"/>
      <c r="DX36"/>
      <c r="DY36"/>
      <c r="DZ36"/>
      <c r="EA36"/>
      <c r="EB36"/>
    </row>
    <row r="37" spans="2:132" s="512" customForma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s="74"/>
      <c r="DE37" s="74" t="str">
        <f>'EE Inputs'!$N$15&amp;" Partcipant"</f>
        <v>Low Savings Partcipant</v>
      </c>
      <c r="DF37" s="73" t="s">
        <v>16</v>
      </c>
      <c r="DG37" s="695" cm="1">
        <f t="array" aca="1" ref="DG37" ca="1">IFERROR(INDIRECT(DG$54&amp;DG$56&amp;$DN37),0)</f>
        <v>-2.1875573675773641E-3</v>
      </c>
      <c r="DH37" s="163" cm="1">
        <f t="array" aca="1" ref="DH37" ca="1">IFERROR(INDIRECT(DH$54&amp;DH$56&amp;$DN37),0)</f>
        <v>-2.0892637770565381E-3</v>
      </c>
      <c r="DI37" s="163" cm="1">
        <f t="array" aca="1" ref="DI37" ca="1">IFERROR(INDIRECT(DI$54&amp;DI$56&amp;$DN37),0)</f>
        <v>-1.9765929538719806E-3</v>
      </c>
      <c r="DJ37" s="163" cm="1">
        <f t="array" aca="1" ref="DJ37" ca="1">IFERROR(INDIRECT(DJ$54&amp;DJ$56&amp;$DN37),0)</f>
        <v>5.6855462165745774E-3</v>
      </c>
      <c r="DK37" s="135"/>
      <c r="DL37"/>
      <c r="DM37"/>
      <c r="DN37" s="534">
        <f t="shared" si="2"/>
        <v>82</v>
      </c>
      <c r="DP37"/>
      <c r="DQ37"/>
      <c r="DR37"/>
      <c r="DS37"/>
      <c r="DT37"/>
      <c r="DU37"/>
      <c r="DV37"/>
      <c r="DW37"/>
      <c r="DX37"/>
      <c r="DY37"/>
      <c r="DZ37"/>
      <c r="EA37"/>
      <c r="EB37"/>
    </row>
    <row r="38" spans="2:132" s="512" customForma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s="74"/>
      <c r="DE38" s="74" t="str">
        <f>'EE Inputs'!$N$16&amp;" Partcipant"</f>
        <v>High Savings Partcipant</v>
      </c>
      <c r="DF38" s="73" t="s">
        <v>16</v>
      </c>
      <c r="DG38" s="695" cm="1">
        <f t="array" aca="1" ref="DG38" ca="1">IFERROR(INDIRECT(DG$54&amp;DG$56&amp;$DN38),0)</f>
        <v>-3.9750789442371426E-2</v>
      </c>
      <c r="DH38" s="163" cm="1">
        <f t="array" aca="1" ref="DH38" ca="1">IFERROR(INDIRECT(DH$54&amp;DH$56&amp;$DN38),0)</f>
        <v>-3.9659658947516441E-2</v>
      </c>
      <c r="DI38" s="163" cm="1">
        <f t="array" aca="1" ref="DI38" ca="1">IFERROR(INDIRECT(DI$54&amp;DI$56&amp;$DN38),0)</f>
        <v>-3.9555198953551529E-2</v>
      </c>
      <c r="DJ38" s="163" cm="1">
        <f t="array" aca="1" ref="DJ38" ca="1">IFERROR(INDIRECT(DJ$54&amp;DJ$56&amp;$DN38),0)</f>
        <v>-3.0102257840977531E-2</v>
      </c>
      <c r="DK38" s="135"/>
      <c r="DL38"/>
      <c r="DM38"/>
      <c r="DN38" s="534">
        <f t="shared" si="2"/>
        <v>84</v>
      </c>
      <c r="DP38"/>
      <c r="DQ38"/>
      <c r="DR38"/>
      <c r="DS38"/>
      <c r="DT38"/>
      <c r="DU38"/>
      <c r="DV38"/>
      <c r="DW38"/>
      <c r="DX38"/>
      <c r="DY38"/>
      <c r="DZ38"/>
      <c r="EA38"/>
      <c r="EB38"/>
    </row>
    <row r="39" spans="2:132" s="512" customFormat="1" ht="18.75" x14ac:dyDescent="0.3">
      <c r="B39"/>
      <c r="C39" s="101" t="str">
        <f>Lookups!$D$23&amp;" v "&amp;Lookups!$D$24</f>
        <v>Proposed EE v Alternative EE</v>
      </c>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c r="AK39" s="101" t="str">
        <f>C39</f>
        <v>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c r="BS39" s="411" t="s">
        <v>28</v>
      </c>
      <c r="BT39" s="196"/>
      <c r="BU39" s="196"/>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c r="DA39"/>
      <c r="DB39"/>
      <c r="DC39"/>
      <c r="DD39" s="74"/>
      <c r="DE39" s="74"/>
      <c r="DF39" s="73"/>
      <c r="DG39" s="73"/>
      <c r="DH39" s="74"/>
      <c r="DI39" s="74"/>
      <c r="DJ39" s="74"/>
      <c r="DK39" s="74"/>
      <c r="DL39"/>
      <c r="DM39"/>
      <c r="DN39" s="533"/>
      <c r="DP39"/>
      <c r="DQ39"/>
      <c r="DR39"/>
      <c r="DS39"/>
      <c r="DT39"/>
      <c r="DU39"/>
      <c r="DV39"/>
      <c r="DW39"/>
      <c r="DX39"/>
      <c r="DY39"/>
      <c r="DZ39"/>
      <c r="EA39"/>
      <c r="EB39"/>
    </row>
    <row r="40" spans="2:132" s="512" customFormat="1" ht="18.75"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s="412" t="s">
        <v>252</v>
      </c>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s="166" t="str">
        <f>Lookups!$D$23&amp;" v "&amp;Lookups!$D$24</f>
        <v>Proposed EE v Alternative EE</v>
      </c>
      <c r="DD40" s="166"/>
      <c r="DE40" s="167"/>
      <c r="DF40" s="696"/>
      <c r="DG40" s="697"/>
      <c r="DH40" s="168"/>
      <c r="DI40" s="168"/>
      <c r="DJ40" s="168"/>
      <c r="DK40" s="168"/>
      <c r="DL40" s="168"/>
      <c r="DM40"/>
      <c r="DN40" s="533"/>
      <c r="DP40"/>
      <c r="DQ40"/>
      <c r="DR40"/>
      <c r="DS40"/>
      <c r="DT40"/>
      <c r="DU40"/>
      <c r="DV40"/>
      <c r="DW40"/>
      <c r="DX40"/>
      <c r="DY40"/>
      <c r="DZ40"/>
      <c r="EA40"/>
      <c r="EB40"/>
    </row>
    <row r="41" spans="2:132" s="512" customForma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s="729" t="s">
        <v>164</v>
      </c>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c r="DA41"/>
      <c r="DB41"/>
      <c r="DC41"/>
      <c r="DD41" s="169" t="s">
        <v>101</v>
      </c>
      <c r="DE41" s="170"/>
      <c r="DF41" s="698"/>
      <c r="DG41" s="699"/>
      <c r="DH41" s="171"/>
      <c r="DI41" s="171"/>
      <c r="DJ41" s="171"/>
      <c r="DK41" s="171"/>
      <c r="DL41"/>
      <c r="DM41"/>
      <c r="DN41" s="533"/>
      <c r="DP41"/>
      <c r="DQ41"/>
      <c r="DR41"/>
      <c r="DS41"/>
      <c r="DT41"/>
      <c r="DU41"/>
      <c r="DV41"/>
      <c r="DW41"/>
      <c r="DX41"/>
      <c r="DY41"/>
      <c r="DZ41"/>
      <c r="EA41"/>
      <c r="EB41"/>
    </row>
    <row r="42" spans="2:132" s="512" customForma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c r="DA42"/>
      <c r="DB42"/>
      <c r="DC42"/>
      <c r="DD42" s="169"/>
      <c r="DE42" s="170" t="s">
        <v>80</v>
      </c>
      <c r="DF42" s="698" t="s">
        <v>32</v>
      </c>
      <c r="DG42" s="700">
        <f t="shared" ref="DG42:DJ45" ca="1" si="3">DG25-DG8</f>
        <v>0.57529500869759431</v>
      </c>
      <c r="DH42" s="648">
        <f t="shared" ca="1" si="3"/>
        <v>0.58995071637605179</v>
      </c>
      <c r="DI42" s="648">
        <f t="shared" ca="1" si="3"/>
        <v>0.60656706200666122</v>
      </c>
      <c r="DJ42" s="648">
        <f t="shared" ca="1" si="3"/>
        <v>1.6517767660260461</v>
      </c>
      <c r="DK42" s="179"/>
      <c r="DL42"/>
      <c r="DM42"/>
      <c r="DN42" s="533"/>
      <c r="DP42"/>
      <c r="DQ42"/>
      <c r="DR42"/>
      <c r="DS42"/>
      <c r="DT42"/>
      <c r="DU42"/>
      <c r="DV42"/>
      <c r="DW42"/>
      <c r="DX42"/>
      <c r="DY42"/>
      <c r="DZ42"/>
      <c r="EA42"/>
      <c r="EB42"/>
    </row>
    <row r="43" spans="2:132" s="512" customFormat="1"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s="727" t="s">
        <v>258</v>
      </c>
      <c r="BT43" s="727"/>
      <c r="BU43" s="727"/>
      <c r="BV43" s="727"/>
      <c r="BW43" s="727"/>
      <c r="BX43" s="727"/>
      <c r="BY43" s="727"/>
      <c r="BZ43" s="727"/>
      <c r="CA43" s="727"/>
      <c r="CB43" s="727"/>
      <c r="CC43" s="727"/>
      <c r="CD43" s="727"/>
      <c r="CE43" s="727"/>
      <c r="CF43" s="727"/>
      <c r="CG43" s="727"/>
      <c r="CH43" s="727"/>
      <c r="CI43" s="727"/>
      <c r="CJ43" s="727"/>
      <c r="CK43" s="727"/>
      <c r="CL43" s="727"/>
      <c r="CM43" s="727"/>
      <c r="CN43" s="727"/>
      <c r="CO43" s="727"/>
      <c r="CP43" s="727"/>
      <c r="CQ43" s="727"/>
      <c r="CR43" s="727"/>
      <c r="CS43" s="727"/>
      <c r="CT43" s="727"/>
      <c r="CU43" s="727"/>
      <c r="CV43" s="727"/>
      <c r="CW43" s="727"/>
      <c r="CX43" s="727"/>
      <c r="CY43" s="727"/>
      <c r="CZ43"/>
      <c r="DA43"/>
      <c r="DB43"/>
      <c r="DC43"/>
      <c r="DD43" s="169"/>
      <c r="DE43" s="170" t="s">
        <v>78</v>
      </c>
      <c r="DF43" s="698" t="s">
        <v>32</v>
      </c>
      <c r="DG43" s="700">
        <f t="shared" ca="1" si="3"/>
        <v>2.4875551589616407E-2</v>
      </c>
      <c r="DH43" s="648">
        <f t="shared" ca="1" si="3"/>
        <v>3.1896453050080709E-2</v>
      </c>
      <c r="DI43" s="648">
        <f t="shared" ca="1" si="3"/>
        <v>3.776513316756791E-2</v>
      </c>
      <c r="DJ43" s="648">
        <f t="shared" ca="1" si="3"/>
        <v>6.7392005763167617E-2</v>
      </c>
      <c r="DK43" s="179"/>
      <c r="DL43"/>
      <c r="DM43"/>
      <c r="DN43" s="533"/>
      <c r="DP43"/>
      <c r="DQ43"/>
      <c r="DR43"/>
      <c r="DS43"/>
      <c r="DT43"/>
      <c r="DU43"/>
      <c r="DV43"/>
      <c r="DW43"/>
      <c r="DX43"/>
      <c r="DY43"/>
      <c r="DZ43"/>
      <c r="EA43"/>
      <c r="EB43"/>
    </row>
    <row r="44" spans="2:132" s="512" customForma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s="727"/>
      <c r="BT44" s="727"/>
      <c r="BU44" s="727"/>
      <c r="BV44" s="727"/>
      <c r="BW44" s="727"/>
      <c r="BX44" s="727"/>
      <c r="BY44" s="727"/>
      <c r="BZ44" s="727"/>
      <c r="CA44" s="727"/>
      <c r="CB44" s="727"/>
      <c r="CC44" s="727"/>
      <c r="CD44" s="727"/>
      <c r="CE44" s="727"/>
      <c r="CF44" s="727"/>
      <c r="CG44" s="727"/>
      <c r="CH44" s="727"/>
      <c r="CI44" s="727"/>
      <c r="CJ44" s="727"/>
      <c r="CK44" s="727"/>
      <c r="CL44" s="727"/>
      <c r="CM44" s="727"/>
      <c r="CN44" s="727"/>
      <c r="CO44" s="727"/>
      <c r="CP44" s="727"/>
      <c r="CQ44" s="727"/>
      <c r="CR44" s="727"/>
      <c r="CS44" s="727"/>
      <c r="CT44" s="727"/>
      <c r="CU44" s="727"/>
      <c r="CV44" s="727"/>
      <c r="CW44" s="727"/>
      <c r="CX44" s="727"/>
      <c r="CY44" s="727"/>
      <c r="CZ44"/>
      <c r="DA44"/>
      <c r="DB44"/>
      <c r="DC44"/>
      <c r="DD44" s="169"/>
      <c r="DE44" s="170" t="str">
        <f>'EE Inputs'!$N$15&amp;" Partcipant"</f>
        <v>Low Savings Partcipant</v>
      </c>
      <c r="DF44" s="698" t="s">
        <v>32</v>
      </c>
      <c r="DG44" s="700">
        <f t="shared" ca="1" si="3"/>
        <v>-0.40216177195338787</v>
      </c>
      <c r="DH44" s="648">
        <f t="shared" ca="1" si="3"/>
        <v>-0.38783791977004967</v>
      </c>
      <c r="DI44" s="648">
        <f t="shared" ca="1" si="3"/>
        <v>-0.37160013929201341</v>
      </c>
      <c r="DJ44" s="648">
        <f t="shared" ca="1" si="3"/>
        <v>0.70978537813880394</v>
      </c>
      <c r="DK44" s="179"/>
      <c r="DL44"/>
      <c r="DM44"/>
      <c r="DN44" s="533"/>
      <c r="DP44"/>
      <c r="DQ44"/>
      <c r="DR44"/>
      <c r="DS44"/>
      <c r="DT44"/>
      <c r="DU44"/>
      <c r="DV44"/>
      <c r="DW44"/>
      <c r="DX44"/>
      <c r="DY44"/>
      <c r="DZ44"/>
      <c r="EA44"/>
      <c r="EB44"/>
    </row>
    <row r="45" spans="2:132" s="512" customForma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c r="CT45" s="727"/>
      <c r="CU45" s="727"/>
      <c r="CV45" s="727"/>
      <c r="CW45" s="727"/>
      <c r="CX45" s="727"/>
      <c r="CY45" s="727"/>
      <c r="CZ45"/>
      <c r="DA45"/>
      <c r="DB45"/>
      <c r="DC45"/>
      <c r="DD45" s="169"/>
      <c r="DE45" s="170" t="str">
        <f>'EE Inputs'!$N$16&amp;" Partcipant"</f>
        <v>High Savings Partcipant</v>
      </c>
      <c r="DF45" s="698" t="s">
        <v>32</v>
      </c>
      <c r="DG45" s="700">
        <f t="shared" ca="1" si="3"/>
        <v>-6.2669024558593946</v>
      </c>
      <c r="DH45" s="648">
        <f t="shared" ca="1" si="3"/>
        <v>-6.2545697366484774</v>
      </c>
      <c r="DI45" s="648">
        <f t="shared" ca="1" si="3"/>
        <v>-6.2406033470847433</v>
      </c>
      <c r="DJ45" s="648">
        <f t="shared" ca="1" si="3"/>
        <v>-4.9421629491854446</v>
      </c>
      <c r="DK45" s="179"/>
      <c r="DL45"/>
      <c r="DM45"/>
      <c r="DN45" s="533"/>
      <c r="DP45"/>
      <c r="DQ45"/>
      <c r="DR45"/>
      <c r="DS45"/>
      <c r="DT45"/>
      <c r="DU45"/>
      <c r="DV45"/>
      <c r="DW45"/>
      <c r="DX45"/>
      <c r="DY45"/>
      <c r="DZ45"/>
      <c r="EA45"/>
      <c r="EB45"/>
    </row>
    <row r="46" spans="2:132" s="512" customForma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s="727" t="str">
        <f>"For the "&amp;Year1&amp;"-"&amp;Year3&amp;" bill impacts, the "&amp;'EE Inputs'!$N$15&amp;" and "&amp;'EE Inputs'!$N$16&amp;" participants install measures in the first year of the plan only (i.e., "&amp;Year1&amp;")."</f>
        <v>For the 2021-2023 bill impacts, the Low Savings and High Savings participants install measures in the first year of the plan only (i.e., 2021).</v>
      </c>
      <c r="BT46" s="727"/>
      <c r="BU46" s="727"/>
      <c r="BV46" s="727"/>
      <c r="BW46" s="727"/>
      <c r="BX46" s="727"/>
      <c r="BY46" s="727"/>
      <c r="BZ46" s="727"/>
      <c r="CA46" s="727"/>
      <c r="CB46" s="727"/>
      <c r="CC46" s="727"/>
      <c r="CD46" s="727"/>
      <c r="CE46" s="727"/>
      <c r="CF46" s="727"/>
      <c r="CG46" s="727"/>
      <c r="CH46" s="727"/>
      <c r="CI46" s="727"/>
      <c r="CJ46" s="727"/>
      <c r="CK46" s="727"/>
      <c r="CL46" s="727"/>
      <c r="CM46" s="727"/>
      <c r="CN46" s="727"/>
      <c r="CO46" s="727"/>
      <c r="CP46" s="727"/>
      <c r="CQ46" s="727"/>
      <c r="CR46" s="727"/>
      <c r="CS46" s="727"/>
      <c r="CT46" s="727"/>
      <c r="CU46" s="727"/>
      <c r="CV46" s="727"/>
      <c r="CW46" s="727"/>
      <c r="CX46" s="727"/>
      <c r="CY46" s="727"/>
      <c r="CZ46"/>
      <c r="DA46"/>
      <c r="DB46"/>
      <c r="DC46"/>
      <c r="DD46" s="169" t="s">
        <v>102</v>
      </c>
      <c r="DE46" s="170"/>
      <c r="DF46" s="698"/>
      <c r="DG46" s="699"/>
      <c r="DH46" s="171"/>
      <c r="DI46" s="171"/>
      <c r="DJ46" s="171"/>
      <c r="DK46" s="171"/>
      <c r="DL46"/>
      <c r="DM46"/>
      <c r="DN46" s="533"/>
      <c r="DP46"/>
      <c r="DQ46"/>
      <c r="DR46"/>
      <c r="DS46"/>
      <c r="DT46"/>
      <c r="DU46"/>
      <c r="DV46"/>
      <c r="DW46"/>
      <c r="DX46"/>
      <c r="DY46"/>
      <c r="DZ46"/>
      <c r="EA46"/>
      <c r="EB46"/>
    </row>
    <row r="47" spans="2:132" s="512" customForma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c r="DA47"/>
      <c r="DB47"/>
      <c r="DC47"/>
      <c r="DD47" s="169"/>
      <c r="DE47" s="170" t="s">
        <v>80</v>
      </c>
      <c r="DF47" s="698" t="s">
        <v>16</v>
      </c>
      <c r="DG47" s="701">
        <f t="shared" ref="DG47:DJ50" ca="1" si="4">IFERROR(DG25/DG8-1,0)</f>
        <v>6.156291072136888E-4</v>
      </c>
      <c r="DH47" s="175">
        <f t="shared" ca="1" si="4"/>
        <v>6.312596448019292E-4</v>
      </c>
      <c r="DI47" s="175">
        <f t="shared" ca="1" si="4"/>
        <v>6.4897727406143524E-4</v>
      </c>
      <c r="DJ47" s="175">
        <f t="shared" ca="1" si="4"/>
        <v>1.7563441932941792E-3</v>
      </c>
      <c r="DK47" s="179"/>
      <c r="DL47"/>
      <c r="DM47"/>
      <c r="DN47" s="533"/>
      <c r="DP47"/>
      <c r="DQ47"/>
      <c r="DR47"/>
      <c r="DS47"/>
      <c r="DT47"/>
      <c r="DU47"/>
      <c r="DV47"/>
      <c r="DW47"/>
      <c r="DX47"/>
      <c r="DY47"/>
      <c r="DZ47"/>
      <c r="EA47"/>
      <c r="EB47"/>
    </row>
    <row r="48" spans="2:132" s="512" customForma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s="169"/>
      <c r="DE48" s="170" t="s">
        <v>78</v>
      </c>
      <c r="DF48" s="698" t="s">
        <v>16</v>
      </c>
      <c r="DG48" s="701">
        <f t="shared" ca="1" si="4"/>
        <v>2.6728752736460137E-5</v>
      </c>
      <c r="DH48" s="175">
        <f t="shared" ca="1" si="4"/>
        <v>3.4271747195280255E-5</v>
      </c>
      <c r="DI48" s="175">
        <f t="shared" ca="1" si="4"/>
        <v>4.0576757964760901E-5</v>
      </c>
      <c r="DJ48" s="175">
        <f t="shared" ca="1" si="4"/>
        <v>7.2494914671539235E-5</v>
      </c>
      <c r="DK48" s="179"/>
      <c r="DL48"/>
      <c r="DM48"/>
      <c r="DN48" s="533"/>
      <c r="DP48"/>
      <c r="DQ48"/>
      <c r="DR48"/>
      <c r="DS48"/>
      <c r="DT48"/>
      <c r="DU48"/>
      <c r="DV48"/>
      <c r="DW48"/>
      <c r="DX48"/>
      <c r="DY48"/>
      <c r="DZ48"/>
      <c r="EA48"/>
      <c r="EB48"/>
    </row>
    <row r="49" spans="1:132" s="512" customForma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s="169"/>
      <c r="DE49" s="170" t="str">
        <f>'EE Inputs'!$N$15&amp;" Partcipant"</f>
        <v>Low Savings Partcipant</v>
      </c>
      <c r="DF49" s="698" t="s">
        <v>16</v>
      </c>
      <c r="DG49" s="701">
        <f t="shared" ca="1" si="4"/>
        <v>-4.3260395966326914E-4</v>
      </c>
      <c r="DH49" s="175">
        <f t="shared" ca="1" si="4"/>
        <v>-4.1716119509260796E-4</v>
      </c>
      <c r="DI49" s="175">
        <f t="shared" ca="1" si="4"/>
        <v>-3.99657599176928E-4</v>
      </c>
      <c r="DJ49" s="175">
        <f t="shared" ca="1" si="4"/>
        <v>7.5843896855132265E-4</v>
      </c>
      <c r="DK49" s="179"/>
      <c r="DL49"/>
      <c r="DM49"/>
      <c r="DN49" s="533"/>
      <c r="DP49"/>
      <c r="DQ49"/>
      <c r="DR49"/>
      <c r="DS49"/>
      <c r="DT49"/>
      <c r="DU49"/>
      <c r="DV49"/>
      <c r="DW49"/>
      <c r="DX49"/>
      <c r="DY49"/>
      <c r="DZ49"/>
      <c r="EA49"/>
      <c r="EB49"/>
    </row>
    <row r="50" spans="1:132" s="512" customForma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s="169"/>
      <c r="DE50" s="170" t="str">
        <f>'EE Inputs'!$N$16&amp;" Partcipant"</f>
        <v>High Savings Partcipant</v>
      </c>
      <c r="DF50" s="698" t="s">
        <v>16</v>
      </c>
      <c r="DG50" s="701">
        <f t="shared" ca="1" si="4"/>
        <v>-6.9592523290525898E-3</v>
      </c>
      <c r="DH50" s="175">
        <f t="shared" ca="1" si="4"/>
        <v>-6.9449977246296424E-3</v>
      </c>
      <c r="DI50" s="175">
        <f t="shared" ca="1" si="4"/>
        <v>-6.9288486260303817E-3</v>
      </c>
      <c r="DJ50" s="175">
        <f t="shared" ca="1" si="4"/>
        <v>-5.4418657530170833E-3</v>
      </c>
      <c r="DK50" s="179"/>
      <c r="DL50"/>
      <c r="DM50"/>
      <c r="DN50" s="533"/>
      <c r="DP50"/>
      <c r="DQ50"/>
      <c r="DR50"/>
      <c r="DS50"/>
      <c r="DT50"/>
      <c r="DU50"/>
      <c r="DV50"/>
      <c r="DW50"/>
      <c r="DX50"/>
      <c r="DY50"/>
      <c r="DZ50"/>
      <c r="EA50"/>
      <c r="EB50"/>
    </row>
    <row r="51" spans="1:132" s="512" customForma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s="169"/>
      <c r="DE51" s="170"/>
      <c r="DF51" s="698"/>
      <c r="DG51" s="702"/>
      <c r="DH51" s="179"/>
      <c r="DI51" s="179"/>
      <c r="DJ51" s="179"/>
      <c r="DK51" s="179"/>
      <c r="DL51"/>
      <c r="DM51"/>
      <c r="DN51" s="533"/>
      <c r="DP51"/>
      <c r="DQ51"/>
      <c r="DR51"/>
      <c r="DS51"/>
      <c r="DT51"/>
      <c r="DU51"/>
      <c r="DV51"/>
      <c r="DW51"/>
      <c r="DX51"/>
      <c r="DY51"/>
      <c r="DZ51"/>
      <c r="EA51"/>
      <c r="EB51"/>
    </row>
    <row r="52" spans="1:132" s="512" customForma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s="5"/>
      <c r="DG52" s="5"/>
      <c r="DH52"/>
      <c r="DI52"/>
      <c r="DJ52"/>
      <c r="DK52"/>
      <c r="DL52"/>
      <c r="DM52"/>
      <c r="DN52" s="533"/>
      <c r="DP52"/>
      <c r="DQ52"/>
      <c r="DR52"/>
      <c r="DS52"/>
      <c r="DT52"/>
      <c r="DU52"/>
      <c r="DV52"/>
      <c r="DW52"/>
      <c r="DX52"/>
      <c r="DY52"/>
      <c r="DZ52"/>
      <c r="EA52"/>
      <c r="EB52"/>
    </row>
    <row r="53" spans="1:132" s="512" customForma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s="535" t="s">
        <v>253</v>
      </c>
      <c r="DF53" s="517"/>
      <c r="DG53" s="5"/>
      <c r="DH53"/>
      <c r="DI53"/>
      <c r="DJ53"/>
      <c r="DK53"/>
      <c r="DL53"/>
      <c r="DM53"/>
      <c r="DN53" s="533"/>
      <c r="DP53"/>
      <c r="DQ53"/>
      <c r="DR53"/>
      <c r="DS53"/>
      <c r="DT53"/>
      <c r="DU53"/>
      <c r="DV53"/>
      <c r="DW53"/>
      <c r="DX53"/>
      <c r="DY53"/>
      <c r="DZ53"/>
      <c r="EA53"/>
      <c r="EB53"/>
    </row>
    <row r="54" spans="1:132" s="512" customForma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s="531" t="s">
        <v>120</v>
      </c>
      <c r="DF54" s="517"/>
      <c r="DG54" s="703" t="s">
        <v>293</v>
      </c>
      <c r="DH54" s="523" t="s">
        <v>294</v>
      </c>
      <c r="DI54" s="523" t="s">
        <v>295</v>
      </c>
      <c r="DJ54" s="523" t="s">
        <v>296</v>
      </c>
      <c r="DK54" s="133"/>
      <c r="DL54"/>
      <c r="DM54"/>
      <c r="DN54" s="533"/>
      <c r="DP54"/>
      <c r="DQ54"/>
      <c r="DR54"/>
      <c r="DS54"/>
      <c r="DT54"/>
      <c r="DU54"/>
      <c r="DV54"/>
      <c r="DW54"/>
      <c r="DX54"/>
      <c r="DY54"/>
      <c r="DZ54"/>
      <c r="EA54"/>
      <c r="EB54"/>
    </row>
    <row r="55" spans="1:132" s="512" customFormat="1" x14ac:dyDescent="0.25">
      <c r="B55"/>
      <c r="C55"/>
      <c r="D55"/>
      <c r="E55"/>
      <c r="F55"/>
      <c r="G55"/>
      <c r="H55"/>
      <c r="I55"/>
      <c r="J55"/>
      <c r="K55" s="1"/>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s="531" t="str">
        <f>Lookups!$D$23</f>
        <v>Proposed EE</v>
      </c>
      <c r="DF55" s="517"/>
      <c r="DG55" s="703" t="str">
        <f>IFERROR(LEFT(ADDRESS(1,COLUMN('Yr1'!$AJ$6)+MATCH(DG5,'Yr1'!$G$7:$AG$7,0)-1,4,1),LEN(ADDRESS(1,COLUMN('Yr1'!$AJ$6)+MATCH(DG5,'Yr1'!$G$7:$AG$7,0)-1,4,1))-1),"")</f>
        <v>AJ</v>
      </c>
      <c r="DH55" s="523" t="str">
        <f>DG55</f>
        <v>AJ</v>
      </c>
      <c r="DI55" s="523" t="str">
        <f t="shared" ref="DI55:DJ56" si="5">DH55</f>
        <v>AJ</v>
      </c>
      <c r="DJ55" s="523" t="str">
        <f t="shared" si="5"/>
        <v>AJ</v>
      </c>
      <c r="DK55" s="133"/>
      <c r="DL55"/>
      <c r="DM55"/>
      <c r="DN55" s="533"/>
      <c r="DP55"/>
      <c r="DQ55"/>
      <c r="DR55"/>
      <c r="DS55"/>
      <c r="DT55"/>
      <c r="DU55"/>
      <c r="DV55"/>
      <c r="DW55"/>
      <c r="DX55"/>
      <c r="DY55"/>
      <c r="DZ55"/>
      <c r="EA55"/>
      <c r="EB55"/>
    </row>
    <row r="56" spans="1:132" s="512" customForma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s="531" t="str">
        <f>Lookups!$D$24</f>
        <v>Alternative EE</v>
      </c>
      <c r="DF56" s="5"/>
      <c r="DG56" s="703" t="str">
        <f>IFERROR(LEFT(ADDRESS(1,COLUMN('Yr1'!$BP$6)+MATCH(DG5,'Yr1'!$G$7:$AG$7,0)-1,4,1),LEN(ADDRESS(1,COLUMN('Yr1'!$BP$6)+MATCH(DG5,'Yr1'!$G$7:$AG$7,0)-1,4,1))-1),"")</f>
        <v>BP</v>
      </c>
      <c r="DH56" s="523" t="str">
        <f>DG56</f>
        <v>BP</v>
      </c>
      <c r="DI56" s="523" t="str">
        <f t="shared" si="5"/>
        <v>BP</v>
      </c>
      <c r="DJ56" s="523" t="str">
        <f t="shared" si="5"/>
        <v>BP</v>
      </c>
      <c r="DK56"/>
      <c r="DL56"/>
      <c r="DM56"/>
      <c r="DN56" s="533"/>
      <c r="DP56"/>
      <c r="DQ56"/>
      <c r="DR56"/>
      <c r="DS56"/>
      <c r="DT56"/>
      <c r="DU56"/>
      <c r="DV56"/>
      <c r="DW56"/>
      <c r="DX56"/>
      <c r="DY56"/>
      <c r="DZ56"/>
      <c r="EA56"/>
      <c r="EB56"/>
    </row>
    <row r="57" spans="1:132" s="512" customForma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s="557" t="str">
        <f ca="1">"A non-participant will see a "&amp;TEXT($DJ$47,"0.#%")&amp;" "&amp;IF($DJ$47&gt;0,"increase","decrease")&amp;" in long-term average bills 
from the "&amp;Lookups!$D$24&amp;" scenario relative to the "&amp;Lookups!$D$23&amp;" scenario."</f>
        <v>A non-participant will see a 0.2% increase in long-term average bills 
from the Alternative EE scenario relative to the Proposed EE scenario.</v>
      </c>
      <c r="DF57" s="5"/>
      <c r="DG57" s="5"/>
      <c r="DH57"/>
      <c r="DI57"/>
      <c r="DJ57"/>
      <c r="DK57"/>
      <c r="DL57"/>
      <c r="DM57"/>
      <c r="DN57" s="533"/>
      <c r="DP57"/>
      <c r="DQ57"/>
      <c r="DR57"/>
      <c r="DS57"/>
      <c r="DT57"/>
      <c r="DU57"/>
      <c r="DV57"/>
      <c r="DW57"/>
      <c r="DX57"/>
      <c r="DY57"/>
      <c r="DZ57"/>
      <c r="EA57"/>
      <c r="EB57"/>
    </row>
    <row r="58" spans="1:132" s="512" customForma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s="5"/>
      <c r="DG58" s="5"/>
      <c r="DH58"/>
      <c r="DI58"/>
      <c r="DJ58"/>
      <c r="DK58"/>
      <c r="DL58"/>
      <c r="DM58"/>
      <c r="DN58" s="533"/>
      <c r="DP58"/>
      <c r="DQ58"/>
      <c r="DR58"/>
      <c r="DS58"/>
      <c r="DT58"/>
      <c r="DU58"/>
      <c r="DV58"/>
      <c r="DW58"/>
      <c r="DX58"/>
      <c r="DY58"/>
      <c r="DZ58"/>
      <c r="EA58"/>
      <c r="EB58"/>
    </row>
    <row r="59" spans="1:132" x14ac:dyDescent="0.25">
      <c r="A59" s="512"/>
    </row>
  </sheetData>
  <mergeCells count="4">
    <mergeCell ref="C4:G4"/>
    <mergeCell ref="BS41:CY42"/>
    <mergeCell ref="BS43:CY45"/>
    <mergeCell ref="BS46:CY47"/>
  </mergeCells>
  <pageMargins left="0.7" right="0.7" top="0.75" bottom="0.75" header="0.3" footer="0.3"/>
  <pageSetup scale="43" fitToWidth="2" fitToHeight="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Lookups!$D$26:$D$29</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249977111117893"/>
  </sheetPr>
  <dimension ref="A1:EB59"/>
  <sheetViews>
    <sheetView showGridLines="0" topLeftCell="AM1" zoomScale="85" zoomScaleNormal="85" workbookViewId="0">
      <selection activeCell="DG55" sqref="DG55:DG56"/>
    </sheetView>
  </sheetViews>
  <sheetFormatPr defaultRowHeight="15" x14ac:dyDescent="0.25"/>
  <cols>
    <col min="1" max="108" width="2.7109375" customWidth="1"/>
    <col min="109" max="109" width="25.7109375" bestFit="1" customWidth="1"/>
    <col min="110" max="110" width="4.7109375" style="5" customWidth="1"/>
    <col min="111" max="111" width="12" style="5" customWidth="1"/>
    <col min="112" max="114" width="12" customWidth="1"/>
    <col min="115" max="117" width="2.7109375" customWidth="1"/>
    <col min="118" max="118" width="5.5703125" style="533" bestFit="1" customWidth="1"/>
    <col min="119" max="119" width="5" style="512" bestFit="1" customWidth="1"/>
  </cols>
  <sheetData>
    <row r="1" spans="2:120" x14ac:dyDescent="0.25">
      <c r="AA1" s="1"/>
      <c r="BA1" s="1"/>
      <c r="DF1" s="354"/>
      <c r="DG1" s="354"/>
      <c r="DH1" s="115"/>
      <c r="DI1" s="115"/>
      <c r="DJ1" s="115"/>
      <c r="DK1" s="115"/>
    </row>
    <row r="2" spans="2:120" s="115" customFormat="1" ht="26.25" x14ac:dyDescent="0.25">
      <c r="B2" s="2" t="s">
        <v>396</v>
      </c>
      <c r="D2" s="2"/>
      <c r="E2" s="2"/>
      <c r="F2" s="2"/>
      <c r="G2" s="2"/>
      <c r="H2" s="2"/>
      <c r="I2" s="2"/>
      <c r="J2" s="2"/>
      <c r="K2" s="2"/>
      <c r="L2" s="2"/>
      <c r="M2" s="2"/>
      <c r="N2" s="2"/>
      <c r="O2" s="2"/>
      <c r="P2" s="680"/>
      <c r="Q2" s="2"/>
      <c r="R2" s="2"/>
      <c r="S2" s="136"/>
      <c r="T2" s="2"/>
      <c r="U2" s="2"/>
      <c r="V2" s="2"/>
      <c r="W2" s="2"/>
      <c r="X2" s="2"/>
      <c r="Y2" s="2"/>
      <c r="Z2" s="2"/>
      <c r="AA2" s="2"/>
      <c r="AB2" s="2"/>
      <c r="AC2" s="2"/>
      <c r="AD2" s="2"/>
      <c r="AE2" s="2"/>
      <c r="AF2" s="2"/>
      <c r="AG2" s="2"/>
      <c r="AH2" s="2"/>
      <c r="AI2" s="2"/>
      <c r="AJ2" s="1"/>
      <c r="AK2" s="2"/>
      <c r="AL2" s="2"/>
      <c r="AM2" s="2"/>
      <c r="AN2" s="2"/>
      <c r="AO2" s="2"/>
      <c r="AP2" s="2"/>
      <c r="AQ2" s="136"/>
      <c r="AR2" s="2"/>
      <c r="AS2" s="2"/>
      <c r="AT2" s="2"/>
      <c r="AU2" s="2"/>
      <c r="AV2" s="2"/>
      <c r="AW2" s="2"/>
      <c r="AX2" s="2"/>
      <c r="AY2" s="2"/>
      <c r="AZ2" s="2"/>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t="s">
        <v>74</v>
      </c>
      <c r="DE2" s="2"/>
      <c r="DF2" s="683"/>
      <c r="DG2" s="354"/>
      <c r="DN2" s="533"/>
      <c r="DO2" s="523"/>
    </row>
    <row r="3" spans="2:120" ht="21" x14ac:dyDescent="0.25">
      <c r="B3" s="245" t="str">
        <f>Lookups!$E$6</f>
        <v>Liberty</v>
      </c>
      <c r="P3" s="1"/>
      <c r="S3" s="1"/>
      <c r="AK3" s="1"/>
      <c r="BA3" s="1"/>
      <c r="CC3" s="1"/>
      <c r="DC3" s="115"/>
      <c r="DD3" s="100"/>
      <c r="DE3" s="115"/>
      <c r="DF3" s="354"/>
      <c r="DG3" s="354"/>
      <c r="DH3" s="115"/>
      <c r="DI3" s="115"/>
      <c r="DJ3" s="115"/>
      <c r="DK3" s="115"/>
    </row>
    <row r="4" spans="2:120" x14ac:dyDescent="0.25">
      <c r="B4" s="348"/>
      <c r="C4" s="773" t="s">
        <v>21</v>
      </c>
      <c r="D4" s="774"/>
      <c r="E4" s="774"/>
      <c r="F4" s="774"/>
      <c r="G4" s="775"/>
      <c r="H4" t="s">
        <v>27</v>
      </c>
      <c r="P4" s="1"/>
      <c r="AK4" s="1"/>
      <c r="BA4" s="1"/>
      <c r="CC4" s="1"/>
      <c r="DF4" s="354"/>
      <c r="DG4" s="354"/>
      <c r="DH4" s="115"/>
      <c r="DI4" s="115"/>
      <c r="DJ4" s="115"/>
      <c r="DK4" s="115"/>
    </row>
    <row r="5" spans="2:120" x14ac:dyDescent="0.25">
      <c r="M5" s="154"/>
      <c r="P5" s="1"/>
      <c r="DG5" s="644">
        <f>Year1</f>
        <v>2021</v>
      </c>
      <c r="DH5" s="117">
        <f>DG5+1</f>
        <v>2022</v>
      </c>
      <c r="DI5" s="117">
        <f>DH5+1</f>
        <v>2023</v>
      </c>
      <c r="DJ5" s="97" t="str">
        <f>Year1&amp;"-"&amp;Year3</f>
        <v>2021-2023</v>
      </c>
      <c r="DK5" s="97"/>
      <c r="DN5" s="535" t="s">
        <v>253</v>
      </c>
    </row>
    <row r="6" spans="2:120" ht="23.25" x14ac:dyDescent="0.35">
      <c r="C6" s="682" t="str">
        <f>Year1&amp;"-"&amp;Year3&amp;" Long-Term Levelized Change in Bills"</f>
        <v>2021-2023 Long-Term Levelized Change in Bills</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1"/>
      <c r="AK6" s="682" t="s">
        <v>421</v>
      </c>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1"/>
      <c r="BS6" s="682" t="s">
        <v>422</v>
      </c>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c r="CU6" s="682"/>
      <c r="CV6" s="682"/>
      <c r="CW6" s="682"/>
      <c r="CX6" s="682"/>
      <c r="CY6" s="682"/>
      <c r="DC6" s="91" t="str">
        <f>Lookups!$D$23&amp;" v "&amp;Lookups!$D$22</f>
        <v>Proposed EE v No EE</v>
      </c>
      <c r="DD6" s="91"/>
      <c r="DE6" s="90"/>
      <c r="DF6" s="684"/>
      <c r="DG6" s="685"/>
      <c r="DH6" s="209"/>
      <c r="DI6" s="209"/>
      <c r="DJ6" s="209"/>
      <c r="DK6" s="98"/>
      <c r="DL6" s="98"/>
      <c r="DN6" s="515">
        <f>'Output Summary'!T33</f>
        <v>79</v>
      </c>
    </row>
    <row r="7" spans="2:120" ht="18.75" x14ac:dyDescent="0.3">
      <c r="C7" s="91" t="str">
        <f>Lookups!$D$23&amp;" v "&amp;Lookups!$D$22</f>
        <v>Proposed EE v No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K7" s="91" t="str">
        <f>C7</f>
        <v>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S7" s="91" t="str">
        <f>Lookups!$D$23</f>
        <v>Proposed EE</v>
      </c>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DD7" s="178" t="s">
        <v>51</v>
      </c>
      <c r="DE7" s="49"/>
      <c r="DF7" s="48"/>
      <c r="DG7" s="686"/>
      <c r="DH7" s="103"/>
      <c r="DI7" s="103"/>
      <c r="DJ7" s="103"/>
      <c r="DK7" s="49"/>
      <c r="DN7" s="536"/>
    </row>
    <row r="8" spans="2:120" x14ac:dyDescent="0.25">
      <c r="DD8" s="49"/>
      <c r="DE8" s="49" t="s">
        <v>80</v>
      </c>
      <c r="DF8" s="48" t="s">
        <v>32</v>
      </c>
      <c r="DG8" s="687" cm="1">
        <f t="array" aca="1" ref="DG8" ca="1">IFERROR(INDIRECT(DG$54&amp;DG$55&amp;$DN8),0)</f>
        <v>607.15601347507345</v>
      </c>
      <c r="DH8" s="643" cm="1">
        <f t="array" aca="1" ref="DH8" ca="1">IFERROR(INDIRECT(DH$54&amp;DH$55&amp;$DN8),0)</f>
        <v>607.25509740796656</v>
      </c>
      <c r="DI8" s="643" cm="1">
        <f t="array" aca="1" ref="DI8" ca="1">IFERROR(INDIRECT(DI$54&amp;DI$55&amp;$DN8),0)</f>
        <v>607.3715825446094</v>
      </c>
      <c r="DJ8" s="643" cm="1">
        <f t="array" aca="1" ref="DJ8" ca="1">IFERROR(INDIRECT(DJ$54&amp;DJ$55&amp;$DN8),0)</f>
        <v>613.27978199110441</v>
      </c>
      <c r="DK8" s="134"/>
      <c r="DN8" s="515">
        <f>ROW('Yr1'!AK72)+($DN$6*IF($C$4=Lookups!$D$26,0,IF($C$4=Lookups!$D$27,1,IF($C$4=Lookups!$D$28,2,IF($C$4=Lookups!$D$29,3)))))</f>
        <v>151</v>
      </c>
      <c r="DP8" s="1"/>
    </row>
    <row r="9" spans="2:120" x14ac:dyDescent="0.25">
      <c r="DD9" s="49"/>
      <c r="DE9" s="49" t="s">
        <v>78</v>
      </c>
      <c r="DF9" s="48" t="s">
        <v>32</v>
      </c>
      <c r="DG9" s="687" cm="1">
        <f t="array" aca="1" ref="DG9" ca="1">IFERROR(INDIRECT(DG$54&amp;DG$55&amp;$DN9),0)</f>
        <v>597.17669939774578</v>
      </c>
      <c r="DH9" s="643" cm="1">
        <f t="array" aca="1" ref="DH9" ca="1">IFERROR(INDIRECT(DH$54&amp;DH$55&amp;$DN9),0)</f>
        <v>596.96606350110847</v>
      </c>
      <c r="DI9" s="643" cm="1">
        <f t="array" aca="1" ref="DI9" ca="1">IFERROR(INDIRECT(DI$54&amp;DI$55&amp;$DN9),0)</f>
        <v>596.67966138386805</v>
      </c>
      <c r="DJ9" s="643" cm="1">
        <f t="array" aca="1" ref="DJ9" ca="1">IFERROR(INDIRECT(DJ$54&amp;DJ$55&amp;$DN9),0)</f>
        <v>584.35283358796789</v>
      </c>
      <c r="DK9" s="134"/>
      <c r="DN9" s="534">
        <f>DN8+1</f>
        <v>152</v>
      </c>
    </row>
    <row r="10" spans="2:120" x14ac:dyDescent="0.25">
      <c r="DD10" s="49"/>
      <c r="DE10" s="49" t="str">
        <f>'EE Inputs'!$N$15&amp;" Partcipant"</f>
        <v>Low Savings Partcipant</v>
      </c>
      <c r="DF10" s="48" t="s">
        <v>32</v>
      </c>
      <c r="DG10" s="687" cm="1">
        <f t="array" aca="1" ref="DG10" ca="1">IFERROR(INDIRECT(DG$54&amp;DG$55&amp;$DN10),0)</f>
        <v>602.72391963763027</v>
      </c>
      <c r="DH10" s="643" cm="1">
        <f t="array" aca="1" ref="DH10" ca="1">IFERROR(INDIRECT(DH$54&amp;DH$55&amp;$DN10),0)</f>
        <v>602.82201273119426</v>
      </c>
      <c r="DI10" s="643" cm="1">
        <f t="array" aca="1" ref="DI10" ca="1">IFERROR(INDIRECT(DI$54&amp;DI$55&amp;$DN10),0)</f>
        <v>602.93733301647092</v>
      </c>
      <c r="DJ10" s="643" cm="1">
        <f t="array" aca="1" ref="DJ10" ca="1">IFERROR(INDIRECT(DJ$54&amp;DJ$55&amp;$DN10),0)</f>
        <v>609.05983996307248</v>
      </c>
      <c r="DK10" s="134"/>
      <c r="DN10" s="534">
        <f t="shared" ref="DN10:DN11" si="0">DN9+1</f>
        <v>153</v>
      </c>
    </row>
    <row r="11" spans="2:120" x14ac:dyDescent="0.25">
      <c r="DD11" s="49"/>
      <c r="DE11" s="49" t="str">
        <f>'EE Inputs'!$N$16&amp;" Partcipant"</f>
        <v>High Savings Partcipant</v>
      </c>
      <c r="DF11" s="48" t="s">
        <v>32</v>
      </c>
      <c r="DG11" s="687" cm="1">
        <f t="array" aca="1" ref="DG11" ca="1">IFERROR(INDIRECT(DG$54&amp;DG$55&amp;$DN11),0)</f>
        <v>576.13135661297031</v>
      </c>
      <c r="DH11" s="643" cm="1">
        <f t="array" aca="1" ref="DH11" ca="1">IFERROR(INDIRECT(DH$54&amp;DH$55&amp;$DN11),0)</f>
        <v>576.22350467056094</v>
      </c>
      <c r="DI11" s="643" cm="1">
        <f t="array" aca="1" ref="DI11" ca="1">IFERROR(INDIRECT(DI$54&amp;DI$55&amp;$DN11),0)</f>
        <v>576.3318358476389</v>
      </c>
      <c r="DJ11" s="643" cm="1">
        <f t="array" aca="1" ref="DJ11" ca="1">IFERROR(INDIRECT(DJ$54&amp;DJ$55&amp;$DN11),0)</f>
        <v>583.74018779488119</v>
      </c>
      <c r="DK11" s="134"/>
      <c r="DN11" s="534">
        <f t="shared" si="0"/>
        <v>154</v>
      </c>
    </row>
    <row r="12" spans="2:120" x14ac:dyDescent="0.25">
      <c r="DC12" s="18"/>
      <c r="DD12" s="178" t="s">
        <v>101</v>
      </c>
      <c r="DE12" s="49"/>
      <c r="DF12" s="48"/>
      <c r="DG12" s="688"/>
      <c r="DH12" s="642"/>
      <c r="DI12" s="642"/>
      <c r="DJ12" s="642"/>
      <c r="DK12" s="134"/>
      <c r="DN12" s="534"/>
    </row>
    <row r="13" spans="2:120" x14ac:dyDescent="0.25">
      <c r="DB13" s="18"/>
      <c r="DD13" s="49"/>
      <c r="DE13" s="49" t="s">
        <v>80</v>
      </c>
      <c r="DF13" s="48" t="s">
        <v>32</v>
      </c>
      <c r="DG13" s="688" cm="1">
        <f t="array" aca="1" ref="DG13" ca="1">IFERROR(INDIRECT(DG$54&amp;DG$55&amp;$DN13),0)</f>
        <v>3.2115994702308921</v>
      </c>
      <c r="DH13" s="642" cm="1">
        <f t="array" aca="1" ref="DH13" ca="1">IFERROR(INDIRECT(DH$54&amp;DH$55&amp;$DN13),0)</f>
        <v>3.3106834031239316</v>
      </c>
      <c r="DI13" s="642" cm="1">
        <f t="array" aca="1" ref="DI13" ca="1">IFERROR(INDIRECT(DI$54&amp;DI$55&amp;$DN13),0)</f>
        <v>3.4271685397669507</v>
      </c>
      <c r="DJ13" s="642" cm="1">
        <f t="array" aca="1" ref="DJ13" ca="1">IFERROR(INDIRECT(DJ$54&amp;DJ$55&amp;$DN13),0)</f>
        <v>9.3353679862618293</v>
      </c>
      <c r="DK13" s="134"/>
      <c r="DN13" s="534">
        <f>DN11+2</f>
        <v>156</v>
      </c>
    </row>
    <row r="14" spans="2:120" x14ac:dyDescent="0.25">
      <c r="DD14" s="49"/>
      <c r="DE14" s="49" t="s">
        <v>78</v>
      </c>
      <c r="DF14" s="48" t="s">
        <v>32</v>
      </c>
      <c r="DG14" s="688" cm="1">
        <f t="array" aca="1" ref="DG14" ca="1">IFERROR(INDIRECT(DG$54&amp;DG$55&amp;$DN14),0)</f>
        <v>-6.7677146070967664</v>
      </c>
      <c r="DH14" s="642" cm="1">
        <f t="array" aca="1" ref="DH14" ca="1">IFERROR(INDIRECT(DH$54&amp;DH$55&amp;$DN14),0)</f>
        <v>-6.978350503734152</v>
      </c>
      <c r="DI14" s="642" cm="1">
        <f t="array" aca="1" ref="DI14" ca="1">IFERROR(INDIRECT(DI$54&amp;DI$55&amp;$DN14),0)</f>
        <v>-7.264752620974555</v>
      </c>
      <c r="DJ14" s="642" cm="1">
        <f t="array" aca="1" ref="DJ14" ca="1">IFERROR(INDIRECT(DJ$54&amp;DJ$55&amp;$DN14),0)</f>
        <v>-19.59158041687455</v>
      </c>
      <c r="DK14" s="134"/>
      <c r="DN14" s="534">
        <f>DN13+2</f>
        <v>158</v>
      </c>
    </row>
    <row r="15" spans="2:120" x14ac:dyDescent="0.25">
      <c r="DD15" s="49"/>
      <c r="DE15" s="49" t="str">
        <f>'EE Inputs'!$N$15&amp;" Partcipant"</f>
        <v>Low Savings Partcipant</v>
      </c>
      <c r="DF15" s="48" t="s">
        <v>32</v>
      </c>
      <c r="DG15" s="688" cm="1">
        <f t="array" aca="1" ref="DG15" ca="1">IFERROR(INDIRECT(DG$54&amp;DG$55&amp;$DN15),0)</f>
        <v>-1.2204943672123041</v>
      </c>
      <c r="DH15" s="642" cm="1">
        <f t="array" aca="1" ref="DH15" ca="1">IFERROR(INDIRECT(DH$54&amp;DH$55&amp;$DN15),0)</f>
        <v>-1.1224012736482698</v>
      </c>
      <c r="DI15" s="642" cm="1">
        <f t="array" aca="1" ref="DI15" ca="1">IFERROR(INDIRECT(DI$54&amp;DI$55&amp;$DN15),0)</f>
        <v>-1.007080988371724</v>
      </c>
      <c r="DJ15" s="642" cm="1">
        <f t="array" aca="1" ref="DJ15" ca="1">IFERROR(INDIRECT(DJ$54&amp;DJ$55&amp;$DN15),0)</f>
        <v>5.1154259582299604</v>
      </c>
      <c r="DK15" s="134"/>
      <c r="DN15" s="534">
        <f t="shared" ref="DN15:DN21" si="1">DN14+2</f>
        <v>160</v>
      </c>
    </row>
    <row r="16" spans="2:120" x14ac:dyDescent="0.25">
      <c r="DD16" s="49"/>
      <c r="DE16" s="49" t="str">
        <f>'EE Inputs'!$N$16&amp;" Partcipant"</f>
        <v>High Savings Partcipant</v>
      </c>
      <c r="DF16" s="48" t="s">
        <v>32</v>
      </c>
      <c r="DG16" s="688" cm="1">
        <f t="array" aca="1" ref="DG16" ca="1">IFERROR(INDIRECT(DG$54&amp;DG$55&amp;$DN16),0)</f>
        <v>-27.813057391872093</v>
      </c>
      <c r="DH16" s="642" cm="1">
        <f t="array" aca="1" ref="DH16" ca="1">IFERROR(INDIRECT(DH$54&amp;DH$55&amp;$DN16),0)</f>
        <v>-27.720909334281568</v>
      </c>
      <c r="DI16" s="642" cm="1">
        <f t="array" aca="1" ref="DI16" ca="1">IFERROR(INDIRECT(DI$54&amp;DI$55&amp;$DN16),0)</f>
        <v>-27.612578157203618</v>
      </c>
      <c r="DJ16" s="642" cm="1">
        <f t="array" aca="1" ref="DJ16" ca="1">IFERROR(INDIRECT(DJ$54&amp;DJ$55&amp;$DN16),0)</f>
        <v>-20.204226209961291</v>
      </c>
      <c r="DK16" s="134"/>
      <c r="DN16" s="534">
        <f t="shared" si="1"/>
        <v>162</v>
      </c>
    </row>
    <row r="17" spans="2:132" s="512" customForma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s="178" t="s">
        <v>102</v>
      </c>
      <c r="DE17" s="49"/>
      <c r="DF17" s="48"/>
      <c r="DG17" s="689"/>
      <c r="DH17" s="134"/>
      <c r="DI17" s="134"/>
      <c r="DJ17" s="134"/>
      <c r="DK17" s="134"/>
      <c r="DL17"/>
      <c r="DM17"/>
      <c r="DN17" s="534"/>
      <c r="DP17"/>
      <c r="DQ17"/>
      <c r="DR17"/>
      <c r="DS17"/>
      <c r="DT17"/>
      <c r="DU17"/>
      <c r="DV17"/>
      <c r="DW17"/>
      <c r="DX17"/>
      <c r="DY17"/>
      <c r="DZ17"/>
      <c r="EA17"/>
      <c r="EB17"/>
    </row>
    <row r="18" spans="2:132" s="512" customFormat="1" x14ac:dyDescent="0.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s="49"/>
      <c r="DE18" s="49" t="s">
        <v>80</v>
      </c>
      <c r="DF18" s="48" t="s">
        <v>16</v>
      </c>
      <c r="DG18" s="690" cm="1">
        <f t="array" aca="1" ref="DG18" ca="1">IFERROR(INDIRECT(DG$54&amp;DG$55&amp;$DN18),0)</f>
        <v>5.3177070534262683E-3</v>
      </c>
      <c r="DH18" s="164" cm="1">
        <f t="array" aca="1" ref="DH18" ca="1">IFERROR(INDIRECT(DH$54&amp;DH$55&amp;$DN18),0)</f>
        <v>5.4817683984695886E-3</v>
      </c>
      <c r="DI18" s="164" cm="1">
        <f t="array" aca="1" ref="DI18" ca="1">IFERROR(INDIRECT(DI$54&amp;DI$55&amp;$DN18),0)</f>
        <v>5.6746423351128339E-3</v>
      </c>
      <c r="DJ18" s="164" cm="1">
        <f t="array" aca="1" ref="DJ18" ca="1">IFERROR(INDIRECT(DJ$54&amp;DJ$55&amp;$DN18),0)</f>
        <v>1.5457329796889407E-2</v>
      </c>
      <c r="DK18" s="157"/>
      <c r="DL18"/>
      <c r="DM18"/>
      <c r="DN18" s="534">
        <f>DN13+1</f>
        <v>157</v>
      </c>
      <c r="DP18"/>
      <c r="DQ18"/>
      <c r="DR18"/>
      <c r="DS18"/>
      <c r="DT18"/>
      <c r="DU18"/>
      <c r="DV18"/>
      <c r="DW18"/>
      <c r="DX18"/>
      <c r="DY18"/>
      <c r="DZ18"/>
      <c r="EA18"/>
      <c r="EB18"/>
    </row>
    <row r="19" spans="2:132" s="512" customFormat="1" x14ac:dyDescent="0.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49"/>
      <c r="DE19" s="49" t="s">
        <v>78</v>
      </c>
      <c r="DF19" s="48" t="s">
        <v>16</v>
      </c>
      <c r="DG19" s="690" cm="1">
        <f t="array" aca="1" ref="DG19" ca="1">IFERROR(INDIRECT(DG$54&amp;DG$55&amp;$DN19),0)</f>
        <v>-1.1205856781121737E-2</v>
      </c>
      <c r="DH19" s="164" cm="1">
        <f t="array" aca="1" ref="DH19" ca="1">IFERROR(INDIRECT(DH$54&amp;DH$55&amp;$DN19),0)</f>
        <v>-1.1554623806286468E-2</v>
      </c>
      <c r="DI19" s="164" cm="1">
        <f t="array" aca="1" ref="DI19" ca="1">IFERROR(INDIRECT(DI$54&amp;DI$55&amp;$DN19),0)</f>
        <v>-1.2028843139389012E-2</v>
      </c>
      <c r="DJ19" s="164" cm="1">
        <f t="array" aca="1" ref="DJ19" ca="1">IFERROR(INDIRECT(DJ$54&amp;DJ$55&amp;$DN19),0)</f>
        <v>-3.2439376807809062E-2</v>
      </c>
      <c r="DK19" s="157"/>
      <c r="DL19"/>
      <c r="DM19"/>
      <c r="DN19" s="534">
        <f t="shared" si="1"/>
        <v>159</v>
      </c>
      <c r="DP19"/>
      <c r="DQ19"/>
      <c r="DR19"/>
      <c r="DS19"/>
      <c r="DT19"/>
      <c r="DU19"/>
      <c r="DV19"/>
      <c r="DW19"/>
      <c r="DX19"/>
      <c r="DY19"/>
      <c r="DZ19"/>
      <c r="EA19"/>
      <c r="EB19"/>
    </row>
    <row r="20" spans="2:132" s="512" customFormat="1" x14ac:dyDescent="0.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49"/>
      <c r="DE20" s="49" t="str">
        <f>'EE Inputs'!$N$15&amp;" Partcipant"</f>
        <v>Low Savings Partcipant</v>
      </c>
      <c r="DF20" s="48" t="s">
        <v>16</v>
      </c>
      <c r="DG20" s="690" cm="1">
        <f t="array" aca="1" ref="DG20" ca="1">IFERROR(INDIRECT(DG$54&amp;DG$55&amp;$DN20),0)</f>
        <v>-2.0208720188651386E-3</v>
      </c>
      <c r="DH20" s="164" cm="1">
        <f t="array" aca="1" ref="DH20" ca="1">IFERROR(INDIRECT(DH$54&amp;DH$55&amp;$DN20),0)</f>
        <v>-1.8584512872723558E-3</v>
      </c>
      <c r="DI20" s="164" cm="1">
        <f t="array" aca="1" ref="DI20" ca="1">IFERROR(INDIRECT(DI$54&amp;DI$55&amp;$DN20),0)</f>
        <v>-1.6675060899951077E-3</v>
      </c>
      <c r="DJ20" s="164" cm="1">
        <f t="array" aca="1" ref="DJ20" ca="1">IFERROR(INDIRECT(DJ$54&amp;DJ$55&amp;$DN20),0)</f>
        <v>8.470027770120403E-3</v>
      </c>
      <c r="DK20" s="157"/>
      <c r="DL20"/>
      <c r="DM20"/>
      <c r="DN20" s="534">
        <f t="shared" si="1"/>
        <v>161</v>
      </c>
      <c r="DP20"/>
      <c r="DQ20"/>
      <c r="DR20"/>
      <c r="DS20"/>
      <c r="DT20"/>
      <c r="DU20"/>
      <c r="DV20"/>
      <c r="DW20"/>
      <c r="DX20"/>
      <c r="DY20"/>
      <c r="DZ20"/>
      <c r="EA20"/>
      <c r="EB20"/>
    </row>
    <row r="21" spans="2:132" s="512" customFormat="1" x14ac:dyDescent="0.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s="49"/>
      <c r="DE21" s="49" t="str">
        <f>'EE Inputs'!$N$16&amp;" Partcipant"</f>
        <v>High Savings Partcipant</v>
      </c>
      <c r="DF21" s="48" t="s">
        <v>16</v>
      </c>
      <c r="DG21" s="690" cm="1">
        <f t="array" aca="1" ref="DG21" ca="1">IFERROR(INDIRECT(DG$54&amp;DG$55&amp;$DN21),0)</f>
        <v>-4.6052346452614468E-2</v>
      </c>
      <c r="DH21" s="164" cm="1">
        <f t="array" aca="1" ref="DH21" ca="1">IFERROR(INDIRECT(DH$54&amp;DH$55&amp;$DN21),0)</f>
        <v>-4.5899769401724022E-2</v>
      </c>
      <c r="DI21" s="164" cm="1">
        <f t="array" aca="1" ref="DI21" ca="1">IFERROR(INDIRECT(DI$54&amp;DI$55&amp;$DN21),0)</f>
        <v>-4.5720396640645533E-2</v>
      </c>
      <c r="DJ21" s="164" cm="1">
        <f t="array" aca="1" ref="DJ21" ca="1">IFERROR(INDIRECT(DJ$54&amp;DJ$55&amp;$DN21),0)</f>
        <v>-3.3453784390493957E-2</v>
      </c>
      <c r="DK21" s="157"/>
      <c r="DL21"/>
      <c r="DM21"/>
      <c r="DN21" s="534">
        <f t="shared" si="1"/>
        <v>163</v>
      </c>
      <c r="DP21"/>
      <c r="DQ21"/>
      <c r="DR21"/>
      <c r="DS21"/>
      <c r="DT21"/>
      <c r="DU21"/>
      <c r="DV21"/>
      <c r="DW21"/>
      <c r="DX21"/>
      <c r="DY21"/>
      <c r="DZ21"/>
      <c r="EA21"/>
      <c r="EB21"/>
    </row>
    <row r="22" spans="2:132" s="512" customFormat="1" x14ac:dyDescent="0.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s="49"/>
      <c r="DE22" s="49"/>
      <c r="DF22" s="48"/>
      <c r="DG22" s="48"/>
      <c r="DH22" s="49"/>
      <c r="DI22" s="49"/>
      <c r="DJ22" s="49"/>
      <c r="DK22" s="49"/>
      <c r="DL22"/>
      <c r="DM22"/>
      <c r="DN22" s="534"/>
      <c r="DP22"/>
      <c r="DQ22"/>
      <c r="DR22"/>
      <c r="DS22"/>
      <c r="DT22"/>
      <c r="DU22"/>
      <c r="DV22"/>
      <c r="DW22"/>
      <c r="DX22"/>
      <c r="DY22"/>
      <c r="DZ22"/>
      <c r="EA22"/>
      <c r="EB22"/>
    </row>
    <row r="23" spans="2:132" s="512" customFormat="1" ht="18.75" x14ac:dyDescent="0.3">
      <c r="B23"/>
      <c r="C23" s="92" t="str">
        <f>Lookups!$D$24&amp;" v "&amp;Lookups!$D$22</f>
        <v>Alternative EE v No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c r="AK23" s="92" t="str">
        <f>C23</f>
        <v>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c r="BS23" s="92" t="str">
        <f>Lookups!$D$24</f>
        <v>Alternative EE</v>
      </c>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c r="DA23"/>
      <c r="DB23"/>
      <c r="DC23" s="92" t="str">
        <f>Lookups!$D$24&amp;" v "&amp;Lookups!$D$22</f>
        <v>Alternative EE v No EE</v>
      </c>
      <c r="DD23" s="92"/>
      <c r="DE23" s="93"/>
      <c r="DF23" s="691"/>
      <c r="DG23" s="691"/>
      <c r="DH23" s="99"/>
      <c r="DI23" s="99"/>
      <c r="DJ23" s="99"/>
      <c r="DK23" s="99"/>
      <c r="DL23" s="99"/>
      <c r="DM23"/>
      <c r="DN23" s="534"/>
      <c r="DP23"/>
      <c r="DQ23"/>
      <c r="DR23"/>
      <c r="DS23"/>
      <c r="DT23"/>
      <c r="DU23"/>
      <c r="DV23"/>
      <c r="DW23"/>
      <c r="DX23"/>
      <c r="DY23"/>
      <c r="DZ23"/>
      <c r="EA23"/>
      <c r="EB23"/>
    </row>
    <row r="24" spans="2:132" s="512" customFormat="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s="177" t="s">
        <v>51</v>
      </c>
      <c r="DE24" s="74"/>
      <c r="DF24" s="73"/>
      <c r="DG24" s="73"/>
      <c r="DH24" s="74"/>
      <c r="DI24" s="74"/>
      <c r="DJ24" s="74"/>
      <c r="DK24" s="74"/>
      <c r="DL24"/>
      <c r="DM24"/>
      <c r="DN24" s="534"/>
      <c r="DP24"/>
      <c r="DQ24"/>
      <c r="DR24"/>
      <c r="DS24"/>
      <c r="DT24"/>
      <c r="DU24"/>
      <c r="DV24"/>
      <c r="DW24"/>
      <c r="DX24"/>
      <c r="DY24"/>
      <c r="DZ24"/>
      <c r="EA24"/>
      <c r="EB24"/>
    </row>
    <row r="25" spans="2:132" s="512" customFormat="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s="74"/>
      <c r="DE25" s="74" t="s">
        <v>80</v>
      </c>
      <c r="DF25" s="73" t="s">
        <v>32</v>
      </c>
      <c r="DG25" s="692" cm="1">
        <f t="array" aca="1" ref="DG25" ca="1">IFERROR(INDIRECT(DG$54&amp;DG$56&amp;$DN25),0)</f>
        <v>607.73292447173583</v>
      </c>
      <c r="DH25" s="646" cm="1">
        <f t="array" aca="1" ref="DH25" ca="1">IFERROR(INDIRECT(DH$54&amp;DH$56&amp;$DN25),0)</f>
        <v>607.84988317809803</v>
      </c>
      <c r="DI25" s="646" cm="1">
        <f t="array" aca="1" ref="DI25" ca="1">IFERROR(INDIRECT(DI$54&amp;DI$56&amp;$DN25),0)</f>
        <v>607.9871058129487</v>
      </c>
      <c r="DJ25" s="646" cm="1">
        <f t="array" aca="1" ref="DJ25" ca="1">IFERROR(INDIRECT(DJ$54&amp;DJ$56&amp;$DN25),0)</f>
        <v>614.97553083126093</v>
      </c>
      <c r="DK25" s="135"/>
      <c r="DL25"/>
      <c r="DM25"/>
      <c r="DN25" s="534">
        <f t="shared" ref="DN25:DN38" si="2">DN8</f>
        <v>151</v>
      </c>
      <c r="DP25"/>
      <c r="DQ25"/>
      <c r="DR25"/>
      <c r="DS25"/>
      <c r="DT25"/>
      <c r="DU25"/>
      <c r="DV25"/>
      <c r="DW25"/>
      <c r="DX25"/>
      <c r="DY25"/>
      <c r="DZ25"/>
      <c r="EA25"/>
      <c r="EB25"/>
    </row>
    <row r="26" spans="2:132" s="512" customFormat="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s="74"/>
      <c r="DE26" s="74" t="s">
        <v>78</v>
      </c>
      <c r="DF26" s="73" t="s">
        <v>32</v>
      </c>
      <c r="DG26" s="692" cm="1">
        <f t="array" aca="1" ref="DG26" ca="1">IFERROR(INDIRECT(DG$54&amp;DG$56&amp;$DN26),0)</f>
        <v>596.31314867697142</v>
      </c>
      <c r="DH26" s="646" cm="1">
        <f t="array" aca="1" ref="DH26" ca="1">IFERROR(INDIRECT(DH$54&amp;DH$56&amp;$DN26),0)</f>
        <v>596.07521040578104</v>
      </c>
      <c r="DI26" s="646" cm="1">
        <f t="array" aca="1" ref="DI26" ca="1">IFERROR(INDIRECT(DI$54&amp;DI$56&amp;$DN26),0)</f>
        <v>595.75080553949999</v>
      </c>
      <c r="DJ26" s="646" cm="1">
        <f t="array" aca="1" ref="DJ26" ca="1">IFERROR(INDIRECT(DJ$54&amp;DJ$56&amp;$DN26),0)</f>
        <v>581.81348642410524</v>
      </c>
      <c r="DK26" s="135"/>
      <c r="DL26"/>
      <c r="DM26"/>
      <c r="DN26" s="534">
        <f t="shared" si="2"/>
        <v>152</v>
      </c>
      <c r="DP26"/>
      <c r="DQ26"/>
      <c r="DR26"/>
      <c r="DS26"/>
      <c r="DT26"/>
      <c r="DU26"/>
      <c r="DV26"/>
      <c r="DW26"/>
      <c r="DX26"/>
      <c r="DY26"/>
      <c r="DZ26"/>
      <c r="EA26"/>
      <c r="EB26"/>
    </row>
    <row r="27" spans="2:132" s="512" customFormat="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s="74"/>
      <c r="DE27" s="74" t="str">
        <f>'EE Inputs'!$N$15&amp;" Partcipant"</f>
        <v>Low Savings Partcipant</v>
      </c>
      <c r="DF27" s="73" t="s">
        <v>32</v>
      </c>
      <c r="DG27" s="692" cm="1">
        <f t="array" aca="1" ref="DG27" ca="1">IFERROR(INDIRECT(DG$54&amp;DG$56&amp;$DN27),0)</f>
        <v>602.40748893484397</v>
      </c>
      <c r="DH27" s="646" cm="1">
        <f t="array" aca="1" ref="DH27" ca="1">IFERROR(INDIRECT(DH$54&amp;DH$56&amp;$DN27),0)</f>
        <v>602.52304413672971</v>
      </c>
      <c r="DI27" s="646" cm="1">
        <f t="array" aca="1" ref="DI27" ca="1">IFERROR(INDIRECT(DI$54&amp;DI$56&amp;$DN27),0)</f>
        <v>602.65862009996238</v>
      </c>
      <c r="DJ27" s="646" cm="1">
        <f t="array" aca="1" ref="DJ27" ca="1">IFERROR(INDIRECT(DJ$54&amp;DJ$56&amp;$DN27),0)</f>
        <v>609.89153043748172</v>
      </c>
      <c r="DK27" s="135"/>
      <c r="DL27"/>
      <c r="DM27"/>
      <c r="DN27" s="534">
        <f t="shared" si="2"/>
        <v>153</v>
      </c>
      <c r="DP27"/>
      <c r="DQ27"/>
      <c r="DR27"/>
      <c r="DS27"/>
      <c r="DT27"/>
      <c r="DU27"/>
      <c r="DV27"/>
      <c r="DW27"/>
      <c r="DX27"/>
      <c r="DY27"/>
      <c r="DZ27"/>
      <c r="EA27"/>
      <c r="EB27"/>
    </row>
    <row r="28" spans="2:132" s="512" customFormat="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s="74"/>
      <c r="DE28" s="74" t="str">
        <f>'EE Inputs'!$N$16&amp;" Partcipant"</f>
        <v>High Savings Partcipant</v>
      </c>
      <c r="DF28" s="73" t="s">
        <v>32</v>
      </c>
      <c r="DG28" s="692" cm="1">
        <f t="array" aca="1" ref="DG28" ca="1">IFERROR(INDIRECT(DG$54&amp;DG$56&amp;$DN28),0)</f>
        <v>570.45487571349247</v>
      </c>
      <c r="DH28" s="646" cm="1">
        <f t="array" aca="1" ref="DH28" ca="1">IFERROR(INDIRECT(DH$54&amp;DH$56&amp;$DN28),0)</f>
        <v>570.56200988852027</v>
      </c>
      <c r="DI28" s="646" cm="1">
        <f t="array" aca="1" ref="DI28" ca="1">IFERROR(INDIRECT(DI$54&amp;DI$56&amp;$DN28),0)</f>
        <v>570.68770582204354</v>
      </c>
      <c r="DJ28" s="646" cm="1">
        <f t="array" aca="1" ref="DJ28" ca="1">IFERROR(INDIRECT(DJ$54&amp;DJ$56&amp;$DN28),0)</f>
        <v>579.38752807480591</v>
      </c>
      <c r="DK28" s="135"/>
      <c r="DL28"/>
      <c r="DM28"/>
      <c r="DN28" s="534">
        <f t="shared" si="2"/>
        <v>154</v>
      </c>
      <c r="DP28"/>
      <c r="DQ28"/>
      <c r="DR28"/>
      <c r="DS28"/>
      <c r="DT28"/>
      <c r="DU28"/>
      <c r="DV28"/>
      <c r="DW28"/>
      <c r="DX28"/>
      <c r="DY28"/>
      <c r="DZ28"/>
      <c r="EA28"/>
      <c r="EB28"/>
    </row>
    <row r="29" spans="2:132" s="512" customFormat="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s="177" t="s">
        <v>101</v>
      </c>
      <c r="DE29" s="74"/>
      <c r="DF29" s="73"/>
      <c r="DG29" s="692"/>
      <c r="DH29" s="646"/>
      <c r="DI29" s="646"/>
      <c r="DJ29" s="646"/>
      <c r="DK29" s="135"/>
      <c r="DL29"/>
      <c r="DM29"/>
      <c r="DN29" s="534">
        <f t="shared" si="2"/>
        <v>0</v>
      </c>
      <c r="DP29"/>
      <c r="DQ29"/>
      <c r="DR29"/>
      <c r="DS29"/>
      <c r="DT29"/>
      <c r="DU29"/>
      <c r="DV29"/>
      <c r="DW29"/>
      <c r="DX29"/>
      <c r="DY29"/>
      <c r="DZ29"/>
      <c r="EA29"/>
      <c r="EB29"/>
    </row>
    <row r="30" spans="2:132" s="512" customForma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s="74"/>
      <c r="DE30" s="74" t="s">
        <v>80</v>
      </c>
      <c r="DF30" s="73" t="s">
        <v>32</v>
      </c>
      <c r="DG30" s="693" cm="1">
        <f t="array" aca="1" ref="DG30" ca="1">IFERROR(INDIRECT(DG$54&amp;DG$56&amp;$DN30),0)</f>
        <v>3.7885104668931895</v>
      </c>
      <c r="DH30" s="647" cm="1">
        <f t="array" aca="1" ref="DH30" ca="1">IFERROR(INDIRECT(DH$54&amp;DH$56&amp;$DN30),0)</f>
        <v>3.9054691732554772</v>
      </c>
      <c r="DI30" s="647" cm="1">
        <f t="array" aca="1" ref="DI30" ca="1">IFERROR(INDIRECT(DI$54&amp;DI$56&amp;$DN30),0)</f>
        <v>4.0426918081062162</v>
      </c>
      <c r="DJ30" s="647" cm="1">
        <f t="array" aca="1" ref="DJ30" ca="1">IFERROR(INDIRECT(DJ$54&amp;DJ$56&amp;$DN30),0)</f>
        <v>11.031116826418488</v>
      </c>
      <c r="DK30" s="135"/>
      <c r="DL30"/>
      <c r="DM30"/>
      <c r="DN30" s="534">
        <f t="shared" si="2"/>
        <v>156</v>
      </c>
      <c r="DP30"/>
      <c r="DQ30"/>
      <c r="DR30"/>
      <c r="DS30"/>
      <c r="DT30"/>
      <c r="DU30"/>
      <c r="DV30"/>
      <c r="DW30"/>
      <c r="DX30"/>
      <c r="DY30"/>
      <c r="DZ30"/>
      <c r="EA30"/>
      <c r="EB30"/>
    </row>
    <row r="31" spans="2:132" s="512" customFormat="1"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s="74"/>
      <c r="DE31" s="74" t="s">
        <v>78</v>
      </c>
      <c r="DF31" s="73" t="s">
        <v>32</v>
      </c>
      <c r="DG31" s="693" cm="1">
        <f t="array" aca="1" ref="DG31" ca="1">IFERROR(INDIRECT(DG$54&amp;DG$56&amp;$DN31),0)</f>
        <v>-7.6312653278710298</v>
      </c>
      <c r="DH31" s="647" cm="1">
        <f t="array" aca="1" ref="DH31" ca="1">IFERROR(INDIRECT(DH$54&amp;DH$56&amp;$DN31),0)</f>
        <v>-7.8692035990614579</v>
      </c>
      <c r="DI31" s="647" cm="1">
        <f t="array" aca="1" ref="DI31" ca="1">IFERROR(INDIRECT(DI$54&amp;DI$56&amp;$DN31),0)</f>
        <v>-8.1936084653426029</v>
      </c>
      <c r="DJ31" s="647" cm="1">
        <f t="array" aca="1" ref="DJ31" ca="1">IFERROR(INDIRECT(DJ$54&amp;DJ$56&amp;$DN31),0)</f>
        <v>-22.1309275807373</v>
      </c>
      <c r="DK31" s="135"/>
      <c r="DL31"/>
      <c r="DM31"/>
      <c r="DN31" s="534">
        <f t="shared" si="2"/>
        <v>158</v>
      </c>
      <c r="DP31"/>
      <c r="DQ31"/>
      <c r="DR31"/>
      <c r="DS31"/>
      <c r="DT31"/>
      <c r="DU31"/>
      <c r="DV31"/>
      <c r="DW31"/>
      <c r="DX31"/>
      <c r="DY31"/>
      <c r="DZ31"/>
      <c r="EA31"/>
      <c r="EB31"/>
    </row>
    <row r="32" spans="2:132" s="512" customForma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s="74"/>
      <c r="DE32" s="74" t="str">
        <f>'EE Inputs'!$N$15&amp;" Partcipant"</f>
        <v>Low Savings Partcipant</v>
      </c>
      <c r="DF32" s="73" t="s">
        <v>32</v>
      </c>
      <c r="DG32" s="693" cm="1">
        <f t="array" aca="1" ref="DG32" ca="1">IFERROR(INDIRECT(DG$54&amp;DG$56&amp;$DN32),0)</f>
        <v>-1.5369250699986576</v>
      </c>
      <c r="DH32" s="647" cm="1">
        <f t="array" aca="1" ref="DH32" ca="1">IFERROR(INDIRECT(DH$54&amp;DH$56&amp;$DN32),0)</f>
        <v>-1.4213698681127973</v>
      </c>
      <c r="DI32" s="647" cm="1">
        <f t="array" aca="1" ref="DI32" ca="1">IFERROR(INDIRECT(DI$54&amp;DI$56&amp;$DN32),0)</f>
        <v>-1.285793904880232</v>
      </c>
      <c r="DJ32" s="647" cm="1">
        <f t="array" aca="1" ref="DJ32" ca="1">IFERROR(INDIRECT(DJ$54&amp;DJ$56&amp;$DN32),0)</f>
        <v>5.9471164326392545</v>
      </c>
      <c r="DK32" s="135"/>
      <c r="DL32"/>
      <c r="DM32"/>
      <c r="DN32" s="534">
        <f t="shared" si="2"/>
        <v>160</v>
      </c>
      <c r="DP32"/>
      <c r="DQ32"/>
      <c r="DR32"/>
      <c r="DS32"/>
      <c r="DT32"/>
      <c r="DU32"/>
      <c r="DV32"/>
      <c r="DW32"/>
      <c r="DX32"/>
      <c r="DY32"/>
      <c r="DZ32"/>
      <c r="EA32"/>
      <c r="EB32"/>
    </row>
    <row r="33" spans="2:132" s="512" customForma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s="74"/>
      <c r="DE33" s="74" t="str">
        <f>'EE Inputs'!$N$16&amp;" Partcipant"</f>
        <v>High Savings Partcipant</v>
      </c>
      <c r="DF33" s="73" t="s">
        <v>32</v>
      </c>
      <c r="DG33" s="693" cm="1">
        <f t="array" aca="1" ref="DG33" ca="1">IFERROR(INDIRECT(DG$54&amp;DG$56&amp;$DN33),0)</f>
        <v>-33.489538291350023</v>
      </c>
      <c r="DH33" s="647" cm="1">
        <f t="array" aca="1" ref="DH33" ca="1">IFERROR(INDIRECT(DH$54&amp;DH$56&amp;$DN33),0)</f>
        <v>-33.382404116322185</v>
      </c>
      <c r="DI33" s="647" cm="1">
        <f t="array" aca="1" ref="DI33" ca="1">IFERROR(INDIRECT(DI$54&amp;DI$56&amp;$DN33),0)</f>
        <v>-33.256708182798917</v>
      </c>
      <c r="DJ33" s="647" cm="1">
        <f t="array" aca="1" ref="DJ33" ca="1">IFERROR(INDIRECT(DJ$54&amp;DJ$56&amp;$DN33),0)</f>
        <v>-24.556885930036508</v>
      </c>
      <c r="DK33" s="135"/>
      <c r="DL33"/>
      <c r="DM33"/>
      <c r="DN33" s="534">
        <f t="shared" si="2"/>
        <v>162</v>
      </c>
      <c r="DP33"/>
      <c r="DQ33"/>
      <c r="DR33"/>
      <c r="DS33"/>
      <c r="DT33"/>
      <c r="DU33"/>
      <c r="DV33"/>
      <c r="DW33"/>
      <c r="DX33"/>
      <c r="DY33"/>
      <c r="DZ33"/>
      <c r="EA33"/>
      <c r="EB33"/>
    </row>
    <row r="34" spans="2:132" s="512" customForma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s="177" t="s">
        <v>102</v>
      </c>
      <c r="DE34" s="74"/>
      <c r="DF34" s="73"/>
      <c r="DG34" s="694"/>
      <c r="DH34" s="135"/>
      <c r="DI34" s="135"/>
      <c r="DJ34" s="135"/>
      <c r="DK34" s="135"/>
      <c r="DL34"/>
      <c r="DM34"/>
      <c r="DN34" s="534">
        <f t="shared" si="2"/>
        <v>0</v>
      </c>
      <c r="DP34"/>
      <c r="DQ34"/>
      <c r="DR34"/>
      <c r="DS34"/>
      <c r="DT34"/>
      <c r="DU34"/>
      <c r="DV34"/>
      <c r="DW34"/>
      <c r="DX34"/>
      <c r="DY34"/>
      <c r="DZ34"/>
      <c r="EA34"/>
      <c r="EB34"/>
    </row>
    <row r="35" spans="2:132" s="512" customFormat="1"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s="74"/>
      <c r="DE35" s="74" t="s">
        <v>80</v>
      </c>
      <c r="DF35" s="73" t="s">
        <v>16</v>
      </c>
      <c r="DG35" s="695" cm="1">
        <f t="array" aca="1" ref="DG35" ca="1">IFERROR(INDIRECT(DG$54&amp;DG$56&amp;$DN35),0)</f>
        <v>6.272945620559911E-3</v>
      </c>
      <c r="DH35" s="163" cm="1">
        <f t="array" aca="1" ref="DH35" ca="1">IFERROR(INDIRECT(DH$54&amp;DH$56&amp;$DN35),0)</f>
        <v>6.4666036851930286E-3</v>
      </c>
      <c r="DI35" s="163" cm="1">
        <f t="array" aca="1" ref="DI35" ca="1">IFERROR(INDIRECT(DI$54&amp;DI$56&amp;$DN35),0)</f>
        <v>6.693814388146313E-3</v>
      </c>
      <c r="DJ35" s="163" cm="1">
        <f t="array" aca="1" ref="DJ35" ca="1">IFERROR(INDIRECT(DJ$54&amp;DJ$56&amp;$DN35),0)</f>
        <v>1.8265119389497375E-2</v>
      </c>
      <c r="DK35" s="135"/>
      <c r="DL35"/>
      <c r="DM35"/>
      <c r="DN35" s="534">
        <f t="shared" si="2"/>
        <v>157</v>
      </c>
      <c r="DP35"/>
      <c r="DQ35"/>
      <c r="DR35"/>
      <c r="DS35"/>
      <c r="DT35"/>
      <c r="DU35"/>
      <c r="DV35"/>
      <c r="DW35"/>
      <c r="DX35"/>
      <c r="DY35"/>
      <c r="DZ35"/>
      <c r="EA35"/>
      <c r="EB35"/>
    </row>
    <row r="36" spans="2:132" s="512" customFormat="1"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s="74"/>
      <c r="DE36" s="74" t="s">
        <v>78</v>
      </c>
      <c r="DF36" s="73" t="s">
        <v>16</v>
      </c>
      <c r="DG36" s="695" cm="1">
        <f t="array" aca="1" ref="DG36" ca="1">IFERROR(INDIRECT(DG$54&amp;DG$56&amp;$DN36),0)</f>
        <v>-1.2635708106425003E-2</v>
      </c>
      <c r="DH36" s="163" cm="1">
        <f t="array" aca="1" ref="DH36" ca="1">IFERROR(INDIRECT(DH$54&amp;DH$56&amp;$DN36),0)</f>
        <v>-1.3029681898835133E-2</v>
      </c>
      <c r="DI36" s="163" cm="1">
        <f t="array" aca="1" ref="DI36" ca="1">IFERROR(INDIRECT(DI$54&amp;DI$56&amp;$DN36),0)</f>
        <v>-1.3566825481519995E-2</v>
      </c>
      <c r="DJ36" s="163" cm="1">
        <f t="array" aca="1" ref="DJ36" ca="1">IFERROR(INDIRECT(DJ$54&amp;DJ$56&amp;$DN36),0)</f>
        <v>-3.6643980915369023E-2</v>
      </c>
      <c r="DK36" s="135"/>
      <c r="DL36"/>
      <c r="DM36"/>
      <c r="DN36" s="534">
        <f t="shared" si="2"/>
        <v>159</v>
      </c>
      <c r="DP36"/>
      <c r="DQ36"/>
      <c r="DR36"/>
      <c r="DS36"/>
      <c r="DT36"/>
      <c r="DU36"/>
      <c r="DV36"/>
      <c r="DW36"/>
      <c r="DX36"/>
      <c r="DY36"/>
      <c r="DZ36"/>
      <c r="EA36"/>
      <c r="EB36"/>
    </row>
    <row r="37" spans="2:132" s="512" customForma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s="74"/>
      <c r="DE37" s="74" t="str">
        <f>'EE Inputs'!$N$15&amp;" Partcipant"</f>
        <v>Low Savings Partcipant</v>
      </c>
      <c r="DF37" s="73" t="s">
        <v>16</v>
      </c>
      <c r="DG37" s="695" cm="1">
        <f t="array" aca="1" ref="DG37" ca="1">IFERROR(INDIRECT(DG$54&amp;DG$56&amp;$DN37),0)</f>
        <v>-2.5448121289954884E-3</v>
      </c>
      <c r="DH37" s="163" cm="1">
        <f t="array" aca="1" ref="DH37" ca="1">IFERROR(INDIRECT(DH$54&amp;DH$56&amp;$DN37),0)</f>
        <v>-2.3534779611380507E-3</v>
      </c>
      <c r="DI37" s="163" cm="1">
        <f t="array" aca="1" ref="DI37" ca="1">IFERROR(INDIRECT(DI$54&amp;DI$56&amp;$DN37),0)</f>
        <v>-2.1289937866200148E-3</v>
      </c>
      <c r="DJ37" s="163" cm="1">
        <f t="array" aca="1" ref="DJ37" ca="1">IFERROR(INDIRECT(DJ$54&amp;DJ$56&amp;$DN37),0)</f>
        <v>9.8471254882599446E-3</v>
      </c>
      <c r="DK37" s="135"/>
      <c r="DL37"/>
      <c r="DM37"/>
      <c r="DN37" s="534">
        <f t="shared" si="2"/>
        <v>161</v>
      </c>
      <c r="DP37"/>
      <c r="DQ37"/>
      <c r="DR37"/>
      <c r="DS37"/>
      <c r="DT37"/>
      <c r="DU37"/>
      <c r="DV37"/>
      <c r="DW37"/>
      <c r="DX37"/>
      <c r="DY37"/>
      <c r="DZ37"/>
      <c r="EA37"/>
      <c r="EB37"/>
    </row>
    <row r="38" spans="2:132" s="512" customForma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s="74"/>
      <c r="DE38" s="74" t="str">
        <f>'EE Inputs'!$N$16&amp;" Partcipant"</f>
        <v>High Savings Partcipant</v>
      </c>
      <c r="DF38" s="73" t="s">
        <v>16</v>
      </c>
      <c r="DG38" s="695" cm="1">
        <f t="array" aca="1" ref="DG38" ca="1">IFERROR(INDIRECT(DG$54&amp;DG$56&amp;$DN38),0)</f>
        <v>-5.5451358626328107E-2</v>
      </c>
      <c r="DH38" s="163" cm="1">
        <f t="array" aca="1" ref="DH38" ca="1">IFERROR(INDIRECT(DH$54&amp;DH$56&amp;$DN38),0)</f>
        <v>-5.5273967839124083E-2</v>
      </c>
      <c r="DI38" s="163" cm="1">
        <f t="array" aca="1" ref="DI38" ca="1">IFERROR(INDIRECT(DI$54&amp;DI$56&amp;$DN38),0)</f>
        <v>-5.506584283521887E-2</v>
      </c>
      <c r="DJ38" s="163" cm="1">
        <f t="array" aca="1" ref="DJ38" ca="1">IFERROR(INDIRECT(DJ$54&amp;DJ$56&amp;$DN38),0)</f>
        <v>-4.066083791916586E-2</v>
      </c>
      <c r="DK38" s="135"/>
      <c r="DL38"/>
      <c r="DM38"/>
      <c r="DN38" s="534">
        <f t="shared" si="2"/>
        <v>163</v>
      </c>
      <c r="DP38"/>
      <c r="DQ38"/>
      <c r="DR38"/>
      <c r="DS38"/>
      <c r="DT38"/>
      <c r="DU38"/>
      <c r="DV38"/>
      <c r="DW38"/>
      <c r="DX38"/>
      <c r="DY38"/>
      <c r="DZ38"/>
      <c r="EA38"/>
      <c r="EB38"/>
    </row>
    <row r="39" spans="2:132" s="512" customFormat="1" ht="18.75" x14ac:dyDescent="0.3">
      <c r="B39"/>
      <c r="C39" s="101" t="str">
        <f>Lookups!$D$23&amp;" v "&amp;Lookups!$D$24</f>
        <v>Proposed EE v Alternative EE</v>
      </c>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c r="AK39" s="101" t="str">
        <f>C39</f>
        <v>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c r="BS39" s="411" t="s">
        <v>28</v>
      </c>
      <c r="BT39" s="196"/>
      <c r="BU39" s="196"/>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c r="DA39"/>
      <c r="DB39"/>
      <c r="DC39"/>
      <c r="DD39" s="74"/>
      <c r="DE39" s="74"/>
      <c r="DF39" s="73"/>
      <c r="DG39" s="73"/>
      <c r="DH39" s="74"/>
      <c r="DI39" s="74"/>
      <c r="DJ39" s="74"/>
      <c r="DK39" s="74"/>
      <c r="DL39"/>
      <c r="DM39"/>
      <c r="DN39" s="533"/>
      <c r="DP39"/>
      <c r="DQ39"/>
      <c r="DR39"/>
      <c r="DS39"/>
      <c r="DT39"/>
      <c r="DU39"/>
      <c r="DV39"/>
      <c r="DW39"/>
      <c r="DX39"/>
      <c r="DY39"/>
      <c r="DZ39"/>
      <c r="EA39"/>
      <c r="EB39"/>
    </row>
    <row r="40" spans="2:132" s="512" customFormat="1" ht="18.75"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s="412" t="s">
        <v>252</v>
      </c>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s="166" t="str">
        <f>Lookups!$D$23&amp;" v "&amp;Lookups!$D$24</f>
        <v>Proposed EE v Alternative EE</v>
      </c>
      <c r="DD40" s="166"/>
      <c r="DE40" s="167"/>
      <c r="DF40" s="696"/>
      <c r="DG40" s="697"/>
      <c r="DH40" s="168"/>
      <c r="DI40" s="168"/>
      <c r="DJ40" s="168"/>
      <c r="DK40" s="168"/>
      <c r="DL40" s="168"/>
      <c r="DM40"/>
      <c r="DN40" s="533"/>
      <c r="DP40"/>
      <c r="DQ40"/>
      <c r="DR40"/>
      <c r="DS40"/>
      <c r="DT40"/>
      <c r="DU40"/>
      <c r="DV40"/>
      <c r="DW40"/>
      <c r="DX40"/>
      <c r="DY40"/>
      <c r="DZ40"/>
      <c r="EA40"/>
      <c r="EB40"/>
    </row>
    <row r="41" spans="2:132" s="512" customForma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s="729" t="s">
        <v>164</v>
      </c>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c r="DA41"/>
      <c r="DB41"/>
      <c r="DC41"/>
      <c r="DD41" s="169" t="s">
        <v>101</v>
      </c>
      <c r="DE41" s="170"/>
      <c r="DF41" s="698"/>
      <c r="DG41" s="699"/>
      <c r="DH41" s="171"/>
      <c r="DI41" s="171"/>
      <c r="DJ41" s="171"/>
      <c r="DK41" s="171"/>
      <c r="DL41"/>
      <c r="DM41"/>
      <c r="DN41" s="533"/>
      <c r="DP41"/>
      <c r="DQ41"/>
      <c r="DR41"/>
      <c r="DS41"/>
      <c r="DT41"/>
      <c r="DU41"/>
      <c r="DV41"/>
      <c r="DW41"/>
      <c r="DX41"/>
      <c r="DY41"/>
      <c r="DZ41"/>
      <c r="EA41"/>
      <c r="EB41"/>
    </row>
    <row r="42" spans="2:132" s="512" customForma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c r="DA42"/>
      <c r="DB42"/>
      <c r="DC42"/>
      <c r="DD42" s="169"/>
      <c r="DE42" s="170" t="s">
        <v>80</v>
      </c>
      <c r="DF42" s="698" t="s">
        <v>32</v>
      </c>
      <c r="DG42" s="700">
        <f t="shared" ref="DG42:DJ45" ca="1" si="3">DG25-DG8</f>
        <v>0.57691099666237733</v>
      </c>
      <c r="DH42" s="648">
        <f t="shared" ca="1" si="3"/>
        <v>0.59478577013146605</v>
      </c>
      <c r="DI42" s="648">
        <f t="shared" ca="1" si="3"/>
        <v>0.61552326833930238</v>
      </c>
      <c r="DJ42" s="648">
        <f t="shared" ca="1" si="3"/>
        <v>1.6957488401565115</v>
      </c>
      <c r="DK42" s="179"/>
      <c r="DL42"/>
      <c r="DM42"/>
      <c r="DN42" s="533"/>
      <c r="DP42"/>
      <c r="DQ42"/>
      <c r="DR42"/>
      <c r="DS42"/>
      <c r="DT42"/>
      <c r="DU42"/>
      <c r="DV42"/>
      <c r="DW42"/>
      <c r="DX42"/>
      <c r="DY42"/>
      <c r="DZ42"/>
      <c r="EA42"/>
      <c r="EB42"/>
    </row>
    <row r="43" spans="2:132" s="512" customFormat="1"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s="727" t="s">
        <v>258</v>
      </c>
      <c r="BT43" s="727"/>
      <c r="BU43" s="727"/>
      <c r="BV43" s="727"/>
      <c r="BW43" s="727"/>
      <c r="BX43" s="727"/>
      <c r="BY43" s="727"/>
      <c r="BZ43" s="727"/>
      <c r="CA43" s="727"/>
      <c r="CB43" s="727"/>
      <c r="CC43" s="727"/>
      <c r="CD43" s="727"/>
      <c r="CE43" s="727"/>
      <c r="CF43" s="727"/>
      <c r="CG43" s="727"/>
      <c r="CH43" s="727"/>
      <c r="CI43" s="727"/>
      <c r="CJ43" s="727"/>
      <c r="CK43" s="727"/>
      <c r="CL43" s="727"/>
      <c r="CM43" s="727"/>
      <c r="CN43" s="727"/>
      <c r="CO43" s="727"/>
      <c r="CP43" s="727"/>
      <c r="CQ43" s="727"/>
      <c r="CR43" s="727"/>
      <c r="CS43" s="727"/>
      <c r="CT43" s="727"/>
      <c r="CU43" s="727"/>
      <c r="CV43" s="727"/>
      <c r="CW43" s="727"/>
      <c r="CX43" s="727"/>
      <c r="CY43" s="727"/>
      <c r="CZ43"/>
      <c r="DA43"/>
      <c r="DB43"/>
      <c r="DC43"/>
      <c r="DD43" s="169"/>
      <c r="DE43" s="170" t="s">
        <v>78</v>
      </c>
      <c r="DF43" s="698" t="s">
        <v>32</v>
      </c>
      <c r="DG43" s="700">
        <f t="shared" ca="1" si="3"/>
        <v>-0.8635507207743558</v>
      </c>
      <c r="DH43" s="648">
        <f t="shared" ca="1" si="3"/>
        <v>-0.8908530953274294</v>
      </c>
      <c r="DI43" s="648">
        <f t="shared" ca="1" si="3"/>
        <v>-0.92885584436805857</v>
      </c>
      <c r="DJ43" s="648">
        <f t="shared" ca="1" si="3"/>
        <v>-2.5393471638626579</v>
      </c>
      <c r="DK43" s="179"/>
      <c r="DL43"/>
      <c r="DM43"/>
      <c r="DN43" s="533"/>
      <c r="DP43"/>
      <c r="DQ43"/>
      <c r="DR43"/>
      <c r="DS43"/>
      <c r="DT43"/>
      <c r="DU43"/>
      <c r="DV43"/>
      <c r="DW43"/>
      <c r="DX43"/>
      <c r="DY43"/>
      <c r="DZ43"/>
      <c r="EA43"/>
      <c r="EB43"/>
    </row>
    <row r="44" spans="2:132" s="512" customForma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s="727"/>
      <c r="BT44" s="727"/>
      <c r="BU44" s="727"/>
      <c r="BV44" s="727"/>
      <c r="BW44" s="727"/>
      <c r="BX44" s="727"/>
      <c r="BY44" s="727"/>
      <c r="BZ44" s="727"/>
      <c r="CA44" s="727"/>
      <c r="CB44" s="727"/>
      <c r="CC44" s="727"/>
      <c r="CD44" s="727"/>
      <c r="CE44" s="727"/>
      <c r="CF44" s="727"/>
      <c r="CG44" s="727"/>
      <c r="CH44" s="727"/>
      <c r="CI44" s="727"/>
      <c r="CJ44" s="727"/>
      <c r="CK44" s="727"/>
      <c r="CL44" s="727"/>
      <c r="CM44" s="727"/>
      <c r="CN44" s="727"/>
      <c r="CO44" s="727"/>
      <c r="CP44" s="727"/>
      <c r="CQ44" s="727"/>
      <c r="CR44" s="727"/>
      <c r="CS44" s="727"/>
      <c r="CT44" s="727"/>
      <c r="CU44" s="727"/>
      <c r="CV44" s="727"/>
      <c r="CW44" s="727"/>
      <c r="CX44" s="727"/>
      <c r="CY44" s="727"/>
      <c r="CZ44"/>
      <c r="DA44"/>
      <c r="DB44"/>
      <c r="DC44"/>
      <c r="DD44" s="169"/>
      <c r="DE44" s="170" t="str">
        <f>'EE Inputs'!$N$15&amp;" Partcipant"</f>
        <v>Low Savings Partcipant</v>
      </c>
      <c r="DF44" s="698" t="s">
        <v>32</v>
      </c>
      <c r="DG44" s="700">
        <f t="shared" ca="1" si="3"/>
        <v>-0.31643070278630603</v>
      </c>
      <c r="DH44" s="648">
        <f t="shared" ca="1" si="3"/>
        <v>-0.29896859446455437</v>
      </c>
      <c r="DI44" s="648">
        <f t="shared" ca="1" si="3"/>
        <v>-0.27871291650853891</v>
      </c>
      <c r="DJ44" s="648">
        <f t="shared" ca="1" si="3"/>
        <v>0.8316904744092426</v>
      </c>
      <c r="DK44" s="179"/>
      <c r="DL44"/>
      <c r="DM44"/>
      <c r="DN44" s="533"/>
      <c r="DP44"/>
      <c r="DQ44"/>
      <c r="DR44"/>
      <c r="DS44"/>
      <c r="DT44"/>
      <c r="DU44"/>
      <c r="DV44"/>
      <c r="DW44"/>
      <c r="DX44"/>
      <c r="DY44"/>
      <c r="DZ44"/>
      <c r="EA44"/>
      <c r="EB44"/>
    </row>
    <row r="45" spans="2:132" s="512" customForma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c r="CT45" s="727"/>
      <c r="CU45" s="727"/>
      <c r="CV45" s="727"/>
      <c r="CW45" s="727"/>
      <c r="CX45" s="727"/>
      <c r="CY45" s="727"/>
      <c r="CZ45"/>
      <c r="DA45"/>
      <c r="DB45"/>
      <c r="DC45"/>
      <c r="DD45" s="169"/>
      <c r="DE45" s="170" t="str">
        <f>'EE Inputs'!$N$16&amp;" Partcipant"</f>
        <v>High Savings Partcipant</v>
      </c>
      <c r="DF45" s="698" t="s">
        <v>32</v>
      </c>
      <c r="DG45" s="700">
        <f t="shared" ca="1" si="3"/>
        <v>-5.6764808994778377</v>
      </c>
      <c r="DH45" s="648">
        <f t="shared" ca="1" si="3"/>
        <v>-5.6614947820406769</v>
      </c>
      <c r="DI45" s="648">
        <f t="shared" ca="1" si="3"/>
        <v>-5.6441300255953593</v>
      </c>
      <c r="DJ45" s="648">
        <f t="shared" ca="1" si="3"/>
        <v>-4.3526597200752803</v>
      </c>
      <c r="DK45" s="179"/>
      <c r="DL45"/>
      <c r="DM45"/>
      <c r="DN45" s="533"/>
      <c r="DP45"/>
      <c r="DQ45"/>
      <c r="DR45"/>
      <c r="DS45"/>
      <c r="DT45"/>
      <c r="DU45"/>
      <c r="DV45"/>
      <c r="DW45"/>
      <c r="DX45"/>
      <c r="DY45"/>
      <c r="DZ45"/>
      <c r="EA45"/>
      <c r="EB45"/>
    </row>
    <row r="46" spans="2:132" s="512" customForma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s="727" t="str">
        <f>"For the "&amp;Year1&amp;"-"&amp;Year3&amp;" bill impacts, the "&amp;'EE Inputs'!$N$15&amp;" and "&amp;'EE Inputs'!$N$16&amp;" participants install measures in the first year of the plan only (i.e., "&amp;Year1&amp;")."</f>
        <v>For the 2021-2023 bill impacts, the Low Savings and High Savings participants install measures in the first year of the plan only (i.e., 2021).</v>
      </c>
      <c r="BT46" s="727"/>
      <c r="BU46" s="727"/>
      <c r="BV46" s="727"/>
      <c r="BW46" s="727"/>
      <c r="BX46" s="727"/>
      <c r="BY46" s="727"/>
      <c r="BZ46" s="727"/>
      <c r="CA46" s="727"/>
      <c r="CB46" s="727"/>
      <c r="CC46" s="727"/>
      <c r="CD46" s="727"/>
      <c r="CE46" s="727"/>
      <c r="CF46" s="727"/>
      <c r="CG46" s="727"/>
      <c r="CH46" s="727"/>
      <c r="CI46" s="727"/>
      <c r="CJ46" s="727"/>
      <c r="CK46" s="727"/>
      <c r="CL46" s="727"/>
      <c r="CM46" s="727"/>
      <c r="CN46" s="727"/>
      <c r="CO46" s="727"/>
      <c r="CP46" s="727"/>
      <c r="CQ46" s="727"/>
      <c r="CR46" s="727"/>
      <c r="CS46" s="727"/>
      <c r="CT46" s="727"/>
      <c r="CU46" s="727"/>
      <c r="CV46" s="727"/>
      <c r="CW46" s="727"/>
      <c r="CX46" s="727"/>
      <c r="CY46" s="727"/>
      <c r="CZ46"/>
      <c r="DA46"/>
      <c r="DB46"/>
      <c r="DC46"/>
      <c r="DD46" s="169" t="s">
        <v>102</v>
      </c>
      <c r="DE46" s="170"/>
      <c r="DF46" s="698"/>
      <c r="DG46" s="699"/>
      <c r="DH46" s="171"/>
      <c r="DI46" s="171"/>
      <c r="DJ46" s="171"/>
      <c r="DK46" s="171"/>
      <c r="DL46"/>
      <c r="DM46"/>
      <c r="DN46" s="533"/>
      <c r="DP46"/>
      <c r="DQ46"/>
      <c r="DR46"/>
      <c r="DS46"/>
      <c r="DT46"/>
      <c r="DU46"/>
      <c r="DV46"/>
      <c r="DW46"/>
      <c r="DX46"/>
      <c r="DY46"/>
      <c r="DZ46"/>
      <c r="EA46"/>
      <c r="EB46"/>
    </row>
    <row r="47" spans="2:132" s="512" customForma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c r="DA47"/>
      <c r="DB47"/>
      <c r="DC47"/>
      <c r="DD47" s="169"/>
      <c r="DE47" s="170" t="s">
        <v>80</v>
      </c>
      <c r="DF47" s="698" t="s">
        <v>16</v>
      </c>
      <c r="DG47" s="701">
        <f t="shared" ref="DG47:DJ50" ca="1" si="4">IFERROR(DG25/DG8-1,0)</f>
        <v>9.501857576281747E-4</v>
      </c>
      <c r="DH47" s="175">
        <f t="shared" ca="1" si="4"/>
        <v>9.7946608051580064E-4</v>
      </c>
      <c r="DI47" s="175">
        <f t="shared" ca="1" si="4"/>
        <v>1.013421249905333E-3</v>
      </c>
      <c r="DJ47" s="175">
        <f t="shared" ca="1" si="4"/>
        <v>2.7650493134649956E-3</v>
      </c>
      <c r="DK47" s="179"/>
      <c r="DL47"/>
      <c r="DM47"/>
      <c r="DN47" s="533"/>
      <c r="DP47"/>
      <c r="DQ47"/>
      <c r="DR47"/>
      <c r="DS47"/>
      <c r="DT47"/>
      <c r="DU47"/>
      <c r="DV47"/>
      <c r="DW47"/>
      <c r="DX47"/>
      <c r="DY47"/>
      <c r="DZ47"/>
      <c r="EA47"/>
      <c r="EB47"/>
    </row>
    <row r="48" spans="2:132" s="512" customForma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s="169"/>
      <c r="DE48" s="170" t="s">
        <v>78</v>
      </c>
      <c r="DF48" s="698" t="s">
        <v>16</v>
      </c>
      <c r="DG48" s="701">
        <f t="shared" ca="1" si="4"/>
        <v>-1.4460556174500372E-3</v>
      </c>
      <c r="DH48" s="175">
        <f t="shared" ca="1" si="4"/>
        <v>-1.4923010700185202E-3</v>
      </c>
      <c r="DI48" s="175">
        <f t="shared" ca="1" si="4"/>
        <v>-1.5567077352925951E-3</v>
      </c>
      <c r="DJ48" s="175">
        <f t="shared" ca="1" si="4"/>
        <v>-4.3455717469030875E-3</v>
      </c>
      <c r="DK48" s="179"/>
      <c r="DL48"/>
      <c r="DM48"/>
      <c r="DN48" s="533"/>
      <c r="DP48"/>
      <c r="DQ48"/>
      <c r="DR48"/>
      <c r="DS48"/>
      <c r="DT48"/>
      <c r="DU48"/>
      <c r="DV48"/>
      <c r="DW48"/>
      <c r="DX48"/>
      <c r="DY48"/>
      <c r="DZ48"/>
      <c r="EA48"/>
      <c r="EB48"/>
    </row>
    <row r="49" spans="1:132" s="512" customForma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s="169"/>
      <c r="DE49" s="170" t="str">
        <f>'EE Inputs'!$N$15&amp;" Partcipant"</f>
        <v>Low Savings Partcipant</v>
      </c>
      <c r="DF49" s="698" t="s">
        <v>16</v>
      </c>
      <c r="DG49" s="701">
        <f t="shared" ca="1" si="4"/>
        <v>-5.2500107010278185E-4</v>
      </c>
      <c r="DH49" s="175">
        <f t="shared" ca="1" si="4"/>
        <v>-4.9594836975186407E-4</v>
      </c>
      <c r="DI49" s="175">
        <f t="shared" ca="1" si="4"/>
        <v>-4.6225851551462416E-4</v>
      </c>
      <c r="DJ49" s="175">
        <f t="shared" ca="1" si="4"/>
        <v>1.3655316273351037E-3</v>
      </c>
      <c r="DK49" s="179"/>
      <c r="DL49"/>
      <c r="DM49"/>
      <c r="DN49" s="533"/>
      <c r="DP49"/>
      <c r="DQ49"/>
      <c r="DR49"/>
      <c r="DS49"/>
      <c r="DT49"/>
      <c r="DU49"/>
      <c r="DV49"/>
      <c r="DW49"/>
      <c r="DX49"/>
      <c r="DY49"/>
      <c r="DZ49"/>
      <c r="EA49"/>
      <c r="EB49"/>
    </row>
    <row r="50" spans="1:132" s="512" customForma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s="169"/>
      <c r="DE50" s="170" t="str">
        <f>'EE Inputs'!$N$16&amp;" Partcipant"</f>
        <v>High Savings Partcipant</v>
      </c>
      <c r="DF50" s="698" t="s">
        <v>16</v>
      </c>
      <c r="DG50" s="701">
        <f t="shared" ca="1" si="4"/>
        <v>-9.8527546440960734E-3</v>
      </c>
      <c r="DH50" s="175">
        <f t="shared" ca="1" si="4"/>
        <v>-9.8251715456790789E-3</v>
      </c>
      <c r="DI50" s="175">
        <f t="shared" ca="1" si="4"/>
        <v>-9.7931949521654627E-3</v>
      </c>
      <c r="DJ50" s="175">
        <f t="shared" ca="1" si="4"/>
        <v>-7.456501729849685E-3</v>
      </c>
      <c r="DK50" s="179"/>
      <c r="DL50"/>
      <c r="DM50"/>
      <c r="DN50" s="533"/>
      <c r="DP50"/>
      <c r="DQ50"/>
      <c r="DR50"/>
      <c r="DS50"/>
      <c r="DT50"/>
      <c r="DU50"/>
      <c r="DV50"/>
      <c r="DW50"/>
      <c r="DX50"/>
      <c r="DY50"/>
      <c r="DZ50"/>
      <c r="EA50"/>
      <c r="EB50"/>
    </row>
    <row r="51" spans="1:132" s="512" customForma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s="169"/>
      <c r="DE51" s="170"/>
      <c r="DF51" s="698"/>
      <c r="DG51" s="702"/>
      <c r="DH51" s="179"/>
      <c r="DI51" s="179"/>
      <c r="DJ51" s="179"/>
      <c r="DK51" s="179"/>
      <c r="DL51"/>
      <c r="DM51"/>
      <c r="DN51" s="533"/>
      <c r="DP51"/>
      <c r="DQ51"/>
      <c r="DR51"/>
      <c r="DS51"/>
      <c r="DT51"/>
      <c r="DU51"/>
      <c r="DV51"/>
      <c r="DW51"/>
      <c r="DX51"/>
      <c r="DY51"/>
      <c r="DZ51"/>
      <c r="EA51"/>
      <c r="EB51"/>
    </row>
    <row r="52" spans="1:132" s="512" customForma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s="5"/>
      <c r="DG52" s="5"/>
      <c r="DH52"/>
      <c r="DI52"/>
      <c r="DJ52"/>
      <c r="DK52"/>
      <c r="DL52"/>
      <c r="DM52"/>
      <c r="DN52" s="533"/>
      <c r="DP52"/>
      <c r="DQ52"/>
      <c r="DR52"/>
      <c r="DS52"/>
      <c r="DT52"/>
      <c r="DU52"/>
      <c r="DV52"/>
      <c r="DW52"/>
      <c r="DX52"/>
      <c r="DY52"/>
      <c r="DZ52"/>
      <c r="EA52"/>
      <c r="EB52"/>
    </row>
    <row r="53" spans="1:132" s="512" customForma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s="535" t="s">
        <v>253</v>
      </c>
      <c r="DF53" s="517"/>
      <c r="DG53" s="5"/>
      <c r="DH53"/>
      <c r="DI53"/>
      <c r="DJ53"/>
      <c r="DK53"/>
      <c r="DL53"/>
      <c r="DM53"/>
      <c r="DN53" s="533"/>
      <c r="DP53"/>
      <c r="DQ53"/>
      <c r="DR53"/>
      <c r="DS53"/>
      <c r="DT53"/>
      <c r="DU53"/>
      <c r="DV53"/>
      <c r="DW53"/>
      <c r="DX53"/>
      <c r="DY53"/>
      <c r="DZ53"/>
      <c r="EA53"/>
      <c r="EB53"/>
    </row>
    <row r="54" spans="1:132" s="512" customForma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s="531" t="s">
        <v>120</v>
      </c>
      <c r="DF54" s="517"/>
      <c r="DG54" s="703" t="s">
        <v>293</v>
      </c>
      <c r="DH54" s="523" t="s">
        <v>294</v>
      </c>
      <c r="DI54" s="523" t="s">
        <v>295</v>
      </c>
      <c r="DJ54" s="523" t="s">
        <v>296</v>
      </c>
      <c r="DK54" s="133"/>
      <c r="DL54"/>
      <c r="DM54"/>
      <c r="DN54" s="533"/>
      <c r="DP54"/>
      <c r="DQ54"/>
      <c r="DR54"/>
      <c r="DS54"/>
      <c r="DT54"/>
      <c r="DU54"/>
      <c r="DV54"/>
      <c r="DW54"/>
      <c r="DX54"/>
      <c r="DY54"/>
      <c r="DZ54"/>
      <c r="EA54"/>
      <c r="EB54"/>
    </row>
    <row r="55" spans="1:132" s="512" customFormat="1" x14ac:dyDescent="0.25">
      <c r="B55"/>
      <c r="C55"/>
      <c r="D55"/>
      <c r="E55"/>
      <c r="F55"/>
      <c r="G55"/>
      <c r="H55"/>
      <c r="I55"/>
      <c r="J55"/>
      <c r="K55" s="1"/>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s="531" t="str">
        <f>Lookups!$D$23</f>
        <v>Proposed EE</v>
      </c>
      <c r="DF55" s="517"/>
      <c r="DG55" s="703" t="str">
        <f>IFERROR(LEFT(ADDRESS(1,COLUMN('Yr1'!$AJ$6)+MATCH(DG5,'Yr1'!$G$7:$AG$7,0)-1,4,1),LEN(ADDRESS(1,COLUMN('Yr1'!$AJ$6)+MATCH(DG5,'Yr1'!$G$7:$AG$7,0)-1,4,1))-1),"")</f>
        <v>AJ</v>
      </c>
      <c r="DH55" s="523" t="str">
        <f>DG55</f>
        <v>AJ</v>
      </c>
      <c r="DI55" s="523" t="str">
        <f t="shared" ref="DI55:DJ56" si="5">DH55</f>
        <v>AJ</v>
      </c>
      <c r="DJ55" s="523" t="str">
        <f t="shared" si="5"/>
        <v>AJ</v>
      </c>
      <c r="DK55" s="133"/>
      <c r="DL55"/>
      <c r="DM55"/>
      <c r="DN55" s="533"/>
      <c r="DP55"/>
      <c r="DQ55"/>
      <c r="DR55"/>
      <c r="DS55"/>
      <c r="DT55"/>
      <c r="DU55"/>
      <c r="DV55"/>
      <c r="DW55"/>
      <c r="DX55"/>
      <c r="DY55"/>
      <c r="DZ55"/>
      <c r="EA55"/>
      <c r="EB55"/>
    </row>
    <row r="56" spans="1:132" s="512" customForma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s="531" t="str">
        <f>Lookups!$D$24</f>
        <v>Alternative EE</v>
      </c>
      <c r="DF56" s="5"/>
      <c r="DG56" s="703" t="str">
        <f>IFERROR(LEFT(ADDRESS(1,COLUMN('Yr1'!$BP$6)+MATCH(DG5,'Yr1'!$G$7:$AG$7,0)-1,4,1),LEN(ADDRESS(1,COLUMN('Yr1'!$BP$6)+MATCH(DG5,'Yr1'!$G$7:$AG$7,0)-1,4,1))-1),"")</f>
        <v>BP</v>
      </c>
      <c r="DH56" s="523" t="str">
        <f>DG56</f>
        <v>BP</v>
      </c>
      <c r="DI56" s="523" t="str">
        <f t="shared" si="5"/>
        <v>BP</v>
      </c>
      <c r="DJ56" s="523" t="str">
        <f t="shared" si="5"/>
        <v>BP</v>
      </c>
      <c r="DK56"/>
      <c r="DL56"/>
      <c r="DM56"/>
      <c r="DN56" s="533"/>
      <c r="DP56"/>
      <c r="DQ56"/>
      <c r="DR56"/>
      <c r="DS56"/>
      <c r="DT56"/>
      <c r="DU56"/>
      <c r="DV56"/>
      <c r="DW56"/>
      <c r="DX56"/>
      <c r="DY56"/>
      <c r="DZ56"/>
      <c r="EA56"/>
      <c r="EB56"/>
    </row>
    <row r="57" spans="1:132" s="512" customForma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s="557" t="str">
        <f ca="1">"A non-participant will see a "&amp;TEXT($DJ$47,"0.#%")&amp;" "&amp;IF($DJ$47&gt;0,"increase","decrease")&amp;" in long-term average bills 
from the "&amp;Lookups!$D$24&amp;" scenario relative to the "&amp;Lookups!$D$23&amp;" scenario."</f>
        <v>A non-participant will see a 0.3% increase in long-term average bills 
from the Alternative EE scenario relative to the Proposed EE scenario.</v>
      </c>
      <c r="DF57" s="5"/>
      <c r="DG57" s="5"/>
      <c r="DH57"/>
      <c r="DI57"/>
      <c r="DJ57"/>
      <c r="DK57"/>
      <c r="DL57"/>
      <c r="DM57"/>
      <c r="DN57" s="533"/>
      <c r="DP57"/>
      <c r="DQ57"/>
      <c r="DR57"/>
      <c r="DS57"/>
      <c r="DT57"/>
      <c r="DU57"/>
      <c r="DV57"/>
      <c r="DW57"/>
      <c r="DX57"/>
      <c r="DY57"/>
      <c r="DZ57"/>
      <c r="EA57"/>
      <c r="EB57"/>
    </row>
    <row r="58" spans="1:132" s="512" customForma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s="5"/>
      <c r="DG58" s="5"/>
      <c r="DH58"/>
      <c r="DI58"/>
      <c r="DJ58"/>
      <c r="DK58"/>
      <c r="DL58"/>
      <c r="DM58"/>
      <c r="DN58" s="533"/>
      <c r="DP58"/>
      <c r="DQ58"/>
      <c r="DR58"/>
      <c r="DS58"/>
      <c r="DT58"/>
      <c r="DU58"/>
      <c r="DV58"/>
      <c r="DW58"/>
      <c r="DX58"/>
      <c r="DY58"/>
      <c r="DZ58"/>
      <c r="EA58"/>
      <c r="EB58"/>
    </row>
    <row r="59" spans="1:132" x14ac:dyDescent="0.25">
      <c r="A59" s="512"/>
    </row>
  </sheetData>
  <mergeCells count="4">
    <mergeCell ref="C4:G4"/>
    <mergeCell ref="BS41:CY42"/>
    <mergeCell ref="BS43:CY45"/>
    <mergeCell ref="BS46:CY47"/>
  </mergeCells>
  <pageMargins left="0.7" right="0.7" top="0.75" bottom="0.75" header="0.3" footer="0.3"/>
  <pageSetup scale="43" fitToWidth="2" fitToHeight="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Lookups!$D$26:$D$29</xm:f>
          </x14:formula1>
          <xm:sqref>C4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EB59"/>
  <sheetViews>
    <sheetView showGridLines="0" topLeftCell="AM1" zoomScale="85" zoomScaleNormal="85" workbookViewId="0">
      <selection activeCell="DN1" sqref="DN1:DN1048576"/>
    </sheetView>
  </sheetViews>
  <sheetFormatPr defaultRowHeight="15" x14ac:dyDescent="0.25"/>
  <cols>
    <col min="1" max="108" width="2.7109375" customWidth="1"/>
    <col min="109" max="109" width="25.7109375" bestFit="1" customWidth="1"/>
    <col min="110" max="110" width="4.7109375" style="5" customWidth="1"/>
    <col min="111" max="111" width="12" style="5" customWidth="1"/>
    <col min="112" max="114" width="12" customWidth="1"/>
    <col min="115" max="117" width="2.7109375" customWidth="1"/>
    <col min="118" max="118" width="5.5703125" style="533" bestFit="1" customWidth="1"/>
    <col min="119" max="119" width="5" style="512" bestFit="1" customWidth="1"/>
  </cols>
  <sheetData>
    <row r="1" spans="2:120" x14ac:dyDescent="0.25">
      <c r="AA1" s="1"/>
      <c r="BA1" s="1"/>
      <c r="DF1" s="354"/>
      <c r="DG1" s="354"/>
      <c r="DH1" s="115"/>
      <c r="DI1" s="115"/>
      <c r="DJ1" s="115"/>
      <c r="DK1" s="115"/>
    </row>
    <row r="2" spans="2:120" s="115" customFormat="1" ht="26.25" x14ac:dyDescent="0.25">
      <c r="B2" s="2" t="s">
        <v>396</v>
      </c>
      <c r="D2" s="2"/>
      <c r="E2" s="2"/>
      <c r="F2" s="2"/>
      <c r="G2" s="2"/>
      <c r="H2" s="2"/>
      <c r="I2" s="2"/>
      <c r="J2" s="2"/>
      <c r="K2" s="2"/>
      <c r="L2" s="2"/>
      <c r="M2" s="2"/>
      <c r="N2" s="2"/>
      <c r="O2" s="2"/>
      <c r="P2" s="680"/>
      <c r="Q2" s="2"/>
      <c r="R2" s="2"/>
      <c r="S2" s="136"/>
      <c r="T2" s="2"/>
      <c r="U2" s="2"/>
      <c r="V2" s="2"/>
      <c r="W2" s="2"/>
      <c r="X2" s="2"/>
      <c r="Y2" s="2"/>
      <c r="Z2" s="2"/>
      <c r="AA2" s="2"/>
      <c r="AB2" s="2"/>
      <c r="AC2" s="2"/>
      <c r="AD2" s="2"/>
      <c r="AE2" s="2"/>
      <c r="AF2" s="2"/>
      <c r="AG2" s="2"/>
      <c r="AH2" s="2"/>
      <c r="AI2" s="2"/>
      <c r="AJ2" s="1"/>
      <c r="AK2" s="2"/>
      <c r="AL2" s="2"/>
      <c r="AM2" s="2"/>
      <c r="AN2" s="2"/>
      <c r="AO2" s="2"/>
      <c r="AP2" s="2"/>
      <c r="AQ2" s="136"/>
      <c r="AR2" s="2"/>
      <c r="AS2" s="2"/>
      <c r="AT2" s="2"/>
      <c r="AU2" s="2"/>
      <c r="AV2" s="2"/>
      <c r="AW2" s="2"/>
      <c r="AX2" s="2"/>
      <c r="AY2" s="2"/>
      <c r="AZ2" s="2"/>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t="s">
        <v>74</v>
      </c>
      <c r="DE2" s="2"/>
      <c r="DF2" s="683"/>
      <c r="DG2" s="354"/>
      <c r="DN2" s="533"/>
      <c r="DO2" s="523"/>
    </row>
    <row r="3" spans="2:120" ht="21" x14ac:dyDescent="0.25">
      <c r="B3" s="245" t="str">
        <f>Lookups!$E$6</f>
        <v>Liberty</v>
      </c>
      <c r="P3" s="1"/>
      <c r="S3" s="1"/>
      <c r="AK3" s="1"/>
      <c r="BA3" s="1"/>
      <c r="CC3" s="1"/>
      <c r="DC3" s="115"/>
      <c r="DD3" s="100"/>
      <c r="DE3" s="115"/>
      <c r="DF3" s="354"/>
      <c r="DG3" s="354"/>
      <c r="DH3" s="115"/>
      <c r="DI3" s="115"/>
      <c r="DJ3" s="115"/>
      <c r="DK3" s="115"/>
    </row>
    <row r="4" spans="2:120" x14ac:dyDescent="0.25">
      <c r="B4" s="348"/>
      <c r="C4" s="773" t="s">
        <v>42</v>
      </c>
      <c r="D4" s="774"/>
      <c r="E4" s="774"/>
      <c r="F4" s="774"/>
      <c r="G4" s="775"/>
      <c r="H4" t="s">
        <v>27</v>
      </c>
      <c r="P4" s="1"/>
      <c r="AK4" s="1"/>
      <c r="BA4" s="1"/>
      <c r="CC4" s="1"/>
      <c r="DF4" s="354"/>
      <c r="DG4" s="354"/>
      <c r="DH4" s="115"/>
      <c r="DI4" s="115"/>
      <c r="DJ4" s="115"/>
      <c r="DK4" s="115"/>
    </row>
    <row r="5" spans="2:120" x14ac:dyDescent="0.25">
      <c r="M5" s="154"/>
      <c r="P5" s="1"/>
      <c r="DG5" s="644">
        <f>Year1</f>
        <v>2021</v>
      </c>
      <c r="DH5" s="117">
        <f>DG5+1</f>
        <v>2022</v>
      </c>
      <c r="DI5" s="117">
        <f>DH5+1</f>
        <v>2023</v>
      </c>
      <c r="DJ5" s="97" t="str">
        <f>Year1&amp;"-"&amp;Year3</f>
        <v>2021-2023</v>
      </c>
      <c r="DK5" s="97"/>
      <c r="DN5" s="535" t="s">
        <v>253</v>
      </c>
    </row>
    <row r="6" spans="2:120" ht="23.25" x14ac:dyDescent="0.35">
      <c r="C6" s="682" t="str">
        <f>Year1&amp;"-"&amp;Year3&amp;" Long-Term Levelized Change in Bills"</f>
        <v>2021-2023 Long-Term Levelized Change in Bills</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1"/>
      <c r="AK6" s="682" t="s">
        <v>421</v>
      </c>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1"/>
      <c r="BS6" s="682" t="s">
        <v>422</v>
      </c>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c r="CU6" s="682"/>
      <c r="CV6" s="682"/>
      <c r="CW6" s="682"/>
      <c r="CX6" s="682"/>
      <c r="CY6" s="682"/>
      <c r="DC6" s="91" t="str">
        <f>Lookups!$D$23&amp;" v "&amp;Lookups!$D$22</f>
        <v>Proposed EE v No EE</v>
      </c>
      <c r="DD6" s="91"/>
      <c r="DE6" s="90"/>
      <c r="DF6" s="684"/>
      <c r="DG6" s="685"/>
      <c r="DH6" s="209"/>
      <c r="DI6" s="209"/>
      <c r="DJ6" s="209"/>
      <c r="DK6" s="98"/>
      <c r="DL6" s="98"/>
      <c r="DN6" s="515">
        <f>'Output Summary'!T33</f>
        <v>79</v>
      </c>
    </row>
    <row r="7" spans="2:120" ht="18.75" x14ac:dyDescent="0.3">
      <c r="C7" s="91" t="str">
        <f>Lookups!$D$23&amp;" v "&amp;Lookups!$D$22</f>
        <v>Proposed EE v No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K7" s="91" t="str">
        <f>C7</f>
        <v>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S7" s="91" t="str">
        <f>Lookups!$D$23</f>
        <v>Proposed EE</v>
      </c>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DD7" s="178" t="s">
        <v>51</v>
      </c>
      <c r="DE7" s="49"/>
      <c r="DF7" s="48"/>
      <c r="DG7" s="686"/>
      <c r="DH7" s="103"/>
      <c r="DI7" s="103"/>
      <c r="DJ7" s="103"/>
      <c r="DK7" s="49"/>
      <c r="DN7" s="536"/>
    </row>
    <row r="8" spans="2:120" x14ac:dyDescent="0.25">
      <c r="DD8" s="49"/>
      <c r="DE8" s="49" t="s">
        <v>80</v>
      </c>
      <c r="DF8" s="48" t="s">
        <v>32</v>
      </c>
      <c r="DG8" s="687" cm="1">
        <f t="array" aca="1" ref="DG8" ca="1">IFERROR(INDIRECT(DG$54&amp;DG$55&amp;$DN8),0)</f>
        <v>2645.0778520838007</v>
      </c>
      <c r="DH8" s="643" cm="1">
        <f t="array" aca="1" ref="DH8" ca="1">IFERROR(INDIRECT(DH$54&amp;DH$55&amp;$DN8),0)</f>
        <v>2646.0882575823002</v>
      </c>
      <c r="DI8" s="643" cm="1">
        <f t="array" aca="1" ref="DI8" ca="1">IFERROR(INDIRECT(DI$54&amp;DI$55&amp;$DN8),0)</f>
        <v>2647.3017393200485</v>
      </c>
      <c r="DJ8" s="643" cm="1">
        <f t="array" aca="1" ref="DJ8" ca="1">IFERROR(INDIRECT(DJ$54&amp;DJ$55&amp;$DN8),0)</f>
        <v>2684.330529155819</v>
      </c>
      <c r="DK8" s="134"/>
      <c r="DN8" s="515">
        <f>ROW('Yr1'!AK72)+($DN$6*IF($C$4=Lookups!$D$26,0,IF($C$4=Lookups!$D$27,1,IF($C$4=Lookups!$D$28,2,IF($C$4=Lookups!$D$29,3)))))</f>
        <v>230</v>
      </c>
      <c r="DP8" s="1"/>
    </row>
    <row r="9" spans="2:120" x14ac:dyDescent="0.25">
      <c r="DD9" s="49"/>
      <c r="DE9" s="49" t="s">
        <v>78</v>
      </c>
      <c r="DF9" s="48" t="s">
        <v>32</v>
      </c>
      <c r="DG9" s="687" cm="1">
        <f t="array" aca="1" ref="DG9" ca="1">IFERROR(INDIRECT(DG$54&amp;DG$55&amp;$DN9),0)</f>
        <v>2618.6460966386876</v>
      </c>
      <c r="DH9" s="643" cm="1">
        <f t="array" aca="1" ref="DH9" ca="1">IFERROR(INDIRECT(DH$54&amp;DH$55&amp;$DN9),0)</f>
        <v>2618.2067221139346</v>
      </c>
      <c r="DI9" s="643" cm="1">
        <f t="array" aca="1" ref="DI9" ca="1">IFERROR(INDIRECT(DI$54&amp;DI$55&amp;$DN9),0)</f>
        <v>2618.1122720570124</v>
      </c>
      <c r="DJ9" s="643" cm="1">
        <f t="array" aca="1" ref="DJ9" ca="1">IFERROR(INDIRECT(DJ$54&amp;DJ$55&amp;$DN9),0)</f>
        <v>2605.509892723544</v>
      </c>
      <c r="DK9" s="134"/>
      <c r="DN9" s="534">
        <f>DN8+1</f>
        <v>231</v>
      </c>
    </row>
    <row r="10" spans="2:120" x14ac:dyDescent="0.25">
      <c r="DD10" s="49"/>
      <c r="DE10" s="49" t="str">
        <f>'EE Inputs'!$N$15&amp;" Partcipant"</f>
        <v>Low Savings Partcipant</v>
      </c>
      <c r="DF10" s="48" t="s">
        <v>32</v>
      </c>
      <c r="DG10" s="687" cm="1">
        <f t="array" aca="1" ref="DG10" ca="1">IFERROR(INDIRECT(DG$54&amp;DG$55&amp;$DN10),0)</f>
        <v>2577.5285222979219</v>
      </c>
      <c r="DH10" s="643" cm="1">
        <f t="array" aca="1" ref="DH10" ca="1">IFERROR(INDIRECT(DH$54&amp;DH$55&amp;$DN10),0)</f>
        <v>2578.4884075214959</v>
      </c>
      <c r="DI10" s="643" cm="1">
        <f t="array" aca="1" ref="DI10" ca="1">IFERROR(INDIRECT(DI$54&amp;DI$55&amp;$DN10),0)</f>
        <v>2579.6412151723571</v>
      </c>
      <c r="DJ10" s="643" cm="1">
        <f t="array" aca="1" ref="DJ10" ca="1">IFERROR(INDIRECT(DJ$54&amp;DJ$55&amp;$DN10),0)</f>
        <v>2618.9905409104858</v>
      </c>
      <c r="DK10" s="134"/>
      <c r="DN10" s="534">
        <f t="shared" ref="DN10:DN11" si="0">DN9+1</f>
        <v>232</v>
      </c>
    </row>
    <row r="11" spans="2:120" x14ac:dyDescent="0.25">
      <c r="DD11" s="49"/>
      <c r="DE11" s="49" t="str">
        <f>'EE Inputs'!$N$16&amp;" Partcipant"</f>
        <v>High Savings Partcipant</v>
      </c>
      <c r="DF11" s="48" t="s">
        <v>32</v>
      </c>
      <c r="DG11" s="687" cm="1">
        <f t="array" aca="1" ref="DG11" ca="1">IFERROR(INDIRECT(DG$54&amp;DG$55&amp;$DN11),0)</f>
        <v>2509.9791925120417</v>
      </c>
      <c r="DH11" s="643" cm="1">
        <f t="array" aca="1" ref="DH11" ca="1">IFERROR(INDIRECT(DH$54&amp;DH$55&amp;$DN11),0)</f>
        <v>2510.8885574606911</v>
      </c>
      <c r="DI11" s="643" cm="1">
        <f t="array" aca="1" ref="DI11" ca="1">IFERROR(INDIRECT(DI$54&amp;DI$55&amp;$DN11),0)</f>
        <v>2511.9806910246648</v>
      </c>
      <c r="DJ11" s="643" cm="1">
        <f t="array" aca="1" ref="DJ11" ca="1">IFERROR(INDIRECT(DJ$54&amp;DJ$55&amp;$DN11),0)</f>
        <v>2553.6505526651526</v>
      </c>
      <c r="DK11" s="134"/>
      <c r="DN11" s="534">
        <f t="shared" si="0"/>
        <v>233</v>
      </c>
    </row>
    <row r="12" spans="2:120" x14ac:dyDescent="0.25">
      <c r="DC12" s="18"/>
      <c r="DD12" s="178" t="s">
        <v>101</v>
      </c>
      <c r="DE12" s="49"/>
      <c r="DF12" s="48"/>
      <c r="DG12" s="688"/>
      <c r="DH12" s="642"/>
      <c r="DI12" s="642"/>
      <c r="DJ12" s="642"/>
      <c r="DK12" s="134"/>
      <c r="DN12" s="534"/>
    </row>
    <row r="13" spans="2:120" x14ac:dyDescent="0.25">
      <c r="DB13" s="18"/>
      <c r="DD13" s="49"/>
      <c r="DE13" s="49" t="s">
        <v>80</v>
      </c>
      <c r="DF13" s="48" t="s">
        <v>32</v>
      </c>
      <c r="DG13" s="688" cm="1">
        <f t="array" aca="1" ref="DG13" ca="1">IFERROR(INDIRECT(DG$54&amp;DG$55&amp;$DN13),0)</f>
        <v>20.055111661519049</v>
      </c>
      <c r="DH13" s="642" cm="1">
        <f t="array" aca="1" ref="DH13" ca="1">IFERROR(INDIRECT(DH$54&amp;DH$55&amp;$DN13),0)</f>
        <v>21.065517160018313</v>
      </c>
      <c r="DI13" s="642" cm="1">
        <f t="array" aca="1" ref="DI13" ca="1">IFERROR(INDIRECT(DI$54&amp;DI$55&amp;$DN13),0)</f>
        <v>22.278998897766805</v>
      </c>
      <c r="DJ13" s="642" cm="1">
        <f t="array" aca="1" ref="DJ13" ca="1">IFERROR(INDIRECT(DJ$54&amp;DJ$55&amp;$DN13),0)</f>
        <v>59.30778873353669</v>
      </c>
      <c r="DK13" s="134"/>
      <c r="DN13" s="534">
        <f>DN11+2</f>
        <v>235</v>
      </c>
    </row>
    <row r="14" spans="2:120" x14ac:dyDescent="0.25">
      <c r="DD14" s="49"/>
      <c r="DE14" s="49" t="s">
        <v>78</v>
      </c>
      <c r="DF14" s="48" t="s">
        <v>32</v>
      </c>
      <c r="DG14" s="688" cm="1">
        <f t="array" aca="1" ref="DG14" ca="1">IFERROR(INDIRECT(DG$54&amp;DG$55&amp;$DN14),0)</f>
        <v>-6.3766437835949148</v>
      </c>
      <c r="DH14" s="642" cm="1">
        <f t="array" aca="1" ref="DH14" ca="1">IFERROR(INDIRECT(DH$54&amp;DH$55&amp;$DN14),0)</f>
        <v>-6.8160183083475836</v>
      </c>
      <c r="DI14" s="642" cm="1">
        <f t="array" aca="1" ref="DI14" ca="1">IFERROR(INDIRECT(DI$54&amp;DI$55&amp;$DN14),0)</f>
        <v>-6.9104683652692529</v>
      </c>
      <c r="DJ14" s="642" cm="1">
        <f t="array" aca="1" ref="DJ14" ca="1">IFERROR(INDIRECT(DJ$54&amp;DJ$55&amp;$DN14),0)</f>
        <v>-19.512847698738476</v>
      </c>
      <c r="DK14" s="134"/>
      <c r="DN14" s="534">
        <f>DN13+2</f>
        <v>237</v>
      </c>
    </row>
    <row r="15" spans="2:120" x14ac:dyDescent="0.25">
      <c r="DD15" s="49"/>
      <c r="DE15" s="49" t="str">
        <f>'EE Inputs'!$N$15&amp;" Partcipant"</f>
        <v>Low Savings Partcipant</v>
      </c>
      <c r="DF15" s="48" t="s">
        <v>32</v>
      </c>
      <c r="DG15" s="688" cm="1">
        <f t="array" aca="1" ref="DG15" ca="1">IFERROR(INDIRECT(DG$54&amp;DG$55&amp;$DN15),0)</f>
        <v>-47.494218124360401</v>
      </c>
      <c r="DH15" s="642" cm="1">
        <f t="array" aca="1" ref="DH15" ca="1">IFERROR(INDIRECT(DH$54&amp;DH$55&amp;$DN15),0)</f>
        <v>-46.534332900786055</v>
      </c>
      <c r="DI15" s="642" cm="1">
        <f t="array" aca="1" ref="DI15" ca="1">IFERROR(INDIRECT(DI$54&amp;DI$55&amp;$DN15),0)</f>
        <v>-45.381525249924849</v>
      </c>
      <c r="DJ15" s="642" cm="1">
        <f t="array" aca="1" ref="DJ15" ca="1">IFERROR(INDIRECT(DJ$54&amp;DJ$55&amp;$DN15),0)</f>
        <v>-6.0321995117960094</v>
      </c>
      <c r="DK15" s="134"/>
      <c r="DN15" s="534">
        <f t="shared" ref="DN15:DN21" si="1">DN14+2</f>
        <v>239</v>
      </c>
    </row>
    <row r="16" spans="2:120" x14ac:dyDescent="0.25">
      <c r="DD16" s="49"/>
      <c r="DE16" s="49" t="str">
        <f>'EE Inputs'!$N$16&amp;" Partcipant"</f>
        <v>High Savings Partcipant</v>
      </c>
      <c r="DF16" s="48" t="s">
        <v>32</v>
      </c>
      <c r="DG16" s="688" cm="1">
        <f t="array" aca="1" ref="DG16" ca="1">IFERROR(INDIRECT(DG$54&amp;DG$55&amp;$DN16),0)</f>
        <v>-115.04354791024014</v>
      </c>
      <c r="DH16" s="642" cm="1">
        <f t="array" aca="1" ref="DH16" ca="1">IFERROR(INDIRECT(DH$54&amp;DH$55&amp;$DN16),0)</f>
        <v>-114.13418296159071</v>
      </c>
      <c r="DI16" s="642" cm="1">
        <f t="array" aca="1" ref="DI16" ca="1">IFERROR(INDIRECT(DI$54&amp;DI$55&amp;$DN16),0)</f>
        <v>-113.04204939761681</v>
      </c>
      <c r="DJ16" s="642" cm="1">
        <f t="array" aca="1" ref="DJ16" ca="1">IFERROR(INDIRECT(DJ$54&amp;DJ$55&amp;$DN16),0)</f>
        <v>-71.372187757129026</v>
      </c>
      <c r="DK16" s="134"/>
      <c r="DN16" s="534">
        <f t="shared" si="1"/>
        <v>241</v>
      </c>
    </row>
    <row r="17" spans="2:132" s="512" customForma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s="178" t="s">
        <v>102</v>
      </c>
      <c r="DE17" s="49"/>
      <c r="DF17" s="48"/>
      <c r="DG17" s="689"/>
      <c r="DH17" s="134"/>
      <c r="DI17" s="134"/>
      <c r="DJ17" s="134"/>
      <c r="DK17" s="134"/>
      <c r="DL17"/>
      <c r="DM17"/>
      <c r="DN17" s="534"/>
      <c r="DP17"/>
      <c r="DQ17"/>
      <c r="DR17"/>
      <c r="DS17"/>
      <c r="DT17"/>
      <c r="DU17"/>
      <c r="DV17"/>
      <c r="DW17"/>
      <c r="DX17"/>
      <c r="DY17"/>
      <c r="DZ17"/>
      <c r="EA17"/>
      <c r="EB17"/>
    </row>
    <row r="18" spans="2:132" s="512" customFormat="1" x14ac:dyDescent="0.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s="49"/>
      <c r="DE18" s="49" t="s">
        <v>80</v>
      </c>
      <c r="DF18" s="48" t="s">
        <v>16</v>
      </c>
      <c r="DG18" s="690" cm="1">
        <f t="array" aca="1" ref="DG18" ca="1">IFERROR(INDIRECT(DG$54&amp;DG$55&amp;$DN18),0)</f>
        <v>7.6399763524686026E-3</v>
      </c>
      <c r="DH18" s="164" cm="1">
        <f t="array" aca="1" ref="DH18" ca="1">IFERROR(INDIRECT(DH$54&amp;DH$55&amp;$DN18),0)</f>
        <v>8.0248893983405623E-3</v>
      </c>
      <c r="DI18" s="164" cm="1">
        <f t="array" aca="1" ref="DI18" ca="1">IFERROR(INDIRECT(DI$54&amp;DI$55&amp;$DN18),0)</f>
        <v>8.4871641508834639E-3</v>
      </c>
      <c r="DJ18" s="164" cm="1">
        <f t="array" aca="1" ref="DJ18" ca="1">IFERROR(INDIRECT(DJ$54&amp;DJ$55&amp;$DN18),0)</f>
        <v>2.2593247601350619E-2</v>
      </c>
      <c r="DK18" s="157"/>
      <c r="DL18"/>
      <c r="DM18"/>
      <c r="DN18" s="534">
        <f>DN13+1</f>
        <v>236</v>
      </c>
      <c r="DP18"/>
      <c r="DQ18"/>
      <c r="DR18"/>
      <c r="DS18"/>
      <c r="DT18"/>
      <c r="DU18"/>
      <c r="DV18"/>
      <c r="DW18"/>
      <c r="DX18"/>
      <c r="DY18"/>
      <c r="DZ18"/>
      <c r="EA18"/>
      <c r="EB18"/>
    </row>
    <row r="19" spans="2:132" s="512" customFormat="1" x14ac:dyDescent="0.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49"/>
      <c r="DE19" s="49" t="s">
        <v>78</v>
      </c>
      <c r="DF19" s="48" t="s">
        <v>16</v>
      </c>
      <c r="DG19" s="690" cm="1">
        <f t="array" aca="1" ref="DG19" ca="1">IFERROR(INDIRECT(DG$54&amp;DG$55&amp;$DN19),0)</f>
        <v>-2.4291765878451388E-3</v>
      </c>
      <c r="DH19" s="164" cm="1">
        <f t="array" aca="1" ref="DH19" ca="1">IFERROR(INDIRECT(DH$54&amp;DH$55&amp;$DN19),0)</f>
        <v>-2.5965559091695178E-3</v>
      </c>
      <c r="DI19" s="164" cm="1">
        <f t="array" aca="1" ref="DI19" ca="1">IFERROR(INDIRECT(DI$54&amp;DI$55&amp;$DN19),0)</f>
        <v>-2.6325365715339499E-3</v>
      </c>
      <c r="DJ19" s="164" cm="1">
        <f t="array" aca="1" ref="DJ19" ca="1">IFERROR(INDIRECT(DJ$54&amp;DJ$55&amp;$DN19),0)</f>
        <v>-7.4334013943053723E-3</v>
      </c>
      <c r="DK19" s="157"/>
      <c r="DL19"/>
      <c r="DM19"/>
      <c r="DN19" s="534">
        <f t="shared" si="1"/>
        <v>238</v>
      </c>
      <c r="DP19"/>
      <c r="DQ19"/>
      <c r="DR19"/>
      <c r="DS19"/>
      <c r="DT19"/>
      <c r="DU19"/>
      <c r="DV19"/>
      <c r="DW19"/>
      <c r="DX19"/>
      <c r="DY19"/>
      <c r="DZ19"/>
      <c r="EA19"/>
      <c r="EB19"/>
    </row>
    <row r="20" spans="2:132" s="512" customFormat="1" x14ac:dyDescent="0.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49"/>
      <c r="DE20" s="49" t="str">
        <f>'EE Inputs'!$N$15&amp;" Partcipant"</f>
        <v>Low Savings Partcipant</v>
      </c>
      <c r="DF20" s="48" t="s">
        <v>16</v>
      </c>
      <c r="DG20" s="690" cm="1">
        <f t="array" aca="1" ref="DG20" ca="1">IFERROR(INDIRECT(DG$54&amp;DG$55&amp;$DN20),0)</f>
        <v>-1.8092878737012486E-2</v>
      </c>
      <c r="DH20" s="164" cm="1">
        <f t="array" aca="1" ref="DH20" ca="1">IFERROR(INDIRECT(DH$54&amp;DH$55&amp;$DN20),0)</f>
        <v>-1.7727211343434135E-2</v>
      </c>
      <c r="DI20" s="164" cm="1">
        <f t="array" aca="1" ref="DI20" ca="1">IFERROR(INDIRECT(DI$54&amp;DI$55&amp;$DN20),0)</f>
        <v>-1.7288050328518212E-2</v>
      </c>
      <c r="DJ20" s="164" cm="1">
        <f t="array" aca="1" ref="DJ20" ca="1">IFERROR(INDIRECT(DJ$54&amp;DJ$55&amp;$DN20),0)</f>
        <v>-2.2979608591223721E-3</v>
      </c>
      <c r="DK20" s="157"/>
      <c r="DL20"/>
      <c r="DM20"/>
      <c r="DN20" s="534">
        <f t="shared" si="1"/>
        <v>240</v>
      </c>
      <c r="DP20"/>
      <c r="DQ20"/>
      <c r="DR20"/>
      <c r="DS20"/>
      <c r="DT20"/>
      <c r="DU20"/>
      <c r="DV20"/>
      <c r="DW20"/>
      <c r="DX20"/>
      <c r="DY20"/>
      <c r="DZ20"/>
      <c r="EA20"/>
      <c r="EB20"/>
    </row>
    <row r="21" spans="2:132" s="512" customFormat="1" x14ac:dyDescent="0.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s="49"/>
      <c r="DE21" s="49" t="str">
        <f>'EE Inputs'!$N$16&amp;" Partcipant"</f>
        <v>High Savings Partcipant</v>
      </c>
      <c r="DF21" s="48" t="s">
        <v>16</v>
      </c>
      <c r="DG21" s="690" cm="1">
        <f t="array" aca="1" ref="DG21" ca="1">IFERROR(INDIRECT(DG$54&amp;DG$55&amp;$DN21),0)</f>
        <v>-4.3825733826494018E-2</v>
      </c>
      <c r="DH21" s="164" cm="1">
        <f t="array" aca="1" ref="DH21" ca="1">IFERROR(INDIRECT(DH$54&amp;DH$55&amp;$DN21),0)</f>
        <v>-4.3479312085209054E-2</v>
      </c>
      <c r="DI21" s="164" cm="1">
        <f t="array" aca="1" ref="DI21" ca="1">IFERROR(INDIRECT(DI$54&amp;DI$55&amp;$DN21),0)</f>
        <v>-4.3063264807920332E-2</v>
      </c>
      <c r="DJ21" s="164" cm="1">
        <f t="array" aca="1" ref="DJ21" ca="1">IFERROR(INDIRECT(DJ$54&amp;DJ$55&amp;$DN21),0)</f>
        <v>-2.7189169319595363E-2</v>
      </c>
      <c r="DK21" s="157"/>
      <c r="DL21"/>
      <c r="DM21"/>
      <c r="DN21" s="534">
        <f t="shared" si="1"/>
        <v>242</v>
      </c>
      <c r="DP21"/>
      <c r="DQ21"/>
      <c r="DR21"/>
      <c r="DS21"/>
      <c r="DT21"/>
      <c r="DU21"/>
      <c r="DV21"/>
      <c r="DW21"/>
      <c r="DX21"/>
      <c r="DY21"/>
      <c r="DZ21"/>
      <c r="EA21"/>
      <c r="EB21"/>
    </row>
    <row r="22" spans="2:132" s="512" customFormat="1" x14ac:dyDescent="0.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s="49"/>
      <c r="DE22" s="49"/>
      <c r="DF22" s="48"/>
      <c r="DG22" s="48"/>
      <c r="DH22" s="49"/>
      <c r="DI22" s="49"/>
      <c r="DJ22" s="49"/>
      <c r="DK22" s="49"/>
      <c r="DL22"/>
      <c r="DM22"/>
      <c r="DN22" s="534"/>
      <c r="DP22"/>
      <c r="DQ22"/>
      <c r="DR22"/>
      <c r="DS22"/>
      <c r="DT22"/>
      <c r="DU22"/>
      <c r="DV22"/>
      <c r="DW22"/>
      <c r="DX22"/>
      <c r="DY22"/>
      <c r="DZ22"/>
      <c r="EA22"/>
      <c r="EB22"/>
    </row>
    <row r="23" spans="2:132" s="512" customFormat="1" ht="18.75" x14ac:dyDescent="0.3">
      <c r="B23"/>
      <c r="C23" s="92" t="str">
        <f>Lookups!$D$24&amp;" v "&amp;Lookups!$D$22</f>
        <v>Alternative EE v No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c r="AK23" s="92" t="str">
        <f>C23</f>
        <v>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c r="BS23" s="92" t="str">
        <f>Lookups!$D$24</f>
        <v>Alternative EE</v>
      </c>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c r="DA23"/>
      <c r="DB23"/>
      <c r="DC23" s="92" t="str">
        <f>Lookups!$D$24&amp;" v "&amp;Lookups!$D$22</f>
        <v>Alternative EE v No EE</v>
      </c>
      <c r="DD23" s="92"/>
      <c r="DE23" s="93"/>
      <c r="DF23" s="691"/>
      <c r="DG23" s="691"/>
      <c r="DH23" s="99"/>
      <c r="DI23" s="99"/>
      <c r="DJ23" s="99"/>
      <c r="DK23" s="99"/>
      <c r="DL23" s="99"/>
      <c r="DM23"/>
      <c r="DN23" s="534"/>
      <c r="DP23"/>
      <c r="DQ23"/>
      <c r="DR23"/>
      <c r="DS23"/>
      <c r="DT23"/>
      <c r="DU23"/>
      <c r="DV23"/>
      <c r="DW23"/>
      <c r="DX23"/>
      <c r="DY23"/>
      <c r="DZ23"/>
      <c r="EA23"/>
      <c r="EB23"/>
    </row>
    <row r="24" spans="2:132" s="512" customFormat="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s="177" t="s">
        <v>51</v>
      </c>
      <c r="DE24" s="74"/>
      <c r="DF24" s="73"/>
      <c r="DG24" s="73"/>
      <c r="DH24" s="74"/>
      <c r="DI24" s="74"/>
      <c r="DJ24" s="74"/>
      <c r="DK24" s="74"/>
      <c r="DL24"/>
      <c r="DM24"/>
      <c r="DN24" s="534"/>
      <c r="DP24"/>
      <c r="DQ24"/>
      <c r="DR24"/>
      <c r="DS24"/>
      <c r="DT24"/>
      <c r="DU24"/>
      <c r="DV24"/>
      <c r="DW24"/>
      <c r="DX24"/>
      <c r="DY24"/>
      <c r="DZ24"/>
      <c r="EA24"/>
      <c r="EB24"/>
    </row>
    <row r="25" spans="2:132" s="512" customFormat="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s="74"/>
      <c r="DE25" s="74" t="s">
        <v>80</v>
      </c>
      <c r="DF25" s="73" t="s">
        <v>32</v>
      </c>
      <c r="DG25" s="692" cm="1">
        <f t="array" aca="1" ref="DG25" ca="1">IFERROR(INDIRECT(DG$54&amp;DG$56&amp;$DN25),0)</f>
        <v>2648.700651146642</v>
      </c>
      <c r="DH25" s="646" cm="1">
        <f t="array" aca="1" ref="DH25" ca="1">IFERROR(INDIRECT(DH$54&amp;DH$56&amp;$DN25),0)</f>
        <v>2649.8929057968912</v>
      </c>
      <c r="DI25" s="646" cm="1">
        <f t="array" aca="1" ref="DI25" ca="1">IFERROR(INDIRECT(DI$54&amp;DI$56&amp;$DN25),0)</f>
        <v>2651.3309512989922</v>
      </c>
      <c r="DJ25" s="646" cm="1">
        <f t="array" aca="1" ref="DJ25" ca="1">IFERROR(INDIRECT(DJ$54&amp;DJ$56&amp;$DN25),0)</f>
        <v>2695.1418674142969</v>
      </c>
      <c r="DK25" s="135"/>
      <c r="DL25"/>
      <c r="DM25"/>
      <c r="DN25" s="534">
        <f t="shared" ref="DN25:DN38" si="2">DN8</f>
        <v>230</v>
      </c>
      <c r="DP25"/>
      <c r="DQ25"/>
      <c r="DR25"/>
      <c r="DS25"/>
      <c r="DT25"/>
      <c r="DU25"/>
      <c r="DV25"/>
      <c r="DW25"/>
      <c r="DX25"/>
      <c r="DY25"/>
      <c r="DZ25"/>
      <c r="EA25"/>
      <c r="EB25"/>
    </row>
    <row r="26" spans="2:132" s="512" customFormat="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s="74"/>
      <c r="DE26" s="74" t="s">
        <v>78</v>
      </c>
      <c r="DF26" s="73" t="s">
        <v>32</v>
      </c>
      <c r="DG26" s="692" cm="1">
        <f t="array" aca="1" ref="DG26" ca="1">IFERROR(INDIRECT(DG$54&amp;DG$56&amp;$DN26),0)</f>
        <v>2618.4119257620246</v>
      </c>
      <c r="DH26" s="646" cm="1">
        <f t="array" aca="1" ref="DH26" ca="1">IFERROR(INDIRECT(DH$54&amp;DH$56&amp;$DN26),0)</f>
        <v>2617.9386237828094</v>
      </c>
      <c r="DI26" s="646" cm="1">
        <f t="array" aca="1" ref="DI26" ca="1">IFERROR(INDIRECT(DI$54&amp;DI$56&amp;$DN26),0)</f>
        <v>2617.8722318695773</v>
      </c>
      <c r="DJ26" s="646" cm="1">
        <f t="array" aca="1" ref="DJ26" ca="1">IFERROR(INDIRECT(DJ$54&amp;DJ$56&amp;$DN26),0)</f>
        <v>2604.4889861459019</v>
      </c>
      <c r="DK26" s="135"/>
      <c r="DL26"/>
      <c r="DM26"/>
      <c r="DN26" s="534">
        <f t="shared" si="2"/>
        <v>231</v>
      </c>
      <c r="DP26"/>
      <c r="DQ26"/>
      <c r="DR26"/>
      <c r="DS26"/>
      <c r="DT26"/>
      <c r="DU26"/>
      <c r="DV26"/>
      <c r="DW26"/>
      <c r="DX26"/>
      <c r="DY26"/>
      <c r="DZ26"/>
      <c r="EA26"/>
      <c r="EB26"/>
    </row>
    <row r="27" spans="2:132" s="512" customFormat="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s="74"/>
      <c r="DE27" s="74" t="str">
        <f>'EE Inputs'!$N$15&amp;" Partcipant"</f>
        <v>Low Savings Partcipant</v>
      </c>
      <c r="DF27" s="73" t="s">
        <v>32</v>
      </c>
      <c r="DG27" s="692" cm="1">
        <f t="array" aca="1" ref="DG27" ca="1">IFERROR(INDIRECT(DG$54&amp;DG$56&amp;$DN27),0)</f>
        <v>2567.4240874598158</v>
      </c>
      <c r="DH27" s="646" cm="1">
        <f t="array" aca="1" ref="DH27" ca="1">IFERROR(INDIRECT(DH$54&amp;DH$56&amp;$DN27),0)</f>
        <v>2568.5448068310511</v>
      </c>
      <c r="DI27" s="646" cm="1">
        <f t="array" aca="1" ref="DI27" ca="1">IFERROR(INDIRECT(DI$54&amp;DI$56&amp;$DN27),0)</f>
        <v>2569.8965696030255</v>
      </c>
      <c r="DJ27" s="646" cm="1">
        <f t="array" aca="1" ref="DJ27" ca="1">IFERROR(INDIRECT(DJ$54&amp;DJ$56&amp;$DN27),0)</f>
        <v>2616.0959901584451</v>
      </c>
      <c r="DK27" s="135"/>
      <c r="DL27"/>
      <c r="DM27"/>
      <c r="DN27" s="534">
        <f t="shared" si="2"/>
        <v>232</v>
      </c>
      <c r="DP27"/>
      <c r="DQ27"/>
      <c r="DR27"/>
      <c r="DS27"/>
      <c r="DT27"/>
      <c r="DU27"/>
      <c r="DV27"/>
      <c r="DW27"/>
      <c r="DX27"/>
      <c r="DY27"/>
      <c r="DZ27"/>
      <c r="EA27"/>
      <c r="EB27"/>
    </row>
    <row r="28" spans="2:132" s="512" customFormat="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s="74"/>
      <c r="DE28" s="74" t="str">
        <f>'EE Inputs'!$N$16&amp;" Partcipant"</f>
        <v>High Savings Partcipant</v>
      </c>
      <c r="DF28" s="73" t="s">
        <v>32</v>
      </c>
      <c r="DG28" s="692" cm="1">
        <f t="array" aca="1" ref="DG28" ca="1">IFERROR(INDIRECT(DG$54&amp;DG$56&amp;$DN28),0)</f>
        <v>2486.1475237729906</v>
      </c>
      <c r="DH28" s="646" cm="1">
        <f t="array" aca="1" ref="DH28" ca="1">IFERROR(INDIRECT(DH$54&amp;DH$56&amp;$DN28),0)</f>
        <v>2487.1967078652106</v>
      </c>
      <c r="DI28" s="646" cm="1">
        <f t="array" aca="1" ref="DI28" ca="1">IFERROR(INDIRECT(DI$54&amp;DI$56&amp;$DN28),0)</f>
        <v>2488.4621879070583</v>
      </c>
      <c r="DJ28" s="646" cm="1">
        <f t="array" aca="1" ref="DJ28" ca="1">IFERROR(INDIRECT(DJ$54&amp;DJ$56&amp;$DN28),0)</f>
        <v>2537.0501129025934</v>
      </c>
      <c r="DK28" s="135"/>
      <c r="DL28"/>
      <c r="DM28"/>
      <c r="DN28" s="534">
        <f t="shared" si="2"/>
        <v>233</v>
      </c>
      <c r="DP28"/>
      <c r="DQ28"/>
      <c r="DR28"/>
      <c r="DS28"/>
      <c r="DT28"/>
      <c r="DU28"/>
      <c r="DV28"/>
      <c r="DW28"/>
      <c r="DX28"/>
      <c r="DY28"/>
      <c r="DZ28"/>
      <c r="EA28"/>
      <c r="EB28"/>
    </row>
    <row r="29" spans="2:132" s="512" customFormat="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s="177" t="s">
        <v>101</v>
      </c>
      <c r="DE29" s="74"/>
      <c r="DF29" s="73"/>
      <c r="DG29" s="692"/>
      <c r="DH29" s="646"/>
      <c r="DI29" s="646"/>
      <c r="DJ29" s="646"/>
      <c r="DK29" s="135"/>
      <c r="DL29"/>
      <c r="DM29"/>
      <c r="DN29" s="534">
        <f t="shared" si="2"/>
        <v>0</v>
      </c>
      <c r="DP29"/>
      <c r="DQ29"/>
      <c r="DR29"/>
      <c r="DS29"/>
      <c r="DT29"/>
      <c r="DU29"/>
      <c r="DV29"/>
      <c r="DW29"/>
      <c r="DX29"/>
      <c r="DY29"/>
      <c r="DZ29"/>
      <c r="EA29"/>
      <c r="EB29"/>
    </row>
    <row r="30" spans="2:132" s="512" customForma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s="74"/>
      <c r="DE30" s="74" t="s">
        <v>80</v>
      </c>
      <c r="DF30" s="73" t="s">
        <v>32</v>
      </c>
      <c r="DG30" s="693" cm="1">
        <f t="array" aca="1" ref="DG30" ca="1">IFERROR(INDIRECT(DG$54&amp;DG$56&amp;$DN30),0)</f>
        <v>23.677910724360192</v>
      </c>
      <c r="DH30" s="647" cm="1">
        <f t="array" aca="1" ref="DH30" ca="1">IFERROR(INDIRECT(DH$54&amp;DH$56&amp;$DN30),0)</f>
        <v>24.870165374609851</v>
      </c>
      <c r="DI30" s="647" cm="1">
        <f t="array" aca="1" ref="DI30" ca="1">IFERROR(INDIRECT(DI$54&amp;DI$56&amp;$DN30),0)</f>
        <v>26.308210876710497</v>
      </c>
      <c r="DJ30" s="647" cm="1">
        <f t="array" aca="1" ref="DJ30" ca="1">IFERROR(INDIRECT(DJ$54&amp;DJ$56&amp;$DN30),0)</f>
        <v>70.119126992014813</v>
      </c>
      <c r="DK30" s="135"/>
      <c r="DL30"/>
      <c r="DM30"/>
      <c r="DN30" s="534">
        <f t="shared" si="2"/>
        <v>235</v>
      </c>
      <c r="DP30"/>
      <c r="DQ30"/>
      <c r="DR30"/>
      <c r="DS30"/>
      <c r="DT30"/>
      <c r="DU30"/>
      <c r="DV30"/>
      <c r="DW30"/>
      <c r="DX30"/>
      <c r="DY30"/>
      <c r="DZ30"/>
      <c r="EA30"/>
      <c r="EB30"/>
    </row>
    <row r="31" spans="2:132" s="512" customFormat="1"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s="74"/>
      <c r="DE31" s="74" t="s">
        <v>78</v>
      </c>
      <c r="DF31" s="73" t="s">
        <v>32</v>
      </c>
      <c r="DG31" s="693" cm="1">
        <f t="array" aca="1" ref="DG31" ca="1">IFERROR(INDIRECT(DG$54&amp;DG$56&amp;$DN31),0)</f>
        <v>-6.6108146602571605</v>
      </c>
      <c r="DH31" s="647" cm="1">
        <f t="array" aca="1" ref="DH31" ca="1">IFERROR(INDIRECT(DH$54&amp;DH$56&amp;$DN31),0)</f>
        <v>-7.0841166394722164</v>
      </c>
      <c r="DI31" s="647" cm="1">
        <f t="array" aca="1" ref="DI31" ca="1">IFERROR(INDIRECT(DI$54&amp;DI$56&amp;$DN31),0)</f>
        <v>-7.1505085527045082</v>
      </c>
      <c r="DJ31" s="647" cm="1">
        <f t="array" aca="1" ref="DJ31" ca="1">IFERROR(INDIRECT(DJ$54&amp;DJ$56&amp;$DN31),0)</f>
        <v>-20.533754276381018</v>
      </c>
      <c r="DK31" s="135"/>
      <c r="DL31"/>
      <c r="DM31"/>
      <c r="DN31" s="534">
        <f t="shared" si="2"/>
        <v>237</v>
      </c>
      <c r="DP31"/>
      <c r="DQ31"/>
      <c r="DR31"/>
      <c r="DS31"/>
      <c r="DT31"/>
      <c r="DU31"/>
      <c r="DV31"/>
      <c r="DW31"/>
      <c r="DX31"/>
      <c r="DY31"/>
      <c r="DZ31"/>
      <c r="EA31"/>
      <c r="EB31"/>
    </row>
    <row r="32" spans="2:132" s="512" customForma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s="74"/>
      <c r="DE32" s="74" t="str">
        <f>'EE Inputs'!$N$15&amp;" Partcipant"</f>
        <v>Low Savings Partcipant</v>
      </c>
      <c r="DF32" s="73" t="s">
        <v>32</v>
      </c>
      <c r="DG32" s="693" cm="1">
        <f t="array" aca="1" ref="DG32" ca="1">IFERROR(INDIRECT(DG$54&amp;DG$56&amp;$DN32),0)</f>
        <v>-57.598652962465643</v>
      </c>
      <c r="DH32" s="647" cm="1">
        <f t="array" aca="1" ref="DH32" ca="1">IFERROR(INDIRECT(DH$54&amp;DH$56&amp;$DN32),0)</f>
        <v>-56.477933591230972</v>
      </c>
      <c r="DI32" s="647" cm="1">
        <f t="array" aca="1" ref="DI32" ca="1">IFERROR(INDIRECT(DI$54&amp;DI$56&amp;$DN32),0)</f>
        <v>-55.12617081925621</v>
      </c>
      <c r="DJ32" s="647" cm="1">
        <f t="array" aca="1" ref="DJ32" ca="1">IFERROR(INDIRECT(DJ$54&amp;DJ$56&amp;$DN32),0)</f>
        <v>-8.9267502638369702</v>
      </c>
      <c r="DK32" s="135"/>
      <c r="DL32"/>
      <c r="DM32"/>
      <c r="DN32" s="534">
        <f t="shared" si="2"/>
        <v>239</v>
      </c>
      <c r="DP32"/>
      <c r="DQ32"/>
      <c r="DR32"/>
      <c r="DS32"/>
      <c r="DT32"/>
      <c r="DU32"/>
      <c r="DV32"/>
      <c r="DW32"/>
      <c r="DX32"/>
      <c r="DY32"/>
      <c r="DZ32"/>
      <c r="EA32"/>
      <c r="EB32"/>
    </row>
    <row r="33" spans="2:132" s="512" customForma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s="74"/>
      <c r="DE33" s="74" t="str">
        <f>'EE Inputs'!$N$16&amp;" Partcipant"</f>
        <v>High Savings Partcipant</v>
      </c>
      <c r="DF33" s="73" t="s">
        <v>32</v>
      </c>
      <c r="DG33" s="693" cm="1">
        <f t="array" aca="1" ref="DG33" ca="1">IFERROR(INDIRECT(DG$54&amp;DG$56&amp;$DN33),0)</f>
        <v>-138.87521664929173</v>
      </c>
      <c r="DH33" s="647" cm="1">
        <f t="array" aca="1" ref="DH33" ca="1">IFERROR(INDIRECT(DH$54&amp;DH$56&amp;$DN33),0)</f>
        <v>-137.82603255707181</v>
      </c>
      <c r="DI33" s="647" cm="1">
        <f t="array" aca="1" ref="DI33" ca="1">IFERROR(INDIRECT(DI$54&amp;DI$56&amp;$DN33),0)</f>
        <v>-136.56055251522324</v>
      </c>
      <c r="DJ33" s="647" cm="1">
        <f t="array" aca="1" ref="DJ33" ca="1">IFERROR(INDIRECT(DJ$54&amp;DJ$56&amp;$DN33),0)</f>
        <v>-87.972627519688743</v>
      </c>
      <c r="DK33" s="135"/>
      <c r="DL33"/>
      <c r="DM33"/>
      <c r="DN33" s="534">
        <f t="shared" si="2"/>
        <v>241</v>
      </c>
      <c r="DP33"/>
      <c r="DQ33"/>
      <c r="DR33"/>
      <c r="DS33"/>
      <c r="DT33"/>
      <c r="DU33"/>
      <c r="DV33"/>
      <c r="DW33"/>
      <c r="DX33"/>
      <c r="DY33"/>
      <c r="DZ33"/>
      <c r="EA33"/>
      <c r="EB33"/>
    </row>
    <row r="34" spans="2:132" s="512" customForma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s="177" t="s">
        <v>102</v>
      </c>
      <c r="DE34" s="74"/>
      <c r="DF34" s="73"/>
      <c r="DG34" s="694"/>
      <c r="DH34" s="135"/>
      <c r="DI34" s="135"/>
      <c r="DJ34" s="135"/>
      <c r="DK34" s="135"/>
      <c r="DL34"/>
      <c r="DM34"/>
      <c r="DN34" s="534">
        <f t="shared" si="2"/>
        <v>0</v>
      </c>
      <c r="DP34"/>
      <c r="DQ34"/>
      <c r="DR34"/>
      <c r="DS34"/>
      <c r="DT34"/>
      <c r="DU34"/>
      <c r="DV34"/>
      <c r="DW34"/>
      <c r="DX34"/>
      <c r="DY34"/>
      <c r="DZ34"/>
      <c r="EA34"/>
      <c r="EB34"/>
    </row>
    <row r="35" spans="2:132" s="512" customFormat="1"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s="74"/>
      <c r="DE35" s="74" t="s">
        <v>80</v>
      </c>
      <c r="DF35" s="73" t="s">
        <v>16</v>
      </c>
      <c r="DG35" s="695" cm="1">
        <f t="array" aca="1" ref="DG35" ca="1">IFERROR(INDIRECT(DG$54&amp;DG$56&amp;$DN35),0)</f>
        <v>9.020078325321812E-3</v>
      </c>
      <c r="DH35" s="163" cm="1">
        <f t="array" aca="1" ref="DH35" ca="1">IFERROR(INDIRECT(DH$54&amp;DH$56&amp;$DN35),0)</f>
        <v>9.4742666383942353E-3</v>
      </c>
      <c r="DI35" s="163" cm="1">
        <f t="array" aca="1" ref="DI35" ca="1">IFERROR(INDIRECT(DI$54&amp;DI$56&amp;$DN35),0)</f>
        <v>1.0022088750544667E-2</v>
      </c>
      <c r="DJ35" s="163" cm="1">
        <f t="array" aca="1" ref="DJ35" ca="1">IFERROR(INDIRECT(DJ$54&amp;DJ$56&amp;$DN35),0)</f>
        <v>2.6711816972958768E-2</v>
      </c>
      <c r="DK35" s="135"/>
      <c r="DL35"/>
      <c r="DM35"/>
      <c r="DN35" s="534">
        <f t="shared" si="2"/>
        <v>236</v>
      </c>
      <c r="DP35"/>
      <c r="DQ35"/>
      <c r="DR35"/>
      <c r="DS35"/>
      <c r="DT35"/>
      <c r="DU35"/>
      <c r="DV35"/>
      <c r="DW35"/>
      <c r="DX35"/>
      <c r="DY35"/>
      <c r="DZ35"/>
      <c r="EA35"/>
      <c r="EB35"/>
    </row>
    <row r="36" spans="2:132" s="512" customFormat="1"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s="74"/>
      <c r="DE36" s="74" t="s">
        <v>78</v>
      </c>
      <c r="DF36" s="73" t="s">
        <v>16</v>
      </c>
      <c r="DG36" s="695" cm="1">
        <f t="array" aca="1" ref="DG36" ca="1">IFERROR(INDIRECT(DG$54&amp;DG$56&amp;$DN36),0)</f>
        <v>-2.5183837680561316E-3</v>
      </c>
      <c r="DH36" s="163" cm="1">
        <f t="array" aca="1" ref="DH36" ca="1">IFERROR(INDIRECT(DH$54&amp;DH$56&amp;$DN36),0)</f>
        <v>-2.698687721971238E-3</v>
      </c>
      <c r="DI36" s="163" cm="1">
        <f t="array" aca="1" ref="DI36" ca="1">IFERROR(INDIRECT(DI$54&amp;DI$56&amp;$DN36),0)</f>
        <v>-2.723979660288478E-3</v>
      </c>
      <c r="DJ36" s="163" cm="1">
        <f t="array" aca="1" ref="DJ36" ca="1">IFERROR(INDIRECT(DJ$54&amp;DJ$56&amp;$DN36),0)</f>
        <v>-7.8223148166240986E-3</v>
      </c>
      <c r="DK36" s="135"/>
      <c r="DL36"/>
      <c r="DM36"/>
      <c r="DN36" s="534">
        <f t="shared" si="2"/>
        <v>238</v>
      </c>
      <c r="DP36"/>
      <c r="DQ36"/>
      <c r="DR36"/>
      <c r="DS36"/>
      <c r="DT36"/>
      <c r="DU36"/>
      <c r="DV36"/>
      <c r="DW36"/>
      <c r="DX36"/>
      <c r="DY36"/>
      <c r="DZ36"/>
      <c r="EA36"/>
      <c r="EB36"/>
    </row>
    <row r="37" spans="2:132" s="512" customForma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s="74"/>
      <c r="DE37" s="74" t="str">
        <f>'EE Inputs'!$N$15&amp;" Partcipant"</f>
        <v>Low Savings Partcipant</v>
      </c>
      <c r="DF37" s="73" t="s">
        <v>16</v>
      </c>
      <c r="DG37" s="695" cm="1">
        <f t="array" aca="1" ref="DG37" ca="1">IFERROR(INDIRECT(DG$54&amp;DG$56&amp;$DN37),0)</f>
        <v>-2.1942153900427086E-2</v>
      </c>
      <c r="DH37" s="163" cm="1">
        <f t="array" aca="1" ref="DH37" ca="1">IFERROR(INDIRECT(DH$54&amp;DH$56&amp;$DN37),0)</f>
        <v>-2.1515216886138555E-2</v>
      </c>
      <c r="DI37" s="163" cm="1">
        <f t="array" aca="1" ref="DI37" ca="1">IFERROR(INDIRECT(DI$54&amp;DI$56&amp;$DN37),0)</f>
        <v>-2.1000264100717425E-2</v>
      </c>
      <c r="DJ37" s="163" cm="1">
        <f t="array" aca="1" ref="DJ37" ca="1">IFERROR(INDIRECT(DJ$54&amp;DJ$56&amp;$DN37),0)</f>
        <v>-3.4006373073938168E-3</v>
      </c>
      <c r="DK37" s="135"/>
      <c r="DL37"/>
      <c r="DM37"/>
      <c r="DN37" s="534">
        <f t="shared" si="2"/>
        <v>240</v>
      </c>
      <c r="DP37"/>
      <c r="DQ37"/>
      <c r="DR37"/>
      <c r="DS37"/>
      <c r="DT37"/>
      <c r="DU37"/>
      <c r="DV37"/>
      <c r="DW37"/>
      <c r="DX37"/>
      <c r="DY37"/>
      <c r="DZ37"/>
      <c r="EA37"/>
      <c r="EB37"/>
    </row>
    <row r="38" spans="2:132" s="512" customForma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s="74"/>
      <c r="DE38" s="74" t="str">
        <f>'EE Inputs'!$N$16&amp;" Partcipant"</f>
        <v>High Savings Partcipant</v>
      </c>
      <c r="DF38" s="73" t="s">
        <v>16</v>
      </c>
      <c r="DG38" s="695" cm="1">
        <f t="array" aca="1" ref="DG38" ca="1">IFERROR(INDIRECT(DG$54&amp;DG$56&amp;$DN38),0)</f>
        <v>-5.290438612617554E-2</v>
      </c>
      <c r="DH38" s="163" cm="1">
        <f t="array" aca="1" ref="DH38" ca="1">IFERROR(INDIRECT(DH$54&amp;DH$56&amp;$DN38),0)</f>
        <v>-5.2504700410671457E-2</v>
      </c>
      <c r="DI38" s="163" cm="1">
        <f t="array" aca="1" ref="DI38" ca="1">IFERROR(INDIRECT(DI$54&amp;DI$56&amp;$DN38),0)</f>
        <v>-5.2022616951979628E-2</v>
      </c>
      <c r="DJ38" s="163" cm="1">
        <f t="array" aca="1" ref="DJ38" ca="1">IFERROR(INDIRECT(DJ$54&amp;DJ$56&amp;$DN38),0)</f>
        <v>-3.3513091587746402E-2</v>
      </c>
      <c r="DK38" s="135"/>
      <c r="DL38"/>
      <c r="DM38"/>
      <c r="DN38" s="534">
        <f t="shared" si="2"/>
        <v>242</v>
      </c>
      <c r="DP38"/>
      <c r="DQ38"/>
      <c r="DR38"/>
      <c r="DS38"/>
      <c r="DT38"/>
      <c r="DU38"/>
      <c r="DV38"/>
      <c r="DW38"/>
      <c r="DX38"/>
      <c r="DY38"/>
      <c r="DZ38"/>
      <c r="EA38"/>
      <c r="EB38"/>
    </row>
    <row r="39" spans="2:132" s="512" customFormat="1" ht="18.75" x14ac:dyDescent="0.3">
      <c r="B39"/>
      <c r="C39" s="101" t="str">
        <f>Lookups!$D$23&amp;" v "&amp;Lookups!$D$24</f>
        <v>Proposed EE v Alternative EE</v>
      </c>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c r="AK39" s="101" t="str">
        <f>C39</f>
        <v>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c r="BS39" s="411" t="s">
        <v>28</v>
      </c>
      <c r="BT39" s="196"/>
      <c r="BU39" s="196"/>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c r="DA39"/>
      <c r="DB39"/>
      <c r="DC39"/>
      <c r="DD39" s="74"/>
      <c r="DE39" s="74"/>
      <c r="DF39" s="73"/>
      <c r="DG39" s="73"/>
      <c r="DH39" s="74"/>
      <c r="DI39" s="74"/>
      <c r="DJ39" s="74"/>
      <c r="DK39" s="74"/>
      <c r="DL39"/>
      <c r="DM39"/>
      <c r="DN39" s="533"/>
      <c r="DP39"/>
      <c r="DQ39"/>
      <c r="DR39"/>
      <c r="DS39"/>
      <c r="DT39"/>
      <c r="DU39"/>
      <c r="DV39"/>
      <c r="DW39"/>
      <c r="DX39"/>
      <c r="DY39"/>
      <c r="DZ39"/>
      <c r="EA39"/>
      <c r="EB39"/>
    </row>
    <row r="40" spans="2:132" s="512" customFormat="1" ht="18.75"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s="412" t="s">
        <v>252</v>
      </c>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s="166" t="str">
        <f>Lookups!$D$23&amp;" v "&amp;Lookups!$D$24</f>
        <v>Proposed EE v Alternative EE</v>
      </c>
      <c r="DD40" s="166"/>
      <c r="DE40" s="167"/>
      <c r="DF40" s="696"/>
      <c r="DG40" s="697"/>
      <c r="DH40" s="168"/>
      <c r="DI40" s="168"/>
      <c r="DJ40" s="168"/>
      <c r="DK40" s="168"/>
      <c r="DL40" s="168"/>
      <c r="DM40"/>
      <c r="DN40" s="533"/>
      <c r="DP40"/>
      <c r="DQ40"/>
      <c r="DR40"/>
      <c r="DS40"/>
      <c r="DT40"/>
      <c r="DU40"/>
      <c r="DV40"/>
      <c r="DW40"/>
      <c r="DX40"/>
      <c r="DY40"/>
      <c r="DZ40"/>
      <c r="EA40"/>
      <c r="EB40"/>
    </row>
    <row r="41" spans="2:132" s="512" customForma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s="729" t="s">
        <v>164</v>
      </c>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c r="DA41"/>
      <c r="DB41"/>
      <c r="DC41"/>
      <c r="DD41" s="169" t="s">
        <v>101</v>
      </c>
      <c r="DE41" s="170"/>
      <c r="DF41" s="698"/>
      <c r="DG41" s="699"/>
      <c r="DH41" s="171"/>
      <c r="DI41" s="171"/>
      <c r="DJ41" s="171"/>
      <c r="DK41" s="171"/>
      <c r="DL41"/>
      <c r="DM41"/>
      <c r="DN41" s="533"/>
      <c r="DP41"/>
      <c r="DQ41"/>
      <c r="DR41"/>
      <c r="DS41"/>
      <c r="DT41"/>
      <c r="DU41"/>
      <c r="DV41"/>
      <c r="DW41"/>
      <c r="DX41"/>
      <c r="DY41"/>
      <c r="DZ41"/>
      <c r="EA41"/>
      <c r="EB41"/>
    </row>
    <row r="42" spans="2:132" s="512" customForma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c r="DA42"/>
      <c r="DB42"/>
      <c r="DC42"/>
      <c r="DD42" s="169"/>
      <c r="DE42" s="170" t="s">
        <v>80</v>
      </c>
      <c r="DF42" s="698" t="s">
        <v>32</v>
      </c>
      <c r="DG42" s="700">
        <f t="shared" ref="DG42:DJ45" ca="1" si="3">DG25-DG8</f>
        <v>3.6227990628412954</v>
      </c>
      <c r="DH42" s="648">
        <f t="shared" ca="1" si="3"/>
        <v>3.8046482145909977</v>
      </c>
      <c r="DI42" s="648">
        <f t="shared" ca="1" si="3"/>
        <v>4.0292119789437493</v>
      </c>
      <c r="DJ42" s="648">
        <f t="shared" ca="1" si="3"/>
        <v>10.811338258477917</v>
      </c>
      <c r="DK42" s="179"/>
      <c r="DL42"/>
      <c r="DM42"/>
      <c r="DN42" s="533"/>
      <c r="DP42"/>
      <c r="DQ42"/>
      <c r="DR42"/>
      <c r="DS42"/>
      <c r="DT42"/>
      <c r="DU42"/>
      <c r="DV42"/>
      <c r="DW42"/>
      <c r="DX42"/>
      <c r="DY42"/>
      <c r="DZ42"/>
      <c r="EA42"/>
      <c r="EB42"/>
    </row>
    <row r="43" spans="2:132" s="512" customFormat="1"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s="727" t="s">
        <v>258</v>
      </c>
      <c r="BT43" s="727"/>
      <c r="BU43" s="727"/>
      <c r="BV43" s="727"/>
      <c r="BW43" s="727"/>
      <c r="BX43" s="727"/>
      <c r="BY43" s="727"/>
      <c r="BZ43" s="727"/>
      <c r="CA43" s="727"/>
      <c r="CB43" s="727"/>
      <c r="CC43" s="727"/>
      <c r="CD43" s="727"/>
      <c r="CE43" s="727"/>
      <c r="CF43" s="727"/>
      <c r="CG43" s="727"/>
      <c r="CH43" s="727"/>
      <c r="CI43" s="727"/>
      <c r="CJ43" s="727"/>
      <c r="CK43" s="727"/>
      <c r="CL43" s="727"/>
      <c r="CM43" s="727"/>
      <c r="CN43" s="727"/>
      <c r="CO43" s="727"/>
      <c r="CP43" s="727"/>
      <c r="CQ43" s="727"/>
      <c r="CR43" s="727"/>
      <c r="CS43" s="727"/>
      <c r="CT43" s="727"/>
      <c r="CU43" s="727"/>
      <c r="CV43" s="727"/>
      <c r="CW43" s="727"/>
      <c r="CX43" s="727"/>
      <c r="CY43" s="727"/>
      <c r="CZ43"/>
      <c r="DA43"/>
      <c r="DB43"/>
      <c r="DC43"/>
      <c r="DD43" s="169"/>
      <c r="DE43" s="170" t="s">
        <v>78</v>
      </c>
      <c r="DF43" s="698" t="s">
        <v>32</v>
      </c>
      <c r="DG43" s="700">
        <f t="shared" ca="1" si="3"/>
        <v>-0.23417087666302905</v>
      </c>
      <c r="DH43" s="648">
        <f t="shared" ca="1" si="3"/>
        <v>-0.26809833112520209</v>
      </c>
      <c r="DI43" s="648">
        <f t="shared" ca="1" si="3"/>
        <v>-0.24004018743517008</v>
      </c>
      <c r="DJ43" s="648">
        <f t="shared" ca="1" si="3"/>
        <v>-1.0209065776421085</v>
      </c>
      <c r="DK43" s="179"/>
      <c r="DL43"/>
      <c r="DM43"/>
      <c r="DN43" s="533"/>
      <c r="DP43"/>
      <c r="DQ43"/>
      <c r="DR43"/>
      <c r="DS43"/>
      <c r="DT43"/>
      <c r="DU43"/>
      <c r="DV43"/>
      <c r="DW43"/>
      <c r="DX43"/>
      <c r="DY43"/>
      <c r="DZ43"/>
      <c r="EA43"/>
      <c r="EB43"/>
    </row>
    <row r="44" spans="2:132" s="512" customForma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s="727"/>
      <c r="BT44" s="727"/>
      <c r="BU44" s="727"/>
      <c r="BV44" s="727"/>
      <c r="BW44" s="727"/>
      <c r="BX44" s="727"/>
      <c r="BY44" s="727"/>
      <c r="BZ44" s="727"/>
      <c r="CA44" s="727"/>
      <c r="CB44" s="727"/>
      <c r="CC44" s="727"/>
      <c r="CD44" s="727"/>
      <c r="CE44" s="727"/>
      <c r="CF44" s="727"/>
      <c r="CG44" s="727"/>
      <c r="CH44" s="727"/>
      <c r="CI44" s="727"/>
      <c r="CJ44" s="727"/>
      <c r="CK44" s="727"/>
      <c r="CL44" s="727"/>
      <c r="CM44" s="727"/>
      <c r="CN44" s="727"/>
      <c r="CO44" s="727"/>
      <c r="CP44" s="727"/>
      <c r="CQ44" s="727"/>
      <c r="CR44" s="727"/>
      <c r="CS44" s="727"/>
      <c r="CT44" s="727"/>
      <c r="CU44" s="727"/>
      <c r="CV44" s="727"/>
      <c r="CW44" s="727"/>
      <c r="CX44" s="727"/>
      <c r="CY44" s="727"/>
      <c r="CZ44"/>
      <c r="DA44"/>
      <c r="DB44"/>
      <c r="DC44"/>
      <c r="DD44" s="169"/>
      <c r="DE44" s="170" t="str">
        <f>'EE Inputs'!$N$15&amp;" Partcipant"</f>
        <v>Low Savings Partcipant</v>
      </c>
      <c r="DF44" s="698" t="s">
        <v>32</v>
      </c>
      <c r="DG44" s="700">
        <f t="shared" ca="1" si="3"/>
        <v>-10.104434838106044</v>
      </c>
      <c r="DH44" s="648">
        <f t="shared" ca="1" si="3"/>
        <v>-9.9436006904447822</v>
      </c>
      <c r="DI44" s="648">
        <f t="shared" ca="1" si="3"/>
        <v>-9.7446455693316238</v>
      </c>
      <c r="DJ44" s="648">
        <f t="shared" ca="1" si="3"/>
        <v>-2.8945507520406863</v>
      </c>
      <c r="DK44" s="179"/>
      <c r="DL44"/>
      <c r="DM44"/>
      <c r="DN44" s="533"/>
      <c r="DP44"/>
      <c r="DQ44"/>
      <c r="DR44"/>
      <c r="DS44"/>
      <c r="DT44"/>
      <c r="DU44"/>
      <c r="DV44"/>
      <c r="DW44"/>
      <c r="DX44"/>
      <c r="DY44"/>
      <c r="DZ44"/>
      <c r="EA44"/>
      <c r="EB44"/>
    </row>
    <row r="45" spans="2:132" s="512" customForma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c r="CT45" s="727"/>
      <c r="CU45" s="727"/>
      <c r="CV45" s="727"/>
      <c r="CW45" s="727"/>
      <c r="CX45" s="727"/>
      <c r="CY45" s="727"/>
      <c r="CZ45"/>
      <c r="DA45"/>
      <c r="DB45"/>
      <c r="DC45"/>
      <c r="DD45" s="169"/>
      <c r="DE45" s="170" t="str">
        <f>'EE Inputs'!$N$16&amp;" Partcipant"</f>
        <v>High Savings Partcipant</v>
      </c>
      <c r="DF45" s="698" t="s">
        <v>32</v>
      </c>
      <c r="DG45" s="700">
        <f t="shared" ca="1" si="3"/>
        <v>-23.831668739051111</v>
      </c>
      <c r="DH45" s="648">
        <f t="shared" ca="1" si="3"/>
        <v>-23.691849595480562</v>
      </c>
      <c r="DI45" s="648">
        <f t="shared" ca="1" si="3"/>
        <v>-23.518503117606542</v>
      </c>
      <c r="DJ45" s="648">
        <f t="shared" ca="1" si="3"/>
        <v>-16.60043976255929</v>
      </c>
      <c r="DK45" s="179"/>
      <c r="DL45"/>
      <c r="DM45"/>
      <c r="DN45" s="533"/>
      <c r="DP45"/>
      <c r="DQ45"/>
      <c r="DR45"/>
      <c r="DS45"/>
      <c r="DT45"/>
      <c r="DU45"/>
      <c r="DV45"/>
      <c r="DW45"/>
      <c r="DX45"/>
      <c r="DY45"/>
      <c r="DZ45"/>
      <c r="EA45"/>
      <c r="EB45"/>
    </row>
    <row r="46" spans="2:132" s="512" customForma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s="727" t="str">
        <f>"For the "&amp;Year1&amp;"-"&amp;Year3&amp;" bill impacts, the "&amp;'EE Inputs'!$N$15&amp;" and "&amp;'EE Inputs'!$N$16&amp;" participants install measures in the first year of the plan only (i.e., "&amp;Year1&amp;")."</f>
        <v>For the 2021-2023 bill impacts, the Low Savings and High Savings participants install measures in the first year of the plan only (i.e., 2021).</v>
      </c>
      <c r="BT46" s="727"/>
      <c r="BU46" s="727"/>
      <c r="BV46" s="727"/>
      <c r="BW46" s="727"/>
      <c r="BX46" s="727"/>
      <c r="BY46" s="727"/>
      <c r="BZ46" s="727"/>
      <c r="CA46" s="727"/>
      <c r="CB46" s="727"/>
      <c r="CC46" s="727"/>
      <c r="CD46" s="727"/>
      <c r="CE46" s="727"/>
      <c r="CF46" s="727"/>
      <c r="CG46" s="727"/>
      <c r="CH46" s="727"/>
      <c r="CI46" s="727"/>
      <c r="CJ46" s="727"/>
      <c r="CK46" s="727"/>
      <c r="CL46" s="727"/>
      <c r="CM46" s="727"/>
      <c r="CN46" s="727"/>
      <c r="CO46" s="727"/>
      <c r="CP46" s="727"/>
      <c r="CQ46" s="727"/>
      <c r="CR46" s="727"/>
      <c r="CS46" s="727"/>
      <c r="CT46" s="727"/>
      <c r="CU46" s="727"/>
      <c r="CV46" s="727"/>
      <c r="CW46" s="727"/>
      <c r="CX46" s="727"/>
      <c r="CY46" s="727"/>
      <c r="CZ46"/>
      <c r="DA46"/>
      <c r="DB46"/>
      <c r="DC46"/>
      <c r="DD46" s="169" t="s">
        <v>102</v>
      </c>
      <c r="DE46" s="170"/>
      <c r="DF46" s="698"/>
      <c r="DG46" s="699"/>
      <c r="DH46" s="171"/>
      <c r="DI46" s="171"/>
      <c r="DJ46" s="171"/>
      <c r="DK46" s="171"/>
      <c r="DL46"/>
      <c r="DM46"/>
      <c r="DN46" s="533"/>
      <c r="DP46"/>
      <c r="DQ46"/>
      <c r="DR46"/>
      <c r="DS46"/>
      <c r="DT46"/>
      <c r="DU46"/>
      <c r="DV46"/>
      <c r="DW46"/>
      <c r="DX46"/>
      <c r="DY46"/>
      <c r="DZ46"/>
      <c r="EA46"/>
      <c r="EB46"/>
    </row>
    <row r="47" spans="2:132" s="512" customForma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c r="DA47"/>
      <c r="DB47"/>
      <c r="DC47"/>
      <c r="DD47" s="169"/>
      <c r="DE47" s="170" t="s">
        <v>80</v>
      </c>
      <c r="DF47" s="698" t="s">
        <v>16</v>
      </c>
      <c r="DG47" s="701">
        <f t="shared" ref="DG47:DJ50" ca="1" si="4">IFERROR(DG25/DG8-1,0)</f>
        <v>1.3696379711423123E-3</v>
      </c>
      <c r="DH47" s="175">
        <f t="shared" ca="1" si="4"/>
        <v>1.4378387431670525E-3</v>
      </c>
      <c r="DI47" s="175">
        <f t="shared" ca="1" si="4"/>
        <v>1.5220070757702153E-3</v>
      </c>
      <c r="DJ47" s="175">
        <f t="shared" ca="1" si="4"/>
        <v>4.027573408360352E-3</v>
      </c>
      <c r="DK47" s="179"/>
      <c r="DL47"/>
      <c r="DM47"/>
      <c r="DN47" s="533"/>
      <c r="DP47"/>
      <c r="DQ47"/>
      <c r="DR47"/>
      <c r="DS47"/>
      <c r="DT47"/>
      <c r="DU47"/>
      <c r="DV47"/>
      <c r="DW47"/>
      <c r="DX47"/>
      <c r="DY47"/>
      <c r="DZ47"/>
      <c r="EA47"/>
      <c r="EB47"/>
    </row>
    <row r="48" spans="2:132" s="512" customForma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s="169"/>
      <c r="DE48" s="170" t="s">
        <v>78</v>
      </c>
      <c r="DF48" s="698" t="s">
        <v>16</v>
      </c>
      <c r="DG48" s="701">
        <f t="shared" ca="1" si="4"/>
        <v>-8.9424407889060475E-5</v>
      </c>
      <c r="DH48" s="175">
        <f t="shared" ca="1" si="4"/>
        <v>-1.0239769413955546E-4</v>
      </c>
      <c r="DI48" s="175">
        <f t="shared" ca="1" si="4"/>
        <v>-9.1684451425932956E-5</v>
      </c>
      <c r="DJ48" s="175">
        <f t="shared" ca="1" si="4"/>
        <v>-3.9182602242016085E-4</v>
      </c>
      <c r="DK48" s="179"/>
      <c r="DL48"/>
      <c r="DM48"/>
      <c r="DN48" s="533"/>
      <c r="DP48"/>
      <c r="DQ48"/>
      <c r="DR48"/>
      <c r="DS48"/>
      <c r="DT48"/>
      <c r="DU48"/>
      <c r="DV48"/>
      <c r="DW48"/>
      <c r="DX48"/>
      <c r="DY48"/>
      <c r="DZ48"/>
      <c r="EA48"/>
      <c r="EB48"/>
    </row>
    <row r="49" spans="1:132" s="512" customForma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s="169"/>
      <c r="DE49" s="170" t="str">
        <f>'EE Inputs'!$N$15&amp;" Partcipant"</f>
        <v>Low Savings Partcipant</v>
      </c>
      <c r="DF49" s="698" t="s">
        <v>16</v>
      </c>
      <c r="DG49" s="701">
        <f t="shared" ca="1" si="4"/>
        <v>-3.9202029194609356E-3</v>
      </c>
      <c r="DH49" s="175">
        <f t="shared" ca="1" si="4"/>
        <v>-3.8563681967462848E-3</v>
      </c>
      <c r="DI49" s="175">
        <f t="shared" ca="1" si="4"/>
        <v>-3.7775197232924329E-3</v>
      </c>
      <c r="DJ49" s="175">
        <f t="shared" ca="1" si="4"/>
        <v>-1.1052161918211345E-3</v>
      </c>
      <c r="DK49" s="179"/>
      <c r="DL49"/>
      <c r="DM49"/>
      <c r="DN49" s="533"/>
      <c r="DP49"/>
      <c r="DQ49"/>
      <c r="DR49"/>
      <c r="DS49"/>
      <c r="DT49"/>
      <c r="DU49"/>
      <c r="DV49"/>
      <c r="DW49"/>
      <c r="DX49"/>
      <c r="DY49"/>
      <c r="DZ49"/>
      <c r="EA49"/>
      <c r="EB49"/>
    </row>
    <row r="50" spans="1:132" s="512" customForma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s="169"/>
      <c r="DE50" s="170" t="str">
        <f>'EE Inputs'!$N$16&amp;" Partcipant"</f>
        <v>High Savings Partcipant</v>
      </c>
      <c r="DF50" s="698" t="s">
        <v>16</v>
      </c>
      <c r="DG50" s="701">
        <f t="shared" ca="1" si="4"/>
        <v>-9.4947674507213087E-3</v>
      </c>
      <c r="DH50" s="175">
        <f t="shared" ca="1" si="4"/>
        <v>-9.4356436191020965E-3</v>
      </c>
      <c r="DI50" s="175">
        <f t="shared" ca="1" si="4"/>
        <v>-9.362533399097539E-3</v>
      </c>
      <c r="DJ50" s="175">
        <f t="shared" ca="1" si="4"/>
        <v>-6.5006700878607049E-3</v>
      </c>
      <c r="DK50" s="179"/>
      <c r="DL50"/>
      <c r="DM50"/>
      <c r="DN50" s="533"/>
      <c r="DP50"/>
      <c r="DQ50"/>
      <c r="DR50"/>
      <c r="DS50"/>
      <c r="DT50"/>
      <c r="DU50"/>
      <c r="DV50"/>
      <c r="DW50"/>
      <c r="DX50"/>
      <c r="DY50"/>
      <c r="DZ50"/>
      <c r="EA50"/>
      <c r="EB50"/>
    </row>
    <row r="51" spans="1:132" s="512" customForma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s="169"/>
      <c r="DE51" s="170"/>
      <c r="DF51" s="698"/>
      <c r="DG51" s="702"/>
      <c r="DH51" s="179"/>
      <c r="DI51" s="179"/>
      <c r="DJ51" s="179"/>
      <c r="DK51" s="179"/>
      <c r="DL51"/>
      <c r="DM51"/>
      <c r="DN51" s="533"/>
      <c r="DP51"/>
      <c r="DQ51"/>
      <c r="DR51"/>
      <c r="DS51"/>
      <c r="DT51"/>
      <c r="DU51"/>
      <c r="DV51"/>
      <c r="DW51"/>
      <c r="DX51"/>
      <c r="DY51"/>
      <c r="DZ51"/>
      <c r="EA51"/>
      <c r="EB51"/>
    </row>
    <row r="52" spans="1:132" s="512" customForma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s="5"/>
      <c r="DG52" s="5"/>
      <c r="DH52"/>
      <c r="DI52"/>
      <c r="DJ52"/>
      <c r="DK52"/>
      <c r="DL52"/>
      <c r="DM52"/>
      <c r="DN52" s="533"/>
      <c r="DP52"/>
      <c r="DQ52"/>
      <c r="DR52"/>
      <c r="DS52"/>
      <c r="DT52"/>
      <c r="DU52"/>
      <c r="DV52"/>
      <c r="DW52"/>
      <c r="DX52"/>
      <c r="DY52"/>
      <c r="DZ52"/>
      <c r="EA52"/>
      <c r="EB52"/>
    </row>
    <row r="53" spans="1:132" s="512" customForma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s="535" t="s">
        <v>253</v>
      </c>
      <c r="DF53" s="517"/>
      <c r="DG53" s="5"/>
      <c r="DH53"/>
      <c r="DI53"/>
      <c r="DJ53"/>
      <c r="DK53"/>
      <c r="DL53"/>
      <c r="DM53"/>
      <c r="DN53" s="533"/>
      <c r="DP53"/>
      <c r="DQ53"/>
      <c r="DR53"/>
      <c r="DS53"/>
      <c r="DT53"/>
      <c r="DU53"/>
      <c r="DV53"/>
      <c r="DW53"/>
      <c r="DX53"/>
      <c r="DY53"/>
      <c r="DZ53"/>
      <c r="EA53"/>
      <c r="EB53"/>
    </row>
    <row r="54" spans="1:132" s="512" customForma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s="531" t="s">
        <v>120</v>
      </c>
      <c r="DF54" s="517"/>
      <c r="DG54" s="703" t="s">
        <v>293</v>
      </c>
      <c r="DH54" s="523" t="s">
        <v>294</v>
      </c>
      <c r="DI54" s="523" t="s">
        <v>295</v>
      </c>
      <c r="DJ54" s="523" t="s">
        <v>296</v>
      </c>
      <c r="DK54" s="133"/>
      <c r="DL54"/>
      <c r="DM54"/>
      <c r="DN54" s="533"/>
      <c r="DP54"/>
      <c r="DQ54"/>
      <c r="DR54"/>
      <c r="DS54"/>
      <c r="DT54"/>
      <c r="DU54"/>
      <c r="DV54"/>
      <c r="DW54"/>
      <c r="DX54"/>
      <c r="DY54"/>
      <c r="DZ54"/>
      <c r="EA54"/>
      <c r="EB54"/>
    </row>
    <row r="55" spans="1:132" s="512" customFormat="1" x14ac:dyDescent="0.25">
      <c r="B55"/>
      <c r="C55"/>
      <c r="D55"/>
      <c r="E55"/>
      <c r="F55"/>
      <c r="G55"/>
      <c r="H55"/>
      <c r="I55"/>
      <c r="J55"/>
      <c r="K55" s="1"/>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s="531" t="str">
        <f>Lookups!$D$23</f>
        <v>Proposed EE</v>
      </c>
      <c r="DF55" s="517"/>
      <c r="DG55" s="703" t="str">
        <f>IFERROR(LEFT(ADDRESS(1,COLUMN('Yr1'!$AJ$6)+MATCH(DG5,'Yr1'!$G$7:$AG$7,0)-1,4,1),LEN(ADDRESS(1,COLUMN('Yr1'!$AJ$6)+MATCH(DG5,'Yr1'!$G$7:$AG$7,0)-1,4,1))-1),"")</f>
        <v>AJ</v>
      </c>
      <c r="DH55" s="523" t="str">
        <f>DG55</f>
        <v>AJ</v>
      </c>
      <c r="DI55" s="523" t="str">
        <f t="shared" ref="DI55:DJ56" si="5">DH55</f>
        <v>AJ</v>
      </c>
      <c r="DJ55" s="523" t="str">
        <f t="shared" si="5"/>
        <v>AJ</v>
      </c>
      <c r="DK55" s="133"/>
      <c r="DL55"/>
      <c r="DM55"/>
      <c r="DN55" s="533"/>
      <c r="DP55"/>
      <c r="DQ55"/>
      <c r="DR55"/>
      <c r="DS55"/>
      <c r="DT55"/>
      <c r="DU55"/>
      <c r="DV55"/>
      <c r="DW55"/>
      <c r="DX55"/>
      <c r="DY55"/>
      <c r="DZ55"/>
      <c r="EA55"/>
      <c r="EB55"/>
    </row>
    <row r="56" spans="1:132" s="512" customForma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s="531" t="str">
        <f>Lookups!$D$24</f>
        <v>Alternative EE</v>
      </c>
      <c r="DF56" s="5"/>
      <c r="DG56" s="703" t="str">
        <f>IFERROR(LEFT(ADDRESS(1,COLUMN('Yr1'!$BP$6)+MATCH(DG5,'Yr1'!$G$7:$AG$7,0)-1,4,1),LEN(ADDRESS(1,COLUMN('Yr1'!$BP$6)+MATCH(DG5,'Yr1'!$G$7:$AG$7,0)-1,4,1))-1),"")</f>
        <v>BP</v>
      </c>
      <c r="DH56" s="523" t="str">
        <f>DG56</f>
        <v>BP</v>
      </c>
      <c r="DI56" s="523" t="str">
        <f t="shared" si="5"/>
        <v>BP</v>
      </c>
      <c r="DJ56" s="523" t="str">
        <f t="shared" si="5"/>
        <v>BP</v>
      </c>
      <c r="DK56"/>
      <c r="DL56"/>
      <c r="DM56"/>
      <c r="DN56" s="533"/>
      <c r="DP56"/>
      <c r="DQ56"/>
      <c r="DR56"/>
      <c r="DS56"/>
      <c r="DT56"/>
      <c r="DU56"/>
      <c r="DV56"/>
      <c r="DW56"/>
      <c r="DX56"/>
      <c r="DY56"/>
      <c r="DZ56"/>
      <c r="EA56"/>
      <c r="EB56"/>
    </row>
    <row r="57" spans="1:132" s="512" customForma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s="557" t="str">
        <f ca="1">"A non-participant will see a "&amp;TEXT($DJ$47,"0.#%")&amp;" "&amp;IF($DJ$47&gt;0,"increase","decrease")&amp;" in long-term average bills 
from the "&amp;Lookups!$D$24&amp;" scenario relative to the "&amp;Lookups!$D$23&amp;" scenario."</f>
        <v>A non-participant will see a 0.4% increase in long-term average bills 
from the Alternative EE scenario relative to the Proposed EE scenario.</v>
      </c>
      <c r="DF57" s="5"/>
      <c r="DG57" s="5"/>
      <c r="DH57"/>
      <c r="DI57"/>
      <c r="DJ57"/>
      <c r="DK57"/>
      <c r="DL57"/>
      <c r="DM57"/>
      <c r="DN57" s="533"/>
      <c r="DP57"/>
      <c r="DQ57"/>
      <c r="DR57"/>
      <c r="DS57"/>
      <c r="DT57"/>
      <c r="DU57"/>
      <c r="DV57"/>
      <c r="DW57"/>
      <c r="DX57"/>
      <c r="DY57"/>
      <c r="DZ57"/>
      <c r="EA57"/>
      <c r="EB57"/>
    </row>
    <row r="58" spans="1:132" s="512" customForma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s="5"/>
      <c r="DG58" s="5"/>
      <c r="DH58"/>
      <c r="DI58"/>
      <c r="DJ58"/>
      <c r="DK58"/>
      <c r="DL58"/>
      <c r="DM58"/>
      <c r="DN58" s="533"/>
      <c r="DP58"/>
      <c r="DQ58"/>
      <c r="DR58"/>
      <c r="DS58"/>
      <c r="DT58"/>
      <c r="DU58"/>
      <c r="DV58"/>
      <c r="DW58"/>
      <c r="DX58"/>
      <c r="DY58"/>
      <c r="DZ58"/>
      <c r="EA58"/>
      <c r="EB58"/>
    </row>
    <row r="59" spans="1:132" x14ac:dyDescent="0.25">
      <c r="A59" s="512"/>
    </row>
  </sheetData>
  <mergeCells count="4">
    <mergeCell ref="C4:G4"/>
    <mergeCell ref="BS41:CY42"/>
    <mergeCell ref="BS43:CY45"/>
    <mergeCell ref="BS46:CY47"/>
  </mergeCells>
  <pageMargins left="0.7" right="0.7" top="0.75" bottom="0.75" header="0.3" footer="0.3"/>
  <pageSetup scale="43" fitToWidth="2" fitToHeight="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Lookups!$D$26:$D$29</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2:F49"/>
  <sheetViews>
    <sheetView showGridLines="0" zoomScaleNormal="100" workbookViewId="0">
      <selection activeCell="M17" sqref="M17"/>
    </sheetView>
  </sheetViews>
  <sheetFormatPr defaultRowHeight="15" x14ac:dyDescent="0.25"/>
  <cols>
    <col min="1" max="3" width="2.7109375" customWidth="1"/>
    <col min="4" max="4" width="20.85546875" customWidth="1"/>
    <col min="5" max="5" width="118.85546875" customWidth="1"/>
    <col min="6" max="6" width="2.7109375" customWidth="1"/>
  </cols>
  <sheetData>
    <row r="2" spans="2:6" ht="26.25" x14ac:dyDescent="0.25">
      <c r="B2" s="2" t="s">
        <v>144</v>
      </c>
      <c r="C2" s="2"/>
    </row>
    <row r="3" spans="2:6" ht="21" x14ac:dyDescent="0.25">
      <c r="B3" s="245" t="s">
        <v>218</v>
      </c>
    </row>
    <row r="4" spans="2:6" x14ac:dyDescent="0.25">
      <c r="B4" s="484" t="s">
        <v>423</v>
      </c>
      <c r="C4" s="18"/>
    </row>
    <row r="6" spans="2:6" ht="18.75" x14ac:dyDescent="0.3">
      <c r="B6" s="148" t="s">
        <v>146</v>
      </c>
      <c r="C6" s="147"/>
      <c r="D6" s="147"/>
      <c r="E6" s="147"/>
      <c r="F6" s="147"/>
    </row>
    <row r="7" spans="2:6" ht="15" customHeight="1" x14ac:dyDescent="0.25">
      <c r="C7" s="728" t="s">
        <v>299</v>
      </c>
      <c r="D7" s="728"/>
      <c r="E7" s="728"/>
    </row>
    <row r="8" spans="2:6" x14ac:dyDescent="0.25">
      <c r="C8" s="728"/>
      <c r="D8" s="728"/>
      <c r="E8" s="728"/>
    </row>
    <row r="9" spans="2:6" x14ac:dyDescent="0.25">
      <c r="C9" s="728"/>
      <c r="D9" s="728"/>
      <c r="E9" s="728"/>
    </row>
    <row r="10" spans="2:6" x14ac:dyDescent="0.25">
      <c r="C10" s="728"/>
      <c r="D10" s="728"/>
      <c r="E10" s="728"/>
    </row>
    <row r="11" spans="2:6" x14ac:dyDescent="0.25">
      <c r="C11" s="728"/>
      <c r="D11" s="728"/>
      <c r="E11" s="728"/>
    </row>
    <row r="12" spans="2:6" x14ac:dyDescent="0.25">
      <c r="C12" s="728"/>
      <c r="D12" s="728"/>
      <c r="E12" s="728"/>
    </row>
    <row r="14" spans="2:6" ht="18.75" x14ac:dyDescent="0.3">
      <c r="B14" s="148" t="s">
        <v>84</v>
      </c>
      <c r="C14" s="147"/>
      <c r="D14" s="147"/>
      <c r="E14" s="147"/>
      <c r="F14" s="147"/>
    </row>
    <row r="15" spans="2:6" x14ac:dyDescent="0.25">
      <c r="D15" s="4" t="s">
        <v>85</v>
      </c>
      <c r="E15" s="4" t="s">
        <v>66</v>
      </c>
    </row>
    <row r="16" spans="2:6" x14ac:dyDescent="0.25">
      <c r="D16" s="137" t="s">
        <v>25</v>
      </c>
      <c r="E16" s="138" t="s">
        <v>391</v>
      </c>
    </row>
    <row r="17" spans="2:6" x14ac:dyDescent="0.25">
      <c r="D17" s="137" t="s">
        <v>67</v>
      </c>
      <c r="E17" s="138" t="s">
        <v>392</v>
      </c>
    </row>
    <row r="18" spans="2:6" ht="30" x14ac:dyDescent="0.25">
      <c r="D18" s="137" t="s">
        <v>68</v>
      </c>
      <c r="E18" s="138" t="s">
        <v>393</v>
      </c>
    </row>
    <row r="19" spans="2:6" x14ac:dyDescent="0.25">
      <c r="D19" s="137" t="s">
        <v>297</v>
      </c>
      <c r="E19" s="138" t="s">
        <v>298</v>
      </c>
    </row>
    <row r="20" spans="2:6" ht="30" x14ac:dyDescent="0.25">
      <c r="D20" s="139" t="s">
        <v>219</v>
      </c>
      <c r="E20" s="138" t="s">
        <v>220</v>
      </c>
    </row>
    <row r="21" spans="2:6" x14ac:dyDescent="0.25">
      <c r="D21" s="469" t="s">
        <v>222</v>
      </c>
      <c r="E21" s="138" t="s">
        <v>221</v>
      </c>
    </row>
    <row r="22" spans="2:6" x14ac:dyDescent="0.25">
      <c r="D22" s="471" t="s">
        <v>86</v>
      </c>
      <c r="E22" s="138" t="s">
        <v>394</v>
      </c>
    </row>
    <row r="23" spans="2:6" x14ac:dyDescent="0.25">
      <c r="D23" s="470" t="s">
        <v>87</v>
      </c>
      <c r="E23" s="138" t="s">
        <v>395</v>
      </c>
    </row>
    <row r="26" spans="2:6" ht="18.75" x14ac:dyDescent="0.3">
      <c r="B26" s="148" t="s">
        <v>83</v>
      </c>
      <c r="C26" s="147"/>
      <c r="D26" s="147"/>
      <c r="E26" s="147"/>
      <c r="F26" s="147"/>
    </row>
    <row r="27" spans="2:6" ht="15" customHeight="1" x14ac:dyDescent="0.25">
      <c r="C27" s="727" t="s">
        <v>143</v>
      </c>
      <c r="D27" s="727"/>
      <c r="E27" s="727"/>
    </row>
    <row r="28" spans="2:6" x14ac:dyDescent="0.25">
      <c r="C28" t="s">
        <v>67</v>
      </c>
    </row>
    <row r="29" spans="2:6" x14ac:dyDescent="0.25">
      <c r="D29" t="s">
        <v>148</v>
      </c>
    </row>
    <row r="30" spans="2:6" x14ac:dyDescent="0.25">
      <c r="D30" s="729" t="s">
        <v>149</v>
      </c>
      <c r="E30" s="729"/>
    </row>
    <row r="31" spans="2:6" x14ac:dyDescent="0.25">
      <c r="D31" s="729"/>
      <c r="E31" s="729"/>
    </row>
    <row r="32" spans="2:6" x14ac:dyDescent="0.25">
      <c r="D32" s="729"/>
      <c r="E32" s="729"/>
    </row>
    <row r="33" spans="2:6" x14ac:dyDescent="0.25">
      <c r="C33" t="s">
        <v>68</v>
      </c>
    </row>
    <row r="34" spans="2:6" x14ac:dyDescent="0.25">
      <c r="D34" t="s">
        <v>150</v>
      </c>
    </row>
    <row r="35" spans="2:6" x14ac:dyDescent="0.25">
      <c r="D35" t="s">
        <v>151</v>
      </c>
    </row>
    <row r="37" spans="2:6" x14ac:dyDescent="0.25">
      <c r="D37" s="23" t="s">
        <v>107</v>
      </c>
    </row>
    <row r="39" spans="2:6" ht="18.75" x14ac:dyDescent="0.3">
      <c r="B39" s="148" t="s">
        <v>155</v>
      </c>
      <c r="C39" s="147"/>
      <c r="D39" s="147"/>
      <c r="E39" s="147"/>
      <c r="F39" s="147"/>
    </row>
    <row r="40" spans="2:6" x14ac:dyDescent="0.25">
      <c r="C40" t="s">
        <v>156</v>
      </c>
    </row>
    <row r="41" spans="2:6" x14ac:dyDescent="0.25">
      <c r="C41" t="s">
        <v>105</v>
      </c>
    </row>
    <row r="42" spans="2:6" x14ac:dyDescent="0.25">
      <c r="C42" s="52" t="s">
        <v>223</v>
      </c>
    </row>
    <row r="43" spans="2:6" ht="15" customHeight="1" x14ac:dyDescent="0.25">
      <c r="C43" s="728" t="s">
        <v>145</v>
      </c>
      <c r="D43" s="728"/>
      <c r="E43" s="728"/>
    </row>
    <row r="44" spans="2:6" x14ac:dyDescent="0.25">
      <c r="C44" s="728"/>
      <c r="D44" s="728"/>
      <c r="E44" s="728"/>
    </row>
    <row r="45" spans="2:6" ht="15" customHeight="1" x14ac:dyDescent="0.25">
      <c r="C45" s="730" t="s">
        <v>400</v>
      </c>
      <c r="D45" s="730"/>
      <c r="E45" s="730"/>
    </row>
    <row r="46" spans="2:6" x14ac:dyDescent="0.25">
      <c r="C46" s="730"/>
      <c r="D46" s="730"/>
      <c r="E46" s="730"/>
    </row>
    <row r="47" spans="2:6" x14ac:dyDescent="0.25">
      <c r="C47" s="730"/>
      <c r="D47" s="730"/>
      <c r="E47" s="730"/>
    </row>
    <row r="48" spans="2:6" x14ac:dyDescent="0.25">
      <c r="C48" s="727" t="s">
        <v>401</v>
      </c>
      <c r="D48" s="727"/>
      <c r="E48" s="727"/>
    </row>
    <row r="49" spans="3:5" x14ac:dyDescent="0.25">
      <c r="C49" s="727"/>
      <c r="D49" s="727"/>
      <c r="E49" s="727"/>
    </row>
  </sheetData>
  <mergeCells count="6">
    <mergeCell ref="C48:E49"/>
    <mergeCell ref="C7:E12"/>
    <mergeCell ref="C27:E27"/>
    <mergeCell ref="D30:E32"/>
    <mergeCell ref="C45:E47"/>
    <mergeCell ref="C43:E44"/>
  </mergeCells>
  <pageMargins left="0.7" right="0.7" top="0.75" bottom="0.75" header="0.3" footer="0.3"/>
  <pageSetup scale="67"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EB59"/>
  <sheetViews>
    <sheetView showGridLines="0" topLeftCell="AG16" zoomScale="85" zoomScaleNormal="85" workbookViewId="0">
      <selection activeCell="DR47" sqref="DR47"/>
    </sheetView>
  </sheetViews>
  <sheetFormatPr defaultRowHeight="15" x14ac:dyDescent="0.25"/>
  <cols>
    <col min="1" max="108" width="2.7109375" customWidth="1"/>
    <col min="109" max="109" width="25.7109375" bestFit="1" customWidth="1"/>
    <col min="110" max="110" width="4.7109375" style="5" customWidth="1"/>
    <col min="111" max="111" width="12" style="5" customWidth="1"/>
    <col min="112" max="114" width="12" customWidth="1"/>
    <col min="115" max="117" width="2.7109375" customWidth="1"/>
    <col min="118" max="118" width="5.5703125" style="533" bestFit="1" customWidth="1"/>
    <col min="119" max="119" width="5" style="512" bestFit="1" customWidth="1"/>
  </cols>
  <sheetData>
    <row r="1" spans="2:120" x14ac:dyDescent="0.25">
      <c r="AA1" s="1"/>
      <c r="BA1" s="1"/>
      <c r="DF1" s="354"/>
      <c r="DG1" s="354"/>
      <c r="DH1" s="115"/>
      <c r="DI1" s="115"/>
      <c r="DJ1" s="115"/>
      <c r="DK1" s="115"/>
    </row>
    <row r="2" spans="2:120" s="115" customFormat="1" ht="26.25" x14ac:dyDescent="0.25">
      <c r="B2" s="2" t="s">
        <v>396</v>
      </c>
      <c r="D2" s="2"/>
      <c r="E2" s="2"/>
      <c r="F2" s="2"/>
      <c r="G2" s="2"/>
      <c r="H2" s="2"/>
      <c r="I2" s="2"/>
      <c r="J2" s="2"/>
      <c r="K2" s="2"/>
      <c r="L2" s="2"/>
      <c r="M2" s="2"/>
      <c r="N2" s="2"/>
      <c r="O2" s="2"/>
      <c r="P2" s="680"/>
      <c r="Q2" s="2"/>
      <c r="R2" s="2"/>
      <c r="S2" s="136"/>
      <c r="T2" s="2"/>
      <c r="U2" s="2"/>
      <c r="V2" s="2"/>
      <c r="W2" s="2"/>
      <c r="X2" s="2"/>
      <c r="Y2" s="2"/>
      <c r="Z2" s="2"/>
      <c r="AA2" s="2"/>
      <c r="AB2" s="2"/>
      <c r="AC2" s="2"/>
      <c r="AD2" s="2"/>
      <c r="AE2" s="2"/>
      <c r="AF2" s="2"/>
      <c r="AG2" s="2"/>
      <c r="AH2" s="2"/>
      <c r="AI2" s="2"/>
      <c r="AJ2" s="1"/>
      <c r="AK2" s="2"/>
      <c r="AL2" s="2"/>
      <c r="AM2" s="2"/>
      <c r="AN2" s="2"/>
      <c r="AO2" s="2"/>
      <c r="AP2" s="2"/>
      <c r="AQ2" s="136"/>
      <c r="AR2" s="2"/>
      <c r="AS2" s="2"/>
      <c r="AT2" s="2"/>
      <c r="AU2" s="2"/>
      <c r="AV2" s="2"/>
      <c r="AW2" s="2"/>
      <c r="AX2" s="2"/>
      <c r="AY2" s="2"/>
      <c r="AZ2" s="2"/>
      <c r="BA2" s="128"/>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t="s">
        <v>74</v>
      </c>
      <c r="DE2" s="2"/>
      <c r="DF2" s="683"/>
      <c r="DG2" s="354"/>
      <c r="DN2" s="533"/>
      <c r="DO2" s="523"/>
    </row>
    <row r="3" spans="2:120" ht="21" x14ac:dyDescent="0.25">
      <c r="B3" s="245" t="str">
        <f>Lookups!$E$6</f>
        <v>Liberty</v>
      </c>
      <c r="P3" s="1"/>
      <c r="S3" s="1"/>
      <c r="AK3" s="1"/>
      <c r="BA3" s="1"/>
      <c r="CC3" s="1"/>
      <c r="DC3" s="115"/>
      <c r="DD3" s="100"/>
      <c r="DE3" s="115"/>
      <c r="DF3" s="354"/>
      <c r="DG3" s="354"/>
      <c r="DH3" s="115"/>
      <c r="DI3" s="115"/>
      <c r="DJ3" s="115"/>
      <c r="DK3" s="115"/>
    </row>
    <row r="4" spans="2:120" x14ac:dyDescent="0.25">
      <c r="B4" s="348"/>
      <c r="C4" s="773" t="s">
        <v>43</v>
      </c>
      <c r="D4" s="774"/>
      <c r="E4" s="774"/>
      <c r="F4" s="774"/>
      <c r="G4" s="775"/>
      <c r="H4" t="s">
        <v>27</v>
      </c>
      <c r="P4" s="1"/>
      <c r="AK4" s="1"/>
      <c r="BA4" s="1"/>
      <c r="CC4" s="1"/>
      <c r="DF4" s="354"/>
      <c r="DG4" s="354"/>
      <c r="DH4" s="115"/>
      <c r="DI4" s="115"/>
      <c r="DJ4" s="115"/>
      <c r="DK4" s="115"/>
    </row>
    <row r="5" spans="2:120" x14ac:dyDescent="0.25">
      <c r="M5" s="154"/>
      <c r="P5" s="1"/>
      <c r="DG5" s="644">
        <f>Year1</f>
        <v>2021</v>
      </c>
      <c r="DH5" s="117">
        <f>DG5+1</f>
        <v>2022</v>
      </c>
      <c r="DI5" s="117">
        <f>DH5+1</f>
        <v>2023</v>
      </c>
      <c r="DJ5" s="97" t="str">
        <f>Year1&amp;"-"&amp;Year3</f>
        <v>2021-2023</v>
      </c>
      <c r="DK5" s="97"/>
      <c r="DN5" s="535" t="s">
        <v>253</v>
      </c>
    </row>
    <row r="6" spans="2:120" ht="23.25" x14ac:dyDescent="0.35">
      <c r="C6" s="682" t="str">
        <f>Year1&amp;"-"&amp;Year3&amp;" Long-Term Levelized Change in Bills"</f>
        <v>2021-2023 Long-Term Levelized Change in Bills</v>
      </c>
      <c r="D6" s="682"/>
      <c r="E6" s="682"/>
      <c r="F6" s="682"/>
      <c r="G6" s="682"/>
      <c r="H6" s="682"/>
      <c r="I6" s="682"/>
      <c r="J6" s="682"/>
      <c r="K6" s="682"/>
      <c r="L6" s="682"/>
      <c r="M6" s="682"/>
      <c r="N6" s="682"/>
      <c r="O6" s="682"/>
      <c r="P6" s="682"/>
      <c r="Q6" s="682"/>
      <c r="R6" s="682"/>
      <c r="S6" s="682"/>
      <c r="T6" s="682"/>
      <c r="U6" s="682"/>
      <c r="V6" s="682"/>
      <c r="W6" s="682"/>
      <c r="X6" s="682"/>
      <c r="Y6" s="682"/>
      <c r="Z6" s="682"/>
      <c r="AA6" s="682"/>
      <c r="AB6" s="682"/>
      <c r="AC6" s="682"/>
      <c r="AD6" s="682"/>
      <c r="AE6" s="682"/>
      <c r="AF6" s="682"/>
      <c r="AG6" s="682"/>
      <c r="AH6" s="682"/>
      <c r="AI6" s="682"/>
      <c r="AJ6" s="681"/>
      <c r="AK6" s="682" t="s">
        <v>421</v>
      </c>
      <c r="AL6" s="682"/>
      <c r="AM6" s="682"/>
      <c r="AN6" s="682"/>
      <c r="AO6" s="682"/>
      <c r="AP6" s="682"/>
      <c r="AQ6" s="682"/>
      <c r="AR6" s="682"/>
      <c r="AS6" s="682"/>
      <c r="AT6" s="682"/>
      <c r="AU6" s="682"/>
      <c r="AV6" s="682"/>
      <c r="AW6" s="682"/>
      <c r="AX6" s="682"/>
      <c r="AY6" s="682"/>
      <c r="AZ6" s="682"/>
      <c r="BA6" s="682"/>
      <c r="BB6" s="682"/>
      <c r="BC6" s="682"/>
      <c r="BD6" s="682"/>
      <c r="BE6" s="682"/>
      <c r="BF6" s="682"/>
      <c r="BG6" s="682"/>
      <c r="BH6" s="682"/>
      <c r="BI6" s="682"/>
      <c r="BJ6" s="682"/>
      <c r="BK6" s="682"/>
      <c r="BL6" s="682"/>
      <c r="BM6" s="682"/>
      <c r="BN6" s="682"/>
      <c r="BO6" s="682"/>
      <c r="BP6" s="682"/>
      <c r="BQ6" s="682"/>
      <c r="BR6" s="681"/>
      <c r="BS6" s="682" t="s">
        <v>422</v>
      </c>
      <c r="BT6" s="682"/>
      <c r="BU6" s="682"/>
      <c r="BV6" s="682"/>
      <c r="BW6" s="682"/>
      <c r="BX6" s="682"/>
      <c r="BY6" s="682"/>
      <c r="BZ6" s="682"/>
      <c r="CA6" s="682"/>
      <c r="CB6" s="682"/>
      <c r="CC6" s="682"/>
      <c r="CD6" s="682"/>
      <c r="CE6" s="682"/>
      <c r="CF6" s="682"/>
      <c r="CG6" s="682"/>
      <c r="CH6" s="682"/>
      <c r="CI6" s="682"/>
      <c r="CJ6" s="682"/>
      <c r="CK6" s="682"/>
      <c r="CL6" s="682"/>
      <c r="CM6" s="682"/>
      <c r="CN6" s="682"/>
      <c r="CO6" s="682"/>
      <c r="CP6" s="682"/>
      <c r="CQ6" s="682"/>
      <c r="CR6" s="682"/>
      <c r="CS6" s="682"/>
      <c r="CT6" s="682"/>
      <c r="CU6" s="682"/>
      <c r="CV6" s="682"/>
      <c r="CW6" s="682"/>
      <c r="CX6" s="682"/>
      <c r="CY6" s="682"/>
      <c r="DC6" s="91" t="str">
        <f>Lookups!$D$23&amp;" v "&amp;Lookups!$D$22</f>
        <v>Proposed EE v No EE</v>
      </c>
      <c r="DD6" s="91"/>
      <c r="DE6" s="90"/>
      <c r="DF6" s="684"/>
      <c r="DG6" s="685"/>
      <c r="DH6" s="209"/>
      <c r="DI6" s="209"/>
      <c r="DJ6" s="209"/>
      <c r="DK6" s="98"/>
      <c r="DL6" s="98"/>
      <c r="DN6" s="515">
        <f>'Output Summary'!T33</f>
        <v>79</v>
      </c>
    </row>
    <row r="7" spans="2:120" ht="18.75" x14ac:dyDescent="0.3">
      <c r="C7" s="91" t="str">
        <f>Lookups!$D$23&amp;" v "&amp;Lookups!$D$22</f>
        <v>Proposed EE v No EE</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K7" s="91" t="str">
        <f>C7</f>
        <v>Proposed EE v No EE</v>
      </c>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S7" s="91" t="str">
        <f>Lookups!$D$23</f>
        <v>Proposed EE</v>
      </c>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DD7" s="178" t="s">
        <v>51</v>
      </c>
      <c r="DE7" s="49"/>
      <c r="DF7" s="48"/>
      <c r="DG7" s="686"/>
      <c r="DH7" s="103"/>
      <c r="DI7" s="103"/>
      <c r="DJ7" s="103"/>
      <c r="DK7" s="49"/>
      <c r="DN7" s="536"/>
    </row>
    <row r="8" spans="2:120" x14ac:dyDescent="0.25">
      <c r="DD8" s="49"/>
      <c r="DE8" s="49" t="s">
        <v>80</v>
      </c>
      <c r="DF8" s="48" t="s">
        <v>32</v>
      </c>
      <c r="DG8" s="687" cm="1">
        <f t="array" aca="1" ref="DG8" ca="1">IFERROR(INDIRECT(DG$54&amp;DG$55&amp;$DN8),0)</f>
        <v>151459.07383129318</v>
      </c>
      <c r="DH8" s="643" cm="1">
        <f t="array" aca="1" ref="DH8" ca="1">IFERROR(INDIRECT(DH$54&amp;DH$55&amp;$DN8),0)</f>
        <v>151543.29322018984</v>
      </c>
      <c r="DI8" s="643" cm="1">
        <f t="array" aca="1" ref="DI8" ca="1">IFERROR(INDIRECT(DI$54&amp;DI$55&amp;$DN8),0)</f>
        <v>151657.87468944714</v>
      </c>
      <c r="DJ8" s="643" cm="1">
        <f t="array" aca="1" ref="DJ8" ca="1">IFERROR(INDIRECT(DJ$54&amp;DJ$55&amp;$DN8),0)</f>
        <v>155042.80140654498</v>
      </c>
      <c r="DK8" s="134"/>
      <c r="DN8" s="515">
        <f>ROW('Yr1'!AK72)+($DN$6*IF($C$4=Lookups!$D$26,0,IF($C$4=Lookups!$D$27,1,IF($C$4=Lookups!$D$28,2,IF($C$4=Lookups!$D$29,3)))))</f>
        <v>309</v>
      </c>
      <c r="DP8" s="1"/>
    </row>
    <row r="9" spans="2:120" x14ac:dyDescent="0.25">
      <c r="DD9" s="49"/>
      <c r="DE9" s="49" t="s">
        <v>78</v>
      </c>
      <c r="DF9" s="48" t="s">
        <v>32</v>
      </c>
      <c r="DG9" s="687" cm="1">
        <f t="array" aca="1" ref="DG9" ca="1">IFERROR(INDIRECT(DG$54&amp;DG$55&amp;$DN9),0)</f>
        <v>144382.88208869065</v>
      </c>
      <c r="DH9" s="643" cm="1">
        <f t="array" aca="1" ref="DH9" ca="1">IFERROR(INDIRECT(DH$54&amp;DH$55&amp;$DN9),0)</f>
        <v>144117.83878921511</v>
      </c>
      <c r="DI9" s="643" cm="1">
        <f t="array" aca="1" ref="DI9" ca="1">IFERROR(INDIRECT(DI$54&amp;DI$55&amp;$DN9),0)</f>
        <v>143814.26257988546</v>
      </c>
      <c r="DJ9" s="643" cm="1">
        <f t="array" aca="1" ref="DJ9" ca="1">IFERROR(INDIRECT(DJ$54&amp;DJ$55&amp;$DN9),0)</f>
        <v>133753.25757175178</v>
      </c>
      <c r="DK9" s="134"/>
      <c r="DN9" s="534">
        <f>DN8+1</f>
        <v>310</v>
      </c>
    </row>
    <row r="10" spans="2:120" x14ac:dyDescent="0.25">
      <c r="DD10" s="49"/>
      <c r="DE10" s="49" t="str">
        <f>'EE Inputs'!$N$15&amp;" Partcipant"</f>
        <v>Low Savings Partcipant</v>
      </c>
      <c r="DF10" s="48" t="s">
        <v>32</v>
      </c>
      <c r="DG10" s="687" cm="1">
        <f t="array" aca="1" ref="DG10" ca="1">IFERROR(INDIRECT(DG$54&amp;DG$55&amp;$DN10),0)</f>
        <v>147395.36240386963</v>
      </c>
      <c r="DH10" s="643" cm="1">
        <f t="array" aca="1" ref="DH10" ca="1">IFERROR(INDIRECT(DH$54&amp;DH$55&amp;$DN10),0)</f>
        <v>147475.37082332151</v>
      </c>
      <c r="DI10" s="643" cm="1">
        <f t="array" aca="1" ref="DI10" ca="1">IFERROR(INDIRECT(DI$54&amp;DI$55&amp;$DN10),0)</f>
        <v>147584.22321911596</v>
      </c>
      <c r="DJ10" s="643" cm="1">
        <f t="array" aca="1" ref="DJ10" ca="1">IFERROR(INDIRECT(DJ$54&amp;DJ$55&amp;$DN10),0)</f>
        <v>151050.72559076626</v>
      </c>
      <c r="DK10" s="134"/>
      <c r="DN10" s="534">
        <f t="shared" ref="DN10:DN11" si="0">DN9+1</f>
        <v>311</v>
      </c>
    </row>
    <row r="11" spans="2:120" x14ac:dyDescent="0.25">
      <c r="DD11" s="49"/>
      <c r="DE11" s="49" t="str">
        <f>'EE Inputs'!$N$16&amp;" Partcipant"</f>
        <v>High Savings Partcipant</v>
      </c>
      <c r="DF11" s="48" t="s">
        <v>32</v>
      </c>
      <c r="DG11" s="687" cm="1">
        <f t="array" aca="1" ref="DG11" ca="1">IFERROR(INDIRECT(DG$54&amp;DG$55&amp;$DN11),0)</f>
        <v>143331.65097644611</v>
      </c>
      <c r="DH11" s="643" cm="1">
        <f t="array" aca="1" ref="DH11" ca="1">IFERROR(INDIRECT(DH$54&amp;DH$55&amp;$DN11),0)</f>
        <v>143407.44842645313</v>
      </c>
      <c r="DI11" s="643" cm="1">
        <f t="array" aca="1" ref="DI11" ca="1">IFERROR(INDIRECT(DI$54&amp;DI$55&amp;$DN11),0)</f>
        <v>143510.57174878471</v>
      </c>
      <c r="DJ11" s="643" cm="1">
        <f t="array" aca="1" ref="DJ11" ca="1">IFERROR(INDIRECT(DJ$54&amp;DJ$55&amp;$DN11),0)</f>
        <v>147058.64977498751</v>
      </c>
      <c r="DK11" s="134"/>
      <c r="DN11" s="534">
        <f t="shared" si="0"/>
        <v>312</v>
      </c>
    </row>
    <row r="12" spans="2:120" x14ac:dyDescent="0.25">
      <c r="DC12" s="18"/>
      <c r="DD12" s="178" t="s">
        <v>101</v>
      </c>
      <c r="DE12" s="49"/>
      <c r="DF12" s="48"/>
      <c r="DG12" s="688"/>
      <c r="DH12" s="642"/>
      <c r="DI12" s="642"/>
      <c r="DJ12" s="642"/>
      <c r="DK12" s="134"/>
      <c r="DN12" s="534"/>
    </row>
    <row r="13" spans="2:120" x14ac:dyDescent="0.25">
      <c r="DB13" s="18"/>
      <c r="DD13" s="49"/>
      <c r="DE13" s="49" t="s">
        <v>80</v>
      </c>
      <c r="DF13" s="48" t="s">
        <v>32</v>
      </c>
      <c r="DG13" s="688" cm="1">
        <f t="array" aca="1" ref="DG13" ca="1">IFERROR(INDIRECT(DG$54&amp;DG$55&amp;$DN13),0)</f>
        <v>1719.5324799403224</v>
      </c>
      <c r="DH13" s="642" cm="1">
        <f t="array" aca="1" ref="DH13" ca="1">IFERROR(INDIRECT(DH$54&amp;DH$55&amp;$DN13),0)</f>
        <v>1803.7518688369864</v>
      </c>
      <c r="DI13" s="642" cm="1">
        <f t="array" aca="1" ref="DI13" ca="1">IFERROR(INDIRECT(DI$54&amp;DI$55&amp;$DN13),0)</f>
        <v>1918.3333380943041</v>
      </c>
      <c r="DJ13" s="642" cm="1">
        <f t="array" aca="1" ref="DJ13" ca="1">IFERROR(INDIRECT(DJ$54&amp;DJ$55&amp;$DN13),0)</f>
        <v>5303.2600551921323</v>
      </c>
      <c r="DK13" s="134"/>
      <c r="DN13" s="534">
        <f>DN11+2</f>
        <v>314</v>
      </c>
    </row>
    <row r="14" spans="2:120" x14ac:dyDescent="0.25">
      <c r="DD14" s="49"/>
      <c r="DE14" s="49" t="s">
        <v>78</v>
      </c>
      <c r="DF14" s="48" t="s">
        <v>32</v>
      </c>
      <c r="DG14" s="688" cm="1">
        <f t="array" aca="1" ref="DG14" ca="1">IFERROR(INDIRECT(DG$54&amp;DG$55&amp;$DN14),0)</f>
        <v>-5356.6592626622096</v>
      </c>
      <c r="DH14" s="642" cm="1">
        <f t="array" aca="1" ref="DH14" ca="1">IFERROR(INDIRECT(DH$54&amp;DH$55&amp;$DN14),0)</f>
        <v>-5621.7025621377406</v>
      </c>
      <c r="DI14" s="642" cm="1">
        <f t="array" aca="1" ref="DI14" ca="1">IFERROR(INDIRECT(DI$54&amp;DI$55&amp;$DN14),0)</f>
        <v>-5925.2787714674278</v>
      </c>
      <c r="DJ14" s="642" cm="1">
        <f t="array" aca="1" ref="DJ14" ca="1">IFERROR(INDIRECT(DJ$54&amp;DJ$55&amp;$DN14),0)</f>
        <v>-15986.28377960107</v>
      </c>
      <c r="DK14" s="134"/>
      <c r="DN14" s="534">
        <f>DN13+2</f>
        <v>316</v>
      </c>
    </row>
    <row r="15" spans="2:120" x14ac:dyDescent="0.25">
      <c r="DD15" s="49"/>
      <c r="DE15" s="49" t="str">
        <f>'EE Inputs'!$N$15&amp;" Partcipant"</f>
        <v>Low Savings Partcipant</v>
      </c>
      <c r="DF15" s="48" t="s">
        <v>32</v>
      </c>
      <c r="DG15" s="688" cm="1">
        <f t="array" aca="1" ref="DG15" ca="1">IFERROR(INDIRECT(DG$54&amp;DG$55&amp;$DN15),0)</f>
        <v>-2344.1789474831921</v>
      </c>
      <c r="DH15" s="642" cm="1">
        <f t="array" aca="1" ref="DH15" ca="1">IFERROR(INDIRECT(DH$54&amp;DH$55&amp;$DN15),0)</f>
        <v>-2264.1705280313627</v>
      </c>
      <c r="DI15" s="642" cm="1">
        <f t="array" aca="1" ref="DI15" ca="1">IFERROR(INDIRECT(DI$54&amp;DI$55&amp;$DN15),0)</f>
        <v>-2155.3181322369119</v>
      </c>
      <c r="DJ15" s="642" cm="1">
        <f t="array" aca="1" ref="DJ15" ca="1">IFERROR(INDIRECT(DJ$54&amp;DJ$55&amp;$DN15),0)</f>
        <v>1311.1842394134148</v>
      </c>
      <c r="DK15" s="134"/>
      <c r="DN15" s="534">
        <f t="shared" ref="DN15:DN21" si="1">DN14+2</f>
        <v>318</v>
      </c>
    </row>
    <row r="16" spans="2:120" x14ac:dyDescent="0.25">
      <c r="DD16" s="49"/>
      <c r="DE16" s="49" t="str">
        <f>'EE Inputs'!$N$16&amp;" Partcipant"</f>
        <v>High Savings Partcipant</v>
      </c>
      <c r="DF16" s="48" t="s">
        <v>32</v>
      </c>
      <c r="DG16" s="688" cm="1">
        <f t="array" aca="1" ref="DG16" ca="1">IFERROR(INDIRECT(DG$54&amp;DG$55&amp;$DN16),0)</f>
        <v>-6407.8903749067222</v>
      </c>
      <c r="DH16" s="642" cm="1">
        <f t="array" aca="1" ref="DH16" ca="1">IFERROR(INDIRECT(DH$54&amp;DH$55&amp;$DN16),0)</f>
        <v>-6332.0929248997145</v>
      </c>
      <c r="DI16" s="642" cm="1">
        <f t="array" aca="1" ref="DI16" ca="1">IFERROR(INDIRECT(DI$54&amp;DI$55&amp;$DN16),0)</f>
        <v>-6228.969602568146</v>
      </c>
      <c r="DJ16" s="642" cm="1">
        <f t="array" aca="1" ref="DJ16" ca="1">IFERROR(INDIRECT(DJ$54&amp;DJ$55&amp;$DN16),0)</f>
        <v>-2680.8915763653195</v>
      </c>
      <c r="DK16" s="134"/>
      <c r="DN16" s="534">
        <f t="shared" si="1"/>
        <v>320</v>
      </c>
    </row>
    <row r="17" spans="2:132" s="512" customForma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s="178" t="s">
        <v>102</v>
      </c>
      <c r="DE17" s="49"/>
      <c r="DF17" s="48"/>
      <c r="DG17" s="689"/>
      <c r="DH17" s="134"/>
      <c r="DI17" s="134"/>
      <c r="DJ17" s="134"/>
      <c r="DK17" s="134"/>
      <c r="DL17"/>
      <c r="DM17"/>
      <c r="DN17" s="534"/>
      <c r="DP17"/>
      <c r="DQ17"/>
      <c r="DR17"/>
      <c r="DS17"/>
      <c r="DT17"/>
      <c r="DU17"/>
      <c r="DV17"/>
      <c r="DW17"/>
      <c r="DX17"/>
      <c r="DY17"/>
      <c r="DZ17"/>
      <c r="EA17"/>
      <c r="EB17"/>
    </row>
    <row r="18" spans="2:132" s="512" customFormat="1" x14ac:dyDescent="0.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s="49"/>
      <c r="DE18" s="49" t="s">
        <v>80</v>
      </c>
      <c r="DF18" s="48" t="s">
        <v>16</v>
      </c>
      <c r="DG18" s="690" cm="1">
        <f t="array" aca="1" ref="DG18" ca="1">IFERROR(INDIRECT(DG$54&amp;DG$55&amp;$DN18),0)</f>
        <v>1.1483489694319227E-2</v>
      </c>
      <c r="DH18" s="164" cm="1">
        <f t="array" aca="1" ref="DH18" ca="1">IFERROR(INDIRECT(DH$54&amp;DH$55&amp;$DN18),0)</f>
        <v>1.204592890133549E-2</v>
      </c>
      <c r="DI18" s="164" cm="1">
        <f t="array" aca="1" ref="DI18" ca="1">IFERROR(INDIRECT(DI$54&amp;DI$55&amp;$DN18),0)</f>
        <v>1.2811134058391849E-2</v>
      </c>
      <c r="DJ18" s="164" cm="1">
        <f t="array" aca="1" ref="DJ18" ca="1">IFERROR(INDIRECT(DJ$54&amp;DJ$55&amp;$DN18),0)</f>
        <v>3.5416564037340281E-2</v>
      </c>
      <c r="DK18" s="157"/>
      <c r="DL18"/>
      <c r="DM18"/>
      <c r="DN18" s="534">
        <f>DN13+1</f>
        <v>315</v>
      </c>
      <c r="DP18"/>
      <c r="DQ18"/>
      <c r="DR18"/>
      <c r="DS18"/>
      <c r="DT18"/>
      <c r="DU18"/>
      <c r="DV18"/>
      <c r="DW18"/>
      <c r="DX18"/>
      <c r="DY18"/>
      <c r="DZ18"/>
      <c r="EA18"/>
      <c r="EB18"/>
    </row>
    <row r="19" spans="2:132" s="512" customFormat="1" x14ac:dyDescent="0.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49"/>
      <c r="DE19" s="49" t="s">
        <v>78</v>
      </c>
      <c r="DF19" s="48" t="s">
        <v>16</v>
      </c>
      <c r="DG19" s="690" cm="1">
        <f t="array" aca="1" ref="DG19" ca="1">IFERROR(INDIRECT(DG$54&amp;DG$55&amp;$DN19),0)</f>
        <v>-3.5773177975035986E-2</v>
      </c>
      <c r="DH19" s="164" cm="1">
        <f t="array" aca="1" ref="DH19" ca="1">IFERROR(INDIRECT(DH$54&amp;DH$55&amp;$DN19),0)</f>
        <v>-3.7543206766920911E-2</v>
      </c>
      <c r="DI19" s="164" cm="1">
        <f t="array" aca="1" ref="DI19" ca="1">IFERROR(INDIRECT(DI$54&amp;DI$55&amp;$DN19),0)</f>
        <v>-3.9570568455022603E-2</v>
      </c>
      <c r="DJ19" s="164" cm="1">
        <f t="array" aca="1" ref="DJ19" ca="1">IFERROR(INDIRECT(DJ$54&amp;DJ$55&amp;$DN19),0)</f>
        <v>-0.10676060334718418</v>
      </c>
      <c r="DK19" s="157"/>
      <c r="DL19"/>
      <c r="DM19"/>
      <c r="DN19" s="534">
        <f t="shared" si="1"/>
        <v>317</v>
      </c>
      <c r="DP19"/>
      <c r="DQ19"/>
      <c r="DR19"/>
      <c r="DS19"/>
      <c r="DT19"/>
      <c r="DU19"/>
      <c r="DV19"/>
      <c r="DW19"/>
      <c r="DX19"/>
      <c r="DY19"/>
      <c r="DZ19"/>
      <c r="EA19"/>
      <c r="EB19"/>
    </row>
    <row r="20" spans="2:132" s="512" customFormat="1" x14ac:dyDescent="0.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49"/>
      <c r="DE20" s="49" t="str">
        <f>'EE Inputs'!$N$15&amp;" Partcipant"</f>
        <v>Low Savings Partcipant</v>
      </c>
      <c r="DF20" s="48" t="s">
        <v>16</v>
      </c>
      <c r="DG20" s="690" cm="1">
        <f t="array" aca="1" ref="DG20" ca="1">IFERROR(INDIRECT(DG$54&amp;DG$55&amp;$DN20),0)</f>
        <v>-1.5655042925387219E-2</v>
      </c>
      <c r="DH20" s="164" cm="1">
        <f t="array" aca="1" ref="DH20" ca="1">IFERROR(INDIRECT(DH$54&amp;DH$55&amp;$DN20),0)</f>
        <v>-1.5120725678721136E-2</v>
      </c>
      <c r="DI20" s="164" cm="1">
        <f t="array" aca="1" ref="DI20" ca="1">IFERROR(INDIRECT(DI$54&amp;DI$55&amp;$DN20),0)</f>
        <v>-1.4393780779517695E-2</v>
      </c>
      <c r="DJ20" s="164" cm="1">
        <f t="array" aca="1" ref="DJ20" ca="1">IFERROR(INDIRECT(DJ$54&amp;DJ$55&amp;$DN20),0)</f>
        <v>8.7564328538767278E-3</v>
      </c>
      <c r="DK20" s="157"/>
      <c r="DL20"/>
      <c r="DM20"/>
      <c r="DN20" s="534">
        <f t="shared" si="1"/>
        <v>319</v>
      </c>
      <c r="DP20"/>
      <c r="DQ20"/>
      <c r="DR20"/>
      <c r="DS20"/>
      <c r="DT20"/>
      <c r="DU20"/>
      <c r="DV20"/>
      <c r="DW20"/>
      <c r="DX20"/>
      <c r="DY20"/>
      <c r="DZ20"/>
      <c r="EA20"/>
      <c r="EB20"/>
    </row>
    <row r="21" spans="2:132" s="512" customFormat="1" x14ac:dyDescent="0.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s="49"/>
      <c r="DE21" s="49" t="str">
        <f>'EE Inputs'!$N$16&amp;" Partcipant"</f>
        <v>High Savings Partcipant</v>
      </c>
      <c r="DF21" s="48" t="s">
        <v>16</v>
      </c>
      <c r="DG21" s="690" cm="1">
        <f t="array" aca="1" ref="DG21" ca="1">IFERROR(INDIRECT(DG$54&amp;DG$55&amp;$DN21),0)</f>
        <v>-4.2793575545093332E-2</v>
      </c>
      <c r="DH21" s="164" cm="1">
        <f t="array" aca="1" ref="DH21" ca="1">IFERROR(INDIRECT(DH$54&amp;DH$55&amp;$DN21),0)</f>
        <v>-4.2287380258778318E-2</v>
      </c>
      <c r="DI21" s="164" cm="1">
        <f t="array" aca="1" ref="DI21" ca="1">IFERROR(INDIRECT(DI$54&amp;DI$55&amp;$DN21),0)</f>
        <v>-4.1598695617427572E-2</v>
      </c>
      <c r="DJ21" s="164" cm="1">
        <f t="array" aca="1" ref="DJ21" ca="1">IFERROR(INDIRECT(DJ$54&amp;DJ$55&amp;$DN21),0)</f>
        <v>-1.7903698329586937E-2</v>
      </c>
      <c r="DK21" s="157"/>
      <c r="DL21"/>
      <c r="DM21"/>
      <c r="DN21" s="534">
        <f t="shared" si="1"/>
        <v>321</v>
      </c>
      <c r="DP21"/>
      <c r="DQ21"/>
      <c r="DR21"/>
      <c r="DS21"/>
      <c r="DT21"/>
      <c r="DU21"/>
      <c r="DV21"/>
      <c r="DW21"/>
      <c r="DX21"/>
      <c r="DY21"/>
      <c r="DZ21"/>
      <c r="EA21"/>
      <c r="EB21"/>
    </row>
    <row r="22" spans="2:132" s="512" customFormat="1" x14ac:dyDescent="0.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s="49"/>
      <c r="DE22" s="49"/>
      <c r="DF22" s="48"/>
      <c r="DG22" s="48"/>
      <c r="DH22" s="49"/>
      <c r="DI22" s="49"/>
      <c r="DJ22" s="49"/>
      <c r="DK22" s="49"/>
      <c r="DL22"/>
      <c r="DM22"/>
      <c r="DN22" s="534"/>
      <c r="DP22"/>
      <c r="DQ22"/>
      <c r="DR22"/>
      <c r="DS22"/>
      <c r="DT22"/>
      <c r="DU22"/>
      <c r="DV22"/>
      <c r="DW22"/>
      <c r="DX22"/>
      <c r="DY22"/>
      <c r="DZ22"/>
      <c r="EA22"/>
      <c r="EB22"/>
    </row>
    <row r="23" spans="2:132" s="512" customFormat="1" ht="18.75" x14ac:dyDescent="0.3">
      <c r="B23"/>
      <c r="C23" s="92" t="str">
        <f>Lookups!$D$24&amp;" v "&amp;Lookups!$D$22</f>
        <v>Alternative EE v No EE</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c r="AK23" s="92" t="str">
        <f>C23</f>
        <v>Alternative EE v No EE</v>
      </c>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c r="BS23" s="92" t="str">
        <f>Lookups!$D$24</f>
        <v>Alternative EE</v>
      </c>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c r="DA23"/>
      <c r="DB23"/>
      <c r="DC23" s="92" t="str">
        <f>Lookups!$D$24&amp;" v "&amp;Lookups!$D$22</f>
        <v>Alternative EE v No EE</v>
      </c>
      <c r="DD23" s="92"/>
      <c r="DE23" s="93"/>
      <c r="DF23" s="691"/>
      <c r="DG23" s="691"/>
      <c r="DH23" s="99"/>
      <c r="DI23" s="99"/>
      <c r="DJ23" s="99"/>
      <c r="DK23" s="99"/>
      <c r="DL23" s="99"/>
      <c r="DM23"/>
      <c r="DN23" s="534"/>
      <c r="DP23"/>
      <c r="DQ23"/>
      <c r="DR23"/>
      <c r="DS23"/>
      <c r="DT23"/>
      <c r="DU23"/>
      <c r="DV23"/>
      <c r="DW23"/>
      <c r="DX23"/>
      <c r="DY23"/>
      <c r="DZ23"/>
      <c r="EA23"/>
      <c r="EB23"/>
    </row>
    <row r="24" spans="2:132" s="512" customFormat="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s="177" t="s">
        <v>51</v>
      </c>
      <c r="DE24" s="74"/>
      <c r="DF24" s="73"/>
      <c r="DG24" s="73"/>
      <c r="DH24" s="74"/>
      <c r="DI24" s="74"/>
      <c r="DJ24" s="74"/>
      <c r="DK24" s="74"/>
      <c r="DL24"/>
      <c r="DM24"/>
      <c r="DN24" s="534"/>
      <c r="DP24"/>
      <c r="DQ24"/>
      <c r="DR24"/>
      <c r="DS24"/>
      <c r="DT24"/>
      <c r="DU24"/>
      <c r="DV24"/>
      <c r="DW24"/>
      <c r="DX24"/>
      <c r="DY24"/>
      <c r="DZ24"/>
      <c r="EA24"/>
      <c r="EB24"/>
    </row>
    <row r="25" spans="2:132" s="512" customFormat="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s="74"/>
      <c r="DE25" s="74" t="s">
        <v>80</v>
      </c>
      <c r="DF25" s="73" t="s">
        <v>32</v>
      </c>
      <c r="DG25" s="692" cm="1">
        <f t="array" aca="1" ref="DG25" ca="1">IFERROR(INDIRECT(DG$54&amp;DG$56&amp;$DN25),0)</f>
        <v>151784.21520289057</v>
      </c>
      <c r="DH25" s="646" cm="1">
        <f t="array" aca="1" ref="DH25" ca="1">IFERROR(INDIRECT(DH$54&amp;DH$56&amp;$DN25),0)</f>
        <v>151884.66972729613</v>
      </c>
      <c r="DI25" s="646" cm="1">
        <f t="array" aca="1" ref="DI25" ca="1">IFERROR(INDIRECT(DI$54&amp;DI$56&amp;$DN25),0)</f>
        <v>152021.41189695499</v>
      </c>
      <c r="DJ25" s="646" cm="1">
        <f t="array" aca="1" ref="DJ25" ca="1">IFERROR(INDIRECT(DJ$54&amp;DJ$56&amp;$DN25),0)</f>
        <v>156101.77472117107</v>
      </c>
      <c r="DK25" s="135"/>
      <c r="DL25"/>
      <c r="DM25"/>
      <c r="DN25" s="534">
        <f t="shared" ref="DN25:DN38" si="2">DN8</f>
        <v>309</v>
      </c>
      <c r="DP25"/>
      <c r="DQ25"/>
      <c r="DR25"/>
      <c r="DS25"/>
      <c r="DT25"/>
      <c r="DU25"/>
      <c r="DV25"/>
      <c r="DW25"/>
      <c r="DX25"/>
      <c r="DY25"/>
      <c r="DZ25"/>
      <c r="EA25"/>
      <c r="EB25"/>
    </row>
    <row r="26" spans="2:132" s="512" customFormat="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s="74"/>
      <c r="DE26" s="74" t="s">
        <v>78</v>
      </c>
      <c r="DF26" s="73" t="s">
        <v>32</v>
      </c>
      <c r="DG26" s="692" cm="1">
        <f t="array" aca="1" ref="DG26" ca="1">IFERROR(INDIRECT(DG$54&amp;DG$56&amp;$DN26),0)</f>
        <v>143664.78619685091</v>
      </c>
      <c r="DH26" s="646" cm="1">
        <f t="array" aca="1" ref="DH26" ca="1">IFERROR(INDIRECT(DH$54&amp;DH$56&amp;$DN26),0)</f>
        <v>143362.8282248539</v>
      </c>
      <c r="DI26" s="646" cm="1">
        <f t="array" aca="1" ref="DI26" ca="1">IFERROR(INDIRECT(DI$54&amp;DI$56&amp;$DN26),0)</f>
        <v>143017.2853313974</v>
      </c>
      <c r="DJ26" s="646" cm="1">
        <f t="array" aca="1" ref="DJ26" ca="1">IFERROR(INDIRECT(DJ$54&amp;DJ$56&amp;$DN26),0)</f>
        <v>131522.02207955247</v>
      </c>
      <c r="DK26" s="135"/>
      <c r="DL26"/>
      <c r="DM26"/>
      <c r="DN26" s="534">
        <f t="shared" si="2"/>
        <v>310</v>
      </c>
      <c r="DP26"/>
      <c r="DQ26"/>
      <c r="DR26"/>
      <c r="DS26"/>
      <c r="DT26"/>
      <c r="DU26"/>
      <c r="DV26"/>
      <c r="DW26"/>
      <c r="DX26"/>
      <c r="DY26"/>
      <c r="DZ26"/>
      <c r="EA26"/>
      <c r="EB26"/>
    </row>
    <row r="27" spans="2:132" s="512" customFormat="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s="74"/>
      <c r="DE27" s="74" t="str">
        <f>'EE Inputs'!$N$15&amp;" Partcipant"</f>
        <v>Low Savings Partcipant</v>
      </c>
      <c r="DF27" s="73" t="s">
        <v>32</v>
      </c>
      <c r="DG27" s="692" cm="1">
        <f t="array" aca="1" ref="DG27" ca="1">IFERROR(INDIRECT(DG$54&amp;DG$56&amp;$DN27),0)</f>
        <v>146888.25300768652</v>
      </c>
      <c r="DH27" s="646" cm="1">
        <f t="array" aca="1" ref="DH27" ca="1">IFERROR(INDIRECT(DH$54&amp;DH$56&amp;$DN27),0)</f>
        <v>146982.68026062768</v>
      </c>
      <c r="DI27" s="646" cm="1">
        <f t="array" aca="1" ref="DI27" ca="1">IFERROR(INDIRECT(DI$54&amp;DI$56&amp;$DN27),0)</f>
        <v>147111.21790010712</v>
      </c>
      <c r="DJ27" s="646" cm="1">
        <f t="array" aca="1" ref="DJ27" ca="1">IFERROR(INDIRECT(DJ$54&amp;DJ$56&amp;$DN27),0)</f>
        <v>151248.80072748731</v>
      </c>
      <c r="DK27" s="135"/>
      <c r="DL27"/>
      <c r="DM27"/>
      <c r="DN27" s="534">
        <f t="shared" si="2"/>
        <v>311</v>
      </c>
      <c r="DP27"/>
      <c r="DQ27"/>
      <c r="DR27"/>
      <c r="DS27"/>
      <c r="DT27"/>
      <c r="DU27"/>
      <c r="DV27"/>
      <c r="DW27"/>
      <c r="DX27"/>
      <c r="DY27"/>
      <c r="DZ27"/>
      <c r="EA27"/>
      <c r="EB27"/>
    </row>
    <row r="28" spans="2:132" s="512" customFormat="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s="74"/>
      <c r="DE28" s="74" t="str">
        <f>'EE Inputs'!$N$16&amp;" Partcipant"</f>
        <v>High Savings Partcipant</v>
      </c>
      <c r="DF28" s="73" t="s">
        <v>32</v>
      </c>
      <c r="DG28" s="692" cm="1">
        <f t="array" aca="1" ref="DG28" ca="1">IFERROR(INDIRECT(DG$54&amp;DG$56&amp;$DN28),0)</f>
        <v>141992.29081248242</v>
      </c>
      <c r="DH28" s="646" cm="1">
        <f t="array" aca="1" ref="DH28" ca="1">IFERROR(INDIRECT(DH$54&amp;DH$56&amp;$DN28),0)</f>
        <v>142080.69079395928</v>
      </c>
      <c r="DI28" s="646" cm="1">
        <f t="array" aca="1" ref="DI28" ca="1">IFERROR(INDIRECT(DI$54&amp;DI$56&amp;$DN28),0)</f>
        <v>142201.02390325916</v>
      </c>
      <c r="DJ28" s="646" cm="1">
        <f t="array" aca="1" ref="DJ28" ca="1">IFERROR(INDIRECT(DJ$54&amp;DJ$56&amp;$DN28),0)</f>
        <v>146395.82673380361</v>
      </c>
      <c r="DK28" s="135"/>
      <c r="DL28"/>
      <c r="DM28"/>
      <c r="DN28" s="534">
        <f t="shared" si="2"/>
        <v>312</v>
      </c>
      <c r="DP28"/>
      <c r="DQ28"/>
      <c r="DR28"/>
      <c r="DS28"/>
      <c r="DT28"/>
      <c r="DU28"/>
      <c r="DV28"/>
      <c r="DW28"/>
      <c r="DX28"/>
      <c r="DY28"/>
      <c r="DZ28"/>
      <c r="EA28"/>
      <c r="EB28"/>
    </row>
    <row r="29" spans="2:132" s="512" customFormat="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s="177" t="s">
        <v>101</v>
      </c>
      <c r="DE29" s="74"/>
      <c r="DF29" s="73"/>
      <c r="DG29" s="692"/>
      <c r="DH29" s="646"/>
      <c r="DI29" s="646"/>
      <c r="DJ29" s="646"/>
      <c r="DK29" s="135"/>
      <c r="DL29"/>
      <c r="DM29"/>
      <c r="DN29" s="534">
        <f t="shared" si="2"/>
        <v>0</v>
      </c>
      <c r="DP29"/>
      <c r="DQ29"/>
      <c r="DR29"/>
      <c r="DS29"/>
      <c r="DT29"/>
      <c r="DU29"/>
      <c r="DV29"/>
      <c r="DW29"/>
      <c r="DX29"/>
      <c r="DY29"/>
      <c r="DZ29"/>
      <c r="EA29"/>
      <c r="EB29"/>
    </row>
    <row r="30" spans="2:132" s="512" customForma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s="74"/>
      <c r="DE30" s="74" t="s">
        <v>80</v>
      </c>
      <c r="DF30" s="73" t="s">
        <v>32</v>
      </c>
      <c r="DG30" s="693" cm="1">
        <f t="array" aca="1" ref="DG30" ca="1">IFERROR(INDIRECT(DG$54&amp;DG$56&amp;$DN30),0)</f>
        <v>2044.6738515377319</v>
      </c>
      <c r="DH30" s="647" cm="1">
        <f t="array" aca="1" ref="DH30" ca="1">IFERROR(INDIRECT(DH$54&amp;DH$56&amp;$DN30),0)</f>
        <v>2145.1283759432454</v>
      </c>
      <c r="DI30" s="647" cm="1">
        <f t="array" aca="1" ref="DI30" ca="1">IFERROR(INDIRECT(DI$54&amp;DI$56&amp;$DN30),0)</f>
        <v>2281.8705456021758</v>
      </c>
      <c r="DJ30" s="647" cm="1">
        <f t="array" aca="1" ref="DJ30" ca="1">IFERROR(INDIRECT(DJ$54&amp;DJ$56&amp;$DN30),0)</f>
        <v>6362.2333698182238</v>
      </c>
      <c r="DK30" s="135"/>
      <c r="DL30"/>
      <c r="DM30"/>
      <c r="DN30" s="534">
        <f t="shared" si="2"/>
        <v>314</v>
      </c>
      <c r="DP30"/>
      <c r="DQ30"/>
      <c r="DR30"/>
      <c r="DS30"/>
      <c r="DT30"/>
      <c r="DU30"/>
      <c r="DV30"/>
      <c r="DW30"/>
      <c r="DX30"/>
      <c r="DY30"/>
      <c r="DZ30"/>
      <c r="EA30"/>
      <c r="EB30"/>
    </row>
    <row r="31" spans="2:132" s="512" customFormat="1"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s="74"/>
      <c r="DE31" s="74" t="s">
        <v>78</v>
      </c>
      <c r="DF31" s="73" t="s">
        <v>32</v>
      </c>
      <c r="DG31" s="693" cm="1">
        <f t="array" aca="1" ref="DG31" ca="1">IFERROR(INDIRECT(DG$54&amp;DG$56&amp;$DN31),0)</f>
        <v>-6074.7551545019114</v>
      </c>
      <c r="DH31" s="647" cm="1">
        <f t="array" aca="1" ref="DH31" ca="1">IFERROR(INDIRECT(DH$54&amp;DH$56&amp;$DN31),0)</f>
        <v>-6376.7131264989657</v>
      </c>
      <c r="DI31" s="647" cm="1">
        <f t="array" aca="1" ref="DI31" ca="1">IFERROR(INDIRECT(DI$54&amp;DI$56&amp;$DN31),0)</f>
        <v>-6722.2560199554428</v>
      </c>
      <c r="DJ31" s="647" cm="1">
        <f t="array" aca="1" ref="DJ31" ca="1">IFERROR(INDIRECT(DJ$54&amp;DJ$56&amp;$DN31),0)</f>
        <v>-18217.519271800385</v>
      </c>
      <c r="DK31" s="135"/>
      <c r="DL31"/>
      <c r="DM31"/>
      <c r="DN31" s="534">
        <f t="shared" si="2"/>
        <v>316</v>
      </c>
      <c r="DP31"/>
      <c r="DQ31"/>
      <c r="DR31"/>
      <c r="DS31"/>
      <c r="DT31"/>
      <c r="DU31"/>
      <c r="DV31"/>
      <c r="DW31"/>
      <c r="DX31"/>
      <c r="DY31"/>
      <c r="DZ31"/>
      <c r="EA31"/>
      <c r="EB31"/>
    </row>
    <row r="32" spans="2:132" s="512" customForma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s="74"/>
      <c r="DE32" s="74" t="str">
        <f>'EE Inputs'!$N$15&amp;" Partcipant"</f>
        <v>Low Savings Partcipant</v>
      </c>
      <c r="DF32" s="73" t="s">
        <v>32</v>
      </c>
      <c r="DG32" s="693" cm="1">
        <f t="array" aca="1" ref="DG32" ca="1">IFERROR(INDIRECT(DG$54&amp;DG$56&amp;$DN32),0)</f>
        <v>-2851.2883436663242</v>
      </c>
      <c r="DH32" s="647" cm="1">
        <f t="array" aca="1" ref="DH32" ca="1">IFERROR(INDIRECT(DH$54&amp;DH$56&amp;$DN32),0)</f>
        <v>-2756.8610907251573</v>
      </c>
      <c r="DI32" s="647" cm="1">
        <f t="array" aca="1" ref="DI32" ca="1">IFERROR(INDIRECT(DI$54&amp;DI$56&amp;$DN32),0)</f>
        <v>-2628.3234512457534</v>
      </c>
      <c r="DJ32" s="647" cm="1">
        <f t="array" aca="1" ref="DJ32" ca="1">IFERROR(INDIRECT(DJ$54&amp;DJ$56&amp;$DN32),0)</f>
        <v>1509.2593761345061</v>
      </c>
      <c r="DK32" s="135"/>
      <c r="DL32"/>
      <c r="DM32"/>
      <c r="DN32" s="534">
        <f t="shared" si="2"/>
        <v>318</v>
      </c>
      <c r="DP32"/>
      <c r="DQ32"/>
      <c r="DR32"/>
      <c r="DS32"/>
      <c r="DT32"/>
      <c r="DU32"/>
      <c r="DV32"/>
      <c r="DW32"/>
      <c r="DX32"/>
      <c r="DY32"/>
      <c r="DZ32"/>
      <c r="EA32"/>
      <c r="EB32"/>
    </row>
    <row r="33" spans="2:132" s="512" customForma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s="74"/>
      <c r="DE33" s="74" t="str">
        <f>'EE Inputs'!$N$16&amp;" Partcipant"</f>
        <v>High Savings Partcipant</v>
      </c>
      <c r="DF33" s="73" t="s">
        <v>32</v>
      </c>
      <c r="DG33" s="693" cm="1">
        <f t="array" aca="1" ref="DG33" ca="1">IFERROR(INDIRECT(DG$54&amp;DG$56&amp;$DN33),0)</f>
        <v>-7747.2505388703958</v>
      </c>
      <c r="DH33" s="647" cm="1">
        <f t="array" aca="1" ref="DH33" ca="1">IFERROR(INDIRECT(DH$54&amp;DH$56&amp;$DN33),0)</f>
        <v>-7658.8505573935572</v>
      </c>
      <c r="DI33" s="647" cm="1">
        <f t="array" aca="1" ref="DI33" ca="1">IFERROR(INDIRECT(DI$54&amp;DI$56&amp;$DN33),0)</f>
        <v>-7538.5174480936839</v>
      </c>
      <c r="DJ33" s="647" cm="1">
        <f t="array" aca="1" ref="DJ33" ca="1">IFERROR(INDIRECT(DJ$54&amp;DJ$56&amp;$DN33),0)</f>
        <v>-3343.7146175492162</v>
      </c>
      <c r="DK33" s="135"/>
      <c r="DL33"/>
      <c r="DM33"/>
      <c r="DN33" s="534">
        <f t="shared" si="2"/>
        <v>320</v>
      </c>
      <c r="DP33"/>
      <c r="DQ33"/>
      <c r="DR33"/>
      <c r="DS33"/>
      <c r="DT33"/>
      <c r="DU33"/>
      <c r="DV33"/>
      <c r="DW33"/>
      <c r="DX33"/>
      <c r="DY33"/>
      <c r="DZ33"/>
      <c r="EA33"/>
      <c r="EB33"/>
    </row>
    <row r="34" spans="2:132" s="512" customForma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s="177" t="s">
        <v>102</v>
      </c>
      <c r="DE34" s="74"/>
      <c r="DF34" s="73"/>
      <c r="DG34" s="694"/>
      <c r="DH34" s="135"/>
      <c r="DI34" s="135"/>
      <c r="DJ34" s="135"/>
      <c r="DK34" s="135"/>
      <c r="DL34"/>
      <c r="DM34"/>
      <c r="DN34" s="534">
        <f t="shared" si="2"/>
        <v>0</v>
      </c>
      <c r="DP34"/>
      <c r="DQ34"/>
      <c r="DR34"/>
      <c r="DS34"/>
      <c r="DT34"/>
      <c r="DU34"/>
      <c r="DV34"/>
      <c r="DW34"/>
      <c r="DX34"/>
      <c r="DY34"/>
      <c r="DZ34"/>
      <c r="EA34"/>
      <c r="EB34"/>
    </row>
    <row r="35" spans="2:132" s="512" customFormat="1"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s="74"/>
      <c r="DE35" s="74" t="s">
        <v>80</v>
      </c>
      <c r="DF35" s="73" t="s">
        <v>16</v>
      </c>
      <c r="DG35" s="695" cm="1">
        <f t="array" aca="1" ref="DG35" ca="1">IFERROR(INDIRECT(DG$54&amp;DG$56&amp;$DN35),0)</f>
        <v>1.3654869202117004E-2</v>
      </c>
      <c r="DH35" s="163" cm="1">
        <f t="array" aca="1" ref="DH35" ca="1">IFERROR(INDIRECT(DH$54&amp;DH$56&amp;$DN35),0)</f>
        <v>1.4325730909712675E-2</v>
      </c>
      <c r="DI35" s="163" cm="1">
        <f t="array" aca="1" ref="DI35" ca="1">IFERROR(INDIRECT(DI$54&amp;DI$56&amp;$DN35),0)</f>
        <v>1.5238931046595683E-2</v>
      </c>
      <c r="DJ35" s="163" cm="1">
        <f t="array" aca="1" ref="DJ35" ca="1">IFERROR(INDIRECT(DJ$54&amp;DJ$56&amp;$DN35),0)</f>
        <v>4.2488666069102621E-2</v>
      </c>
      <c r="DK35" s="135"/>
      <c r="DL35"/>
      <c r="DM35"/>
      <c r="DN35" s="534">
        <f t="shared" si="2"/>
        <v>315</v>
      </c>
      <c r="DP35"/>
      <c r="DQ35"/>
      <c r="DR35"/>
      <c r="DS35"/>
      <c r="DT35"/>
      <c r="DU35"/>
      <c r="DV35"/>
      <c r="DW35"/>
      <c r="DX35"/>
      <c r="DY35"/>
      <c r="DZ35"/>
      <c r="EA35"/>
      <c r="EB35"/>
    </row>
    <row r="36" spans="2:132" s="512" customFormat="1"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s="74"/>
      <c r="DE36" s="74" t="s">
        <v>78</v>
      </c>
      <c r="DF36" s="73" t="s">
        <v>16</v>
      </c>
      <c r="DG36" s="695" cm="1">
        <f t="array" aca="1" ref="DG36" ca="1">IFERROR(INDIRECT(DG$54&amp;DG$56&amp;$DN36),0)</f>
        <v>-4.0568811014640271E-2</v>
      </c>
      <c r="DH36" s="163" cm="1">
        <f t="array" aca="1" ref="DH36" ca="1">IFERROR(INDIRECT(DH$54&amp;DH$56&amp;$DN36),0)</f>
        <v>-4.2585365688655674E-2</v>
      </c>
      <c r="DI36" s="163" cm="1">
        <f t="array" aca="1" ref="DI36" ca="1">IFERROR(INDIRECT(DI$54&amp;DI$56&amp;$DN36),0)</f>
        <v>-4.4892991919763925E-2</v>
      </c>
      <c r="DJ36" s="163" cm="1">
        <f t="array" aca="1" ref="DJ36" ca="1">IFERROR(INDIRECT(DJ$54&amp;DJ$56&amp;$DN36),0)</f>
        <v>-0.12166138020320438</v>
      </c>
      <c r="DK36" s="135"/>
      <c r="DL36"/>
      <c r="DM36"/>
      <c r="DN36" s="534">
        <f t="shared" si="2"/>
        <v>317</v>
      </c>
      <c r="DP36"/>
      <c r="DQ36"/>
      <c r="DR36"/>
      <c r="DS36"/>
      <c r="DT36"/>
      <c r="DU36"/>
      <c r="DV36"/>
      <c r="DW36"/>
      <c r="DX36"/>
      <c r="DY36"/>
      <c r="DZ36"/>
      <c r="EA36"/>
      <c r="EB36"/>
    </row>
    <row r="37" spans="2:132" s="512" customForma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s="74"/>
      <c r="DE37" s="74" t="str">
        <f>'EE Inputs'!$N$15&amp;" Partcipant"</f>
        <v>Low Savings Partcipant</v>
      </c>
      <c r="DF37" s="73" t="s">
        <v>16</v>
      </c>
      <c r="DG37" s="695" cm="1">
        <f t="array" aca="1" ref="DG37" ca="1">IFERROR(INDIRECT(DG$54&amp;DG$56&amp;$DN37),0)</f>
        <v>-1.9041652711997981E-2</v>
      </c>
      <c r="DH37" s="163" cm="1">
        <f t="array" aca="1" ref="DH37" ca="1">IFERROR(INDIRECT(DH$54&amp;DH$56&amp;$DN37),0)</f>
        <v>-1.841104270685856E-2</v>
      </c>
      <c r="DI37" s="163" cm="1">
        <f t="array" aca="1" ref="DI37" ca="1">IFERROR(INDIRECT(DI$54&amp;DI$56&amp;$DN37),0)</f>
        <v>-1.7552634578187676E-2</v>
      </c>
      <c r="DJ37" s="163" cm="1">
        <f t="array" aca="1" ref="DJ37" ca="1">IFERROR(INDIRECT(DJ$54&amp;DJ$56&amp;$DN37),0)</f>
        <v>1.007923065954297E-2</v>
      </c>
      <c r="DK37" s="135"/>
      <c r="DL37"/>
      <c r="DM37"/>
      <c r="DN37" s="534">
        <f t="shared" si="2"/>
        <v>319</v>
      </c>
      <c r="DP37"/>
      <c r="DQ37"/>
      <c r="DR37"/>
      <c r="DS37"/>
      <c r="DT37"/>
      <c r="DU37"/>
      <c r="DV37"/>
      <c r="DW37"/>
      <c r="DX37"/>
      <c r="DY37"/>
      <c r="DZ37"/>
      <c r="EA37"/>
      <c r="EB37"/>
    </row>
    <row r="38" spans="2:132" s="512" customForma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s="74"/>
      <c r="DE38" s="74" t="str">
        <f>'EE Inputs'!$N$16&amp;" Partcipant"</f>
        <v>High Savings Partcipant</v>
      </c>
      <c r="DF38" s="73" t="s">
        <v>16</v>
      </c>
      <c r="DG38" s="695" cm="1">
        <f t="array" aca="1" ref="DG38" ca="1">IFERROR(INDIRECT(DG$54&amp;DG$56&amp;$DN38),0)</f>
        <v>-5.1738174626113409E-2</v>
      </c>
      <c r="DH38" s="163" cm="1">
        <f t="array" aca="1" ref="DH38" ca="1">IFERROR(INDIRECT(DH$54&amp;DH$56&amp;$DN38),0)</f>
        <v>-5.1147816323429462E-2</v>
      </c>
      <c r="DI38" s="163" cm="1">
        <f t="array" aca="1" ref="DI38" ca="1">IFERROR(INDIRECT(DI$54&amp;DI$56&amp;$DN38),0)</f>
        <v>-5.0344200202971812E-2</v>
      </c>
      <c r="DJ38" s="163" cm="1">
        <f t="array" aca="1" ref="DJ38" ca="1">IFERROR(INDIRECT(DJ$54&amp;DJ$56&amp;$DN38),0)</f>
        <v>-2.2330204750016236E-2</v>
      </c>
      <c r="DK38" s="135"/>
      <c r="DL38"/>
      <c r="DM38"/>
      <c r="DN38" s="534">
        <f t="shared" si="2"/>
        <v>321</v>
      </c>
      <c r="DP38"/>
      <c r="DQ38"/>
      <c r="DR38"/>
      <c r="DS38"/>
      <c r="DT38"/>
      <c r="DU38"/>
      <c r="DV38"/>
      <c r="DW38"/>
      <c r="DX38"/>
      <c r="DY38"/>
      <c r="DZ38"/>
      <c r="EA38"/>
      <c r="EB38"/>
    </row>
    <row r="39" spans="2:132" s="512" customFormat="1" ht="18.75" x14ac:dyDescent="0.3">
      <c r="B39"/>
      <c r="C39" s="101" t="str">
        <f>Lookups!$D$23&amp;" v "&amp;Lookups!$D$24</f>
        <v>Proposed EE v Alternative EE</v>
      </c>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c r="AK39" s="101" t="str">
        <f>C39</f>
        <v>Proposed EE v Alternative EE</v>
      </c>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c r="BS39" s="411" t="s">
        <v>28</v>
      </c>
      <c r="BT39" s="196"/>
      <c r="BU39" s="196"/>
      <c r="BV39" s="197"/>
      <c r="BW39" s="197"/>
      <c r="BX39" s="197"/>
      <c r="BY39" s="197"/>
      <c r="BZ39" s="197"/>
      <c r="CA39" s="197"/>
      <c r="CB39" s="197"/>
      <c r="CC39" s="197"/>
      <c r="CD39" s="197"/>
      <c r="CE39" s="197"/>
      <c r="CF39" s="197"/>
      <c r="CG39" s="197"/>
      <c r="CH39" s="197"/>
      <c r="CI39" s="197"/>
      <c r="CJ39" s="197"/>
      <c r="CK39" s="197"/>
      <c r="CL39" s="197"/>
      <c r="CM39" s="197"/>
      <c r="CN39" s="197"/>
      <c r="CO39" s="197"/>
      <c r="CP39" s="197"/>
      <c r="CQ39" s="197"/>
      <c r="CR39" s="197"/>
      <c r="CS39" s="197"/>
      <c r="CT39" s="197"/>
      <c r="CU39" s="197"/>
      <c r="CV39" s="197"/>
      <c r="CW39" s="197"/>
      <c r="CX39" s="197"/>
      <c r="CY39" s="197"/>
      <c r="CZ39"/>
      <c r="DA39"/>
      <c r="DB39"/>
      <c r="DC39"/>
      <c r="DD39" s="74"/>
      <c r="DE39" s="74"/>
      <c r="DF39" s="73"/>
      <c r="DG39" s="73"/>
      <c r="DH39" s="74"/>
      <c r="DI39" s="74"/>
      <c r="DJ39" s="74"/>
      <c r="DK39" s="74"/>
      <c r="DL39"/>
      <c r="DM39"/>
      <c r="DN39" s="533"/>
      <c r="DP39"/>
      <c r="DQ39"/>
      <c r="DR39"/>
      <c r="DS39"/>
      <c r="DT39"/>
      <c r="DU39"/>
      <c r="DV39"/>
      <c r="DW39"/>
      <c r="DX39"/>
      <c r="DY39"/>
      <c r="DZ39"/>
      <c r="EA39"/>
      <c r="EB39"/>
    </row>
    <row r="40" spans="2:132" s="512" customFormat="1" ht="18.75"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s="412" t="s">
        <v>252</v>
      </c>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s="166" t="str">
        <f>Lookups!$D$23&amp;" v "&amp;Lookups!$D$24</f>
        <v>Proposed EE v Alternative EE</v>
      </c>
      <c r="DD40" s="166"/>
      <c r="DE40" s="167"/>
      <c r="DF40" s="696"/>
      <c r="DG40" s="697"/>
      <c r="DH40" s="168"/>
      <c r="DI40" s="168"/>
      <c r="DJ40" s="168"/>
      <c r="DK40" s="168"/>
      <c r="DL40" s="168"/>
      <c r="DM40"/>
      <c r="DN40" s="533"/>
      <c r="DP40"/>
      <c r="DQ40"/>
      <c r="DR40"/>
      <c r="DS40"/>
      <c r="DT40"/>
      <c r="DU40"/>
      <c r="DV40"/>
      <c r="DW40"/>
      <c r="DX40"/>
      <c r="DY40"/>
      <c r="DZ40"/>
      <c r="EA40"/>
      <c r="EB40"/>
    </row>
    <row r="41" spans="2:132" s="512" customForma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s="729" t="s">
        <v>164</v>
      </c>
      <c r="BT41" s="729"/>
      <c r="BU41" s="729"/>
      <c r="BV41" s="729"/>
      <c r="BW41" s="729"/>
      <c r="BX41" s="729"/>
      <c r="BY41" s="729"/>
      <c r="BZ41" s="729"/>
      <c r="CA41" s="729"/>
      <c r="CB41" s="729"/>
      <c r="CC41" s="729"/>
      <c r="CD41" s="729"/>
      <c r="CE41" s="729"/>
      <c r="CF41" s="729"/>
      <c r="CG41" s="729"/>
      <c r="CH41" s="729"/>
      <c r="CI41" s="729"/>
      <c r="CJ41" s="729"/>
      <c r="CK41" s="729"/>
      <c r="CL41" s="729"/>
      <c r="CM41" s="729"/>
      <c r="CN41" s="729"/>
      <c r="CO41" s="729"/>
      <c r="CP41" s="729"/>
      <c r="CQ41" s="729"/>
      <c r="CR41" s="729"/>
      <c r="CS41" s="729"/>
      <c r="CT41" s="729"/>
      <c r="CU41" s="729"/>
      <c r="CV41" s="729"/>
      <c r="CW41" s="729"/>
      <c r="CX41" s="729"/>
      <c r="CY41" s="729"/>
      <c r="CZ41"/>
      <c r="DA41"/>
      <c r="DB41"/>
      <c r="DC41"/>
      <c r="DD41" s="169" t="s">
        <v>101</v>
      </c>
      <c r="DE41" s="170"/>
      <c r="DF41" s="698"/>
      <c r="DG41" s="699"/>
      <c r="DH41" s="171"/>
      <c r="DI41" s="171"/>
      <c r="DJ41" s="171"/>
      <c r="DK41" s="171"/>
      <c r="DL41"/>
      <c r="DM41"/>
      <c r="DN41" s="533"/>
      <c r="DP41"/>
      <c r="DQ41"/>
      <c r="DR41"/>
      <c r="DS41"/>
      <c r="DT41"/>
      <c r="DU41"/>
      <c r="DV41"/>
      <c r="DW41"/>
      <c r="DX41"/>
      <c r="DY41"/>
      <c r="DZ41"/>
      <c r="EA41"/>
      <c r="EB41"/>
    </row>
    <row r="42" spans="2:132" s="512" customForma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c r="DA42"/>
      <c r="DB42"/>
      <c r="DC42"/>
      <c r="DD42" s="169"/>
      <c r="DE42" s="170" t="s">
        <v>80</v>
      </c>
      <c r="DF42" s="698" t="s">
        <v>32</v>
      </c>
      <c r="DG42" s="700">
        <f ca="1">DG25-DG8</f>
        <v>325.14137159739039</v>
      </c>
      <c r="DH42" s="648">
        <f t="shared" ref="DG42:DJ45" ca="1" si="3">DH25-DH8</f>
        <v>341.37650710629532</v>
      </c>
      <c r="DI42" s="648">
        <f t="shared" ca="1" si="3"/>
        <v>363.53720750784851</v>
      </c>
      <c r="DJ42" s="648">
        <f t="shared" ca="1" si="3"/>
        <v>1058.9733146260842</v>
      </c>
      <c r="DK42" s="179"/>
      <c r="DL42"/>
      <c r="DM42"/>
      <c r="DN42" s="533"/>
      <c r="DP42"/>
      <c r="DQ42"/>
      <c r="DR42"/>
      <c r="DS42"/>
      <c r="DT42"/>
      <c r="DU42"/>
      <c r="DV42"/>
      <c r="DW42"/>
      <c r="DX42"/>
      <c r="DY42"/>
      <c r="DZ42"/>
      <c r="EA42"/>
      <c r="EB42"/>
    </row>
    <row r="43" spans="2:132" s="512" customFormat="1"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s="727" t="s">
        <v>258</v>
      </c>
      <c r="BT43" s="727"/>
      <c r="BU43" s="727"/>
      <c r="BV43" s="727"/>
      <c r="BW43" s="727"/>
      <c r="BX43" s="727"/>
      <c r="BY43" s="727"/>
      <c r="BZ43" s="727"/>
      <c r="CA43" s="727"/>
      <c r="CB43" s="727"/>
      <c r="CC43" s="727"/>
      <c r="CD43" s="727"/>
      <c r="CE43" s="727"/>
      <c r="CF43" s="727"/>
      <c r="CG43" s="727"/>
      <c r="CH43" s="727"/>
      <c r="CI43" s="727"/>
      <c r="CJ43" s="727"/>
      <c r="CK43" s="727"/>
      <c r="CL43" s="727"/>
      <c r="CM43" s="727"/>
      <c r="CN43" s="727"/>
      <c r="CO43" s="727"/>
      <c r="CP43" s="727"/>
      <c r="CQ43" s="727"/>
      <c r="CR43" s="727"/>
      <c r="CS43" s="727"/>
      <c r="CT43" s="727"/>
      <c r="CU43" s="727"/>
      <c r="CV43" s="727"/>
      <c r="CW43" s="727"/>
      <c r="CX43" s="727"/>
      <c r="CY43" s="727"/>
      <c r="CZ43"/>
      <c r="DA43"/>
      <c r="DB43"/>
      <c r="DC43"/>
      <c r="DD43" s="169"/>
      <c r="DE43" s="170" t="s">
        <v>78</v>
      </c>
      <c r="DF43" s="698" t="s">
        <v>32</v>
      </c>
      <c r="DG43" s="700">
        <f t="shared" ca="1" si="3"/>
        <v>-718.09589183973731</v>
      </c>
      <c r="DH43" s="648">
        <f t="shared" ca="1" si="3"/>
        <v>-755.01056436120416</v>
      </c>
      <c r="DI43" s="648">
        <f t="shared" ca="1" si="3"/>
        <v>-796.97724848805228</v>
      </c>
      <c r="DJ43" s="648">
        <f t="shared" ca="1" si="3"/>
        <v>-2231.2354921993101</v>
      </c>
      <c r="DK43" s="179"/>
      <c r="DL43"/>
      <c r="DM43"/>
      <c r="DN43" s="533"/>
      <c r="DP43"/>
      <c r="DQ43"/>
      <c r="DR43"/>
      <c r="DS43"/>
      <c r="DT43"/>
      <c r="DU43"/>
      <c r="DV43"/>
      <c r="DW43"/>
      <c r="DX43"/>
      <c r="DY43"/>
      <c r="DZ43"/>
      <c r="EA43"/>
      <c r="EB43"/>
    </row>
    <row r="44" spans="2:132" s="512" customForma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s="727"/>
      <c r="BT44" s="727"/>
      <c r="BU44" s="727"/>
      <c r="BV44" s="727"/>
      <c r="BW44" s="727"/>
      <c r="BX44" s="727"/>
      <c r="BY44" s="727"/>
      <c r="BZ44" s="727"/>
      <c r="CA44" s="727"/>
      <c r="CB44" s="727"/>
      <c r="CC44" s="727"/>
      <c r="CD44" s="727"/>
      <c r="CE44" s="727"/>
      <c r="CF44" s="727"/>
      <c r="CG44" s="727"/>
      <c r="CH44" s="727"/>
      <c r="CI44" s="727"/>
      <c r="CJ44" s="727"/>
      <c r="CK44" s="727"/>
      <c r="CL44" s="727"/>
      <c r="CM44" s="727"/>
      <c r="CN44" s="727"/>
      <c r="CO44" s="727"/>
      <c r="CP44" s="727"/>
      <c r="CQ44" s="727"/>
      <c r="CR44" s="727"/>
      <c r="CS44" s="727"/>
      <c r="CT44" s="727"/>
      <c r="CU44" s="727"/>
      <c r="CV44" s="727"/>
      <c r="CW44" s="727"/>
      <c r="CX44" s="727"/>
      <c r="CY44" s="727"/>
      <c r="CZ44"/>
      <c r="DA44"/>
      <c r="DB44"/>
      <c r="DC44"/>
      <c r="DD44" s="169"/>
      <c r="DE44" s="170" t="str">
        <f>'EE Inputs'!$N$15&amp;" Partcipant"</f>
        <v>Low Savings Partcipant</v>
      </c>
      <c r="DF44" s="698" t="s">
        <v>32</v>
      </c>
      <c r="DG44" s="700">
        <f ca="1">DG27-DG10</f>
        <v>-507.10939618310658</v>
      </c>
      <c r="DH44" s="648">
        <f t="shared" ca="1" si="3"/>
        <v>-492.69056269383873</v>
      </c>
      <c r="DI44" s="648">
        <f t="shared" ca="1" si="3"/>
        <v>-473.00531900883652</v>
      </c>
      <c r="DJ44" s="648">
        <f t="shared" ca="1" si="3"/>
        <v>198.07513672104687</v>
      </c>
      <c r="DK44" s="179"/>
      <c r="DL44"/>
      <c r="DM44"/>
      <c r="DN44" s="533"/>
      <c r="DP44"/>
      <c r="DQ44"/>
      <c r="DR44"/>
      <c r="DS44"/>
      <c r="DT44"/>
      <c r="DU44"/>
      <c r="DV44"/>
      <c r="DW44"/>
      <c r="DX44"/>
      <c r="DY44"/>
      <c r="DZ44"/>
      <c r="EA44"/>
      <c r="EB44"/>
    </row>
    <row r="45" spans="2:132" s="512" customForma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s="727"/>
      <c r="BT45" s="727"/>
      <c r="BU45" s="727"/>
      <c r="BV45" s="727"/>
      <c r="BW45" s="727"/>
      <c r="BX45" s="727"/>
      <c r="BY45" s="727"/>
      <c r="BZ45" s="727"/>
      <c r="CA45" s="727"/>
      <c r="CB45" s="727"/>
      <c r="CC45" s="727"/>
      <c r="CD45" s="727"/>
      <c r="CE45" s="727"/>
      <c r="CF45" s="727"/>
      <c r="CG45" s="727"/>
      <c r="CH45" s="727"/>
      <c r="CI45" s="727"/>
      <c r="CJ45" s="727"/>
      <c r="CK45" s="727"/>
      <c r="CL45" s="727"/>
      <c r="CM45" s="727"/>
      <c r="CN45" s="727"/>
      <c r="CO45" s="727"/>
      <c r="CP45" s="727"/>
      <c r="CQ45" s="727"/>
      <c r="CR45" s="727"/>
      <c r="CS45" s="727"/>
      <c r="CT45" s="727"/>
      <c r="CU45" s="727"/>
      <c r="CV45" s="727"/>
      <c r="CW45" s="727"/>
      <c r="CX45" s="727"/>
      <c r="CY45" s="727"/>
      <c r="CZ45"/>
      <c r="DA45"/>
      <c r="DB45"/>
      <c r="DC45"/>
      <c r="DD45" s="169"/>
      <c r="DE45" s="170" t="str">
        <f>'EE Inputs'!$N$16&amp;" Partcipant"</f>
        <v>High Savings Partcipant</v>
      </c>
      <c r="DF45" s="698" t="s">
        <v>32</v>
      </c>
      <c r="DG45" s="700">
        <f t="shared" ca="1" si="3"/>
        <v>-1339.3601639636909</v>
      </c>
      <c r="DH45" s="648">
        <f t="shared" ca="1" si="3"/>
        <v>-1326.7576324938564</v>
      </c>
      <c r="DI45" s="648">
        <f t="shared" ca="1" si="3"/>
        <v>-1309.5478455255507</v>
      </c>
      <c r="DJ45" s="648">
        <f t="shared" ca="1" si="3"/>
        <v>-662.82304118390311</v>
      </c>
      <c r="DK45" s="179"/>
      <c r="DL45"/>
      <c r="DM45"/>
      <c r="DN45" s="533"/>
      <c r="DP45"/>
      <c r="DQ45"/>
      <c r="DR45"/>
      <c r="DS45"/>
      <c r="DT45"/>
      <c r="DU45"/>
      <c r="DV45"/>
      <c r="DW45"/>
      <c r="DX45"/>
      <c r="DY45"/>
      <c r="DZ45"/>
      <c r="EA45"/>
      <c r="EB45"/>
    </row>
    <row r="46" spans="2:132" s="512" customForma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s="727" t="str">
        <f>"For the "&amp;Year1&amp;"-"&amp;Year3&amp;" bill impacts, the "&amp;'EE Inputs'!$N$15&amp;" and "&amp;'EE Inputs'!$N$16&amp;" participants install measures in the first year of the plan only (i.e., "&amp;Year1&amp;")."</f>
        <v>For the 2021-2023 bill impacts, the Low Savings and High Savings participants install measures in the first year of the plan only (i.e., 2021).</v>
      </c>
      <c r="BT46" s="727"/>
      <c r="BU46" s="727"/>
      <c r="BV46" s="727"/>
      <c r="BW46" s="727"/>
      <c r="BX46" s="727"/>
      <c r="BY46" s="727"/>
      <c r="BZ46" s="727"/>
      <c r="CA46" s="727"/>
      <c r="CB46" s="727"/>
      <c r="CC46" s="727"/>
      <c r="CD46" s="727"/>
      <c r="CE46" s="727"/>
      <c r="CF46" s="727"/>
      <c r="CG46" s="727"/>
      <c r="CH46" s="727"/>
      <c r="CI46" s="727"/>
      <c r="CJ46" s="727"/>
      <c r="CK46" s="727"/>
      <c r="CL46" s="727"/>
      <c r="CM46" s="727"/>
      <c r="CN46" s="727"/>
      <c r="CO46" s="727"/>
      <c r="CP46" s="727"/>
      <c r="CQ46" s="727"/>
      <c r="CR46" s="727"/>
      <c r="CS46" s="727"/>
      <c r="CT46" s="727"/>
      <c r="CU46" s="727"/>
      <c r="CV46" s="727"/>
      <c r="CW46" s="727"/>
      <c r="CX46" s="727"/>
      <c r="CY46" s="727"/>
      <c r="CZ46"/>
      <c r="DA46"/>
      <c r="DB46"/>
      <c r="DC46"/>
      <c r="DD46" s="169" t="s">
        <v>102</v>
      </c>
      <c r="DE46" s="170"/>
      <c r="DF46" s="698"/>
      <c r="DG46" s="699"/>
      <c r="DH46" s="171"/>
      <c r="DI46" s="171"/>
      <c r="DJ46" s="171"/>
      <c r="DK46" s="171"/>
      <c r="DL46"/>
      <c r="DM46"/>
      <c r="DN46" s="533"/>
      <c r="DP46"/>
      <c r="DQ46"/>
      <c r="DR46"/>
      <c r="DS46"/>
      <c r="DT46"/>
      <c r="DU46"/>
      <c r="DV46"/>
      <c r="DW46"/>
      <c r="DX46"/>
      <c r="DY46"/>
      <c r="DZ46"/>
      <c r="EA46"/>
      <c r="EB46"/>
    </row>
    <row r="47" spans="2:132" s="512" customForma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s="727"/>
      <c r="BT47" s="727"/>
      <c r="BU47" s="727"/>
      <c r="BV47" s="727"/>
      <c r="BW47" s="727"/>
      <c r="BX47" s="727"/>
      <c r="BY47" s="727"/>
      <c r="BZ47" s="727"/>
      <c r="CA47" s="727"/>
      <c r="CB47" s="727"/>
      <c r="CC47" s="727"/>
      <c r="CD47" s="727"/>
      <c r="CE47" s="727"/>
      <c r="CF47" s="727"/>
      <c r="CG47" s="727"/>
      <c r="CH47" s="727"/>
      <c r="CI47" s="727"/>
      <c r="CJ47" s="727"/>
      <c r="CK47" s="727"/>
      <c r="CL47" s="727"/>
      <c r="CM47" s="727"/>
      <c r="CN47" s="727"/>
      <c r="CO47" s="727"/>
      <c r="CP47" s="727"/>
      <c r="CQ47" s="727"/>
      <c r="CR47" s="727"/>
      <c r="CS47" s="727"/>
      <c r="CT47" s="727"/>
      <c r="CU47" s="727"/>
      <c r="CV47" s="727"/>
      <c r="CW47" s="727"/>
      <c r="CX47" s="727"/>
      <c r="CY47" s="727"/>
      <c r="CZ47"/>
      <c r="DA47"/>
      <c r="DB47"/>
      <c r="DC47"/>
      <c r="DD47" s="169"/>
      <c r="DE47" s="170" t="s">
        <v>80</v>
      </c>
      <c r="DF47" s="698" t="s">
        <v>16</v>
      </c>
      <c r="DG47" s="701">
        <f t="shared" ref="DG47:DJ50" ca="1" si="4">IFERROR(DG25/DG8-1,0)</f>
        <v>2.1467275837139255E-3</v>
      </c>
      <c r="DH47" s="175">
        <f t="shared" ca="1" si="4"/>
        <v>2.2526665473099339E-3</v>
      </c>
      <c r="DI47" s="175">
        <f t="shared" ca="1" si="4"/>
        <v>2.3970875778938083E-3</v>
      </c>
      <c r="DJ47" s="175">
        <f t="shared" ca="1" si="4"/>
        <v>6.8301998223658789E-3</v>
      </c>
      <c r="DK47" s="179"/>
      <c r="DL47"/>
      <c r="DM47"/>
      <c r="DN47" s="533"/>
      <c r="DP47"/>
      <c r="DQ47"/>
      <c r="DR47"/>
      <c r="DS47"/>
      <c r="DT47"/>
      <c r="DU47"/>
      <c r="DV47"/>
      <c r="DW47"/>
      <c r="DX47"/>
      <c r="DY47"/>
      <c r="DZ47"/>
      <c r="EA47"/>
      <c r="EB47"/>
    </row>
    <row r="48" spans="2:132" s="512" customForma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s="169"/>
      <c r="DE48" s="170" t="s">
        <v>78</v>
      </c>
      <c r="DF48" s="698" t="s">
        <v>16</v>
      </c>
      <c r="DG48" s="701">
        <f t="shared" ca="1" si="4"/>
        <v>-4.9735528301660947E-3</v>
      </c>
      <c r="DH48" s="175">
        <f t="shared" ca="1" si="4"/>
        <v>-5.2388418443151119E-3</v>
      </c>
      <c r="DI48" s="175">
        <f t="shared" ca="1" si="4"/>
        <v>-5.541712165337942E-3</v>
      </c>
      <c r="DJ48" s="175">
        <f t="shared" ca="1" si="4"/>
        <v>-1.6681728226337733E-2</v>
      </c>
      <c r="DK48" s="179"/>
      <c r="DL48"/>
      <c r="DM48"/>
      <c r="DN48" s="533"/>
      <c r="DP48"/>
      <c r="DQ48"/>
      <c r="DR48"/>
      <c r="DS48"/>
      <c r="DT48"/>
      <c r="DU48"/>
      <c r="DV48"/>
      <c r="DW48"/>
      <c r="DX48"/>
      <c r="DY48"/>
      <c r="DZ48"/>
      <c r="EA48"/>
      <c r="EB48"/>
    </row>
    <row r="49" spans="1:132" s="512" customForma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s="169"/>
      <c r="DE49" s="170" t="str">
        <f>'EE Inputs'!$N$15&amp;" Partcipant"</f>
        <v>Low Savings Partcipant</v>
      </c>
      <c r="DF49" s="698" t="s">
        <v>16</v>
      </c>
      <c r="DG49" s="701">
        <f t="shared" ca="1" si="4"/>
        <v>-3.4404704999714264E-3</v>
      </c>
      <c r="DH49" s="175">
        <f t="shared" ca="1" si="4"/>
        <v>-3.3408328451269842E-3</v>
      </c>
      <c r="DI49" s="175">
        <f t="shared" ca="1" si="4"/>
        <v>-3.2049856596566562E-3</v>
      </c>
      <c r="DJ49" s="175">
        <f t="shared" ca="1" si="4"/>
        <v>1.3113153607595684E-3</v>
      </c>
      <c r="DK49" s="179"/>
      <c r="DL49"/>
      <c r="DM49"/>
      <c r="DN49" s="533"/>
      <c r="DP49"/>
      <c r="DQ49"/>
      <c r="DR49"/>
      <c r="DS49"/>
      <c r="DT49"/>
      <c r="DU49"/>
      <c r="DV49"/>
      <c r="DW49"/>
      <c r="DX49"/>
      <c r="DY49"/>
      <c r="DZ49"/>
      <c r="EA49"/>
      <c r="EB49"/>
    </row>
    <row r="50" spans="1:132" s="512" customForma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s="169"/>
      <c r="DE50" s="170" t="str">
        <f>'EE Inputs'!$N$16&amp;" Partcipant"</f>
        <v>High Savings Partcipant</v>
      </c>
      <c r="DF50" s="698" t="s">
        <v>16</v>
      </c>
      <c r="DG50" s="701">
        <f t="shared" ca="1" si="4"/>
        <v>-9.3444829166433596E-3</v>
      </c>
      <c r="DH50" s="175">
        <f t="shared" ca="1" si="4"/>
        <v>-9.2516647290763476E-3</v>
      </c>
      <c r="DI50" s="175">
        <f t="shared" ca="1" si="4"/>
        <v>-9.1250967058922328E-3</v>
      </c>
      <c r="DJ50" s="175">
        <f t="shared" ca="1" si="4"/>
        <v>-4.5072020054452988E-3</v>
      </c>
      <c r="DK50" s="179"/>
      <c r="DL50"/>
      <c r="DM50"/>
      <c r="DN50" s="533"/>
      <c r="DP50"/>
      <c r="DQ50"/>
      <c r="DR50"/>
      <c r="DS50"/>
      <c r="DT50"/>
      <c r="DU50"/>
      <c r="DV50"/>
      <c r="DW50"/>
      <c r="DX50"/>
      <c r="DY50"/>
      <c r="DZ50"/>
      <c r="EA50"/>
      <c r="EB50"/>
    </row>
    <row r="51" spans="1:132" s="512" customForma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s="169"/>
      <c r="DE51" s="170"/>
      <c r="DF51" s="698"/>
      <c r="DG51" s="702"/>
      <c r="DH51" s="179"/>
      <c r="DI51" s="179"/>
      <c r="DJ51" s="179"/>
      <c r="DK51" s="179"/>
      <c r="DL51"/>
      <c r="DM51"/>
      <c r="DN51" s="533"/>
      <c r="DP51"/>
      <c r="DQ51"/>
      <c r="DR51"/>
      <c r="DS51"/>
      <c r="DT51"/>
      <c r="DU51"/>
      <c r="DV51"/>
      <c r="DW51"/>
      <c r="DX51"/>
      <c r="DY51"/>
      <c r="DZ51"/>
      <c r="EA51"/>
      <c r="EB51"/>
    </row>
    <row r="52" spans="1:132" s="512" customForma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s="5"/>
      <c r="DG52" s="5"/>
      <c r="DH52"/>
      <c r="DI52"/>
      <c r="DJ52"/>
      <c r="DK52"/>
      <c r="DL52"/>
      <c r="DM52"/>
      <c r="DN52" s="533"/>
      <c r="DP52"/>
      <c r="DQ52"/>
      <c r="DR52"/>
      <c r="DS52"/>
      <c r="DT52"/>
      <c r="DU52"/>
      <c r="DV52"/>
      <c r="DW52"/>
      <c r="DX52"/>
      <c r="DY52"/>
      <c r="DZ52"/>
      <c r="EA52"/>
      <c r="EB52"/>
    </row>
    <row r="53" spans="1:132" s="512" customForma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s="535" t="s">
        <v>253</v>
      </c>
      <c r="DF53" s="517"/>
      <c r="DG53" s="5"/>
      <c r="DH53"/>
      <c r="DI53"/>
      <c r="DJ53"/>
      <c r="DK53"/>
      <c r="DL53"/>
      <c r="DM53"/>
      <c r="DN53" s="533"/>
      <c r="DP53"/>
      <c r="DQ53"/>
      <c r="DR53"/>
      <c r="DS53"/>
      <c r="DT53"/>
      <c r="DU53"/>
      <c r="DV53"/>
      <c r="DW53"/>
      <c r="DX53"/>
      <c r="DY53"/>
      <c r="DZ53"/>
      <c r="EA53"/>
      <c r="EB53"/>
    </row>
    <row r="54" spans="1:132" s="512" customForma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s="531" t="s">
        <v>120</v>
      </c>
      <c r="DF54" s="517"/>
      <c r="DG54" s="703" t="s">
        <v>293</v>
      </c>
      <c r="DH54" s="523" t="s">
        <v>294</v>
      </c>
      <c r="DI54" s="523" t="s">
        <v>295</v>
      </c>
      <c r="DJ54" s="523" t="s">
        <v>296</v>
      </c>
      <c r="DK54" s="133"/>
      <c r="DL54"/>
      <c r="DM54"/>
      <c r="DN54" s="533"/>
      <c r="DP54"/>
      <c r="DQ54"/>
      <c r="DR54"/>
      <c r="DS54"/>
      <c r="DT54"/>
      <c r="DU54"/>
      <c r="DV54"/>
      <c r="DW54"/>
      <c r="DX54"/>
      <c r="DY54"/>
      <c r="DZ54"/>
      <c r="EA54"/>
      <c r="EB54"/>
    </row>
    <row r="55" spans="1:132" s="512" customFormat="1" x14ac:dyDescent="0.25">
      <c r="B55"/>
      <c r="C55"/>
      <c r="D55"/>
      <c r="E55"/>
      <c r="F55"/>
      <c r="G55"/>
      <c r="H55"/>
      <c r="I55"/>
      <c r="J55"/>
      <c r="K55" s="1"/>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s="531" t="str">
        <f>Lookups!$D$23</f>
        <v>Proposed EE</v>
      </c>
      <c r="DF55" s="517"/>
      <c r="DG55" s="703" t="str">
        <f>IFERROR(LEFT(ADDRESS(1,COLUMN('Yr1'!$AJ$6)+MATCH(DG5,'Yr1'!$G$7:$AG$7,0)-1,4,1),LEN(ADDRESS(1,COLUMN('Yr1'!$AJ$6)+MATCH(DG5,'Yr1'!$G$7:$AG$7,0)-1,4,1))-1),"")</f>
        <v>AJ</v>
      </c>
      <c r="DH55" s="523" t="str">
        <f>DG55</f>
        <v>AJ</v>
      </c>
      <c r="DI55" s="523" t="str">
        <f t="shared" ref="DI55:DJ56" si="5">DH55</f>
        <v>AJ</v>
      </c>
      <c r="DJ55" s="523" t="str">
        <f t="shared" si="5"/>
        <v>AJ</v>
      </c>
      <c r="DK55" s="133"/>
      <c r="DL55"/>
      <c r="DM55"/>
      <c r="DN55" s="533"/>
      <c r="DP55"/>
      <c r="DQ55"/>
      <c r="DR55"/>
      <c r="DS55"/>
      <c r="DT55"/>
      <c r="DU55"/>
      <c r="DV55"/>
      <c r="DW55"/>
      <c r="DX55"/>
      <c r="DY55"/>
      <c r="DZ55"/>
      <c r="EA55"/>
      <c r="EB55"/>
    </row>
    <row r="56" spans="1:132" s="512" customForma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s="531" t="str">
        <f>Lookups!$D$24</f>
        <v>Alternative EE</v>
      </c>
      <c r="DF56" s="5"/>
      <c r="DG56" s="703" t="str">
        <f>IFERROR(LEFT(ADDRESS(1,COLUMN('Yr1'!$BP$6)+MATCH(DG5,'Yr1'!$G$7:$AG$7,0)-1,4,1),LEN(ADDRESS(1,COLUMN('Yr1'!$BP$6)+MATCH(DG5,'Yr1'!$G$7:$AG$7,0)-1,4,1))-1),"")</f>
        <v>BP</v>
      </c>
      <c r="DH56" s="523" t="str">
        <f>DG56</f>
        <v>BP</v>
      </c>
      <c r="DI56" s="523" t="str">
        <f t="shared" si="5"/>
        <v>BP</v>
      </c>
      <c r="DJ56" s="523" t="str">
        <f t="shared" si="5"/>
        <v>BP</v>
      </c>
      <c r="DK56"/>
      <c r="DL56"/>
      <c r="DM56"/>
      <c r="DN56" s="533"/>
      <c r="DP56"/>
      <c r="DQ56"/>
      <c r="DR56"/>
      <c r="DS56"/>
      <c r="DT56"/>
      <c r="DU56"/>
      <c r="DV56"/>
      <c r="DW56"/>
      <c r="DX56"/>
      <c r="DY56"/>
      <c r="DZ56"/>
      <c r="EA56"/>
      <c r="EB56"/>
    </row>
    <row r="57" spans="1:132" s="512" customForma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s="557" t="str">
        <f ca="1">"A non-participant will see a "&amp;TEXT($DJ$47,"0.#%")&amp;" "&amp;IF($DJ$47&gt;0,"increase","decrease")&amp;" in long-term average bills 
from the "&amp;Lookups!$D$24&amp;" scenario relative to the "&amp;Lookups!$D$23&amp;" scenario."</f>
        <v>A non-participant will see a 0.7% increase in long-term average bills 
from the Alternative EE scenario relative to the Proposed EE scenario.</v>
      </c>
      <c r="DF57" s="5"/>
      <c r="DG57" s="5"/>
      <c r="DH57"/>
      <c r="DI57"/>
      <c r="DJ57"/>
      <c r="DK57"/>
      <c r="DL57"/>
      <c r="DM57"/>
      <c r="DN57" s="533"/>
      <c r="DP57"/>
      <c r="DQ57"/>
      <c r="DR57"/>
      <c r="DS57"/>
      <c r="DT57"/>
      <c r="DU57"/>
      <c r="DV57"/>
      <c r="DW57"/>
      <c r="DX57"/>
      <c r="DY57"/>
      <c r="DZ57"/>
      <c r="EA57"/>
      <c r="EB57"/>
    </row>
    <row r="58" spans="1:132" s="512" customForma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s="5"/>
      <c r="DG58" s="5"/>
      <c r="DH58"/>
      <c r="DI58"/>
      <c r="DJ58"/>
      <c r="DK58"/>
      <c r="DL58"/>
      <c r="DM58"/>
      <c r="DN58" s="533"/>
      <c r="DP58"/>
      <c r="DQ58"/>
      <c r="DR58"/>
      <c r="DS58"/>
      <c r="DT58"/>
      <c r="DU58"/>
      <c r="DV58"/>
      <c r="DW58"/>
      <c r="DX58"/>
      <c r="DY58"/>
      <c r="DZ58"/>
      <c r="EA58"/>
      <c r="EB58"/>
    </row>
    <row r="59" spans="1:132" x14ac:dyDescent="0.25">
      <c r="A59" s="512"/>
    </row>
  </sheetData>
  <mergeCells count="4">
    <mergeCell ref="C4:G4"/>
    <mergeCell ref="BS41:CY42"/>
    <mergeCell ref="BS43:CY45"/>
    <mergeCell ref="BS46:CY47"/>
  </mergeCells>
  <pageMargins left="0.7" right="0.7" top="0.75" bottom="0.75" header="0.3" footer="0.3"/>
  <pageSetup scale="43" fitToWidth="2" fitToHeight="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Lookups!$D$26:$D$29</xm:f>
          </x14:formula1>
          <xm:sqref>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theme="7"/>
  </sheetPr>
  <dimension ref="A1:O301"/>
  <sheetViews>
    <sheetView showGridLines="0" zoomScaleNormal="100" workbookViewId="0">
      <pane xSplit="8" ySplit="5" topLeftCell="I6" activePane="bottomRight" state="frozen"/>
      <selection pane="topRight" activeCell="G1" sqref="G1"/>
      <selection pane="bottomLeft" activeCell="A6" sqref="A6"/>
      <selection pane="bottomRight" activeCell="F10" sqref="F10"/>
    </sheetView>
  </sheetViews>
  <sheetFormatPr defaultColWidth="9.140625" defaultRowHeight="15" x14ac:dyDescent="0.25"/>
  <cols>
    <col min="1" max="1" width="2.7109375" style="319" customWidth="1"/>
    <col min="2" max="2" width="10.85546875" style="319" customWidth="1"/>
    <col min="3" max="3" width="15.140625" style="319" bestFit="1" customWidth="1"/>
    <col min="4" max="4" width="15.7109375" style="107" bestFit="1" customWidth="1"/>
    <col min="5" max="5" width="21.7109375" style="108" customWidth="1"/>
    <col min="6" max="6" width="22.140625" style="108" bestFit="1" customWidth="1"/>
    <col min="7" max="7" width="33.5703125" style="108" bestFit="1" customWidth="1"/>
    <col min="8" max="8" width="9.7109375" style="108" bestFit="1" customWidth="1"/>
    <col min="9" max="9" width="13.85546875" style="107" bestFit="1" customWidth="1"/>
    <col min="10" max="11" width="31.5703125" style="488" customWidth="1"/>
    <col min="12" max="12" width="7.85546875" style="488" customWidth="1"/>
    <col min="13" max="13" width="2.7109375" style="493" customWidth="1"/>
    <col min="14" max="14" width="24.28515625" style="488" bestFit="1" customWidth="1"/>
    <col min="15" max="16384" width="9.140625" style="319"/>
  </cols>
  <sheetData>
    <row r="1" spans="1:14" x14ac:dyDescent="0.25">
      <c r="A1" s="58"/>
      <c r="B1" s="58"/>
      <c r="C1" s="58"/>
      <c r="G1" s="318"/>
      <c r="J1" s="487"/>
      <c r="M1" s="488"/>
    </row>
    <row r="2" spans="1:14" ht="26.25" x14ac:dyDescent="0.25">
      <c r="A2" s="58"/>
      <c r="B2" s="2" t="s">
        <v>141</v>
      </c>
      <c r="C2" s="58"/>
      <c r="M2" s="488"/>
    </row>
    <row r="3" spans="1:14" x14ac:dyDescent="0.25">
      <c r="A3" s="58"/>
      <c r="B3" s="671" t="s">
        <v>142</v>
      </c>
      <c r="C3" s="58"/>
      <c r="M3" s="488"/>
    </row>
    <row r="4" spans="1:14" x14ac:dyDescent="0.25">
      <c r="A4" s="58"/>
      <c r="B4" s="58"/>
      <c r="C4" s="58"/>
      <c r="M4" s="488"/>
    </row>
    <row r="5" spans="1:14" s="325" customFormat="1" ht="18.75" x14ac:dyDescent="0.3">
      <c r="B5" s="326" t="s">
        <v>133</v>
      </c>
      <c r="C5" s="326" t="s">
        <v>27</v>
      </c>
      <c r="D5" s="327" t="s">
        <v>136</v>
      </c>
      <c r="E5" s="327" t="s">
        <v>137</v>
      </c>
      <c r="F5" s="656" t="s">
        <v>307</v>
      </c>
      <c r="G5" s="327" t="s">
        <v>14</v>
      </c>
      <c r="H5" s="328" t="s">
        <v>127</v>
      </c>
      <c r="I5" s="328" t="s">
        <v>134</v>
      </c>
      <c r="J5" s="489" t="s">
        <v>28</v>
      </c>
      <c r="K5" s="489" t="s">
        <v>135</v>
      </c>
      <c r="L5" s="489" t="s">
        <v>138</v>
      </c>
      <c r="M5" s="490"/>
      <c r="N5" s="491" t="s">
        <v>139</v>
      </c>
    </row>
    <row r="6" spans="1:14" s="321" customFormat="1" hidden="1" x14ac:dyDescent="0.25">
      <c r="B6" t="str">
        <f>Lookups!$D$31</f>
        <v>Liberty</v>
      </c>
      <c r="C6" t="str">
        <f>Lookups!$D$26</f>
        <v>Residential</v>
      </c>
      <c r="D6" s="386" t="s">
        <v>29</v>
      </c>
      <c r="E6" s="455" t="s">
        <v>27</v>
      </c>
      <c r="F6" s="455" t="str">
        <f>E6</f>
        <v>Rate Class</v>
      </c>
      <c r="G6" s="455" t="s">
        <v>128</v>
      </c>
      <c r="H6" s="251" t="s">
        <v>140</v>
      </c>
      <c r="I6" s="386" t="s">
        <v>178</v>
      </c>
      <c r="J6" s="492" t="s">
        <v>179</v>
      </c>
      <c r="K6" s="492" t="s">
        <v>180</v>
      </c>
      <c r="L6" s="323" t="str">
        <f>C6&amp;B6&amp;D6&amp;E6&amp;G6&amp;H6</f>
        <v>ResidentialLibertyRate Class DataRate ClassRate NameName</v>
      </c>
      <c r="M6" s="493" t="s">
        <v>17</v>
      </c>
      <c r="N6" s="494"/>
    </row>
    <row r="7" spans="1:14" s="321" customFormat="1" hidden="1" x14ac:dyDescent="0.25">
      <c r="B7" t="str">
        <f>Lookups!$D$31</f>
        <v>Liberty</v>
      </c>
      <c r="C7" t="str">
        <f>Lookups!$D$26</f>
        <v>Residential</v>
      </c>
      <c r="D7" s="386" t="s">
        <v>29</v>
      </c>
      <c r="E7" s="455" t="s">
        <v>3</v>
      </c>
      <c r="F7" s="455" t="str">
        <f t="shared" ref="F7:F89" si="0">E7</f>
        <v>Customers</v>
      </c>
      <c r="G7" s="454" t="s">
        <v>3</v>
      </c>
      <c r="H7" s="454" t="s">
        <v>48</v>
      </c>
      <c r="I7" s="459">
        <v>71674.712393819893</v>
      </c>
      <c r="J7" s="495"/>
      <c r="K7" s="495" t="s">
        <v>64</v>
      </c>
      <c r="L7" s="323" t="str">
        <f t="shared" ref="L7:L64" si="1">C7&amp;B7&amp;D7&amp;E7&amp;G7&amp;H7</f>
        <v>ResidentialLibertyRate Class DataCustomersCustomersAccounts</v>
      </c>
      <c r="M7" s="493" t="s">
        <v>17</v>
      </c>
      <c r="N7" s="494"/>
    </row>
    <row r="8" spans="1:14" s="320" customFormat="1" hidden="1" x14ac:dyDescent="0.25">
      <c r="B8" t="str">
        <f>Lookups!$D$31</f>
        <v>Liberty</v>
      </c>
      <c r="C8" t="str">
        <f>Lookups!$D$26</f>
        <v>Residential</v>
      </c>
      <c r="D8" s="386" t="s">
        <v>29</v>
      </c>
      <c r="E8" s="455" t="s">
        <v>3</v>
      </c>
      <c r="F8" s="455" t="str">
        <f t="shared" si="0"/>
        <v>Customers</v>
      </c>
      <c r="G8" s="251" t="s">
        <v>15</v>
      </c>
      <c r="H8" s="251" t="s">
        <v>15</v>
      </c>
      <c r="I8" s="324">
        <v>2018</v>
      </c>
      <c r="J8" s="495"/>
      <c r="K8" s="495" t="s">
        <v>64</v>
      </c>
      <c r="L8" s="323" t="str">
        <f t="shared" si="1"/>
        <v>ResidentialLibertyRate Class DataCustomersYearYear</v>
      </c>
      <c r="M8" s="493" t="s">
        <v>17</v>
      </c>
      <c r="N8" s="496"/>
    </row>
    <row r="9" spans="1:14" s="321" customFormat="1" hidden="1" x14ac:dyDescent="0.25">
      <c r="B9" t="str">
        <f>Lookups!$D$31</f>
        <v>Liberty</v>
      </c>
      <c r="C9" t="str">
        <f>Lookups!$D$26</f>
        <v>Residential</v>
      </c>
      <c r="D9" s="386" t="s">
        <v>29</v>
      </c>
      <c r="E9" s="455" t="s">
        <v>3</v>
      </c>
      <c r="F9" s="455" t="str">
        <f t="shared" si="0"/>
        <v>Customers</v>
      </c>
      <c r="G9" s="251" t="s">
        <v>44</v>
      </c>
      <c r="H9" s="251" t="s">
        <v>16</v>
      </c>
      <c r="I9" s="251">
        <v>0</v>
      </c>
      <c r="J9" s="324" t="s">
        <v>177</v>
      </c>
      <c r="K9" s="324"/>
      <c r="L9" s="323" t="str">
        <f t="shared" si="1"/>
        <v>ResidentialLibertyRate Class DataCustomersAnnual Growth Rate%</v>
      </c>
      <c r="M9" s="493" t="s">
        <v>17</v>
      </c>
      <c r="N9" s="494"/>
    </row>
    <row r="10" spans="1:14" s="321" customFormat="1" hidden="1" x14ac:dyDescent="0.25">
      <c r="B10" t="str">
        <f>Lookups!$D$31</f>
        <v>Liberty</v>
      </c>
      <c r="C10" t="str">
        <f>Lookups!$D$26</f>
        <v>Residential</v>
      </c>
      <c r="D10" s="386" t="s">
        <v>29</v>
      </c>
      <c r="E10" s="455" t="s">
        <v>4</v>
      </c>
      <c r="F10" s="455" t="str">
        <f t="shared" si="0"/>
        <v>Sales</v>
      </c>
      <c r="G10" s="454" t="s">
        <v>313</v>
      </c>
      <c r="H10" s="454" t="s">
        <v>195</v>
      </c>
      <c r="I10" s="663">
        <v>58525589.103563093</v>
      </c>
      <c r="J10" s="650"/>
      <c r="K10" s="650" t="s">
        <v>64</v>
      </c>
      <c r="L10" s="323" t="str">
        <f t="shared" si="1"/>
        <v>ResidentialLibertyRate Class DataSalesWinter SalesTherms</v>
      </c>
      <c r="M10" s="493" t="s">
        <v>17</v>
      </c>
      <c r="N10" s="675" t="s">
        <v>356</v>
      </c>
    </row>
    <row r="11" spans="1:14" s="321" customFormat="1" hidden="1" x14ac:dyDescent="0.25">
      <c r="B11" t="str">
        <f>Lookups!$D$31</f>
        <v>Liberty</v>
      </c>
      <c r="C11" t="str">
        <f>Lookups!$D$26</f>
        <v>Residential</v>
      </c>
      <c r="D11" s="386" t="s">
        <v>29</v>
      </c>
      <c r="E11" s="455" t="s">
        <v>4</v>
      </c>
      <c r="F11" s="455" t="str">
        <f t="shared" si="0"/>
        <v>Sales</v>
      </c>
      <c r="G11" s="454" t="s">
        <v>314</v>
      </c>
      <c r="H11" s="454" t="s">
        <v>195</v>
      </c>
      <c r="I11" s="663"/>
      <c r="J11" s="650"/>
      <c r="K11" s="650"/>
      <c r="L11" s="323" t="str">
        <f t="shared" ref="L11:L12" si="2">C11&amp;B11&amp;D11&amp;E11&amp;G11&amp;H11</f>
        <v>ResidentialLibertyRate Class DataSalesSummer SalesTherms</v>
      </c>
      <c r="M11" s="493" t="s">
        <v>17</v>
      </c>
      <c r="N11" s="675" t="s">
        <v>357</v>
      </c>
    </row>
    <row r="12" spans="1:14" s="321" customFormat="1" hidden="1" x14ac:dyDescent="0.25">
      <c r="A12" s="275"/>
      <c r="B12" t="str">
        <f>Lookups!$D$31</f>
        <v>Liberty</v>
      </c>
      <c r="C12" t="str">
        <f>Lookups!$D$26</f>
        <v>Residential</v>
      </c>
      <c r="D12" s="386" t="s">
        <v>29</v>
      </c>
      <c r="E12" s="455" t="s">
        <v>4</v>
      </c>
      <c r="F12" s="455" t="str">
        <f t="shared" si="0"/>
        <v>Sales</v>
      </c>
      <c r="G12" s="251" t="s">
        <v>15</v>
      </c>
      <c r="H12" s="251" t="s">
        <v>15</v>
      </c>
      <c r="I12" s="324">
        <v>2018</v>
      </c>
      <c r="J12" s="495"/>
      <c r="K12" s="495" t="s">
        <v>64</v>
      </c>
      <c r="L12" s="323" t="str">
        <f t="shared" si="2"/>
        <v>ResidentialLibertyRate Class DataSalesYearYear</v>
      </c>
      <c r="M12" s="493" t="s">
        <v>17</v>
      </c>
      <c r="N12" s="675"/>
    </row>
    <row r="13" spans="1:14" s="321" customFormat="1" hidden="1" x14ac:dyDescent="0.25">
      <c r="B13" t="str">
        <f>Lookups!$D$31</f>
        <v>Liberty</v>
      </c>
      <c r="C13" t="str">
        <f>Lookups!$D$26</f>
        <v>Residential</v>
      </c>
      <c r="D13" s="386" t="s">
        <v>29</v>
      </c>
      <c r="E13" s="455" t="s">
        <v>4</v>
      </c>
      <c r="F13" s="455" t="str">
        <f t="shared" si="0"/>
        <v>Sales</v>
      </c>
      <c r="G13" s="251" t="s">
        <v>44</v>
      </c>
      <c r="H13" s="251" t="s">
        <v>16</v>
      </c>
      <c r="I13" s="251">
        <v>0</v>
      </c>
      <c r="J13" s="324" t="s">
        <v>177</v>
      </c>
      <c r="K13" s="324"/>
      <c r="L13" s="323" t="str">
        <f t="shared" si="1"/>
        <v>ResidentialLibertyRate Class DataSalesAnnual Growth Rate%</v>
      </c>
      <c r="M13" s="493" t="s">
        <v>17</v>
      </c>
      <c r="N13" s="675"/>
    </row>
    <row r="14" spans="1:14" s="321" customFormat="1" hidden="1" x14ac:dyDescent="0.25">
      <c r="B14" t="str">
        <f>Lookups!$D$31</f>
        <v>Liberty</v>
      </c>
      <c r="C14" t="str">
        <f>Lookups!$D$26</f>
        <v>Residential</v>
      </c>
      <c r="D14" s="386" t="s">
        <v>29</v>
      </c>
      <c r="E14" s="386" t="s">
        <v>300</v>
      </c>
      <c r="F14" s="455" t="str">
        <f t="shared" si="0"/>
        <v>Average Annual Usage</v>
      </c>
      <c r="G14" s="386" t="s">
        <v>302</v>
      </c>
      <c r="H14" s="454" t="s">
        <v>195</v>
      </c>
      <c r="I14" s="459">
        <f>666</f>
        <v>666</v>
      </c>
      <c r="J14" s="495" t="s">
        <v>190</v>
      </c>
      <c r="K14" s="324" t="s">
        <v>181</v>
      </c>
      <c r="L14" s="323" t="str">
        <f t="shared" si="1"/>
        <v>ResidentialLibertyRate Class DataAverage Annual UsageWinter UsageTherms</v>
      </c>
      <c r="M14" s="493" t="s">
        <v>17</v>
      </c>
      <c r="N14" s="494"/>
    </row>
    <row r="15" spans="1:14" s="321" customFormat="1" hidden="1" x14ac:dyDescent="0.25">
      <c r="B15" t="str">
        <f>Lookups!$D$31</f>
        <v>Liberty</v>
      </c>
      <c r="C15" t="str">
        <f>Lookups!$D$26</f>
        <v>Residential</v>
      </c>
      <c r="D15" s="386" t="s">
        <v>29</v>
      </c>
      <c r="E15" s="386" t="s">
        <v>300</v>
      </c>
      <c r="F15" s="455" t="str">
        <f t="shared" si="0"/>
        <v>Average Annual Usage</v>
      </c>
      <c r="G15" s="386" t="s">
        <v>301</v>
      </c>
      <c r="H15" s="454" t="s">
        <v>195</v>
      </c>
      <c r="I15" s="649"/>
      <c r="J15" s="650"/>
      <c r="K15" s="657"/>
      <c r="L15" s="323" t="str">
        <f t="shared" si="1"/>
        <v>ResidentialLibertyRate Class DataAverage Annual UsageSummer UsageTherms</v>
      </c>
      <c r="M15" s="493" t="s">
        <v>17</v>
      </c>
      <c r="N15" s="675" t="s">
        <v>357</v>
      </c>
    </row>
    <row r="16" spans="1:14" hidden="1" x14ac:dyDescent="0.25">
      <c r="B16" t="str">
        <f>Lookups!$D$31</f>
        <v>Liberty</v>
      </c>
      <c r="C16" t="str">
        <f>Lookups!$D$26</f>
        <v>Residential</v>
      </c>
      <c r="D16" s="386" t="s">
        <v>29</v>
      </c>
      <c r="E16" s="455" t="s">
        <v>129</v>
      </c>
      <c r="F16" s="455" t="s">
        <v>305</v>
      </c>
      <c r="G16" s="386" t="s">
        <v>50</v>
      </c>
      <c r="H16" s="454" t="s">
        <v>195</v>
      </c>
      <c r="I16" s="454"/>
      <c r="J16" s="492" t="s">
        <v>202</v>
      </c>
      <c r="K16" s="492"/>
      <c r="L16" s="658" t="str">
        <f t="shared" ref="L16:L20" si="3">C16&amp;B16&amp;D16&amp;E16&amp;F16&amp;G16&amp;H16</f>
        <v>ResidentialLibertyRate Class DataRate Type DataWinterFirst Block MaximumTherms</v>
      </c>
      <c r="M16" s="493" t="s">
        <v>17</v>
      </c>
      <c r="N16" s="493"/>
    </row>
    <row r="17" spans="1:14" hidden="1" x14ac:dyDescent="0.25">
      <c r="B17" t="str">
        <f>Lookups!$D$31</f>
        <v>Liberty</v>
      </c>
      <c r="C17" t="str">
        <f>Lookups!$D$26</f>
        <v>Residential</v>
      </c>
      <c r="D17" s="386" t="s">
        <v>29</v>
      </c>
      <c r="E17" s="455" t="s">
        <v>129</v>
      </c>
      <c r="F17" s="455" t="s">
        <v>305</v>
      </c>
      <c r="G17" s="386" t="s">
        <v>49</v>
      </c>
      <c r="H17" s="454" t="s">
        <v>195</v>
      </c>
      <c r="I17" s="454"/>
      <c r="J17" s="492" t="s">
        <v>202</v>
      </c>
      <c r="K17" s="492"/>
      <c r="L17" s="658" t="str">
        <f t="shared" si="3"/>
        <v>ResidentialLibertyRate Class DataRate Type DataWinterSecond Block MaximumTherms</v>
      </c>
      <c r="M17" s="493" t="s">
        <v>17</v>
      </c>
      <c r="N17" s="493"/>
    </row>
    <row r="18" spans="1:14" hidden="1" x14ac:dyDescent="0.25">
      <c r="A18" s="318"/>
      <c r="B18" t="str">
        <f>Lookups!$D$31</f>
        <v>Liberty</v>
      </c>
      <c r="C18" t="str">
        <f>Lookups!$D$26</f>
        <v>Residential</v>
      </c>
      <c r="D18" s="386" t="s">
        <v>29</v>
      </c>
      <c r="E18" s="455" t="s">
        <v>129</v>
      </c>
      <c r="F18" s="455" t="s">
        <v>305</v>
      </c>
      <c r="G18" s="386" t="s">
        <v>130</v>
      </c>
      <c r="H18" s="454" t="s">
        <v>195</v>
      </c>
      <c r="I18" s="456"/>
      <c r="J18" s="492" t="s">
        <v>202</v>
      </c>
      <c r="K18" s="492"/>
      <c r="L18" s="658" t="str">
        <f t="shared" si="3"/>
        <v>ResidentialLibertyRate Class DataRate Type DataWinterFirst Block Billing DeterminantsTherms</v>
      </c>
      <c r="M18" s="493" t="s">
        <v>17</v>
      </c>
      <c r="N18" s="493"/>
    </row>
    <row r="19" spans="1:14" s="59" customFormat="1" hidden="1" x14ac:dyDescent="0.25">
      <c r="B19" t="str">
        <f>Lookups!$D$31</f>
        <v>Liberty</v>
      </c>
      <c r="C19" t="str">
        <f>Lookups!$D$26</f>
        <v>Residential</v>
      </c>
      <c r="D19" s="386" t="s">
        <v>29</v>
      </c>
      <c r="E19" s="455" t="s">
        <v>129</v>
      </c>
      <c r="F19" s="455" t="s">
        <v>305</v>
      </c>
      <c r="G19" s="386" t="s">
        <v>131</v>
      </c>
      <c r="H19" s="454" t="s">
        <v>195</v>
      </c>
      <c r="I19" s="456"/>
      <c r="J19" s="492" t="s">
        <v>202</v>
      </c>
      <c r="K19" s="492"/>
      <c r="L19" s="658" t="str">
        <f t="shared" si="3"/>
        <v>ResidentialLibertyRate Class DataRate Type DataWinterSecond Block Billing DeterminantsTherms</v>
      </c>
      <c r="M19" s="493" t="s">
        <v>17</v>
      </c>
      <c r="N19" s="497"/>
    </row>
    <row r="20" spans="1:14" s="59" customFormat="1" hidden="1" x14ac:dyDescent="0.25">
      <c r="B20" t="str">
        <f>Lookups!$D$31</f>
        <v>Liberty</v>
      </c>
      <c r="C20" t="str">
        <f>Lookups!$D$26</f>
        <v>Residential</v>
      </c>
      <c r="D20" s="386" t="s">
        <v>29</v>
      </c>
      <c r="E20" s="455" t="s">
        <v>129</v>
      </c>
      <c r="F20" s="455" t="s">
        <v>305</v>
      </c>
      <c r="G20" s="386" t="s">
        <v>132</v>
      </c>
      <c r="H20" s="454" t="s">
        <v>195</v>
      </c>
      <c r="I20" s="456"/>
      <c r="J20" s="492" t="s">
        <v>202</v>
      </c>
      <c r="K20" s="492"/>
      <c r="L20" s="658" t="str">
        <f t="shared" si="3"/>
        <v>ResidentialLibertyRate Class DataRate Type DataWinterRemaining Billing DeterminantsTherms</v>
      </c>
      <c r="M20" s="493" t="s">
        <v>17</v>
      </c>
      <c r="N20" s="497"/>
    </row>
    <row r="21" spans="1:14" hidden="1" x14ac:dyDescent="0.25">
      <c r="B21" t="str">
        <f>Lookups!$D$31</f>
        <v>Liberty</v>
      </c>
      <c r="C21" t="str">
        <f>Lookups!$D$26</f>
        <v>Residential</v>
      </c>
      <c r="D21" s="386" t="s">
        <v>29</v>
      </c>
      <c r="E21" s="455" t="s">
        <v>129</v>
      </c>
      <c r="F21" s="455" t="s">
        <v>306</v>
      </c>
      <c r="G21" s="386" t="s">
        <v>50</v>
      </c>
      <c r="H21" s="454" t="s">
        <v>195</v>
      </c>
      <c r="I21" s="454"/>
      <c r="J21" s="492" t="s">
        <v>202</v>
      </c>
      <c r="K21" s="492"/>
      <c r="L21" s="658" t="str">
        <f t="shared" ref="L21:L25" si="4">C21&amp;B21&amp;D21&amp;E21&amp;F21&amp;G21&amp;H21</f>
        <v>ResidentialLibertyRate Class DataRate Type DataSummerFirst Block MaximumTherms</v>
      </c>
      <c r="M21" s="493" t="s">
        <v>17</v>
      </c>
      <c r="N21" s="493"/>
    </row>
    <row r="22" spans="1:14" hidden="1" x14ac:dyDescent="0.25">
      <c r="B22" t="str">
        <f>Lookups!$D$31</f>
        <v>Liberty</v>
      </c>
      <c r="C22" t="str">
        <f>Lookups!$D$26</f>
        <v>Residential</v>
      </c>
      <c r="D22" s="386" t="s">
        <v>29</v>
      </c>
      <c r="E22" s="455" t="s">
        <v>129</v>
      </c>
      <c r="F22" s="455" t="s">
        <v>306</v>
      </c>
      <c r="G22" s="386" t="s">
        <v>49</v>
      </c>
      <c r="H22" s="454" t="s">
        <v>195</v>
      </c>
      <c r="I22" s="454"/>
      <c r="J22" s="492" t="s">
        <v>202</v>
      </c>
      <c r="K22" s="492"/>
      <c r="L22" s="658" t="str">
        <f t="shared" si="4"/>
        <v>ResidentialLibertyRate Class DataRate Type DataSummerSecond Block MaximumTherms</v>
      </c>
      <c r="M22" s="493" t="s">
        <v>17</v>
      </c>
      <c r="N22" s="493"/>
    </row>
    <row r="23" spans="1:14" hidden="1" x14ac:dyDescent="0.25">
      <c r="A23" s="318"/>
      <c r="B23" t="str">
        <f>Lookups!$D$31</f>
        <v>Liberty</v>
      </c>
      <c r="C23" t="str">
        <f>Lookups!$D$26</f>
        <v>Residential</v>
      </c>
      <c r="D23" s="386" t="s">
        <v>29</v>
      </c>
      <c r="E23" s="455" t="s">
        <v>129</v>
      </c>
      <c r="F23" s="455" t="s">
        <v>306</v>
      </c>
      <c r="G23" s="386" t="s">
        <v>130</v>
      </c>
      <c r="H23" s="454" t="s">
        <v>195</v>
      </c>
      <c r="I23" s="456"/>
      <c r="J23" s="492" t="s">
        <v>202</v>
      </c>
      <c r="K23" s="492"/>
      <c r="L23" s="658" t="str">
        <f t="shared" si="4"/>
        <v>ResidentialLibertyRate Class DataRate Type DataSummerFirst Block Billing DeterminantsTherms</v>
      </c>
      <c r="M23" s="493" t="s">
        <v>17</v>
      </c>
      <c r="N23" s="493"/>
    </row>
    <row r="24" spans="1:14" s="59" customFormat="1" hidden="1" x14ac:dyDescent="0.25">
      <c r="B24" t="str">
        <f>Lookups!$D$31</f>
        <v>Liberty</v>
      </c>
      <c r="C24" t="str">
        <f>Lookups!$D$26</f>
        <v>Residential</v>
      </c>
      <c r="D24" s="386" t="s">
        <v>29</v>
      </c>
      <c r="E24" s="455" t="s">
        <v>129</v>
      </c>
      <c r="F24" s="455" t="s">
        <v>306</v>
      </c>
      <c r="G24" s="386" t="s">
        <v>131</v>
      </c>
      <c r="H24" s="454" t="s">
        <v>195</v>
      </c>
      <c r="I24" s="456"/>
      <c r="J24" s="492" t="s">
        <v>202</v>
      </c>
      <c r="K24" s="492"/>
      <c r="L24" s="658" t="str">
        <f t="shared" si="4"/>
        <v>ResidentialLibertyRate Class DataRate Type DataSummerSecond Block Billing DeterminantsTherms</v>
      </c>
      <c r="M24" s="493" t="s">
        <v>17</v>
      </c>
      <c r="N24" s="497"/>
    </row>
    <row r="25" spans="1:14" s="59" customFormat="1" hidden="1" x14ac:dyDescent="0.25">
      <c r="B25" t="str">
        <f>Lookups!$D$31</f>
        <v>Liberty</v>
      </c>
      <c r="C25" t="str">
        <f>Lookups!$D$26</f>
        <v>Residential</v>
      </c>
      <c r="D25" s="386" t="s">
        <v>29</v>
      </c>
      <c r="E25" s="455" t="s">
        <v>129</v>
      </c>
      <c r="F25" s="455" t="s">
        <v>306</v>
      </c>
      <c r="G25" s="386" t="s">
        <v>132</v>
      </c>
      <c r="H25" s="454" t="s">
        <v>195</v>
      </c>
      <c r="I25" s="456"/>
      <c r="J25" s="492" t="s">
        <v>202</v>
      </c>
      <c r="K25" s="492"/>
      <c r="L25" s="658" t="str">
        <f t="shared" si="4"/>
        <v>ResidentialLibertyRate Class DataRate Type DataSummerRemaining Billing DeterminantsTherms</v>
      </c>
      <c r="M25" s="493" t="s">
        <v>17</v>
      </c>
      <c r="N25" s="497"/>
    </row>
    <row r="26" spans="1:14" hidden="1" x14ac:dyDescent="0.25">
      <c r="B26" t="str">
        <f>Lookups!$D$31</f>
        <v>Liberty</v>
      </c>
      <c r="C26" t="str">
        <f>Lookups!$D$26</f>
        <v>Residential</v>
      </c>
      <c r="D26" s="386" t="s">
        <v>46</v>
      </c>
      <c r="E26" s="455" t="s">
        <v>33</v>
      </c>
      <c r="F26" s="455" t="s">
        <v>305</v>
      </c>
      <c r="G26" s="386" t="s">
        <v>75</v>
      </c>
      <c r="H26" s="386" t="s">
        <v>31</v>
      </c>
      <c r="I26" s="457">
        <v>15.2</v>
      </c>
      <c r="J26" s="492"/>
      <c r="K26" s="492" t="s">
        <v>180</v>
      </c>
      <c r="L26" s="323" t="str">
        <f t="shared" si="1"/>
        <v>ResidentialLibertyCurrent RatesCustomer or Meter ChargeCustomer Charge$/month</v>
      </c>
      <c r="M26" s="493" t="s">
        <v>17</v>
      </c>
      <c r="N26" s="493"/>
    </row>
    <row r="27" spans="1:14" s="59" customFormat="1" hidden="1" x14ac:dyDescent="0.25">
      <c r="B27" t="str">
        <f>Lookups!$D$31</f>
        <v>Liberty</v>
      </c>
      <c r="C27" t="str">
        <f>Lookups!$D$26</f>
        <v>Residential</v>
      </c>
      <c r="D27" s="386" t="s">
        <v>46</v>
      </c>
      <c r="E27" s="455" t="s">
        <v>33</v>
      </c>
      <c r="F27" s="455" t="s">
        <v>305</v>
      </c>
      <c r="G27" s="251" t="s">
        <v>61</v>
      </c>
      <c r="H27" s="251" t="s">
        <v>16</v>
      </c>
      <c r="I27" s="251">
        <v>0</v>
      </c>
      <c r="J27" s="324" t="s">
        <v>177</v>
      </c>
      <c r="K27" s="324"/>
      <c r="L27" s="323" t="str">
        <f t="shared" si="1"/>
        <v>ResidentialLibertyCurrent RatesCustomer or Meter ChargeAnnual Rate Change%</v>
      </c>
      <c r="M27" s="493" t="s">
        <v>17</v>
      </c>
      <c r="N27" s="497"/>
    </row>
    <row r="28" spans="1:14" s="59" customFormat="1" x14ac:dyDescent="0.25">
      <c r="B28" t="str">
        <f>Lookups!$D$31</f>
        <v>Liberty</v>
      </c>
      <c r="C28" t="str">
        <f>Lookups!$D$26</f>
        <v>Residential</v>
      </c>
      <c r="D28" s="386" t="s">
        <v>46</v>
      </c>
      <c r="E28" s="455" t="s">
        <v>126</v>
      </c>
      <c r="F28" s="455" t="s">
        <v>305</v>
      </c>
      <c r="G28" s="386" t="s">
        <v>228</v>
      </c>
      <c r="H28" s="386" t="s">
        <v>182</v>
      </c>
      <c r="I28" s="485">
        <v>0.55689999999999995</v>
      </c>
      <c r="J28" s="492"/>
      <c r="K28" s="492" t="s">
        <v>180</v>
      </c>
      <c r="L28" s="658" t="str">
        <f>C28&amp;B28&amp;D28&amp;E28&amp;F28&amp;G28&amp;H28</f>
        <v>ResidentialLibertyCurrent RatesDistribution ChargesWinterTotal (no blocks)$/Therm</v>
      </c>
      <c r="M28" s="493" t="s">
        <v>17</v>
      </c>
      <c r="N28" s="497"/>
    </row>
    <row r="29" spans="1:14" s="59" customFormat="1" hidden="1" x14ac:dyDescent="0.25">
      <c r="B29" t="str">
        <f>Lookups!$D$31</f>
        <v>Liberty</v>
      </c>
      <c r="C29" t="str">
        <f>Lookups!$D$26</f>
        <v>Residential</v>
      </c>
      <c r="D29" s="386" t="s">
        <v>46</v>
      </c>
      <c r="E29" s="455" t="s">
        <v>126</v>
      </c>
      <c r="F29" s="455" t="s">
        <v>305</v>
      </c>
      <c r="G29" s="386" t="s">
        <v>122</v>
      </c>
      <c r="H29" s="386" t="s">
        <v>182</v>
      </c>
      <c r="I29" s="485"/>
      <c r="J29" s="492" t="s">
        <v>202</v>
      </c>
      <c r="K29" s="492"/>
      <c r="L29" s="658" t="str">
        <f t="shared" ref="L29:L36" si="5">C29&amp;B29&amp;D29&amp;E29&amp;F29&amp;G29&amp;H29</f>
        <v>ResidentialLibertyCurrent RatesDistribution ChargesWinterFirst Block$/Therm</v>
      </c>
      <c r="M29" s="493" t="s">
        <v>17</v>
      </c>
      <c r="N29" s="497"/>
    </row>
    <row r="30" spans="1:14" s="59" customFormat="1" hidden="1" x14ac:dyDescent="0.25">
      <c r="B30" t="str">
        <f>Lookups!$D$31</f>
        <v>Liberty</v>
      </c>
      <c r="C30" t="str">
        <f>Lookups!$D$26</f>
        <v>Residential</v>
      </c>
      <c r="D30" s="386" t="s">
        <v>46</v>
      </c>
      <c r="E30" s="455" t="s">
        <v>126</v>
      </c>
      <c r="F30" s="455" t="s">
        <v>305</v>
      </c>
      <c r="G30" s="386" t="s">
        <v>123</v>
      </c>
      <c r="H30" s="386" t="s">
        <v>182</v>
      </c>
      <c r="I30" s="485"/>
      <c r="J30" s="492" t="s">
        <v>202</v>
      </c>
      <c r="K30" s="492"/>
      <c r="L30" s="658" t="str">
        <f t="shared" si="5"/>
        <v>ResidentialLibertyCurrent RatesDistribution ChargesWinterSecond Block$/Therm</v>
      </c>
      <c r="M30" s="493" t="s">
        <v>17</v>
      </c>
      <c r="N30" s="497"/>
    </row>
    <row r="31" spans="1:14" hidden="1" x14ac:dyDescent="0.25">
      <c r="B31" t="str">
        <f>Lookups!$D$31</f>
        <v>Liberty</v>
      </c>
      <c r="C31" t="str">
        <f>Lookups!$D$26</f>
        <v>Residential</v>
      </c>
      <c r="D31" s="386" t="s">
        <v>46</v>
      </c>
      <c r="E31" s="455" t="s">
        <v>126</v>
      </c>
      <c r="F31" s="455" t="s">
        <v>305</v>
      </c>
      <c r="G31" s="386" t="s">
        <v>47</v>
      </c>
      <c r="H31" s="386" t="s">
        <v>182</v>
      </c>
      <c r="I31" s="485"/>
      <c r="J31" s="492" t="s">
        <v>202</v>
      </c>
      <c r="K31" s="492"/>
      <c r="L31" s="658" t="str">
        <f t="shared" si="5"/>
        <v>ResidentialLibertyCurrent RatesDistribution ChargesWinterThird Block$/Therm</v>
      </c>
      <c r="M31" s="493" t="s">
        <v>17</v>
      </c>
      <c r="N31" s="493"/>
    </row>
    <row r="32" spans="1:14" s="59" customFormat="1" x14ac:dyDescent="0.25">
      <c r="B32" t="str">
        <f>Lookups!$D$31</f>
        <v>Liberty</v>
      </c>
      <c r="C32" t="str">
        <f>Lookups!$D$26</f>
        <v>Residential</v>
      </c>
      <c r="D32" s="386" t="s">
        <v>46</v>
      </c>
      <c r="E32" s="455" t="s">
        <v>126</v>
      </c>
      <c r="F32" s="455" t="str">
        <f>E32</f>
        <v>Distribution Charges</v>
      </c>
      <c r="G32" s="251" t="s">
        <v>61</v>
      </c>
      <c r="H32" s="251" t="s">
        <v>16</v>
      </c>
      <c r="I32" s="251">
        <v>0</v>
      </c>
      <c r="J32" s="324" t="s">
        <v>177</v>
      </c>
      <c r="K32" s="324"/>
      <c r="L32" s="323" t="str">
        <f>C32&amp;B32&amp;D32&amp;E32&amp;G32&amp;H32</f>
        <v>ResidentialLibertyCurrent RatesDistribution ChargesAnnual Rate Change%</v>
      </c>
      <c r="M32" s="493" t="s">
        <v>17</v>
      </c>
      <c r="N32" s="497"/>
    </row>
    <row r="33" spans="2:14" s="59" customFormat="1" x14ac:dyDescent="0.25">
      <c r="B33" t="str">
        <f>Lookups!$D$31</f>
        <v>Liberty</v>
      </c>
      <c r="C33" t="str">
        <f>Lookups!$D$26</f>
        <v>Residential</v>
      </c>
      <c r="D33" s="386" t="s">
        <v>46</v>
      </c>
      <c r="E33" s="455" t="s">
        <v>126</v>
      </c>
      <c r="F33" s="455" t="s">
        <v>306</v>
      </c>
      <c r="G33" s="386" t="s">
        <v>228</v>
      </c>
      <c r="H33" s="386" t="s">
        <v>182</v>
      </c>
      <c r="I33" s="485">
        <v>0.55020000000000002</v>
      </c>
      <c r="J33" s="324"/>
      <c r="K33" s="324" t="s">
        <v>181</v>
      </c>
      <c r="L33" s="658" t="str">
        <f t="shared" si="5"/>
        <v>ResidentialLibertyCurrent RatesDistribution ChargesSummerTotal (no blocks)$/Therm</v>
      </c>
      <c r="M33" s="493" t="s">
        <v>17</v>
      </c>
      <c r="N33" s="497"/>
    </row>
    <row r="34" spans="2:14" s="59" customFormat="1" hidden="1" x14ac:dyDescent="0.25">
      <c r="B34" t="str">
        <f>Lookups!$D$31</f>
        <v>Liberty</v>
      </c>
      <c r="C34" t="str">
        <f>Lookups!$D$26</f>
        <v>Residential</v>
      </c>
      <c r="D34" s="386" t="s">
        <v>46</v>
      </c>
      <c r="E34" s="455" t="s">
        <v>126</v>
      </c>
      <c r="F34" s="455" t="s">
        <v>306</v>
      </c>
      <c r="G34" s="386" t="s">
        <v>122</v>
      </c>
      <c r="H34" s="386" t="s">
        <v>182</v>
      </c>
      <c r="I34" s="485"/>
      <c r="J34" s="492" t="s">
        <v>202</v>
      </c>
      <c r="K34" s="492"/>
      <c r="L34" s="658" t="str">
        <f t="shared" si="5"/>
        <v>ResidentialLibertyCurrent RatesDistribution ChargesSummerFirst Block$/Therm</v>
      </c>
      <c r="M34" s="493" t="s">
        <v>17</v>
      </c>
      <c r="N34" s="497"/>
    </row>
    <row r="35" spans="2:14" s="59" customFormat="1" hidden="1" x14ac:dyDescent="0.25">
      <c r="B35" t="str">
        <f>Lookups!$D$31</f>
        <v>Liberty</v>
      </c>
      <c r="C35" t="str">
        <f>Lookups!$D$26</f>
        <v>Residential</v>
      </c>
      <c r="D35" s="386" t="s">
        <v>46</v>
      </c>
      <c r="E35" s="455" t="s">
        <v>126</v>
      </c>
      <c r="F35" s="455" t="s">
        <v>306</v>
      </c>
      <c r="G35" s="386" t="s">
        <v>123</v>
      </c>
      <c r="H35" s="386" t="s">
        <v>182</v>
      </c>
      <c r="I35" s="485"/>
      <c r="J35" s="492" t="s">
        <v>202</v>
      </c>
      <c r="K35" s="492"/>
      <c r="L35" s="658" t="str">
        <f t="shared" si="5"/>
        <v>ResidentialLibertyCurrent RatesDistribution ChargesSummerSecond Block$/Therm</v>
      </c>
      <c r="M35" s="493" t="s">
        <v>17</v>
      </c>
      <c r="N35" s="497"/>
    </row>
    <row r="36" spans="2:14" s="59" customFormat="1" hidden="1" x14ac:dyDescent="0.25">
      <c r="B36" t="str">
        <f>Lookups!$D$31</f>
        <v>Liberty</v>
      </c>
      <c r="C36" t="str">
        <f>Lookups!$D$26</f>
        <v>Residential</v>
      </c>
      <c r="D36" s="386" t="s">
        <v>46</v>
      </c>
      <c r="E36" s="455" t="s">
        <v>126</v>
      </c>
      <c r="F36" s="455" t="s">
        <v>306</v>
      </c>
      <c r="G36" s="386" t="s">
        <v>47</v>
      </c>
      <c r="H36" s="386" t="s">
        <v>182</v>
      </c>
      <c r="I36" s="485"/>
      <c r="J36" s="492" t="s">
        <v>202</v>
      </c>
      <c r="K36" s="492"/>
      <c r="L36" s="658" t="str">
        <f t="shared" si="5"/>
        <v>ResidentialLibertyCurrent RatesDistribution ChargesSummerThird Block$/Therm</v>
      </c>
      <c r="M36" s="493" t="s">
        <v>17</v>
      </c>
      <c r="N36" s="497"/>
    </row>
    <row r="37" spans="2:14" s="59" customFormat="1" hidden="1" x14ac:dyDescent="0.25">
      <c r="B37" t="str">
        <f>Lookups!$D$31</f>
        <v>Liberty</v>
      </c>
      <c r="C37" t="str">
        <f>Lookups!$D$26</f>
        <v>Residential</v>
      </c>
      <c r="D37" s="386" t="s">
        <v>46</v>
      </c>
      <c r="E37" s="455" t="s">
        <v>214</v>
      </c>
      <c r="F37" s="455" t="str">
        <f>E37</f>
        <v>Local Distribution Adjustment Charge (LDAC)</v>
      </c>
      <c r="G37" s="455" t="s">
        <v>340</v>
      </c>
      <c r="H37" s="386" t="s">
        <v>182</v>
      </c>
      <c r="I37" s="485">
        <f>0.031-0.064</f>
        <v>-3.3000000000000002E-2</v>
      </c>
      <c r="J37" s="495" t="s">
        <v>246</v>
      </c>
      <c r="K37" s="495" t="s">
        <v>245</v>
      </c>
      <c r="L37" s="323" t="str">
        <f>C37&amp;B37&amp;D37&amp;E37&amp;G37&amp;H37</f>
        <v>ResidentialLibertyCurrent RatesLocal Distribution Adjustment Charge (LDAC)Winter Rate$/Therm</v>
      </c>
      <c r="M37" s="493" t="s">
        <v>17</v>
      </c>
      <c r="N37" s="497"/>
    </row>
    <row r="38" spans="2:14" s="59" customFormat="1" hidden="1" x14ac:dyDescent="0.25">
      <c r="B38" t="str">
        <f>Lookups!$D$31</f>
        <v>Liberty</v>
      </c>
      <c r="C38" t="str">
        <f>Lookups!$D$26</f>
        <v>Residential</v>
      </c>
      <c r="D38" s="386" t="s">
        <v>46</v>
      </c>
      <c r="E38" s="455" t="s">
        <v>214</v>
      </c>
      <c r="F38" s="455" t="str">
        <f>E38</f>
        <v>Local Distribution Adjustment Charge (LDAC)</v>
      </c>
      <c r="G38" s="455" t="s">
        <v>341</v>
      </c>
      <c r="H38" s="386" t="s">
        <v>182</v>
      </c>
      <c r="I38" s="485">
        <f>0.031-0.064</f>
        <v>-3.3000000000000002E-2</v>
      </c>
      <c r="J38" s="495" t="s">
        <v>246</v>
      </c>
      <c r="K38" s="495" t="s">
        <v>245</v>
      </c>
      <c r="L38" s="323" t="str">
        <f>C38&amp;B38&amp;D38&amp;E38&amp;G38&amp;H38</f>
        <v>ResidentialLibertyCurrent RatesLocal Distribution Adjustment Charge (LDAC)Summer Rate$/Therm</v>
      </c>
      <c r="M38" s="493" t="s">
        <v>17</v>
      </c>
      <c r="N38" s="497"/>
    </row>
    <row r="39" spans="2:14" s="59" customFormat="1" hidden="1" x14ac:dyDescent="0.25">
      <c r="B39" t="str">
        <f>Lookups!$D$31</f>
        <v>Liberty</v>
      </c>
      <c r="C39" t="str">
        <f>Lookups!$D$26</f>
        <v>Residential</v>
      </c>
      <c r="D39" s="386" t="s">
        <v>46</v>
      </c>
      <c r="E39" s="455" t="s">
        <v>214</v>
      </c>
      <c r="F39" s="455" t="str">
        <f t="shared" ref="F39:F42" si="6">E39</f>
        <v>Local Distribution Adjustment Charge (LDAC)</v>
      </c>
      <c r="G39" s="251" t="s">
        <v>61</v>
      </c>
      <c r="H39" s="251" t="s">
        <v>16</v>
      </c>
      <c r="I39" s="251">
        <v>0</v>
      </c>
      <c r="J39" s="324" t="s">
        <v>177</v>
      </c>
      <c r="K39" s="324"/>
      <c r="L39" s="323" t="str">
        <f t="shared" ref="L39:L42" si="7">C39&amp;B39&amp;D39&amp;E39&amp;G39&amp;H39</f>
        <v>ResidentialLibertyCurrent RatesLocal Distribution Adjustment Charge (LDAC)Annual Rate Change%</v>
      </c>
      <c r="M39" s="493" t="s">
        <v>17</v>
      </c>
      <c r="N39" s="497"/>
    </row>
    <row r="40" spans="2:14" s="59" customFormat="1" hidden="1" x14ac:dyDescent="0.25">
      <c r="B40" t="str">
        <f>Lookups!$D$31</f>
        <v>Liberty</v>
      </c>
      <c r="C40" t="str">
        <f>Lookups!$D$26</f>
        <v>Residential</v>
      </c>
      <c r="D40" s="386" t="s">
        <v>46</v>
      </c>
      <c r="E40" s="455" t="s">
        <v>183</v>
      </c>
      <c r="F40" s="455" t="str">
        <f t="shared" si="6"/>
        <v>Cost of Gas Charge</v>
      </c>
      <c r="G40" s="455" t="s">
        <v>340</v>
      </c>
      <c r="H40" s="386" t="s">
        <v>182</v>
      </c>
      <c r="I40" s="485">
        <v>0.62029999999999996</v>
      </c>
      <c r="J40" s="492"/>
      <c r="K40" s="492" t="s">
        <v>248</v>
      </c>
      <c r="L40" s="323" t="str">
        <f t="shared" si="7"/>
        <v>ResidentialLibertyCurrent RatesCost of Gas ChargeWinter Rate$/Therm</v>
      </c>
      <c r="M40" s="493" t="s">
        <v>17</v>
      </c>
      <c r="N40" s="497"/>
    </row>
    <row r="41" spans="2:14" s="59" customFormat="1" hidden="1" x14ac:dyDescent="0.25">
      <c r="B41" t="str">
        <f>Lookups!$D$31</f>
        <v>Liberty</v>
      </c>
      <c r="C41" t="str">
        <f>Lookups!$D$26</f>
        <v>Residential</v>
      </c>
      <c r="D41" s="386" t="s">
        <v>46</v>
      </c>
      <c r="E41" s="455" t="s">
        <v>183</v>
      </c>
      <c r="F41" s="455" t="str">
        <f>E41</f>
        <v>Cost of Gas Charge</v>
      </c>
      <c r="G41" s="455" t="s">
        <v>341</v>
      </c>
      <c r="H41" s="386" t="s">
        <v>182</v>
      </c>
      <c r="I41" s="674">
        <f>I40</f>
        <v>0.62029999999999996</v>
      </c>
      <c r="J41" s="650"/>
      <c r="K41" s="657"/>
      <c r="L41" s="323" t="str">
        <f>C41&amp;B41&amp;D41&amp;E41&amp;G41&amp;H41</f>
        <v>ResidentialLibertyCurrent RatesCost of Gas ChargeSummer Rate$/Therm</v>
      </c>
      <c r="M41" s="493" t="s">
        <v>17</v>
      </c>
      <c r="N41" s="675" t="s">
        <v>357</v>
      </c>
    </row>
    <row r="42" spans="2:14" s="59" customFormat="1" hidden="1" x14ac:dyDescent="0.25">
      <c r="B42" t="str">
        <f>Lookups!$D$31</f>
        <v>Liberty</v>
      </c>
      <c r="C42" t="str">
        <f>Lookups!$D$26</f>
        <v>Residential</v>
      </c>
      <c r="D42" s="386" t="s">
        <v>46</v>
      </c>
      <c r="E42" s="455" t="s">
        <v>183</v>
      </c>
      <c r="F42" s="455" t="str">
        <f t="shared" si="6"/>
        <v>Cost of Gas Charge</v>
      </c>
      <c r="G42" s="251" t="s">
        <v>61</v>
      </c>
      <c r="H42" s="251" t="s">
        <v>16</v>
      </c>
      <c r="I42" s="251">
        <v>0</v>
      </c>
      <c r="J42" s="324" t="s">
        <v>177</v>
      </c>
      <c r="K42" s="324"/>
      <c r="L42" s="323" t="str">
        <f t="shared" si="7"/>
        <v>ResidentialLibertyCurrent RatesCost of Gas ChargeAnnual Rate Change%</v>
      </c>
      <c r="M42" s="493" t="s">
        <v>17</v>
      </c>
      <c r="N42" s="497"/>
    </row>
    <row r="43" spans="2:14" s="59" customFormat="1" hidden="1" x14ac:dyDescent="0.25">
      <c r="B43" t="str">
        <f>Lookups!$D$31</f>
        <v>Liberty</v>
      </c>
      <c r="C43" t="str">
        <f>Lookups!$D$27</f>
        <v>Low-Income</v>
      </c>
      <c r="D43" s="386" t="s">
        <v>29</v>
      </c>
      <c r="E43" s="455" t="s">
        <v>27</v>
      </c>
      <c r="F43" s="455" t="str">
        <f t="shared" si="0"/>
        <v>Rate Class</v>
      </c>
      <c r="G43" s="455" t="s">
        <v>128</v>
      </c>
      <c r="H43" s="251" t="s">
        <v>140</v>
      </c>
      <c r="I43" s="485" t="s">
        <v>184</v>
      </c>
      <c r="J43" s="492" t="s">
        <v>185</v>
      </c>
      <c r="K43" s="492" t="s">
        <v>180</v>
      </c>
      <c r="L43" s="323" t="str">
        <f t="shared" si="1"/>
        <v>Low-IncomeLibertyRate Class DataRate ClassRate NameName</v>
      </c>
      <c r="M43" s="493" t="s">
        <v>17</v>
      </c>
      <c r="N43" s="497"/>
    </row>
    <row r="44" spans="2:14" s="59" customFormat="1" hidden="1" x14ac:dyDescent="0.25">
      <c r="B44" t="str">
        <f>Lookups!$D$31</f>
        <v>Liberty</v>
      </c>
      <c r="C44" t="str">
        <f>Lookups!$D$27</f>
        <v>Low-Income</v>
      </c>
      <c r="D44" s="386" t="s">
        <v>29</v>
      </c>
      <c r="E44" s="455" t="s">
        <v>3</v>
      </c>
      <c r="F44" s="455" t="str">
        <f t="shared" si="0"/>
        <v>Customers</v>
      </c>
      <c r="G44" s="454" t="s">
        <v>3</v>
      </c>
      <c r="H44" s="454" t="s">
        <v>48</v>
      </c>
      <c r="I44" s="459">
        <v>5826.1944158878568</v>
      </c>
      <c r="J44" s="495"/>
      <c r="K44" s="495" t="s">
        <v>64</v>
      </c>
      <c r="L44" s="323" t="str">
        <f t="shared" si="1"/>
        <v>Low-IncomeLibertyRate Class DataCustomersCustomersAccounts</v>
      </c>
      <c r="M44" s="493" t="s">
        <v>17</v>
      </c>
      <c r="N44" s="497"/>
    </row>
    <row r="45" spans="2:14" s="59" customFormat="1" hidden="1" x14ac:dyDescent="0.25">
      <c r="B45" t="str">
        <f>Lookups!$D$31</f>
        <v>Liberty</v>
      </c>
      <c r="C45" t="str">
        <f>Lookups!$D$27</f>
        <v>Low-Income</v>
      </c>
      <c r="D45" s="386" t="s">
        <v>29</v>
      </c>
      <c r="E45" s="455" t="s">
        <v>3</v>
      </c>
      <c r="F45" s="455" t="str">
        <f t="shared" si="0"/>
        <v>Customers</v>
      </c>
      <c r="G45" s="251" t="s">
        <v>15</v>
      </c>
      <c r="H45" s="251" t="s">
        <v>15</v>
      </c>
      <c r="I45" s="324">
        <v>2018</v>
      </c>
      <c r="J45" s="495"/>
      <c r="K45" s="495" t="s">
        <v>64</v>
      </c>
      <c r="L45" s="323" t="str">
        <f t="shared" si="1"/>
        <v>Low-IncomeLibertyRate Class DataCustomersYearYear</v>
      </c>
      <c r="M45" s="493" t="s">
        <v>17</v>
      </c>
      <c r="N45" s="497"/>
    </row>
    <row r="46" spans="2:14" s="59" customFormat="1" hidden="1" x14ac:dyDescent="0.25">
      <c r="B46" t="str">
        <f>Lookups!$D$31</f>
        <v>Liberty</v>
      </c>
      <c r="C46" t="str">
        <f>Lookups!$D$27</f>
        <v>Low-Income</v>
      </c>
      <c r="D46" s="386" t="s">
        <v>29</v>
      </c>
      <c r="E46" s="455" t="s">
        <v>3</v>
      </c>
      <c r="F46" s="455" t="str">
        <f t="shared" si="0"/>
        <v>Customers</v>
      </c>
      <c r="G46" s="251" t="s">
        <v>44</v>
      </c>
      <c r="H46" s="251" t="s">
        <v>16</v>
      </c>
      <c r="I46" s="251">
        <v>0</v>
      </c>
      <c r="J46" s="324" t="s">
        <v>177</v>
      </c>
      <c r="K46" s="324"/>
      <c r="L46" s="323" t="str">
        <f t="shared" si="1"/>
        <v>Low-IncomeLibertyRate Class DataCustomersAnnual Growth Rate%</v>
      </c>
      <c r="M46" s="493" t="s">
        <v>17</v>
      </c>
      <c r="N46" s="497"/>
    </row>
    <row r="47" spans="2:14" s="59" customFormat="1" hidden="1" x14ac:dyDescent="0.25">
      <c r="B47" t="str">
        <f>Lookups!$D$31</f>
        <v>Liberty</v>
      </c>
      <c r="C47" t="str">
        <f>Lookups!$D$27</f>
        <v>Low-Income</v>
      </c>
      <c r="D47" s="386" t="s">
        <v>29</v>
      </c>
      <c r="E47" s="455" t="s">
        <v>4</v>
      </c>
      <c r="F47" s="455" t="str">
        <f t="shared" si="0"/>
        <v>Sales</v>
      </c>
      <c r="G47" s="454" t="s">
        <v>313</v>
      </c>
      <c r="H47" s="454" t="s">
        <v>195</v>
      </c>
      <c r="I47" s="663">
        <v>4673617.4897935251</v>
      </c>
      <c r="J47" s="650"/>
      <c r="K47" s="650" t="s">
        <v>64</v>
      </c>
      <c r="L47" s="323" t="str">
        <f t="shared" ref="L47:L49" si="8">C47&amp;B47&amp;D47&amp;E47&amp;G47&amp;H47</f>
        <v>Low-IncomeLibertyRate Class DataSalesWinter SalesTherms</v>
      </c>
      <c r="M47" s="493" t="s">
        <v>17</v>
      </c>
      <c r="N47" s="675" t="s">
        <v>356</v>
      </c>
    </row>
    <row r="48" spans="2:14" s="59" customFormat="1" hidden="1" x14ac:dyDescent="0.25">
      <c r="B48" t="str">
        <f>Lookups!$D$31</f>
        <v>Liberty</v>
      </c>
      <c r="C48" t="str">
        <f>Lookups!$D$27</f>
        <v>Low-Income</v>
      </c>
      <c r="D48" s="386" t="s">
        <v>29</v>
      </c>
      <c r="E48" s="455" t="s">
        <v>4</v>
      </c>
      <c r="F48" s="455" t="str">
        <f t="shared" si="0"/>
        <v>Sales</v>
      </c>
      <c r="G48" s="454" t="s">
        <v>314</v>
      </c>
      <c r="H48" s="454" t="s">
        <v>195</v>
      </c>
      <c r="I48" s="663"/>
      <c r="J48" s="650"/>
      <c r="K48" s="650"/>
      <c r="L48" s="323" t="str">
        <f t="shared" si="8"/>
        <v>Low-IncomeLibertyRate Class DataSalesSummer SalesTherms</v>
      </c>
      <c r="M48" s="493" t="s">
        <v>17</v>
      </c>
      <c r="N48" s="675" t="s">
        <v>357</v>
      </c>
    </row>
    <row r="49" spans="1:14" s="59" customFormat="1" hidden="1" x14ac:dyDescent="0.25">
      <c r="B49" t="str">
        <f>Lookups!$D$31</f>
        <v>Liberty</v>
      </c>
      <c r="C49" t="str">
        <f>Lookups!$D$27</f>
        <v>Low-Income</v>
      </c>
      <c r="D49" s="386" t="s">
        <v>29</v>
      </c>
      <c r="E49" s="455" t="s">
        <v>4</v>
      </c>
      <c r="F49" s="455" t="str">
        <f t="shared" si="0"/>
        <v>Sales</v>
      </c>
      <c r="G49" s="251" t="s">
        <v>15</v>
      </c>
      <c r="H49" s="251" t="s">
        <v>15</v>
      </c>
      <c r="I49" s="324">
        <v>2018</v>
      </c>
      <c r="J49" s="495"/>
      <c r="K49" s="495" t="s">
        <v>64</v>
      </c>
      <c r="L49" s="323" t="str">
        <f t="shared" si="8"/>
        <v>Low-IncomeLibertyRate Class DataSalesYearYear</v>
      </c>
      <c r="M49" s="493" t="s">
        <v>17</v>
      </c>
      <c r="N49" s="487"/>
    </row>
    <row r="50" spans="1:14" s="59" customFormat="1" hidden="1" x14ac:dyDescent="0.25">
      <c r="B50" t="str">
        <f>Lookups!$D$31</f>
        <v>Liberty</v>
      </c>
      <c r="C50" t="str">
        <f>Lookups!$D$27</f>
        <v>Low-Income</v>
      </c>
      <c r="D50" s="386" t="s">
        <v>29</v>
      </c>
      <c r="E50" s="455" t="s">
        <v>4</v>
      </c>
      <c r="F50" s="455" t="str">
        <f t="shared" si="0"/>
        <v>Sales</v>
      </c>
      <c r="G50" s="251" t="s">
        <v>44</v>
      </c>
      <c r="H50" s="251" t="s">
        <v>16</v>
      </c>
      <c r="I50" s="251">
        <v>0</v>
      </c>
      <c r="J50" s="324" t="s">
        <v>177</v>
      </c>
      <c r="K50" s="324"/>
      <c r="L50" s="323" t="str">
        <f t="shared" si="1"/>
        <v>Low-IncomeLibertyRate Class DataSalesAnnual Growth Rate%</v>
      </c>
      <c r="M50" s="493" t="s">
        <v>17</v>
      </c>
      <c r="N50" s="487"/>
    </row>
    <row r="51" spans="1:14" s="107" customFormat="1" hidden="1" x14ac:dyDescent="0.25">
      <c r="B51" t="str">
        <f>Lookups!$D$31</f>
        <v>Liberty</v>
      </c>
      <c r="C51" t="str">
        <f>Lookups!$D$27</f>
        <v>Low-Income</v>
      </c>
      <c r="D51" s="386" t="s">
        <v>29</v>
      </c>
      <c r="E51" s="386" t="s">
        <v>300</v>
      </c>
      <c r="F51" s="455" t="str">
        <f t="shared" si="0"/>
        <v>Average Annual Usage</v>
      </c>
      <c r="G51" s="386" t="s">
        <v>302</v>
      </c>
      <c r="H51" s="454" t="s">
        <v>195</v>
      </c>
      <c r="I51" s="459">
        <f>I14</f>
        <v>666</v>
      </c>
      <c r="J51" s="495" t="s">
        <v>191</v>
      </c>
      <c r="K51" s="324" t="str">
        <f>K14</f>
        <v>File name: LU - Rate Schedules - Gas COG filing</v>
      </c>
      <c r="L51" s="323" t="str">
        <f t="shared" si="1"/>
        <v>Low-IncomeLibertyRate Class DataAverage Annual UsageWinter UsageTherms</v>
      </c>
      <c r="M51" s="493" t="s">
        <v>17</v>
      </c>
      <c r="N51" s="488"/>
    </row>
    <row r="52" spans="1:14" s="321" customFormat="1" hidden="1" x14ac:dyDescent="0.25">
      <c r="B52" t="str">
        <f>Lookups!$D$31</f>
        <v>Liberty</v>
      </c>
      <c r="C52" t="str">
        <f>Lookups!$D$27</f>
        <v>Low-Income</v>
      </c>
      <c r="D52" s="386" t="s">
        <v>29</v>
      </c>
      <c r="E52" s="386" t="s">
        <v>300</v>
      </c>
      <c r="F52" s="455" t="str">
        <f t="shared" si="0"/>
        <v>Average Annual Usage</v>
      </c>
      <c r="G52" s="386" t="s">
        <v>301</v>
      </c>
      <c r="H52" s="454" t="s">
        <v>195</v>
      </c>
      <c r="I52" s="459">
        <f>I15</f>
        <v>0</v>
      </c>
      <c r="J52" s="495" t="s">
        <v>191</v>
      </c>
      <c r="K52" s="324">
        <f>K15</f>
        <v>0</v>
      </c>
      <c r="L52" s="323" t="str">
        <f t="shared" si="1"/>
        <v>Low-IncomeLibertyRate Class DataAverage Annual UsageSummer UsageTherms</v>
      </c>
      <c r="M52" s="493" t="s">
        <v>17</v>
      </c>
      <c r="N52" s="673"/>
    </row>
    <row r="53" spans="1:14" s="60" customFormat="1" hidden="1" x14ac:dyDescent="0.25">
      <c r="A53" s="261"/>
      <c r="B53" t="str">
        <f>Lookups!$D$31</f>
        <v>Liberty</v>
      </c>
      <c r="C53" t="str">
        <f>Lookups!$D$27</f>
        <v>Low-Income</v>
      </c>
      <c r="D53" s="386" t="s">
        <v>29</v>
      </c>
      <c r="E53" s="455" t="s">
        <v>129</v>
      </c>
      <c r="F53" s="455" t="s">
        <v>305</v>
      </c>
      <c r="G53" s="386" t="s">
        <v>50</v>
      </c>
      <c r="H53" s="454" t="s">
        <v>195</v>
      </c>
      <c r="I53" s="485"/>
      <c r="J53" s="492" t="s">
        <v>202</v>
      </c>
      <c r="K53" s="492"/>
      <c r="L53" s="658" t="str">
        <f t="shared" ref="L53:L62" si="9">C53&amp;B53&amp;D53&amp;E53&amp;F53&amp;G53&amp;H53</f>
        <v>Low-IncomeLibertyRate Class DataRate Type DataWinterFirst Block MaximumTherms</v>
      </c>
      <c r="M53" s="493" t="s">
        <v>17</v>
      </c>
      <c r="N53" s="498"/>
    </row>
    <row r="54" spans="1:14" hidden="1" x14ac:dyDescent="0.25">
      <c r="B54" t="str">
        <f>Lookups!$D$31</f>
        <v>Liberty</v>
      </c>
      <c r="C54" t="str">
        <f>Lookups!$D$27</f>
        <v>Low-Income</v>
      </c>
      <c r="D54" s="386" t="s">
        <v>29</v>
      </c>
      <c r="E54" s="455" t="s">
        <v>129</v>
      </c>
      <c r="F54" s="455" t="s">
        <v>305</v>
      </c>
      <c r="G54" s="386" t="s">
        <v>49</v>
      </c>
      <c r="H54" s="454" t="s">
        <v>195</v>
      </c>
      <c r="I54" s="485"/>
      <c r="J54" s="492" t="s">
        <v>202</v>
      </c>
      <c r="K54" s="492"/>
      <c r="L54" s="658" t="str">
        <f t="shared" si="9"/>
        <v>Low-IncomeLibertyRate Class DataRate Type DataWinterSecond Block MaximumTherms</v>
      </c>
      <c r="M54" s="493" t="s">
        <v>17</v>
      </c>
      <c r="N54" s="493"/>
    </row>
    <row r="55" spans="1:14" hidden="1" x14ac:dyDescent="0.25">
      <c r="B55" t="str">
        <f>Lookups!$D$31</f>
        <v>Liberty</v>
      </c>
      <c r="C55" t="str">
        <f>Lookups!$D$27</f>
        <v>Low-Income</v>
      </c>
      <c r="D55" s="386" t="s">
        <v>29</v>
      </c>
      <c r="E55" s="455" t="s">
        <v>129</v>
      </c>
      <c r="F55" s="455" t="s">
        <v>305</v>
      </c>
      <c r="G55" s="386" t="s">
        <v>130</v>
      </c>
      <c r="H55" s="454" t="s">
        <v>195</v>
      </c>
      <c r="I55" s="485"/>
      <c r="J55" s="492" t="s">
        <v>202</v>
      </c>
      <c r="K55" s="492"/>
      <c r="L55" s="658" t="str">
        <f t="shared" si="9"/>
        <v>Low-IncomeLibertyRate Class DataRate Type DataWinterFirst Block Billing DeterminantsTherms</v>
      </c>
      <c r="M55" s="493" t="s">
        <v>17</v>
      </c>
      <c r="N55" s="493"/>
    </row>
    <row r="56" spans="1:14" s="59" customFormat="1" hidden="1" x14ac:dyDescent="0.25">
      <c r="B56" t="str">
        <f>Lookups!$D$31</f>
        <v>Liberty</v>
      </c>
      <c r="C56" t="str">
        <f>Lookups!$D$27</f>
        <v>Low-Income</v>
      </c>
      <c r="D56" s="386" t="s">
        <v>29</v>
      </c>
      <c r="E56" s="455" t="s">
        <v>129</v>
      </c>
      <c r="F56" s="455" t="s">
        <v>305</v>
      </c>
      <c r="G56" s="386" t="s">
        <v>131</v>
      </c>
      <c r="H56" s="454" t="s">
        <v>195</v>
      </c>
      <c r="I56" s="485"/>
      <c r="J56" s="492" t="s">
        <v>202</v>
      </c>
      <c r="K56" s="492"/>
      <c r="L56" s="658" t="str">
        <f t="shared" si="9"/>
        <v>Low-IncomeLibertyRate Class DataRate Type DataWinterSecond Block Billing DeterminantsTherms</v>
      </c>
      <c r="M56" s="493" t="s">
        <v>17</v>
      </c>
      <c r="N56" s="497"/>
    </row>
    <row r="57" spans="1:14" s="59" customFormat="1" hidden="1" x14ac:dyDescent="0.25">
      <c r="B57" t="str">
        <f>Lookups!$D$31</f>
        <v>Liberty</v>
      </c>
      <c r="C57" t="str">
        <f>Lookups!$D$27</f>
        <v>Low-Income</v>
      </c>
      <c r="D57" s="386" t="s">
        <v>29</v>
      </c>
      <c r="E57" s="455" t="s">
        <v>129</v>
      </c>
      <c r="F57" s="455" t="s">
        <v>305</v>
      </c>
      <c r="G57" s="386" t="s">
        <v>132</v>
      </c>
      <c r="H57" s="454" t="s">
        <v>195</v>
      </c>
      <c r="I57" s="485"/>
      <c r="J57" s="492" t="s">
        <v>202</v>
      </c>
      <c r="K57" s="492"/>
      <c r="L57" s="658" t="str">
        <f t="shared" si="9"/>
        <v>Low-IncomeLibertyRate Class DataRate Type DataWinterRemaining Billing DeterminantsTherms</v>
      </c>
      <c r="M57" s="493" t="s">
        <v>17</v>
      </c>
      <c r="N57" s="497"/>
    </row>
    <row r="58" spans="1:14" hidden="1" x14ac:dyDescent="0.25">
      <c r="B58" t="str">
        <f>Lookups!$D$31</f>
        <v>Liberty</v>
      </c>
      <c r="C58" t="str">
        <f>Lookups!$D$27</f>
        <v>Low-Income</v>
      </c>
      <c r="D58" s="386" t="s">
        <v>29</v>
      </c>
      <c r="E58" s="455" t="s">
        <v>129</v>
      </c>
      <c r="F58" s="455" t="s">
        <v>306</v>
      </c>
      <c r="G58" s="386" t="s">
        <v>50</v>
      </c>
      <c r="H58" s="454" t="s">
        <v>195</v>
      </c>
      <c r="I58" s="485"/>
      <c r="J58" s="492" t="s">
        <v>202</v>
      </c>
      <c r="K58" s="492"/>
      <c r="L58" s="658" t="str">
        <f t="shared" si="9"/>
        <v>Low-IncomeLibertyRate Class DataRate Type DataSummerFirst Block MaximumTherms</v>
      </c>
      <c r="M58" s="493" t="s">
        <v>17</v>
      </c>
      <c r="N58" s="493"/>
    </row>
    <row r="59" spans="1:14" hidden="1" x14ac:dyDescent="0.25">
      <c r="B59" t="str">
        <f>Lookups!$D$31</f>
        <v>Liberty</v>
      </c>
      <c r="C59" t="str">
        <f>Lookups!$D$27</f>
        <v>Low-Income</v>
      </c>
      <c r="D59" s="386" t="s">
        <v>29</v>
      </c>
      <c r="E59" s="455" t="s">
        <v>129</v>
      </c>
      <c r="F59" s="455" t="s">
        <v>306</v>
      </c>
      <c r="G59" s="386" t="s">
        <v>49</v>
      </c>
      <c r="H59" s="454" t="s">
        <v>195</v>
      </c>
      <c r="I59" s="485"/>
      <c r="J59" s="492" t="s">
        <v>202</v>
      </c>
      <c r="K59" s="492"/>
      <c r="L59" s="658" t="str">
        <f t="shared" si="9"/>
        <v>Low-IncomeLibertyRate Class DataRate Type DataSummerSecond Block MaximumTherms</v>
      </c>
      <c r="M59" s="493" t="s">
        <v>17</v>
      </c>
      <c r="N59" s="493"/>
    </row>
    <row r="60" spans="1:14" hidden="1" x14ac:dyDescent="0.25">
      <c r="A60" s="318"/>
      <c r="B60" t="str">
        <f>Lookups!$D$31</f>
        <v>Liberty</v>
      </c>
      <c r="C60" t="str">
        <f>Lookups!$D$27</f>
        <v>Low-Income</v>
      </c>
      <c r="D60" s="386" t="s">
        <v>29</v>
      </c>
      <c r="E60" s="455" t="s">
        <v>129</v>
      </c>
      <c r="F60" s="455" t="s">
        <v>306</v>
      </c>
      <c r="G60" s="386" t="s">
        <v>130</v>
      </c>
      <c r="H60" s="454" t="s">
        <v>195</v>
      </c>
      <c r="I60" s="485"/>
      <c r="J60" s="492" t="s">
        <v>202</v>
      </c>
      <c r="K60" s="492"/>
      <c r="L60" s="658" t="str">
        <f t="shared" si="9"/>
        <v>Low-IncomeLibertyRate Class DataRate Type DataSummerFirst Block Billing DeterminantsTherms</v>
      </c>
      <c r="M60" s="493" t="s">
        <v>17</v>
      </c>
      <c r="N60" s="493"/>
    </row>
    <row r="61" spans="1:14" s="59" customFormat="1" hidden="1" x14ac:dyDescent="0.25">
      <c r="B61" t="str">
        <f>Lookups!$D$31</f>
        <v>Liberty</v>
      </c>
      <c r="C61" t="str">
        <f>Lookups!$D$27</f>
        <v>Low-Income</v>
      </c>
      <c r="D61" s="386" t="s">
        <v>29</v>
      </c>
      <c r="E61" s="455" t="s">
        <v>129</v>
      </c>
      <c r="F61" s="455" t="s">
        <v>306</v>
      </c>
      <c r="G61" s="386" t="s">
        <v>131</v>
      </c>
      <c r="H61" s="454" t="s">
        <v>195</v>
      </c>
      <c r="I61" s="485"/>
      <c r="J61" s="492" t="s">
        <v>202</v>
      </c>
      <c r="K61" s="492"/>
      <c r="L61" s="658" t="str">
        <f t="shared" si="9"/>
        <v>Low-IncomeLibertyRate Class DataRate Type DataSummerSecond Block Billing DeterminantsTherms</v>
      </c>
      <c r="M61" s="493" t="s">
        <v>17</v>
      </c>
      <c r="N61" s="497"/>
    </row>
    <row r="62" spans="1:14" s="59" customFormat="1" hidden="1" x14ac:dyDescent="0.25">
      <c r="B62" t="str">
        <f>Lookups!$D$31</f>
        <v>Liberty</v>
      </c>
      <c r="C62" t="str">
        <f>Lookups!$D$27</f>
        <v>Low-Income</v>
      </c>
      <c r="D62" s="386" t="s">
        <v>29</v>
      </c>
      <c r="E62" s="455" t="s">
        <v>129</v>
      </c>
      <c r="F62" s="455" t="s">
        <v>306</v>
      </c>
      <c r="G62" s="386" t="s">
        <v>132</v>
      </c>
      <c r="H62" s="454" t="s">
        <v>195</v>
      </c>
      <c r="I62" s="485"/>
      <c r="J62" s="492" t="s">
        <v>202</v>
      </c>
      <c r="K62" s="492"/>
      <c r="L62" s="658" t="str">
        <f t="shared" si="9"/>
        <v>Low-IncomeLibertyRate Class DataRate Type DataSummerRemaining Billing DeterminantsTherms</v>
      </c>
      <c r="M62" s="493" t="s">
        <v>17</v>
      </c>
      <c r="N62" s="497"/>
    </row>
    <row r="63" spans="1:14" s="59" customFormat="1" hidden="1" x14ac:dyDescent="0.25">
      <c r="B63" t="str">
        <f>Lookups!$D$31</f>
        <v>Liberty</v>
      </c>
      <c r="C63" t="str">
        <f>Lookups!$D$27</f>
        <v>Low-Income</v>
      </c>
      <c r="D63" s="386" t="s">
        <v>46</v>
      </c>
      <c r="E63" s="455" t="s">
        <v>33</v>
      </c>
      <c r="F63" s="455" t="s">
        <v>305</v>
      </c>
      <c r="G63" s="386" t="s">
        <v>75</v>
      </c>
      <c r="H63" s="386" t="s">
        <v>31</v>
      </c>
      <c r="I63" s="457">
        <v>6.08</v>
      </c>
      <c r="J63" s="492"/>
      <c r="K63" s="492" t="s">
        <v>180</v>
      </c>
      <c r="L63" s="323" t="str">
        <f t="shared" si="1"/>
        <v>Low-IncomeLibertyCurrent RatesCustomer or Meter ChargeCustomer Charge$/month</v>
      </c>
      <c r="M63" s="493" t="s">
        <v>17</v>
      </c>
      <c r="N63" s="497"/>
    </row>
    <row r="64" spans="1:14" s="59" customFormat="1" hidden="1" x14ac:dyDescent="0.25">
      <c r="B64" t="str">
        <f>Lookups!$D$31</f>
        <v>Liberty</v>
      </c>
      <c r="C64" t="str">
        <f>Lookups!$D$27</f>
        <v>Low-Income</v>
      </c>
      <c r="D64" s="386" t="s">
        <v>46</v>
      </c>
      <c r="E64" s="455" t="s">
        <v>33</v>
      </c>
      <c r="F64" s="455" t="s">
        <v>305</v>
      </c>
      <c r="G64" s="251" t="s">
        <v>61</v>
      </c>
      <c r="H64" s="251" t="s">
        <v>16</v>
      </c>
      <c r="I64" s="251">
        <v>0</v>
      </c>
      <c r="J64" s="324" t="s">
        <v>177</v>
      </c>
      <c r="K64" s="324"/>
      <c r="L64" s="323" t="str">
        <f t="shared" si="1"/>
        <v>Low-IncomeLibertyCurrent RatesCustomer or Meter ChargeAnnual Rate Change%</v>
      </c>
      <c r="M64" s="493" t="s">
        <v>17</v>
      </c>
      <c r="N64" s="497"/>
    </row>
    <row r="65" spans="1:14" s="322" customFormat="1" x14ac:dyDescent="0.25">
      <c r="A65" s="261"/>
      <c r="B65" t="str">
        <f>Lookups!$D$31</f>
        <v>Liberty</v>
      </c>
      <c r="C65" t="str">
        <f>Lookups!$D$27</f>
        <v>Low-Income</v>
      </c>
      <c r="D65" s="386" t="s">
        <v>46</v>
      </c>
      <c r="E65" s="455" t="s">
        <v>126</v>
      </c>
      <c r="F65" s="455" t="s">
        <v>305</v>
      </c>
      <c r="G65" s="386" t="s">
        <v>228</v>
      </c>
      <c r="H65" s="386" t="s">
        <v>182</v>
      </c>
      <c r="I65" s="485">
        <v>0.2228</v>
      </c>
      <c r="J65" s="492"/>
      <c r="K65" s="492" t="s">
        <v>180</v>
      </c>
      <c r="L65" s="658" t="str">
        <f t="shared" ref="L65:L73" si="10">C65&amp;B65&amp;D65&amp;E65&amp;F65&amp;G65&amp;H65</f>
        <v>Low-IncomeLibertyCurrent RatesDistribution ChargesWinterTotal (no blocks)$/Therm</v>
      </c>
      <c r="M65" s="493" t="s">
        <v>17</v>
      </c>
      <c r="N65" s="499"/>
    </row>
    <row r="66" spans="1:14" hidden="1" x14ac:dyDescent="0.25">
      <c r="A66" s="318"/>
      <c r="B66" t="str">
        <f>Lookups!$D$31</f>
        <v>Liberty</v>
      </c>
      <c r="C66" t="str">
        <f>Lookups!$D$27</f>
        <v>Low-Income</v>
      </c>
      <c r="D66" s="386" t="s">
        <v>46</v>
      </c>
      <c r="E66" s="455" t="s">
        <v>126</v>
      </c>
      <c r="F66" s="455" t="s">
        <v>305</v>
      </c>
      <c r="G66" s="386" t="s">
        <v>122</v>
      </c>
      <c r="H66" s="386" t="s">
        <v>182</v>
      </c>
      <c r="I66" s="485"/>
      <c r="J66" s="492" t="s">
        <v>202</v>
      </c>
      <c r="K66" s="492"/>
      <c r="L66" s="658" t="str">
        <f t="shared" si="10"/>
        <v>Low-IncomeLibertyCurrent RatesDistribution ChargesWinterFirst Block$/Therm</v>
      </c>
      <c r="M66" s="493" t="s">
        <v>17</v>
      </c>
      <c r="N66" s="493"/>
    </row>
    <row r="67" spans="1:14" hidden="1" x14ac:dyDescent="0.25">
      <c r="B67" t="str">
        <f>Lookups!$D$31</f>
        <v>Liberty</v>
      </c>
      <c r="C67" t="str">
        <f>Lookups!$D$27</f>
        <v>Low-Income</v>
      </c>
      <c r="D67" s="386" t="s">
        <v>46</v>
      </c>
      <c r="E67" s="455" t="s">
        <v>126</v>
      </c>
      <c r="F67" s="455" t="s">
        <v>305</v>
      </c>
      <c r="G67" s="386" t="s">
        <v>123</v>
      </c>
      <c r="H67" s="386" t="s">
        <v>182</v>
      </c>
      <c r="I67" s="485"/>
      <c r="J67" s="492" t="s">
        <v>202</v>
      </c>
      <c r="K67" s="492"/>
      <c r="L67" s="658" t="str">
        <f t="shared" si="10"/>
        <v>Low-IncomeLibertyCurrent RatesDistribution ChargesWinterSecond Block$/Therm</v>
      </c>
      <c r="M67" s="493" t="s">
        <v>17</v>
      </c>
      <c r="N67" s="493"/>
    </row>
    <row r="68" spans="1:14" hidden="1" x14ac:dyDescent="0.25">
      <c r="B68" t="str">
        <f>Lookups!$D$31</f>
        <v>Liberty</v>
      </c>
      <c r="C68" t="str">
        <f>Lookups!$D$27</f>
        <v>Low-Income</v>
      </c>
      <c r="D68" s="386" t="s">
        <v>46</v>
      </c>
      <c r="E68" s="455" t="s">
        <v>126</v>
      </c>
      <c r="F68" s="455" t="s">
        <v>305</v>
      </c>
      <c r="G68" s="386" t="s">
        <v>47</v>
      </c>
      <c r="H68" s="386" t="s">
        <v>182</v>
      </c>
      <c r="I68" s="485"/>
      <c r="J68" s="492" t="s">
        <v>202</v>
      </c>
      <c r="K68" s="492"/>
      <c r="L68" s="658" t="str">
        <f t="shared" si="10"/>
        <v>Low-IncomeLibertyCurrent RatesDistribution ChargesWinterThird Block$/Therm</v>
      </c>
      <c r="M68" s="493" t="s">
        <v>17</v>
      </c>
      <c r="N68" s="493"/>
    </row>
    <row r="69" spans="1:14" s="59" customFormat="1" x14ac:dyDescent="0.25">
      <c r="B69" t="str">
        <f>Lookups!$D$31</f>
        <v>Liberty</v>
      </c>
      <c r="C69" t="str">
        <f>Lookups!$D$27</f>
        <v>Low-Income</v>
      </c>
      <c r="D69" s="386" t="s">
        <v>46</v>
      </c>
      <c r="E69" s="455" t="s">
        <v>126</v>
      </c>
      <c r="F69" s="455" t="str">
        <f>E69</f>
        <v>Distribution Charges</v>
      </c>
      <c r="G69" s="251" t="s">
        <v>61</v>
      </c>
      <c r="H69" s="251" t="s">
        <v>16</v>
      </c>
      <c r="I69" s="251">
        <v>0</v>
      </c>
      <c r="J69" s="324" t="s">
        <v>177</v>
      </c>
      <c r="K69" s="324"/>
      <c r="L69" s="323" t="str">
        <f>C69&amp;B69&amp;D69&amp;E69&amp;G69&amp;H69</f>
        <v>Low-IncomeLibertyCurrent RatesDistribution ChargesAnnual Rate Change%</v>
      </c>
      <c r="M69" s="493" t="s">
        <v>17</v>
      </c>
      <c r="N69" s="493"/>
    </row>
    <row r="70" spans="1:14" s="59" customFormat="1" x14ac:dyDescent="0.25">
      <c r="B70" t="str">
        <f>Lookups!$D$31</f>
        <v>Liberty</v>
      </c>
      <c r="C70" t="str">
        <f>Lookups!$D$27</f>
        <v>Low-Income</v>
      </c>
      <c r="D70" s="386" t="s">
        <v>46</v>
      </c>
      <c r="E70" s="455" t="s">
        <v>126</v>
      </c>
      <c r="F70" s="455" t="s">
        <v>306</v>
      </c>
      <c r="G70" s="386" t="s">
        <v>228</v>
      </c>
      <c r="H70" s="386" t="s">
        <v>182</v>
      </c>
      <c r="I70" s="674">
        <f>I65</f>
        <v>0.2228</v>
      </c>
      <c r="J70" s="650"/>
      <c r="K70" s="657"/>
      <c r="L70" s="658" t="str">
        <f t="shared" si="10"/>
        <v>Low-IncomeLibertyCurrent RatesDistribution ChargesSummerTotal (no blocks)$/Therm</v>
      </c>
      <c r="M70" s="493" t="s">
        <v>17</v>
      </c>
      <c r="N70" s="675" t="s">
        <v>357</v>
      </c>
    </row>
    <row r="71" spans="1:14" s="59" customFormat="1" hidden="1" x14ac:dyDescent="0.25">
      <c r="B71" t="str">
        <f>Lookups!$D$31</f>
        <v>Liberty</v>
      </c>
      <c r="C71" t="str">
        <f>Lookups!$D$27</f>
        <v>Low-Income</v>
      </c>
      <c r="D71" s="386" t="s">
        <v>46</v>
      </c>
      <c r="E71" s="455" t="s">
        <v>126</v>
      </c>
      <c r="F71" s="455" t="s">
        <v>306</v>
      </c>
      <c r="G71" s="386" t="s">
        <v>122</v>
      </c>
      <c r="H71" s="386" t="s">
        <v>182</v>
      </c>
      <c r="I71" s="485"/>
      <c r="J71" s="492" t="s">
        <v>202</v>
      </c>
      <c r="K71" s="492"/>
      <c r="L71" s="658" t="str">
        <f t="shared" si="10"/>
        <v>Low-IncomeLibertyCurrent RatesDistribution ChargesSummerFirst Block$/Therm</v>
      </c>
      <c r="M71" s="493" t="s">
        <v>17</v>
      </c>
      <c r="N71" s="497"/>
    </row>
    <row r="72" spans="1:14" s="59" customFormat="1" hidden="1" x14ac:dyDescent="0.25">
      <c r="B72" t="str">
        <f>Lookups!$D$31</f>
        <v>Liberty</v>
      </c>
      <c r="C72" t="str">
        <f>Lookups!$D$27</f>
        <v>Low-Income</v>
      </c>
      <c r="D72" s="386" t="s">
        <v>46</v>
      </c>
      <c r="E72" s="455" t="s">
        <v>126</v>
      </c>
      <c r="F72" s="455" t="s">
        <v>306</v>
      </c>
      <c r="G72" s="386" t="s">
        <v>123</v>
      </c>
      <c r="H72" s="386" t="s">
        <v>182</v>
      </c>
      <c r="I72" s="485"/>
      <c r="J72" s="492" t="s">
        <v>202</v>
      </c>
      <c r="K72" s="492"/>
      <c r="L72" s="658" t="str">
        <f t="shared" si="10"/>
        <v>Low-IncomeLibertyCurrent RatesDistribution ChargesSummerSecond Block$/Therm</v>
      </c>
      <c r="M72" s="493" t="s">
        <v>17</v>
      </c>
      <c r="N72" s="497"/>
    </row>
    <row r="73" spans="1:14" s="59" customFormat="1" hidden="1" x14ac:dyDescent="0.25">
      <c r="B73" t="str">
        <f>Lookups!$D$31</f>
        <v>Liberty</v>
      </c>
      <c r="C73" t="str">
        <f>Lookups!$D$27</f>
        <v>Low-Income</v>
      </c>
      <c r="D73" s="386" t="s">
        <v>46</v>
      </c>
      <c r="E73" s="455" t="s">
        <v>126</v>
      </c>
      <c r="F73" s="455" t="s">
        <v>306</v>
      </c>
      <c r="G73" s="386" t="s">
        <v>47</v>
      </c>
      <c r="H73" s="386" t="s">
        <v>182</v>
      </c>
      <c r="I73" s="485"/>
      <c r="J73" s="492" t="s">
        <v>202</v>
      </c>
      <c r="K73" s="492"/>
      <c r="L73" s="658" t="str">
        <f t="shared" si="10"/>
        <v>Low-IncomeLibertyCurrent RatesDistribution ChargesSummerThird Block$/Therm</v>
      </c>
      <c r="M73" s="493" t="s">
        <v>17</v>
      </c>
      <c r="N73" s="497"/>
    </row>
    <row r="74" spans="1:14" s="59" customFormat="1" hidden="1" x14ac:dyDescent="0.25">
      <c r="B74" t="str">
        <f>Lookups!$D$31</f>
        <v>Liberty</v>
      </c>
      <c r="C74" t="str">
        <f>Lookups!$D$27</f>
        <v>Low-Income</v>
      </c>
      <c r="D74" s="386" t="s">
        <v>46</v>
      </c>
      <c r="E74" s="455" t="s">
        <v>214</v>
      </c>
      <c r="F74" s="455" t="str">
        <f t="shared" ref="F74:F79" si="11">E74</f>
        <v>Local Distribution Adjustment Charge (LDAC)</v>
      </c>
      <c r="G74" s="455" t="s">
        <v>340</v>
      </c>
      <c r="H74" s="386" t="s">
        <v>182</v>
      </c>
      <c r="I74" s="485">
        <f>0.031-0.064</f>
        <v>-3.3000000000000002E-2</v>
      </c>
      <c r="J74" s="495" t="str">
        <f>J37</f>
        <v>When subtract EE Charge, the rate becomes negative</v>
      </c>
      <c r="K74" s="495" t="str">
        <f>K37</f>
        <v>File name: LU_Gas_LDAC_BackupData_20200221</v>
      </c>
      <c r="L74" s="323" t="str">
        <f t="shared" ref="L74:L79" si="12">C74&amp;B74&amp;D74&amp;E74&amp;G74&amp;H74</f>
        <v>Low-IncomeLibertyCurrent RatesLocal Distribution Adjustment Charge (LDAC)Winter Rate$/Therm</v>
      </c>
      <c r="M74" s="493" t="s">
        <v>17</v>
      </c>
      <c r="N74" s="493"/>
    </row>
    <row r="75" spans="1:14" s="59" customFormat="1" hidden="1" x14ac:dyDescent="0.25">
      <c r="B75" t="str">
        <f>Lookups!$D$31</f>
        <v>Liberty</v>
      </c>
      <c r="C75" t="str">
        <f>Lookups!$D$27</f>
        <v>Low-Income</v>
      </c>
      <c r="D75" s="386" t="s">
        <v>46</v>
      </c>
      <c r="E75" s="455" t="s">
        <v>214</v>
      </c>
      <c r="F75" s="455" t="str">
        <f>E75</f>
        <v>Local Distribution Adjustment Charge (LDAC)</v>
      </c>
      <c r="G75" s="455" t="s">
        <v>341</v>
      </c>
      <c r="H75" s="386" t="s">
        <v>182</v>
      </c>
      <c r="I75" s="485">
        <f>0.031-0.064</f>
        <v>-3.3000000000000002E-2</v>
      </c>
      <c r="J75" s="495" t="str">
        <f>J38</f>
        <v>When subtract EE Charge, the rate becomes negative</v>
      </c>
      <c r="K75" s="495" t="str">
        <f>K38</f>
        <v>File name: LU_Gas_LDAC_BackupData_20200221</v>
      </c>
      <c r="L75" s="323" t="str">
        <f>C75&amp;B75&amp;D75&amp;E75&amp;G75&amp;H75</f>
        <v>Low-IncomeLibertyCurrent RatesLocal Distribution Adjustment Charge (LDAC)Summer Rate$/Therm</v>
      </c>
      <c r="M75" s="493" t="s">
        <v>17</v>
      </c>
      <c r="N75" s="497"/>
    </row>
    <row r="76" spans="1:14" s="59" customFormat="1" hidden="1" x14ac:dyDescent="0.25">
      <c r="B76" t="str">
        <f>Lookups!$D$31</f>
        <v>Liberty</v>
      </c>
      <c r="C76" t="str">
        <f>Lookups!$D$27</f>
        <v>Low-Income</v>
      </c>
      <c r="D76" s="386" t="s">
        <v>46</v>
      </c>
      <c r="E76" s="455" t="s">
        <v>214</v>
      </c>
      <c r="F76" s="455" t="str">
        <f t="shared" si="11"/>
        <v>Local Distribution Adjustment Charge (LDAC)</v>
      </c>
      <c r="G76" s="251" t="s">
        <v>61</v>
      </c>
      <c r="H76" s="251" t="s">
        <v>16</v>
      </c>
      <c r="I76" s="251">
        <v>0</v>
      </c>
      <c r="J76" s="324" t="s">
        <v>177</v>
      </c>
      <c r="K76" s="324"/>
      <c r="L76" s="323" t="str">
        <f t="shared" si="12"/>
        <v>Low-IncomeLibertyCurrent RatesLocal Distribution Adjustment Charge (LDAC)Annual Rate Change%</v>
      </c>
      <c r="M76" s="493" t="s">
        <v>17</v>
      </c>
      <c r="N76" s="497"/>
    </row>
    <row r="77" spans="1:14" s="59" customFormat="1" hidden="1" x14ac:dyDescent="0.25">
      <c r="B77" t="str">
        <f>Lookups!$D$31</f>
        <v>Liberty</v>
      </c>
      <c r="C77" t="str">
        <f>Lookups!$D$27</f>
        <v>Low-Income</v>
      </c>
      <c r="D77" s="386" t="s">
        <v>46</v>
      </c>
      <c r="E77" s="455" t="s">
        <v>183</v>
      </c>
      <c r="F77" s="455" t="str">
        <f t="shared" si="11"/>
        <v>Cost of Gas Charge</v>
      </c>
      <c r="G77" s="455" t="s">
        <v>340</v>
      </c>
      <c r="H77" s="386" t="s">
        <v>182</v>
      </c>
      <c r="I77" s="485">
        <f>I40</f>
        <v>0.62029999999999996</v>
      </c>
      <c r="J77" s="492" t="s">
        <v>249</v>
      </c>
      <c r="K77" s="492" t="str">
        <f>K40</f>
        <v>File name: LU - EE Bill impact calc Winter 2019-2020 COG Filing (gas)</v>
      </c>
      <c r="L77" s="323" t="str">
        <f t="shared" si="12"/>
        <v>Low-IncomeLibertyCurrent RatesCost of Gas ChargeWinter Rate$/Therm</v>
      </c>
      <c r="M77" s="493" t="s">
        <v>17</v>
      </c>
      <c r="N77" s="497"/>
    </row>
    <row r="78" spans="1:14" s="59" customFormat="1" hidden="1" x14ac:dyDescent="0.25">
      <c r="B78" t="str">
        <f>Lookups!$D$31</f>
        <v>Liberty</v>
      </c>
      <c r="C78" t="str">
        <f>Lookups!$D$27</f>
        <v>Low-Income</v>
      </c>
      <c r="D78" s="386" t="s">
        <v>46</v>
      </c>
      <c r="E78" s="455" t="s">
        <v>183</v>
      </c>
      <c r="F78" s="455" t="str">
        <f>E78</f>
        <v>Cost of Gas Charge</v>
      </c>
      <c r="G78" s="455" t="s">
        <v>341</v>
      </c>
      <c r="H78" s="386" t="s">
        <v>182</v>
      </c>
      <c r="I78" s="485">
        <f>I41</f>
        <v>0.62029999999999996</v>
      </c>
      <c r="J78" s="492" t="s">
        <v>249</v>
      </c>
      <c r="K78" s="492">
        <f>K41</f>
        <v>0</v>
      </c>
      <c r="L78" s="323" t="str">
        <f>C78&amp;B78&amp;D78&amp;E78&amp;G78&amp;H78</f>
        <v>Low-IncomeLibertyCurrent RatesCost of Gas ChargeSummer Rate$/Therm</v>
      </c>
      <c r="M78" s="493" t="s">
        <v>17</v>
      </c>
      <c r="N78" s="487"/>
    </row>
    <row r="79" spans="1:14" s="59" customFormat="1" hidden="1" x14ac:dyDescent="0.25">
      <c r="B79" t="str">
        <f>Lookups!$D$31</f>
        <v>Liberty</v>
      </c>
      <c r="C79" t="str">
        <f>Lookups!$D$27</f>
        <v>Low-Income</v>
      </c>
      <c r="D79" s="386" t="s">
        <v>46</v>
      </c>
      <c r="E79" s="455" t="s">
        <v>183</v>
      </c>
      <c r="F79" s="455" t="str">
        <f t="shared" si="11"/>
        <v>Cost of Gas Charge</v>
      </c>
      <c r="G79" s="251" t="s">
        <v>61</v>
      </c>
      <c r="H79" s="251" t="s">
        <v>16</v>
      </c>
      <c r="I79" s="251">
        <v>0</v>
      </c>
      <c r="J79" s="324" t="s">
        <v>177</v>
      </c>
      <c r="K79" s="324"/>
      <c r="L79" s="323" t="str">
        <f t="shared" si="12"/>
        <v>Low-IncomeLibertyCurrent RatesCost of Gas ChargeAnnual Rate Change%</v>
      </c>
      <c r="M79" s="493" t="s">
        <v>17</v>
      </c>
      <c r="N79" s="497"/>
    </row>
    <row r="80" spans="1:14" s="322" customFormat="1" hidden="1" x14ac:dyDescent="0.25">
      <c r="B80" t="str">
        <f>Lookups!$D$31</f>
        <v>Liberty</v>
      </c>
      <c r="C80" t="str">
        <f>Lookups!$D$28</f>
        <v>Small C&amp;I</v>
      </c>
      <c r="D80" s="386" t="s">
        <v>29</v>
      </c>
      <c r="E80" s="455" t="s">
        <v>27</v>
      </c>
      <c r="F80" s="455" t="str">
        <f t="shared" si="0"/>
        <v>Rate Class</v>
      </c>
      <c r="G80" s="455" t="s">
        <v>128</v>
      </c>
      <c r="H80" s="251" t="s">
        <v>140</v>
      </c>
      <c r="I80" s="485" t="s">
        <v>186</v>
      </c>
      <c r="J80" s="492" t="s">
        <v>187</v>
      </c>
      <c r="K80" s="492" t="s">
        <v>180</v>
      </c>
      <c r="L80" s="323" t="str">
        <f t="shared" ref="L80:L138" si="13">C80&amp;B80&amp;D80&amp;E80&amp;G80&amp;H80</f>
        <v>Small C&amp;ILibertyRate Class DataRate ClassRate NameName</v>
      </c>
      <c r="M80" s="493" t="s">
        <v>17</v>
      </c>
      <c r="N80" s="499"/>
    </row>
    <row r="81" spans="1:15" hidden="1" x14ac:dyDescent="0.25">
      <c r="A81" s="208"/>
      <c r="B81" t="str">
        <f>Lookups!$D$31</f>
        <v>Liberty</v>
      </c>
      <c r="C81" t="str">
        <f>Lookups!$D$28</f>
        <v>Small C&amp;I</v>
      </c>
      <c r="D81" s="386" t="s">
        <v>29</v>
      </c>
      <c r="E81" s="455" t="s">
        <v>3</v>
      </c>
      <c r="F81" s="455" t="str">
        <f t="shared" si="0"/>
        <v>Customers</v>
      </c>
      <c r="G81" s="454" t="s">
        <v>3</v>
      </c>
      <c r="H81" s="454" t="s">
        <v>48</v>
      </c>
      <c r="I81" s="459">
        <v>8983.683460097729</v>
      </c>
      <c r="J81" s="495"/>
      <c r="K81" s="495" t="s">
        <v>64</v>
      </c>
      <c r="L81" s="323" t="str">
        <f t="shared" si="13"/>
        <v>Small C&amp;ILibertyRate Class DataCustomersCustomersAccounts</v>
      </c>
      <c r="M81" s="493" t="s">
        <v>17</v>
      </c>
    </row>
    <row r="82" spans="1:15" hidden="1" x14ac:dyDescent="0.25">
      <c r="B82" t="str">
        <f>Lookups!$D$31</f>
        <v>Liberty</v>
      </c>
      <c r="C82" t="str">
        <f>Lookups!$D$28</f>
        <v>Small C&amp;I</v>
      </c>
      <c r="D82" s="386" t="s">
        <v>29</v>
      </c>
      <c r="E82" s="455" t="s">
        <v>3</v>
      </c>
      <c r="F82" s="455" t="str">
        <f t="shared" si="0"/>
        <v>Customers</v>
      </c>
      <c r="G82" s="251" t="s">
        <v>15</v>
      </c>
      <c r="H82" s="251" t="s">
        <v>15</v>
      </c>
      <c r="I82" s="324">
        <v>2018</v>
      </c>
      <c r="J82" s="495"/>
      <c r="K82" s="495" t="s">
        <v>64</v>
      </c>
      <c r="L82" s="323" t="str">
        <f t="shared" si="13"/>
        <v>Small C&amp;ILibertyRate Class DataCustomersYearYear</v>
      </c>
      <c r="M82" s="493" t="s">
        <v>17</v>
      </c>
      <c r="N82" s="493"/>
    </row>
    <row r="83" spans="1:15" hidden="1" x14ac:dyDescent="0.25">
      <c r="B83" t="str">
        <f>Lookups!$D$31</f>
        <v>Liberty</v>
      </c>
      <c r="C83" t="str">
        <f>Lookups!$D$28</f>
        <v>Small C&amp;I</v>
      </c>
      <c r="D83" s="386" t="s">
        <v>29</v>
      </c>
      <c r="E83" s="455" t="s">
        <v>3</v>
      </c>
      <c r="F83" s="455" t="str">
        <f t="shared" si="0"/>
        <v>Customers</v>
      </c>
      <c r="G83" s="251" t="s">
        <v>44</v>
      </c>
      <c r="H83" s="251" t="s">
        <v>16</v>
      </c>
      <c r="I83" s="251">
        <v>0</v>
      </c>
      <c r="J83" s="324" t="s">
        <v>177</v>
      </c>
      <c r="K83" s="324"/>
      <c r="L83" s="323" t="str">
        <f t="shared" si="13"/>
        <v>Small C&amp;ILibertyRate Class DataCustomersAnnual Growth Rate%</v>
      </c>
      <c r="M83" s="493" t="s">
        <v>17</v>
      </c>
      <c r="N83" s="493"/>
    </row>
    <row r="84" spans="1:15" s="59" customFormat="1" hidden="1" x14ac:dyDescent="0.25">
      <c r="B84" t="str">
        <f>Lookups!$D$31</f>
        <v>Liberty</v>
      </c>
      <c r="C84" t="str">
        <f>Lookups!$D$28</f>
        <v>Small C&amp;I</v>
      </c>
      <c r="D84" s="386" t="s">
        <v>29</v>
      </c>
      <c r="E84" s="455" t="s">
        <v>4</v>
      </c>
      <c r="F84" s="455" t="str">
        <f t="shared" si="0"/>
        <v>Sales</v>
      </c>
      <c r="G84" s="454" t="s">
        <v>313</v>
      </c>
      <c r="H84" s="454" t="s">
        <v>195</v>
      </c>
      <c r="I84" s="663">
        <f>SUM(I92:I93)</f>
        <v>21353625.848446414</v>
      </c>
      <c r="J84" s="650" t="s">
        <v>254</v>
      </c>
      <c r="K84" s="650" t="s">
        <v>64</v>
      </c>
      <c r="L84" s="323" t="str">
        <f t="shared" si="13"/>
        <v>Small C&amp;ILibertyRate Class DataSalesWinter SalesTherms</v>
      </c>
      <c r="M84" s="493" t="s">
        <v>17</v>
      </c>
      <c r="N84" s="675" t="s">
        <v>356</v>
      </c>
    </row>
    <row r="85" spans="1:15" s="59" customFormat="1" hidden="1" x14ac:dyDescent="0.25">
      <c r="B85" t="str">
        <f>Lookups!$D$31</f>
        <v>Liberty</v>
      </c>
      <c r="C85" t="str">
        <f>Lookups!$D$28</f>
        <v>Small C&amp;I</v>
      </c>
      <c r="D85" s="386" t="s">
        <v>29</v>
      </c>
      <c r="E85" s="455" t="s">
        <v>4</v>
      </c>
      <c r="F85" s="455" t="str">
        <f t="shared" si="0"/>
        <v>Sales</v>
      </c>
      <c r="G85" s="454" t="s">
        <v>314</v>
      </c>
      <c r="H85" s="454" t="s">
        <v>195</v>
      </c>
      <c r="I85" s="663"/>
      <c r="J85" s="650"/>
      <c r="K85" s="650"/>
      <c r="L85" s="323" t="str">
        <f t="shared" si="13"/>
        <v>Small C&amp;ILibertyRate Class DataSalesSummer SalesTherms</v>
      </c>
      <c r="M85" s="493" t="s">
        <v>17</v>
      </c>
      <c r="N85" s="675" t="s">
        <v>357</v>
      </c>
    </row>
    <row r="86" spans="1:15" s="59" customFormat="1" hidden="1" x14ac:dyDescent="0.25">
      <c r="B86" t="str">
        <f>Lookups!$D$31</f>
        <v>Liberty</v>
      </c>
      <c r="C86" t="str">
        <f>Lookups!$D$28</f>
        <v>Small C&amp;I</v>
      </c>
      <c r="D86" s="386" t="s">
        <v>29</v>
      </c>
      <c r="E86" s="455" t="s">
        <v>4</v>
      </c>
      <c r="F86" s="455" t="str">
        <f t="shared" si="0"/>
        <v>Sales</v>
      </c>
      <c r="G86" s="251" t="s">
        <v>15</v>
      </c>
      <c r="H86" s="251" t="s">
        <v>15</v>
      </c>
      <c r="I86" s="324">
        <v>2018</v>
      </c>
      <c r="J86" s="495"/>
      <c r="K86" s="495" t="s">
        <v>64</v>
      </c>
      <c r="L86" s="323" t="str">
        <f t="shared" si="13"/>
        <v>Small C&amp;ILibertyRate Class DataSalesYearYear</v>
      </c>
      <c r="M86" s="493" t="s">
        <v>17</v>
      </c>
      <c r="N86" s="487"/>
    </row>
    <row r="87" spans="1:15" s="59" customFormat="1" hidden="1" x14ac:dyDescent="0.25">
      <c r="B87" t="str">
        <f>Lookups!$D$31</f>
        <v>Liberty</v>
      </c>
      <c r="C87" t="str">
        <f>Lookups!$D$28</f>
        <v>Small C&amp;I</v>
      </c>
      <c r="D87" s="386" t="s">
        <v>29</v>
      </c>
      <c r="E87" s="455" t="s">
        <v>4</v>
      </c>
      <c r="F87" s="455" t="str">
        <f t="shared" si="0"/>
        <v>Sales</v>
      </c>
      <c r="G87" s="251" t="s">
        <v>44</v>
      </c>
      <c r="H87" s="251" t="s">
        <v>16</v>
      </c>
      <c r="I87" s="251">
        <v>0</v>
      </c>
      <c r="J87" s="324" t="s">
        <v>177</v>
      </c>
      <c r="K87" s="324"/>
      <c r="L87" s="323" t="str">
        <f t="shared" si="13"/>
        <v>Small C&amp;ILibertyRate Class DataSalesAnnual Growth Rate%</v>
      </c>
      <c r="M87" s="493" t="s">
        <v>17</v>
      </c>
      <c r="N87" s="487"/>
    </row>
    <row r="88" spans="1:15" s="59" customFormat="1" hidden="1" x14ac:dyDescent="0.25">
      <c r="B88" t="str">
        <f>Lookups!$D$31</f>
        <v>Liberty</v>
      </c>
      <c r="C88" t="str">
        <f>Lookups!$D$28</f>
        <v>Small C&amp;I</v>
      </c>
      <c r="D88" s="386" t="s">
        <v>29</v>
      </c>
      <c r="E88" s="386" t="s">
        <v>300</v>
      </c>
      <c r="F88" s="455" t="str">
        <f t="shared" si="0"/>
        <v>Average Annual Usage</v>
      </c>
      <c r="G88" s="386" t="s">
        <v>302</v>
      </c>
      <c r="H88" s="454" t="s">
        <v>195</v>
      </c>
      <c r="I88" s="459">
        <v>1953.9570000000001</v>
      </c>
      <c r="J88" s="495" t="s">
        <v>190</v>
      </c>
      <c r="K88" s="324" t="s">
        <v>181</v>
      </c>
      <c r="L88" s="323" t="str">
        <f t="shared" si="13"/>
        <v>Small C&amp;ILibertyRate Class DataAverage Annual UsageWinter UsageTherms</v>
      </c>
      <c r="M88" s="493" t="s">
        <v>17</v>
      </c>
      <c r="N88" s="497"/>
    </row>
    <row r="89" spans="1:15" s="321" customFormat="1" hidden="1" x14ac:dyDescent="0.25">
      <c r="B89" t="str">
        <f>Lookups!$D$31</f>
        <v>Liberty</v>
      </c>
      <c r="C89" t="str">
        <f>Lookups!$D$28</f>
        <v>Small C&amp;I</v>
      </c>
      <c r="D89" s="386" t="s">
        <v>29</v>
      </c>
      <c r="E89" s="386" t="s">
        <v>300</v>
      </c>
      <c r="F89" s="455" t="str">
        <f t="shared" si="0"/>
        <v>Average Annual Usage</v>
      </c>
      <c r="G89" s="386" t="s">
        <v>301</v>
      </c>
      <c r="H89" s="454" t="s">
        <v>195</v>
      </c>
      <c r="I89" s="649"/>
      <c r="J89" s="650"/>
      <c r="K89" s="657"/>
      <c r="L89" s="323" t="str">
        <f t="shared" si="13"/>
        <v>Small C&amp;ILibertyRate Class DataAverage Annual UsageSummer UsageTherms</v>
      </c>
      <c r="M89" s="493" t="s">
        <v>17</v>
      </c>
      <c r="N89" s="675" t="s">
        <v>357</v>
      </c>
    </row>
    <row r="90" spans="1:15" s="322" customFormat="1" hidden="1" x14ac:dyDescent="0.25">
      <c r="B90" t="str">
        <f>Lookups!$D$31</f>
        <v>Liberty</v>
      </c>
      <c r="C90" t="str">
        <f>Lookups!$D$28</f>
        <v>Small C&amp;I</v>
      </c>
      <c r="D90" s="386" t="s">
        <v>29</v>
      </c>
      <c r="E90" s="455" t="s">
        <v>129</v>
      </c>
      <c r="F90" s="455" t="s">
        <v>305</v>
      </c>
      <c r="G90" s="386" t="s">
        <v>50</v>
      </c>
      <c r="H90" s="454" t="s">
        <v>195</v>
      </c>
      <c r="I90" s="459">
        <v>100</v>
      </c>
      <c r="J90" s="492" t="s">
        <v>194</v>
      </c>
      <c r="K90" s="324" t="s">
        <v>181</v>
      </c>
      <c r="L90" s="658" t="str">
        <f t="shared" ref="L90:L99" si="14">C90&amp;B90&amp;D90&amp;E90&amp;F90&amp;G90&amp;H90</f>
        <v>Small C&amp;ILibertyRate Class DataRate Type DataWinterFirst Block MaximumTherms</v>
      </c>
      <c r="M90" s="493" t="s">
        <v>17</v>
      </c>
      <c r="N90" s="499"/>
    </row>
    <row r="91" spans="1:15" hidden="1" x14ac:dyDescent="0.25">
      <c r="B91" t="str">
        <f>Lookups!$D$31</f>
        <v>Liberty</v>
      </c>
      <c r="C91" t="str">
        <f>Lookups!$D$28</f>
        <v>Small C&amp;I</v>
      </c>
      <c r="D91" s="386" t="s">
        <v>29</v>
      </c>
      <c r="E91" s="455" t="s">
        <v>129</v>
      </c>
      <c r="F91" s="455" t="s">
        <v>305</v>
      </c>
      <c r="G91" s="386" t="s">
        <v>49</v>
      </c>
      <c r="H91" s="454" t="s">
        <v>195</v>
      </c>
      <c r="I91" s="459"/>
      <c r="J91" s="492" t="s">
        <v>202</v>
      </c>
      <c r="K91" s="492"/>
      <c r="L91" s="658" t="str">
        <f t="shared" si="14"/>
        <v>Small C&amp;ILibertyRate Class DataRate Type DataWinterSecond Block MaximumTherms</v>
      </c>
      <c r="M91" s="493" t="s">
        <v>17</v>
      </c>
      <c r="N91" s="499"/>
      <c r="O91" s="322"/>
    </row>
    <row r="92" spans="1:15" hidden="1" x14ac:dyDescent="0.25">
      <c r="B92" t="str">
        <f>Lookups!$D$31</f>
        <v>Liberty</v>
      </c>
      <c r="C92" t="str">
        <f>Lookups!$D$28</f>
        <v>Small C&amp;I</v>
      </c>
      <c r="D92" s="386" t="s">
        <v>29</v>
      </c>
      <c r="E92" s="455" t="s">
        <v>129</v>
      </c>
      <c r="F92" s="455" t="s">
        <v>305</v>
      </c>
      <c r="G92" s="386" t="s">
        <v>130</v>
      </c>
      <c r="H92" s="454" t="s">
        <v>195</v>
      </c>
      <c r="I92" s="459">
        <v>4526027.9801893961</v>
      </c>
      <c r="J92" s="495" t="s">
        <v>315</v>
      </c>
      <c r="K92" s="495" t="s">
        <v>255</v>
      </c>
      <c r="L92" s="658" t="str">
        <f t="shared" si="14"/>
        <v>Small C&amp;ILibertyRate Class DataRate Type DataWinterFirst Block Billing DeterminantsTherms</v>
      </c>
      <c r="M92" s="493" t="s">
        <v>17</v>
      </c>
      <c r="N92" s="499"/>
      <c r="O92" s="322"/>
    </row>
    <row r="93" spans="1:15" hidden="1" x14ac:dyDescent="0.25">
      <c r="B93" t="str">
        <f>Lookups!$D$31</f>
        <v>Liberty</v>
      </c>
      <c r="C93" t="str">
        <f>Lookups!$D$28</f>
        <v>Small C&amp;I</v>
      </c>
      <c r="D93" s="386" t="s">
        <v>29</v>
      </c>
      <c r="E93" s="455" t="s">
        <v>129</v>
      </c>
      <c r="F93" s="455" t="s">
        <v>305</v>
      </c>
      <c r="G93" s="386" t="s">
        <v>131</v>
      </c>
      <c r="H93" s="454" t="s">
        <v>195</v>
      </c>
      <c r="I93" s="459">
        <v>16827597.86825702</v>
      </c>
      <c r="J93" s="495" t="s">
        <v>315</v>
      </c>
      <c r="K93" s="495" t="s">
        <v>255</v>
      </c>
      <c r="L93" s="658" t="str">
        <f t="shared" si="14"/>
        <v>Small C&amp;ILibertyRate Class DataRate Type DataWinterSecond Block Billing DeterminantsTherms</v>
      </c>
      <c r="M93" s="493" t="s">
        <v>17</v>
      </c>
      <c r="N93" s="499"/>
      <c r="O93" s="322"/>
    </row>
    <row r="94" spans="1:15" s="59" customFormat="1" hidden="1" x14ac:dyDescent="0.25">
      <c r="B94" t="str">
        <f>Lookups!$D$31</f>
        <v>Liberty</v>
      </c>
      <c r="C94" t="str">
        <f>Lookups!$D$28</f>
        <v>Small C&amp;I</v>
      </c>
      <c r="D94" s="386" t="s">
        <v>29</v>
      </c>
      <c r="E94" s="455" t="s">
        <v>129</v>
      </c>
      <c r="F94" s="455" t="s">
        <v>305</v>
      </c>
      <c r="G94" s="386" t="s">
        <v>132</v>
      </c>
      <c r="H94" s="454" t="s">
        <v>195</v>
      </c>
      <c r="I94" s="459"/>
      <c r="J94" s="454"/>
      <c r="K94" s="454"/>
      <c r="L94" s="658" t="str">
        <f t="shared" si="14"/>
        <v>Small C&amp;ILibertyRate Class DataRate Type DataWinterRemaining Billing DeterminantsTherms</v>
      </c>
      <c r="M94" s="493" t="s">
        <v>17</v>
      </c>
      <c r="N94" s="499"/>
      <c r="O94" s="322"/>
    </row>
    <row r="95" spans="1:15" hidden="1" x14ac:dyDescent="0.25">
      <c r="B95" t="str">
        <f>Lookups!$D$31</f>
        <v>Liberty</v>
      </c>
      <c r="C95" t="str">
        <f>Lookups!$D$28</f>
        <v>Small C&amp;I</v>
      </c>
      <c r="D95" s="386" t="s">
        <v>29</v>
      </c>
      <c r="E95" s="455" t="s">
        <v>129</v>
      </c>
      <c r="F95" s="455" t="s">
        <v>306</v>
      </c>
      <c r="G95" s="386" t="s">
        <v>50</v>
      </c>
      <c r="H95" s="454" t="s">
        <v>195</v>
      </c>
      <c r="I95" s="459">
        <v>20</v>
      </c>
      <c r="J95" s="492" t="s">
        <v>194</v>
      </c>
      <c r="K95" s="324" t="s">
        <v>181</v>
      </c>
      <c r="L95" s="658" t="str">
        <f t="shared" si="14"/>
        <v>Small C&amp;ILibertyRate Class DataRate Type DataSummerFirst Block MaximumTherms</v>
      </c>
      <c r="M95" s="493" t="s">
        <v>17</v>
      </c>
      <c r="N95" s="493"/>
    </row>
    <row r="96" spans="1:15" hidden="1" x14ac:dyDescent="0.25">
      <c r="B96" t="str">
        <f>Lookups!$D$31</f>
        <v>Liberty</v>
      </c>
      <c r="C96" t="str">
        <f>Lookups!$D$28</f>
        <v>Small C&amp;I</v>
      </c>
      <c r="D96" s="386" t="s">
        <v>29</v>
      </c>
      <c r="E96" s="455" t="s">
        <v>129</v>
      </c>
      <c r="F96" s="455" t="s">
        <v>306</v>
      </c>
      <c r="G96" s="386" t="s">
        <v>49</v>
      </c>
      <c r="H96" s="454" t="s">
        <v>195</v>
      </c>
      <c r="I96" s="459"/>
      <c r="J96" s="492" t="s">
        <v>202</v>
      </c>
      <c r="K96" s="492"/>
      <c r="L96" s="658" t="str">
        <f t="shared" si="14"/>
        <v>Small C&amp;ILibertyRate Class DataRate Type DataSummerSecond Block MaximumTherms</v>
      </c>
      <c r="M96" s="493" t="s">
        <v>17</v>
      </c>
      <c r="N96" s="493"/>
    </row>
    <row r="97" spans="1:14" hidden="1" x14ac:dyDescent="0.25">
      <c r="A97" s="318"/>
      <c r="B97" t="str">
        <f>Lookups!$D$31</f>
        <v>Liberty</v>
      </c>
      <c r="C97" t="str">
        <f>Lookups!$D$28</f>
        <v>Small C&amp;I</v>
      </c>
      <c r="D97" s="386" t="s">
        <v>29</v>
      </c>
      <c r="E97" s="455" t="s">
        <v>129</v>
      </c>
      <c r="F97" s="455" t="s">
        <v>306</v>
      </c>
      <c r="G97" s="386" t="s">
        <v>130</v>
      </c>
      <c r="H97" s="454" t="s">
        <v>195</v>
      </c>
      <c r="I97" s="459">
        <v>678411.7538526234</v>
      </c>
      <c r="J97" s="495" t="s">
        <v>358</v>
      </c>
      <c r="K97" s="495" t="s">
        <v>255</v>
      </c>
      <c r="L97" s="658" t="str">
        <f t="shared" si="14"/>
        <v>Small C&amp;ILibertyRate Class DataRate Type DataSummerFirst Block Billing DeterminantsTherms</v>
      </c>
      <c r="M97" s="493" t="s">
        <v>17</v>
      </c>
      <c r="N97" s="493"/>
    </row>
    <row r="98" spans="1:14" s="59" customFormat="1" hidden="1" x14ac:dyDescent="0.25">
      <c r="B98" t="str">
        <f>Lookups!$D$31</f>
        <v>Liberty</v>
      </c>
      <c r="C98" t="str">
        <f>Lookups!$D$28</f>
        <v>Small C&amp;I</v>
      </c>
      <c r="D98" s="386" t="s">
        <v>29</v>
      </c>
      <c r="E98" s="455" t="s">
        <v>129</v>
      </c>
      <c r="F98" s="455" t="s">
        <v>306</v>
      </c>
      <c r="G98" s="386" t="s">
        <v>131</v>
      </c>
      <c r="H98" s="454" t="s">
        <v>195</v>
      </c>
      <c r="I98" s="459">
        <v>2440489.8402010379</v>
      </c>
      <c r="J98" s="495" t="s">
        <v>358</v>
      </c>
      <c r="K98" s="495" t="s">
        <v>255</v>
      </c>
      <c r="L98" s="658" t="str">
        <f t="shared" si="14"/>
        <v>Small C&amp;ILibertyRate Class DataRate Type DataSummerSecond Block Billing DeterminantsTherms</v>
      </c>
      <c r="M98" s="493" t="s">
        <v>17</v>
      </c>
      <c r="N98" s="497"/>
    </row>
    <row r="99" spans="1:14" s="59" customFormat="1" hidden="1" x14ac:dyDescent="0.25">
      <c r="B99" t="str">
        <f>Lookups!$D$31</f>
        <v>Liberty</v>
      </c>
      <c r="C99" t="str">
        <f>Lookups!$D$28</f>
        <v>Small C&amp;I</v>
      </c>
      <c r="D99" s="386" t="s">
        <v>29</v>
      </c>
      <c r="E99" s="455" t="s">
        <v>129</v>
      </c>
      <c r="F99" s="455" t="s">
        <v>306</v>
      </c>
      <c r="G99" s="386" t="s">
        <v>132</v>
      </c>
      <c r="H99" s="454" t="s">
        <v>195</v>
      </c>
      <c r="I99" s="459"/>
      <c r="J99" s="492" t="s">
        <v>202</v>
      </c>
      <c r="K99" s="492"/>
      <c r="L99" s="658" t="str">
        <f t="shared" si="14"/>
        <v>Small C&amp;ILibertyRate Class DataRate Type DataSummerRemaining Billing DeterminantsTherms</v>
      </c>
      <c r="M99" s="493" t="s">
        <v>17</v>
      </c>
      <c r="N99" s="497"/>
    </row>
    <row r="100" spans="1:14" s="59" customFormat="1" hidden="1" x14ac:dyDescent="0.25">
      <c r="B100" t="str">
        <f>Lookups!$D$31</f>
        <v>Liberty</v>
      </c>
      <c r="C100" t="str">
        <f>Lookups!$D$28</f>
        <v>Small C&amp;I</v>
      </c>
      <c r="D100" s="386" t="s">
        <v>46</v>
      </c>
      <c r="E100" s="455" t="s">
        <v>33</v>
      </c>
      <c r="F100" s="455" t="s">
        <v>305</v>
      </c>
      <c r="G100" s="386" t="s">
        <v>75</v>
      </c>
      <c r="H100" s="386" t="s">
        <v>31</v>
      </c>
      <c r="I100" s="457">
        <v>56.36</v>
      </c>
      <c r="J100" s="492"/>
      <c r="K100" s="492" t="s">
        <v>180</v>
      </c>
      <c r="L100" s="323" t="str">
        <f t="shared" si="13"/>
        <v>Small C&amp;ILibertyCurrent RatesCustomer or Meter ChargeCustomer Charge$/month</v>
      </c>
      <c r="M100" s="493" t="s">
        <v>17</v>
      </c>
      <c r="N100" s="497"/>
    </row>
    <row r="101" spans="1:14" s="59" customFormat="1" hidden="1" x14ac:dyDescent="0.25">
      <c r="B101" t="str">
        <f>Lookups!$D$31</f>
        <v>Liberty</v>
      </c>
      <c r="C101" t="str">
        <f>Lookups!$D$28</f>
        <v>Small C&amp;I</v>
      </c>
      <c r="D101" s="386" t="s">
        <v>46</v>
      </c>
      <c r="E101" s="455" t="s">
        <v>33</v>
      </c>
      <c r="F101" s="455" t="s">
        <v>305</v>
      </c>
      <c r="G101" s="251" t="s">
        <v>61</v>
      </c>
      <c r="H101" s="251" t="s">
        <v>16</v>
      </c>
      <c r="I101" s="251">
        <v>0</v>
      </c>
      <c r="J101" s="324" t="s">
        <v>177</v>
      </c>
      <c r="K101" s="324"/>
      <c r="L101" s="323" t="str">
        <f t="shared" si="13"/>
        <v>Small C&amp;ILibertyCurrent RatesCustomer or Meter ChargeAnnual Rate Change%</v>
      </c>
      <c r="M101" s="493" t="s">
        <v>17</v>
      </c>
      <c r="N101" s="497"/>
    </row>
    <row r="102" spans="1:14" s="322" customFormat="1" hidden="1" x14ac:dyDescent="0.25">
      <c r="B102" t="str">
        <f>Lookups!$D$31</f>
        <v>Liberty</v>
      </c>
      <c r="C102" t="str">
        <f>Lookups!$D$28</f>
        <v>Small C&amp;I</v>
      </c>
      <c r="D102" s="386" t="s">
        <v>46</v>
      </c>
      <c r="E102" s="455" t="s">
        <v>126</v>
      </c>
      <c r="F102" s="455" t="s">
        <v>305</v>
      </c>
      <c r="G102" s="386" t="s">
        <v>228</v>
      </c>
      <c r="H102" s="386" t="s">
        <v>182</v>
      </c>
      <c r="I102" s="485"/>
      <c r="J102" s="492" t="s">
        <v>202</v>
      </c>
      <c r="K102" s="492"/>
      <c r="L102" s="658" t="str">
        <f t="shared" ref="L102:L110" si="15">C102&amp;B102&amp;D102&amp;E102&amp;F102&amp;G102&amp;H102</f>
        <v>Small C&amp;ILibertyCurrent RatesDistribution ChargesWinterTotal (no blocks)$/Therm</v>
      </c>
      <c r="M102" s="493" t="s">
        <v>17</v>
      </c>
      <c r="N102" s="499"/>
    </row>
    <row r="103" spans="1:14" s="322" customFormat="1" x14ac:dyDescent="0.25">
      <c r="B103" t="str">
        <f>Lookups!$D$31</f>
        <v>Liberty</v>
      </c>
      <c r="C103" t="str">
        <f>Lookups!$D$28</f>
        <v>Small C&amp;I</v>
      </c>
      <c r="D103" s="386" t="s">
        <v>46</v>
      </c>
      <c r="E103" s="455" t="s">
        <v>126</v>
      </c>
      <c r="F103" s="455" t="s">
        <v>305</v>
      </c>
      <c r="G103" s="386" t="s">
        <v>122</v>
      </c>
      <c r="H103" s="386" t="s">
        <v>182</v>
      </c>
      <c r="I103" s="485">
        <v>0.46210000000000001</v>
      </c>
      <c r="J103" s="492" t="s">
        <v>192</v>
      </c>
      <c r="K103" s="492" t="s">
        <v>180</v>
      </c>
      <c r="L103" s="658" t="str">
        <f t="shared" si="15"/>
        <v>Small C&amp;ILibertyCurrent RatesDistribution ChargesWinterFirst Block$/Therm</v>
      </c>
      <c r="M103" s="493" t="s">
        <v>17</v>
      </c>
      <c r="N103" s="488"/>
    </row>
    <row r="104" spans="1:14" x14ac:dyDescent="0.25">
      <c r="B104" t="str">
        <f>Lookups!$D$31</f>
        <v>Liberty</v>
      </c>
      <c r="C104" t="str">
        <f>Lookups!$D$28</f>
        <v>Small C&amp;I</v>
      </c>
      <c r="D104" s="386" t="s">
        <v>46</v>
      </c>
      <c r="E104" s="455" t="s">
        <v>126</v>
      </c>
      <c r="F104" s="455" t="s">
        <v>305</v>
      </c>
      <c r="G104" s="386" t="s">
        <v>123</v>
      </c>
      <c r="H104" s="386" t="s">
        <v>182</v>
      </c>
      <c r="I104" s="485">
        <v>0.31040000000000001</v>
      </c>
      <c r="J104" s="492" t="s">
        <v>193</v>
      </c>
      <c r="K104" s="492" t="s">
        <v>180</v>
      </c>
      <c r="L104" s="658" t="str">
        <f t="shared" si="15"/>
        <v>Small C&amp;ILibertyCurrent RatesDistribution ChargesWinterSecond Block$/Therm</v>
      </c>
      <c r="M104" s="493" t="s">
        <v>17</v>
      </c>
      <c r="N104" s="493"/>
    </row>
    <row r="105" spans="1:14" s="322" customFormat="1" hidden="1" x14ac:dyDescent="0.25">
      <c r="B105" t="str">
        <f>Lookups!$D$31</f>
        <v>Liberty</v>
      </c>
      <c r="C105" t="str">
        <f>Lookups!$D$28</f>
        <v>Small C&amp;I</v>
      </c>
      <c r="D105" s="386" t="s">
        <v>46</v>
      </c>
      <c r="E105" s="455" t="s">
        <v>126</v>
      </c>
      <c r="F105" s="455" t="s">
        <v>305</v>
      </c>
      <c r="G105" s="386" t="s">
        <v>47</v>
      </c>
      <c r="H105" s="386" t="s">
        <v>182</v>
      </c>
      <c r="I105" s="485"/>
      <c r="J105" s="492" t="s">
        <v>202</v>
      </c>
      <c r="K105" s="492"/>
      <c r="L105" s="658" t="str">
        <f t="shared" si="15"/>
        <v>Small C&amp;ILibertyCurrent RatesDistribution ChargesWinterThird Block$/Therm</v>
      </c>
      <c r="M105" s="493" t="s">
        <v>17</v>
      </c>
      <c r="N105" s="499"/>
    </row>
    <row r="106" spans="1:14" s="322" customFormat="1" x14ac:dyDescent="0.25">
      <c r="B106" t="str">
        <f>Lookups!$D$31</f>
        <v>Liberty</v>
      </c>
      <c r="C106" t="str">
        <f>Lookups!$D$28</f>
        <v>Small C&amp;I</v>
      </c>
      <c r="D106" s="386" t="s">
        <v>46</v>
      </c>
      <c r="E106" s="455" t="s">
        <v>126</v>
      </c>
      <c r="F106" s="455" t="str">
        <f>E106</f>
        <v>Distribution Charges</v>
      </c>
      <c r="G106" s="251" t="s">
        <v>61</v>
      </c>
      <c r="H106" s="251" t="s">
        <v>16</v>
      </c>
      <c r="I106" s="251">
        <v>0</v>
      </c>
      <c r="J106" s="324" t="s">
        <v>177</v>
      </c>
      <c r="K106" s="324"/>
      <c r="L106" s="323" t="str">
        <f>C106&amp;B106&amp;D106&amp;E106&amp;G106&amp;H106</f>
        <v>Small C&amp;ILibertyCurrent RatesDistribution ChargesAnnual Rate Change%</v>
      </c>
      <c r="M106" s="493" t="s">
        <v>17</v>
      </c>
      <c r="N106" s="499"/>
    </row>
    <row r="107" spans="1:14" s="59" customFormat="1" hidden="1" x14ac:dyDescent="0.25">
      <c r="B107" t="str">
        <f>Lookups!$D$31</f>
        <v>Liberty</v>
      </c>
      <c r="C107" t="str">
        <f>Lookups!$D$28</f>
        <v>Small C&amp;I</v>
      </c>
      <c r="D107" s="386" t="s">
        <v>46</v>
      </c>
      <c r="E107" s="455" t="s">
        <v>126</v>
      </c>
      <c r="F107" s="455" t="s">
        <v>306</v>
      </c>
      <c r="G107" s="386" t="s">
        <v>228</v>
      </c>
      <c r="H107" s="386" t="s">
        <v>182</v>
      </c>
      <c r="I107" s="485"/>
      <c r="J107" s="492" t="s">
        <v>202</v>
      </c>
      <c r="K107" s="492"/>
      <c r="L107" s="658" t="str">
        <f t="shared" si="15"/>
        <v>Small C&amp;ILibertyCurrent RatesDistribution ChargesSummerTotal (no blocks)$/Therm</v>
      </c>
      <c r="M107" s="493" t="s">
        <v>17</v>
      </c>
      <c r="N107" s="497"/>
    </row>
    <row r="108" spans="1:14" s="59" customFormat="1" x14ac:dyDescent="0.25">
      <c r="B108" t="str">
        <f>Lookups!$D$31</f>
        <v>Liberty</v>
      </c>
      <c r="C108" t="str">
        <f>Lookups!$D$28</f>
        <v>Small C&amp;I</v>
      </c>
      <c r="D108" s="386" t="s">
        <v>46</v>
      </c>
      <c r="E108" s="455" t="s">
        <v>126</v>
      </c>
      <c r="F108" s="455" t="s">
        <v>306</v>
      </c>
      <c r="G108" s="386" t="s">
        <v>122</v>
      </c>
      <c r="H108" s="386" t="s">
        <v>182</v>
      </c>
      <c r="I108" s="485">
        <v>0.45660000000000001</v>
      </c>
      <c r="J108" s="492" t="s">
        <v>192</v>
      </c>
      <c r="K108" s="492" t="s">
        <v>180</v>
      </c>
      <c r="L108" s="658" t="str">
        <f t="shared" si="15"/>
        <v>Small C&amp;ILibertyCurrent RatesDistribution ChargesSummerFirst Block$/Therm</v>
      </c>
      <c r="M108" s="493" t="s">
        <v>17</v>
      </c>
      <c r="N108" s="497"/>
    </row>
    <row r="109" spans="1:14" s="59" customFormat="1" x14ac:dyDescent="0.25">
      <c r="B109" t="str">
        <f>Lookups!$D$31</f>
        <v>Liberty</v>
      </c>
      <c r="C109" t="str">
        <f>Lookups!$D$28</f>
        <v>Small C&amp;I</v>
      </c>
      <c r="D109" s="386" t="s">
        <v>46</v>
      </c>
      <c r="E109" s="455" t="s">
        <v>126</v>
      </c>
      <c r="F109" s="455" t="s">
        <v>306</v>
      </c>
      <c r="G109" s="386" t="s">
        <v>123</v>
      </c>
      <c r="H109" s="386" t="s">
        <v>182</v>
      </c>
      <c r="I109" s="485">
        <v>0.30669999999999997</v>
      </c>
      <c r="J109" s="492" t="s">
        <v>193</v>
      </c>
      <c r="K109" s="492" t="s">
        <v>180</v>
      </c>
      <c r="L109" s="658" t="str">
        <f t="shared" si="15"/>
        <v>Small C&amp;ILibertyCurrent RatesDistribution ChargesSummerSecond Block$/Therm</v>
      </c>
      <c r="M109" s="493" t="s">
        <v>17</v>
      </c>
      <c r="N109" s="497"/>
    </row>
    <row r="110" spans="1:14" s="59" customFormat="1" hidden="1" x14ac:dyDescent="0.25">
      <c r="B110" t="str">
        <f>Lookups!$D$31</f>
        <v>Liberty</v>
      </c>
      <c r="C110" t="str">
        <f>Lookups!$D$28</f>
        <v>Small C&amp;I</v>
      </c>
      <c r="D110" s="386" t="s">
        <v>46</v>
      </c>
      <c r="E110" s="455" t="s">
        <v>126</v>
      </c>
      <c r="F110" s="455" t="s">
        <v>306</v>
      </c>
      <c r="G110" s="386" t="s">
        <v>47</v>
      </c>
      <c r="H110" s="386" t="s">
        <v>182</v>
      </c>
      <c r="I110" s="485"/>
      <c r="J110" s="492" t="s">
        <v>202</v>
      </c>
      <c r="K110" s="492"/>
      <c r="L110" s="658" t="str">
        <f t="shared" si="15"/>
        <v>Small C&amp;ILibertyCurrent RatesDistribution ChargesSummerThird Block$/Therm</v>
      </c>
      <c r="M110" s="493" t="s">
        <v>17</v>
      </c>
      <c r="N110" s="497"/>
    </row>
    <row r="111" spans="1:14" s="59" customFormat="1" hidden="1" x14ac:dyDescent="0.25">
      <c r="B111" t="str">
        <f>Lookups!$D$31</f>
        <v>Liberty</v>
      </c>
      <c r="C111" t="str">
        <f>Lookups!$D$28</f>
        <v>Small C&amp;I</v>
      </c>
      <c r="D111" s="386" t="s">
        <v>46</v>
      </c>
      <c r="E111" s="455" t="s">
        <v>214</v>
      </c>
      <c r="F111" s="455" t="str">
        <f t="shared" ref="F111:F116" si="16">E111</f>
        <v>Local Distribution Adjustment Charge (LDAC)</v>
      </c>
      <c r="G111" s="455" t="s">
        <v>340</v>
      </c>
      <c r="H111" s="386" t="s">
        <v>182</v>
      </c>
      <c r="I111" s="485">
        <f>0.0478-0.0426</f>
        <v>5.2000000000000032E-3</v>
      </c>
      <c r="J111" s="495"/>
      <c r="K111" s="495" t="s">
        <v>245</v>
      </c>
      <c r="L111" s="323" t="str">
        <f t="shared" ref="L111:L116" si="17">C111&amp;B111&amp;D111&amp;E111&amp;G111&amp;H111</f>
        <v>Small C&amp;ILibertyCurrent RatesLocal Distribution Adjustment Charge (LDAC)Winter Rate$/Therm</v>
      </c>
      <c r="M111" s="493" t="s">
        <v>17</v>
      </c>
      <c r="N111" s="499"/>
    </row>
    <row r="112" spans="1:14" s="59" customFormat="1" hidden="1" x14ac:dyDescent="0.25">
      <c r="B112" t="str">
        <f>Lookups!$D$31</f>
        <v>Liberty</v>
      </c>
      <c r="C112" t="str">
        <f>Lookups!$D$28</f>
        <v>Small C&amp;I</v>
      </c>
      <c r="D112" s="386" t="s">
        <v>46</v>
      </c>
      <c r="E112" s="455" t="s">
        <v>214</v>
      </c>
      <c r="F112" s="455" t="str">
        <f>E112</f>
        <v>Local Distribution Adjustment Charge (LDAC)</v>
      </c>
      <c r="G112" s="455" t="s">
        <v>341</v>
      </c>
      <c r="H112" s="386" t="s">
        <v>182</v>
      </c>
      <c r="I112" s="485">
        <f>0.0478-0.0426</f>
        <v>5.2000000000000032E-3</v>
      </c>
      <c r="J112" s="495"/>
      <c r="K112" s="495" t="s">
        <v>245</v>
      </c>
      <c r="L112" s="323" t="str">
        <f>C112&amp;B112&amp;D112&amp;E112&amp;G112&amp;H112</f>
        <v>Small C&amp;ILibertyCurrent RatesLocal Distribution Adjustment Charge (LDAC)Summer Rate$/Therm</v>
      </c>
      <c r="M112" s="493" t="s">
        <v>17</v>
      </c>
      <c r="N112" s="497"/>
    </row>
    <row r="113" spans="2:14" s="59" customFormat="1" hidden="1" x14ac:dyDescent="0.25">
      <c r="B113" t="str">
        <f>Lookups!$D$31</f>
        <v>Liberty</v>
      </c>
      <c r="C113" t="str">
        <f>Lookups!$D$28</f>
        <v>Small C&amp;I</v>
      </c>
      <c r="D113" s="386" t="s">
        <v>46</v>
      </c>
      <c r="E113" s="455" t="s">
        <v>214</v>
      </c>
      <c r="F113" s="455" t="str">
        <f t="shared" si="16"/>
        <v>Local Distribution Adjustment Charge (LDAC)</v>
      </c>
      <c r="G113" s="251" t="s">
        <v>61</v>
      </c>
      <c r="H113" s="251" t="s">
        <v>16</v>
      </c>
      <c r="I113" s="251">
        <v>0</v>
      </c>
      <c r="J113" s="324" t="s">
        <v>177</v>
      </c>
      <c r="K113" s="324"/>
      <c r="L113" s="323" t="str">
        <f t="shared" si="17"/>
        <v>Small C&amp;ILibertyCurrent RatesLocal Distribution Adjustment Charge (LDAC)Annual Rate Change%</v>
      </c>
      <c r="M113" s="493" t="s">
        <v>17</v>
      </c>
      <c r="N113" s="497"/>
    </row>
    <row r="114" spans="2:14" s="322" customFormat="1" hidden="1" x14ac:dyDescent="0.25">
      <c r="B114" t="str">
        <f>Lookups!$D$31</f>
        <v>Liberty</v>
      </c>
      <c r="C114" t="str">
        <f>Lookups!$D$28</f>
        <v>Small C&amp;I</v>
      </c>
      <c r="D114" s="386" t="s">
        <v>46</v>
      </c>
      <c r="E114" s="455" t="s">
        <v>183</v>
      </c>
      <c r="F114" s="455" t="str">
        <f t="shared" si="16"/>
        <v>Cost of Gas Charge</v>
      </c>
      <c r="G114" s="455" t="s">
        <v>340</v>
      </c>
      <c r="H114" s="386" t="s">
        <v>182</v>
      </c>
      <c r="I114" s="485">
        <v>0.61899999999999999</v>
      </c>
      <c r="J114" s="492"/>
      <c r="K114" s="492" t="s">
        <v>248</v>
      </c>
      <c r="L114" s="323" t="str">
        <f t="shared" si="17"/>
        <v>Small C&amp;ILibertyCurrent RatesCost of Gas ChargeWinter Rate$/Therm</v>
      </c>
      <c r="M114" s="493" t="s">
        <v>17</v>
      </c>
      <c r="N114" s="499"/>
    </row>
    <row r="115" spans="2:14" s="59" customFormat="1" hidden="1" x14ac:dyDescent="0.25">
      <c r="B115" t="str">
        <f>Lookups!$D$31</f>
        <v>Liberty</v>
      </c>
      <c r="C115" t="str">
        <f>Lookups!$D$28</f>
        <v>Small C&amp;I</v>
      </c>
      <c r="D115" s="386" t="s">
        <v>46</v>
      </c>
      <c r="E115" s="455" t="s">
        <v>183</v>
      </c>
      <c r="F115" s="455" t="str">
        <f>E115</f>
        <v>Cost of Gas Charge</v>
      </c>
      <c r="G115" s="455" t="s">
        <v>341</v>
      </c>
      <c r="H115" s="386" t="s">
        <v>182</v>
      </c>
      <c r="I115" s="674">
        <f>I114</f>
        <v>0.61899999999999999</v>
      </c>
      <c r="J115" s="650"/>
      <c r="K115" s="657"/>
      <c r="L115" s="323" t="str">
        <f>C115&amp;B115&amp;D115&amp;E115&amp;G115&amp;H115</f>
        <v>Small C&amp;ILibertyCurrent RatesCost of Gas ChargeSummer Rate$/Therm</v>
      </c>
      <c r="M115" s="493" t="s">
        <v>17</v>
      </c>
      <c r="N115" s="675" t="s">
        <v>357</v>
      </c>
    </row>
    <row r="116" spans="2:14" s="107" customFormat="1" hidden="1" x14ac:dyDescent="0.25">
      <c r="B116" t="str">
        <f>Lookups!$D$31</f>
        <v>Liberty</v>
      </c>
      <c r="C116" t="str">
        <f>Lookups!$D$28</f>
        <v>Small C&amp;I</v>
      </c>
      <c r="D116" s="386" t="s">
        <v>46</v>
      </c>
      <c r="E116" s="455" t="s">
        <v>183</v>
      </c>
      <c r="F116" s="455" t="str">
        <f t="shared" si="16"/>
        <v>Cost of Gas Charge</v>
      </c>
      <c r="G116" s="251" t="s">
        <v>61</v>
      </c>
      <c r="H116" s="251" t="s">
        <v>16</v>
      </c>
      <c r="I116" s="251">
        <v>0</v>
      </c>
      <c r="J116" s="324" t="s">
        <v>177</v>
      </c>
      <c r="K116" s="324"/>
      <c r="L116" s="323" t="str">
        <f t="shared" si="17"/>
        <v>Small C&amp;ILibertyCurrent RatesCost of Gas ChargeAnnual Rate Change%</v>
      </c>
      <c r="M116" s="493" t="s">
        <v>17</v>
      </c>
      <c r="N116" s="488"/>
    </row>
    <row r="117" spans="2:14" s="107" customFormat="1" hidden="1" x14ac:dyDescent="0.25">
      <c r="B117" t="str">
        <f>Lookups!$D$31</f>
        <v>Liberty</v>
      </c>
      <c r="C117" t="str">
        <f>Lookups!$D$29</f>
        <v>Large C&amp;I</v>
      </c>
      <c r="D117" s="386" t="s">
        <v>29</v>
      </c>
      <c r="E117" s="455" t="s">
        <v>27</v>
      </c>
      <c r="F117" s="455" t="str">
        <f t="shared" ref="F117:F195" si="18">E117</f>
        <v>Rate Class</v>
      </c>
      <c r="G117" s="455" t="s">
        <v>128</v>
      </c>
      <c r="H117" s="251" t="s">
        <v>140</v>
      </c>
      <c r="I117" s="485" t="s">
        <v>188</v>
      </c>
      <c r="J117" s="492" t="s">
        <v>189</v>
      </c>
      <c r="K117" s="492" t="s">
        <v>180</v>
      </c>
      <c r="L117" s="323" t="str">
        <f t="shared" si="13"/>
        <v>Large C&amp;ILibertyRate Class DataRate ClassRate NameName</v>
      </c>
      <c r="M117" s="493" t="s">
        <v>17</v>
      </c>
      <c r="N117" s="488"/>
    </row>
    <row r="118" spans="2:14" s="107" customFormat="1" hidden="1" x14ac:dyDescent="0.25">
      <c r="B118" t="str">
        <f>Lookups!$D$31</f>
        <v>Liberty</v>
      </c>
      <c r="C118" t="str">
        <f>Lookups!$D$29</f>
        <v>Large C&amp;I</v>
      </c>
      <c r="D118" s="386" t="s">
        <v>29</v>
      </c>
      <c r="E118" s="455" t="s">
        <v>3</v>
      </c>
      <c r="F118" s="455" t="str">
        <f t="shared" si="18"/>
        <v>Customers</v>
      </c>
      <c r="G118" s="454" t="s">
        <v>3</v>
      </c>
      <c r="H118" s="454" t="s">
        <v>48</v>
      </c>
      <c r="I118" s="459">
        <v>55.255527025440614</v>
      </c>
      <c r="J118" s="495"/>
      <c r="K118" s="495" t="s">
        <v>64</v>
      </c>
      <c r="L118" s="323" t="str">
        <f t="shared" si="13"/>
        <v>Large C&amp;ILibertyRate Class DataCustomersCustomersAccounts</v>
      </c>
      <c r="M118" s="493" t="s">
        <v>17</v>
      </c>
      <c r="N118" s="488"/>
    </row>
    <row r="119" spans="2:14" s="107" customFormat="1" hidden="1" x14ac:dyDescent="0.25">
      <c r="B119" t="str">
        <f>Lookups!$D$31</f>
        <v>Liberty</v>
      </c>
      <c r="C119" t="str">
        <f>Lookups!$D$29</f>
        <v>Large C&amp;I</v>
      </c>
      <c r="D119" s="386" t="s">
        <v>29</v>
      </c>
      <c r="E119" s="455" t="s">
        <v>3</v>
      </c>
      <c r="F119" s="455" t="str">
        <f t="shared" si="18"/>
        <v>Customers</v>
      </c>
      <c r="G119" s="251" t="s">
        <v>15</v>
      </c>
      <c r="H119" s="251" t="s">
        <v>15</v>
      </c>
      <c r="I119" s="324">
        <v>2018</v>
      </c>
      <c r="J119" s="495"/>
      <c r="K119" s="495" t="s">
        <v>64</v>
      </c>
      <c r="L119" s="323" t="str">
        <f t="shared" si="13"/>
        <v>Large C&amp;ILibertyRate Class DataCustomersYearYear</v>
      </c>
      <c r="M119" s="493" t="s">
        <v>17</v>
      </c>
      <c r="N119" s="488"/>
    </row>
    <row r="120" spans="2:14" hidden="1" x14ac:dyDescent="0.25">
      <c r="B120" t="str">
        <f>Lookups!$D$31</f>
        <v>Liberty</v>
      </c>
      <c r="C120" t="str">
        <f>Lookups!$D$29</f>
        <v>Large C&amp;I</v>
      </c>
      <c r="D120" s="386" t="s">
        <v>29</v>
      </c>
      <c r="E120" s="455" t="s">
        <v>3</v>
      </c>
      <c r="F120" s="455" t="str">
        <f t="shared" si="18"/>
        <v>Customers</v>
      </c>
      <c r="G120" s="251" t="s">
        <v>44</v>
      </c>
      <c r="H120" s="251" t="s">
        <v>16</v>
      </c>
      <c r="I120" s="251">
        <v>0</v>
      </c>
      <c r="J120" s="324" t="s">
        <v>177</v>
      </c>
      <c r="K120" s="324"/>
      <c r="L120" s="323" t="str">
        <f t="shared" si="13"/>
        <v>Large C&amp;ILibertyRate Class DataCustomersAnnual Growth Rate%</v>
      </c>
      <c r="M120" s="493" t="s">
        <v>17</v>
      </c>
      <c r="N120" s="493"/>
    </row>
    <row r="121" spans="2:14" hidden="1" x14ac:dyDescent="0.25">
      <c r="B121" t="str">
        <f>Lookups!$D$31</f>
        <v>Liberty</v>
      </c>
      <c r="C121" t="str">
        <f>Lookups!$D$29</f>
        <v>Large C&amp;I</v>
      </c>
      <c r="D121" s="386" t="s">
        <v>29</v>
      </c>
      <c r="E121" s="455" t="s">
        <v>4</v>
      </c>
      <c r="F121" s="455" t="str">
        <f t="shared" si="18"/>
        <v>Sales</v>
      </c>
      <c r="G121" s="454" t="s">
        <v>313</v>
      </c>
      <c r="H121" s="454" t="s">
        <v>195</v>
      </c>
      <c r="I121" s="663">
        <v>11263405.136430969</v>
      </c>
      <c r="J121" s="650"/>
      <c r="K121" s="650" t="s">
        <v>64</v>
      </c>
      <c r="L121" s="323" t="str">
        <f t="shared" si="13"/>
        <v>Large C&amp;ILibertyRate Class DataSalesWinter SalesTherms</v>
      </c>
      <c r="M121" s="493" t="s">
        <v>17</v>
      </c>
      <c r="N121" s="675" t="s">
        <v>356</v>
      </c>
    </row>
    <row r="122" spans="2:14" hidden="1" x14ac:dyDescent="0.25">
      <c r="B122" t="str">
        <f>Lookups!$D$31</f>
        <v>Liberty</v>
      </c>
      <c r="C122" t="str">
        <f>Lookups!$D$29</f>
        <v>Large C&amp;I</v>
      </c>
      <c r="D122" s="386" t="s">
        <v>29</v>
      </c>
      <c r="E122" s="455" t="s">
        <v>4</v>
      </c>
      <c r="F122" s="455" t="str">
        <f t="shared" si="18"/>
        <v>Sales</v>
      </c>
      <c r="G122" s="454" t="s">
        <v>314</v>
      </c>
      <c r="H122" s="454" t="s">
        <v>195</v>
      </c>
      <c r="I122" s="663"/>
      <c r="J122" s="650"/>
      <c r="K122" s="650"/>
      <c r="L122" s="323" t="str">
        <f t="shared" si="13"/>
        <v>Large C&amp;ILibertyRate Class DataSalesSummer SalesTherms</v>
      </c>
      <c r="M122" s="493" t="s">
        <v>17</v>
      </c>
      <c r="N122" s="675" t="s">
        <v>357</v>
      </c>
    </row>
    <row r="123" spans="2:14" hidden="1" x14ac:dyDescent="0.25">
      <c r="B123" t="str">
        <f>Lookups!$D$31</f>
        <v>Liberty</v>
      </c>
      <c r="C123" t="str">
        <f>Lookups!$D$29</f>
        <v>Large C&amp;I</v>
      </c>
      <c r="D123" s="386" t="s">
        <v>29</v>
      </c>
      <c r="E123" s="455" t="s">
        <v>4</v>
      </c>
      <c r="F123" s="455" t="str">
        <f t="shared" si="18"/>
        <v>Sales</v>
      </c>
      <c r="G123" s="251" t="s">
        <v>15</v>
      </c>
      <c r="H123" s="251" t="s">
        <v>15</v>
      </c>
      <c r="I123" s="324">
        <v>2018</v>
      </c>
      <c r="J123" s="495"/>
      <c r="K123" s="495" t="s">
        <v>64</v>
      </c>
      <c r="L123" s="323" t="str">
        <f t="shared" si="13"/>
        <v>Large C&amp;ILibertyRate Class DataSalesYearYear</v>
      </c>
      <c r="M123" s="493" t="s">
        <v>17</v>
      </c>
      <c r="N123" s="493"/>
    </row>
    <row r="124" spans="2:14" hidden="1" x14ac:dyDescent="0.25">
      <c r="B124" t="str">
        <f>Lookups!$D$31</f>
        <v>Liberty</v>
      </c>
      <c r="C124" t="str">
        <f>Lookups!$D$29</f>
        <v>Large C&amp;I</v>
      </c>
      <c r="D124" s="386" t="s">
        <v>29</v>
      </c>
      <c r="E124" s="455" t="s">
        <v>4</v>
      </c>
      <c r="F124" s="455" t="str">
        <f t="shared" si="18"/>
        <v>Sales</v>
      </c>
      <c r="G124" s="251" t="s">
        <v>44</v>
      </c>
      <c r="H124" s="251" t="s">
        <v>16</v>
      </c>
      <c r="I124" s="251">
        <v>0</v>
      </c>
      <c r="J124" s="324" t="s">
        <v>177</v>
      </c>
      <c r="K124" s="324"/>
      <c r="L124" s="323" t="str">
        <f t="shared" si="13"/>
        <v>Large C&amp;ILibertyRate Class DataSalesAnnual Growth Rate%</v>
      </c>
      <c r="M124" s="493" t="s">
        <v>17</v>
      </c>
      <c r="N124" s="493"/>
    </row>
    <row r="125" spans="2:14" hidden="1" x14ac:dyDescent="0.25">
      <c r="B125" t="str">
        <f>Lookups!$D$31</f>
        <v>Liberty</v>
      </c>
      <c r="C125" t="str">
        <f>Lookups!$D$29</f>
        <v>Large C&amp;I</v>
      </c>
      <c r="D125" s="386" t="s">
        <v>29</v>
      </c>
      <c r="E125" s="386" t="s">
        <v>300</v>
      </c>
      <c r="F125" s="455" t="str">
        <f t="shared" si="18"/>
        <v>Average Annual Usage</v>
      </c>
      <c r="G125" s="386" t="s">
        <v>302</v>
      </c>
      <c r="H125" s="454" t="s">
        <v>195</v>
      </c>
      <c r="I125" s="459">
        <v>148228.91743625092</v>
      </c>
      <c r="J125" s="495" t="s">
        <v>190</v>
      </c>
      <c r="K125" s="495" t="s">
        <v>255</v>
      </c>
      <c r="L125" s="323" t="str">
        <f t="shared" si="13"/>
        <v>Large C&amp;ILibertyRate Class DataAverage Annual UsageWinter UsageTherms</v>
      </c>
      <c r="M125" s="493" t="s">
        <v>17</v>
      </c>
      <c r="N125" s="323"/>
    </row>
    <row r="126" spans="2:14" s="321" customFormat="1" hidden="1" x14ac:dyDescent="0.25">
      <c r="B126" t="str">
        <f>Lookups!$D$31</f>
        <v>Liberty</v>
      </c>
      <c r="C126" t="str">
        <f>Lookups!$D$29</f>
        <v>Large C&amp;I</v>
      </c>
      <c r="D126" s="386" t="s">
        <v>29</v>
      </c>
      <c r="E126" s="386" t="s">
        <v>300</v>
      </c>
      <c r="F126" s="455" t="str">
        <f t="shared" si="18"/>
        <v>Average Annual Usage</v>
      </c>
      <c r="G126" s="386" t="s">
        <v>301</v>
      </c>
      <c r="H126" s="454" t="s">
        <v>195</v>
      </c>
      <c r="I126" s="459">
        <v>44617.016125558046</v>
      </c>
      <c r="J126" s="495" t="s">
        <v>310</v>
      </c>
      <c r="K126" s="495" t="s">
        <v>255</v>
      </c>
      <c r="L126" s="323" t="str">
        <f t="shared" si="13"/>
        <v>Large C&amp;ILibertyRate Class DataAverage Annual UsageSummer UsageTherms</v>
      </c>
      <c r="M126" s="493" t="s">
        <v>17</v>
      </c>
      <c r="N126" s="673"/>
    </row>
    <row r="127" spans="2:14" hidden="1" x14ac:dyDescent="0.25">
      <c r="B127" t="str">
        <f>Lookups!$D$31</f>
        <v>Liberty</v>
      </c>
      <c r="C127" t="str">
        <f>Lookups!$D$29</f>
        <v>Large C&amp;I</v>
      </c>
      <c r="D127" s="386" t="s">
        <v>29</v>
      </c>
      <c r="E127" s="455" t="s">
        <v>129</v>
      </c>
      <c r="F127" s="455" t="s">
        <v>305</v>
      </c>
      <c r="G127" s="386" t="s">
        <v>50</v>
      </c>
      <c r="H127" s="454" t="s">
        <v>195</v>
      </c>
      <c r="I127" s="485"/>
      <c r="J127" s="492" t="s">
        <v>202</v>
      </c>
      <c r="K127" s="492"/>
      <c r="L127" s="658" t="str">
        <f t="shared" ref="L127:L136" si="19">C127&amp;B127&amp;D127&amp;E127&amp;F127&amp;G127&amp;H127</f>
        <v>Large C&amp;ILibertyRate Class DataRate Type DataWinterFirst Block MaximumTherms</v>
      </c>
      <c r="M127" s="493" t="s">
        <v>17</v>
      </c>
      <c r="N127" s="493"/>
    </row>
    <row r="128" spans="2:14" hidden="1" x14ac:dyDescent="0.25">
      <c r="B128" t="str">
        <f>Lookups!$D$31</f>
        <v>Liberty</v>
      </c>
      <c r="C128" t="str">
        <f>Lookups!$D$29</f>
        <v>Large C&amp;I</v>
      </c>
      <c r="D128" s="386" t="s">
        <v>29</v>
      </c>
      <c r="E128" s="455" t="s">
        <v>129</v>
      </c>
      <c r="F128" s="455" t="s">
        <v>305</v>
      </c>
      <c r="G128" s="386" t="s">
        <v>49</v>
      </c>
      <c r="H128" s="454" t="s">
        <v>195</v>
      </c>
      <c r="I128" s="485"/>
      <c r="J128" s="492" t="s">
        <v>202</v>
      </c>
      <c r="K128" s="492"/>
      <c r="L128" s="658" t="str">
        <f t="shared" si="19"/>
        <v>Large C&amp;ILibertyRate Class DataRate Type DataWinterSecond Block MaximumTherms</v>
      </c>
      <c r="M128" s="493" t="s">
        <v>17</v>
      </c>
      <c r="N128" s="493"/>
    </row>
    <row r="129" spans="1:14" hidden="1" x14ac:dyDescent="0.25">
      <c r="B129" t="str">
        <f>Lookups!$D$31</f>
        <v>Liberty</v>
      </c>
      <c r="C129" t="str">
        <f>Lookups!$D$29</f>
        <v>Large C&amp;I</v>
      </c>
      <c r="D129" s="386" t="s">
        <v>29</v>
      </c>
      <c r="E129" s="455" t="s">
        <v>129</v>
      </c>
      <c r="F129" s="455" t="s">
        <v>305</v>
      </c>
      <c r="G129" s="386" t="s">
        <v>130</v>
      </c>
      <c r="H129" s="454" t="s">
        <v>195</v>
      </c>
      <c r="I129" s="485"/>
      <c r="J129" s="492" t="s">
        <v>202</v>
      </c>
      <c r="K129" s="492"/>
      <c r="L129" s="658" t="str">
        <f t="shared" si="19"/>
        <v>Large C&amp;ILibertyRate Class DataRate Type DataWinterFirst Block Billing DeterminantsTherms</v>
      </c>
      <c r="M129" s="493" t="s">
        <v>17</v>
      </c>
      <c r="N129" s="494"/>
    </row>
    <row r="130" spans="1:14" hidden="1" x14ac:dyDescent="0.25">
      <c r="B130" t="str">
        <f>Lookups!$D$31</f>
        <v>Liberty</v>
      </c>
      <c r="C130" t="str">
        <f>Lookups!$D$29</f>
        <v>Large C&amp;I</v>
      </c>
      <c r="D130" s="386" t="s">
        <v>29</v>
      </c>
      <c r="E130" s="455" t="s">
        <v>129</v>
      </c>
      <c r="F130" s="455" t="s">
        <v>305</v>
      </c>
      <c r="G130" s="386" t="s">
        <v>131</v>
      </c>
      <c r="H130" s="454" t="s">
        <v>195</v>
      </c>
      <c r="I130" s="485"/>
      <c r="J130" s="492" t="s">
        <v>202</v>
      </c>
      <c r="K130" s="492"/>
      <c r="L130" s="658" t="str">
        <f t="shared" si="19"/>
        <v>Large C&amp;ILibertyRate Class DataRate Type DataWinterSecond Block Billing DeterminantsTherms</v>
      </c>
      <c r="M130" s="493" t="s">
        <v>17</v>
      </c>
      <c r="N130" s="494"/>
    </row>
    <row r="131" spans="1:14" hidden="1" x14ac:dyDescent="0.25">
      <c r="B131" t="str">
        <f>Lookups!$D$31</f>
        <v>Liberty</v>
      </c>
      <c r="C131" t="str">
        <f>Lookups!$D$29</f>
        <v>Large C&amp;I</v>
      </c>
      <c r="D131" s="386" t="s">
        <v>29</v>
      </c>
      <c r="E131" s="455" t="s">
        <v>129</v>
      </c>
      <c r="F131" s="455" t="s">
        <v>305</v>
      </c>
      <c r="G131" s="386" t="s">
        <v>132</v>
      </c>
      <c r="H131" s="454" t="s">
        <v>195</v>
      </c>
      <c r="I131" s="485"/>
      <c r="J131" s="492" t="s">
        <v>202</v>
      </c>
      <c r="K131" s="492"/>
      <c r="L131" s="658" t="str">
        <f t="shared" si="19"/>
        <v>Large C&amp;ILibertyRate Class DataRate Type DataWinterRemaining Billing DeterminantsTherms</v>
      </c>
      <c r="M131" s="493" t="s">
        <v>17</v>
      </c>
      <c r="N131" s="493"/>
    </row>
    <row r="132" spans="1:14" hidden="1" x14ac:dyDescent="0.25">
      <c r="B132" t="str">
        <f>Lookups!$D$31</f>
        <v>Liberty</v>
      </c>
      <c r="C132" t="str">
        <f>Lookups!$D$29</f>
        <v>Large C&amp;I</v>
      </c>
      <c r="D132" s="386" t="s">
        <v>29</v>
      </c>
      <c r="E132" s="455" t="s">
        <v>129</v>
      </c>
      <c r="F132" s="455" t="s">
        <v>306</v>
      </c>
      <c r="G132" s="386" t="s">
        <v>50</v>
      </c>
      <c r="H132" s="454" t="s">
        <v>195</v>
      </c>
      <c r="I132" s="485"/>
      <c r="J132" s="492" t="s">
        <v>202</v>
      </c>
      <c r="K132" s="492"/>
      <c r="L132" s="658" t="str">
        <f t="shared" si="19"/>
        <v>Large C&amp;ILibertyRate Class DataRate Type DataSummerFirst Block MaximumTherms</v>
      </c>
      <c r="M132" s="493" t="s">
        <v>17</v>
      </c>
      <c r="N132" s="493"/>
    </row>
    <row r="133" spans="1:14" hidden="1" x14ac:dyDescent="0.25">
      <c r="B133" t="str">
        <f>Lookups!$D$31</f>
        <v>Liberty</v>
      </c>
      <c r="C133" t="str">
        <f>Lookups!$D$29</f>
        <v>Large C&amp;I</v>
      </c>
      <c r="D133" s="386" t="s">
        <v>29</v>
      </c>
      <c r="E133" s="455" t="s">
        <v>129</v>
      </c>
      <c r="F133" s="455" t="s">
        <v>306</v>
      </c>
      <c r="G133" s="386" t="s">
        <v>49</v>
      </c>
      <c r="H133" s="454" t="s">
        <v>195</v>
      </c>
      <c r="I133" s="485"/>
      <c r="J133" s="492" t="s">
        <v>202</v>
      </c>
      <c r="K133" s="492"/>
      <c r="L133" s="658" t="str">
        <f t="shared" si="19"/>
        <v>Large C&amp;ILibertyRate Class DataRate Type DataSummerSecond Block MaximumTherms</v>
      </c>
      <c r="M133" s="493" t="s">
        <v>17</v>
      </c>
      <c r="N133" s="493"/>
    </row>
    <row r="134" spans="1:14" hidden="1" x14ac:dyDescent="0.25">
      <c r="A134" s="318"/>
      <c r="B134" t="str">
        <f>Lookups!$D$31</f>
        <v>Liberty</v>
      </c>
      <c r="C134" t="str">
        <f>Lookups!$D$29</f>
        <v>Large C&amp;I</v>
      </c>
      <c r="D134" s="386" t="s">
        <v>29</v>
      </c>
      <c r="E134" s="455" t="s">
        <v>129</v>
      </c>
      <c r="F134" s="455" t="s">
        <v>306</v>
      </c>
      <c r="G134" s="386" t="s">
        <v>130</v>
      </c>
      <c r="H134" s="454" t="s">
        <v>195</v>
      </c>
      <c r="I134" s="485"/>
      <c r="J134" s="492" t="s">
        <v>202</v>
      </c>
      <c r="K134" s="492"/>
      <c r="L134" s="658" t="str">
        <f t="shared" si="19"/>
        <v>Large C&amp;ILibertyRate Class DataRate Type DataSummerFirst Block Billing DeterminantsTherms</v>
      </c>
      <c r="M134" s="493" t="s">
        <v>17</v>
      </c>
      <c r="N134" s="493"/>
    </row>
    <row r="135" spans="1:14" s="59" customFormat="1" hidden="1" x14ac:dyDescent="0.25">
      <c r="B135" t="str">
        <f>Lookups!$D$31</f>
        <v>Liberty</v>
      </c>
      <c r="C135" t="str">
        <f>Lookups!$D$29</f>
        <v>Large C&amp;I</v>
      </c>
      <c r="D135" s="386" t="s">
        <v>29</v>
      </c>
      <c r="E135" s="455" t="s">
        <v>129</v>
      </c>
      <c r="F135" s="455" t="s">
        <v>306</v>
      </c>
      <c r="G135" s="386" t="s">
        <v>131</v>
      </c>
      <c r="H135" s="454" t="s">
        <v>195</v>
      </c>
      <c r="I135" s="485"/>
      <c r="J135" s="492" t="s">
        <v>202</v>
      </c>
      <c r="K135" s="492"/>
      <c r="L135" s="658" t="str">
        <f t="shared" si="19"/>
        <v>Large C&amp;ILibertyRate Class DataRate Type DataSummerSecond Block Billing DeterminantsTherms</v>
      </c>
      <c r="M135" s="493" t="s">
        <v>17</v>
      </c>
      <c r="N135" s="497"/>
    </row>
    <row r="136" spans="1:14" s="59" customFormat="1" hidden="1" x14ac:dyDescent="0.25">
      <c r="B136" t="str">
        <f>Lookups!$D$31</f>
        <v>Liberty</v>
      </c>
      <c r="C136" t="str">
        <f>Lookups!$D$29</f>
        <v>Large C&amp;I</v>
      </c>
      <c r="D136" s="386" t="s">
        <v>29</v>
      </c>
      <c r="E136" s="455" t="s">
        <v>129</v>
      </c>
      <c r="F136" s="455" t="s">
        <v>306</v>
      </c>
      <c r="G136" s="386" t="s">
        <v>132</v>
      </c>
      <c r="H136" s="454" t="s">
        <v>195</v>
      </c>
      <c r="I136" s="485"/>
      <c r="J136" s="492" t="s">
        <v>202</v>
      </c>
      <c r="K136" s="492"/>
      <c r="L136" s="658" t="str">
        <f t="shared" si="19"/>
        <v>Large C&amp;ILibertyRate Class DataRate Type DataSummerRemaining Billing DeterminantsTherms</v>
      </c>
      <c r="M136" s="493" t="s">
        <v>17</v>
      </c>
      <c r="N136" s="497"/>
    </row>
    <row r="137" spans="1:14" hidden="1" x14ac:dyDescent="0.25">
      <c r="B137" t="str">
        <f>Lookups!$D$31</f>
        <v>Liberty</v>
      </c>
      <c r="C137" t="str">
        <f>Lookups!$D$29</f>
        <v>Large C&amp;I</v>
      </c>
      <c r="D137" s="386" t="s">
        <v>46</v>
      </c>
      <c r="E137" s="455" t="s">
        <v>33</v>
      </c>
      <c r="F137" s="455" t="s">
        <v>305</v>
      </c>
      <c r="G137" s="386" t="s">
        <v>75</v>
      </c>
      <c r="H137" s="386" t="s">
        <v>31</v>
      </c>
      <c r="I137" s="457">
        <v>725.66</v>
      </c>
      <c r="J137" s="492"/>
      <c r="K137" s="492" t="s">
        <v>180</v>
      </c>
      <c r="L137" s="323" t="str">
        <f t="shared" si="13"/>
        <v>Large C&amp;ILibertyCurrent RatesCustomer or Meter ChargeCustomer Charge$/month</v>
      </c>
      <c r="M137" s="493" t="s">
        <v>17</v>
      </c>
      <c r="N137" s="500"/>
    </row>
    <row r="138" spans="1:14" hidden="1" x14ac:dyDescent="0.25">
      <c r="B138" t="str">
        <f>Lookups!$D$31</f>
        <v>Liberty</v>
      </c>
      <c r="C138" t="str">
        <f>Lookups!$D$29</f>
        <v>Large C&amp;I</v>
      </c>
      <c r="D138" s="386" t="s">
        <v>46</v>
      </c>
      <c r="E138" s="455" t="s">
        <v>33</v>
      </c>
      <c r="F138" s="455" t="s">
        <v>305</v>
      </c>
      <c r="G138" s="251" t="s">
        <v>61</v>
      </c>
      <c r="H138" s="251" t="s">
        <v>16</v>
      </c>
      <c r="I138" s="251">
        <v>0</v>
      </c>
      <c r="J138" s="324" t="s">
        <v>177</v>
      </c>
      <c r="K138" s="324"/>
      <c r="L138" s="323" t="str">
        <f t="shared" si="13"/>
        <v>Large C&amp;ILibertyCurrent RatesCustomer or Meter ChargeAnnual Rate Change%</v>
      </c>
      <c r="M138" s="493" t="s">
        <v>17</v>
      </c>
      <c r="N138" s="494"/>
    </row>
    <row r="139" spans="1:14" x14ac:dyDescent="0.25">
      <c r="B139" t="str">
        <f>Lookups!$D$31</f>
        <v>Liberty</v>
      </c>
      <c r="C139" t="str">
        <f>Lookups!$D$29</f>
        <v>Large C&amp;I</v>
      </c>
      <c r="D139" s="386" t="s">
        <v>46</v>
      </c>
      <c r="E139" s="455" t="s">
        <v>126</v>
      </c>
      <c r="F139" s="455" t="s">
        <v>305</v>
      </c>
      <c r="G139" s="386" t="s">
        <v>228</v>
      </c>
      <c r="H139" s="386" t="s">
        <v>182</v>
      </c>
      <c r="I139" s="485">
        <v>0.1181</v>
      </c>
      <c r="J139" s="492"/>
      <c r="K139" s="492" t="s">
        <v>180</v>
      </c>
      <c r="L139" s="658" t="str">
        <f t="shared" ref="L139:L147" si="20">C139&amp;B139&amp;D139&amp;E139&amp;F139&amp;G139&amp;H139</f>
        <v>Large C&amp;ILibertyCurrent RatesDistribution ChargesWinterTotal (no blocks)$/Therm</v>
      </c>
      <c r="M139" s="493" t="s">
        <v>17</v>
      </c>
      <c r="N139" s="494"/>
    </row>
    <row r="140" spans="1:14" hidden="1" x14ac:dyDescent="0.25">
      <c r="B140" t="str">
        <f>Lookups!$D$31</f>
        <v>Liberty</v>
      </c>
      <c r="C140" t="str">
        <f>Lookups!$D$29</f>
        <v>Large C&amp;I</v>
      </c>
      <c r="D140" s="386" t="s">
        <v>46</v>
      </c>
      <c r="E140" s="455" t="s">
        <v>126</v>
      </c>
      <c r="F140" s="455" t="s">
        <v>305</v>
      </c>
      <c r="G140" s="386" t="s">
        <v>122</v>
      </c>
      <c r="H140" s="386" t="s">
        <v>182</v>
      </c>
      <c r="I140" s="485"/>
      <c r="J140" s="492" t="s">
        <v>202</v>
      </c>
      <c r="K140" s="492"/>
      <c r="L140" s="658" t="str">
        <f t="shared" si="20"/>
        <v>Large C&amp;ILibertyCurrent RatesDistribution ChargesWinterFirst Block$/Therm</v>
      </c>
      <c r="M140" s="493" t="s">
        <v>17</v>
      </c>
      <c r="N140" s="501"/>
    </row>
    <row r="141" spans="1:14" hidden="1" x14ac:dyDescent="0.25">
      <c r="B141" t="str">
        <f>Lookups!$D$31</f>
        <v>Liberty</v>
      </c>
      <c r="C141" t="str">
        <f>Lookups!$D$29</f>
        <v>Large C&amp;I</v>
      </c>
      <c r="D141" s="386" t="s">
        <v>46</v>
      </c>
      <c r="E141" s="455" t="s">
        <v>126</v>
      </c>
      <c r="F141" s="455" t="s">
        <v>305</v>
      </c>
      <c r="G141" s="386" t="s">
        <v>123</v>
      </c>
      <c r="H141" s="386" t="s">
        <v>182</v>
      </c>
      <c r="I141" s="485"/>
      <c r="J141" s="492" t="s">
        <v>202</v>
      </c>
      <c r="K141" s="492"/>
      <c r="L141" s="658" t="str">
        <f t="shared" si="20"/>
        <v>Large C&amp;ILibertyCurrent RatesDistribution ChargesWinterSecond Block$/Therm</v>
      </c>
      <c r="M141" s="493" t="s">
        <v>17</v>
      </c>
      <c r="N141" s="501"/>
    </row>
    <row r="142" spans="1:14" hidden="1" x14ac:dyDescent="0.25">
      <c r="B142" t="str">
        <f>Lookups!$D$31</f>
        <v>Liberty</v>
      </c>
      <c r="C142" t="str">
        <f>Lookups!$D$29</f>
        <v>Large C&amp;I</v>
      </c>
      <c r="D142" s="386" t="s">
        <v>46</v>
      </c>
      <c r="E142" s="455" t="s">
        <v>126</v>
      </c>
      <c r="F142" s="455" t="s">
        <v>305</v>
      </c>
      <c r="G142" s="386" t="s">
        <v>47</v>
      </c>
      <c r="H142" s="386" t="s">
        <v>182</v>
      </c>
      <c r="I142" s="485"/>
      <c r="J142" s="492" t="s">
        <v>202</v>
      </c>
      <c r="K142" s="492"/>
      <c r="L142" s="658" t="str">
        <f t="shared" si="20"/>
        <v>Large C&amp;ILibertyCurrent RatesDistribution ChargesWinterThird Block$/Therm</v>
      </c>
      <c r="M142" s="493" t="s">
        <v>17</v>
      </c>
      <c r="N142" s="493"/>
    </row>
    <row r="143" spans="1:14" x14ac:dyDescent="0.25">
      <c r="B143" t="str">
        <f>Lookups!$D$31</f>
        <v>Liberty</v>
      </c>
      <c r="C143" t="str">
        <f>Lookups!$D$29</f>
        <v>Large C&amp;I</v>
      </c>
      <c r="D143" s="386" t="s">
        <v>46</v>
      </c>
      <c r="E143" s="455" t="s">
        <v>126</v>
      </c>
      <c r="F143" s="455" t="str">
        <f>E143</f>
        <v>Distribution Charges</v>
      </c>
      <c r="G143" s="251" t="s">
        <v>61</v>
      </c>
      <c r="H143" s="251" t="s">
        <v>16</v>
      </c>
      <c r="I143" s="251">
        <v>0</v>
      </c>
      <c r="J143" s="324" t="s">
        <v>177</v>
      </c>
      <c r="K143" s="324"/>
      <c r="L143" s="323" t="str">
        <f>C143&amp;B143&amp;D143&amp;E143&amp;G143&amp;H143</f>
        <v>Large C&amp;ILibertyCurrent RatesDistribution ChargesAnnual Rate Change%</v>
      </c>
      <c r="M143" s="493" t="s">
        <v>17</v>
      </c>
      <c r="N143" s="493"/>
    </row>
    <row r="144" spans="1:14" s="59" customFormat="1" x14ac:dyDescent="0.25">
      <c r="B144" t="str">
        <f>Lookups!$D$31</f>
        <v>Liberty</v>
      </c>
      <c r="C144" t="str">
        <f>Lookups!$D$29</f>
        <v>Large C&amp;I</v>
      </c>
      <c r="D144" s="386" t="s">
        <v>46</v>
      </c>
      <c r="E144" s="455" t="s">
        <v>126</v>
      </c>
      <c r="F144" s="455" t="s">
        <v>306</v>
      </c>
      <c r="G144" s="386" t="s">
        <v>228</v>
      </c>
      <c r="H144" s="386" t="s">
        <v>182</v>
      </c>
      <c r="I144" s="674">
        <f>I139</f>
        <v>0.1181</v>
      </c>
      <c r="J144" s="657"/>
      <c r="K144" s="657"/>
      <c r="L144" s="658" t="str">
        <f t="shared" si="20"/>
        <v>Large C&amp;ILibertyCurrent RatesDistribution ChargesSummerTotal (no blocks)$/Therm</v>
      </c>
      <c r="M144" s="493" t="s">
        <v>17</v>
      </c>
      <c r="N144" s="675" t="s">
        <v>357</v>
      </c>
    </row>
    <row r="145" spans="2:14" s="59" customFormat="1" hidden="1" x14ac:dyDescent="0.25">
      <c r="B145" t="str">
        <f>Lookups!$D$31</f>
        <v>Liberty</v>
      </c>
      <c r="C145" t="str">
        <f>Lookups!$D$29</f>
        <v>Large C&amp;I</v>
      </c>
      <c r="D145" s="386" t="s">
        <v>46</v>
      </c>
      <c r="E145" s="455" t="s">
        <v>126</v>
      </c>
      <c r="F145" s="455" t="s">
        <v>306</v>
      </c>
      <c r="G145" s="386" t="s">
        <v>122</v>
      </c>
      <c r="H145" s="386" t="s">
        <v>182</v>
      </c>
      <c r="I145" s="485"/>
      <c r="J145" s="492" t="s">
        <v>202</v>
      </c>
      <c r="K145" s="492"/>
      <c r="L145" s="658" t="str">
        <f t="shared" si="20"/>
        <v>Large C&amp;ILibertyCurrent RatesDistribution ChargesSummerFirst Block$/Therm</v>
      </c>
      <c r="M145" s="493" t="s">
        <v>17</v>
      </c>
      <c r="N145" s="497"/>
    </row>
    <row r="146" spans="2:14" s="59" customFormat="1" hidden="1" x14ac:dyDescent="0.25">
      <c r="B146" t="str">
        <f>Lookups!$D$31</f>
        <v>Liberty</v>
      </c>
      <c r="C146" t="str">
        <f>Lookups!$D$29</f>
        <v>Large C&amp;I</v>
      </c>
      <c r="D146" s="386" t="s">
        <v>46</v>
      </c>
      <c r="E146" s="455" t="s">
        <v>126</v>
      </c>
      <c r="F146" s="455" t="s">
        <v>306</v>
      </c>
      <c r="G146" s="386" t="s">
        <v>123</v>
      </c>
      <c r="H146" s="386" t="s">
        <v>182</v>
      </c>
      <c r="I146" s="485"/>
      <c r="J146" s="492" t="s">
        <v>202</v>
      </c>
      <c r="K146" s="492"/>
      <c r="L146" s="658" t="str">
        <f t="shared" si="20"/>
        <v>Large C&amp;ILibertyCurrent RatesDistribution ChargesSummerSecond Block$/Therm</v>
      </c>
      <c r="M146" s="493" t="s">
        <v>17</v>
      </c>
      <c r="N146" s="497"/>
    </row>
    <row r="147" spans="2:14" s="59" customFormat="1" hidden="1" x14ac:dyDescent="0.25">
      <c r="B147" t="str">
        <f>Lookups!$D$31</f>
        <v>Liberty</v>
      </c>
      <c r="C147" t="str">
        <f>Lookups!$D$29</f>
        <v>Large C&amp;I</v>
      </c>
      <c r="D147" s="386" t="s">
        <v>46</v>
      </c>
      <c r="E147" s="455" t="s">
        <v>126</v>
      </c>
      <c r="F147" s="455" t="s">
        <v>306</v>
      </c>
      <c r="G147" s="386" t="s">
        <v>47</v>
      </c>
      <c r="H147" s="386" t="s">
        <v>182</v>
      </c>
      <c r="I147" s="485"/>
      <c r="J147" s="492" t="s">
        <v>202</v>
      </c>
      <c r="K147" s="492"/>
      <c r="L147" s="658" t="str">
        <f t="shared" si="20"/>
        <v>Large C&amp;ILibertyCurrent RatesDistribution ChargesSummerThird Block$/Therm</v>
      </c>
      <c r="M147" s="493" t="s">
        <v>17</v>
      </c>
      <c r="N147" s="497"/>
    </row>
    <row r="148" spans="2:14" s="59" customFormat="1" hidden="1" x14ac:dyDescent="0.25">
      <c r="B148" t="str">
        <f>Lookups!$D$31</f>
        <v>Liberty</v>
      </c>
      <c r="C148" t="str">
        <f>Lookups!$D$29</f>
        <v>Large C&amp;I</v>
      </c>
      <c r="D148" s="386" t="s">
        <v>46</v>
      </c>
      <c r="E148" s="455" t="s">
        <v>214</v>
      </c>
      <c r="F148" s="455" t="str">
        <f t="shared" ref="F148:F153" si="21">E148</f>
        <v>Local Distribution Adjustment Charge (LDAC)</v>
      </c>
      <c r="G148" s="455" t="s">
        <v>340</v>
      </c>
      <c r="H148" s="386" t="s">
        <v>182</v>
      </c>
      <c r="I148" s="486">
        <f>I111</f>
        <v>5.2000000000000032E-3</v>
      </c>
      <c r="J148" s="495"/>
      <c r="K148" s="495" t="str">
        <f>K111</f>
        <v>File name: LU_Gas_LDAC_BackupData_20200221</v>
      </c>
      <c r="L148" s="323" t="str">
        <f t="shared" ref="L148:L153" si="22">C148&amp;B148&amp;D148&amp;E148&amp;G148&amp;H148</f>
        <v>Large C&amp;ILibertyCurrent RatesLocal Distribution Adjustment Charge (LDAC)Winter Rate$/Therm</v>
      </c>
      <c r="M148" s="493" t="s">
        <v>17</v>
      </c>
      <c r="N148" s="493"/>
    </row>
    <row r="149" spans="2:14" s="59" customFormat="1" hidden="1" x14ac:dyDescent="0.25">
      <c r="B149" t="str">
        <f>Lookups!$D$31</f>
        <v>Liberty</v>
      </c>
      <c r="C149" t="str">
        <f>Lookups!$D$29</f>
        <v>Large C&amp;I</v>
      </c>
      <c r="D149" s="386" t="s">
        <v>46</v>
      </c>
      <c r="E149" s="455" t="s">
        <v>214</v>
      </c>
      <c r="F149" s="455" t="str">
        <f>E149</f>
        <v>Local Distribution Adjustment Charge (LDAC)</v>
      </c>
      <c r="G149" s="455" t="s">
        <v>341</v>
      </c>
      <c r="H149" s="386" t="s">
        <v>182</v>
      </c>
      <c r="I149" s="486">
        <f>I112</f>
        <v>5.2000000000000032E-3</v>
      </c>
      <c r="J149" s="495"/>
      <c r="K149" s="495" t="str">
        <f>K112</f>
        <v>File name: LU_Gas_LDAC_BackupData_20200221</v>
      </c>
      <c r="L149" s="323" t="str">
        <f>C149&amp;B149&amp;D149&amp;E149&amp;G149&amp;H149</f>
        <v>Large C&amp;ILibertyCurrent RatesLocal Distribution Adjustment Charge (LDAC)Summer Rate$/Therm</v>
      </c>
      <c r="M149" s="493" t="s">
        <v>17</v>
      </c>
      <c r="N149" s="497"/>
    </row>
    <row r="150" spans="2:14" s="59" customFormat="1" hidden="1" x14ac:dyDescent="0.25">
      <c r="B150" t="str">
        <f>Lookups!$D$31</f>
        <v>Liberty</v>
      </c>
      <c r="C150" t="str">
        <f>Lookups!$D$29</f>
        <v>Large C&amp;I</v>
      </c>
      <c r="D150" s="386" t="s">
        <v>46</v>
      </c>
      <c r="E150" s="455" t="s">
        <v>214</v>
      </c>
      <c r="F150" s="455" t="str">
        <f t="shared" si="21"/>
        <v>Local Distribution Adjustment Charge (LDAC)</v>
      </c>
      <c r="G150" s="251" t="s">
        <v>61</v>
      </c>
      <c r="H150" s="251" t="s">
        <v>16</v>
      </c>
      <c r="I150" s="251">
        <v>0</v>
      </c>
      <c r="J150" s="324" t="s">
        <v>177</v>
      </c>
      <c r="K150" s="324"/>
      <c r="L150" s="323" t="str">
        <f t="shared" si="22"/>
        <v>Large C&amp;ILibertyCurrent RatesLocal Distribution Adjustment Charge (LDAC)Annual Rate Change%</v>
      </c>
      <c r="M150" s="493" t="s">
        <v>17</v>
      </c>
      <c r="N150" s="497"/>
    </row>
    <row r="151" spans="2:14" hidden="1" x14ac:dyDescent="0.25">
      <c r="B151" t="str">
        <f>Lookups!$D$31</f>
        <v>Liberty</v>
      </c>
      <c r="C151" t="str">
        <f>Lookups!$D$29</f>
        <v>Large C&amp;I</v>
      </c>
      <c r="D151" s="386" t="s">
        <v>46</v>
      </c>
      <c r="E151" s="455" t="s">
        <v>183</v>
      </c>
      <c r="F151" s="455" t="str">
        <f t="shared" si="21"/>
        <v>Cost of Gas Charge</v>
      </c>
      <c r="G151" s="455" t="s">
        <v>340</v>
      </c>
      <c r="H151" s="386" t="s">
        <v>182</v>
      </c>
      <c r="I151" s="485">
        <f>I114</f>
        <v>0.61899999999999999</v>
      </c>
      <c r="J151" s="492" t="s">
        <v>250</v>
      </c>
      <c r="K151" s="492" t="s">
        <v>248</v>
      </c>
      <c r="L151" s="323" t="str">
        <f t="shared" si="22"/>
        <v>Large C&amp;ILibertyCurrent RatesCost of Gas ChargeWinter Rate$/Therm</v>
      </c>
      <c r="M151" s="493" t="s">
        <v>17</v>
      </c>
      <c r="N151" s="493"/>
    </row>
    <row r="152" spans="2:14" s="59" customFormat="1" hidden="1" x14ac:dyDescent="0.25">
      <c r="B152" t="str">
        <f>Lookups!$D$31</f>
        <v>Liberty</v>
      </c>
      <c r="C152" t="str">
        <f>Lookups!$D$29</f>
        <v>Large C&amp;I</v>
      </c>
      <c r="D152" s="386" t="s">
        <v>46</v>
      </c>
      <c r="E152" s="455" t="s">
        <v>183</v>
      </c>
      <c r="F152" s="455" t="str">
        <f>E152</f>
        <v>Cost of Gas Charge</v>
      </c>
      <c r="G152" s="455" t="s">
        <v>341</v>
      </c>
      <c r="H152" s="386" t="s">
        <v>182</v>
      </c>
      <c r="I152" s="674">
        <f>I151</f>
        <v>0.61899999999999999</v>
      </c>
      <c r="J152" s="657"/>
      <c r="K152" s="657"/>
      <c r="L152" s="323" t="str">
        <f>C152&amp;B152&amp;D152&amp;E152&amp;G152&amp;H152</f>
        <v>Large C&amp;ILibertyCurrent RatesCost of Gas ChargeSummer Rate$/Therm</v>
      </c>
      <c r="M152" s="493" t="s">
        <v>17</v>
      </c>
      <c r="N152" s="487" t="s">
        <v>357</v>
      </c>
    </row>
    <row r="153" spans="2:14" hidden="1" x14ac:dyDescent="0.25">
      <c r="B153" t="str">
        <f>Lookups!$D$31</f>
        <v>Liberty</v>
      </c>
      <c r="C153" t="str">
        <f>Lookups!$D$29</f>
        <v>Large C&amp;I</v>
      </c>
      <c r="D153" s="386" t="s">
        <v>46</v>
      </c>
      <c r="E153" s="455" t="s">
        <v>183</v>
      </c>
      <c r="F153" s="455" t="str">
        <f t="shared" si="21"/>
        <v>Cost of Gas Charge</v>
      </c>
      <c r="G153" s="251" t="s">
        <v>61</v>
      </c>
      <c r="H153" s="251" t="s">
        <v>16</v>
      </c>
      <c r="I153" s="251">
        <v>0</v>
      </c>
      <c r="J153" s="324" t="s">
        <v>177</v>
      </c>
      <c r="K153" s="324"/>
      <c r="L153" s="323" t="str">
        <f t="shared" si="22"/>
        <v>Large C&amp;ILibertyCurrent RatesCost of Gas ChargeAnnual Rate Change%</v>
      </c>
      <c r="M153" s="493" t="s">
        <v>17</v>
      </c>
      <c r="N153" s="493"/>
    </row>
    <row r="154" spans="2:14" hidden="1" x14ac:dyDescent="0.25">
      <c r="B154" t="str">
        <f>Lookups!$D$32</f>
        <v>Unitil</v>
      </c>
      <c r="C154" t="str">
        <f>Lookups!$D$26</f>
        <v>Residential</v>
      </c>
      <c r="D154" s="386" t="s">
        <v>29</v>
      </c>
      <c r="E154" s="455" t="s">
        <v>27</v>
      </c>
      <c r="F154" s="455" t="str">
        <f t="shared" si="18"/>
        <v>Rate Class</v>
      </c>
      <c r="G154" s="455" t="s">
        <v>128</v>
      </c>
      <c r="H154" s="251" t="s">
        <v>140</v>
      </c>
      <c r="I154" s="386" t="s">
        <v>199</v>
      </c>
      <c r="J154" s="492" t="s">
        <v>200</v>
      </c>
      <c r="K154" s="492" t="s">
        <v>201</v>
      </c>
      <c r="L154" s="323" t="str">
        <f t="shared" ref="L154:L212" si="23">C154&amp;B154&amp;D154&amp;E154&amp;G154&amp;H154</f>
        <v>ResidentialUnitilRate Class DataRate ClassRate NameName</v>
      </c>
      <c r="M154" s="493" t="s">
        <v>17</v>
      </c>
    </row>
    <row r="155" spans="2:14" s="59" customFormat="1" hidden="1" x14ac:dyDescent="0.25">
      <c r="B155" t="str">
        <f>Lookups!$D$32</f>
        <v>Unitil</v>
      </c>
      <c r="C155" t="str">
        <f>Lookups!$D$26</f>
        <v>Residential</v>
      </c>
      <c r="D155" s="386" t="s">
        <v>29</v>
      </c>
      <c r="E155" s="455" t="s">
        <v>3</v>
      </c>
      <c r="F155" s="455" t="str">
        <f t="shared" si="18"/>
        <v>Customers</v>
      </c>
      <c r="G155" s="454" t="s">
        <v>3</v>
      </c>
      <c r="H155" s="454" t="s">
        <v>48</v>
      </c>
      <c r="I155" s="459">
        <v>24647</v>
      </c>
      <c r="J155" s="495" t="s">
        <v>207</v>
      </c>
      <c r="K155" s="495" t="s">
        <v>206</v>
      </c>
      <c r="L155" s="323" t="str">
        <f t="shared" si="23"/>
        <v>ResidentialUnitilRate Class DataCustomersCustomersAccounts</v>
      </c>
      <c r="M155" s="493" t="s">
        <v>17</v>
      </c>
      <c r="N155" s="497"/>
    </row>
    <row r="156" spans="2:14" s="59" customFormat="1" hidden="1" x14ac:dyDescent="0.25">
      <c r="B156" t="str">
        <f>Lookups!$D$32</f>
        <v>Unitil</v>
      </c>
      <c r="C156" t="str">
        <f>Lookups!$D$26</f>
        <v>Residential</v>
      </c>
      <c r="D156" s="386" t="s">
        <v>29</v>
      </c>
      <c r="E156" s="455" t="s">
        <v>3</v>
      </c>
      <c r="F156" s="455" t="str">
        <f t="shared" si="18"/>
        <v>Customers</v>
      </c>
      <c r="G156" s="251" t="s">
        <v>15</v>
      </c>
      <c r="H156" s="251" t="s">
        <v>15</v>
      </c>
      <c r="I156" s="324">
        <v>2018</v>
      </c>
      <c r="J156" s="324"/>
      <c r="K156" s="495" t="s">
        <v>206</v>
      </c>
      <c r="L156" s="323" t="str">
        <f t="shared" si="23"/>
        <v>ResidentialUnitilRate Class DataCustomersYearYear</v>
      </c>
      <c r="M156" s="493" t="s">
        <v>17</v>
      </c>
      <c r="N156" s="497"/>
    </row>
    <row r="157" spans="2:14" hidden="1" x14ac:dyDescent="0.25">
      <c r="B157" t="str">
        <f>Lookups!$D$32</f>
        <v>Unitil</v>
      </c>
      <c r="C157" t="str">
        <f>Lookups!$D$26</f>
        <v>Residential</v>
      </c>
      <c r="D157" s="386" t="s">
        <v>29</v>
      </c>
      <c r="E157" s="455" t="s">
        <v>3</v>
      </c>
      <c r="F157" s="455" t="str">
        <f t="shared" si="18"/>
        <v>Customers</v>
      </c>
      <c r="G157" s="251" t="s">
        <v>44</v>
      </c>
      <c r="H157" s="251" t="s">
        <v>16</v>
      </c>
      <c r="I157" s="251">
        <v>0</v>
      </c>
      <c r="J157" s="324" t="s">
        <v>177</v>
      </c>
      <c r="K157" s="324"/>
      <c r="L157" s="323" t="str">
        <f t="shared" si="23"/>
        <v>ResidentialUnitilRate Class DataCustomersAnnual Growth Rate%</v>
      </c>
      <c r="M157" s="493" t="s">
        <v>17</v>
      </c>
      <c r="N157" s="493"/>
    </row>
    <row r="158" spans="2:14" hidden="1" x14ac:dyDescent="0.25">
      <c r="B158" t="str">
        <f>Lookups!$D$32</f>
        <v>Unitil</v>
      </c>
      <c r="C158" t="str">
        <f>Lookups!$D$26</f>
        <v>Residential</v>
      </c>
      <c r="D158" s="386" t="s">
        <v>29</v>
      </c>
      <c r="E158" s="455" t="s">
        <v>4</v>
      </c>
      <c r="F158" s="455" t="str">
        <f t="shared" si="18"/>
        <v>Sales</v>
      </c>
      <c r="G158" s="454" t="s">
        <v>313</v>
      </c>
      <c r="H158" s="454" t="s">
        <v>195</v>
      </c>
      <c r="I158" s="460">
        <v>16114604.15</v>
      </c>
      <c r="J158" s="495" t="s">
        <v>315</v>
      </c>
      <c r="K158" s="495" t="s">
        <v>208</v>
      </c>
      <c r="L158" s="323" t="str">
        <f t="shared" si="23"/>
        <v>ResidentialUnitilRate Class DataSalesWinter SalesTherms</v>
      </c>
      <c r="M158" s="493" t="s">
        <v>17</v>
      </c>
      <c r="N158" s="494"/>
    </row>
    <row r="159" spans="2:14" hidden="1" x14ac:dyDescent="0.25">
      <c r="B159" t="str">
        <f>Lookups!$D$32</f>
        <v>Unitil</v>
      </c>
      <c r="C159" t="str">
        <f>Lookups!$D$26</f>
        <v>Residential</v>
      </c>
      <c r="D159" s="386" t="s">
        <v>29</v>
      </c>
      <c r="E159" s="455" t="s">
        <v>4</v>
      </c>
      <c r="F159" s="455" t="str">
        <f t="shared" si="18"/>
        <v>Sales</v>
      </c>
      <c r="G159" s="454" t="s">
        <v>314</v>
      </c>
      <c r="H159" s="454" t="s">
        <v>195</v>
      </c>
      <c r="I159" s="460">
        <v>3065148.8000000003</v>
      </c>
      <c r="J159" s="495" t="s">
        <v>316</v>
      </c>
      <c r="K159" s="495" t="s">
        <v>208</v>
      </c>
      <c r="L159" s="323" t="str">
        <f t="shared" si="23"/>
        <v>ResidentialUnitilRate Class DataSalesSummer SalesTherms</v>
      </c>
      <c r="M159" s="493" t="s">
        <v>17</v>
      </c>
      <c r="N159" s="494"/>
    </row>
    <row r="160" spans="2:14" s="59" customFormat="1" hidden="1" x14ac:dyDescent="0.25">
      <c r="B160" t="str">
        <f>Lookups!$D$32</f>
        <v>Unitil</v>
      </c>
      <c r="C160" t="str">
        <f>Lookups!$D$26</f>
        <v>Residential</v>
      </c>
      <c r="D160" s="386" t="s">
        <v>29</v>
      </c>
      <c r="E160" s="455" t="s">
        <v>4</v>
      </c>
      <c r="F160" s="455" t="str">
        <f t="shared" si="18"/>
        <v>Sales</v>
      </c>
      <c r="G160" s="251" t="s">
        <v>15</v>
      </c>
      <c r="H160" s="251" t="s">
        <v>15</v>
      </c>
      <c r="I160" s="324">
        <v>2018</v>
      </c>
      <c r="J160" s="324"/>
      <c r="K160" s="495" t="s">
        <v>208</v>
      </c>
      <c r="L160" s="323" t="str">
        <f t="shared" si="23"/>
        <v>ResidentialUnitilRate Class DataSalesYearYear</v>
      </c>
      <c r="M160" s="493" t="s">
        <v>17</v>
      </c>
      <c r="N160" s="497"/>
    </row>
    <row r="161" spans="1:14" s="59" customFormat="1" hidden="1" x14ac:dyDescent="0.25">
      <c r="B161" t="str">
        <f>Lookups!$D$32</f>
        <v>Unitil</v>
      </c>
      <c r="C161" t="str">
        <f>Lookups!$D$26</f>
        <v>Residential</v>
      </c>
      <c r="D161" s="386" t="s">
        <v>29</v>
      </c>
      <c r="E161" s="455" t="s">
        <v>4</v>
      </c>
      <c r="F161" s="455" t="str">
        <f t="shared" si="18"/>
        <v>Sales</v>
      </c>
      <c r="G161" s="251" t="s">
        <v>44</v>
      </c>
      <c r="H161" s="251" t="s">
        <v>16</v>
      </c>
      <c r="I161" s="251">
        <v>0</v>
      </c>
      <c r="J161" s="324" t="s">
        <v>177</v>
      </c>
      <c r="K161" s="324"/>
      <c r="L161" s="323" t="str">
        <f t="shared" si="23"/>
        <v>ResidentialUnitilRate Class DataSalesAnnual Growth Rate%</v>
      </c>
      <c r="M161" s="493" t="s">
        <v>17</v>
      </c>
      <c r="N161" s="497"/>
    </row>
    <row r="162" spans="1:14" s="59" customFormat="1" hidden="1" x14ac:dyDescent="0.25">
      <c r="B162" t="str">
        <f>Lookups!$D$32</f>
        <v>Unitil</v>
      </c>
      <c r="C162" t="str">
        <f>Lookups!$D$26</f>
        <v>Residential</v>
      </c>
      <c r="D162" s="386" t="s">
        <v>29</v>
      </c>
      <c r="E162" s="386" t="s">
        <v>300</v>
      </c>
      <c r="F162" s="455" t="str">
        <f t="shared" si="18"/>
        <v>Average Annual Usage</v>
      </c>
      <c r="G162" s="386" t="s">
        <v>302</v>
      </c>
      <c r="H162" s="454" t="s">
        <v>195</v>
      </c>
      <c r="I162" s="505">
        <f>627</f>
        <v>627</v>
      </c>
      <c r="J162" s="495" t="s">
        <v>190</v>
      </c>
      <c r="K162" s="324" t="s">
        <v>209</v>
      </c>
      <c r="L162" s="323" t="str">
        <f t="shared" si="23"/>
        <v>ResidentialUnitilRate Class DataAverage Annual UsageWinter UsageTherms</v>
      </c>
      <c r="M162" s="493" t="s">
        <v>17</v>
      </c>
      <c r="N162" s="497"/>
    </row>
    <row r="163" spans="1:14" s="321" customFormat="1" hidden="1" x14ac:dyDescent="0.25">
      <c r="B163" t="str">
        <f>Lookups!$D$32</f>
        <v>Unitil</v>
      </c>
      <c r="C163" t="str">
        <f>Lookups!$D$26</f>
        <v>Residential</v>
      </c>
      <c r="D163" s="386" t="s">
        <v>29</v>
      </c>
      <c r="E163" s="386" t="s">
        <v>300</v>
      </c>
      <c r="F163" s="455" t="str">
        <f t="shared" si="18"/>
        <v>Average Annual Usage</v>
      </c>
      <c r="G163" s="386" t="s">
        <v>301</v>
      </c>
      <c r="H163" s="454" t="s">
        <v>195</v>
      </c>
      <c r="I163" s="459">
        <v>131</v>
      </c>
      <c r="J163" s="495" t="s">
        <v>310</v>
      </c>
      <c r="K163" s="324" t="s">
        <v>209</v>
      </c>
      <c r="L163" s="323" t="str">
        <f t="shared" si="23"/>
        <v>ResidentialUnitilRate Class DataAverage Annual UsageSummer UsageTherms</v>
      </c>
      <c r="M163" s="493" t="s">
        <v>17</v>
      </c>
      <c r="N163" s="494"/>
    </row>
    <row r="164" spans="1:14" s="59" customFormat="1" hidden="1" x14ac:dyDescent="0.25">
      <c r="B164" t="str">
        <f>Lookups!$D$32</f>
        <v>Unitil</v>
      </c>
      <c r="C164" t="str">
        <f>Lookups!$D$26</f>
        <v>Residential</v>
      </c>
      <c r="D164" s="386" t="s">
        <v>29</v>
      </c>
      <c r="E164" s="455" t="s">
        <v>129</v>
      </c>
      <c r="F164" s="455" t="s">
        <v>305</v>
      </c>
      <c r="G164" s="386" t="s">
        <v>50</v>
      </c>
      <c r="H164" s="454" t="s">
        <v>195</v>
      </c>
      <c r="I164" s="454"/>
      <c r="J164" s="492" t="s">
        <v>202</v>
      </c>
      <c r="K164" s="492"/>
      <c r="L164" s="658" t="str">
        <f t="shared" ref="L164:L173" si="24">C164&amp;B164&amp;D164&amp;E164&amp;F164&amp;G164&amp;H164</f>
        <v>ResidentialUnitilRate Class DataRate Type DataWinterFirst Block MaximumTherms</v>
      </c>
      <c r="M164" s="493" t="s">
        <v>17</v>
      </c>
      <c r="N164" s="497"/>
    </row>
    <row r="165" spans="1:14" hidden="1" x14ac:dyDescent="0.25">
      <c r="B165" t="str">
        <f>Lookups!$D$32</f>
        <v>Unitil</v>
      </c>
      <c r="C165" t="str">
        <f>Lookups!$D$26</f>
        <v>Residential</v>
      </c>
      <c r="D165" s="386" t="s">
        <v>29</v>
      </c>
      <c r="E165" s="455" t="s">
        <v>129</v>
      </c>
      <c r="F165" s="455" t="s">
        <v>305</v>
      </c>
      <c r="G165" s="386" t="s">
        <v>49</v>
      </c>
      <c r="H165" s="454" t="s">
        <v>195</v>
      </c>
      <c r="I165" s="454"/>
      <c r="J165" s="492" t="s">
        <v>202</v>
      </c>
      <c r="K165" s="492"/>
      <c r="L165" s="658" t="str">
        <f t="shared" si="24"/>
        <v>ResidentialUnitilRate Class DataRate Type DataWinterSecond Block MaximumTherms</v>
      </c>
      <c r="M165" s="493" t="s">
        <v>17</v>
      </c>
      <c r="N165" s="493"/>
    </row>
    <row r="166" spans="1:14" hidden="1" x14ac:dyDescent="0.25">
      <c r="B166" t="str">
        <f>Lookups!$D$32</f>
        <v>Unitil</v>
      </c>
      <c r="C166" t="str">
        <f>Lookups!$D$26</f>
        <v>Residential</v>
      </c>
      <c r="D166" s="386" t="s">
        <v>29</v>
      </c>
      <c r="E166" s="455" t="s">
        <v>129</v>
      </c>
      <c r="F166" s="455" t="s">
        <v>305</v>
      </c>
      <c r="G166" s="386" t="s">
        <v>130</v>
      </c>
      <c r="H166" s="454" t="s">
        <v>195</v>
      </c>
      <c r="I166" s="456"/>
      <c r="J166" s="492" t="s">
        <v>202</v>
      </c>
      <c r="K166" s="492"/>
      <c r="L166" s="658" t="str">
        <f t="shared" si="24"/>
        <v>ResidentialUnitilRate Class DataRate Type DataWinterFirst Block Billing DeterminantsTherms</v>
      </c>
      <c r="M166" s="493" t="s">
        <v>17</v>
      </c>
      <c r="N166" s="493"/>
    </row>
    <row r="167" spans="1:14" hidden="1" x14ac:dyDescent="0.25">
      <c r="B167" t="str">
        <f>Lookups!$D$32</f>
        <v>Unitil</v>
      </c>
      <c r="C167" t="str">
        <f>Lookups!$D$26</f>
        <v>Residential</v>
      </c>
      <c r="D167" s="386" t="s">
        <v>29</v>
      </c>
      <c r="E167" s="455" t="s">
        <v>129</v>
      </c>
      <c r="F167" s="455" t="s">
        <v>305</v>
      </c>
      <c r="G167" s="386" t="s">
        <v>131</v>
      </c>
      <c r="H167" s="454" t="s">
        <v>195</v>
      </c>
      <c r="I167" s="456"/>
      <c r="J167" s="492" t="s">
        <v>202</v>
      </c>
      <c r="K167" s="492"/>
      <c r="L167" s="658" t="str">
        <f t="shared" si="24"/>
        <v>ResidentialUnitilRate Class DataRate Type DataWinterSecond Block Billing DeterminantsTherms</v>
      </c>
      <c r="M167" s="493" t="s">
        <v>17</v>
      </c>
      <c r="N167" s="493"/>
    </row>
    <row r="168" spans="1:14" hidden="1" x14ac:dyDescent="0.25">
      <c r="B168" t="str">
        <f>Lookups!$D$32</f>
        <v>Unitil</v>
      </c>
      <c r="C168" t="str">
        <f>Lookups!$D$26</f>
        <v>Residential</v>
      </c>
      <c r="D168" s="386" t="s">
        <v>29</v>
      </c>
      <c r="E168" s="455" t="s">
        <v>129</v>
      </c>
      <c r="F168" s="455" t="s">
        <v>305</v>
      </c>
      <c r="G168" s="386" t="s">
        <v>132</v>
      </c>
      <c r="H168" s="454" t="s">
        <v>195</v>
      </c>
      <c r="I168" s="456"/>
      <c r="J168" s="492" t="s">
        <v>202</v>
      </c>
      <c r="K168" s="492"/>
      <c r="L168" s="658" t="str">
        <f t="shared" si="24"/>
        <v>ResidentialUnitilRate Class DataRate Type DataWinterRemaining Billing DeterminantsTherms</v>
      </c>
      <c r="M168" s="493" t="s">
        <v>17</v>
      </c>
      <c r="N168" s="493"/>
    </row>
    <row r="169" spans="1:14" hidden="1" x14ac:dyDescent="0.25">
      <c r="B169" t="str">
        <f>Lookups!$D$32</f>
        <v>Unitil</v>
      </c>
      <c r="C169" t="str">
        <f>Lookups!$D$26</f>
        <v>Residential</v>
      </c>
      <c r="D169" s="386" t="s">
        <v>29</v>
      </c>
      <c r="E169" s="455" t="s">
        <v>129</v>
      </c>
      <c r="F169" s="455" t="s">
        <v>306</v>
      </c>
      <c r="G169" s="386" t="s">
        <v>50</v>
      </c>
      <c r="H169" s="454" t="s">
        <v>195</v>
      </c>
      <c r="I169" s="454"/>
      <c r="J169" s="492" t="s">
        <v>202</v>
      </c>
      <c r="K169" s="492"/>
      <c r="L169" s="658" t="str">
        <f t="shared" si="24"/>
        <v>ResidentialUnitilRate Class DataRate Type DataSummerFirst Block MaximumTherms</v>
      </c>
      <c r="M169" s="493" t="s">
        <v>17</v>
      </c>
      <c r="N169" s="493"/>
    </row>
    <row r="170" spans="1:14" hidden="1" x14ac:dyDescent="0.25">
      <c r="B170" t="str">
        <f>Lookups!$D$32</f>
        <v>Unitil</v>
      </c>
      <c r="C170" t="str">
        <f>Lookups!$D$26</f>
        <v>Residential</v>
      </c>
      <c r="D170" s="386" t="s">
        <v>29</v>
      </c>
      <c r="E170" s="455" t="s">
        <v>129</v>
      </c>
      <c r="F170" s="455" t="s">
        <v>306</v>
      </c>
      <c r="G170" s="386" t="s">
        <v>49</v>
      </c>
      <c r="H170" s="454" t="s">
        <v>195</v>
      </c>
      <c r="I170" s="454"/>
      <c r="J170" s="492" t="s">
        <v>202</v>
      </c>
      <c r="K170" s="492"/>
      <c r="L170" s="658" t="str">
        <f t="shared" si="24"/>
        <v>ResidentialUnitilRate Class DataRate Type DataSummerSecond Block MaximumTherms</v>
      </c>
      <c r="M170" s="493" t="s">
        <v>17</v>
      </c>
      <c r="N170" s="493"/>
    </row>
    <row r="171" spans="1:14" hidden="1" x14ac:dyDescent="0.25">
      <c r="A171" s="318"/>
      <c r="B171" t="str">
        <f>Lookups!$D$32</f>
        <v>Unitil</v>
      </c>
      <c r="C171" t="str">
        <f>Lookups!$D$26</f>
        <v>Residential</v>
      </c>
      <c r="D171" s="386" t="s">
        <v>29</v>
      </c>
      <c r="E171" s="455" t="s">
        <v>129</v>
      </c>
      <c r="F171" s="455" t="s">
        <v>306</v>
      </c>
      <c r="G171" s="386" t="s">
        <v>130</v>
      </c>
      <c r="H171" s="454" t="s">
        <v>195</v>
      </c>
      <c r="I171" s="456"/>
      <c r="J171" s="492" t="s">
        <v>202</v>
      </c>
      <c r="K171" s="492"/>
      <c r="L171" s="658" t="str">
        <f t="shared" si="24"/>
        <v>ResidentialUnitilRate Class DataRate Type DataSummerFirst Block Billing DeterminantsTherms</v>
      </c>
      <c r="M171" s="493" t="s">
        <v>17</v>
      </c>
      <c r="N171" s="493"/>
    </row>
    <row r="172" spans="1:14" s="59" customFormat="1" hidden="1" x14ac:dyDescent="0.25">
      <c r="B172" t="str">
        <f>Lookups!$D$32</f>
        <v>Unitil</v>
      </c>
      <c r="C172" t="str">
        <f>Lookups!$D$26</f>
        <v>Residential</v>
      </c>
      <c r="D172" s="386" t="s">
        <v>29</v>
      </c>
      <c r="E172" s="455" t="s">
        <v>129</v>
      </c>
      <c r="F172" s="455" t="s">
        <v>306</v>
      </c>
      <c r="G172" s="386" t="s">
        <v>131</v>
      </c>
      <c r="H172" s="454" t="s">
        <v>195</v>
      </c>
      <c r="I172" s="456"/>
      <c r="J172" s="492" t="s">
        <v>202</v>
      </c>
      <c r="K172" s="492"/>
      <c r="L172" s="658" t="str">
        <f t="shared" si="24"/>
        <v>ResidentialUnitilRate Class DataRate Type DataSummerSecond Block Billing DeterminantsTherms</v>
      </c>
      <c r="M172" s="493" t="s">
        <v>17</v>
      </c>
      <c r="N172" s="497"/>
    </row>
    <row r="173" spans="1:14" s="59" customFormat="1" hidden="1" x14ac:dyDescent="0.25">
      <c r="B173" t="str">
        <f>Lookups!$D$32</f>
        <v>Unitil</v>
      </c>
      <c r="C173" t="str">
        <f>Lookups!$D$26</f>
        <v>Residential</v>
      </c>
      <c r="D173" s="386" t="s">
        <v>29</v>
      </c>
      <c r="E173" s="455" t="s">
        <v>129</v>
      </c>
      <c r="F173" s="455" t="s">
        <v>306</v>
      </c>
      <c r="G173" s="386" t="s">
        <v>132</v>
      </c>
      <c r="H173" s="454" t="s">
        <v>195</v>
      </c>
      <c r="I173" s="456"/>
      <c r="J173" s="492" t="s">
        <v>202</v>
      </c>
      <c r="K173" s="492"/>
      <c r="L173" s="658" t="str">
        <f t="shared" si="24"/>
        <v>ResidentialUnitilRate Class DataRate Type DataSummerRemaining Billing DeterminantsTherms</v>
      </c>
      <c r="M173" s="493" t="s">
        <v>17</v>
      </c>
      <c r="N173" s="497"/>
    </row>
    <row r="174" spans="1:14" hidden="1" x14ac:dyDescent="0.25">
      <c r="B174" t="str">
        <f>Lookups!$D$32</f>
        <v>Unitil</v>
      </c>
      <c r="C174" t="str">
        <f>Lookups!$D$26</f>
        <v>Residential</v>
      </c>
      <c r="D174" s="386" t="s">
        <v>46</v>
      </c>
      <c r="E174" s="455" t="s">
        <v>33</v>
      </c>
      <c r="F174" s="455" t="s">
        <v>305</v>
      </c>
      <c r="G174" s="386" t="s">
        <v>75</v>
      </c>
      <c r="H174" s="386" t="s">
        <v>31</v>
      </c>
      <c r="I174" s="457">
        <v>22.2</v>
      </c>
      <c r="J174" s="492"/>
      <c r="K174" s="492" t="s">
        <v>201</v>
      </c>
      <c r="L174" s="323" t="str">
        <f t="shared" si="23"/>
        <v>ResidentialUnitilCurrent RatesCustomer or Meter ChargeCustomer Charge$/month</v>
      </c>
      <c r="M174" s="493" t="s">
        <v>17</v>
      </c>
      <c r="N174" s="493"/>
    </row>
    <row r="175" spans="1:14" hidden="1" x14ac:dyDescent="0.25">
      <c r="B175" t="str">
        <f>Lookups!$D$32</f>
        <v>Unitil</v>
      </c>
      <c r="C175" t="str">
        <f>Lookups!$D$26</f>
        <v>Residential</v>
      </c>
      <c r="D175" s="386" t="s">
        <v>46</v>
      </c>
      <c r="E175" s="455" t="s">
        <v>33</v>
      </c>
      <c r="F175" s="455" t="s">
        <v>305</v>
      </c>
      <c r="G175" s="251" t="s">
        <v>61</v>
      </c>
      <c r="H175" s="251" t="s">
        <v>16</v>
      </c>
      <c r="I175" s="251">
        <v>0</v>
      </c>
      <c r="J175" s="324" t="s">
        <v>177</v>
      </c>
      <c r="K175" s="324"/>
      <c r="L175" s="323" t="str">
        <f t="shared" si="23"/>
        <v>ResidentialUnitilCurrent RatesCustomer or Meter ChargeAnnual Rate Change%</v>
      </c>
      <c r="M175" s="493" t="s">
        <v>17</v>
      </c>
      <c r="N175" s="493"/>
    </row>
    <row r="176" spans="1:14" x14ac:dyDescent="0.25">
      <c r="B176" t="str">
        <f>Lookups!$D$32</f>
        <v>Unitil</v>
      </c>
      <c r="C176" t="str">
        <f>Lookups!$D$26</f>
        <v>Residential</v>
      </c>
      <c r="D176" s="386" t="s">
        <v>46</v>
      </c>
      <c r="E176" s="455" t="s">
        <v>126</v>
      </c>
      <c r="F176" s="455" t="s">
        <v>305</v>
      </c>
      <c r="G176" s="386" t="s">
        <v>228</v>
      </c>
      <c r="H176" s="386" t="s">
        <v>182</v>
      </c>
      <c r="I176" s="485">
        <v>0.69199999999999995</v>
      </c>
      <c r="J176" s="492"/>
      <c r="K176" s="492" t="s">
        <v>201</v>
      </c>
      <c r="L176" s="658" t="str">
        <f t="shared" ref="L176:L184" si="25">C176&amp;B176&amp;D176&amp;E176&amp;F176&amp;G176&amp;H176</f>
        <v>ResidentialUnitilCurrent RatesDistribution ChargesWinterTotal (no blocks)$/Therm</v>
      </c>
      <c r="M176" s="493" t="s">
        <v>17</v>
      </c>
      <c r="N176" s="493"/>
    </row>
    <row r="177" spans="2:14" hidden="1" x14ac:dyDescent="0.25">
      <c r="B177" t="str">
        <f>Lookups!$D$32</f>
        <v>Unitil</v>
      </c>
      <c r="C177" t="str">
        <f>Lookups!$D$26</f>
        <v>Residential</v>
      </c>
      <c r="D177" s="386" t="s">
        <v>46</v>
      </c>
      <c r="E177" s="455" t="s">
        <v>126</v>
      </c>
      <c r="F177" s="455" t="s">
        <v>305</v>
      </c>
      <c r="G177" s="386" t="s">
        <v>122</v>
      </c>
      <c r="H177" s="386" t="s">
        <v>182</v>
      </c>
      <c r="I177" s="485"/>
      <c r="J177" s="492" t="s">
        <v>202</v>
      </c>
      <c r="K177" s="492"/>
      <c r="L177" s="658" t="str">
        <f t="shared" si="25"/>
        <v>ResidentialUnitilCurrent RatesDistribution ChargesWinterFirst Block$/Therm</v>
      </c>
      <c r="M177" s="493" t="s">
        <v>17</v>
      </c>
      <c r="N177" s="493"/>
    </row>
    <row r="178" spans="2:14" hidden="1" x14ac:dyDescent="0.25">
      <c r="B178" t="str">
        <f>Lookups!$D$32</f>
        <v>Unitil</v>
      </c>
      <c r="C178" t="str">
        <f>Lookups!$D$26</f>
        <v>Residential</v>
      </c>
      <c r="D178" s="386" t="s">
        <v>46</v>
      </c>
      <c r="E178" s="455" t="s">
        <v>126</v>
      </c>
      <c r="F178" s="455" t="s">
        <v>305</v>
      </c>
      <c r="G178" s="386" t="s">
        <v>123</v>
      </c>
      <c r="H178" s="386" t="s">
        <v>182</v>
      </c>
      <c r="I178" s="485"/>
      <c r="J178" s="492" t="s">
        <v>202</v>
      </c>
      <c r="K178" s="492"/>
      <c r="L178" s="658" t="str">
        <f t="shared" si="25"/>
        <v>ResidentialUnitilCurrent RatesDistribution ChargesWinterSecond Block$/Therm</v>
      </c>
      <c r="M178" s="493" t="s">
        <v>17</v>
      </c>
      <c r="N178" s="493"/>
    </row>
    <row r="179" spans="2:14" hidden="1" x14ac:dyDescent="0.25">
      <c r="B179" t="str">
        <f>Lookups!$D$32</f>
        <v>Unitil</v>
      </c>
      <c r="C179" t="str">
        <f>Lookups!$D$26</f>
        <v>Residential</v>
      </c>
      <c r="D179" s="386" t="s">
        <v>46</v>
      </c>
      <c r="E179" s="455" t="s">
        <v>126</v>
      </c>
      <c r="F179" s="455" t="s">
        <v>305</v>
      </c>
      <c r="G179" s="386" t="s">
        <v>47</v>
      </c>
      <c r="H179" s="386" t="s">
        <v>182</v>
      </c>
      <c r="I179" s="485"/>
      <c r="J179" s="492" t="s">
        <v>202</v>
      </c>
      <c r="K179" s="492"/>
      <c r="L179" s="658" t="str">
        <f t="shared" si="25"/>
        <v>ResidentialUnitilCurrent RatesDistribution ChargesWinterThird Block$/Therm</v>
      </c>
      <c r="M179" s="493" t="s">
        <v>17</v>
      </c>
      <c r="N179" s="493"/>
    </row>
    <row r="180" spans="2:14" x14ac:dyDescent="0.25">
      <c r="B180" t="str">
        <f>Lookups!$D$32</f>
        <v>Unitil</v>
      </c>
      <c r="C180" t="str">
        <f>Lookups!$D$26</f>
        <v>Residential</v>
      </c>
      <c r="D180" s="386" t="s">
        <v>46</v>
      </c>
      <c r="E180" s="455" t="s">
        <v>126</v>
      </c>
      <c r="F180" s="455" t="str">
        <f>E180</f>
        <v>Distribution Charges</v>
      </c>
      <c r="G180" s="251" t="s">
        <v>61</v>
      </c>
      <c r="H180" s="251" t="s">
        <v>16</v>
      </c>
      <c r="I180" s="251">
        <v>0</v>
      </c>
      <c r="J180" s="324" t="s">
        <v>177</v>
      </c>
      <c r="K180" s="324"/>
      <c r="L180" s="323" t="str">
        <f>C180&amp;B180&amp;D180&amp;E180&amp;G180&amp;H180</f>
        <v>ResidentialUnitilCurrent RatesDistribution ChargesAnnual Rate Change%</v>
      </c>
      <c r="M180" s="493" t="s">
        <v>17</v>
      </c>
    </row>
    <row r="181" spans="2:14" s="59" customFormat="1" x14ac:dyDescent="0.25">
      <c r="B181" t="str">
        <f>Lookups!$D$32</f>
        <v>Unitil</v>
      </c>
      <c r="C181" t="str">
        <f>Lookups!$D$26</f>
        <v>Residential</v>
      </c>
      <c r="D181" s="386" t="s">
        <v>46</v>
      </c>
      <c r="E181" s="455" t="s">
        <v>126</v>
      </c>
      <c r="F181" s="455" t="s">
        <v>306</v>
      </c>
      <c r="G181" s="386" t="s">
        <v>228</v>
      </c>
      <c r="H181" s="386" t="s">
        <v>182</v>
      </c>
      <c r="I181" s="485">
        <v>0.6099</v>
      </c>
      <c r="J181" s="492"/>
      <c r="K181" s="492" t="s">
        <v>201</v>
      </c>
      <c r="L181" s="658" t="str">
        <f t="shared" si="25"/>
        <v>ResidentialUnitilCurrent RatesDistribution ChargesSummerTotal (no blocks)$/Therm</v>
      </c>
      <c r="M181" s="493" t="s">
        <v>17</v>
      </c>
      <c r="N181" s="497"/>
    </row>
    <row r="182" spans="2:14" s="59" customFormat="1" hidden="1" x14ac:dyDescent="0.25">
      <c r="B182" t="str">
        <f>Lookups!$D$32</f>
        <v>Unitil</v>
      </c>
      <c r="C182" t="str">
        <f>Lookups!$D$26</f>
        <v>Residential</v>
      </c>
      <c r="D182" s="386" t="s">
        <v>46</v>
      </c>
      <c r="E182" s="455" t="s">
        <v>126</v>
      </c>
      <c r="F182" s="455" t="s">
        <v>306</v>
      </c>
      <c r="G182" s="386" t="s">
        <v>122</v>
      </c>
      <c r="H182" s="386" t="s">
        <v>182</v>
      </c>
      <c r="I182" s="485"/>
      <c r="J182" s="492" t="s">
        <v>202</v>
      </c>
      <c r="K182" s="492"/>
      <c r="L182" s="658" t="str">
        <f t="shared" si="25"/>
        <v>ResidentialUnitilCurrent RatesDistribution ChargesSummerFirst Block$/Therm</v>
      </c>
      <c r="M182" s="493" t="s">
        <v>17</v>
      </c>
      <c r="N182" s="497"/>
    </row>
    <row r="183" spans="2:14" s="59" customFormat="1" hidden="1" x14ac:dyDescent="0.25">
      <c r="B183" t="str">
        <f>Lookups!$D$32</f>
        <v>Unitil</v>
      </c>
      <c r="C183" t="str">
        <f>Lookups!$D$26</f>
        <v>Residential</v>
      </c>
      <c r="D183" s="386" t="s">
        <v>46</v>
      </c>
      <c r="E183" s="455" t="s">
        <v>126</v>
      </c>
      <c r="F183" s="455" t="s">
        <v>306</v>
      </c>
      <c r="G183" s="386" t="s">
        <v>123</v>
      </c>
      <c r="H183" s="386" t="s">
        <v>182</v>
      </c>
      <c r="I183" s="485"/>
      <c r="J183" s="492" t="s">
        <v>202</v>
      </c>
      <c r="K183" s="492"/>
      <c r="L183" s="658" t="str">
        <f t="shared" si="25"/>
        <v>ResidentialUnitilCurrent RatesDistribution ChargesSummerSecond Block$/Therm</v>
      </c>
      <c r="M183" s="493" t="s">
        <v>17</v>
      </c>
      <c r="N183" s="497"/>
    </row>
    <row r="184" spans="2:14" s="59" customFormat="1" hidden="1" x14ac:dyDescent="0.25">
      <c r="B184" t="str">
        <f>Lookups!$D$32</f>
        <v>Unitil</v>
      </c>
      <c r="C184" t="str">
        <f>Lookups!$D$26</f>
        <v>Residential</v>
      </c>
      <c r="D184" s="386" t="s">
        <v>46</v>
      </c>
      <c r="E184" s="455" t="s">
        <v>126</v>
      </c>
      <c r="F184" s="455" t="s">
        <v>306</v>
      </c>
      <c r="G184" s="386" t="s">
        <v>47</v>
      </c>
      <c r="H184" s="386" t="s">
        <v>182</v>
      </c>
      <c r="I184" s="485"/>
      <c r="J184" s="492" t="s">
        <v>202</v>
      </c>
      <c r="K184" s="492"/>
      <c r="L184" s="658" t="str">
        <f t="shared" si="25"/>
        <v>ResidentialUnitilCurrent RatesDistribution ChargesSummerThird Block$/Therm</v>
      </c>
      <c r="M184" s="493" t="s">
        <v>17</v>
      </c>
      <c r="N184" s="497"/>
    </row>
    <row r="185" spans="2:14" s="59" customFormat="1" hidden="1" x14ac:dyDescent="0.25">
      <c r="B185" t="str">
        <f>Lookups!$D$32</f>
        <v>Unitil</v>
      </c>
      <c r="C185" t="str">
        <f>Lookups!$D$26</f>
        <v>Residential</v>
      </c>
      <c r="D185" s="386" t="s">
        <v>46</v>
      </c>
      <c r="E185" s="455" t="s">
        <v>214</v>
      </c>
      <c r="F185" s="455" t="str">
        <f t="shared" ref="F185:F190" si="26">E185</f>
        <v>Local Distribution Adjustment Charge (LDAC)</v>
      </c>
      <c r="G185" s="455" t="s">
        <v>340</v>
      </c>
      <c r="H185" s="386" t="s">
        <v>182</v>
      </c>
      <c r="I185" s="486">
        <f>0.04693-0.01615</f>
        <v>3.0779999999999998E-2</v>
      </c>
      <c r="J185" s="495" t="s">
        <v>216</v>
      </c>
      <c r="K185" s="495" t="s">
        <v>215</v>
      </c>
      <c r="L185" s="323" t="str">
        <f t="shared" ref="L185:L190" si="27">C185&amp;B185&amp;D185&amp;E185&amp;G185&amp;H185</f>
        <v>ResidentialUnitilCurrent RatesLocal Distribution Adjustment Charge (LDAC)Winter Rate$/Therm</v>
      </c>
      <c r="M185" s="493" t="s">
        <v>17</v>
      </c>
      <c r="N185" s="497"/>
    </row>
    <row r="186" spans="2:14" s="59" customFormat="1" hidden="1" x14ac:dyDescent="0.25">
      <c r="B186" t="str">
        <f>Lookups!$D$32</f>
        <v>Unitil</v>
      </c>
      <c r="C186" t="str">
        <f>Lookups!$D$26</f>
        <v>Residential</v>
      </c>
      <c r="D186" s="386" t="s">
        <v>46</v>
      </c>
      <c r="E186" s="455" t="s">
        <v>214</v>
      </c>
      <c r="F186" s="455" t="str">
        <f>E186</f>
        <v>Local Distribution Adjustment Charge (LDAC)</v>
      </c>
      <c r="G186" s="455" t="s">
        <v>341</v>
      </c>
      <c r="H186" s="386" t="s">
        <v>182</v>
      </c>
      <c r="I186" s="486">
        <f>0.04693-0.01615</f>
        <v>3.0779999999999998E-2</v>
      </c>
      <c r="J186" s="495" t="s">
        <v>216</v>
      </c>
      <c r="K186" s="495" t="s">
        <v>215</v>
      </c>
      <c r="L186" s="323" t="str">
        <f>C186&amp;B186&amp;D186&amp;E186&amp;G186&amp;H186</f>
        <v>ResidentialUnitilCurrent RatesLocal Distribution Adjustment Charge (LDAC)Summer Rate$/Therm</v>
      </c>
      <c r="M186" s="493" t="s">
        <v>17</v>
      </c>
      <c r="N186" s="487"/>
    </row>
    <row r="187" spans="2:14" s="59" customFormat="1" hidden="1" x14ac:dyDescent="0.25">
      <c r="B187" t="str">
        <f>Lookups!$D$32</f>
        <v>Unitil</v>
      </c>
      <c r="C187" t="str">
        <f>Lookups!$D$26</f>
        <v>Residential</v>
      </c>
      <c r="D187" s="386" t="s">
        <v>46</v>
      </c>
      <c r="E187" s="455" t="s">
        <v>214</v>
      </c>
      <c r="F187" s="455" t="str">
        <f t="shared" si="26"/>
        <v>Local Distribution Adjustment Charge (LDAC)</v>
      </c>
      <c r="G187" s="251" t="s">
        <v>61</v>
      </c>
      <c r="H187" s="251" t="s">
        <v>16</v>
      </c>
      <c r="I187" s="251">
        <v>0</v>
      </c>
      <c r="J187" s="324" t="s">
        <v>177</v>
      </c>
      <c r="K187" s="324"/>
      <c r="L187" s="323" t="str">
        <f t="shared" si="27"/>
        <v>ResidentialUnitilCurrent RatesLocal Distribution Adjustment Charge (LDAC)Annual Rate Change%</v>
      </c>
      <c r="M187" s="493" t="s">
        <v>17</v>
      </c>
      <c r="N187" s="497"/>
    </row>
    <row r="188" spans="2:14" hidden="1" x14ac:dyDescent="0.25">
      <c r="B188" t="str">
        <f>Lookups!$D$32</f>
        <v>Unitil</v>
      </c>
      <c r="C188" t="str">
        <f>Lookups!$D$26</f>
        <v>Residential</v>
      </c>
      <c r="D188" s="386" t="s">
        <v>46</v>
      </c>
      <c r="E188" s="455" t="s">
        <v>183</v>
      </c>
      <c r="F188" s="455" t="str">
        <f t="shared" si="26"/>
        <v>Cost of Gas Charge</v>
      </c>
      <c r="G188" s="455" t="s">
        <v>340</v>
      </c>
      <c r="H188" s="386" t="s">
        <v>182</v>
      </c>
      <c r="I188" s="486">
        <v>0.58609999999999995</v>
      </c>
      <c r="J188" s="495"/>
      <c r="K188" s="495" t="s">
        <v>209</v>
      </c>
      <c r="L188" s="323" t="str">
        <f t="shared" si="27"/>
        <v>ResidentialUnitilCurrent RatesCost of Gas ChargeWinter Rate$/Therm</v>
      </c>
      <c r="M188" s="493" t="s">
        <v>17</v>
      </c>
      <c r="N188" s="493"/>
    </row>
    <row r="189" spans="2:14" s="59" customFormat="1" hidden="1" x14ac:dyDescent="0.25">
      <c r="B189" t="str">
        <f>Lookups!$D$32</f>
        <v>Unitil</v>
      </c>
      <c r="C189" t="str">
        <f>Lookups!$D$26</f>
        <v>Residential</v>
      </c>
      <c r="D189" s="386" t="s">
        <v>46</v>
      </c>
      <c r="E189" s="455" t="s">
        <v>183</v>
      </c>
      <c r="F189" s="455" t="str">
        <f>E189</f>
        <v>Cost of Gas Charge</v>
      </c>
      <c r="G189" s="455" t="s">
        <v>341</v>
      </c>
      <c r="H189" s="386" t="s">
        <v>182</v>
      </c>
      <c r="I189" s="486">
        <v>0.27679999999999999</v>
      </c>
      <c r="J189" s="495"/>
      <c r="K189" s="495" t="s">
        <v>209</v>
      </c>
      <c r="L189" s="323" t="str">
        <f>C189&amp;B189&amp;D189&amp;E189&amp;G189&amp;H189</f>
        <v>ResidentialUnitilCurrent RatesCost of Gas ChargeSummer Rate$/Therm</v>
      </c>
      <c r="M189" s="493" t="s">
        <v>17</v>
      </c>
      <c r="N189" s="497"/>
    </row>
    <row r="190" spans="2:14" hidden="1" x14ac:dyDescent="0.25">
      <c r="B190" t="str">
        <f>Lookups!$D$32</f>
        <v>Unitil</v>
      </c>
      <c r="C190" t="str">
        <f>Lookups!$D$26</f>
        <v>Residential</v>
      </c>
      <c r="D190" s="386" t="s">
        <v>46</v>
      </c>
      <c r="E190" s="455" t="s">
        <v>183</v>
      </c>
      <c r="F190" s="455" t="str">
        <f t="shared" si="26"/>
        <v>Cost of Gas Charge</v>
      </c>
      <c r="G190" s="251" t="s">
        <v>61</v>
      </c>
      <c r="H190" s="251" t="s">
        <v>16</v>
      </c>
      <c r="I190" s="251">
        <v>0</v>
      </c>
      <c r="J190" s="324" t="s">
        <v>177</v>
      </c>
      <c r="K190" s="324"/>
      <c r="L190" s="323" t="str">
        <f t="shared" si="27"/>
        <v>ResidentialUnitilCurrent RatesCost of Gas ChargeAnnual Rate Change%</v>
      </c>
      <c r="M190" s="493" t="s">
        <v>17</v>
      </c>
      <c r="N190" s="493"/>
    </row>
    <row r="191" spans="2:14" s="59" customFormat="1" hidden="1" x14ac:dyDescent="0.25">
      <c r="B191" t="str">
        <f>Lookups!$D$32</f>
        <v>Unitil</v>
      </c>
      <c r="C191" t="str">
        <f>Lookups!$D$27</f>
        <v>Low-Income</v>
      </c>
      <c r="D191" s="386" t="s">
        <v>29</v>
      </c>
      <c r="E191" s="455" t="s">
        <v>27</v>
      </c>
      <c r="F191" s="455" t="str">
        <f t="shared" si="18"/>
        <v>Rate Class</v>
      </c>
      <c r="G191" s="455" t="s">
        <v>128</v>
      </c>
      <c r="H191" s="251" t="s">
        <v>140</v>
      </c>
      <c r="I191" s="386" t="s">
        <v>204</v>
      </c>
      <c r="J191" s="492" t="s">
        <v>205</v>
      </c>
      <c r="K191" s="492" t="s">
        <v>201</v>
      </c>
      <c r="L191" s="323" t="str">
        <f t="shared" si="23"/>
        <v>Low-IncomeUnitilRate Class DataRate ClassRate NameName</v>
      </c>
      <c r="M191" s="493" t="s">
        <v>17</v>
      </c>
      <c r="N191" s="497"/>
    </row>
    <row r="192" spans="2:14" s="59" customFormat="1" hidden="1" x14ac:dyDescent="0.25">
      <c r="B192" t="str">
        <f>Lookups!$D$32</f>
        <v>Unitil</v>
      </c>
      <c r="C192" t="str">
        <f>Lookups!$D$27</f>
        <v>Low-Income</v>
      </c>
      <c r="D192" s="386" t="s">
        <v>29</v>
      </c>
      <c r="E192" s="455" t="s">
        <v>3</v>
      </c>
      <c r="F192" s="455" t="str">
        <f t="shared" si="18"/>
        <v>Customers</v>
      </c>
      <c r="G192" s="454" t="s">
        <v>3</v>
      </c>
      <c r="H192" s="454" t="s">
        <v>48</v>
      </c>
      <c r="I192" s="459">
        <v>794</v>
      </c>
      <c r="J192" s="495" t="s">
        <v>207</v>
      </c>
      <c r="K192" s="495" t="s">
        <v>206</v>
      </c>
      <c r="L192" s="323" t="str">
        <f t="shared" si="23"/>
        <v>Low-IncomeUnitilRate Class DataCustomersCustomersAccounts</v>
      </c>
      <c r="M192" s="493" t="s">
        <v>17</v>
      </c>
      <c r="N192" s="497"/>
    </row>
    <row r="193" spans="1:14" hidden="1" x14ac:dyDescent="0.25">
      <c r="B193" t="str">
        <f>Lookups!$D$32</f>
        <v>Unitil</v>
      </c>
      <c r="C193" t="str">
        <f>Lookups!$D$27</f>
        <v>Low-Income</v>
      </c>
      <c r="D193" s="386" t="s">
        <v>29</v>
      </c>
      <c r="E193" s="455" t="s">
        <v>3</v>
      </c>
      <c r="F193" s="455" t="str">
        <f t="shared" si="18"/>
        <v>Customers</v>
      </c>
      <c r="G193" s="251" t="s">
        <v>15</v>
      </c>
      <c r="H193" s="251" t="s">
        <v>15</v>
      </c>
      <c r="I193" s="324">
        <v>2018</v>
      </c>
      <c r="J193" s="324"/>
      <c r="K193" s="495" t="s">
        <v>206</v>
      </c>
      <c r="L193" s="323" t="str">
        <f t="shared" si="23"/>
        <v>Low-IncomeUnitilRate Class DataCustomersYearYear</v>
      </c>
      <c r="M193" s="493" t="s">
        <v>17</v>
      </c>
      <c r="N193" s="493"/>
    </row>
    <row r="194" spans="1:14" hidden="1" x14ac:dyDescent="0.25">
      <c r="B194" t="str">
        <f>Lookups!$D$32</f>
        <v>Unitil</v>
      </c>
      <c r="C194" t="str">
        <f>Lookups!$D$27</f>
        <v>Low-Income</v>
      </c>
      <c r="D194" s="386" t="s">
        <v>29</v>
      </c>
      <c r="E194" s="455" t="s">
        <v>3</v>
      </c>
      <c r="F194" s="455" t="str">
        <f t="shared" si="18"/>
        <v>Customers</v>
      </c>
      <c r="G194" s="251" t="s">
        <v>44</v>
      </c>
      <c r="H194" s="251" t="s">
        <v>16</v>
      </c>
      <c r="I194" s="251">
        <v>0</v>
      </c>
      <c r="J194" s="324" t="s">
        <v>177</v>
      </c>
      <c r="K194" s="324"/>
      <c r="L194" s="323" t="str">
        <f t="shared" si="23"/>
        <v>Low-IncomeUnitilRate Class DataCustomersAnnual Growth Rate%</v>
      </c>
      <c r="M194" s="493" t="s">
        <v>17</v>
      </c>
      <c r="N194" s="493"/>
    </row>
    <row r="195" spans="1:14" hidden="1" x14ac:dyDescent="0.25">
      <c r="B195" t="str">
        <f>Lookups!$D$32</f>
        <v>Unitil</v>
      </c>
      <c r="C195" t="str">
        <f>Lookups!$D$27</f>
        <v>Low-Income</v>
      </c>
      <c r="D195" s="386" t="s">
        <v>29</v>
      </c>
      <c r="E195" s="455" t="s">
        <v>4</v>
      </c>
      <c r="F195" s="455" t="str">
        <f t="shared" si="18"/>
        <v>Sales</v>
      </c>
      <c r="G195" s="454" t="s">
        <v>313</v>
      </c>
      <c r="H195" s="454" t="s">
        <v>195</v>
      </c>
      <c r="I195" s="460">
        <v>424078.12</v>
      </c>
      <c r="J195" s="495" t="s">
        <v>315</v>
      </c>
      <c r="K195" s="495" t="s">
        <v>208</v>
      </c>
      <c r="L195" s="323" t="str">
        <f t="shared" si="23"/>
        <v>Low-IncomeUnitilRate Class DataSalesWinter SalesTherms</v>
      </c>
      <c r="M195" s="493" t="s">
        <v>17</v>
      </c>
      <c r="N195" s="497"/>
    </row>
    <row r="196" spans="1:14" hidden="1" x14ac:dyDescent="0.25">
      <c r="B196" t="str">
        <f>Lookups!$D$32</f>
        <v>Unitil</v>
      </c>
      <c r="C196" t="str">
        <f>Lookups!$D$27</f>
        <v>Low-Income</v>
      </c>
      <c r="D196" s="386" t="s">
        <v>29</v>
      </c>
      <c r="E196" s="455" t="s">
        <v>4</v>
      </c>
      <c r="F196" s="455" t="str">
        <f t="shared" ref="F196:F197" si="28">E196</f>
        <v>Sales</v>
      </c>
      <c r="G196" s="454" t="s">
        <v>314</v>
      </c>
      <c r="H196" s="454" t="s">
        <v>195</v>
      </c>
      <c r="I196" s="460">
        <v>96372.89</v>
      </c>
      <c r="J196" s="495" t="s">
        <v>316</v>
      </c>
      <c r="K196" s="495" t="s">
        <v>208</v>
      </c>
      <c r="L196" s="323" t="str">
        <f t="shared" si="23"/>
        <v>Low-IncomeUnitilRate Class DataSalesSummer SalesTherms</v>
      </c>
      <c r="M196" s="493" t="s">
        <v>17</v>
      </c>
      <c r="N196" s="494"/>
    </row>
    <row r="197" spans="1:14" hidden="1" x14ac:dyDescent="0.25">
      <c r="B197" t="str">
        <f>Lookups!$D$32</f>
        <v>Unitil</v>
      </c>
      <c r="C197" t="str">
        <f>Lookups!$D$27</f>
        <v>Low-Income</v>
      </c>
      <c r="D197" s="386" t="s">
        <v>29</v>
      </c>
      <c r="E197" s="455" t="s">
        <v>4</v>
      </c>
      <c r="F197" s="455" t="str">
        <f t="shared" si="28"/>
        <v>Sales</v>
      </c>
      <c r="G197" s="251" t="s">
        <v>15</v>
      </c>
      <c r="H197" s="251" t="s">
        <v>15</v>
      </c>
      <c r="I197" s="324">
        <v>2018</v>
      </c>
      <c r="J197" s="324"/>
      <c r="K197" s="495" t="s">
        <v>208</v>
      </c>
      <c r="L197" s="323" t="str">
        <f t="shared" si="23"/>
        <v>Low-IncomeUnitilRate Class DataSalesYearYear</v>
      </c>
      <c r="M197" s="493" t="s">
        <v>17</v>
      </c>
      <c r="N197" s="493"/>
    </row>
    <row r="198" spans="1:14" hidden="1" x14ac:dyDescent="0.25">
      <c r="B198" t="str">
        <f>Lookups!$D$32</f>
        <v>Unitil</v>
      </c>
      <c r="C198" t="str">
        <f>Lookups!$D$27</f>
        <v>Low-Income</v>
      </c>
      <c r="D198" s="386" t="s">
        <v>29</v>
      </c>
      <c r="E198" s="455" t="s">
        <v>4</v>
      </c>
      <c r="F198" s="455" t="str">
        <f t="shared" ref="F198:F274" si="29">E198</f>
        <v>Sales</v>
      </c>
      <c r="G198" s="251" t="s">
        <v>44</v>
      </c>
      <c r="H198" s="251" t="s">
        <v>16</v>
      </c>
      <c r="I198" s="251">
        <v>0</v>
      </c>
      <c r="J198" s="324" t="s">
        <v>177</v>
      </c>
      <c r="K198" s="324"/>
      <c r="L198" s="323" t="str">
        <f t="shared" si="23"/>
        <v>Low-IncomeUnitilRate Class DataSalesAnnual Growth Rate%</v>
      </c>
      <c r="M198" s="493" t="s">
        <v>17</v>
      </c>
      <c r="N198" s="493"/>
    </row>
    <row r="199" spans="1:14" hidden="1" x14ac:dyDescent="0.25">
      <c r="B199" t="str">
        <f>Lookups!$D$32</f>
        <v>Unitil</v>
      </c>
      <c r="C199" t="str">
        <f>Lookups!$D$27</f>
        <v>Low-Income</v>
      </c>
      <c r="D199" s="386" t="s">
        <v>29</v>
      </c>
      <c r="E199" s="386" t="s">
        <v>300</v>
      </c>
      <c r="F199" s="455" t="str">
        <f t="shared" si="29"/>
        <v>Average Annual Usage</v>
      </c>
      <c r="G199" s="386" t="s">
        <v>302</v>
      </c>
      <c r="H199" s="454" t="s">
        <v>195</v>
      </c>
      <c r="I199" s="502">
        <f>I162</f>
        <v>627</v>
      </c>
      <c r="J199" s="495" t="s">
        <v>256</v>
      </c>
      <c r="K199" s="324" t="str">
        <f>K162</f>
        <v>File name: Winter 2019-2020 Typical Bill Analysis (Schedule 3)</v>
      </c>
      <c r="L199" s="323" t="str">
        <f t="shared" si="23"/>
        <v>Low-IncomeUnitilRate Class DataAverage Annual UsageWinter UsageTherms</v>
      </c>
      <c r="M199" s="493" t="s">
        <v>17</v>
      </c>
      <c r="N199" s="493"/>
    </row>
    <row r="200" spans="1:14" s="321" customFormat="1" hidden="1" x14ac:dyDescent="0.25">
      <c r="B200" t="str">
        <f>Lookups!$D$32</f>
        <v>Unitil</v>
      </c>
      <c r="C200" t="str">
        <f>Lookups!$D$27</f>
        <v>Low-Income</v>
      </c>
      <c r="D200" s="386" t="s">
        <v>29</v>
      </c>
      <c r="E200" s="386" t="s">
        <v>300</v>
      </c>
      <c r="F200" s="455" t="str">
        <f t="shared" si="29"/>
        <v>Average Annual Usage</v>
      </c>
      <c r="G200" s="386" t="s">
        <v>301</v>
      </c>
      <c r="H200" s="454" t="s">
        <v>195</v>
      </c>
      <c r="I200" s="502">
        <f>I163</f>
        <v>131</v>
      </c>
      <c r="J200" s="495" t="s">
        <v>256</v>
      </c>
      <c r="K200" s="324" t="str">
        <f>K163</f>
        <v>File name: Winter 2019-2020 Typical Bill Analysis (Schedule 3)</v>
      </c>
      <c r="L200" s="323" t="str">
        <f t="shared" si="23"/>
        <v>Low-IncomeUnitilRate Class DataAverage Annual UsageSummer UsageTherms</v>
      </c>
      <c r="M200" s="493" t="s">
        <v>17</v>
      </c>
      <c r="N200" s="494"/>
    </row>
    <row r="201" spans="1:14" hidden="1" x14ac:dyDescent="0.25">
      <c r="B201" t="str">
        <f>Lookups!$D$32</f>
        <v>Unitil</v>
      </c>
      <c r="C201" t="str">
        <f>Lookups!$D$27</f>
        <v>Low-Income</v>
      </c>
      <c r="D201" s="386" t="s">
        <v>29</v>
      </c>
      <c r="E201" s="455" t="s">
        <v>129</v>
      </c>
      <c r="F201" s="455" t="s">
        <v>305</v>
      </c>
      <c r="G201" s="386" t="s">
        <v>50</v>
      </c>
      <c r="H201" s="454" t="s">
        <v>195</v>
      </c>
      <c r="I201" s="454"/>
      <c r="J201" s="492" t="s">
        <v>202</v>
      </c>
      <c r="K201" s="492"/>
      <c r="L201" s="658" t="str">
        <f t="shared" ref="L201:L210" si="30">C201&amp;B201&amp;D201&amp;E201&amp;F201&amp;G201&amp;H201</f>
        <v>Low-IncomeUnitilRate Class DataRate Type DataWinterFirst Block MaximumTherms</v>
      </c>
      <c r="M201" s="493" t="s">
        <v>17</v>
      </c>
      <c r="N201" s="493"/>
    </row>
    <row r="202" spans="1:14" hidden="1" x14ac:dyDescent="0.25">
      <c r="B202" t="str">
        <f>Lookups!$D$32</f>
        <v>Unitil</v>
      </c>
      <c r="C202" t="str">
        <f>Lookups!$D$27</f>
        <v>Low-Income</v>
      </c>
      <c r="D202" s="386" t="s">
        <v>29</v>
      </c>
      <c r="E202" s="455" t="s">
        <v>129</v>
      </c>
      <c r="F202" s="455" t="s">
        <v>305</v>
      </c>
      <c r="G202" s="386" t="s">
        <v>49</v>
      </c>
      <c r="H202" s="454" t="s">
        <v>195</v>
      </c>
      <c r="I202" s="454"/>
      <c r="J202" s="492" t="s">
        <v>202</v>
      </c>
      <c r="K202" s="492"/>
      <c r="L202" s="658" t="str">
        <f t="shared" si="30"/>
        <v>Low-IncomeUnitilRate Class DataRate Type DataWinterSecond Block MaximumTherms</v>
      </c>
      <c r="M202" s="493" t="s">
        <v>17</v>
      </c>
      <c r="N202" s="493"/>
    </row>
    <row r="203" spans="1:14" hidden="1" x14ac:dyDescent="0.25">
      <c r="B203" t="str">
        <f>Lookups!$D$32</f>
        <v>Unitil</v>
      </c>
      <c r="C203" t="str">
        <f>Lookups!$D$27</f>
        <v>Low-Income</v>
      </c>
      <c r="D203" s="386" t="s">
        <v>29</v>
      </c>
      <c r="E203" s="455" t="s">
        <v>129</v>
      </c>
      <c r="F203" s="455" t="s">
        <v>305</v>
      </c>
      <c r="G203" s="386" t="s">
        <v>130</v>
      </c>
      <c r="H203" s="454" t="s">
        <v>195</v>
      </c>
      <c r="I203" s="456"/>
      <c r="J203" s="492" t="s">
        <v>202</v>
      </c>
      <c r="K203" s="492"/>
      <c r="L203" s="658" t="str">
        <f t="shared" si="30"/>
        <v>Low-IncomeUnitilRate Class DataRate Type DataWinterFirst Block Billing DeterminantsTherms</v>
      </c>
      <c r="M203" s="493" t="s">
        <v>17</v>
      </c>
      <c r="N203" s="493"/>
    </row>
    <row r="204" spans="1:14" hidden="1" x14ac:dyDescent="0.25">
      <c r="B204" t="str">
        <f>Lookups!$D$32</f>
        <v>Unitil</v>
      </c>
      <c r="C204" t="str">
        <f>Lookups!$D$27</f>
        <v>Low-Income</v>
      </c>
      <c r="D204" s="386" t="s">
        <v>29</v>
      </c>
      <c r="E204" s="455" t="s">
        <v>129</v>
      </c>
      <c r="F204" s="455" t="s">
        <v>305</v>
      </c>
      <c r="G204" s="386" t="s">
        <v>131</v>
      </c>
      <c r="H204" s="454" t="s">
        <v>195</v>
      </c>
      <c r="I204" s="456"/>
      <c r="J204" s="492" t="s">
        <v>202</v>
      </c>
      <c r="K204" s="492"/>
      <c r="L204" s="658" t="str">
        <f t="shared" si="30"/>
        <v>Low-IncomeUnitilRate Class DataRate Type DataWinterSecond Block Billing DeterminantsTherms</v>
      </c>
      <c r="M204" s="493" t="s">
        <v>17</v>
      </c>
      <c r="N204" s="493"/>
    </row>
    <row r="205" spans="1:14" hidden="1" x14ac:dyDescent="0.25">
      <c r="B205" t="str">
        <f>Lookups!$D$32</f>
        <v>Unitil</v>
      </c>
      <c r="C205" t="str">
        <f>Lookups!$D$27</f>
        <v>Low-Income</v>
      </c>
      <c r="D205" s="386" t="s">
        <v>29</v>
      </c>
      <c r="E205" s="455" t="s">
        <v>129</v>
      </c>
      <c r="F205" s="455" t="s">
        <v>305</v>
      </c>
      <c r="G205" s="386" t="s">
        <v>132</v>
      </c>
      <c r="H205" s="454" t="s">
        <v>195</v>
      </c>
      <c r="I205" s="456"/>
      <c r="J205" s="492" t="s">
        <v>202</v>
      </c>
      <c r="K205" s="492"/>
      <c r="L205" s="658" t="str">
        <f t="shared" si="30"/>
        <v>Low-IncomeUnitilRate Class DataRate Type DataWinterRemaining Billing DeterminantsTherms</v>
      </c>
      <c r="M205" s="493" t="s">
        <v>17</v>
      </c>
      <c r="N205" s="493"/>
    </row>
    <row r="206" spans="1:14" hidden="1" x14ac:dyDescent="0.25">
      <c r="B206" t="str">
        <f>Lookups!$D$32</f>
        <v>Unitil</v>
      </c>
      <c r="C206" t="str">
        <f>Lookups!$D$27</f>
        <v>Low-Income</v>
      </c>
      <c r="D206" s="386" t="s">
        <v>29</v>
      </c>
      <c r="E206" s="455" t="s">
        <v>129</v>
      </c>
      <c r="F206" s="455" t="s">
        <v>306</v>
      </c>
      <c r="G206" s="386" t="s">
        <v>50</v>
      </c>
      <c r="H206" s="454" t="s">
        <v>195</v>
      </c>
      <c r="I206" s="454"/>
      <c r="J206" s="492" t="s">
        <v>202</v>
      </c>
      <c r="K206" s="492"/>
      <c r="L206" s="658" t="str">
        <f t="shared" si="30"/>
        <v>Low-IncomeUnitilRate Class DataRate Type DataSummerFirst Block MaximumTherms</v>
      </c>
      <c r="M206" s="493" t="s">
        <v>17</v>
      </c>
      <c r="N206" s="493"/>
    </row>
    <row r="207" spans="1:14" hidden="1" x14ac:dyDescent="0.25">
      <c r="B207" t="str">
        <f>Lookups!$D$32</f>
        <v>Unitil</v>
      </c>
      <c r="C207" t="str">
        <f>Lookups!$D$27</f>
        <v>Low-Income</v>
      </c>
      <c r="D207" s="386" t="s">
        <v>29</v>
      </c>
      <c r="E207" s="455" t="s">
        <v>129</v>
      </c>
      <c r="F207" s="455" t="s">
        <v>306</v>
      </c>
      <c r="G207" s="386" t="s">
        <v>49</v>
      </c>
      <c r="H207" s="454" t="s">
        <v>195</v>
      </c>
      <c r="I207" s="454"/>
      <c r="J207" s="492" t="s">
        <v>202</v>
      </c>
      <c r="K207" s="492"/>
      <c r="L207" s="658" t="str">
        <f t="shared" si="30"/>
        <v>Low-IncomeUnitilRate Class DataRate Type DataSummerSecond Block MaximumTherms</v>
      </c>
      <c r="M207" s="493" t="s">
        <v>17</v>
      </c>
      <c r="N207" s="493"/>
    </row>
    <row r="208" spans="1:14" hidden="1" x14ac:dyDescent="0.25">
      <c r="A208" s="318"/>
      <c r="B208" t="str">
        <f>Lookups!$D$32</f>
        <v>Unitil</v>
      </c>
      <c r="C208" t="str">
        <f>Lookups!$D$27</f>
        <v>Low-Income</v>
      </c>
      <c r="D208" s="386" t="s">
        <v>29</v>
      </c>
      <c r="E208" s="455" t="s">
        <v>129</v>
      </c>
      <c r="F208" s="455" t="s">
        <v>306</v>
      </c>
      <c r="G208" s="386" t="s">
        <v>130</v>
      </c>
      <c r="H208" s="454" t="s">
        <v>195</v>
      </c>
      <c r="I208" s="456"/>
      <c r="J208" s="492" t="s">
        <v>202</v>
      </c>
      <c r="K208" s="492"/>
      <c r="L208" s="658" t="str">
        <f t="shared" si="30"/>
        <v>Low-IncomeUnitilRate Class DataRate Type DataSummerFirst Block Billing DeterminantsTherms</v>
      </c>
      <c r="M208" s="493" t="s">
        <v>17</v>
      </c>
      <c r="N208" s="493"/>
    </row>
    <row r="209" spans="2:14" s="59" customFormat="1" hidden="1" x14ac:dyDescent="0.25">
      <c r="B209" t="str">
        <f>Lookups!$D$32</f>
        <v>Unitil</v>
      </c>
      <c r="C209" t="str">
        <f>Lookups!$D$27</f>
        <v>Low-Income</v>
      </c>
      <c r="D209" s="386" t="s">
        <v>29</v>
      </c>
      <c r="E209" s="455" t="s">
        <v>129</v>
      </c>
      <c r="F209" s="455" t="s">
        <v>306</v>
      </c>
      <c r="G209" s="386" t="s">
        <v>131</v>
      </c>
      <c r="H209" s="454" t="s">
        <v>195</v>
      </c>
      <c r="I209" s="456"/>
      <c r="J209" s="492" t="s">
        <v>202</v>
      </c>
      <c r="K209" s="492"/>
      <c r="L209" s="658" t="str">
        <f t="shared" si="30"/>
        <v>Low-IncomeUnitilRate Class DataRate Type DataSummerSecond Block Billing DeterminantsTherms</v>
      </c>
      <c r="M209" s="493" t="s">
        <v>17</v>
      </c>
      <c r="N209" s="497"/>
    </row>
    <row r="210" spans="2:14" s="59" customFormat="1" hidden="1" x14ac:dyDescent="0.25">
      <c r="B210" t="str">
        <f>Lookups!$D$32</f>
        <v>Unitil</v>
      </c>
      <c r="C210" t="str">
        <f>Lookups!$D$27</f>
        <v>Low-Income</v>
      </c>
      <c r="D210" s="386" t="s">
        <v>29</v>
      </c>
      <c r="E210" s="455" t="s">
        <v>129</v>
      </c>
      <c r="F210" s="455" t="s">
        <v>306</v>
      </c>
      <c r="G210" s="386" t="s">
        <v>132</v>
      </c>
      <c r="H210" s="454" t="s">
        <v>195</v>
      </c>
      <c r="I210" s="456"/>
      <c r="J210" s="492" t="s">
        <v>202</v>
      </c>
      <c r="K210" s="492"/>
      <c r="L210" s="658" t="str">
        <f t="shared" si="30"/>
        <v>Low-IncomeUnitilRate Class DataRate Type DataSummerRemaining Billing DeterminantsTherms</v>
      </c>
      <c r="M210" s="493" t="s">
        <v>17</v>
      </c>
      <c r="N210" s="497"/>
    </row>
    <row r="211" spans="2:14" hidden="1" x14ac:dyDescent="0.25">
      <c r="B211" t="str">
        <f>Lookups!$D$32</f>
        <v>Unitil</v>
      </c>
      <c r="C211" t="str">
        <f>Lookups!$D$27</f>
        <v>Low-Income</v>
      </c>
      <c r="D211" s="386" t="s">
        <v>46</v>
      </c>
      <c r="E211" s="455" t="s">
        <v>33</v>
      </c>
      <c r="F211" s="455" t="s">
        <v>305</v>
      </c>
      <c r="G211" s="386" t="s">
        <v>75</v>
      </c>
      <c r="H211" s="386" t="s">
        <v>31</v>
      </c>
      <c r="I211" s="457">
        <v>8.8800000000000008</v>
      </c>
      <c r="J211" s="492"/>
      <c r="K211" s="492" t="s">
        <v>201</v>
      </c>
      <c r="L211" s="323" t="str">
        <f t="shared" si="23"/>
        <v>Low-IncomeUnitilCurrent RatesCustomer or Meter ChargeCustomer Charge$/month</v>
      </c>
      <c r="M211" s="493" t="s">
        <v>17</v>
      </c>
      <c r="N211" s="493"/>
    </row>
    <row r="212" spans="2:14" hidden="1" x14ac:dyDescent="0.25">
      <c r="B212" t="str">
        <f>Lookups!$D$32</f>
        <v>Unitil</v>
      </c>
      <c r="C212" t="str">
        <f>Lookups!$D$27</f>
        <v>Low-Income</v>
      </c>
      <c r="D212" s="386" t="s">
        <v>46</v>
      </c>
      <c r="E212" s="455" t="s">
        <v>33</v>
      </c>
      <c r="F212" s="455" t="s">
        <v>305</v>
      </c>
      <c r="G212" s="251" t="s">
        <v>61</v>
      </c>
      <c r="H212" s="251" t="s">
        <v>16</v>
      </c>
      <c r="I212" s="251">
        <v>0</v>
      </c>
      <c r="J212" s="324" t="s">
        <v>177</v>
      </c>
      <c r="K212" s="324"/>
      <c r="L212" s="323" t="str">
        <f t="shared" si="23"/>
        <v>Low-IncomeUnitilCurrent RatesCustomer or Meter ChargeAnnual Rate Change%</v>
      </c>
      <c r="M212" s="493" t="s">
        <v>17</v>
      </c>
      <c r="N212" s="493"/>
    </row>
    <row r="213" spans="2:14" s="59" customFormat="1" x14ac:dyDescent="0.25">
      <c r="B213" t="str">
        <f>Lookups!$D$32</f>
        <v>Unitil</v>
      </c>
      <c r="C213" t="str">
        <f>Lookups!$D$27</f>
        <v>Low-Income</v>
      </c>
      <c r="D213" s="386" t="s">
        <v>46</v>
      </c>
      <c r="E213" s="455" t="s">
        <v>126</v>
      </c>
      <c r="F213" s="455" t="s">
        <v>305</v>
      </c>
      <c r="G213" s="386" t="s">
        <v>228</v>
      </c>
      <c r="H213" s="386" t="s">
        <v>182</v>
      </c>
      <c r="I213" s="485">
        <v>0.27679999999999999</v>
      </c>
      <c r="J213" s="492" t="s">
        <v>203</v>
      </c>
      <c r="K213" s="492" t="s">
        <v>201</v>
      </c>
      <c r="L213" s="658" t="str">
        <f t="shared" ref="L213:L221" si="31">C213&amp;B213&amp;D213&amp;E213&amp;F213&amp;G213&amp;H213</f>
        <v>Low-IncomeUnitilCurrent RatesDistribution ChargesWinterTotal (no blocks)$/Therm</v>
      </c>
      <c r="M213" s="493" t="s">
        <v>17</v>
      </c>
      <c r="N213" s="497"/>
    </row>
    <row r="214" spans="2:14" s="59" customFormat="1" hidden="1" x14ac:dyDescent="0.25">
      <c r="B214" t="str">
        <f>Lookups!$D$32</f>
        <v>Unitil</v>
      </c>
      <c r="C214" t="str">
        <f>Lookups!$D$27</f>
        <v>Low-Income</v>
      </c>
      <c r="D214" s="386" t="s">
        <v>46</v>
      </c>
      <c r="E214" s="455" t="s">
        <v>126</v>
      </c>
      <c r="F214" s="455" t="s">
        <v>305</v>
      </c>
      <c r="G214" s="386" t="s">
        <v>122</v>
      </c>
      <c r="H214" s="386" t="s">
        <v>182</v>
      </c>
      <c r="I214" s="485"/>
      <c r="J214" s="492" t="s">
        <v>202</v>
      </c>
      <c r="K214" s="492"/>
      <c r="L214" s="658" t="str">
        <f t="shared" si="31"/>
        <v>Low-IncomeUnitilCurrent RatesDistribution ChargesWinterFirst Block$/Therm</v>
      </c>
      <c r="M214" s="493" t="s">
        <v>17</v>
      </c>
      <c r="N214" s="497"/>
    </row>
    <row r="215" spans="2:14" hidden="1" x14ac:dyDescent="0.25">
      <c r="B215" t="str">
        <f>Lookups!$D$32</f>
        <v>Unitil</v>
      </c>
      <c r="C215" t="str">
        <f>Lookups!$D$27</f>
        <v>Low-Income</v>
      </c>
      <c r="D215" s="386" t="s">
        <v>46</v>
      </c>
      <c r="E215" s="455" t="s">
        <v>126</v>
      </c>
      <c r="F215" s="455" t="s">
        <v>305</v>
      </c>
      <c r="G215" s="386" t="s">
        <v>123</v>
      </c>
      <c r="H215" s="386" t="s">
        <v>182</v>
      </c>
      <c r="I215" s="485"/>
      <c r="J215" s="492" t="s">
        <v>202</v>
      </c>
      <c r="K215" s="492"/>
      <c r="L215" s="658" t="str">
        <f t="shared" si="31"/>
        <v>Low-IncomeUnitilCurrent RatesDistribution ChargesWinterSecond Block$/Therm</v>
      </c>
      <c r="M215" s="493" t="s">
        <v>17</v>
      </c>
      <c r="N215" s="493"/>
    </row>
    <row r="216" spans="2:14" hidden="1" x14ac:dyDescent="0.25">
      <c r="B216" t="str">
        <f>Lookups!$D$32</f>
        <v>Unitil</v>
      </c>
      <c r="C216" t="str">
        <f>Lookups!$D$27</f>
        <v>Low-Income</v>
      </c>
      <c r="D216" s="386" t="s">
        <v>46</v>
      </c>
      <c r="E216" s="455" t="s">
        <v>126</v>
      </c>
      <c r="F216" s="455" t="s">
        <v>305</v>
      </c>
      <c r="G216" s="386" t="s">
        <v>47</v>
      </c>
      <c r="H216" s="386" t="s">
        <v>182</v>
      </c>
      <c r="I216" s="485"/>
      <c r="J216" s="492" t="s">
        <v>202</v>
      </c>
      <c r="K216" s="492"/>
      <c r="L216" s="658" t="str">
        <f t="shared" si="31"/>
        <v>Low-IncomeUnitilCurrent RatesDistribution ChargesWinterThird Block$/Therm</v>
      </c>
      <c r="M216" s="493" t="s">
        <v>17</v>
      </c>
      <c r="N216" s="493"/>
    </row>
    <row r="217" spans="2:14" x14ac:dyDescent="0.25">
      <c r="B217" t="str">
        <f>Lookups!$D$32</f>
        <v>Unitil</v>
      </c>
      <c r="C217" t="str">
        <f>Lookups!$D$27</f>
        <v>Low-Income</v>
      </c>
      <c r="D217" s="386" t="s">
        <v>46</v>
      </c>
      <c r="E217" s="455" t="s">
        <v>126</v>
      </c>
      <c r="F217" s="455" t="str">
        <f>E217</f>
        <v>Distribution Charges</v>
      </c>
      <c r="G217" s="251" t="s">
        <v>61</v>
      </c>
      <c r="H217" s="251" t="s">
        <v>16</v>
      </c>
      <c r="I217" s="251">
        <v>0</v>
      </c>
      <c r="J217" s="324" t="s">
        <v>177</v>
      </c>
      <c r="K217" s="324"/>
      <c r="L217" s="323" t="str">
        <f>C217&amp;B217&amp;D217&amp;E217&amp;G217&amp;H217</f>
        <v>Low-IncomeUnitilCurrent RatesDistribution ChargesAnnual Rate Change%</v>
      </c>
      <c r="M217" s="493" t="s">
        <v>17</v>
      </c>
      <c r="N217" s="493"/>
    </row>
    <row r="218" spans="2:14" s="59" customFormat="1" x14ac:dyDescent="0.25">
      <c r="B218" t="str">
        <f>Lookups!$D$32</f>
        <v>Unitil</v>
      </c>
      <c r="C218" t="str">
        <f>Lookups!$D$27</f>
        <v>Low-Income</v>
      </c>
      <c r="D218" s="386" t="s">
        <v>46</v>
      </c>
      <c r="E218" s="455" t="s">
        <v>126</v>
      </c>
      <c r="F218" s="455" t="s">
        <v>306</v>
      </c>
      <c r="G218" s="386" t="s">
        <v>228</v>
      </c>
      <c r="H218" s="386" t="s">
        <v>182</v>
      </c>
      <c r="I218" s="485">
        <v>0.24399999999999999</v>
      </c>
      <c r="J218" s="492" t="s">
        <v>353</v>
      </c>
      <c r="K218" s="492" t="s">
        <v>201</v>
      </c>
      <c r="L218" s="658" t="str">
        <f t="shared" si="31"/>
        <v>Low-IncomeUnitilCurrent RatesDistribution ChargesSummerTotal (no blocks)$/Therm</v>
      </c>
      <c r="M218" s="493" t="s">
        <v>17</v>
      </c>
      <c r="N218" s="497"/>
    </row>
    <row r="219" spans="2:14" s="59" customFormat="1" hidden="1" x14ac:dyDescent="0.25">
      <c r="B219" t="str">
        <f>Lookups!$D$32</f>
        <v>Unitil</v>
      </c>
      <c r="C219" t="str">
        <f>Lookups!$D$27</f>
        <v>Low-Income</v>
      </c>
      <c r="D219" s="386" t="s">
        <v>46</v>
      </c>
      <c r="E219" s="455" t="s">
        <v>126</v>
      </c>
      <c r="F219" s="455" t="s">
        <v>306</v>
      </c>
      <c r="G219" s="386" t="s">
        <v>122</v>
      </c>
      <c r="H219" s="386" t="s">
        <v>182</v>
      </c>
      <c r="I219" s="251"/>
      <c r="J219" s="492" t="s">
        <v>202</v>
      </c>
      <c r="K219" s="492"/>
      <c r="L219" s="658" t="str">
        <f t="shared" si="31"/>
        <v>Low-IncomeUnitilCurrent RatesDistribution ChargesSummerFirst Block$/Therm</v>
      </c>
      <c r="M219" s="493" t="s">
        <v>17</v>
      </c>
      <c r="N219" s="497"/>
    </row>
    <row r="220" spans="2:14" s="59" customFormat="1" hidden="1" x14ac:dyDescent="0.25">
      <c r="B220" t="str">
        <f>Lookups!$D$32</f>
        <v>Unitil</v>
      </c>
      <c r="C220" t="str">
        <f>Lookups!$D$27</f>
        <v>Low-Income</v>
      </c>
      <c r="D220" s="386" t="s">
        <v>46</v>
      </c>
      <c r="E220" s="455" t="s">
        <v>126</v>
      </c>
      <c r="F220" s="455" t="s">
        <v>306</v>
      </c>
      <c r="G220" s="386" t="s">
        <v>123</v>
      </c>
      <c r="H220" s="386" t="s">
        <v>182</v>
      </c>
      <c r="I220" s="251"/>
      <c r="J220" s="492" t="s">
        <v>202</v>
      </c>
      <c r="K220" s="492"/>
      <c r="L220" s="658" t="str">
        <f t="shared" si="31"/>
        <v>Low-IncomeUnitilCurrent RatesDistribution ChargesSummerSecond Block$/Therm</v>
      </c>
      <c r="M220" s="493" t="s">
        <v>17</v>
      </c>
      <c r="N220" s="497"/>
    </row>
    <row r="221" spans="2:14" s="59" customFormat="1" hidden="1" x14ac:dyDescent="0.25">
      <c r="B221" t="str">
        <f>Lookups!$D$32</f>
        <v>Unitil</v>
      </c>
      <c r="C221" t="str">
        <f>Lookups!$D$27</f>
        <v>Low-Income</v>
      </c>
      <c r="D221" s="386" t="s">
        <v>46</v>
      </c>
      <c r="E221" s="455" t="s">
        <v>126</v>
      </c>
      <c r="F221" s="455" t="s">
        <v>306</v>
      </c>
      <c r="G221" s="386" t="s">
        <v>47</v>
      </c>
      <c r="H221" s="386" t="s">
        <v>182</v>
      </c>
      <c r="I221" s="251"/>
      <c r="J221" s="492" t="s">
        <v>202</v>
      </c>
      <c r="K221" s="492"/>
      <c r="L221" s="658" t="str">
        <f t="shared" si="31"/>
        <v>Low-IncomeUnitilCurrent RatesDistribution ChargesSummerThird Block$/Therm</v>
      </c>
      <c r="M221" s="493" t="s">
        <v>17</v>
      </c>
      <c r="N221" s="497"/>
    </row>
    <row r="222" spans="2:14" s="59" customFormat="1" hidden="1" x14ac:dyDescent="0.25">
      <c r="B222" t="str">
        <f>Lookups!$D$32</f>
        <v>Unitil</v>
      </c>
      <c r="C222" t="str">
        <f>Lookups!$D$27</f>
        <v>Low-Income</v>
      </c>
      <c r="D222" s="386" t="s">
        <v>46</v>
      </c>
      <c r="E222" s="455" t="s">
        <v>214</v>
      </c>
      <c r="F222" s="455" t="str">
        <f t="shared" ref="F222:F227" si="32">E222</f>
        <v>Local Distribution Adjustment Charge (LDAC)</v>
      </c>
      <c r="G222" s="455" t="s">
        <v>340</v>
      </c>
      <c r="H222" s="386" t="s">
        <v>182</v>
      </c>
      <c r="I222" s="486">
        <f>0.04693-0.01615</f>
        <v>3.0779999999999998E-2</v>
      </c>
      <c r="J222" s="495" t="s">
        <v>216</v>
      </c>
      <c r="K222" s="495" t="s">
        <v>215</v>
      </c>
      <c r="L222" s="323" t="str">
        <f t="shared" ref="L222:L227" si="33">C222&amp;B222&amp;D222&amp;E222&amp;G222&amp;H222</f>
        <v>Low-IncomeUnitilCurrent RatesLocal Distribution Adjustment Charge (LDAC)Winter Rate$/Therm</v>
      </c>
      <c r="M222" s="493" t="s">
        <v>17</v>
      </c>
      <c r="N222" s="497"/>
    </row>
    <row r="223" spans="2:14" s="59" customFormat="1" hidden="1" x14ac:dyDescent="0.25">
      <c r="B223" t="str">
        <f>Lookups!$D$32</f>
        <v>Unitil</v>
      </c>
      <c r="C223" t="str">
        <f>Lookups!$D$27</f>
        <v>Low-Income</v>
      </c>
      <c r="D223" s="386" t="s">
        <v>46</v>
      </c>
      <c r="E223" s="455" t="s">
        <v>214</v>
      </c>
      <c r="F223" s="455" t="str">
        <f>E223</f>
        <v>Local Distribution Adjustment Charge (LDAC)</v>
      </c>
      <c r="G223" s="455" t="s">
        <v>341</v>
      </c>
      <c r="H223" s="386" t="s">
        <v>182</v>
      </c>
      <c r="I223" s="486">
        <f>0.04693-0.01615</f>
        <v>3.0779999999999998E-2</v>
      </c>
      <c r="J223" s="495" t="s">
        <v>216</v>
      </c>
      <c r="K223" s="495" t="s">
        <v>215</v>
      </c>
      <c r="L223" s="323" t="str">
        <f>C223&amp;B223&amp;D223&amp;E223&amp;G223&amp;H223</f>
        <v>Low-IncomeUnitilCurrent RatesLocal Distribution Adjustment Charge (LDAC)Summer Rate$/Therm</v>
      </c>
      <c r="M223" s="493" t="s">
        <v>17</v>
      </c>
      <c r="N223" s="487"/>
    </row>
    <row r="224" spans="2:14" s="59" customFormat="1" hidden="1" x14ac:dyDescent="0.25">
      <c r="B224" t="str">
        <f>Lookups!$D$32</f>
        <v>Unitil</v>
      </c>
      <c r="C224" t="str">
        <f>Lookups!$D$27</f>
        <v>Low-Income</v>
      </c>
      <c r="D224" s="386" t="s">
        <v>46</v>
      </c>
      <c r="E224" s="455" t="s">
        <v>214</v>
      </c>
      <c r="F224" s="455" t="str">
        <f t="shared" si="32"/>
        <v>Local Distribution Adjustment Charge (LDAC)</v>
      </c>
      <c r="G224" s="251" t="s">
        <v>61</v>
      </c>
      <c r="H224" s="251" t="s">
        <v>16</v>
      </c>
      <c r="I224" s="251">
        <v>0</v>
      </c>
      <c r="J224" s="324" t="s">
        <v>177</v>
      </c>
      <c r="K224" s="324"/>
      <c r="L224" s="323" t="str">
        <f t="shared" si="33"/>
        <v>Low-IncomeUnitilCurrent RatesLocal Distribution Adjustment Charge (LDAC)Annual Rate Change%</v>
      </c>
      <c r="M224" s="493" t="s">
        <v>17</v>
      </c>
      <c r="N224" s="497"/>
    </row>
    <row r="225" spans="2:14" hidden="1" x14ac:dyDescent="0.25">
      <c r="B225" t="str">
        <f>Lookups!$D$32</f>
        <v>Unitil</v>
      </c>
      <c r="C225" t="str">
        <f>Lookups!$D$27</f>
        <v>Low-Income</v>
      </c>
      <c r="D225" s="386" t="s">
        <v>46</v>
      </c>
      <c r="E225" s="455" t="s">
        <v>183</v>
      </c>
      <c r="F225" s="455" t="str">
        <f t="shared" si="32"/>
        <v>Cost of Gas Charge</v>
      </c>
      <c r="G225" s="455" t="s">
        <v>340</v>
      </c>
      <c r="H225" s="386" t="s">
        <v>182</v>
      </c>
      <c r="I225" s="486">
        <v>0.58609999999999995</v>
      </c>
      <c r="J225" s="495"/>
      <c r="K225" s="495" t="s">
        <v>209</v>
      </c>
      <c r="L225" s="323" t="str">
        <f t="shared" si="33"/>
        <v>Low-IncomeUnitilCurrent RatesCost of Gas ChargeWinter Rate$/Therm</v>
      </c>
      <c r="M225" s="493" t="s">
        <v>17</v>
      </c>
      <c r="N225" s="493"/>
    </row>
    <row r="226" spans="2:14" s="59" customFormat="1" hidden="1" x14ac:dyDescent="0.25">
      <c r="B226" t="str">
        <f>Lookups!$D$32</f>
        <v>Unitil</v>
      </c>
      <c r="C226" t="str">
        <f>Lookups!$D$27</f>
        <v>Low-Income</v>
      </c>
      <c r="D226" s="386" t="s">
        <v>46</v>
      </c>
      <c r="E226" s="455" t="s">
        <v>183</v>
      </c>
      <c r="F226" s="455" t="str">
        <f>E226</f>
        <v>Cost of Gas Charge</v>
      </c>
      <c r="G226" s="455" t="s">
        <v>341</v>
      </c>
      <c r="H226" s="386" t="s">
        <v>182</v>
      </c>
      <c r="I226" s="486">
        <v>0.27679999999999999</v>
      </c>
      <c r="J226" s="495"/>
      <c r="K226" s="495" t="s">
        <v>209</v>
      </c>
      <c r="L226" s="323" t="str">
        <f>C226&amp;B226&amp;D226&amp;E226&amp;G226&amp;H226</f>
        <v>Low-IncomeUnitilCurrent RatesCost of Gas ChargeSummer Rate$/Therm</v>
      </c>
      <c r="M226" s="493" t="s">
        <v>17</v>
      </c>
      <c r="N226" s="497"/>
    </row>
    <row r="227" spans="2:14" hidden="1" x14ac:dyDescent="0.25">
      <c r="B227" t="str">
        <f>Lookups!$D$32</f>
        <v>Unitil</v>
      </c>
      <c r="C227" t="str">
        <f>Lookups!$D$27</f>
        <v>Low-Income</v>
      </c>
      <c r="D227" s="386" t="s">
        <v>46</v>
      </c>
      <c r="E227" s="455" t="s">
        <v>183</v>
      </c>
      <c r="F227" s="455" t="str">
        <f t="shared" si="32"/>
        <v>Cost of Gas Charge</v>
      </c>
      <c r="G227" s="251" t="s">
        <v>61</v>
      </c>
      <c r="H227" s="251" t="s">
        <v>16</v>
      </c>
      <c r="I227" s="251">
        <v>0</v>
      </c>
      <c r="J227" s="324" t="s">
        <v>177</v>
      </c>
      <c r="K227" s="324"/>
      <c r="L227" s="323" t="str">
        <f t="shared" si="33"/>
        <v>Low-IncomeUnitilCurrent RatesCost of Gas ChargeAnnual Rate Change%</v>
      </c>
      <c r="M227" s="493" t="s">
        <v>17</v>
      </c>
      <c r="N227" s="493"/>
    </row>
    <row r="228" spans="2:14" hidden="1" x14ac:dyDescent="0.25">
      <c r="B228" t="str">
        <f>Lookups!$D$32</f>
        <v>Unitil</v>
      </c>
      <c r="C228" t="str">
        <f>Lookups!$D$28</f>
        <v>Small C&amp;I</v>
      </c>
      <c r="D228" s="386" t="s">
        <v>29</v>
      </c>
      <c r="E228" s="455" t="s">
        <v>27</v>
      </c>
      <c r="F228" s="455" t="str">
        <f t="shared" si="29"/>
        <v>Rate Class</v>
      </c>
      <c r="G228" s="455" t="s">
        <v>128</v>
      </c>
      <c r="H228" s="251" t="s">
        <v>140</v>
      </c>
      <c r="I228" s="386" t="s">
        <v>186</v>
      </c>
      <c r="J228" s="492" t="s">
        <v>226</v>
      </c>
      <c r="K228" s="492" t="s">
        <v>201</v>
      </c>
      <c r="L228" s="323" t="str">
        <f t="shared" ref="L228:L286" si="34">C228&amp;B228&amp;D228&amp;E228&amp;G228&amp;H228</f>
        <v>Small C&amp;IUnitilRate Class DataRate ClassRate NameName</v>
      </c>
      <c r="M228" s="493" t="s">
        <v>17</v>
      </c>
      <c r="N228" s="493"/>
    </row>
    <row r="229" spans="2:14" hidden="1" x14ac:dyDescent="0.25">
      <c r="B229" t="str">
        <f>Lookups!$D$32</f>
        <v>Unitil</v>
      </c>
      <c r="C229" t="str">
        <f>Lookups!$D$28</f>
        <v>Small C&amp;I</v>
      </c>
      <c r="D229" s="386" t="s">
        <v>29</v>
      </c>
      <c r="E229" s="455" t="s">
        <v>3</v>
      </c>
      <c r="F229" s="455" t="str">
        <f t="shared" si="29"/>
        <v>Customers</v>
      </c>
      <c r="G229" s="454" t="s">
        <v>3</v>
      </c>
      <c r="H229" s="454" t="s">
        <v>48</v>
      </c>
      <c r="I229" s="459">
        <f>424+251</f>
        <v>675</v>
      </c>
      <c r="J229" s="495" t="s">
        <v>207</v>
      </c>
      <c r="K229" s="495" t="s">
        <v>206</v>
      </c>
      <c r="L229" s="323" t="str">
        <f t="shared" si="34"/>
        <v>Small C&amp;IUnitilRate Class DataCustomersCustomersAccounts</v>
      </c>
      <c r="M229" s="493" t="s">
        <v>17</v>
      </c>
      <c r="N229" s="493"/>
    </row>
    <row r="230" spans="2:14" hidden="1" x14ac:dyDescent="0.25">
      <c r="B230" t="str">
        <f>Lookups!$D$32</f>
        <v>Unitil</v>
      </c>
      <c r="C230" t="str">
        <f>Lookups!$D$28</f>
        <v>Small C&amp;I</v>
      </c>
      <c r="D230" s="386" t="s">
        <v>29</v>
      </c>
      <c r="E230" s="455" t="s">
        <v>3</v>
      </c>
      <c r="F230" s="455" t="str">
        <f t="shared" si="29"/>
        <v>Customers</v>
      </c>
      <c r="G230" s="251" t="s">
        <v>15</v>
      </c>
      <c r="H230" s="251" t="s">
        <v>15</v>
      </c>
      <c r="I230" s="324">
        <v>2018</v>
      </c>
      <c r="J230" s="324"/>
      <c r="K230" s="495" t="s">
        <v>206</v>
      </c>
      <c r="L230" s="323" t="str">
        <f t="shared" si="34"/>
        <v>Small C&amp;IUnitilRate Class DataCustomersYearYear</v>
      </c>
      <c r="M230" s="493" t="s">
        <v>17</v>
      </c>
      <c r="N230" s="493"/>
    </row>
    <row r="231" spans="2:14" hidden="1" x14ac:dyDescent="0.25">
      <c r="B231" t="str">
        <f>Lookups!$D$32</f>
        <v>Unitil</v>
      </c>
      <c r="C231" t="str">
        <f>Lookups!$D$28</f>
        <v>Small C&amp;I</v>
      </c>
      <c r="D231" s="386" t="s">
        <v>29</v>
      </c>
      <c r="E231" s="455" t="s">
        <v>3</v>
      </c>
      <c r="F231" s="455" t="str">
        <f t="shared" si="29"/>
        <v>Customers</v>
      </c>
      <c r="G231" s="251" t="s">
        <v>44</v>
      </c>
      <c r="H231" s="251" t="s">
        <v>16</v>
      </c>
      <c r="I231" s="251">
        <v>0</v>
      </c>
      <c r="J231" s="324" t="s">
        <v>177</v>
      </c>
      <c r="K231" s="324"/>
      <c r="L231" s="323" t="str">
        <f t="shared" si="34"/>
        <v>Small C&amp;IUnitilRate Class DataCustomersAnnual Growth Rate%</v>
      </c>
      <c r="M231" s="493" t="s">
        <v>17</v>
      </c>
      <c r="N231" s="493"/>
    </row>
    <row r="232" spans="2:14" hidden="1" x14ac:dyDescent="0.25">
      <c r="B232" t="str">
        <f>Lookups!$D$32</f>
        <v>Unitil</v>
      </c>
      <c r="C232" t="str">
        <f>Lookups!$D$28</f>
        <v>Small C&amp;I</v>
      </c>
      <c r="D232" s="386" t="s">
        <v>29</v>
      </c>
      <c r="E232" s="455" t="s">
        <v>4</v>
      </c>
      <c r="F232" s="455" t="str">
        <f t="shared" si="29"/>
        <v>Sales</v>
      </c>
      <c r="G232" s="454" t="s">
        <v>313</v>
      </c>
      <c r="H232" s="454" t="s">
        <v>195</v>
      </c>
      <c r="I232" s="460">
        <v>11863926.08</v>
      </c>
      <c r="J232" s="495" t="s">
        <v>351</v>
      </c>
      <c r="K232" s="495" t="s">
        <v>208</v>
      </c>
      <c r="L232" s="323" t="str">
        <f t="shared" si="34"/>
        <v>Small C&amp;IUnitilRate Class DataSalesWinter SalesTherms</v>
      </c>
      <c r="M232" s="493" t="s">
        <v>17</v>
      </c>
      <c r="N232" s="494"/>
    </row>
    <row r="233" spans="2:14" hidden="1" x14ac:dyDescent="0.25">
      <c r="B233" t="str">
        <f>Lookups!$D$32</f>
        <v>Unitil</v>
      </c>
      <c r="C233" t="str">
        <f>Lookups!$D$28</f>
        <v>Small C&amp;I</v>
      </c>
      <c r="D233" s="386" t="s">
        <v>29</v>
      </c>
      <c r="E233" s="455" t="s">
        <v>4</v>
      </c>
      <c r="F233" s="455" t="str">
        <f t="shared" si="29"/>
        <v>Sales</v>
      </c>
      <c r="G233" s="454" t="s">
        <v>314</v>
      </c>
      <c r="H233" s="454" t="s">
        <v>195</v>
      </c>
      <c r="I233" s="460">
        <v>2538020.0600000005</v>
      </c>
      <c r="J233" s="495" t="s">
        <v>352</v>
      </c>
      <c r="K233" s="495" t="s">
        <v>208</v>
      </c>
      <c r="L233" s="323" t="str">
        <f t="shared" si="34"/>
        <v>Small C&amp;IUnitilRate Class DataSalesSummer SalesTherms</v>
      </c>
      <c r="M233" s="493" t="s">
        <v>17</v>
      </c>
      <c r="N233" s="494"/>
    </row>
    <row r="234" spans="2:14" hidden="1" x14ac:dyDescent="0.25">
      <c r="B234" t="str">
        <f>Lookups!$D$32</f>
        <v>Unitil</v>
      </c>
      <c r="C234" t="str">
        <f>Lookups!$D$28</f>
        <v>Small C&amp;I</v>
      </c>
      <c r="D234" s="386" t="s">
        <v>29</v>
      </c>
      <c r="E234" s="455" t="s">
        <v>4</v>
      </c>
      <c r="F234" s="455" t="str">
        <f t="shared" si="29"/>
        <v>Sales</v>
      </c>
      <c r="G234" s="251" t="s">
        <v>15</v>
      </c>
      <c r="H234" s="251" t="s">
        <v>15</v>
      </c>
      <c r="I234" s="324">
        <v>2018</v>
      </c>
      <c r="J234" s="324"/>
      <c r="K234" s="495" t="s">
        <v>208</v>
      </c>
      <c r="L234" s="323" t="str">
        <f t="shared" si="34"/>
        <v>Small C&amp;IUnitilRate Class DataSalesYearYear</v>
      </c>
      <c r="M234" s="493" t="s">
        <v>17</v>
      </c>
      <c r="N234" s="493"/>
    </row>
    <row r="235" spans="2:14" hidden="1" x14ac:dyDescent="0.25">
      <c r="B235" t="str">
        <f>Lookups!$D$32</f>
        <v>Unitil</v>
      </c>
      <c r="C235" t="str">
        <f>Lookups!$D$28</f>
        <v>Small C&amp;I</v>
      </c>
      <c r="D235" s="386" t="s">
        <v>29</v>
      </c>
      <c r="E235" s="455" t="s">
        <v>4</v>
      </c>
      <c r="F235" s="455" t="str">
        <f t="shared" si="29"/>
        <v>Sales</v>
      </c>
      <c r="G235" s="251" t="s">
        <v>44</v>
      </c>
      <c r="H235" s="251" t="s">
        <v>16</v>
      </c>
      <c r="I235" s="251">
        <v>0</v>
      </c>
      <c r="J235" s="324" t="s">
        <v>177</v>
      </c>
      <c r="K235" s="324"/>
      <c r="L235" s="323" t="str">
        <f t="shared" si="34"/>
        <v>Small C&amp;IUnitilRate Class DataSalesAnnual Growth Rate%</v>
      </c>
      <c r="M235" s="493" t="s">
        <v>17</v>
      </c>
      <c r="N235" s="493"/>
    </row>
    <row r="236" spans="2:14" hidden="1" x14ac:dyDescent="0.25">
      <c r="B236" t="str">
        <f>Lookups!$D$32</f>
        <v>Unitil</v>
      </c>
      <c r="C236" t="str">
        <f>Lookups!$D$28</f>
        <v>Small C&amp;I</v>
      </c>
      <c r="D236" s="386" t="s">
        <v>29</v>
      </c>
      <c r="E236" s="386" t="s">
        <v>300</v>
      </c>
      <c r="F236" s="455" t="str">
        <f t="shared" si="29"/>
        <v>Average Annual Usage</v>
      </c>
      <c r="G236" s="386" t="s">
        <v>302</v>
      </c>
      <c r="H236" s="454" t="s">
        <v>195</v>
      </c>
      <c r="I236" s="459">
        <f>16798</f>
        <v>16798</v>
      </c>
      <c r="J236" s="495" t="s">
        <v>190</v>
      </c>
      <c r="K236" s="324" t="s">
        <v>209</v>
      </c>
      <c r="L236" s="323" t="str">
        <f t="shared" si="34"/>
        <v>Small C&amp;IUnitilRate Class DataAverage Annual UsageWinter UsageTherms</v>
      </c>
      <c r="M236" s="493" t="s">
        <v>17</v>
      </c>
      <c r="N236" s="494"/>
    </row>
    <row r="237" spans="2:14" s="321" customFormat="1" hidden="1" x14ac:dyDescent="0.25">
      <c r="B237" t="str">
        <f>Lookups!$D$32</f>
        <v>Unitil</v>
      </c>
      <c r="C237" t="str">
        <f>Lookups!$D$28</f>
        <v>Small C&amp;I</v>
      </c>
      <c r="D237" s="386" t="s">
        <v>29</v>
      </c>
      <c r="E237" s="386" t="s">
        <v>300</v>
      </c>
      <c r="F237" s="455" t="str">
        <f t="shared" si="29"/>
        <v>Average Annual Usage</v>
      </c>
      <c r="G237" s="386" t="s">
        <v>301</v>
      </c>
      <c r="H237" s="454" t="s">
        <v>195</v>
      </c>
      <c r="I237" s="459">
        <v>3869</v>
      </c>
      <c r="J237" s="495" t="s">
        <v>310</v>
      </c>
      <c r="K237" s="324" t="s">
        <v>209</v>
      </c>
      <c r="L237" s="323" t="str">
        <f t="shared" si="34"/>
        <v>Small C&amp;IUnitilRate Class DataAverage Annual UsageSummer UsageTherms</v>
      </c>
      <c r="M237" s="493" t="s">
        <v>17</v>
      </c>
      <c r="N237" s="494"/>
    </row>
    <row r="238" spans="2:14" hidden="1" x14ac:dyDescent="0.25">
      <c r="B238" t="str">
        <f>Lookups!$D$32</f>
        <v>Unitil</v>
      </c>
      <c r="C238" t="str">
        <f>Lookups!$D$28</f>
        <v>Small C&amp;I</v>
      </c>
      <c r="D238" s="386" t="s">
        <v>29</v>
      </c>
      <c r="E238" s="455" t="s">
        <v>129</v>
      </c>
      <c r="F238" s="455" t="s">
        <v>305</v>
      </c>
      <c r="G238" s="386" t="s">
        <v>50</v>
      </c>
      <c r="H238" s="454" t="s">
        <v>195</v>
      </c>
      <c r="I238" s="454"/>
      <c r="J238" s="492" t="s">
        <v>202</v>
      </c>
      <c r="K238" s="492"/>
      <c r="L238" s="658" t="str">
        <f t="shared" ref="L238:L247" si="35">C238&amp;B238&amp;D238&amp;E238&amp;F238&amp;G238&amp;H238</f>
        <v>Small C&amp;IUnitilRate Class DataRate Type DataWinterFirst Block MaximumTherms</v>
      </c>
      <c r="M238" s="493" t="s">
        <v>17</v>
      </c>
      <c r="N238" s="493"/>
    </row>
    <row r="239" spans="2:14" hidden="1" x14ac:dyDescent="0.25">
      <c r="B239" t="str">
        <f>Lookups!$D$32</f>
        <v>Unitil</v>
      </c>
      <c r="C239" t="str">
        <f>Lookups!$D$28</f>
        <v>Small C&amp;I</v>
      </c>
      <c r="D239" s="386" t="s">
        <v>29</v>
      </c>
      <c r="E239" s="455" t="s">
        <v>129</v>
      </c>
      <c r="F239" s="455" t="s">
        <v>305</v>
      </c>
      <c r="G239" s="386" t="s">
        <v>49</v>
      </c>
      <c r="H239" s="454" t="s">
        <v>195</v>
      </c>
      <c r="I239" s="454"/>
      <c r="J239" s="492" t="s">
        <v>202</v>
      </c>
      <c r="K239" s="492"/>
      <c r="L239" s="658" t="str">
        <f t="shared" si="35"/>
        <v>Small C&amp;IUnitilRate Class DataRate Type DataWinterSecond Block MaximumTherms</v>
      </c>
      <c r="M239" s="493" t="s">
        <v>17</v>
      </c>
      <c r="N239" s="493"/>
    </row>
    <row r="240" spans="2:14" hidden="1" x14ac:dyDescent="0.25">
      <c r="B240" t="str">
        <f>Lookups!$D$32</f>
        <v>Unitil</v>
      </c>
      <c r="C240" t="str">
        <f>Lookups!$D$28</f>
        <v>Small C&amp;I</v>
      </c>
      <c r="D240" s="386" t="s">
        <v>29</v>
      </c>
      <c r="E240" s="455" t="s">
        <v>129</v>
      </c>
      <c r="F240" s="455" t="s">
        <v>305</v>
      </c>
      <c r="G240" s="386" t="s">
        <v>130</v>
      </c>
      <c r="H240" s="454" t="s">
        <v>195</v>
      </c>
      <c r="I240" s="456"/>
      <c r="J240" s="492" t="s">
        <v>202</v>
      </c>
      <c r="K240" s="492"/>
      <c r="L240" s="658" t="str">
        <f t="shared" si="35"/>
        <v>Small C&amp;IUnitilRate Class DataRate Type DataWinterFirst Block Billing DeterminantsTherms</v>
      </c>
      <c r="M240" s="493" t="s">
        <v>17</v>
      </c>
      <c r="N240" s="493"/>
    </row>
    <row r="241" spans="1:14" hidden="1" x14ac:dyDescent="0.25">
      <c r="B241" t="str">
        <f>Lookups!$D$32</f>
        <v>Unitil</v>
      </c>
      <c r="C241" t="str">
        <f>Lookups!$D$28</f>
        <v>Small C&amp;I</v>
      </c>
      <c r="D241" s="386" t="s">
        <v>29</v>
      </c>
      <c r="E241" s="455" t="s">
        <v>129</v>
      </c>
      <c r="F241" s="455" t="s">
        <v>305</v>
      </c>
      <c r="G241" s="386" t="s">
        <v>131</v>
      </c>
      <c r="H241" s="454" t="s">
        <v>195</v>
      </c>
      <c r="I241" s="456"/>
      <c r="J241" s="492" t="s">
        <v>202</v>
      </c>
      <c r="K241" s="492"/>
      <c r="L241" s="658" t="str">
        <f t="shared" si="35"/>
        <v>Small C&amp;IUnitilRate Class DataRate Type DataWinterSecond Block Billing DeterminantsTherms</v>
      </c>
      <c r="M241" s="493" t="s">
        <v>17</v>
      </c>
      <c r="N241" s="493"/>
    </row>
    <row r="242" spans="1:14" hidden="1" x14ac:dyDescent="0.25">
      <c r="B242" t="str">
        <f>Lookups!$D$32</f>
        <v>Unitil</v>
      </c>
      <c r="C242" t="str">
        <f>Lookups!$D$28</f>
        <v>Small C&amp;I</v>
      </c>
      <c r="D242" s="386" t="s">
        <v>29</v>
      </c>
      <c r="E242" s="455" t="s">
        <v>129</v>
      </c>
      <c r="F242" s="455" t="s">
        <v>305</v>
      </c>
      <c r="G242" s="386" t="s">
        <v>132</v>
      </c>
      <c r="H242" s="454" t="s">
        <v>195</v>
      </c>
      <c r="I242" s="456"/>
      <c r="J242" s="492" t="s">
        <v>202</v>
      </c>
      <c r="K242" s="492"/>
      <c r="L242" s="658" t="str">
        <f t="shared" si="35"/>
        <v>Small C&amp;IUnitilRate Class DataRate Type DataWinterRemaining Billing DeterminantsTherms</v>
      </c>
      <c r="M242" s="493" t="s">
        <v>17</v>
      </c>
      <c r="N242" s="500"/>
    </row>
    <row r="243" spans="1:14" hidden="1" x14ac:dyDescent="0.25">
      <c r="B243" t="str">
        <f>Lookups!$D$32</f>
        <v>Unitil</v>
      </c>
      <c r="C243" t="str">
        <f>Lookups!$D$28</f>
        <v>Small C&amp;I</v>
      </c>
      <c r="D243" s="386" t="s">
        <v>29</v>
      </c>
      <c r="E243" s="455" t="s">
        <v>129</v>
      </c>
      <c r="F243" s="455" t="s">
        <v>306</v>
      </c>
      <c r="G243" s="386" t="s">
        <v>50</v>
      </c>
      <c r="H243" s="454" t="s">
        <v>195</v>
      </c>
      <c r="I243" s="454"/>
      <c r="J243" s="492" t="s">
        <v>202</v>
      </c>
      <c r="K243" s="492"/>
      <c r="L243" s="658" t="str">
        <f t="shared" si="35"/>
        <v>Small C&amp;IUnitilRate Class DataRate Type DataSummerFirst Block MaximumTherms</v>
      </c>
      <c r="M243" s="493" t="s">
        <v>17</v>
      </c>
      <c r="N243" s="493"/>
    </row>
    <row r="244" spans="1:14" hidden="1" x14ac:dyDescent="0.25">
      <c r="B244" t="str">
        <f>Lookups!$D$32</f>
        <v>Unitil</v>
      </c>
      <c r="C244" t="str">
        <f>Lookups!$D$28</f>
        <v>Small C&amp;I</v>
      </c>
      <c r="D244" s="386" t="s">
        <v>29</v>
      </c>
      <c r="E244" s="455" t="s">
        <v>129</v>
      </c>
      <c r="F244" s="455" t="s">
        <v>306</v>
      </c>
      <c r="G244" s="386" t="s">
        <v>49</v>
      </c>
      <c r="H244" s="454" t="s">
        <v>195</v>
      </c>
      <c r="I244" s="454"/>
      <c r="J244" s="492" t="s">
        <v>202</v>
      </c>
      <c r="K244" s="492"/>
      <c r="L244" s="658" t="str">
        <f t="shared" si="35"/>
        <v>Small C&amp;IUnitilRate Class DataRate Type DataSummerSecond Block MaximumTherms</v>
      </c>
      <c r="M244" s="493" t="s">
        <v>17</v>
      </c>
      <c r="N244" s="493"/>
    </row>
    <row r="245" spans="1:14" hidden="1" x14ac:dyDescent="0.25">
      <c r="A245" s="318"/>
      <c r="B245" t="str">
        <f>Lookups!$D$32</f>
        <v>Unitil</v>
      </c>
      <c r="C245" t="str">
        <f>Lookups!$D$28</f>
        <v>Small C&amp;I</v>
      </c>
      <c r="D245" s="386" t="s">
        <v>29</v>
      </c>
      <c r="E245" s="455" t="s">
        <v>129</v>
      </c>
      <c r="F245" s="455" t="s">
        <v>306</v>
      </c>
      <c r="G245" s="386" t="s">
        <v>130</v>
      </c>
      <c r="H245" s="454" t="s">
        <v>195</v>
      </c>
      <c r="I245" s="456"/>
      <c r="J245" s="492" t="s">
        <v>202</v>
      </c>
      <c r="K245" s="492"/>
      <c r="L245" s="658" t="str">
        <f t="shared" si="35"/>
        <v>Small C&amp;IUnitilRate Class DataRate Type DataSummerFirst Block Billing DeterminantsTherms</v>
      </c>
      <c r="M245" s="493" t="s">
        <v>17</v>
      </c>
      <c r="N245" s="493"/>
    </row>
    <row r="246" spans="1:14" s="59" customFormat="1" hidden="1" x14ac:dyDescent="0.25">
      <c r="B246" t="str">
        <f>Lookups!$D$32</f>
        <v>Unitil</v>
      </c>
      <c r="C246" t="str">
        <f>Lookups!$D$28</f>
        <v>Small C&amp;I</v>
      </c>
      <c r="D246" s="386" t="s">
        <v>29</v>
      </c>
      <c r="E246" s="455" t="s">
        <v>129</v>
      </c>
      <c r="F246" s="455" t="s">
        <v>306</v>
      </c>
      <c r="G246" s="386" t="s">
        <v>131</v>
      </c>
      <c r="H246" s="454" t="s">
        <v>195</v>
      </c>
      <c r="I246" s="456"/>
      <c r="J246" s="492" t="s">
        <v>202</v>
      </c>
      <c r="K246" s="492"/>
      <c r="L246" s="658" t="str">
        <f t="shared" si="35"/>
        <v>Small C&amp;IUnitilRate Class DataRate Type DataSummerSecond Block Billing DeterminantsTherms</v>
      </c>
      <c r="M246" s="493" t="s">
        <v>17</v>
      </c>
      <c r="N246" s="497"/>
    </row>
    <row r="247" spans="1:14" s="59" customFormat="1" hidden="1" x14ac:dyDescent="0.25">
      <c r="B247" t="str">
        <f>Lookups!$D$32</f>
        <v>Unitil</v>
      </c>
      <c r="C247" t="str">
        <f>Lookups!$D$28</f>
        <v>Small C&amp;I</v>
      </c>
      <c r="D247" s="386" t="s">
        <v>29</v>
      </c>
      <c r="E247" s="455" t="s">
        <v>129</v>
      </c>
      <c r="F247" s="455" t="s">
        <v>306</v>
      </c>
      <c r="G247" s="386" t="s">
        <v>132</v>
      </c>
      <c r="H247" s="454" t="s">
        <v>195</v>
      </c>
      <c r="I247" s="456"/>
      <c r="J247" s="492" t="s">
        <v>202</v>
      </c>
      <c r="K247" s="492"/>
      <c r="L247" s="658" t="str">
        <f t="shared" si="35"/>
        <v>Small C&amp;IUnitilRate Class DataRate Type DataSummerRemaining Billing DeterminantsTherms</v>
      </c>
      <c r="M247" s="493" t="s">
        <v>17</v>
      </c>
      <c r="N247" s="497"/>
    </row>
    <row r="248" spans="1:14" hidden="1" x14ac:dyDescent="0.25">
      <c r="B248" t="str">
        <f>Lookups!$D$32</f>
        <v>Unitil</v>
      </c>
      <c r="C248" t="str">
        <f>Lookups!$D$28</f>
        <v>Small C&amp;I</v>
      </c>
      <c r="D248" s="386" t="s">
        <v>46</v>
      </c>
      <c r="E248" s="455" t="s">
        <v>33</v>
      </c>
      <c r="F248" s="455" t="s">
        <v>305</v>
      </c>
      <c r="G248" s="386" t="s">
        <v>75</v>
      </c>
      <c r="H248" s="386" t="s">
        <v>31</v>
      </c>
      <c r="I248" s="458">
        <v>222.64</v>
      </c>
      <c r="J248" s="492"/>
      <c r="K248" s="492" t="s">
        <v>201</v>
      </c>
      <c r="L248" s="323" t="str">
        <f t="shared" si="34"/>
        <v>Small C&amp;IUnitilCurrent RatesCustomer or Meter ChargeCustomer Charge$/month</v>
      </c>
      <c r="M248" s="493" t="s">
        <v>17</v>
      </c>
      <c r="N248" s="493"/>
    </row>
    <row r="249" spans="1:14" hidden="1" x14ac:dyDescent="0.25">
      <c r="B249" t="str">
        <f>Lookups!$D$32</f>
        <v>Unitil</v>
      </c>
      <c r="C249" t="str">
        <f>Lookups!$D$28</f>
        <v>Small C&amp;I</v>
      </c>
      <c r="D249" s="386" t="s">
        <v>46</v>
      </c>
      <c r="E249" s="455" t="s">
        <v>33</v>
      </c>
      <c r="F249" s="455" t="s">
        <v>305</v>
      </c>
      <c r="G249" s="251" t="s">
        <v>61</v>
      </c>
      <c r="H249" s="251" t="s">
        <v>16</v>
      </c>
      <c r="I249" s="251">
        <v>0</v>
      </c>
      <c r="J249" s="324" t="s">
        <v>177</v>
      </c>
      <c r="K249" s="324"/>
      <c r="L249" s="323" t="str">
        <f t="shared" si="34"/>
        <v>Small C&amp;IUnitilCurrent RatesCustomer or Meter ChargeAnnual Rate Change%</v>
      </c>
      <c r="M249" s="493" t="s">
        <v>17</v>
      </c>
      <c r="N249" s="493"/>
    </row>
    <row r="250" spans="1:14" x14ac:dyDescent="0.25">
      <c r="B250" t="str">
        <f>Lookups!$D$32</f>
        <v>Unitil</v>
      </c>
      <c r="C250" t="str">
        <f>Lookups!$D$28</f>
        <v>Small C&amp;I</v>
      </c>
      <c r="D250" s="386" t="s">
        <v>46</v>
      </c>
      <c r="E250" s="455" t="s">
        <v>126</v>
      </c>
      <c r="F250" s="455" t="s">
        <v>305</v>
      </c>
      <c r="G250" s="386" t="s">
        <v>228</v>
      </c>
      <c r="H250" s="386" t="s">
        <v>182</v>
      </c>
      <c r="I250" s="485">
        <v>0.24249999999999999</v>
      </c>
      <c r="J250" s="492" t="s">
        <v>203</v>
      </c>
      <c r="K250" s="492" t="s">
        <v>201</v>
      </c>
      <c r="L250" s="658" t="str">
        <f t="shared" ref="L250:L258" si="36">C250&amp;B250&amp;D250&amp;E250&amp;F250&amp;G250&amp;H250</f>
        <v>Small C&amp;IUnitilCurrent RatesDistribution ChargesWinterTotal (no blocks)$/Therm</v>
      </c>
      <c r="M250" s="493" t="s">
        <v>17</v>
      </c>
      <c r="N250" s="493"/>
    </row>
    <row r="251" spans="1:14" hidden="1" x14ac:dyDescent="0.25">
      <c r="B251" t="str">
        <f>Lookups!$D$32</f>
        <v>Unitil</v>
      </c>
      <c r="C251" t="str">
        <f>Lookups!$D$28</f>
        <v>Small C&amp;I</v>
      </c>
      <c r="D251" s="386" t="s">
        <v>46</v>
      </c>
      <c r="E251" s="455" t="s">
        <v>126</v>
      </c>
      <c r="F251" s="455" t="s">
        <v>305</v>
      </c>
      <c r="G251" s="386" t="s">
        <v>122</v>
      </c>
      <c r="H251" s="386" t="s">
        <v>182</v>
      </c>
      <c r="I251" s="485"/>
      <c r="J251" s="492" t="s">
        <v>202</v>
      </c>
      <c r="K251" s="492"/>
      <c r="L251" s="658" t="str">
        <f t="shared" si="36"/>
        <v>Small C&amp;IUnitilCurrent RatesDistribution ChargesWinterFirst Block$/Therm</v>
      </c>
      <c r="M251" s="493" t="s">
        <v>17</v>
      </c>
      <c r="N251" s="493"/>
    </row>
    <row r="252" spans="1:14" hidden="1" x14ac:dyDescent="0.25">
      <c r="B252" t="str">
        <f>Lookups!$D$32</f>
        <v>Unitil</v>
      </c>
      <c r="C252" t="str">
        <f>Lookups!$D$28</f>
        <v>Small C&amp;I</v>
      </c>
      <c r="D252" s="386" t="s">
        <v>46</v>
      </c>
      <c r="E252" s="455" t="s">
        <v>126</v>
      </c>
      <c r="F252" s="455" t="s">
        <v>305</v>
      </c>
      <c r="G252" s="386" t="s">
        <v>123</v>
      </c>
      <c r="H252" s="386" t="s">
        <v>182</v>
      </c>
      <c r="I252" s="485"/>
      <c r="J252" s="492" t="s">
        <v>202</v>
      </c>
      <c r="K252" s="492"/>
      <c r="L252" s="658" t="str">
        <f t="shared" si="36"/>
        <v>Small C&amp;IUnitilCurrent RatesDistribution ChargesWinterSecond Block$/Therm</v>
      </c>
      <c r="M252" s="493" t="s">
        <v>17</v>
      </c>
      <c r="N252" s="493"/>
    </row>
    <row r="253" spans="1:14" hidden="1" x14ac:dyDescent="0.25">
      <c r="B253" t="str">
        <f>Lookups!$D$32</f>
        <v>Unitil</v>
      </c>
      <c r="C253" t="str">
        <f>Lookups!$D$28</f>
        <v>Small C&amp;I</v>
      </c>
      <c r="D253" s="386" t="s">
        <v>46</v>
      </c>
      <c r="E253" s="455" t="s">
        <v>126</v>
      </c>
      <c r="F253" s="455" t="s">
        <v>305</v>
      </c>
      <c r="G253" s="386" t="s">
        <v>47</v>
      </c>
      <c r="H253" s="386" t="s">
        <v>182</v>
      </c>
      <c r="I253" s="485"/>
      <c r="J253" s="492" t="s">
        <v>202</v>
      </c>
      <c r="K253" s="492"/>
      <c r="L253" s="658" t="str">
        <f t="shared" si="36"/>
        <v>Small C&amp;IUnitilCurrent RatesDistribution ChargesWinterThird Block$/Therm</v>
      </c>
      <c r="M253" s="493" t="s">
        <v>17</v>
      </c>
      <c r="N253" s="493"/>
    </row>
    <row r="254" spans="1:14" x14ac:dyDescent="0.25">
      <c r="B254" t="str">
        <f>Lookups!$D$32</f>
        <v>Unitil</v>
      </c>
      <c r="C254" t="str">
        <f>Lookups!$D$28</f>
        <v>Small C&amp;I</v>
      </c>
      <c r="D254" s="386" t="s">
        <v>46</v>
      </c>
      <c r="E254" s="455" t="s">
        <v>126</v>
      </c>
      <c r="F254" s="455" t="str">
        <f>E254</f>
        <v>Distribution Charges</v>
      </c>
      <c r="G254" s="251" t="s">
        <v>61</v>
      </c>
      <c r="H254" s="251" t="s">
        <v>16</v>
      </c>
      <c r="I254" s="251">
        <v>0</v>
      </c>
      <c r="J254" s="324" t="s">
        <v>177</v>
      </c>
      <c r="K254" s="324"/>
      <c r="L254" s="323" t="str">
        <f>C254&amp;B254&amp;D254&amp;E254&amp;G254&amp;H254</f>
        <v>Small C&amp;IUnitilCurrent RatesDistribution ChargesAnnual Rate Change%</v>
      </c>
      <c r="M254" s="493" t="s">
        <v>17</v>
      </c>
      <c r="N254" s="493"/>
    </row>
    <row r="255" spans="1:14" s="59" customFormat="1" x14ac:dyDescent="0.25">
      <c r="B255" t="str">
        <f>Lookups!$D$32</f>
        <v>Unitil</v>
      </c>
      <c r="C255" t="str">
        <f>Lookups!$D$28</f>
        <v>Small C&amp;I</v>
      </c>
      <c r="D255" s="386" t="s">
        <v>46</v>
      </c>
      <c r="E255" s="455" t="s">
        <v>126</v>
      </c>
      <c r="F255" s="455" t="s">
        <v>306</v>
      </c>
      <c r="G255" s="386" t="s">
        <v>228</v>
      </c>
      <c r="H255" s="386" t="s">
        <v>182</v>
      </c>
      <c r="I255" s="485">
        <v>0.1895</v>
      </c>
      <c r="J255" s="324" t="s">
        <v>353</v>
      </c>
      <c r="K255" s="492" t="s">
        <v>201</v>
      </c>
      <c r="L255" s="658" t="str">
        <f t="shared" si="36"/>
        <v>Small C&amp;IUnitilCurrent RatesDistribution ChargesSummerTotal (no blocks)$/Therm</v>
      </c>
      <c r="M255" s="493" t="s">
        <v>17</v>
      </c>
      <c r="N255" s="497"/>
    </row>
    <row r="256" spans="1:14" s="59" customFormat="1" hidden="1" x14ac:dyDescent="0.25">
      <c r="B256" t="str">
        <f>Lookups!$D$32</f>
        <v>Unitil</v>
      </c>
      <c r="C256" t="str">
        <f>Lookups!$D$28</f>
        <v>Small C&amp;I</v>
      </c>
      <c r="D256" s="386" t="s">
        <v>46</v>
      </c>
      <c r="E256" s="455" t="s">
        <v>126</v>
      </c>
      <c r="F256" s="455" t="s">
        <v>306</v>
      </c>
      <c r="G256" s="386" t="s">
        <v>122</v>
      </c>
      <c r="H256" s="386" t="s">
        <v>182</v>
      </c>
      <c r="I256" s="485"/>
      <c r="J256" s="492" t="s">
        <v>202</v>
      </c>
      <c r="K256" s="492"/>
      <c r="L256" s="658" t="str">
        <f t="shared" si="36"/>
        <v>Small C&amp;IUnitilCurrent RatesDistribution ChargesSummerFirst Block$/Therm</v>
      </c>
      <c r="M256" s="493" t="s">
        <v>17</v>
      </c>
      <c r="N256" s="497"/>
    </row>
    <row r="257" spans="2:14" s="59" customFormat="1" hidden="1" x14ac:dyDescent="0.25">
      <c r="B257" t="str">
        <f>Lookups!$D$32</f>
        <v>Unitil</v>
      </c>
      <c r="C257" t="str">
        <f>Lookups!$D$28</f>
        <v>Small C&amp;I</v>
      </c>
      <c r="D257" s="386" t="s">
        <v>46</v>
      </c>
      <c r="E257" s="455" t="s">
        <v>126</v>
      </c>
      <c r="F257" s="455" t="s">
        <v>306</v>
      </c>
      <c r="G257" s="386" t="s">
        <v>123</v>
      </c>
      <c r="H257" s="386" t="s">
        <v>182</v>
      </c>
      <c r="I257" s="485"/>
      <c r="J257" s="492" t="s">
        <v>202</v>
      </c>
      <c r="K257" s="492"/>
      <c r="L257" s="658" t="str">
        <f t="shared" si="36"/>
        <v>Small C&amp;IUnitilCurrent RatesDistribution ChargesSummerSecond Block$/Therm</v>
      </c>
      <c r="M257" s="493" t="s">
        <v>17</v>
      </c>
      <c r="N257" s="497"/>
    </row>
    <row r="258" spans="2:14" s="59" customFormat="1" hidden="1" x14ac:dyDescent="0.25">
      <c r="B258" t="str">
        <f>Lookups!$D$32</f>
        <v>Unitil</v>
      </c>
      <c r="C258" t="str">
        <f>Lookups!$D$28</f>
        <v>Small C&amp;I</v>
      </c>
      <c r="D258" s="386" t="s">
        <v>46</v>
      </c>
      <c r="E258" s="455" t="s">
        <v>126</v>
      </c>
      <c r="F258" s="455" t="s">
        <v>306</v>
      </c>
      <c r="G258" s="386" t="s">
        <v>47</v>
      </c>
      <c r="H258" s="386" t="s">
        <v>182</v>
      </c>
      <c r="I258" s="485"/>
      <c r="J258" s="492" t="s">
        <v>202</v>
      </c>
      <c r="K258" s="492"/>
      <c r="L258" s="658" t="str">
        <f t="shared" si="36"/>
        <v>Small C&amp;IUnitilCurrent RatesDistribution ChargesSummerThird Block$/Therm</v>
      </c>
      <c r="M258" s="493" t="s">
        <v>17</v>
      </c>
      <c r="N258" s="497"/>
    </row>
    <row r="259" spans="2:14" s="59" customFormat="1" hidden="1" x14ac:dyDescent="0.25">
      <c r="B259" t="str">
        <f>Lookups!$D$32</f>
        <v>Unitil</v>
      </c>
      <c r="C259" t="str">
        <f>Lookups!$D$28</f>
        <v>Small C&amp;I</v>
      </c>
      <c r="D259" s="386" t="s">
        <v>46</v>
      </c>
      <c r="E259" s="455" t="s">
        <v>214</v>
      </c>
      <c r="F259" s="455" t="str">
        <f t="shared" ref="F259:F264" si="37">E259</f>
        <v>Local Distribution Adjustment Charge (LDAC)</v>
      </c>
      <c r="G259" s="455" t="s">
        <v>340</v>
      </c>
      <c r="H259" s="386" t="s">
        <v>182</v>
      </c>
      <c r="I259" s="485">
        <f>0.03496-0.00797</f>
        <v>2.699E-2</v>
      </c>
      <c r="J259" s="495" t="s">
        <v>216</v>
      </c>
      <c r="K259" s="495" t="s">
        <v>215</v>
      </c>
      <c r="L259" s="323" t="str">
        <f t="shared" ref="L259:L264" si="38">C259&amp;B259&amp;D259&amp;E259&amp;G259&amp;H259</f>
        <v>Small C&amp;IUnitilCurrent RatesLocal Distribution Adjustment Charge (LDAC)Winter Rate$/Therm</v>
      </c>
      <c r="M259" s="493" t="s">
        <v>17</v>
      </c>
      <c r="N259" s="497"/>
    </row>
    <row r="260" spans="2:14" s="59" customFormat="1" hidden="1" x14ac:dyDescent="0.25">
      <c r="B260" t="str">
        <f>Lookups!$D$32</f>
        <v>Unitil</v>
      </c>
      <c r="C260" t="str">
        <f>Lookups!$D$28</f>
        <v>Small C&amp;I</v>
      </c>
      <c r="D260" s="386" t="s">
        <v>46</v>
      </c>
      <c r="E260" s="455" t="s">
        <v>214</v>
      </c>
      <c r="F260" s="455" t="str">
        <f>E260</f>
        <v>Local Distribution Adjustment Charge (LDAC)</v>
      </c>
      <c r="G260" s="455" t="s">
        <v>341</v>
      </c>
      <c r="H260" s="386" t="s">
        <v>182</v>
      </c>
      <c r="I260" s="485">
        <f>0.03496-0.00797</f>
        <v>2.699E-2</v>
      </c>
      <c r="J260" s="495" t="s">
        <v>216</v>
      </c>
      <c r="K260" s="495" t="s">
        <v>215</v>
      </c>
      <c r="L260" s="323" t="str">
        <f>C260&amp;B260&amp;D260&amp;E260&amp;G260&amp;H260</f>
        <v>Small C&amp;IUnitilCurrent RatesLocal Distribution Adjustment Charge (LDAC)Summer Rate$/Therm</v>
      </c>
      <c r="M260" s="493" t="s">
        <v>17</v>
      </c>
      <c r="N260" s="487"/>
    </row>
    <row r="261" spans="2:14" s="59" customFormat="1" hidden="1" x14ac:dyDescent="0.25">
      <c r="B261" t="str">
        <f>Lookups!$D$32</f>
        <v>Unitil</v>
      </c>
      <c r="C261" t="str">
        <f>Lookups!$D$28</f>
        <v>Small C&amp;I</v>
      </c>
      <c r="D261" s="386" t="s">
        <v>46</v>
      </c>
      <c r="E261" s="455" t="s">
        <v>214</v>
      </c>
      <c r="F261" s="455" t="str">
        <f t="shared" si="37"/>
        <v>Local Distribution Adjustment Charge (LDAC)</v>
      </c>
      <c r="G261" s="251" t="s">
        <v>61</v>
      </c>
      <c r="H261" s="251" t="s">
        <v>16</v>
      </c>
      <c r="I261" s="251">
        <v>0</v>
      </c>
      <c r="J261" s="324" t="s">
        <v>177</v>
      </c>
      <c r="K261" s="324"/>
      <c r="L261" s="323" t="str">
        <f t="shared" si="38"/>
        <v>Small C&amp;IUnitilCurrent RatesLocal Distribution Adjustment Charge (LDAC)Annual Rate Change%</v>
      </c>
      <c r="M261" s="493" t="s">
        <v>17</v>
      </c>
      <c r="N261" s="497"/>
    </row>
    <row r="262" spans="2:14" hidden="1" x14ac:dyDescent="0.25">
      <c r="B262" t="str">
        <f>Lookups!$D$32</f>
        <v>Unitil</v>
      </c>
      <c r="C262" t="str">
        <f>Lookups!$D$28</f>
        <v>Small C&amp;I</v>
      </c>
      <c r="D262" s="386" t="s">
        <v>46</v>
      </c>
      <c r="E262" s="455" t="s">
        <v>183</v>
      </c>
      <c r="F262" s="455" t="str">
        <f t="shared" si="37"/>
        <v>Cost of Gas Charge</v>
      </c>
      <c r="G262" s="455" t="s">
        <v>340</v>
      </c>
      <c r="H262" s="386" t="s">
        <v>182</v>
      </c>
      <c r="I262" s="486">
        <v>0.5847</v>
      </c>
      <c r="J262" s="495"/>
      <c r="K262" s="495" t="s">
        <v>354</v>
      </c>
      <c r="L262" s="323" t="str">
        <f t="shared" si="38"/>
        <v>Small C&amp;IUnitilCurrent RatesCost of Gas ChargeWinter Rate$/Therm</v>
      </c>
      <c r="M262" s="493" t="s">
        <v>17</v>
      </c>
    </row>
    <row r="263" spans="2:14" s="59" customFormat="1" hidden="1" x14ac:dyDescent="0.25">
      <c r="B263" t="str">
        <f>Lookups!$D$32</f>
        <v>Unitil</v>
      </c>
      <c r="C263" t="str">
        <f>Lookups!$D$28</f>
        <v>Small C&amp;I</v>
      </c>
      <c r="D263" s="386" t="s">
        <v>46</v>
      </c>
      <c r="E263" s="455" t="s">
        <v>183</v>
      </c>
      <c r="F263" s="455" t="str">
        <f>E263</f>
        <v>Cost of Gas Charge</v>
      </c>
      <c r="G263" s="455" t="s">
        <v>341</v>
      </c>
      <c r="H263" s="386" t="s">
        <v>182</v>
      </c>
      <c r="I263" s="486">
        <v>0.38950000000000001</v>
      </c>
      <c r="J263" s="495"/>
      <c r="K263" s="495" t="s">
        <v>355</v>
      </c>
      <c r="L263" s="323" t="str">
        <f>C263&amp;B263&amp;D263&amp;E263&amp;G263&amp;H263</f>
        <v>Small C&amp;IUnitilCurrent RatesCost of Gas ChargeSummer Rate$/Therm</v>
      </c>
      <c r="M263" s="493" t="s">
        <v>17</v>
      </c>
      <c r="N263" s="497"/>
    </row>
    <row r="264" spans="2:14" hidden="1" x14ac:dyDescent="0.25">
      <c r="B264" t="str">
        <f>Lookups!$D$32</f>
        <v>Unitil</v>
      </c>
      <c r="C264" t="str">
        <f>Lookups!$D$28</f>
        <v>Small C&amp;I</v>
      </c>
      <c r="D264" s="386" t="s">
        <v>46</v>
      </c>
      <c r="E264" s="455" t="s">
        <v>183</v>
      </c>
      <c r="F264" s="455" t="str">
        <f t="shared" si="37"/>
        <v>Cost of Gas Charge</v>
      </c>
      <c r="G264" s="251" t="s">
        <v>61</v>
      </c>
      <c r="H264" s="251" t="s">
        <v>16</v>
      </c>
      <c r="I264" s="251">
        <v>0</v>
      </c>
      <c r="J264" s="324" t="s">
        <v>177</v>
      </c>
      <c r="K264" s="324"/>
      <c r="L264" s="323" t="str">
        <f t="shared" si="38"/>
        <v>Small C&amp;IUnitilCurrent RatesCost of Gas ChargeAnnual Rate Change%</v>
      </c>
      <c r="M264" s="493" t="s">
        <v>17</v>
      </c>
    </row>
    <row r="265" spans="2:14" hidden="1" x14ac:dyDescent="0.25">
      <c r="B265" t="str">
        <f>Lookups!$D$32</f>
        <v>Unitil</v>
      </c>
      <c r="C265" t="str">
        <f>Lookups!$D$29</f>
        <v>Large C&amp;I</v>
      </c>
      <c r="D265" s="386" t="s">
        <v>29</v>
      </c>
      <c r="E265" s="455" t="s">
        <v>27</v>
      </c>
      <c r="F265" s="455" t="str">
        <f t="shared" si="29"/>
        <v>Rate Class</v>
      </c>
      <c r="G265" s="455" t="s">
        <v>128</v>
      </c>
      <c r="H265" s="251" t="s">
        <v>140</v>
      </c>
      <c r="I265" s="386" t="s">
        <v>227</v>
      </c>
      <c r="J265" s="495" t="s">
        <v>244</v>
      </c>
      <c r="K265" s="492" t="s">
        <v>201</v>
      </c>
      <c r="L265" s="323" t="str">
        <f t="shared" si="34"/>
        <v>Large C&amp;IUnitilRate Class DataRate ClassRate NameName</v>
      </c>
      <c r="M265" s="493" t="s">
        <v>17</v>
      </c>
      <c r="N265" s="493"/>
    </row>
    <row r="266" spans="2:14" hidden="1" x14ac:dyDescent="0.25">
      <c r="B266" t="str">
        <f>Lookups!$D$32</f>
        <v>Unitil</v>
      </c>
      <c r="C266" t="str">
        <f>Lookups!$D$29</f>
        <v>Large C&amp;I</v>
      </c>
      <c r="D266" s="386" t="s">
        <v>29</v>
      </c>
      <c r="E266" s="455" t="s">
        <v>3</v>
      </c>
      <c r="F266" s="455" t="str">
        <f t="shared" si="29"/>
        <v>Customers</v>
      </c>
      <c r="G266" s="454" t="s">
        <v>3</v>
      </c>
      <c r="H266" s="454" t="s">
        <v>48</v>
      </c>
      <c r="I266" s="459">
        <f>3+30</f>
        <v>33</v>
      </c>
      <c r="J266" s="495" t="s">
        <v>207</v>
      </c>
      <c r="K266" s="495" t="s">
        <v>206</v>
      </c>
      <c r="L266" s="323" t="str">
        <f t="shared" si="34"/>
        <v>Large C&amp;IUnitilRate Class DataCustomersCustomersAccounts</v>
      </c>
      <c r="M266" s="493" t="s">
        <v>17</v>
      </c>
      <c r="N266" s="493"/>
    </row>
    <row r="267" spans="2:14" hidden="1" x14ac:dyDescent="0.25">
      <c r="B267" t="str">
        <f>Lookups!$D$32</f>
        <v>Unitil</v>
      </c>
      <c r="C267" t="str">
        <f>Lookups!$D$29</f>
        <v>Large C&amp;I</v>
      </c>
      <c r="D267" s="386" t="s">
        <v>29</v>
      </c>
      <c r="E267" s="455" t="s">
        <v>3</v>
      </c>
      <c r="F267" s="455" t="str">
        <f t="shared" si="29"/>
        <v>Customers</v>
      </c>
      <c r="G267" s="251" t="s">
        <v>15</v>
      </c>
      <c r="H267" s="251" t="s">
        <v>15</v>
      </c>
      <c r="I267" s="324">
        <v>2018</v>
      </c>
      <c r="J267" s="324"/>
      <c r="K267" s="495" t="s">
        <v>206</v>
      </c>
      <c r="L267" s="323" t="str">
        <f t="shared" si="34"/>
        <v>Large C&amp;IUnitilRate Class DataCustomersYearYear</v>
      </c>
      <c r="M267" s="493" t="s">
        <v>17</v>
      </c>
      <c r="N267" s="493"/>
    </row>
    <row r="268" spans="2:14" s="59" customFormat="1" hidden="1" x14ac:dyDescent="0.25">
      <c r="B268" t="str">
        <f>Lookups!$D$32</f>
        <v>Unitil</v>
      </c>
      <c r="C268" t="str">
        <f>Lookups!$D$29</f>
        <v>Large C&amp;I</v>
      </c>
      <c r="D268" s="386" t="s">
        <v>29</v>
      </c>
      <c r="E268" s="455" t="s">
        <v>3</v>
      </c>
      <c r="F268" s="455" t="str">
        <f t="shared" si="29"/>
        <v>Customers</v>
      </c>
      <c r="G268" s="251" t="s">
        <v>44</v>
      </c>
      <c r="H268" s="251" t="s">
        <v>16</v>
      </c>
      <c r="I268" s="251">
        <v>0</v>
      </c>
      <c r="J268" s="324" t="s">
        <v>177</v>
      </c>
      <c r="K268" s="324"/>
      <c r="L268" s="323" t="str">
        <f t="shared" si="34"/>
        <v>Large C&amp;IUnitilRate Class DataCustomersAnnual Growth Rate%</v>
      </c>
      <c r="M268" s="493" t="s">
        <v>17</v>
      </c>
      <c r="N268" s="497"/>
    </row>
    <row r="269" spans="2:14" s="59" customFormat="1" hidden="1" x14ac:dyDescent="0.25">
      <c r="B269" t="str">
        <f>Lookups!$D$32</f>
        <v>Unitil</v>
      </c>
      <c r="C269" t="str">
        <f>Lookups!$D$29</f>
        <v>Large C&amp;I</v>
      </c>
      <c r="D269" s="386" t="s">
        <v>29</v>
      </c>
      <c r="E269" s="455" t="s">
        <v>4</v>
      </c>
      <c r="F269" s="455" t="str">
        <f t="shared" si="29"/>
        <v>Sales</v>
      </c>
      <c r="G269" s="454" t="s">
        <v>313</v>
      </c>
      <c r="H269" s="454" t="s">
        <v>195</v>
      </c>
      <c r="I269" s="460">
        <v>8424106.129999999</v>
      </c>
      <c r="J269" s="495" t="s">
        <v>351</v>
      </c>
      <c r="K269" s="495" t="s">
        <v>208</v>
      </c>
      <c r="L269" s="323" t="str">
        <f t="shared" si="34"/>
        <v>Large C&amp;IUnitilRate Class DataSalesWinter SalesTherms</v>
      </c>
      <c r="M269" s="493" t="s">
        <v>17</v>
      </c>
      <c r="N269" s="494"/>
    </row>
    <row r="270" spans="2:14" s="59" customFormat="1" hidden="1" x14ac:dyDescent="0.25">
      <c r="B270" t="str">
        <f>Lookups!$D$32</f>
        <v>Unitil</v>
      </c>
      <c r="C270" t="str">
        <f>Lookups!$D$29</f>
        <v>Large C&amp;I</v>
      </c>
      <c r="D270" s="386" t="s">
        <v>29</v>
      </c>
      <c r="E270" s="455" t="s">
        <v>4</v>
      </c>
      <c r="F270" s="455" t="str">
        <f t="shared" si="29"/>
        <v>Sales</v>
      </c>
      <c r="G270" s="454" t="s">
        <v>314</v>
      </c>
      <c r="H270" s="454" t="s">
        <v>195</v>
      </c>
      <c r="I270" s="460">
        <v>7739445.4199999999</v>
      </c>
      <c r="J270" s="495" t="s">
        <v>352</v>
      </c>
      <c r="K270" s="495" t="s">
        <v>208</v>
      </c>
      <c r="L270" s="323" t="str">
        <f t="shared" si="34"/>
        <v>Large C&amp;IUnitilRate Class DataSalesSummer SalesTherms</v>
      </c>
      <c r="M270" s="493" t="s">
        <v>17</v>
      </c>
      <c r="N270" s="494"/>
    </row>
    <row r="271" spans="2:14" hidden="1" x14ac:dyDescent="0.25">
      <c r="B271" t="str">
        <f>Lookups!$D$32</f>
        <v>Unitil</v>
      </c>
      <c r="C271" t="str">
        <f>Lookups!$D$29</f>
        <v>Large C&amp;I</v>
      </c>
      <c r="D271" s="386" t="s">
        <v>29</v>
      </c>
      <c r="E271" s="455" t="s">
        <v>4</v>
      </c>
      <c r="F271" s="455" t="str">
        <f t="shared" si="29"/>
        <v>Sales</v>
      </c>
      <c r="G271" s="251" t="s">
        <v>15</v>
      </c>
      <c r="H271" s="251" t="s">
        <v>15</v>
      </c>
      <c r="I271" s="324">
        <v>2018</v>
      </c>
      <c r="J271" s="324"/>
      <c r="K271" s="495" t="s">
        <v>208</v>
      </c>
      <c r="L271" s="323" t="str">
        <f t="shared" si="34"/>
        <v>Large C&amp;IUnitilRate Class DataSalesYearYear</v>
      </c>
      <c r="M271" s="493" t="s">
        <v>17</v>
      </c>
      <c r="N271" s="493"/>
    </row>
    <row r="272" spans="2:14" hidden="1" x14ac:dyDescent="0.25">
      <c r="B272" t="str">
        <f>Lookups!$D$32</f>
        <v>Unitil</v>
      </c>
      <c r="C272" t="str">
        <f>Lookups!$D$29</f>
        <v>Large C&amp;I</v>
      </c>
      <c r="D272" s="386" t="s">
        <v>29</v>
      </c>
      <c r="E272" s="455" t="s">
        <v>4</v>
      </c>
      <c r="F272" s="455" t="str">
        <f t="shared" si="29"/>
        <v>Sales</v>
      </c>
      <c r="G272" s="251" t="s">
        <v>44</v>
      </c>
      <c r="H272" s="251" t="s">
        <v>16</v>
      </c>
      <c r="I272" s="251">
        <v>0</v>
      </c>
      <c r="J272" s="324" t="s">
        <v>177</v>
      </c>
      <c r="K272" s="324"/>
      <c r="L272" s="323" t="str">
        <f t="shared" si="34"/>
        <v>Large C&amp;IUnitilRate Class DataSalesAnnual Growth Rate%</v>
      </c>
      <c r="M272" s="493" t="s">
        <v>17</v>
      </c>
      <c r="N272" s="493"/>
    </row>
    <row r="273" spans="1:14" s="59" customFormat="1" hidden="1" x14ac:dyDescent="0.25">
      <c r="B273" t="str">
        <f>Lookups!$D$32</f>
        <v>Unitil</v>
      </c>
      <c r="C273" t="str">
        <f>Lookups!$D$29</f>
        <v>Large C&amp;I</v>
      </c>
      <c r="D273" s="386" t="s">
        <v>29</v>
      </c>
      <c r="E273" s="386" t="s">
        <v>300</v>
      </c>
      <c r="F273" s="455" t="str">
        <f t="shared" si="29"/>
        <v>Average Annual Usage</v>
      </c>
      <c r="G273" s="386" t="s">
        <v>302</v>
      </c>
      <c r="H273" s="454" t="s">
        <v>195</v>
      </c>
      <c r="I273" s="459">
        <f>269502</f>
        <v>269502</v>
      </c>
      <c r="J273" s="495" t="s">
        <v>190</v>
      </c>
      <c r="K273" s="324" t="s">
        <v>257</v>
      </c>
      <c r="L273" s="323" t="str">
        <f t="shared" si="34"/>
        <v>Large C&amp;IUnitilRate Class DataAverage Annual UsageWinter UsageTherms</v>
      </c>
      <c r="M273" s="493" t="s">
        <v>17</v>
      </c>
      <c r="N273" s="494"/>
    </row>
    <row r="274" spans="1:14" s="321" customFormat="1" hidden="1" x14ac:dyDescent="0.25">
      <c r="B274" t="str">
        <f>Lookups!$D$32</f>
        <v>Unitil</v>
      </c>
      <c r="C274" t="str">
        <f>Lookups!$D$29</f>
        <v>Large C&amp;I</v>
      </c>
      <c r="D274" s="386" t="s">
        <v>29</v>
      </c>
      <c r="E274" s="386" t="s">
        <v>300</v>
      </c>
      <c r="F274" s="455" t="str">
        <f t="shared" si="29"/>
        <v>Average Annual Usage</v>
      </c>
      <c r="G274" s="386" t="s">
        <v>301</v>
      </c>
      <c r="H274" s="454" t="s">
        <v>195</v>
      </c>
      <c r="I274" s="459">
        <v>228944.88324420678</v>
      </c>
      <c r="J274" s="495" t="s">
        <v>310</v>
      </c>
      <c r="K274" s="324" t="s">
        <v>257</v>
      </c>
      <c r="L274" s="323" t="str">
        <f t="shared" si="34"/>
        <v>Large C&amp;IUnitilRate Class DataAverage Annual UsageSummer UsageTherms</v>
      </c>
      <c r="M274" s="493" t="s">
        <v>17</v>
      </c>
      <c r="N274" s="494"/>
    </row>
    <row r="275" spans="1:14" s="59" customFormat="1" hidden="1" x14ac:dyDescent="0.25">
      <c r="B275" t="str">
        <f>Lookups!$D$32</f>
        <v>Unitil</v>
      </c>
      <c r="C275" t="str">
        <f>Lookups!$D$29</f>
        <v>Large C&amp;I</v>
      </c>
      <c r="D275" s="386" t="s">
        <v>29</v>
      </c>
      <c r="E275" s="455" t="s">
        <v>129</v>
      </c>
      <c r="F275" s="455" t="s">
        <v>305</v>
      </c>
      <c r="G275" s="386" t="s">
        <v>50</v>
      </c>
      <c r="H275" s="454" t="s">
        <v>195</v>
      </c>
      <c r="I275" s="454"/>
      <c r="J275" s="492" t="s">
        <v>202</v>
      </c>
      <c r="K275" s="492"/>
      <c r="L275" s="658" t="str">
        <f t="shared" ref="L275:L284" si="39">C275&amp;B275&amp;D275&amp;E275&amp;F275&amp;G275&amp;H275</f>
        <v>Large C&amp;IUnitilRate Class DataRate Type DataWinterFirst Block MaximumTherms</v>
      </c>
      <c r="M275" s="493" t="s">
        <v>17</v>
      </c>
      <c r="N275" s="497"/>
    </row>
    <row r="276" spans="1:14" s="59" customFormat="1" hidden="1" x14ac:dyDescent="0.25">
      <c r="B276" t="str">
        <f>Lookups!$D$32</f>
        <v>Unitil</v>
      </c>
      <c r="C276" t="str">
        <f>Lookups!$D$29</f>
        <v>Large C&amp;I</v>
      </c>
      <c r="D276" s="386" t="s">
        <v>29</v>
      </c>
      <c r="E276" s="455" t="s">
        <v>129</v>
      </c>
      <c r="F276" s="455" t="s">
        <v>305</v>
      </c>
      <c r="G276" s="386" t="s">
        <v>49</v>
      </c>
      <c r="H276" s="454" t="s">
        <v>195</v>
      </c>
      <c r="I276" s="454"/>
      <c r="J276" s="492" t="s">
        <v>202</v>
      </c>
      <c r="K276" s="492"/>
      <c r="L276" s="658" t="str">
        <f t="shared" si="39"/>
        <v>Large C&amp;IUnitilRate Class DataRate Type DataWinterSecond Block MaximumTherms</v>
      </c>
      <c r="M276" s="493" t="s">
        <v>17</v>
      </c>
      <c r="N276" s="497"/>
    </row>
    <row r="277" spans="1:14" s="59" customFormat="1" hidden="1" x14ac:dyDescent="0.25">
      <c r="B277" t="str">
        <f>Lookups!$D$32</f>
        <v>Unitil</v>
      </c>
      <c r="C277" t="str">
        <f>Lookups!$D$29</f>
        <v>Large C&amp;I</v>
      </c>
      <c r="D277" s="386" t="s">
        <v>29</v>
      </c>
      <c r="E277" s="455" t="s">
        <v>129</v>
      </c>
      <c r="F277" s="455" t="s">
        <v>305</v>
      </c>
      <c r="G277" s="386" t="s">
        <v>130</v>
      </c>
      <c r="H277" s="454" t="s">
        <v>195</v>
      </c>
      <c r="I277" s="456"/>
      <c r="J277" s="492" t="s">
        <v>202</v>
      </c>
      <c r="K277" s="492"/>
      <c r="L277" s="658" t="str">
        <f t="shared" si="39"/>
        <v>Large C&amp;IUnitilRate Class DataRate Type DataWinterFirst Block Billing DeterminantsTherms</v>
      </c>
      <c r="M277" s="493" t="s">
        <v>17</v>
      </c>
      <c r="N277" s="497"/>
    </row>
    <row r="278" spans="1:14" hidden="1" x14ac:dyDescent="0.25">
      <c r="B278" t="str">
        <f>Lookups!$D$32</f>
        <v>Unitil</v>
      </c>
      <c r="C278" t="str">
        <f>Lookups!$D$29</f>
        <v>Large C&amp;I</v>
      </c>
      <c r="D278" s="386" t="s">
        <v>29</v>
      </c>
      <c r="E278" s="455" t="s">
        <v>129</v>
      </c>
      <c r="F278" s="455" t="s">
        <v>305</v>
      </c>
      <c r="G278" s="386" t="s">
        <v>131</v>
      </c>
      <c r="H278" s="454" t="s">
        <v>195</v>
      </c>
      <c r="I278" s="456"/>
      <c r="J278" s="492" t="s">
        <v>202</v>
      </c>
      <c r="K278" s="492"/>
      <c r="L278" s="658" t="str">
        <f t="shared" si="39"/>
        <v>Large C&amp;IUnitilRate Class DataRate Type DataWinterSecond Block Billing DeterminantsTherms</v>
      </c>
      <c r="M278" s="493" t="s">
        <v>17</v>
      </c>
      <c r="N278" s="493"/>
    </row>
    <row r="279" spans="1:14" hidden="1" x14ac:dyDescent="0.25">
      <c r="B279" t="str">
        <f>Lookups!$D$32</f>
        <v>Unitil</v>
      </c>
      <c r="C279" t="str">
        <f>Lookups!$D$29</f>
        <v>Large C&amp;I</v>
      </c>
      <c r="D279" s="386" t="s">
        <v>29</v>
      </c>
      <c r="E279" s="455" t="s">
        <v>129</v>
      </c>
      <c r="F279" s="455" t="s">
        <v>305</v>
      </c>
      <c r="G279" s="386" t="s">
        <v>132</v>
      </c>
      <c r="H279" s="454" t="s">
        <v>195</v>
      </c>
      <c r="I279" s="456"/>
      <c r="J279" s="492" t="s">
        <v>202</v>
      </c>
      <c r="K279" s="492"/>
      <c r="L279" s="658" t="str">
        <f t="shared" si="39"/>
        <v>Large C&amp;IUnitilRate Class DataRate Type DataWinterRemaining Billing DeterminantsTherms</v>
      </c>
      <c r="M279" s="493" t="s">
        <v>17</v>
      </c>
      <c r="N279" s="493"/>
    </row>
    <row r="280" spans="1:14" hidden="1" x14ac:dyDescent="0.25">
      <c r="B280" t="str">
        <f>Lookups!$D$32</f>
        <v>Unitil</v>
      </c>
      <c r="C280" t="str">
        <f>Lookups!$D$29</f>
        <v>Large C&amp;I</v>
      </c>
      <c r="D280" s="386" t="s">
        <v>29</v>
      </c>
      <c r="E280" s="455" t="s">
        <v>129</v>
      </c>
      <c r="F280" s="455" t="s">
        <v>306</v>
      </c>
      <c r="G280" s="386" t="s">
        <v>50</v>
      </c>
      <c r="H280" s="454" t="s">
        <v>195</v>
      </c>
      <c r="I280" s="454"/>
      <c r="J280" s="492" t="s">
        <v>202</v>
      </c>
      <c r="K280" s="492"/>
      <c r="L280" s="658" t="str">
        <f t="shared" si="39"/>
        <v>Large C&amp;IUnitilRate Class DataRate Type DataSummerFirst Block MaximumTherms</v>
      </c>
      <c r="M280" s="493" t="s">
        <v>17</v>
      </c>
      <c r="N280" s="493"/>
    </row>
    <row r="281" spans="1:14" hidden="1" x14ac:dyDescent="0.25">
      <c r="B281" t="str">
        <f>Lookups!$D$32</f>
        <v>Unitil</v>
      </c>
      <c r="C281" t="str">
        <f>Lookups!$D$29</f>
        <v>Large C&amp;I</v>
      </c>
      <c r="D281" s="386" t="s">
        <v>29</v>
      </c>
      <c r="E281" s="455" t="s">
        <v>129</v>
      </c>
      <c r="F281" s="455" t="s">
        <v>306</v>
      </c>
      <c r="G281" s="386" t="s">
        <v>49</v>
      </c>
      <c r="H281" s="454" t="s">
        <v>195</v>
      </c>
      <c r="I281" s="454"/>
      <c r="J281" s="492" t="s">
        <v>202</v>
      </c>
      <c r="K281" s="492"/>
      <c r="L281" s="658" t="str">
        <f t="shared" si="39"/>
        <v>Large C&amp;IUnitilRate Class DataRate Type DataSummerSecond Block MaximumTherms</v>
      </c>
      <c r="M281" s="493" t="s">
        <v>17</v>
      </c>
      <c r="N281" s="493"/>
    </row>
    <row r="282" spans="1:14" hidden="1" x14ac:dyDescent="0.25">
      <c r="A282" s="318"/>
      <c r="B282" t="str">
        <f>Lookups!$D$32</f>
        <v>Unitil</v>
      </c>
      <c r="C282" t="str">
        <f>Lookups!$D$29</f>
        <v>Large C&amp;I</v>
      </c>
      <c r="D282" s="386" t="s">
        <v>29</v>
      </c>
      <c r="E282" s="455" t="s">
        <v>129</v>
      </c>
      <c r="F282" s="455" t="s">
        <v>306</v>
      </c>
      <c r="G282" s="386" t="s">
        <v>130</v>
      </c>
      <c r="H282" s="454" t="s">
        <v>195</v>
      </c>
      <c r="I282" s="456"/>
      <c r="J282" s="492" t="s">
        <v>202</v>
      </c>
      <c r="K282" s="492"/>
      <c r="L282" s="658" t="str">
        <f t="shared" si="39"/>
        <v>Large C&amp;IUnitilRate Class DataRate Type DataSummerFirst Block Billing DeterminantsTherms</v>
      </c>
      <c r="M282" s="493" t="s">
        <v>17</v>
      </c>
      <c r="N282" s="493"/>
    </row>
    <row r="283" spans="1:14" s="59" customFormat="1" hidden="1" x14ac:dyDescent="0.25">
      <c r="B283" t="str">
        <f>Lookups!$D$32</f>
        <v>Unitil</v>
      </c>
      <c r="C283" t="str">
        <f>Lookups!$D$29</f>
        <v>Large C&amp;I</v>
      </c>
      <c r="D283" s="386" t="s">
        <v>29</v>
      </c>
      <c r="E283" s="455" t="s">
        <v>129</v>
      </c>
      <c r="F283" s="455" t="s">
        <v>306</v>
      </c>
      <c r="G283" s="386" t="s">
        <v>131</v>
      </c>
      <c r="H283" s="454" t="s">
        <v>195</v>
      </c>
      <c r="I283" s="456"/>
      <c r="J283" s="492" t="s">
        <v>202</v>
      </c>
      <c r="K283" s="492"/>
      <c r="L283" s="658" t="str">
        <f t="shared" si="39"/>
        <v>Large C&amp;IUnitilRate Class DataRate Type DataSummerSecond Block Billing DeterminantsTherms</v>
      </c>
      <c r="M283" s="493" t="s">
        <v>17</v>
      </c>
      <c r="N283" s="497"/>
    </row>
    <row r="284" spans="1:14" s="59" customFormat="1" hidden="1" x14ac:dyDescent="0.25">
      <c r="B284" t="str">
        <f>Lookups!$D$32</f>
        <v>Unitil</v>
      </c>
      <c r="C284" t="str">
        <f>Lookups!$D$29</f>
        <v>Large C&amp;I</v>
      </c>
      <c r="D284" s="386" t="s">
        <v>29</v>
      </c>
      <c r="E284" s="455" t="s">
        <v>129</v>
      </c>
      <c r="F284" s="455" t="s">
        <v>306</v>
      </c>
      <c r="G284" s="386" t="s">
        <v>132</v>
      </c>
      <c r="H284" s="454" t="s">
        <v>195</v>
      </c>
      <c r="I284" s="456"/>
      <c r="J284" s="492" t="s">
        <v>202</v>
      </c>
      <c r="K284" s="492"/>
      <c r="L284" s="658" t="str">
        <f t="shared" si="39"/>
        <v>Large C&amp;IUnitilRate Class DataRate Type DataSummerRemaining Billing DeterminantsTherms</v>
      </c>
      <c r="M284" s="493" t="s">
        <v>17</v>
      </c>
      <c r="N284" s="497"/>
    </row>
    <row r="285" spans="1:14" hidden="1" x14ac:dyDescent="0.25">
      <c r="B285" t="str">
        <f>Lookups!$D$32</f>
        <v>Unitil</v>
      </c>
      <c r="C285" t="str">
        <f>Lookups!$D$29</f>
        <v>Large C&amp;I</v>
      </c>
      <c r="D285" s="386" t="s">
        <v>46</v>
      </c>
      <c r="E285" s="455" t="s">
        <v>33</v>
      </c>
      <c r="F285" s="455" t="s">
        <v>305</v>
      </c>
      <c r="G285" s="386" t="s">
        <v>75</v>
      </c>
      <c r="H285" s="386" t="s">
        <v>31</v>
      </c>
      <c r="I285" s="474">
        <v>1335.81</v>
      </c>
      <c r="J285" s="492"/>
      <c r="K285" s="492" t="s">
        <v>201</v>
      </c>
      <c r="L285" s="323" t="str">
        <f t="shared" si="34"/>
        <v>Large C&amp;IUnitilCurrent RatesCustomer or Meter ChargeCustomer Charge$/month</v>
      </c>
      <c r="M285" s="493" t="s">
        <v>17</v>
      </c>
      <c r="N285" s="493"/>
    </row>
    <row r="286" spans="1:14" hidden="1" x14ac:dyDescent="0.25">
      <c r="B286" t="str">
        <f>Lookups!$D$32</f>
        <v>Unitil</v>
      </c>
      <c r="C286" t="str">
        <f>Lookups!$D$29</f>
        <v>Large C&amp;I</v>
      </c>
      <c r="D286" s="386" t="s">
        <v>46</v>
      </c>
      <c r="E286" s="455" t="s">
        <v>33</v>
      </c>
      <c r="F286" s="455" t="s">
        <v>305</v>
      </c>
      <c r="G286" s="251" t="s">
        <v>61</v>
      </c>
      <c r="H286" s="251" t="s">
        <v>16</v>
      </c>
      <c r="I286" s="251">
        <v>0</v>
      </c>
      <c r="J286" s="324" t="s">
        <v>177</v>
      </c>
      <c r="K286" s="324"/>
      <c r="L286" s="323" t="str">
        <f t="shared" si="34"/>
        <v>Large C&amp;IUnitilCurrent RatesCustomer or Meter ChargeAnnual Rate Change%</v>
      </c>
      <c r="M286" s="493" t="s">
        <v>17</v>
      </c>
      <c r="N286" s="493"/>
    </row>
    <row r="287" spans="1:14" x14ac:dyDescent="0.25">
      <c r="B287" t="str">
        <f>Lookups!$D$32</f>
        <v>Unitil</v>
      </c>
      <c r="C287" t="str">
        <f>Lookups!$D$29</f>
        <v>Large C&amp;I</v>
      </c>
      <c r="D287" s="386" t="s">
        <v>46</v>
      </c>
      <c r="E287" s="455" t="s">
        <v>126</v>
      </c>
      <c r="F287" s="455" t="s">
        <v>305</v>
      </c>
      <c r="G287" s="386" t="s">
        <v>228</v>
      </c>
      <c r="H287" s="386" t="s">
        <v>182</v>
      </c>
      <c r="I287" s="485">
        <v>0.17199999999999999</v>
      </c>
      <c r="J287" s="492" t="s">
        <v>203</v>
      </c>
      <c r="K287" s="492" t="s">
        <v>201</v>
      </c>
      <c r="L287" s="658" t="str">
        <f t="shared" ref="L287:L295" si="40">C287&amp;B287&amp;D287&amp;E287&amp;F287&amp;G287&amp;H287</f>
        <v>Large C&amp;IUnitilCurrent RatesDistribution ChargesWinterTotal (no blocks)$/Therm</v>
      </c>
      <c r="M287" s="493" t="s">
        <v>17</v>
      </c>
      <c r="N287" s="493"/>
    </row>
    <row r="288" spans="1:14" hidden="1" x14ac:dyDescent="0.25">
      <c r="B288" t="str">
        <f>Lookups!$D$32</f>
        <v>Unitil</v>
      </c>
      <c r="C288" t="str">
        <f>Lookups!$D$29</f>
        <v>Large C&amp;I</v>
      </c>
      <c r="D288" s="386" t="s">
        <v>46</v>
      </c>
      <c r="E288" s="455" t="s">
        <v>126</v>
      </c>
      <c r="F288" s="455" t="s">
        <v>305</v>
      </c>
      <c r="G288" s="386" t="s">
        <v>122</v>
      </c>
      <c r="H288" s="386" t="s">
        <v>182</v>
      </c>
      <c r="I288" s="485"/>
      <c r="J288" s="492" t="s">
        <v>202</v>
      </c>
      <c r="K288" s="492"/>
      <c r="L288" s="658" t="str">
        <f t="shared" si="40"/>
        <v>Large C&amp;IUnitilCurrent RatesDistribution ChargesWinterFirst Block$/Therm</v>
      </c>
      <c r="M288" s="493" t="s">
        <v>17</v>
      </c>
      <c r="N288" s="493"/>
    </row>
    <row r="289" spans="2:14" hidden="1" x14ac:dyDescent="0.25">
      <c r="B289" t="str">
        <f>Lookups!$D$32</f>
        <v>Unitil</v>
      </c>
      <c r="C289" t="str">
        <f>Lookups!$D$29</f>
        <v>Large C&amp;I</v>
      </c>
      <c r="D289" s="386" t="s">
        <v>46</v>
      </c>
      <c r="E289" s="455" t="s">
        <v>126</v>
      </c>
      <c r="F289" s="455" t="s">
        <v>305</v>
      </c>
      <c r="G289" s="386" t="s">
        <v>123</v>
      </c>
      <c r="H289" s="386" t="s">
        <v>182</v>
      </c>
      <c r="I289" s="485"/>
      <c r="J289" s="492" t="s">
        <v>202</v>
      </c>
      <c r="K289" s="492"/>
      <c r="L289" s="658" t="str">
        <f t="shared" si="40"/>
        <v>Large C&amp;IUnitilCurrent RatesDistribution ChargesWinterSecond Block$/Therm</v>
      </c>
      <c r="M289" s="493" t="s">
        <v>17</v>
      </c>
      <c r="N289" s="493"/>
    </row>
    <row r="290" spans="2:14" hidden="1" x14ac:dyDescent="0.25">
      <c r="B290" t="str">
        <f>Lookups!$D$32</f>
        <v>Unitil</v>
      </c>
      <c r="C290" t="str">
        <f>Lookups!$D$29</f>
        <v>Large C&amp;I</v>
      </c>
      <c r="D290" s="386" t="s">
        <v>46</v>
      </c>
      <c r="E290" s="455" t="s">
        <v>126</v>
      </c>
      <c r="F290" s="455" t="s">
        <v>305</v>
      </c>
      <c r="G290" s="386" t="s">
        <v>47</v>
      </c>
      <c r="H290" s="386" t="s">
        <v>182</v>
      </c>
      <c r="I290" s="485"/>
      <c r="J290" s="492" t="s">
        <v>202</v>
      </c>
      <c r="K290" s="492"/>
      <c r="L290" s="658" t="str">
        <f t="shared" si="40"/>
        <v>Large C&amp;IUnitilCurrent RatesDistribution ChargesWinterThird Block$/Therm</v>
      </c>
      <c r="M290" s="493" t="s">
        <v>17</v>
      </c>
      <c r="N290" s="493"/>
    </row>
    <row r="291" spans="2:14" x14ac:dyDescent="0.25">
      <c r="B291" t="str">
        <f>Lookups!$D$32</f>
        <v>Unitil</v>
      </c>
      <c r="C291" t="str">
        <f>Lookups!$D$29</f>
        <v>Large C&amp;I</v>
      </c>
      <c r="D291" s="386" t="s">
        <v>46</v>
      </c>
      <c r="E291" s="455" t="s">
        <v>126</v>
      </c>
      <c r="F291" s="455" t="str">
        <f>E291</f>
        <v>Distribution Charges</v>
      </c>
      <c r="G291" s="251" t="s">
        <v>61</v>
      </c>
      <c r="H291" s="251" t="s">
        <v>16</v>
      </c>
      <c r="I291" s="251">
        <v>0</v>
      </c>
      <c r="J291" s="324" t="s">
        <v>177</v>
      </c>
      <c r="K291" s="324"/>
      <c r="L291" s="323" t="str">
        <f>C291&amp;B291&amp;D291&amp;E291&amp;G291&amp;H291</f>
        <v>Large C&amp;IUnitilCurrent RatesDistribution ChargesAnnual Rate Change%</v>
      </c>
      <c r="M291" s="493" t="s">
        <v>17</v>
      </c>
      <c r="N291" s="493"/>
    </row>
    <row r="292" spans="2:14" s="59" customFormat="1" x14ac:dyDescent="0.25">
      <c r="B292" t="str">
        <f>Lookups!$D$32</f>
        <v>Unitil</v>
      </c>
      <c r="C292" t="str">
        <f>Lookups!$D$29</f>
        <v>Large C&amp;I</v>
      </c>
      <c r="D292" s="386" t="s">
        <v>46</v>
      </c>
      <c r="E292" s="455" t="s">
        <v>126</v>
      </c>
      <c r="F292" s="455" t="s">
        <v>306</v>
      </c>
      <c r="G292" s="386" t="s">
        <v>228</v>
      </c>
      <c r="H292" s="386" t="s">
        <v>182</v>
      </c>
      <c r="I292" s="485">
        <v>7.9200000000000007E-2</v>
      </c>
      <c r="J292" s="324" t="s">
        <v>353</v>
      </c>
      <c r="K292" s="492" t="s">
        <v>201</v>
      </c>
      <c r="L292" s="658" t="str">
        <f t="shared" si="40"/>
        <v>Large C&amp;IUnitilCurrent RatesDistribution ChargesSummerTotal (no blocks)$/Therm</v>
      </c>
      <c r="M292" s="493" t="s">
        <v>17</v>
      </c>
      <c r="N292" s="497"/>
    </row>
    <row r="293" spans="2:14" s="59" customFormat="1" hidden="1" x14ac:dyDescent="0.25">
      <c r="B293" t="str">
        <f>Lookups!$D$32</f>
        <v>Unitil</v>
      </c>
      <c r="C293" t="str">
        <f>Lookups!$D$29</f>
        <v>Large C&amp;I</v>
      </c>
      <c r="D293" s="386" t="s">
        <v>46</v>
      </c>
      <c r="E293" s="455" t="s">
        <v>126</v>
      </c>
      <c r="F293" s="455" t="s">
        <v>306</v>
      </c>
      <c r="G293" s="386" t="s">
        <v>122</v>
      </c>
      <c r="H293" s="386" t="s">
        <v>182</v>
      </c>
      <c r="I293" s="485"/>
      <c r="J293" s="492" t="s">
        <v>202</v>
      </c>
      <c r="K293" s="492"/>
      <c r="L293" s="658" t="str">
        <f t="shared" si="40"/>
        <v>Large C&amp;IUnitilCurrent RatesDistribution ChargesSummerFirst Block$/Therm</v>
      </c>
      <c r="M293" s="493" t="s">
        <v>17</v>
      </c>
      <c r="N293" s="497"/>
    </row>
    <row r="294" spans="2:14" s="59" customFormat="1" hidden="1" x14ac:dyDescent="0.25">
      <c r="B294" t="str">
        <f>Lookups!$D$32</f>
        <v>Unitil</v>
      </c>
      <c r="C294" t="str">
        <f>Lookups!$D$29</f>
        <v>Large C&amp;I</v>
      </c>
      <c r="D294" s="386" t="s">
        <v>46</v>
      </c>
      <c r="E294" s="455" t="s">
        <v>126</v>
      </c>
      <c r="F294" s="455" t="s">
        <v>306</v>
      </c>
      <c r="G294" s="386" t="s">
        <v>123</v>
      </c>
      <c r="H294" s="386" t="s">
        <v>182</v>
      </c>
      <c r="I294" s="485"/>
      <c r="J294" s="492" t="s">
        <v>202</v>
      </c>
      <c r="K294" s="492"/>
      <c r="L294" s="658" t="str">
        <f t="shared" si="40"/>
        <v>Large C&amp;IUnitilCurrent RatesDistribution ChargesSummerSecond Block$/Therm</v>
      </c>
      <c r="M294" s="493" t="s">
        <v>17</v>
      </c>
      <c r="N294" s="497"/>
    </row>
    <row r="295" spans="2:14" s="59" customFormat="1" hidden="1" x14ac:dyDescent="0.25">
      <c r="B295" t="str">
        <f>Lookups!$D$32</f>
        <v>Unitil</v>
      </c>
      <c r="C295" t="str">
        <f>Lookups!$D$29</f>
        <v>Large C&amp;I</v>
      </c>
      <c r="D295" s="386" t="s">
        <v>46</v>
      </c>
      <c r="E295" s="455" t="s">
        <v>126</v>
      </c>
      <c r="F295" s="455" t="s">
        <v>306</v>
      </c>
      <c r="G295" s="386" t="s">
        <v>47</v>
      </c>
      <c r="H295" s="386" t="s">
        <v>182</v>
      </c>
      <c r="I295" s="485"/>
      <c r="J295" s="492" t="s">
        <v>202</v>
      </c>
      <c r="K295" s="492"/>
      <c r="L295" s="658" t="str">
        <f t="shared" si="40"/>
        <v>Large C&amp;IUnitilCurrent RatesDistribution ChargesSummerThird Block$/Therm</v>
      </c>
      <c r="M295" s="493" t="s">
        <v>17</v>
      </c>
      <c r="N295" s="497"/>
    </row>
    <row r="296" spans="2:14" s="59" customFormat="1" hidden="1" x14ac:dyDescent="0.25">
      <c r="B296" t="str">
        <f>Lookups!$D$32</f>
        <v>Unitil</v>
      </c>
      <c r="C296" t="str">
        <f>Lookups!$D$29</f>
        <v>Large C&amp;I</v>
      </c>
      <c r="D296" s="386" t="s">
        <v>46</v>
      </c>
      <c r="E296" s="455" t="s">
        <v>214</v>
      </c>
      <c r="F296" s="455" t="str">
        <f t="shared" ref="F296:F301" si="41">E296</f>
        <v>Local Distribution Adjustment Charge (LDAC)</v>
      </c>
      <c r="G296" s="455" t="s">
        <v>340</v>
      </c>
      <c r="H296" s="386" t="s">
        <v>182</v>
      </c>
      <c r="I296" s="485">
        <f>0.02252-0.00797</f>
        <v>1.4549999999999999E-2</v>
      </c>
      <c r="J296" s="495" t="s">
        <v>216</v>
      </c>
      <c r="K296" s="495" t="s">
        <v>215</v>
      </c>
      <c r="L296" s="323" t="str">
        <f t="shared" ref="L296:L301" si="42">C296&amp;B296&amp;D296&amp;E296&amp;G296&amp;H296</f>
        <v>Large C&amp;IUnitilCurrent RatesLocal Distribution Adjustment Charge (LDAC)Winter Rate$/Therm</v>
      </c>
      <c r="M296" s="493" t="s">
        <v>17</v>
      </c>
      <c r="N296" s="497"/>
    </row>
    <row r="297" spans="2:14" s="59" customFormat="1" hidden="1" x14ac:dyDescent="0.25">
      <c r="B297" t="str">
        <f>Lookups!$D$32</f>
        <v>Unitil</v>
      </c>
      <c r="C297" t="str">
        <f>Lookups!$D$29</f>
        <v>Large C&amp;I</v>
      </c>
      <c r="D297" s="386" t="s">
        <v>46</v>
      </c>
      <c r="E297" s="455" t="s">
        <v>214</v>
      </c>
      <c r="F297" s="455" t="str">
        <f>E297</f>
        <v>Local Distribution Adjustment Charge (LDAC)</v>
      </c>
      <c r="G297" s="455" t="s">
        <v>341</v>
      </c>
      <c r="H297" s="386" t="s">
        <v>182</v>
      </c>
      <c r="I297" s="485">
        <f>0.02252-0.00797</f>
        <v>1.4549999999999999E-2</v>
      </c>
      <c r="J297" s="495" t="s">
        <v>216</v>
      </c>
      <c r="K297" s="495" t="s">
        <v>215</v>
      </c>
      <c r="L297" s="323" t="str">
        <f>C297&amp;B297&amp;D297&amp;E297&amp;G297&amp;H297</f>
        <v>Large C&amp;IUnitilCurrent RatesLocal Distribution Adjustment Charge (LDAC)Summer Rate$/Therm</v>
      </c>
      <c r="M297" s="493" t="s">
        <v>17</v>
      </c>
      <c r="N297" s="487"/>
    </row>
    <row r="298" spans="2:14" s="59" customFormat="1" hidden="1" x14ac:dyDescent="0.25">
      <c r="B298" t="str">
        <f>Lookups!$D$32</f>
        <v>Unitil</v>
      </c>
      <c r="C298" t="str">
        <f>Lookups!$D$29</f>
        <v>Large C&amp;I</v>
      </c>
      <c r="D298" s="386" t="s">
        <v>46</v>
      </c>
      <c r="E298" s="455" t="s">
        <v>214</v>
      </c>
      <c r="F298" s="455" t="str">
        <f t="shared" si="41"/>
        <v>Local Distribution Adjustment Charge (LDAC)</v>
      </c>
      <c r="G298" s="251" t="s">
        <v>61</v>
      </c>
      <c r="H298" s="251" t="s">
        <v>16</v>
      </c>
      <c r="I298" s="251">
        <v>0</v>
      </c>
      <c r="J298" s="324" t="s">
        <v>177</v>
      </c>
      <c r="K298" s="324"/>
      <c r="L298" s="323" t="str">
        <f t="shared" si="42"/>
        <v>Large C&amp;IUnitilCurrent RatesLocal Distribution Adjustment Charge (LDAC)Annual Rate Change%</v>
      </c>
      <c r="M298" s="493" t="s">
        <v>17</v>
      </c>
      <c r="N298" s="497"/>
    </row>
    <row r="299" spans="2:14" hidden="1" x14ac:dyDescent="0.25">
      <c r="B299" t="str">
        <f>Lookups!$D$32</f>
        <v>Unitil</v>
      </c>
      <c r="C299" t="str">
        <f>Lookups!$D$29</f>
        <v>Large C&amp;I</v>
      </c>
      <c r="D299" s="386" t="s">
        <v>46</v>
      </c>
      <c r="E299" s="455" t="s">
        <v>183</v>
      </c>
      <c r="F299" s="455" t="str">
        <f t="shared" si="41"/>
        <v>Cost of Gas Charge</v>
      </c>
      <c r="G299" s="455" t="s">
        <v>340</v>
      </c>
      <c r="H299" s="386" t="s">
        <v>182</v>
      </c>
      <c r="I299" s="486">
        <v>0.47149999999999997</v>
      </c>
      <c r="J299" s="495"/>
      <c r="K299" s="495" t="s">
        <v>354</v>
      </c>
      <c r="L299" s="323" t="str">
        <f t="shared" si="42"/>
        <v>Large C&amp;IUnitilCurrent RatesCost of Gas ChargeWinter Rate$/Therm</v>
      </c>
      <c r="M299" s="493" t="s">
        <v>17</v>
      </c>
      <c r="N299" s="493"/>
    </row>
    <row r="300" spans="2:14" s="59" customFormat="1" hidden="1" x14ac:dyDescent="0.25">
      <c r="B300" t="str">
        <f>Lookups!$D$32</f>
        <v>Unitil</v>
      </c>
      <c r="C300" t="str">
        <f>Lookups!$D$29</f>
        <v>Large C&amp;I</v>
      </c>
      <c r="D300" s="386" t="s">
        <v>46</v>
      </c>
      <c r="E300" s="455" t="s">
        <v>183</v>
      </c>
      <c r="F300" s="455" t="str">
        <f>E300</f>
        <v>Cost of Gas Charge</v>
      </c>
      <c r="G300" s="455" t="s">
        <v>341</v>
      </c>
      <c r="H300" s="386" t="s">
        <v>182</v>
      </c>
      <c r="I300" s="486">
        <v>0.24429999999999999</v>
      </c>
      <c r="J300" s="495"/>
      <c r="K300" s="495" t="s">
        <v>355</v>
      </c>
      <c r="L300" s="323" t="str">
        <f>C300&amp;B300&amp;D300&amp;E300&amp;G300&amp;H300</f>
        <v>Large C&amp;IUnitilCurrent RatesCost of Gas ChargeSummer Rate$/Therm</v>
      </c>
      <c r="M300" s="493" t="s">
        <v>17</v>
      </c>
      <c r="N300" s="497"/>
    </row>
    <row r="301" spans="2:14" hidden="1" x14ac:dyDescent="0.25">
      <c r="B301" t="str">
        <f>Lookups!$D$32</f>
        <v>Unitil</v>
      </c>
      <c r="C301" t="str">
        <f>Lookups!$D$29</f>
        <v>Large C&amp;I</v>
      </c>
      <c r="D301" s="386" t="s">
        <v>46</v>
      </c>
      <c r="E301" s="455" t="s">
        <v>183</v>
      </c>
      <c r="F301" s="455" t="str">
        <f t="shared" si="41"/>
        <v>Cost of Gas Charge</v>
      </c>
      <c r="G301" s="251" t="s">
        <v>61</v>
      </c>
      <c r="H301" s="251" t="s">
        <v>16</v>
      </c>
      <c r="I301" s="251">
        <v>0</v>
      </c>
      <c r="J301" s="324" t="s">
        <v>177</v>
      </c>
      <c r="K301" s="324"/>
      <c r="L301" s="323" t="str">
        <f t="shared" si="42"/>
        <v>Large C&amp;IUnitilCurrent RatesCost of Gas ChargeAnnual Rate Change%</v>
      </c>
      <c r="M301" s="493" t="s">
        <v>17</v>
      </c>
      <c r="N301" s="493"/>
    </row>
  </sheetData>
  <autoFilter ref="B5:N301" xr:uid="{00000000-0009-0000-0000-000002000000}">
    <filterColumn colId="3">
      <filters>
        <filter val="Distribution Charges"/>
      </filters>
    </filterColumn>
    <filterColumn colId="8">
      <filters blank="1">
        <filter val="Headblock"/>
        <filter val="Summer rate"/>
        <filter val="Tailblock"/>
        <filter val="User-defined"/>
        <filter val="Winter rate"/>
      </filters>
    </filterColumn>
  </autoFilter>
  <pageMargins left="0.7" right="0.7" top="0.75" bottom="0.75" header="0.3" footer="0.3"/>
  <pageSetup scale="36"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B2:J40"/>
  <sheetViews>
    <sheetView showGridLines="0" zoomScale="85" zoomScaleNormal="85" workbookViewId="0">
      <selection activeCell="K8" sqref="K8"/>
    </sheetView>
  </sheetViews>
  <sheetFormatPr defaultColWidth="10" defaultRowHeight="15" x14ac:dyDescent="0.25"/>
  <cols>
    <col min="1" max="3" width="2.7109375" style="389" customWidth="1"/>
    <col min="4" max="4" width="24.28515625" style="390" bestFit="1" customWidth="1"/>
    <col min="5" max="7" width="18.5703125" style="389" customWidth="1"/>
    <col min="8" max="8" width="82.28515625" style="389" customWidth="1"/>
    <col min="9" max="10" width="2.7109375" style="389" customWidth="1"/>
    <col min="11" max="16384" width="10" style="389"/>
  </cols>
  <sheetData>
    <row r="2" spans="2:10" ht="26.25" x14ac:dyDescent="0.25">
      <c r="B2" s="2" t="s">
        <v>5</v>
      </c>
    </row>
    <row r="4" spans="2:10" ht="21.75" thickBot="1" x14ac:dyDescent="0.3">
      <c r="B4" s="3" t="s">
        <v>6</v>
      </c>
      <c r="C4" s="391"/>
      <c r="D4" s="392"/>
      <c r="E4" s="392"/>
      <c r="F4" s="392"/>
      <c r="G4" s="392"/>
      <c r="H4" s="392"/>
      <c r="I4" s="392"/>
      <c r="J4" s="392"/>
    </row>
    <row r="5" spans="2:10" x14ac:dyDescent="0.25">
      <c r="C5" s="393"/>
      <c r="D5" s="394" t="s">
        <v>7</v>
      </c>
      <c r="E5" s="395" t="s">
        <v>45</v>
      </c>
    </row>
    <row r="6" spans="2:10" x14ac:dyDescent="0.25">
      <c r="D6" s="394" t="s">
        <v>133</v>
      </c>
      <c r="E6" s="397" t="s">
        <v>18</v>
      </c>
      <c r="F6" s="339"/>
    </row>
    <row r="7" spans="2:10" x14ac:dyDescent="0.25">
      <c r="D7" s="394" t="s">
        <v>9</v>
      </c>
      <c r="E7" s="396" t="s">
        <v>10</v>
      </c>
    </row>
    <row r="8" spans="2:10" x14ac:dyDescent="0.25">
      <c r="D8" s="394" t="s">
        <v>11</v>
      </c>
      <c r="E8" s="397">
        <v>2021</v>
      </c>
    </row>
    <row r="9" spans="2:10" x14ac:dyDescent="0.25">
      <c r="D9" s="394" t="s">
        <v>12</v>
      </c>
      <c r="E9" s="397">
        <f>Year1+1</f>
        <v>2022</v>
      </c>
    </row>
    <row r="10" spans="2:10" x14ac:dyDescent="0.25">
      <c r="D10" s="398" t="s">
        <v>13</v>
      </c>
      <c r="E10" s="399">
        <f>Year2+1</f>
        <v>2023</v>
      </c>
    </row>
    <row r="13" spans="2:10" ht="21.75" thickBot="1" x14ac:dyDescent="0.3">
      <c r="B13" s="3" t="s">
        <v>292</v>
      </c>
      <c r="C13" s="391"/>
      <c r="D13" s="392"/>
      <c r="E13" s="392"/>
      <c r="F13" s="392"/>
      <c r="G13" s="392"/>
      <c r="H13" s="392"/>
      <c r="I13" s="392"/>
      <c r="J13" s="392"/>
    </row>
    <row r="14" spans="2:10" x14ac:dyDescent="0.25">
      <c r="D14" s="400" t="s">
        <v>162</v>
      </c>
      <c r="E14" s="401">
        <f>Year1</f>
        <v>2021</v>
      </c>
      <c r="F14" s="401">
        <f>Year2</f>
        <v>2022</v>
      </c>
      <c r="G14" s="401">
        <f>Year3</f>
        <v>2023</v>
      </c>
      <c r="H14" s="402" t="s">
        <v>158</v>
      </c>
    </row>
    <row r="15" spans="2:10" ht="45" x14ac:dyDescent="0.25">
      <c r="D15" s="403" t="s">
        <v>159</v>
      </c>
      <c r="E15" s="408">
        <v>3.2500000000000001E-2</v>
      </c>
      <c r="F15" s="408">
        <v>3.2500000000000001E-2</v>
      </c>
      <c r="G15" s="408">
        <v>3.2500000000000001E-2</v>
      </c>
      <c r="H15" s="406" t="s">
        <v>424</v>
      </c>
    </row>
    <row r="16" spans="2:10" ht="30" x14ac:dyDescent="0.25">
      <c r="D16" s="403" t="s">
        <v>163</v>
      </c>
      <c r="E16" s="407">
        <v>1.8100000000000002E-2</v>
      </c>
      <c r="F16" s="407">
        <v>1.8100000000000002E-2</v>
      </c>
      <c r="G16" s="407">
        <v>1.8100000000000002E-2</v>
      </c>
      <c r="H16" s="406" t="s">
        <v>425</v>
      </c>
    </row>
    <row r="17" spans="2:10" x14ac:dyDescent="0.25">
      <c r="D17" s="403" t="s">
        <v>160</v>
      </c>
      <c r="E17" s="407">
        <f>(1+E15)/(1+E16)-1</f>
        <v>1.4143993713780612E-2</v>
      </c>
      <c r="F17" s="407">
        <f t="shared" ref="F17:G17" si="0">(1+F15)/(1+F16)-1</f>
        <v>1.4143993713780612E-2</v>
      </c>
      <c r="G17" s="407">
        <f t="shared" si="0"/>
        <v>1.4143993713780612E-2</v>
      </c>
      <c r="H17" s="406" t="s">
        <v>161</v>
      </c>
    </row>
    <row r="20" spans="2:10" ht="21.75" thickBot="1" x14ac:dyDescent="0.3">
      <c r="B20" s="3" t="s">
        <v>19</v>
      </c>
      <c r="C20" s="391"/>
      <c r="D20" s="392"/>
      <c r="E20" s="392"/>
      <c r="F20" s="392"/>
      <c r="G20" s="392"/>
      <c r="H20" s="392"/>
      <c r="I20" s="392"/>
      <c r="J20" s="392"/>
    </row>
    <row r="21" spans="2:10" x14ac:dyDescent="0.25">
      <c r="C21" s="404" t="s">
        <v>0</v>
      </c>
      <c r="D21" s="405"/>
      <c r="E21" s="405"/>
      <c r="F21" s="405"/>
      <c r="G21" s="405"/>
      <c r="H21" s="405"/>
    </row>
    <row r="22" spans="2:10" x14ac:dyDescent="0.25">
      <c r="C22" s="4"/>
      <c r="D22" s="397" t="s">
        <v>71</v>
      </c>
    </row>
    <row r="23" spans="2:10" x14ac:dyDescent="0.25">
      <c r="C23" s="4"/>
      <c r="D23" s="397" t="s">
        <v>41</v>
      </c>
    </row>
    <row r="24" spans="2:10" x14ac:dyDescent="0.25">
      <c r="C24" s="4"/>
      <c r="D24" s="397" t="s">
        <v>1</v>
      </c>
    </row>
    <row r="25" spans="2:10" x14ac:dyDescent="0.25">
      <c r="C25" s="404" t="s">
        <v>52</v>
      </c>
      <c r="D25" s="405"/>
      <c r="E25" s="405"/>
      <c r="F25" s="405"/>
      <c r="G25" s="405"/>
      <c r="H25" s="405"/>
    </row>
    <row r="26" spans="2:10" x14ac:dyDescent="0.25">
      <c r="C26" s="4"/>
      <c r="D26" s="397" t="s">
        <v>20</v>
      </c>
    </row>
    <row r="27" spans="2:10" x14ac:dyDescent="0.25">
      <c r="C27" s="4"/>
      <c r="D27" s="397" t="s">
        <v>21</v>
      </c>
    </row>
    <row r="28" spans="2:10" x14ac:dyDescent="0.25">
      <c r="C28" s="4"/>
      <c r="D28" s="397" t="s">
        <v>42</v>
      </c>
    </row>
    <row r="29" spans="2:10" x14ac:dyDescent="0.25">
      <c r="C29" s="4"/>
      <c r="D29" s="397" t="s">
        <v>43</v>
      </c>
    </row>
    <row r="30" spans="2:10" x14ac:dyDescent="0.25">
      <c r="C30" s="404" t="s">
        <v>54</v>
      </c>
      <c r="D30" s="405"/>
      <c r="E30" s="405"/>
      <c r="F30" s="405"/>
      <c r="G30" s="405"/>
      <c r="H30" s="405"/>
    </row>
    <row r="31" spans="2:10" x14ac:dyDescent="0.25">
      <c r="C31" s="4"/>
      <c r="D31" s="397" t="s">
        <v>18</v>
      </c>
    </row>
    <row r="32" spans="2:10" x14ac:dyDescent="0.25">
      <c r="C32" s="4"/>
      <c r="D32" s="397" t="s">
        <v>170</v>
      </c>
    </row>
    <row r="33" spans="3:8" x14ac:dyDescent="0.25">
      <c r="C33" s="404" t="s">
        <v>53</v>
      </c>
      <c r="D33" s="405"/>
      <c r="E33" s="405"/>
      <c r="F33" s="405"/>
      <c r="G33" s="405"/>
      <c r="H33" s="405"/>
    </row>
    <row r="34" spans="3:8" x14ac:dyDescent="0.25">
      <c r="C34" s="4"/>
      <c r="D34" s="397" t="s">
        <v>8</v>
      </c>
    </row>
    <row r="35" spans="3:8" x14ac:dyDescent="0.25">
      <c r="C35" s="4"/>
      <c r="D35" s="397" t="s">
        <v>45</v>
      </c>
    </row>
    <row r="36" spans="3:8" x14ac:dyDescent="0.25">
      <c r="C36" s="404" t="s">
        <v>70</v>
      </c>
      <c r="D36" s="405"/>
      <c r="E36" s="405"/>
      <c r="F36" s="405"/>
      <c r="G36" s="405"/>
      <c r="H36" s="405"/>
    </row>
    <row r="37" spans="3:8" x14ac:dyDescent="0.25">
      <c r="C37" s="4"/>
      <c r="D37" s="641">
        <f>Year1</f>
        <v>2021</v>
      </c>
    </row>
    <row r="38" spans="3:8" x14ac:dyDescent="0.25">
      <c r="C38" s="4"/>
      <c r="D38" s="387">
        <f>Year2</f>
        <v>2022</v>
      </c>
    </row>
    <row r="39" spans="3:8" x14ac:dyDescent="0.25">
      <c r="C39" s="4"/>
      <c r="D39" s="387">
        <f>Year3</f>
        <v>2023</v>
      </c>
    </row>
    <row r="40" spans="3:8" x14ac:dyDescent="0.25">
      <c r="C40" s="4"/>
      <c r="D40" s="388" t="str">
        <f>Year1&amp;"-"&amp;Year3</f>
        <v>2021-2023</v>
      </c>
    </row>
  </sheetData>
  <dataValidations count="2">
    <dataValidation type="list" allowBlank="1" showInputMessage="1" showErrorMessage="1" sqref="E5" xr:uid="{00000000-0002-0000-0300-000000000000}">
      <formula1>"Electric, Gas"</formula1>
    </dataValidation>
    <dataValidation type="list" allowBlank="1" showInputMessage="1" showErrorMessage="1" sqref="E6" xr:uid="{00000000-0002-0000-0300-000001000000}">
      <formula1>$D$31:$D$32</formula1>
    </dataValidation>
  </dataValidations>
  <pageMargins left="0.7" right="0.7" top="0.75" bottom="0.75" header="0.3" footer="0.3"/>
  <pageSetup scale="62" fitToHeight="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AI68"/>
  <sheetViews>
    <sheetView showGridLines="0" zoomScale="85" zoomScaleNormal="85" workbookViewId="0">
      <pane xSplit="6" ySplit="8" topLeftCell="G24" activePane="bottomRight" state="frozen"/>
      <selection pane="topRight" activeCell="G1" sqref="G1"/>
      <selection pane="bottomLeft" activeCell="A9" sqref="A9"/>
      <selection pane="bottomRight" activeCell="I40" sqref="I40"/>
    </sheetView>
  </sheetViews>
  <sheetFormatPr defaultColWidth="9.140625" defaultRowHeight="15" x14ac:dyDescent="0.25"/>
  <cols>
    <col min="1" max="1" width="2.7109375" style="225" customWidth="1"/>
    <col min="2" max="2" width="2.7109375" style="6" customWidth="1"/>
    <col min="3" max="3" width="22.28515625" style="6" customWidth="1"/>
    <col min="4" max="4" width="9.85546875" style="17" customWidth="1"/>
    <col min="5" max="5" width="14.85546875" style="6" customWidth="1"/>
    <col min="6" max="6" width="33.7109375" style="17" bestFit="1" customWidth="1"/>
    <col min="7" max="7" width="10.5703125" style="6" bestFit="1" customWidth="1"/>
    <col min="8" max="8" width="15.140625" style="6" customWidth="1"/>
    <col min="9" max="10" width="14.140625" style="6" customWidth="1"/>
    <col min="11" max="11" width="14.85546875" style="6" customWidth="1"/>
    <col min="12" max="12" width="10.7109375" style="6" bestFit="1" customWidth="1"/>
    <col min="13" max="13" width="2.7109375" style="30" customWidth="1"/>
    <col min="14" max="14" width="27.140625" style="30" bestFit="1" customWidth="1"/>
    <col min="15" max="15" width="16" style="6" bestFit="1" customWidth="1"/>
    <col min="16" max="16" width="15" style="6" customWidth="1"/>
    <col min="17" max="17" width="16" style="6" bestFit="1" customWidth="1"/>
    <col min="18" max="18" width="15" style="6" customWidth="1"/>
    <col min="19" max="19" width="16" style="6" bestFit="1" customWidth="1"/>
    <col min="20" max="20" width="15" style="6" customWidth="1"/>
    <col min="21" max="21" width="2.7109375" style="30" customWidth="1"/>
    <col min="22" max="23" width="10.5703125" style="52" customWidth="1"/>
    <col min="24" max="26" width="2.7109375" style="30" customWidth="1"/>
    <col min="27" max="27" width="10.28515625" style="6" bestFit="1" customWidth="1"/>
    <col min="28" max="29" width="9.140625" style="6"/>
    <col min="30" max="30" width="10.28515625" style="6" bestFit="1" customWidth="1"/>
    <col min="31" max="31" width="11.5703125" style="6" bestFit="1" customWidth="1"/>
    <col min="32" max="16384" width="9.140625" style="6"/>
  </cols>
  <sheetData>
    <row r="1" spans="2:35" x14ac:dyDescent="0.25">
      <c r="C1"/>
      <c r="G1" s="1"/>
    </row>
    <row r="2" spans="2:35" ht="26.25" x14ac:dyDescent="0.25">
      <c r="B2" s="2" t="s">
        <v>168</v>
      </c>
      <c r="G2" s="185"/>
      <c r="H2" s="185"/>
      <c r="I2" s="22"/>
      <c r="J2" s="22"/>
      <c r="M2" s="6"/>
      <c r="N2"/>
      <c r="S2" s="1"/>
      <c r="U2" s="6"/>
      <c r="V2" s="6"/>
      <c r="W2" s="6"/>
    </row>
    <row r="3" spans="2:35" x14ac:dyDescent="0.25">
      <c r="G3" s="1"/>
      <c r="K3" s="1"/>
      <c r="M3" s="6"/>
      <c r="N3" s="6"/>
      <c r="O3" s="1"/>
      <c r="P3" s="1"/>
      <c r="Q3" s="1"/>
      <c r="R3" s="1"/>
      <c r="S3" s="1"/>
      <c r="U3" s="6"/>
      <c r="V3" s="6"/>
      <c r="W3" s="6"/>
    </row>
    <row r="4" spans="2:35" ht="24" thickBot="1" x14ac:dyDescent="0.3">
      <c r="B4" s="362" t="s">
        <v>166</v>
      </c>
      <c r="C4" s="256"/>
      <c r="D4" s="256"/>
      <c r="E4" s="257"/>
      <c r="F4" s="257"/>
      <c r="G4" s="257"/>
      <c r="H4" s="257"/>
      <c r="I4" s="257"/>
      <c r="J4" s="257"/>
      <c r="K4" s="257"/>
      <c r="L4" s="257"/>
      <c r="M4" s="257"/>
      <c r="N4" s="257"/>
      <c r="O4" s="257"/>
      <c r="P4" s="257"/>
      <c r="Q4" s="257"/>
      <c r="R4" s="257"/>
      <c r="S4" s="257"/>
      <c r="T4" s="257"/>
      <c r="U4" s="257"/>
      <c r="V4" s="383"/>
      <c r="W4" s="383"/>
      <c r="X4" s="257"/>
    </row>
    <row r="5" spans="2:35" ht="15.75" customHeight="1" thickTop="1" x14ac:dyDescent="0.25">
      <c r="C5" s="737" t="s">
        <v>60</v>
      </c>
      <c r="D5" s="738"/>
      <c r="E5" s="738"/>
      <c r="F5" s="739"/>
      <c r="G5" s="27" t="s">
        <v>34</v>
      </c>
      <c r="H5" s="740" t="s">
        <v>173</v>
      </c>
      <c r="I5" s="741"/>
      <c r="J5" s="751" t="s">
        <v>174</v>
      </c>
      <c r="K5" s="741"/>
      <c r="L5" s="444" t="s">
        <v>217</v>
      </c>
      <c r="N5" s="759" t="s">
        <v>350</v>
      </c>
      <c r="O5" s="760"/>
      <c r="P5" s="760"/>
      <c r="Q5" s="760"/>
      <c r="R5" s="760"/>
      <c r="S5" s="760"/>
      <c r="T5" s="760"/>
      <c r="V5" s="755" t="s">
        <v>40</v>
      </c>
      <c r="W5" s="755" t="s">
        <v>410</v>
      </c>
    </row>
    <row r="6" spans="2:35" s="567" customFormat="1" x14ac:dyDescent="0.25">
      <c r="C6" s="731" t="s">
        <v>37</v>
      </c>
      <c r="D6" s="742" t="s">
        <v>38</v>
      </c>
      <c r="E6" s="742" t="s">
        <v>55</v>
      </c>
      <c r="F6" s="734" t="s">
        <v>56</v>
      </c>
      <c r="G6" s="749" t="s">
        <v>57</v>
      </c>
      <c r="H6" s="745" t="s">
        <v>81</v>
      </c>
      <c r="I6" s="747" t="s">
        <v>82</v>
      </c>
      <c r="J6" s="568" t="s">
        <v>45</v>
      </c>
      <c r="K6" s="569" t="s">
        <v>175</v>
      </c>
      <c r="L6" s="749" t="s">
        <v>169</v>
      </c>
      <c r="M6" s="570"/>
      <c r="N6" s="752" t="s">
        <v>274</v>
      </c>
      <c r="O6" s="757" t="s">
        <v>261</v>
      </c>
      <c r="P6" s="758"/>
      <c r="Q6" s="757" t="s">
        <v>262</v>
      </c>
      <c r="R6" s="758"/>
      <c r="S6" s="753" t="s">
        <v>263</v>
      </c>
      <c r="T6" s="754"/>
      <c r="U6" s="570"/>
      <c r="V6" s="756"/>
      <c r="W6" s="756"/>
      <c r="X6" s="570"/>
      <c r="Y6" s="570"/>
      <c r="Z6" s="570"/>
      <c r="AA6" s="6"/>
      <c r="AB6" s="6"/>
      <c r="AC6" s="6"/>
      <c r="AD6" s="6"/>
      <c r="AE6" s="6"/>
      <c r="AF6" s="6"/>
      <c r="AG6" s="6"/>
      <c r="AH6" s="6"/>
      <c r="AI6" s="6"/>
    </row>
    <row r="7" spans="2:35" s="567" customFormat="1" x14ac:dyDescent="0.25">
      <c r="C7" s="732"/>
      <c r="D7" s="743"/>
      <c r="E7" s="743"/>
      <c r="F7" s="735"/>
      <c r="G7" s="750"/>
      <c r="H7" s="746"/>
      <c r="I7" s="748"/>
      <c r="J7" s="571"/>
      <c r="K7" s="572"/>
      <c r="L7" s="750"/>
      <c r="M7" s="570"/>
      <c r="N7" s="752"/>
      <c r="O7" s="610" t="str">
        <f>N15</f>
        <v>Low Savings</v>
      </c>
      <c r="P7" s="573" t="str">
        <f>N16</f>
        <v>High Savings</v>
      </c>
      <c r="Q7" s="610" t="str">
        <f>O7</f>
        <v>Low Savings</v>
      </c>
      <c r="R7" s="573" t="str">
        <f>P7</f>
        <v>High Savings</v>
      </c>
      <c r="S7" s="627" t="str">
        <f>Q7</f>
        <v>Low Savings</v>
      </c>
      <c r="T7" s="611" t="str">
        <f>R7</f>
        <v>High Savings</v>
      </c>
      <c r="U7" s="570"/>
      <c r="V7" s="756"/>
      <c r="W7" s="756"/>
      <c r="X7" s="570"/>
      <c r="Y7" s="570"/>
      <c r="Z7" s="570"/>
      <c r="AA7" s="6"/>
      <c r="AB7" s="6"/>
      <c r="AC7" s="6"/>
      <c r="AD7" s="6"/>
      <c r="AE7" s="6"/>
      <c r="AF7" s="6"/>
      <c r="AG7" s="6"/>
      <c r="AH7" s="6"/>
      <c r="AI7" s="6"/>
    </row>
    <row r="8" spans="2:35" s="8" customFormat="1" x14ac:dyDescent="0.25">
      <c r="C8" s="733"/>
      <c r="D8" s="744"/>
      <c r="E8" s="744"/>
      <c r="F8" s="736"/>
      <c r="G8" s="340" t="s">
        <v>32</v>
      </c>
      <c r="H8" s="441" t="s">
        <v>176</v>
      </c>
      <c r="I8" s="445" t="s">
        <v>176</v>
      </c>
      <c r="J8" s="342" t="s">
        <v>32</v>
      </c>
      <c r="K8" s="341" t="s">
        <v>32</v>
      </c>
      <c r="L8" s="340" t="s">
        <v>182</v>
      </c>
      <c r="M8" s="31"/>
      <c r="N8" s="629" t="s">
        <v>278</v>
      </c>
      <c r="O8" s="441" t="s">
        <v>16</v>
      </c>
      <c r="P8" s="341" t="s">
        <v>16</v>
      </c>
      <c r="Q8" s="441" t="s">
        <v>195</v>
      </c>
      <c r="R8" s="341" t="s">
        <v>195</v>
      </c>
      <c r="S8" s="562" t="s">
        <v>195</v>
      </c>
      <c r="T8" s="613" t="s">
        <v>195</v>
      </c>
      <c r="U8" s="31"/>
      <c r="V8" s="558" t="s">
        <v>2</v>
      </c>
      <c r="W8" s="558" t="s">
        <v>32</v>
      </c>
      <c r="X8" s="31"/>
      <c r="Y8" s="31"/>
      <c r="Z8" s="31"/>
      <c r="AA8" s="6"/>
      <c r="AB8" s="6"/>
      <c r="AC8" s="6"/>
      <c r="AD8" s="6"/>
      <c r="AE8" s="6"/>
      <c r="AF8" s="6"/>
      <c r="AG8" s="6"/>
      <c r="AH8" s="6"/>
      <c r="AI8" s="6"/>
    </row>
    <row r="9" spans="2:35" x14ac:dyDescent="0.25">
      <c r="C9" s="38" t="str">
        <f>Lookups!D23</f>
        <v>Proposed EE</v>
      </c>
      <c r="D9" s="39">
        <f>Year1</f>
        <v>2021</v>
      </c>
      <c r="E9" s="205" t="s">
        <v>20</v>
      </c>
      <c r="F9" s="33" t="s">
        <v>58</v>
      </c>
      <c r="G9" s="43">
        <v>3404000</v>
      </c>
      <c r="H9" s="360">
        <v>37652.988153867147</v>
      </c>
      <c r="I9" s="41">
        <v>563163.44845477236</v>
      </c>
      <c r="J9" s="34">
        <v>4019410.509508918</v>
      </c>
      <c r="K9" s="35">
        <v>150265.29294364533</v>
      </c>
      <c r="L9" s="478">
        <v>6.4686396991858353E-2</v>
      </c>
      <c r="N9" s="630"/>
      <c r="O9" s="575">
        <v>0.01</v>
      </c>
      <c r="P9" s="576">
        <v>7.0000000000000007E-2</v>
      </c>
      <c r="Q9" s="377"/>
      <c r="R9" s="35"/>
      <c r="S9" s="563">
        <f>IF($N$11="% Reduction",(INDEX('R&amp;B Inputs'!$I$27:$W$27,MATCH($E9,'R&amp;B Inputs'!$I$4:$W$4,0))+INDEX('R&amp;B Inputs'!$I$28:$W$28,MATCH($E9,'R&amp;B Inputs'!$I$4:$W$4,0)))*O9,Q9)</f>
        <v>6.66</v>
      </c>
      <c r="T9" s="614">
        <f>IF($N$11="% Reduction",(INDEX('R&amp;B Inputs'!$I$27:$W$27,MATCH($E9,'R&amp;B Inputs'!$I$4:$W$4,0))+INDEX('R&amp;B Inputs'!$I$28:$W$28,MATCH($E9,'R&amp;B Inputs'!$I$4:$W$4,0)))*P9,R9)</f>
        <v>46.620000000000005</v>
      </c>
      <c r="V9" s="559">
        <f t="shared" ref="V9:V32" si="0">IFERROR(ROUND(I9/H9,0),0)</f>
        <v>15</v>
      </c>
      <c r="W9" s="708">
        <f>J9*6%</f>
        <v>241164.63057053508</v>
      </c>
      <c r="X9" s="233"/>
    </row>
    <row r="10" spans="2:35" x14ac:dyDescent="0.25">
      <c r="C10" s="38" t="str">
        <f t="shared" ref="C10:C20" si="1">$C$9</f>
        <v>Proposed EE</v>
      </c>
      <c r="D10" s="39">
        <f>Year1</f>
        <v>2021</v>
      </c>
      <c r="E10" s="39" t="s">
        <v>21</v>
      </c>
      <c r="F10" s="33" t="s">
        <v>22</v>
      </c>
      <c r="G10" s="43">
        <v>1659651</v>
      </c>
      <c r="H10" s="360">
        <v>8792.4806176696402</v>
      </c>
      <c r="I10" s="41">
        <v>174735.41748918098</v>
      </c>
      <c r="J10" s="32">
        <v>1212133.845326321</v>
      </c>
      <c r="K10" s="23">
        <v>38931.670998015608</v>
      </c>
      <c r="L10" s="478">
        <v>6.4686396991858353E-2</v>
      </c>
      <c r="N10" s="631" t="s">
        <v>275</v>
      </c>
      <c r="O10" s="577">
        <v>0.01</v>
      </c>
      <c r="P10" s="578">
        <v>7.0000000000000007E-2</v>
      </c>
      <c r="Q10" s="360"/>
      <c r="R10" s="23"/>
      <c r="S10" s="564">
        <f>IF($N$11="% Reduction",(INDEX('R&amp;B Inputs'!$I$27:$W$27,MATCH($E10,'R&amp;B Inputs'!$I$4:$W$4,0))+INDEX('R&amp;B Inputs'!$I$28:$W$28,MATCH($E10,'R&amp;B Inputs'!$I$4:$W$4,0)))*O10,Q10)</f>
        <v>6.66</v>
      </c>
      <c r="T10" s="612">
        <f>IF($N$11="% Reduction",(INDEX('R&amp;B Inputs'!$I$27:$W$27,MATCH($E10,'R&amp;B Inputs'!$I$4:$W$4,0))+INDEX('R&amp;B Inputs'!$I$28:$W$28,MATCH($E10,'R&amp;B Inputs'!$I$4:$W$4,0)))*P10,R10)</f>
        <v>46.620000000000005</v>
      </c>
      <c r="V10" s="559">
        <f t="shared" si="0"/>
        <v>20</v>
      </c>
      <c r="W10" s="709">
        <f t="shared" ref="W10:W32" si="2">J10*6%</f>
        <v>72728.030719579256</v>
      </c>
      <c r="X10" s="233"/>
    </row>
    <row r="11" spans="2:35" x14ac:dyDescent="0.25">
      <c r="C11" s="38" t="str">
        <f t="shared" si="1"/>
        <v>Proposed EE</v>
      </c>
      <c r="D11" s="39">
        <f>Year1</f>
        <v>2021</v>
      </c>
      <c r="E11" s="39" t="s">
        <v>42</v>
      </c>
      <c r="F11" s="33" t="s">
        <v>23</v>
      </c>
      <c r="G11" s="43">
        <v>2220000</v>
      </c>
      <c r="H11" s="360">
        <v>33554.53849947673</v>
      </c>
      <c r="I11" s="41">
        <v>549495.82030151726</v>
      </c>
      <c r="J11" s="32">
        <v>3348883.8275772114</v>
      </c>
      <c r="K11" s="23">
        <v>117970.89208529601</v>
      </c>
      <c r="L11" s="479">
        <v>0.14245258051119242</v>
      </c>
      <c r="N11" s="635" t="s">
        <v>261</v>
      </c>
      <c r="O11" s="577">
        <v>0.05</v>
      </c>
      <c r="P11" s="578">
        <v>0.1</v>
      </c>
      <c r="Q11" s="360"/>
      <c r="R11" s="23"/>
      <c r="S11" s="564">
        <f>IF($N$11="% Reduction",(INDEX('R&amp;B Inputs'!$I$27:$W$27,MATCH($E11,'R&amp;B Inputs'!$I$4:$W$4,0))+INDEX('R&amp;B Inputs'!$I$28:$W$28,MATCH($E11,'R&amp;B Inputs'!$I$4:$W$4,0)))*O11,Q11)</f>
        <v>97.697850000000017</v>
      </c>
      <c r="T11" s="612">
        <f>IF($N$11="% Reduction",(INDEX('R&amp;B Inputs'!$I$27:$W$27,MATCH($E11,'R&amp;B Inputs'!$I$4:$W$4,0))+INDEX('R&amp;B Inputs'!$I$28:$W$28,MATCH($E11,'R&amp;B Inputs'!$I$4:$W$4,0)))*P11,R11)</f>
        <v>195.39570000000003</v>
      </c>
      <c r="V11" s="559">
        <f t="shared" si="0"/>
        <v>16</v>
      </c>
      <c r="W11" s="709">
        <f t="shared" si="2"/>
        <v>200933.02965463267</v>
      </c>
      <c r="X11" s="233"/>
    </row>
    <row r="12" spans="2:35" x14ac:dyDescent="0.25">
      <c r="C12" s="140" t="str">
        <f t="shared" si="1"/>
        <v>Proposed EE</v>
      </c>
      <c r="D12" s="141">
        <f>Year1</f>
        <v>2021</v>
      </c>
      <c r="E12" s="141" t="s">
        <v>43</v>
      </c>
      <c r="F12" s="142" t="s">
        <v>62</v>
      </c>
      <c r="G12" s="143">
        <v>2479000</v>
      </c>
      <c r="H12" s="210">
        <v>94109.760592214996</v>
      </c>
      <c r="I12" s="440">
        <v>1206080.511510144</v>
      </c>
      <c r="J12" s="146">
        <v>7958553.3009506892</v>
      </c>
      <c r="K12" s="211">
        <v>379332.18227105273</v>
      </c>
      <c r="L12" s="479">
        <v>0.14245258051119242</v>
      </c>
      <c r="N12" s="630"/>
      <c r="O12" s="579">
        <v>0.05</v>
      </c>
      <c r="P12" s="580">
        <v>0.1</v>
      </c>
      <c r="Q12" s="210"/>
      <c r="R12" s="211"/>
      <c r="S12" s="565">
        <f>IF($N$11="% Reduction",(INDEX('R&amp;B Inputs'!$I$27:$W$27,MATCH($E12,'R&amp;B Inputs'!$I$4:$W$4,0))+INDEX('R&amp;B Inputs'!$I$28:$W$28,MATCH($E12,'R&amp;B Inputs'!$I$4:$W$4,0)))*O12,Q12)</f>
        <v>9642.296678090448</v>
      </c>
      <c r="T12" s="615">
        <f>IF($N$11="% Reduction",(INDEX('R&amp;B Inputs'!$I$27:$W$27,MATCH($E12,'R&amp;B Inputs'!$I$4:$W$4,0))+INDEX('R&amp;B Inputs'!$I$28:$W$28,MATCH($E12,'R&amp;B Inputs'!$I$4:$W$4,0)))*P12,R12)</f>
        <v>19284.593356180896</v>
      </c>
      <c r="V12" s="560">
        <f t="shared" si="0"/>
        <v>13</v>
      </c>
      <c r="W12" s="710">
        <f t="shared" si="2"/>
        <v>477513.19805704133</v>
      </c>
      <c r="X12" s="233"/>
    </row>
    <row r="13" spans="2:35" x14ac:dyDescent="0.25">
      <c r="C13" s="38" t="str">
        <f t="shared" si="1"/>
        <v>Proposed EE</v>
      </c>
      <c r="D13" s="39">
        <f>Year2</f>
        <v>2022</v>
      </c>
      <c r="E13" s="39" t="str">
        <f t="shared" ref="E13:E20" si="3">E9</f>
        <v>Residential</v>
      </c>
      <c r="F13" s="33" t="s">
        <v>58</v>
      </c>
      <c r="G13" s="45">
        <v>3378727.9620853076</v>
      </c>
      <c r="H13" s="377">
        <v>37496.10802330001</v>
      </c>
      <c r="I13" s="42">
        <v>570747.55615312839</v>
      </c>
      <c r="J13" s="34">
        <v>4069209.571572477</v>
      </c>
      <c r="K13" s="35">
        <v>151358.80002922835</v>
      </c>
      <c r="L13" s="478">
        <v>6.6654138295917709E-2</v>
      </c>
      <c r="N13" s="630"/>
      <c r="O13" s="575">
        <f>O9</f>
        <v>0.01</v>
      </c>
      <c r="P13" s="576">
        <f>P9</f>
        <v>7.0000000000000007E-2</v>
      </c>
      <c r="Q13" s="377"/>
      <c r="R13" s="35"/>
      <c r="S13" s="564">
        <f>IF($N$11="% Reduction",(INDEX('R&amp;B Inputs'!$I$27:$W$27,MATCH($E13,'R&amp;B Inputs'!$I$4:$W$4,0))+INDEX('R&amp;B Inputs'!$I$28:$W$28,MATCH($E13,'R&amp;B Inputs'!$I$4:$W$4,0)))*O13,Q13)</f>
        <v>6.66</v>
      </c>
      <c r="T13" s="612">
        <f>IF($N$11="% Reduction",(INDEX('R&amp;B Inputs'!$I$27:$W$27,MATCH($E13,'R&amp;B Inputs'!$I$4:$W$4,0))+INDEX('R&amp;B Inputs'!$I$28:$W$28,MATCH($E13,'R&amp;B Inputs'!$I$4:$W$4,0)))*P13,R13)</f>
        <v>46.620000000000005</v>
      </c>
      <c r="V13" s="559">
        <f t="shared" si="0"/>
        <v>15</v>
      </c>
      <c r="W13" s="709">
        <f t="shared" si="2"/>
        <v>244152.5742943486</v>
      </c>
      <c r="X13" s="30" t="s">
        <v>17</v>
      </c>
    </row>
    <row r="14" spans="2:35" x14ac:dyDescent="0.25">
      <c r="C14" s="38" t="str">
        <f t="shared" si="1"/>
        <v>Proposed EE</v>
      </c>
      <c r="D14" s="39">
        <f>Year2</f>
        <v>2022</v>
      </c>
      <c r="E14" s="39" t="str">
        <f t="shared" si="3"/>
        <v>Low-Income</v>
      </c>
      <c r="F14" s="33" t="s">
        <v>22</v>
      </c>
      <c r="G14" s="43">
        <v>1656299.5260663508</v>
      </c>
      <c r="H14" s="360">
        <v>9052.930983578839</v>
      </c>
      <c r="I14" s="41">
        <v>180118.27082815283</v>
      </c>
      <c r="J14" s="32">
        <v>1249381.0045546291</v>
      </c>
      <c r="K14" s="23">
        <v>40108.771692786882</v>
      </c>
      <c r="L14" s="478">
        <v>6.6654138295917709E-2</v>
      </c>
      <c r="N14" s="628" t="s">
        <v>279</v>
      </c>
      <c r="O14" s="577">
        <f t="shared" ref="O14:P14" si="4">O10</f>
        <v>0.01</v>
      </c>
      <c r="P14" s="578">
        <f t="shared" si="4"/>
        <v>7.0000000000000007E-2</v>
      </c>
      <c r="Q14" s="360"/>
      <c r="R14" s="23"/>
      <c r="S14" s="564">
        <f>IF($N$11="% Reduction",(INDEX('R&amp;B Inputs'!$I$27:$W$27,MATCH($E14,'R&amp;B Inputs'!$I$4:$W$4,0))+INDEX('R&amp;B Inputs'!$I$28:$W$28,MATCH($E14,'R&amp;B Inputs'!$I$4:$W$4,0)))*O14,Q14)</f>
        <v>6.66</v>
      </c>
      <c r="T14" s="612">
        <f>IF($N$11="% Reduction",(INDEX('R&amp;B Inputs'!$I$27:$W$27,MATCH($E14,'R&amp;B Inputs'!$I$4:$W$4,0))+INDEX('R&amp;B Inputs'!$I$28:$W$28,MATCH($E14,'R&amp;B Inputs'!$I$4:$W$4,0)))*P14,R14)</f>
        <v>46.620000000000005</v>
      </c>
      <c r="V14" s="559">
        <f t="shared" si="0"/>
        <v>20</v>
      </c>
      <c r="W14" s="709">
        <f t="shared" si="2"/>
        <v>74962.860273277736</v>
      </c>
      <c r="X14" s="30" t="s">
        <v>17</v>
      </c>
    </row>
    <row r="15" spans="2:35" x14ac:dyDescent="0.25">
      <c r="C15" s="38" t="str">
        <f t="shared" si="1"/>
        <v>Proposed EE</v>
      </c>
      <c r="D15" s="39">
        <f>Year2</f>
        <v>2022</v>
      </c>
      <c r="E15" s="39" t="str">
        <f t="shared" si="3"/>
        <v>Small C&amp;I</v>
      </c>
      <c r="F15" s="33" t="s">
        <v>23</v>
      </c>
      <c r="G15" s="43">
        <v>2224208.5308056874</v>
      </c>
      <c r="H15" s="360">
        <v>35497.932418932556</v>
      </c>
      <c r="I15" s="41">
        <v>579202.44276373484</v>
      </c>
      <c r="J15" s="32">
        <v>3530331.2325755083</v>
      </c>
      <c r="K15" s="23">
        <v>124362.99968947783</v>
      </c>
      <c r="L15" s="479">
        <v>0.14926911562058559</v>
      </c>
      <c r="N15" s="635" t="s">
        <v>276</v>
      </c>
      <c r="O15" s="577">
        <f t="shared" ref="O15:P15" si="5">O11</f>
        <v>0.05</v>
      </c>
      <c r="P15" s="578">
        <f t="shared" si="5"/>
        <v>0.1</v>
      </c>
      <c r="Q15" s="360"/>
      <c r="R15" s="23"/>
      <c r="S15" s="564">
        <f>IF($N$11="% Reduction",(INDEX('R&amp;B Inputs'!$I$27:$W$27,MATCH($E15,'R&amp;B Inputs'!$I$4:$W$4,0))+INDEX('R&amp;B Inputs'!$I$28:$W$28,MATCH($E15,'R&amp;B Inputs'!$I$4:$W$4,0)))*O15,Q15)</f>
        <v>97.697850000000017</v>
      </c>
      <c r="T15" s="612">
        <f>IF($N$11="% Reduction",(INDEX('R&amp;B Inputs'!$I$27:$W$27,MATCH($E15,'R&amp;B Inputs'!$I$4:$W$4,0))+INDEX('R&amp;B Inputs'!$I$28:$W$28,MATCH($E15,'R&amp;B Inputs'!$I$4:$W$4,0)))*P15,R15)</f>
        <v>195.39570000000003</v>
      </c>
      <c r="V15" s="559">
        <f t="shared" si="0"/>
        <v>16</v>
      </c>
      <c r="W15" s="709">
        <f t="shared" si="2"/>
        <v>211819.87395453049</v>
      </c>
      <c r="X15" s="30" t="s">
        <v>17</v>
      </c>
    </row>
    <row r="16" spans="2:35" x14ac:dyDescent="0.25">
      <c r="C16" s="140" t="str">
        <f t="shared" si="1"/>
        <v>Proposed EE</v>
      </c>
      <c r="D16" s="141">
        <f>Year2</f>
        <v>2022</v>
      </c>
      <c r="E16" s="141" t="str">
        <f t="shared" si="3"/>
        <v>Large C&amp;I</v>
      </c>
      <c r="F16" s="142" t="s">
        <v>59</v>
      </c>
      <c r="G16" s="143">
        <v>2483699.5260663508</v>
      </c>
      <c r="H16" s="210">
        <v>98768.769995755109</v>
      </c>
      <c r="I16" s="440">
        <v>1264299.4401488758</v>
      </c>
      <c r="J16" s="146">
        <v>8343253.8001371641</v>
      </c>
      <c r="K16" s="211">
        <v>397924.25393288414</v>
      </c>
      <c r="L16" s="479">
        <v>0.14926911562058559</v>
      </c>
      <c r="N16" s="609" t="s">
        <v>277</v>
      </c>
      <c r="O16" s="579">
        <f t="shared" ref="O16:P16" si="6">O12</f>
        <v>0.05</v>
      </c>
      <c r="P16" s="580">
        <f t="shared" si="6"/>
        <v>0.1</v>
      </c>
      <c r="Q16" s="210"/>
      <c r="R16" s="211"/>
      <c r="S16" s="565">
        <f>IF($N$11="% Reduction",(INDEX('R&amp;B Inputs'!$I$27:$W$27,MATCH($E16,'R&amp;B Inputs'!$I$4:$W$4,0))+INDEX('R&amp;B Inputs'!$I$28:$W$28,MATCH($E16,'R&amp;B Inputs'!$I$4:$W$4,0)))*O16,Q16)</f>
        <v>9642.296678090448</v>
      </c>
      <c r="T16" s="615">
        <f>IF($N$11="% Reduction",(INDEX('R&amp;B Inputs'!$I$27:$W$27,MATCH($E16,'R&amp;B Inputs'!$I$4:$W$4,0))+INDEX('R&amp;B Inputs'!$I$28:$W$28,MATCH($E16,'R&amp;B Inputs'!$I$4:$W$4,0)))*P16,R16)</f>
        <v>19284.593356180896</v>
      </c>
      <c r="V16" s="560">
        <f t="shared" si="0"/>
        <v>13</v>
      </c>
      <c r="W16" s="710">
        <f t="shared" si="2"/>
        <v>500595.22800822981</v>
      </c>
      <c r="X16" s="30" t="s">
        <v>17</v>
      </c>
    </row>
    <row r="17" spans="3:29" x14ac:dyDescent="0.25">
      <c r="C17" s="38" t="str">
        <f t="shared" si="1"/>
        <v>Proposed EE</v>
      </c>
      <c r="D17" s="39">
        <f>Year3</f>
        <v>2023</v>
      </c>
      <c r="E17" s="39" t="str">
        <f t="shared" si="3"/>
        <v>Residential</v>
      </c>
      <c r="F17" s="33" t="s">
        <v>58</v>
      </c>
      <c r="G17" s="45">
        <v>3357398.805956739</v>
      </c>
      <c r="H17" s="377">
        <v>38068.915744391154</v>
      </c>
      <c r="I17" s="42">
        <v>581475.66848312691</v>
      </c>
      <c r="J17" s="34">
        <v>4143936.1857543713</v>
      </c>
      <c r="K17" s="35">
        <v>153748.41505301441</v>
      </c>
      <c r="L17" s="478">
        <v>6.8785811560470811E-2</v>
      </c>
      <c r="N17" s="632"/>
      <c r="O17" s="575">
        <f t="shared" ref="O17:P17" si="7">O13</f>
        <v>0.01</v>
      </c>
      <c r="P17" s="576">
        <f t="shared" si="7"/>
        <v>7.0000000000000007E-2</v>
      </c>
      <c r="Q17" s="377"/>
      <c r="R17" s="35"/>
      <c r="S17" s="564">
        <f>IF($N$11="% Reduction",(INDEX('R&amp;B Inputs'!$I$27:$W$27,MATCH($E17,'R&amp;B Inputs'!$I$4:$W$4,0))+INDEX('R&amp;B Inputs'!$I$28:$W$28,MATCH($E17,'R&amp;B Inputs'!$I$4:$W$4,0)))*O17,Q17)</f>
        <v>6.66</v>
      </c>
      <c r="T17" s="612">
        <f>IF($N$11="% Reduction",(INDEX('R&amp;B Inputs'!$I$27:$W$27,MATCH($E17,'R&amp;B Inputs'!$I$4:$W$4,0))+INDEX('R&amp;B Inputs'!$I$28:$W$28,MATCH($E17,'R&amp;B Inputs'!$I$4:$W$4,0)))*P17,R17)</f>
        <v>46.620000000000005</v>
      </c>
      <c r="V17" s="559">
        <f t="shared" si="0"/>
        <v>15</v>
      </c>
      <c r="W17" s="709">
        <f t="shared" si="2"/>
        <v>248636.17114526228</v>
      </c>
      <c r="X17" s="30" t="s">
        <v>17</v>
      </c>
      <c r="AA17" s="186"/>
      <c r="AB17" s="186"/>
      <c r="AC17" s="186"/>
    </row>
    <row r="18" spans="3:29" x14ac:dyDescent="0.25">
      <c r="C18" s="38" t="str">
        <f t="shared" si="1"/>
        <v>Proposed EE</v>
      </c>
      <c r="D18" s="39">
        <f>Year3</f>
        <v>2023</v>
      </c>
      <c r="E18" s="39" t="str">
        <f t="shared" si="3"/>
        <v>Low-Income</v>
      </c>
      <c r="F18" s="33" t="s">
        <v>22</v>
      </c>
      <c r="G18" s="43">
        <v>1653758.9002942434</v>
      </c>
      <c r="H18" s="360">
        <v>9378.5946309378232</v>
      </c>
      <c r="I18" s="41">
        <v>187121.98537185477</v>
      </c>
      <c r="J18" s="32">
        <v>1297242.461406132</v>
      </c>
      <c r="K18" s="23">
        <v>41564.583391049084</v>
      </c>
      <c r="L18" s="478">
        <v>6.8785811560470811E-2</v>
      </c>
      <c r="N18" s="632"/>
      <c r="O18" s="577">
        <f t="shared" ref="O18:P18" si="8">O14</f>
        <v>0.01</v>
      </c>
      <c r="P18" s="578">
        <f t="shared" si="8"/>
        <v>7.0000000000000007E-2</v>
      </c>
      <c r="Q18" s="360"/>
      <c r="R18" s="23"/>
      <c r="S18" s="564">
        <f>IF($N$11="% Reduction",(INDEX('R&amp;B Inputs'!$I$27:$W$27,MATCH($E18,'R&amp;B Inputs'!$I$4:$W$4,0))+INDEX('R&amp;B Inputs'!$I$28:$W$28,MATCH($E18,'R&amp;B Inputs'!$I$4:$W$4,0)))*O18,Q18)</f>
        <v>6.66</v>
      </c>
      <c r="T18" s="612">
        <f>IF($N$11="% Reduction",(INDEX('R&amp;B Inputs'!$I$27:$W$27,MATCH($E18,'R&amp;B Inputs'!$I$4:$W$4,0))+INDEX('R&amp;B Inputs'!$I$28:$W$28,MATCH($E18,'R&amp;B Inputs'!$I$4:$W$4,0)))*P18,R18)</f>
        <v>46.620000000000005</v>
      </c>
      <c r="V18" s="559">
        <f t="shared" si="0"/>
        <v>20</v>
      </c>
      <c r="W18" s="709">
        <f t="shared" si="2"/>
        <v>77834.547684367921</v>
      </c>
      <c r="X18" s="30" t="s">
        <v>17</v>
      </c>
    </row>
    <row r="19" spans="3:29" ht="15" customHeight="1" x14ac:dyDescent="0.25">
      <c r="C19" s="38" t="str">
        <f t="shared" si="1"/>
        <v>Proposed EE</v>
      </c>
      <c r="D19" s="39">
        <f>Year3</f>
        <v>2023</v>
      </c>
      <c r="E19" s="39" t="str">
        <f t="shared" si="3"/>
        <v>Small C&amp;I</v>
      </c>
      <c r="F19" s="33" t="s">
        <v>23</v>
      </c>
      <c r="G19" s="43">
        <v>2228425.0398688256</v>
      </c>
      <c r="H19" s="360">
        <v>36996.922257613987</v>
      </c>
      <c r="I19" s="41">
        <v>605829.25498055271</v>
      </c>
      <c r="J19" s="32">
        <v>3691760.1022864934</v>
      </c>
      <c r="K19" s="23">
        <v>129881.47302364338</v>
      </c>
      <c r="L19" s="479">
        <v>0.15875101082198512</v>
      </c>
      <c r="N19" s="632"/>
      <c r="O19" s="577">
        <f t="shared" ref="O19:P19" si="9">O15</f>
        <v>0.05</v>
      </c>
      <c r="P19" s="578">
        <f t="shared" si="9"/>
        <v>0.1</v>
      </c>
      <c r="Q19" s="360"/>
      <c r="R19" s="23"/>
      <c r="S19" s="564">
        <f>IF($N$11="% Reduction",(INDEX('R&amp;B Inputs'!$I$27:$W$27,MATCH($E19,'R&amp;B Inputs'!$I$4:$W$4,0))+INDEX('R&amp;B Inputs'!$I$28:$W$28,MATCH($E19,'R&amp;B Inputs'!$I$4:$W$4,0)))*O19,Q19)</f>
        <v>97.697850000000017</v>
      </c>
      <c r="T19" s="612">
        <f>IF($N$11="% Reduction",(INDEX('R&amp;B Inputs'!$I$27:$W$27,MATCH($E19,'R&amp;B Inputs'!$I$4:$W$4,0))+INDEX('R&amp;B Inputs'!$I$28:$W$28,MATCH($E19,'R&amp;B Inputs'!$I$4:$W$4,0)))*P19,R19)</f>
        <v>195.39570000000003</v>
      </c>
      <c r="V19" s="559">
        <f t="shared" si="0"/>
        <v>16</v>
      </c>
      <c r="W19" s="709">
        <f t="shared" si="2"/>
        <v>221505.60613718961</v>
      </c>
      <c r="X19" s="30" t="s">
        <v>17</v>
      </c>
    </row>
    <row r="20" spans="3:29" x14ac:dyDescent="0.25">
      <c r="C20" s="40" t="str">
        <f t="shared" si="1"/>
        <v>Proposed EE</v>
      </c>
      <c r="D20" s="36">
        <f>Year3</f>
        <v>2023</v>
      </c>
      <c r="E20" s="36" t="str">
        <f t="shared" si="3"/>
        <v>Large C&amp;I</v>
      </c>
      <c r="F20" s="37" t="s">
        <v>59</v>
      </c>
      <c r="G20" s="44">
        <v>2488407.9611868556</v>
      </c>
      <c r="H20" s="360">
        <v>103367.09436430752</v>
      </c>
      <c r="I20" s="41">
        <v>1333619.1000477495</v>
      </c>
      <c r="J20" s="32">
        <v>8797995.6253586672</v>
      </c>
      <c r="K20" s="23">
        <v>418193.30576545029</v>
      </c>
      <c r="L20" s="479">
        <v>0.15875101082198512</v>
      </c>
      <c r="N20" s="632"/>
      <c r="O20" s="577">
        <f t="shared" ref="O20:P20" si="10">O16</f>
        <v>0.05</v>
      </c>
      <c r="P20" s="578">
        <f t="shared" si="10"/>
        <v>0.1</v>
      </c>
      <c r="Q20" s="360"/>
      <c r="R20" s="23"/>
      <c r="S20" s="566">
        <f>IF($N$11="% Reduction",(INDEX('R&amp;B Inputs'!$I$27:$W$27,MATCH($E20,'R&amp;B Inputs'!$I$4:$W$4,0))+INDEX('R&amp;B Inputs'!$I$28:$W$28,MATCH($E20,'R&amp;B Inputs'!$I$4:$W$4,0)))*O20,Q20)</f>
        <v>9642.296678090448</v>
      </c>
      <c r="T20" s="616">
        <f>IF($N$11="% Reduction",(INDEX('R&amp;B Inputs'!$I$27:$W$27,MATCH($E20,'R&amp;B Inputs'!$I$4:$W$4,0))+INDEX('R&amp;B Inputs'!$I$28:$W$28,MATCH($E20,'R&amp;B Inputs'!$I$4:$W$4,0)))*P20,R20)</f>
        <v>19284.593356180896</v>
      </c>
      <c r="V20" s="561">
        <f t="shared" si="0"/>
        <v>13</v>
      </c>
      <c r="W20" s="711">
        <f t="shared" si="2"/>
        <v>527879.73752152</v>
      </c>
      <c r="X20" s="30" t="s">
        <v>17</v>
      </c>
    </row>
    <row r="21" spans="3:29" x14ac:dyDescent="0.25">
      <c r="C21" s="38" t="str">
        <f>Lookups!$D$24</f>
        <v>Alternative EE</v>
      </c>
      <c r="D21" s="39">
        <f>Year1</f>
        <v>2021</v>
      </c>
      <c r="E21" s="205" t="s">
        <v>20</v>
      </c>
      <c r="F21" s="39" t="s">
        <v>58</v>
      </c>
      <c r="G21" s="379">
        <f t="shared" ref="G21:G32" si="11">IF($E$37="% Change",G9*(1+$C$40),G46)</f>
        <v>4084800</v>
      </c>
      <c r="H21" s="380">
        <f t="shared" ref="H21:I32" si="12">IF($E$37="% Change",$G21/(($G9/H9)*(1+$C$41)),H46)</f>
        <v>43031.986461562454</v>
      </c>
      <c r="I21" s="382">
        <f t="shared" si="12"/>
        <v>643615.36966259696</v>
      </c>
      <c r="J21" s="381">
        <f>IF($E$37="% Change",(J9/$I9)*$I21,J46)</f>
        <v>4593612.0108673349</v>
      </c>
      <c r="K21" s="381">
        <f>IF($E$37="% Change",(K9/$I9)*$I21,K46)</f>
        <v>171731.76336416611</v>
      </c>
      <c r="L21" s="480">
        <f t="shared" ref="L21:L32" si="13">G21/(G9/L9)</f>
        <v>7.7623676390230018E-2</v>
      </c>
      <c r="N21" s="632"/>
      <c r="O21" s="581">
        <f t="shared" ref="O21:P21" si="14">IF($E$37="% Change",O9*(1+$C$42),O46)</f>
        <v>1.2E-2</v>
      </c>
      <c r="P21" s="582">
        <f t="shared" si="14"/>
        <v>8.4000000000000005E-2</v>
      </c>
      <c r="Q21" s="380">
        <f t="shared" ref="Q21:R21" si="15">IF($E$37="% Change",Q9*(1+$C$42),Q46)</f>
        <v>0</v>
      </c>
      <c r="R21" s="381">
        <f t="shared" si="15"/>
        <v>0</v>
      </c>
      <c r="S21" s="563">
        <f>IF($N$11="% Reduction",(INDEX('R&amp;B Inputs'!$I$27:$W$27,MATCH($E21,'R&amp;B Inputs'!$I$4:$W$4,0))+INDEX('R&amp;B Inputs'!$I$28:$W$28,MATCH($E21,'R&amp;B Inputs'!$I$4:$W$4,0)))*O21,Q21)</f>
        <v>7.992</v>
      </c>
      <c r="T21" s="614">
        <f>IF($N$11="% Reduction",(INDEX('R&amp;B Inputs'!$I$27:$W$27,MATCH($E21,'R&amp;B Inputs'!$I$4:$W$4,0))+INDEX('R&amp;B Inputs'!$I$28:$W$28,MATCH($E21,'R&amp;B Inputs'!$I$4:$W$4,0)))*P21,R21)</f>
        <v>55.944000000000003</v>
      </c>
      <c r="V21" s="559">
        <f t="shared" si="0"/>
        <v>15</v>
      </c>
      <c r="W21" s="709">
        <f t="shared" si="2"/>
        <v>275616.72065204009</v>
      </c>
      <c r="X21" s="30" t="s">
        <v>17</v>
      </c>
    </row>
    <row r="22" spans="3:29" x14ac:dyDescent="0.25">
      <c r="C22" s="38" t="str">
        <f t="shared" ref="C22:C32" si="16">$C$21</f>
        <v>Alternative EE</v>
      </c>
      <c r="D22" s="39">
        <f>Year1</f>
        <v>2021</v>
      </c>
      <c r="E22" s="39" t="s">
        <v>21</v>
      </c>
      <c r="F22" s="39" t="s">
        <v>22</v>
      </c>
      <c r="G22" s="379">
        <f t="shared" si="11"/>
        <v>1991581.2</v>
      </c>
      <c r="H22" s="370">
        <f t="shared" si="12"/>
        <v>10048.549277336731</v>
      </c>
      <c r="I22" s="367">
        <f t="shared" si="12"/>
        <v>199697.61998763544</v>
      </c>
      <c r="J22" s="366">
        <f t="shared" ref="J22:K22" si="17">IF($E$37="% Change",(J10/$I10)*$I22,J47)</f>
        <v>1385295.8232300812</v>
      </c>
      <c r="K22" s="366">
        <f t="shared" si="17"/>
        <v>44493.338283446414</v>
      </c>
      <c r="L22" s="481">
        <f t="shared" si="13"/>
        <v>7.7623676390230018E-2</v>
      </c>
      <c r="N22" s="632"/>
      <c r="O22" s="583">
        <f t="shared" ref="O22:P22" si="18">IF($E$37="% Change",O10*(1+$C$42),O47)</f>
        <v>1.2E-2</v>
      </c>
      <c r="P22" s="584">
        <f t="shared" si="18"/>
        <v>8.4000000000000005E-2</v>
      </c>
      <c r="Q22" s="370">
        <f t="shared" ref="Q22:R22" si="19">IF($E$37="% Change",Q10*(1+$C$42),Q47)</f>
        <v>0</v>
      </c>
      <c r="R22" s="366">
        <f t="shared" si="19"/>
        <v>0</v>
      </c>
      <c r="S22" s="564">
        <f>IF($N$11="% Reduction",(INDEX('R&amp;B Inputs'!$I$27:$W$27,MATCH($E22,'R&amp;B Inputs'!$I$4:$W$4,0))+INDEX('R&amp;B Inputs'!$I$28:$W$28,MATCH($E22,'R&amp;B Inputs'!$I$4:$W$4,0)))*O22,Q22)</f>
        <v>7.992</v>
      </c>
      <c r="T22" s="612">
        <f>IF($N$11="% Reduction",(INDEX('R&amp;B Inputs'!$I$27:$W$27,MATCH($E22,'R&amp;B Inputs'!$I$4:$W$4,0))+INDEX('R&amp;B Inputs'!$I$28:$W$28,MATCH($E22,'R&amp;B Inputs'!$I$4:$W$4,0)))*P22,R22)</f>
        <v>55.944000000000003</v>
      </c>
      <c r="V22" s="559">
        <f t="shared" si="0"/>
        <v>20</v>
      </c>
      <c r="W22" s="709">
        <f t="shared" si="2"/>
        <v>83117.749393804872</v>
      </c>
      <c r="X22" s="30" t="s">
        <v>17</v>
      </c>
    </row>
    <row r="23" spans="3:29" x14ac:dyDescent="0.25">
      <c r="C23" s="38" t="str">
        <f t="shared" si="16"/>
        <v>Alternative EE</v>
      </c>
      <c r="D23" s="39">
        <f>Year1</f>
        <v>2021</v>
      </c>
      <c r="E23" s="39" t="s">
        <v>42</v>
      </c>
      <c r="F23" s="39" t="s">
        <v>23</v>
      </c>
      <c r="G23" s="379">
        <f t="shared" si="11"/>
        <v>2664000</v>
      </c>
      <c r="H23" s="370">
        <f t="shared" si="12"/>
        <v>38348.043999401976</v>
      </c>
      <c r="I23" s="367">
        <f t="shared" si="12"/>
        <v>627995.22320173401</v>
      </c>
      <c r="J23" s="366">
        <f t="shared" ref="J23:K23" si="20">IF($E$37="% Change",(J11/$I11)*$I23,J48)</f>
        <v>3827295.8029453843</v>
      </c>
      <c r="K23" s="366">
        <f t="shared" si="20"/>
        <v>134823.87666890974</v>
      </c>
      <c r="L23" s="481">
        <f t="shared" si="13"/>
        <v>0.17094309661343091</v>
      </c>
      <c r="N23" s="633"/>
      <c r="O23" s="583">
        <f t="shared" ref="O23:P23" si="21">IF($E$37="% Change",O11*(1+$C$42),O48)</f>
        <v>0.06</v>
      </c>
      <c r="P23" s="584">
        <f t="shared" si="21"/>
        <v>0.12</v>
      </c>
      <c r="Q23" s="370">
        <f t="shared" ref="Q23:R23" si="22">IF($E$37="% Change",Q11*(1+$C$42),Q48)</f>
        <v>0</v>
      </c>
      <c r="R23" s="366">
        <f t="shared" si="22"/>
        <v>0</v>
      </c>
      <c r="S23" s="564">
        <f>IF($N$11="% Reduction",(INDEX('R&amp;B Inputs'!$I$27:$W$27,MATCH($E23,'R&amp;B Inputs'!$I$4:$W$4,0))+INDEX('R&amp;B Inputs'!$I$28:$W$28,MATCH($E23,'R&amp;B Inputs'!$I$4:$W$4,0)))*O23,Q23)</f>
        <v>117.23742</v>
      </c>
      <c r="T23" s="612">
        <f>IF($N$11="% Reduction",(INDEX('R&amp;B Inputs'!$I$27:$W$27,MATCH($E23,'R&amp;B Inputs'!$I$4:$W$4,0))+INDEX('R&amp;B Inputs'!$I$28:$W$28,MATCH($E23,'R&amp;B Inputs'!$I$4:$W$4,0)))*P23,R23)</f>
        <v>234.47484</v>
      </c>
      <c r="V23" s="559">
        <f t="shared" si="0"/>
        <v>16</v>
      </c>
      <c r="W23" s="709">
        <f t="shared" si="2"/>
        <v>229637.74817672305</v>
      </c>
      <c r="X23" s="30" t="s">
        <v>17</v>
      </c>
    </row>
    <row r="24" spans="3:29" x14ac:dyDescent="0.25">
      <c r="C24" s="140" t="str">
        <f t="shared" si="16"/>
        <v>Alternative EE</v>
      </c>
      <c r="D24" s="141">
        <f>Year1</f>
        <v>2021</v>
      </c>
      <c r="E24" s="141" t="s">
        <v>43</v>
      </c>
      <c r="F24" s="141" t="s">
        <v>62</v>
      </c>
      <c r="G24" s="371">
        <f t="shared" si="11"/>
        <v>2974800</v>
      </c>
      <c r="H24" s="378">
        <f t="shared" si="12"/>
        <v>107554.01210538858</v>
      </c>
      <c r="I24" s="369">
        <f t="shared" si="12"/>
        <v>1378377.7274401647</v>
      </c>
      <c r="J24" s="368">
        <f t="shared" ref="J24:K24" si="23">IF($E$37="% Change",(J12/$I12)*$I24,J49)</f>
        <v>9095489.4868007898</v>
      </c>
      <c r="K24" s="368">
        <f t="shared" si="23"/>
        <v>433522.49402406032</v>
      </c>
      <c r="L24" s="482">
        <f t="shared" si="13"/>
        <v>0.17094309661343091</v>
      </c>
      <c r="N24" s="633"/>
      <c r="O24" s="585">
        <f t="shared" ref="O24:P24" si="24">IF($E$37="% Change",O12*(1+$C$42),O49)</f>
        <v>0.06</v>
      </c>
      <c r="P24" s="586">
        <f t="shared" si="24"/>
        <v>0.12</v>
      </c>
      <c r="Q24" s="378">
        <f t="shared" ref="Q24:R24" si="25">IF($E$37="% Change",Q12*(1+$C$42),Q49)</f>
        <v>0</v>
      </c>
      <c r="R24" s="368">
        <f t="shared" si="25"/>
        <v>0</v>
      </c>
      <c r="S24" s="565">
        <f>IF($N$11="% Reduction",(INDEX('R&amp;B Inputs'!$I$27:$W$27,MATCH($E24,'R&amp;B Inputs'!$I$4:$W$4,0))+INDEX('R&amp;B Inputs'!$I$28:$W$28,MATCH($E24,'R&amp;B Inputs'!$I$4:$W$4,0)))*O24,Q24)</f>
        <v>11570.756013708537</v>
      </c>
      <c r="T24" s="615">
        <f>IF($N$11="% Reduction",(INDEX('R&amp;B Inputs'!$I$27:$W$27,MATCH($E24,'R&amp;B Inputs'!$I$4:$W$4,0))+INDEX('R&amp;B Inputs'!$I$28:$W$28,MATCH($E24,'R&amp;B Inputs'!$I$4:$W$4,0)))*P24,R24)</f>
        <v>23141.512027417073</v>
      </c>
      <c r="V24" s="560">
        <f t="shared" si="0"/>
        <v>13</v>
      </c>
      <c r="W24" s="710">
        <f t="shared" si="2"/>
        <v>545729.3692080474</v>
      </c>
      <c r="X24" s="30" t="s">
        <v>17</v>
      </c>
    </row>
    <row r="25" spans="3:29" x14ac:dyDescent="0.25">
      <c r="C25" s="38" t="str">
        <f t="shared" si="16"/>
        <v>Alternative EE</v>
      </c>
      <c r="D25" s="39">
        <f>Year2</f>
        <v>2022</v>
      </c>
      <c r="E25" s="39" t="str">
        <f t="shared" ref="E25:E32" si="26">E21</f>
        <v>Residential</v>
      </c>
      <c r="F25" s="39" t="s">
        <v>58</v>
      </c>
      <c r="G25" s="379">
        <f t="shared" si="11"/>
        <v>4054473.5545023689</v>
      </c>
      <c r="H25" s="370">
        <f t="shared" si="12"/>
        <v>42852.694883771437</v>
      </c>
      <c r="I25" s="367">
        <f t="shared" si="12"/>
        <v>652282.92131786095</v>
      </c>
      <c r="J25" s="366">
        <f t="shared" ref="J25:K25" si="27">IF($E$37="% Change",(J13/$I13)*$I25,J50)</f>
        <v>4650525.2246542582</v>
      </c>
      <c r="K25" s="366">
        <f t="shared" si="27"/>
        <v>172981.48574768956</v>
      </c>
      <c r="L25" s="481">
        <f t="shared" si="13"/>
        <v>7.9984965955101253E-2</v>
      </c>
      <c r="N25" s="633"/>
      <c r="O25" s="583">
        <f t="shared" ref="O25:P25" si="28">IF($E$37="% Change",O13*(1+$C$42),O50)</f>
        <v>1.2E-2</v>
      </c>
      <c r="P25" s="584">
        <f t="shared" si="28"/>
        <v>8.4000000000000005E-2</v>
      </c>
      <c r="Q25" s="370">
        <f t="shared" ref="Q25:R25" si="29">IF($E$37="% Change",Q13*(1+$C$42),Q50)</f>
        <v>0</v>
      </c>
      <c r="R25" s="366">
        <f t="shared" si="29"/>
        <v>0</v>
      </c>
      <c r="S25" s="564">
        <f>IF($N$11="% Reduction",(INDEX('R&amp;B Inputs'!$I$27:$W$27,MATCH($E25,'R&amp;B Inputs'!$I$4:$W$4,0))+INDEX('R&amp;B Inputs'!$I$28:$W$28,MATCH($E25,'R&amp;B Inputs'!$I$4:$W$4,0)))*O25,Q25)</f>
        <v>7.992</v>
      </c>
      <c r="T25" s="612">
        <f>IF($N$11="% Reduction",(INDEX('R&amp;B Inputs'!$I$27:$W$27,MATCH($E25,'R&amp;B Inputs'!$I$4:$W$4,0))+INDEX('R&amp;B Inputs'!$I$28:$W$28,MATCH($E25,'R&amp;B Inputs'!$I$4:$W$4,0)))*P25,R25)</f>
        <v>55.944000000000003</v>
      </c>
      <c r="V25" s="559">
        <f t="shared" si="0"/>
        <v>15</v>
      </c>
      <c r="W25" s="709">
        <f t="shared" si="2"/>
        <v>279031.51347925549</v>
      </c>
      <c r="X25" s="30" t="s">
        <v>17</v>
      </c>
    </row>
    <row r="26" spans="3:29" x14ac:dyDescent="0.25">
      <c r="C26" s="38" t="str">
        <f t="shared" si="16"/>
        <v>Alternative EE</v>
      </c>
      <c r="D26" s="39">
        <f>Year2</f>
        <v>2022</v>
      </c>
      <c r="E26" s="39" t="str">
        <f t="shared" si="26"/>
        <v>Low-Income</v>
      </c>
      <c r="F26" s="39" t="s">
        <v>22</v>
      </c>
      <c r="G26" s="379">
        <f t="shared" si="11"/>
        <v>1987559.4312796209</v>
      </c>
      <c r="H26" s="370">
        <f t="shared" si="12"/>
        <v>10346.206838375814</v>
      </c>
      <c r="I26" s="367">
        <f t="shared" si="12"/>
        <v>205849.4523750318</v>
      </c>
      <c r="J26" s="366">
        <f t="shared" ref="J26:K26" si="30">IF($E$37="% Change",(J14/$I14)*$I26,J51)</f>
        <v>1427864.0052052904</v>
      </c>
      <c r="K26" s="366">
        <f t="shared" si="30"/>
        <v>45838.596220327869</v>
      </c>
      <c r="L26" s="481">
        <f t="shared" si="13"/>
        <v>7.9984965955101253E-2</v>
      </c>
      <c r="N26" s="633"/>
      <c r="O26" s="583">
        <f t="shared" ref="O26:P26" si="31">IF($E$37="% Change",O14*(1+$C$42),O51)</f>
        <v>1.2E-2</v>
      </c>
      <c r="P26" s="584">
        <f t="shared" si="31"/>
        <v>8.4000000000000005E-2</v>
      </c>
      <c r="Q26" s="370">
        <f t="shared" ref="Q26:R26" si="32">IF($E$37="% Change",Q14*(1+$C$42),Q51)</f>
        <v>0</v>
      </c>
      <c r="R26" s="366">
        <f t="shared" si="32"/>
        <v>0</v>
      </c>
      <c r="S26" s="564">
        <f>IF($N$11="% Reduction",(INDEX('R&amp;B Inputs'!$I$27:$W$27,MATCH($E26,'R&amp;B Inputs'!$I$4:$W$4,0))+INDEX('R&amp;B Inputs'!$I$28:$W$28,MATCH($E26,'R&amp;B Inputs'!$I$4:$W$4,0)))*O26,Q26)</f>
        <v>7.992</v>
      </c>
      <c r="T26" s="612">
        <f>IF($N$11="% Reduction",(INDEX('R&amp;B Inputs'!$I$27:$W$27,MATCH($E26,'R&amp;B Inputs'!$I$4:$W$4,0))+INDEX('R&amp;B Inputs'!$I$28:$W$28,MATCH($E26,'R&amp;B Inputs'!$I$4:$W$4,0)))*P26,R26)</f>
        <v>55.944000000000003</v>
      </c>
      <c r="V26" s="559">
        <f t="shared" si="0"/>
        <v>20</v>
      </c>
      <c r="W26" s="709">
        <f t="shared" si="2"/>
        <v>85671.840312317421</v>
      </c>
      <c r="X26" s="30" t="s">
        <v>17</v>
      </c>
    </row>
    <row r="27" spans="3:29" x14ac:dyDescent="0.25">
      <c r="C27" s="38" t="str">
        <f t="shared" si="16"/>
        <v>Alternative EE</v>
      </c>
      <c r="D27" s="39">
        <f>Year2</f>
        <v>2022</v>
      </c>
      <c r="E27" s="39" t="str">
        <f t="shared" si="26"/>
        <v>Small C&amp;I</v>
      </c>
      <c r="F27" s="39" t="s">
        <v>23</v>
      </c>
      <c r="G27" s="379">
        <f t="shared" si="11"/>
        <v>2669050.2369668246</v>
      </c>
      <c r="H27" s="370">
        <f t="shared" si="12"/>
        <v>40569.065621637201</v>
      </c>
      <c r="I27" s="367">
        <f t="shared" si="12"/>
        <v>661945.64887283975</v>
      </c>
      <c r="J27" s="366">
        <f t="shared" ref="J27:K27" si="33">IF($E$37="% Change",(J15/$I15)*$I27,J52)</f>
        <v>4034664.2658005808</v>
      </c>
      <c r="K27" s="366">
        <f t="shared" si="33"/>
        <v>142129.14250226037</v>
      </c>
      <c r="L27" s="481">
        <f t="shared" si="13"/>
        <v>0.1791229387447027</v>
      </c>
      <c r="N27" s="633"/>
      <c r="O27" s="583">
        <f t="shared" ref="O27:P27" si="34">IF($E$37="% Change",O15*(1+$C$42),O52)</f>
        <v>0.06</v>
      </c>
      <c r="P27" s="584">
        <f t="shared" si="34"/>
        <v>0.12</v>
      </c>
      <c r="Q27" s="370">
        <f t="shared" ref="Q27:R27" si="35">IF($E$37="% Change",Q15*(1+$C$42),Q52)</f>
        <v>0</v>
      </c>
      <c r="R27" s="366">
        <f t="shared" si="35"/>
        <v>0</v>
      </c>
      <c r="S27" s="564">
        <f>IF($N$11="% Reduction",(INDEX('R&amp;B Inputs'!$I$27:$W$27,MATCH($E27,'R&amp;B Inputs'!$I$4:$W$4,0))+INDEX('R&amp;B Inputs'!$I$28:$W$28,MATCH($E27,'R&amp;B Inputs'!$I$4:$W$4,0)))*O27,Q27)</f>
        <v>117.23742</v>
      </c>
      <c r="T27" s="612">
        <f>IF($N$11="% Reduction",(INDEX('R&amp;B Inputs'!$I$27:$W$27,MATCH($E27,'R&amp;B Inputs'!$I$4:$W$4,0))+INDEX('R&amp;B Inputs'!$I$28:$W$28,MATCH($E27,'R&amp;B Inputs'!$I$4:$W$4,0)))*P27,R27)</f>
        <v>234.47484</v>
      </c>
      <c r="V27" s="559">
        <f t="shared" si="0"/>
        <v>16</v>
      </c>
      <c r="W27" s="709">
        <f t="shared" si="2"/>
        <v>242079.85594803485</v>
      </c>
      <c r="X27" s="30" t="s">
        <v>17</v>
      </c>
    </row>
    <row r="28" spans="3:29" x14ac:dyDescent="0.25">
      <c r="C28" s="140" t="str">
        <f t="shared" si="16"/>
        <v>Alternative EE</v>
      </c>
      <c r="D28" s="141">
        <f>Year2</f>
        <v>2022</v>
      </c>
      <c r="E28" s="141" t="str">
        <f t="shared" si="26"/>
        <v>Large C&amp;I</v>
      </c>
      <c r="F28" s="141" t="s">
        <v>59</v>
      </c>
      <c r="G28" s="371">
        <f t="shared" si="11"/>
        <v>2980439.4312796206</v>
      </c>
      <c r="H28" s="378">
        <f t="shared" si="12"/>
        <v>112878.59428086298</v>
      </c>
      <c r="I28" s="369">
        <f t="shared" si="12"/>
        <v>1444913.6458844291</v>
      </c>
      <c r="J28" s="368">
        <f t="shared" ref="J28:K28" si="36">IF($E$37="% Change",(J16/$I16)*$I28,J53)</f>
        <v>9535147.2001567557</v>
      </c>
      <c r="K28" s="368">
        <f t="shared" si="36"/>
        <v>454770.57592329604</v>
      </c>
      <c r="L28" s="482">
        <f t="shared" si="13"/>
        <v>0.1791229387447027</v>
      </c>
      <c r="N28" s="633"/>
      <c r="O28" s="585">
        <f t="shared" ref="O28:P28" si="37">IF($E$37="% Change",O16*(1+$C$42),O53)</f>
        <v>0.06</v>
      </c>
      <c r="P28" s="586">
        <f t="shared" si="37"/>
        <v>0.12</v>
      </c>
      <c r="Q28" s="378">
        <f t="shared" ref="Q28:R28" si="38">IF($E$37="% Change",Q16*(1+$C$42),Q53)</f>
        <v>0</v>
      </c>
      <c r="R28" s="368">
        <f t="shared" si="38"/>
        <v>0</v>
      </c>
      <c r="S28" s="565">
        <f>IF($N$11="% Reduction",(INDEX('R&amp;B Inputs'!$I$27:$W$27,MATCH($E28,'R&amp;B Inputs'!$I$4:$W$4,0))+INDEX('R&amp;B Inputs'!$I$28:$W$28,MATCH($E28,'R&amp;B Inputs'!$I$4:$W$4,0)))*O28,Q28)</f>
        <v>11570.756013708537</v>
      </c>
      <c r="T28" s="615">
        <f>IF($N$11="% Reduction",(INDEX('R&amp;B Inputs'!$I$27:$W$27,MATCH($E28,'R&amp;B Inputs'!$I$4:$W$4,0))+INDEX('R&amp;B Inputs'!$I$28:$W$28,MATCH($E28,'R&amp;B Inputs'!$I$4:$W$4,0)))*P28,R28)</f>
        <v>23141.512027417073</v>
      </c>
      <c r="V28" s="560">
        <f t="shared" si="0"/>
        <v>13</v>
      </c>
      <c r="W28" s="710">
        <f t="shared" si="2"/>
        <v>572108.83200940536</v>
      </c>
      <c r="X28" s="30" t="s">
        <v>17</v>
      </c>
    </row>
    <row r="29" spans="3:29" x14ac:dyDescent="0.25">
      <c r="C29" s="38" t="str">
        <f t="shared" si="16"/>
        <v>Alternative EE</v>
      </c>
      <c r="D29" s="39">
        <f>Year3</f>
        <v>2023</v>
      </c>
      <c r="E29" s="39" t="str">
        <f t="shared" si="26"/>
        <v>Residential</v>
      </c>
      <c r="F29" s="39" t="s">
        <v>58</v>
      </c>
      <c r="G29" s="379">
        <f t="shared" si="11"/>
        <v>4028878.5671480866</v>
      </c>
      <c r="H29" s="370">
        <f t="shared" si="12"/>
        <v>43507.332279304173</v>
      </c>
      <c r="I29" s="367">
        <f t="shared" si="12"/>
        <v>664543.62112357363</v>
      </c>
      <c r="J29" s="366">
        <f t="shared" ref="J29:K29" si="39">IF($E$37="% Change",(J17/$I17)*$I29,J54)</f>
        <v>4735927.0694335671</v>
      </c>
      <c r="K29" s="366">
        <f t="shared" si="39"/>
        <v>175712.47434630216</v>
      </c>
      <c r="L29" s="481">
        <f t="shared" si="13"/>
        <v>8.254297387256497E-2</v>
      </c>
      <c r="N29" s="633"/>
      <c r="O29" s="583">
        <f t="shared" ref="O29:P29" si="40">IF($E$37="% Change",O17*(1+$C$42),O54)</f>
        <v>1.2E-2</v>
      </c>
      <c r="P29" s="584">
        <f t="shared" si="40"/>
        <v>8.4000000000000005E-2</v>
      </c>
      <c r="Q29" s="370">
        <f t="shared" ref="Q29:R29" si="41">IF($E$37="% Change",Q17*(1+$C$42),Q54)</f>
        <v>0</v>
      </c>
      <c r="R29" s="366">
        <f t="shared" si="41"/>
        <v>0</v>
      </c>
      <c r="S29" s="564">
        <f>IF($N$11="% Reduction",(INDEX('R&amp;B Inputs'!$I$27:$W$27,MATCH($E29,'R&amp;B Inputs'!$I$4:$W$4,0))+INDEX('R&amp;B Inputs'!$I$28:$W$28,MATCH($E29,'R&amp;B Inputs'!$I$4:$W$4,0)))*O29,Q29)</f>
        <v>7.992</v>
      </c>
      <c r="T29" s="612">
        <f>IF($N$11="% Reduction",(INDEX('R&amp;B Inputs'!$I$27:$W$27,MATCH($E29,'R&amp;B Inputs'!$I$4:$W$4,0))+INDEX('R&amp;B Inputs'!$I$28:$W$28,MATCH($E29,'R&amp;B Inputs'!$I$4:$W$4,0)))*P29,R29)</f>
        <v>55.944000000000003</v>
      </c>
      <c r="V29" s="559">
        <f t="shared" si="0"/>
        <v>15</v>
      </c>
      <c r="W29" s="709">
        <f t="shared" si="2"/>
        <v>284155.62416601402</v>
      </c>
      <c r="X29" s="30" t="s">
        <v>17</v>
      </c>
    </row>
    <row r="30" spans="3:29" x14ac:dyDescent="0.25">
      <c r="C30" s="38" t="str">
        <f t="shared" si="16"/>
        <v>Alternative EE</v>
      </c>
      <c r="D30" s="39">
        <f>Year3</f>
        <v>2023</v>
      </c>
      <c r="E30" s="39" t="str">
        <f t="shared" si="26"/>
        <v>Low-Income</v>
      </c>
      <c r="F30" s="39" t="s">
        <v>22</v>
      </c>
      <c r="G30" s="379">
        <f t="shared" si="11"/>
        <v>1984510.680353092</v>
      </c>
      <c r="H30" s="370">
        <f t="shared" si="12"/>
        <v>10718.393863928941</v>
      </c>
      <c r="I30" s="367">
        <f t="shared" si="12"/>
        <v>213853.69756783399</v>
      </c>
      <c r="J30" s="366">
        <f t="shared" ref="J30:K30" si="42">IF($E$37="% Change",(J18/$I18)*$I30,J55)</f>
        <v>1482562.8130355792</v>
      </c>
      <c r="K30" s="366">
        <f t="shared" si="42"/>
        <v>47502.381018341803</v>
      </c>
      <c r="L30" s="481">
        <f t="shared" si="13"/>
        <v>8.254297387256497E-2</v>
      </c>
      <c r="N30" s="633"/>
      <c r="O30" s="583">
        <f t="shared" ref="O30:P30" si="43">IF($E$37="% Change",O18*(1+$C$42),O55)</f>
        <v>1.2E-2</v>
      </c>
      <c r="P30" s="584">
        <f t="shared" si="43"/>
        <v>8.4000000000000005E-2</v>
      </c>
      <c r="Q30" s="370">
        <f t="shared" ref="Q30:R30" si="44">IF($E$37="% Change",Q18*(1+$C$42),Q55)</f>
        <v>0</v>
      </c>
      <c r="R30" s="366">
        <f t="shared" si="44"/>
        <v>0</v>
      </c>
      <c r="S30" s="564">
        <f>IF($N$11="% Reduction",(INDEX('R&amp;B Inputs'!$I$27:$W$27,MATCH($E30,'R&amp;B Inputs'!$I$4:$W$4,0))+INDEX('R&amp;B Inputs'!$I$28:$W$28,MATCH($E30,'R&amp;B Inputs'!$I$4:$W$4,0)))*O30,Q30)</f>
        <v>7.992</v>
      </c>
      <c r="T30" s="612">
        <f>IF($N$11="% Reduction",(INDEX('R&amp;B Inputs'!$I$27:$W$27,MATCH($E30,'R&amp;B Inputs'!$I$4:$W$4,0))+INDEX('R&amp;B Inputs'!$I$28:$W$28,MATCH($E30,'R&amp;B Inputs'!$I$4:$W$4,0)))*P30,R30)</f>
        <v>55.944000000000003</v>
      </c>
      <c r="V30" s="559">
        <f t="shared" si="0"/>
        <v>20</v>
      </c>
      <c r="W30" s="709">
        <f t="shared" si="2"/>
        <v>88953.76878213475</v>
      </c>
      <c r="X30" s="30" t="s">
        <v>17</v>
      </c>
    </row>
    <row r="31" spans="3:29" x14ac:dyDescent="0.25">
      <c r="C31" s="38" t="str">
        <f t="shared" si="16"/>
        <v>Alternative EE</v>
      </c>
      <c r="D31" s="39">
        <f>Year3</f>
        <v>2023</v>
      </c>
      <c r="E31" s="39" t="str">
        <f t="shared" si="26"/>
        <v>Small C&amp;I</v>
      </c>
      <c r="F31" s="39" t="s">
        <v>23</v>
      </c>
      <c r="G31" s="379">
        <f t="shared" si="11"/>
        <v>2674110.0478425906</v>
      </c>
      <c r="H31" s="370">
        <f t="shared" si="12"/>
        <v>42282.196865844555</v>
      </c>
      <c r="I31" s="367">
        <f t="shared" si="12"/>
        <v>692376.2914063459</v>
      </c>
      <c r="J31" s="366">
        <f t="shared" ref="J31:K31" si="45">IF($E$37="% Change",(J19/$I19)*$I31,J56)</f>
        <v>4219154.4026131351</v>
      </c>
      <c r="K31" s="366">
        <f t="shared" si="45"/>
        <v>148435.96916987814</v>
      </c>
      <c r="L31" s="481">
        <f t="shared" si="13"/>
        <v>0.19050121298638215</v>
      </c>
      <c r="N31" s="633"/>
      <c r="O31" s="583">
        <f t="shared" ref="O31:P31" si="46">IF($E$37="% Change",O19*(1+$C$42),O56)</f>
        <v>0.06</v>
      </c>
      <c r="P31" s="584">
        <f t="shared" si="46"/>
        <v>0.12</v>
      </c>
      <c r="Q31" s="370">
        <f t="shared" ref="Q31:R31" si="47">IF($E$37="% Change",Q19*(1+$C$42),Q56)</f>
        <v>0</v>
      </c>
      <c r="R31" s="366">
        <f t="shared" si="47"/>
        <v>0</v>
      </c>
      <c r="S31" s="564">
        <f>IF($N$11="% Reduction",(INDEX('R&amp;B Inputs'!$I$27:$W$27,MATCH($E31,'R&amp;B Inputs'!$I$4:$W$4,0))+INDEX('R&amp;B Inputs'!$I$28:$W$28,MATCH($E31,'R&amp;B Inputs'!$I$4:$W$4,0)))*O31,Q31)</f>
        <v>117.23742</v>
      </c>
      <c r="T31" s="612">
        <f>IF($N$11="% Reduction",(INDEX('R&amp;B Inputs'!$I$27:$W$27,MATCH($E31,'R&amp;B Inputs'!$I$4:$W$4,0))+INDEX('R&amp;B Inputs'!$I$28:$W$28,MATCH($E31,'R&amp;B Inputs'!$I$4:$W$4,0)))*P31,R31)</f>
        <v>234.47484</v>
      </c>
      <c r="V31" s="559">
        <f t="shared" si="0"/>
        <v>16</v>
      </c>
      <c r="W31" s="709">
        <f t="shared" si="2"/>
        <v>253149.26415678809</v>
      </c>
      <c r="X31" s="30" t="s">
        <v>17</v>
      </c>
    </row>
    <row r="32" spans="3:29" x14ac:dyDescent="0.25">
      <c r="C32" s="40" t="str">
        <f t="shared" si="16"/>
        <v>Alternative EE</v>
      </c>
      <c r="D32" s="36">
        <f>Year3</f>
        <v>2023</v>
      </c>
      <c r="E32" s="36" t="str">
        <f t="shared" si="26"/>
        <v>Large C&amp;I</v>
      </c>
      <c r="F32" s="36" t="s">
        <v>59</v>
      </c>
      <c r="G32" s="375">
        <f t="shared" si="11"/>
        <v>2986089.5534242266</v>
      </c>
      <c r="H32" s="372">
        <f t="shared" si="12"/>
        <v>118133.82213063714</v>
      </c>
      <c r="I32" s="374">
        <f t="shared" si="12"/>
        <v>1524136.1143402851</v>
      </c>
      <c r="J32" s="373">
        <f t="shared" ref="J32:K32" si="48">IF($E$37="% Change",(J20/$I20)*$I32,J57)</f>
        <v>10054852.143267049</v>
      </c>
      <c r="K32" s="373">
        <f t="shared" si="48"/>
        <v>477935.20658908604</v>
      </c>
      <c r="L32" s="483">
        <f t="shared" si="13"/>
        <v>0.19050121298638215</v>
      </c>
      <c r="N32" s="634"/>
      <c r="O32" s="587">
        <f t="shared" ref="O32:P32" si="49">IF($E$37="% Change",O20*(1+$C$42),O57)</f>
        <v>0.06</v>
      </c>
      <c r="P32" s="588">
        <f t="shared" si="49"/>
        <v>0.12</v>
      </c>
      <c r="Q32" s="372">
        <f t="shared" ref="Q32:R32" si="50">IF($E$37="% Change",Q20*(1+$C$42),Q57)</f>
        <v>0</v>
      </c>
      <c r="R32" s="373">
        <f t="shared" si="50"/>
        <v>0</v>
      </c>
      <c r="S32" s="566">
        <f>IF($N$11="% Reduction",(INDEX('R&amp;B Inputs'!$I$27:$W$27,MATCH($E32,'R&amp;B Inputs'!$I$4:$W$4,0))+INDEX('R&amp;B Inputs'!$I$28:$W$28,MATCH($E32,'R&amp;B Inputs'!$I$4:$W$4,0)))*O32,Q32)</f>
        <v>11570.756013708537</v>
      </c>
      <c r="T32" s="616">
        <f>IF($N$11="% Reduction",(INDEX('R&amp;B Inputs'!$I$27:$W$27,MATCH($E32,'R&amp;B Inputs'!$I$4:$W$4,0))+INDEX('R&amp;B Inputs'!$I$28:$W$28,MATCH($E32,'R&amp;B Inputs'!$I$4:$W$4,0)))*P32,R32)</f>
        <v>23141.512027417073</v>
      </c>
      <c r="V32" s="561">
        <f t="shared" si="0"/>
        <v>13</v>
      </c>
      <c r="W32" s="711">
        <f t="shared" si="2"/>
        <v>603291.12859602284</v>
      </c>
    </row>
    <row r="35" spans="2:24" ht="24" thickBot="1" x14ac:dyDescent="0.3">
      <c r="B35" s="362" t="str">
        <f>Lookups!$D$24&amp;" Inputs"</f>
        <v>Alternative EE Inputs</v>
      </c>
      <c r="C35" s="256"/>
      <c r="D35" s="256"/>
      <c r="E35" s="257"/>
      <c r="F35" s="257"/>
      <c r="G35" s="257"/>
      <c r="H35" s="257"/>
      <c r="I35" s="257"/>
      <c r="J35" s="257"/>
      <c r="K35" s="257"/>
      <c r="L35" s="257"/>
      <c r="M35" s="257"/>
      <c r="N35" s="257"/>
      <c r="O35" s="257"/>
      <c r="P35" s="257"/>
      <c r="Q35" s="257"/>
      <c r="R35" s="257"/>
      <c r="S35" s="257"/>
      <c r="T35" s="257"/>
      <c r="U35" s="257"/>
      <c r="V35" s="383"/>
      <c r="W35" s="383"/>
      <c r="X35" s="257"/>
    </row>
    <row r="36" spans="2:24" ht="15.75" thickTop="1" x14ac:dyDescent="0.25"/>
    <row r="37" spans="2:24" x14ac:dyDescent="0.25">
      <c r="C37" s="6" t="str">
        <f>Lookups!$D$24&amp;" Method"</f>
        <v>Alternative EE Method</v>
      </c>
      <c r="E37" s="364" t="s">
        <v>106</v>
      </c>
      <c r="H37" s="365"/>
      <c r="I37" s="365"/>
      <c r="J37" s="365"/>
      <c r="K37" s="365"/>
      <c r="O37" s="365"/>
      <c r="P37" s="365"/>
      <c r="Q37" s="365"/>
      <c r="R37" s="365"/>
    </row>
    <row r="38" spans="2:24" x14ac:dyDescent="0.25">
      <c r="H38" s="365"/>
      <c r="I38" s="365"/>
      <c r="J38" s="365"/>
      <c r="K38" s="365"/>
      <c r="O38" s="365"/>
      <c r="P38" s="365"/>
      <c r="Q38" s="365"/>
      <c r="R38" s="365"/>
    </row>
    <row r="39" spans="2:24" ht="21" x14ac:dyDescent="0.35">
      <c r="C39" s="363" t="str">
        <f>"User Inputs for "&amp;Lookups!$D$24&amp;IF($E$37="User Input"," (Only if ''% Change'' selected above)",)</f>
        <v>User Inputs for Alternative EE</v>
      </c>
      <c r="D39" s="6"/>
      <c r="F39" s="6"/>
      <c r="H39" s="365"/>
      <c r="I39" s="365"/>
      <c r="J39" s="365"/>
      <c r="K39" s="365"/>
      <c r="O39" s="365"/>
      <c r="P39" s="365"/>
      <c r="Q39" s="365"/>
      <c r="R39" s="365"/>
    </row>
    <row r="40" spans="2:24" x14ac:dyDescent="0.25">
      <c r="C40" s="376">
        <v>0.2</v>
      </c>
      <c r="D40" s="6" t="str">
        <f>"% Change in Utility Costs from "&amp;Lookups!$D$23</f>
        <v>% Change in Utility Costs from Proposed EE</v>
      </c>
      <c r="F40" s="6"/>
      <c r="H40" s="365"/>
      <c r="I40" s="365"/>
      <c r="J40" s="365"/>
      <c r="K40" s="365"/>
      <c r="O40" s="365"/>
      <c r="P40" s="365"/>
      <c r="Q40" s="365"/>
      <c r="R40" s="365"/>
      <c r="S40" s="1"/>
    </row>
    <row r="41" spans="2:24" x14ac:dyDescent="0.25">
      <c r="C41" s="376">
        <v>0.05</v>
      </c>
      <c r="D41" s="6" t="str">
        <f>"% Change in Cost of Saved Energy from "&amp;Lookups!$D$23</f>
        <v>% Change in Cost of Saved Energy from Proposed EE</v>
      </c>
      <c r="F41" s="6"/>
      <c r="H41" s="365"/>
      <c r="I41" s="365"/>
      <c r="J41" s="365"/>
      <c r="K41" s="365"/>
      <c r="O41" s="365"/>
      <c r="P41" s="365"/>
      <c r="Q41" s="365"/>
      <c r="R41" s="365"/>
      <c r="S41" s="1"/>
    </row>
    <row r="42" spans="2:24" x14ac:dyDescent="0.25">
      <c r="C42" s="376">
        <v>0.2</v>
      </c>
      <c r="D42" s="6" t="str">
        <f>"% Change in Savings per Participant from "&amp;Lookups!$D$23</f>
        <v>% Change in Savings per Participant from Proposed EE</v>
      </c>
      <c r="F42" s="6"/>
      <c r="S42" s="1"/>
    </row>
    <row r="43" spans="2:24" x14ac:dyDescent="0.25">
      <c r="S43" s="1"/>
    </row>
    <row r="44" spans="2:24" x14ac:dyDescent="0.25">
      <c r="S44" s="1"/>
    </row>
    <row r="45" spans="2:24" ht="21" x14ac:dyDescent="0.25">
      <c r="C45" s="55" t="str">
        <f>"User Inputs for "&amp;Lookups!$D$24&amp;IF($E$37="% Change"," (Only if ''User Input'' selected above)",)</f>
        <v>User Inputs for Alternative EE (Only if ''User Input'' selected above)</v>
      </c>
      <c r="D45" s="56"/>
      <c r="E45" s="56"/>
      <c r="F45" s="56"/>
      <c r="G45" s="56"/>
      <c r="H45" s="56"/>
      <c r="I45" s="56"/>
      <c r="J45" s="56"/>
      <c r="K45" s="56"/>
      <c r="L45" s="443"/>
      <c r="M45" s="443"/>
      <c r="N45" s="443"/>
      <c r="O45" s="56"/>
      <c r="P45" s="56"/>
      <c r="Q45" s="56"/>
      <c r="R45" s="56"/>
      <c r="S45" s="1"/>
    </row>
    <row r="46" spans="2:24" x14ac:dyDescent="0.25">
      <c r="C46" s="189" t="s">
        <v>1</v>
      </c>
      <c r="D46" s="190">
        <f>Year1</f>
        <v>2021</v>
      </c>
      <c r="E46" s="190" t="str">
        <f>E21</f>
        <v>Residential</v>
      </c>
      <c r="F46" s="191" t="s">
        <v>58</v>
      </c>
      <c r="G46" s="192"/>
      <c r="H46" s="193"/>
      <c r="I46" s="357"/>
      <c r="J46" s="447"/>
      <c r="K46" s="194"/>
      <c r="L46" s="447"/>
      <c r="M46" s="380"/>
      <c r="N46" s="381"/>
      <c r="O46" s="574"/>
      <c r="P46" s="617"/>
      <c r="Q46" s="621"/>
      <c r="R46" s="625"/>
      <c r="S46" s="1"/>
    </row>
    <row r="47" spans="2:24" x14ac:dyDescent="0.25">
      <c r="C47" s="38" t="s">
        <v>1</v>
      </c>
      <c r="D47" s="39">
        <f>Year1</f>
        <v>2021</v>
      </c>
      <c r="E47" s="39" t="str">
        <f>E22</f>
        <v>Low-Income</v>
      </c>
      <c r="F47" s="33" t="s">
        <v>22</v>
      </c>
      <c r="G47" s="43"/>
      <c r="H47" s="32"/>
      <c r="I47" s="356"/>
      <c r="J47" s="448"/>
      <c r="K47" s="41"/>
      <c r="L47" s="448"/>
      <c r="M47" s="370"/>
      <c r="N47" s="366"/>
      <c r="O47" s="589"/>
      <c r="P47" s="618"/>
      <c r="Q47" s="622"/>
      <c r="R47" s="23"/>
      <c r="S47" s="1"/>
    </row>
    <row r="48" spans="2:24" x14ac:dyDescent="0.25">
      <c r="C48" s="38" t="s">
        <v>1</v>
      </c>
      <c r="D48" s="39">
        <f>Year1</f>
        <v>2021</v>
      </c>
      <c r="E48" s="39" t="str">
        <f>E23</f>
        <v>Small C&amp;I</v>
      </c>
      <c r="F48" s="33" t="s">
        <v>23</v>
      </c>
      <c r="G48" s="43"/>
      <c r="H48" s="32"/>
      <c r="I48" s="356"/>
      <c r="J48" s="448"/>
      <c r="K48" s="41"/>
      <c r="L48" s="448"/>
      <c r="M48" s="370"/>
      <c r="N48" s="366"/>
      <c r="O48" s="589"/>
      <c r="P48" s="618"/>
      <c r="Q48" s="622"/>
      <c r="R48" s="23"/>
      <c r="S48" s="1"/>
    </row>
    <row r="49" spans="2:24" x14ac:dyDescent="0.25">
      <c r="C49" s="38" t="s">
        <v>1</v>
      </c>
      <c r="D49" s="39">
        <f>Year1</f>
        <v>2021</v>
      </c>
      <c r="E49" s="39" t="str">
        <f>E24</f>
        <v>Large C&amp;I</v>
      </c>
      <c r="F49" s="33" t="s">
        <v>62</v>
      </c>
      <c r="G49" s="43"/>
      <c r="H49" s="32"/>
      <c r="I49" s="356"/>
      <c r="J49" s="448"/>
      <c r="K49" s="41"/>
      <c r="L49" s="448"/>
      <c r="M49" s="370"/>
      <c r="N49" s="366"/>
      <c r="O49" s="589"/>
      <c r="P49" s="618"/>
      <c r="Q49" s="622"/>
      <c r="R49" s="23"/>
      <c r="S49" s="1"/>
    </row>
    <row r="50" spans="2:24" x14ac:dyDescent="0.25">
      <c r="C50" s="38" t="s">
        <v>1</v>
      </c>
      <c r="D50" s="39">
        <f>Year2</f>
        <v>2022</v>
      </c>
      <c r="E50" s="39" t="str">
        <f t="shared" ref="E50:E57" si="51">E46</f>
        <v>Residential</v>
      </c>
      <c r="F50" s="33" t="s">
        <v>58</v>
      </c>
      <c r="G50" s="45"/>
      <c r="H50" s="32"/>
      <c r="I50" s="356"/>
      <c r="J50" s="449"/>
      <c r="K50" s="42"/>
      <c r="L50" s="449"/>
      <c r="M50" s="370"/>
      <c r="N50" s="366"/>
      <c r="O50" s="590"/>
      <c r="P50" s="619"/>
      <c r="Q50" s="623"/>
      <c r="R50" s="35"/>
      <c r="S50" s="1"/>
    </row>
    <row r="51" spans="2:24" x14ac:dyDescent="0.25">
      <c r="C51" s="38" t="s">
        <v>1</v>
      </c>
      <c r="D51" s="39">
        <f>Year2</f>
        <v>2022</v>
      </c>
      <c r="E51" s="39" t="str">
        <f t="shared" si="51"/>
        <v>Low-Income</v>
      </c>
      <c r="F51" s="33" t="s">
        <v>22</v>
      </c>
      <c r="G51" s="43"/>
      <c r="H51" s="32"/>
      <c r="I51" s="356"/>
      <c r="J51" s="448"/>
      <c r="K51" s="41"/>
      <c r="L51" s="448"/>
      <c r="M51" s="370"/>
      <c r="N51" s="366"/>
      <c r="O51" s="589"/>
      <c r="P51" s="618"/>
      <c r="Q51" s="622"/>
      <c r="R51" s="23"/>
      <c r="S51" s="1"/>
    </row>
    <row r="52" spans="2:24" x14ac:dyDescent="0.25">
      <c r="C52" s="38" t="s">
        <v>1</v>
      </c>
      <c r="D52" s="39">
        <f>Year2</f>
        <v>2022</v>
      </c>
      <c r="E52" s="39" t="str">
        <f t="shared" si="51"/>
        <v>Small C&amp;I</v>
      </c>
      <c r="F52" s="33" t="s">
        <v>23</v>
      </c>
      <c r="G52" s="43"/>
      <c r="H52" s="32"/>
      <c r="I52" s="356"/>
      <c r="J52" s="448"/>
      <c r="K52" s="41"/>
      <c r="L52" s="448"/>
      <c r="M52" s="370"/>
      <c r="N52" s="366"/>
      <c r="O52" s="589"/>
      <c r="P52" s="618"/>
      <c r="Q52" s="622"/>
      <c r="R52" s="23"/>
      <c r="S52" s="1"/>
    </row>
    <row r="53" spans="2:24" x14ac:dyDescent="0.25">
      <c r="C53" s="38" t="s">
        <v>1</v>
      </c>
      <c r="D53" s="39">
        <f>Year2</f>
        <v>2022</v>
      </c>
      <c r="E53" s="39" t="str">
        <f t="shared" si="51"/>
        <v>Large C&amp;I</v>
      </c>
      <c r="F53" s="33" t="s">
        <v>59</v>
      </c>
      <c r="G53" s="43"/>
      <c r="H53" s="32"/>
      <c r="I53" s="356"/>
      <c r="J53" s="448"/>
      <c r="K53" s="41"/>
      <c r="L53" s="448"/>
      <c r="M53" s="370"/>
      <c r="N53" s="366"/>
      <c r="O53" s="589"/>
      <c r="P53" s="618"/>
      <c r="Q53" s="622"/>
      <c r="R53" s="23"/>
      <c r="S53" s="1"/>
    </row>
    <row r="54" spans="2:24" x14ac:dyDescent="0.25">
      <c r="C54" s="38" t="s">
        <v>1</v>
      </c>
      <c r="D54" s="39">
        <f>Year3</f>
        <v>2023</v>
      </c>
      <c r="E54" s="39" t="str">
        <f t="shared" si="51"/>
        <v>Residential</v>
      </c>
      <c r="F54" s="33" t="s">
        <v>58</v>
      </c>
      <c r="G54" s="45"/>
      <c r="H54" s="32"/>
      <c r="I54" s="356"/>
      <c r="J54" s="449"/>
      <c r="K54" s="42"/>
      <c r="L54" s="449"/>
      <c r="M54" s="370"/>
      <c r="N54" s="366"/>
      <c r="O54" s="590"/>
      <c r="P54" s="619"/>
      <c r="Q54" s="623"/>
      <c r="R54" s="35"/>
      <c r="S54" s="1"/>
    </row>
    <row r="55" spans="2:24" x14ac:dyDescent="0.25">
      <c r="C55" s="38" t="s">
        <v>1</v>
      </c>
      <c r="D55" s="39">
        <f>Year3</f>
        <v>2023</v>
      </c>
      <c r="E55" s="39" t="str">
        <f t="shared" si="51"/>
        <v>Low-Income</v>
      </c>
      <c r="F55" s="33" t="s">
        <v>22</v>
      </c>
      <c r="G55" s="43"/>
      <c r="H55" s="32"/>
      <c r="I55" s="356"/>
      <c r="J55" s="448"/>
      <c r="K55" s="41"/>
      <c r="L55" s="448"/>
      <c r="M55" s="370"/>
      <c r="N55" s="366"/>
      <c r="O55" s="589"/>
      <c r="P55" s="618"/>
      <c r="Q55" s="622"/>
      <c r="R55" s="23"/>
      <c r="S55" s="1"/>
    </row>
    <row r="56" spans="2:24" x14ac:dyDescent="0.25">
      <c r="C56" s="38" t="s">
        <v>1</v>
      </c>
      <c r="D56" s="39">
        <f>Year3</f>
        <v>2023</v>
      </c>
      <c r="E56" s="39" t="str">
        <f t="shared" si="51"/>
        <v>Small C&amp;I</v>
      </c>
      <c r="F56" s="33" t="s">
        <v>23</v>
      </c>
      <c r="G56" s="43"/>
      <c r="H56" s="32"/>
      <c r="I56" s="356"/>
      <c r="J56" s="448"/>
      <c r="K56" s="41"/>
      <c r="L56" s="448"/>
      <c r="M56" s="370"/>
      <c r="N56" s="366"/>
      <c r="O56" s="589"/>
      <c r="P56" s="618"/>
      <c r="Q56" s="622"/>
      <c r="R56" s="23"/>
      <c r="S56" s="1"/>
    </row>
    <row r="57" spans="2:24" x14ac:dyDescent="0.25">
      <c r="C57" s="40" t="s">
        <v>1</v>
      </c>
      <c r="D57" s="36">
        <f>Year3</f>
        <v>2023</v>
      </c>
      <c r="E57" s="36" t="str">
        <f t="shared" si="51"/>
        <v>Large C&amp;I</v>
      </c>
      <c r="F57" s="37" t="s">
        <v>59</v>
      </c>
      <c r="G57" s="44"/>
      <c r="H57" s="451"/>
      <c r="I57" s="452"/>
      <c r="J57" s="450"/>
      <c r="K57" s="446"/>
      <c r="L57" s="450"/>
      <c r="M57" s="372"/>
      <c r="N57" s="373"/>
      <c r="O57" s="591"/>
      <c r="P57" s="620"/>
      <c r="Q57" s="624"/>
      <c r="R57" s="626"/>
      <c r="S57" s="1"/>
    </row>
    <row r="58" spans="2:24" x14ac:dyDescent="0.25">
      <c r="S58" s="1"/>
    </row>
    <row r="60" spans="2:24" ht="24" thickBot="1" x14ac:dyDescent="0.3">
      <c r="B60" s="362" t="s">
        <v>147</v>
      </c>
      <c r="C60" s="256"/>
      <c r="D60" s="256"/>
      <c r="E60" s="257"/>
      <c r="F60" s="257"/>
      <c r="G60" s="257"/>
      <c r="H60" s="257"/>
      <c r="I60" s="257"/>
      <c r="J60" s="257"/>
      <c r="K60" s="257"/>
      <c r="L60" s="257"/>
      <c r="M60" s="257"/>
      <c r="N60" s="257"/>
      <c r="O60" s="257"/>
      <c r="P60" s="257"/>
      <c r="Q60" s="257"/>
      <c r="R60" s="257"/>
      <c r="S60" s="257"/>
      <c r="T60" s="257"/>
      <c r="U60" s="257"/>
      <c r="V60" s="383"/>
      <c r="W60" s="383"/>
      <c r="X60" s="257"/>
    </row>
    <row r="61" spans="2:24" ht="15.75" thickTop="1" x14ac:dyDescent="0.25">
      <c r="C61" s="7" t="s">
        <v>35</v>
      </c>
      <c r="D61" s="6"/>
      <c r="F61" s="6"/>
    </row>
    <row r="62" spans="2:24" x14ac:dyDescent="0.25">
      <c r="C62" s="17" t="str">
        <f>Lookups!$D$23</f>
        <v>Proposed EE</v>
      </c>
      <c r="D62" s="187"/>
      <c r="E62" s="188"/>
      <c r="F62" s="188"/>
      <c r="G62" s="188"/>
      <c r="H62" s="188"/>
      <c r="I62" s="188"/>
      <c r="J62" s="188"/>
      <c r="K62" s="188"/>
      <c r="L62" s="453"/>
    </row>
    <row r="63" spans="2:24" x14ac:dyDescent="0.25">
      <c r="C63" s="17" t="str">
        <f>Lookups!$D$24</f>
        <v>Alternative EE</v>
      </c>
      <c r="D63" s="187" t="s">
        <v>65</v>
      </c>
      <c r="E63" s="188"/>
      <c r="F63" s="188"/>
      <c r="G63" s="188"/>
      <c r="H63" s="188"/>
      <c r="I63" s="188"/>
      <c r="J63" s="188"/>
      <c r="K63" s="188"/>
      <c r="L63" s="453"/>
    </row>
    <row r="64" spans="2:24" x14ac:dyDescent="0.25">
      <c r="C64" s="96" t="s">
        <v>290</v>
      </c>
      <c r="D64" s="187" t="s">
        <v>291</v>
      </c>
      <c r="E64" s="188"/>
      <c r="F64" s="188"/>
      <c r="G64" s="188"/>
      <c r="H64" s="188"/>
      <c r="I64" s="188"/>
      <c r="J64" s="188"/>
      <c r="K64" s="188"/>
      <c r="L64" s="453"/>
    </row>
    <row r="65" spans="3:3" x14ac:dyDescent="0.25">
      <c r="C65" s="96"/>
    </row>
    <row r="66" spans="3:3" x14ac:dyDescent="0.25">
      <c r="C66" s="7" t="s">
        <v>112</v>
      </c>
    </row>
    <row r="67" spans="3:3" x14ac:dyDescent="0.25">
      <c r="C67" s="6" t="s">
        <v>63</v>
      </c>
    </row>
    <row r="68" spans="3:3" x14ac:dyDescent="0.25">
      <c r="C68" s="712" t="s">
        <v>411</v>
      </c>
    </row>
  </sheetData>
  <autoFilter ref="C8:AA32" xr:uid="{00000000-0009-0000-0000-000004000000}"/>
  <mergeCells count="18">
    <mergeCell ref="J5:K5"/>
    <mergeCell ref="L6:L7"/>
    <mergeCell ref="N6:N7"/>
    <mergeCell ref="S6:T6"/>
    <mergeCell ref="W5:W7"/>
    <mergeCell ref="Q6:R6"/>
    <mergeCell ref="O6:P6"/>
    <mergeCell ref="N5:T5"/>
    <mergeCell ref="V5:V7"/>
    <mergeCell ref="C6:C8"/>
    <mergeCell ref="F6:F8"/>
    <mergeCell ref="C5:F5"/>
    <mergeCell ref="H5:I5"/>
    <mergeCell ref="E6:E8"/>
    <mergeCell ref="D6:D8"/>
    <mergeCell ref="H6:H7"/>
    <mergeCell ref="I6:I7"/>
    <mergeCell ref="G6:G7"/>
  </mergeCells>
  <conditionalFormatting sqref="C45:R57">
    <cfRule type="expression" dxfId="5" priority="2">
      <formula>$E$37="% Change"</formula>
    </cfRule>
  </conditionalFormatting>
  <conditionalFormatting sqref="C39:F42">
    <cfRule type="expression" dxfId="4" priority="1">
      <formula>$E$37="User Input"</formula>
    </cfRule>
  </conditionalFormatting>
  <conditionalFormatting sqref="Q7:R32 Q6 Q46:R57">
    <cfRule type="expression" dxfId="3" priority="13">
      <formula>$N$11="% Reduction"</formula>
    </cfRule>
  </conditionalFormatting>
  <conditionalFormatting sqref="Q9:R20 Q46:R57">
    <cfRule type="expression" dxfId="2" priority="15">
      <formula>$N$11="% Reduction"</formula>
    </cfRule>
  </conditionalFormatting>
  <conditionalFormatting sqref="O7:P32 O6 O46:P57">
    <cfRule type="expression" dxfId="1" priority="17">
      <formula>$N$11="Unit Reduction"</formula>
    </cfRule>
  </conditionalFormatting>
  <conditionalFormatting sqref="O46:P57 O9:P20">
    <cfRule type="expression" dxfId="0" priority="19">
      <formula>$N$11="Unit Reduction"</formula>
    </cfRule>
  </conditionalFormatting>
  <dataValidations count="2">
    <dataValidation type="list" allowBlank="1" showInputMessage="1" showErrorMessage="1" sqref="E37" xr:uid="{00000000-0002-0000-0400-000000000000}">
      <formula1>"User Input, % Change"</formula1>
    </dataValidation>
    <dataValidation type="list" allowBlank="1" showInputMessage="1" showErrorMessage="1" sqref="N11" xr:uid="{00000000-0002-0000-0400-000001000000}">
      <formula1>"% Reduction,Unit Reduction"</formula1>
    </dataValidation>
  </dataValidations>
  <pageMargins left="0.7" right="0.7" top="0.75" bottom="0.75" header="0.3" footer="0.3"/>
  <pageSetup scale="39" orientation="landscape"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Lookups!$D$26:$D$29</xm:f>
          </x14:formula1>
          <xm:sqref>E9:E32 E46:E57</xm:sqref>
        </x14:dataValidation>
        <x14:dataValidation type="list" allowBlank="1" showInputMessage="1" showErrorMessage="1" xr:uid="{00000000-0002-0000-0400-000003000000}">
          <x14:formula1>
            <xm:f>Lookups!$D$23:$D$24</xm:f>
          </x14:formula1>
          <xm:sqref>C9:C32 C46:C57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AD86"/>
  <sheetViews>
    <sheetView showGridLines="0" zoomScale="85" zoomScaleNormal="85" workbookViewId="0">
      <pane xSplit="6" ySplit="5" topLeftCell="G21" activePane="bottomRight" state="frozen"/>
      <selection pane="topRight" activeCell="G1" sqref="G1"/>
      <selection pane="bottomLeft" activeCell="A6" sqref="A6"/>
      <selection pane="bottomRight" activeCell="I45" sqref="I45"/>
    </sheetView>
  </sheetViews>
  <sheetFormatPr defaultColWidth="9.140625" defaultRowHeight="15.75" x14ac:dyDescent="0.25"/>
  <cols>
    <col min="1" max="1" width="2.7109375" style="5" customWidth="1"/>
    <col min="2" max="2" width="2.7109375" style="13" customWidth="1"/>
    <col min="3" max="3" width="2.7109375" style="9" customWidth="1"/>
    <col min="4" max="4" width="12.28515625" style="9" customWidth="1"/>
    <col min="5" max="5" width="37.28515625" style="9" customWidth="1"/>
    <col min="6" max="6" width="13.85546875" style="9" bestFit="1" customWidth="1"/>
    <col min="7" max="7" width="34.5703125" style="9" customWidth="1"/>
    <col min="8" max="8" width="1.7109375" style="5" customWidth="1"/>
    <col min="9" max="9" width="17.42578125" style="9" customWidth="1"/>
    <col min="10" max="10" width="25" style="21" customWidth="1"/>
    <col min="11" max="11" width="12.7109375" style="21" customWidth="1"/>
    <col min="12" max="12" width="1.7109375" style="5" customWidth="1"/>
    <col min="13" max="13" width="17.42578125" style="54" customWidth="1"/>
    <col min="14" max="14" width="25" style="21" customWidth="1"/>
    <col min="15" max="15" width="12.7109375" style="21" customWidth="1"/>
    <col min="16" max="16" width="1.7109375" style="5" customWidth="1"/>
    <col min="17" max="17" width="17.42578125" style="54" customWidth="1"/>
    <col min="18" max="18" width="25" style="21" customWidth="1"/>
    <col min="19" max="19" width="12.7109375" style="21" customWidth="1"/>
    <col min="20" max="20" width="1.7109375" style="5" customWidth="1"/>
    <col min="21" max="21" width="17.42578125" style="54" customWidth="1"/>
    <col min="22" max="22" width="30.28515625" style="21" customWidth="1"/>
    <col min="23" max="23" width="12.7109375" style="21" customWidth="1"/>
    <col min="24" max="24" width="2.7109375" style="5" customWidth="1"/>
    <col min="25" max="25" width="6.7109375" style="104" customWidth="1"/>
    <col min="26" max="27" width="2.7109375" style="5" customWidth="1"/>
    <col min="28" max="28" width="9.140625" style="5"/>
    <col min="29" max="29" width="11.28515625" style="5" bestFit="1" customWidth="1"/>
    <col min="30" max="16384" width="9.140625" style="5"/>
  </cols>
  <sheetData>
    <row r="1" spans="1:28" x14ac:dyDescent="0.25">
      <c r="A1" s="154"/>
      <c r="B1" s="637"/>
      <c r="C1" s="638"/>
      <c r="D1" s="638"/>
      <c r="E1" s="639"/>
      <c r="F1" s="638"/>
      <c r="H1" s="239"/>
      <c r="J1" s="9"/>
      <c r="K1" s="9"/>
      <c r="L1" s="239"/>
      <c r="M1" s="207"/>
      <c r="N1" s="9"/>
      <c r="O1" s="9"/>
      <c r="P1" s="239"/>
      <c r="Q1" s="9"/>
      <c r="R1" s="9"/>
      <c r="S1" s="9"/>
      <c r="T1" s="239"/>
      <c r="U1" s="9"/>
      <c r="V1" s="9"/>
      <c r="W1" s="9"/>
    </row>
    <row r="2" spans="1:28" ht="26.25" x14ac:dyDescent="0.25">
      <c r="B2" s="2" t="s">
        <v>167</v>
      </c>
      <c r="E2" s="14"/>
      <c r="F2" s="10"/>
      <c r="G2" s="10"/>
      <c r="M2" s="57"/>
    </row>
    <row r="3" spans="1:28" x14ac:dyDescent="0.25">
      <c r="A3" s="154"/>
      <c r="B3" s="637"/>
      <c r="C3" s="638"/>
      <c r="D3" s="638"/>
      <c r="E3" s="639"/>
      <c r="F3" s="638"/>
      <c r="H3" s="239"/>
      <c r="J3" s="9"/>
      <c r="K3" s="9"/>
      <c r="L3" s="239"/>
      <c r="M3" s="207"/>
      <c r="N3" s="9"/>
      <c r="O3" s="9"/>
      <c r="P3" s="239"/>
      <c r="Q3" s="9"/>
      <c r="R3" s="9"/>
      <c r="S3" s="9"/>
      <c r="T3" s="239"/>
      <c r="U3" s="9"/>
      <c r="V3" s="9"/>
      <c r="W3" s="9"/>
    </row>
    <row r="4" spans="1:28" s="12" customFormat="1" ht="21" x14ac:dyDescent="0.25">
      <c r="B4" s="303"/>
      <c r="C4" s="300"/>
      <c r="D4" s="300"/>
      <c r="E4" s="300"/>
      <c r="F4" s="301"/>
      <c r="G4" s="442" t="s">
        <v>154</v>
      </c>
      <c r="H4" s="240"/>
      <c r="I4" s="287" t="s">
        <v>20</v>
      </c>
      <c r="J4" s="329" t="str">
        <f>I4</f>
        <v>Residential</v>
      </c>
      <c r="K4" s="330" t="str">
        <f>J4</f>
        <v>Residential</v>
      </c>
      <c r="L4" s="5"/>
      <c r="M4" s="287" t="s">
        <v>21</v>
      </c>
      <c r="N4" s="329" t="str">
        <f>M4</f>
        <v>Low-Income</v>
      </c>
      <c r="O4" s="330" t="str">
        <f>N4</f>
        <v>Low-Income</v>
      </c>
      <c r="P4" s="240"/>
      <c r="Q4" s="287" t="s">
        <v>42</v>
      </c>
      <c r="R4" s="329" t="str">
        <f>Q4</f>
        <v>Small C&amp;I</v>
      </c>
      <c r="S4" s="330" t="str">
        <f>R4</f>
        <v>Small C&amp;I</v>
      </c>
      <c r="T4" s="240"/>
      <c r="U4" s="287" t="s">
        <v>43</v>
      </c>
      <c r="V4" s="329" t="str">
        <f>U4</f>
        <v>Large C&amp;I</v>
      </c>
      <c r="W4" s="330" t="str">
        <f>V4</f>
        <v>Large C&amp;I</v>
      </c>
      <c r="X4" s="240"/>
      <c r="Y4" s="331"/>
    </row>
    <row r="5" spans="1:28" s="12" customFormat="1" ht="18.75" x14ac:dyDescent="0.25">
      <c r="B5" s="302"/>
      <c r="C5" s="280"/>
      <c r="D5" s="280"/>
      <c r="E5" s="280"/>
      <c r="F5" s="281"/>
      <c r="G5" s="432"/>
      <c r="H5" s="240"/>
      <c r="I5" s="288" t="s">
        <v>134</v>
      </c>
      <c r="J5" s="278" t="s">
        <v>28</v>
      </c>
      <c r="K5" s="289" t="s">
        <v>135</v>
      </c>
      <c r="L5" s="5"/>
      <c r="M5" s="288" t="s">
        <v>134</v>
      </c>
      <c r="N5" s="278" t="s">
        <v>28</v>
      </c>
      <c r="O5" s="289" t="s">
        <v>135</v>
      </c>
      <c r="P5" s="240"/>
      <c r="Q5" s="288" t="s">
        <v>134</v>
      </c>
      <c r="R5" s="278" t="s">
        <v>28</v>
      </c>
      <c r="S5" s="289" t="s">
        <v>135</v>
      </c>
      <c r="T5" s="240"/>
      <c r="U5" s="288" t="s">
        <v>134</v>
      </c>
      <c r="V5" s="278" t="s">
        <v>28</v>
      </c>
      <c r="W5" s="289" t="s">
        <v>135</v>
      </c>
      <c r="Y5" s="331" t="s">
        <v>138</v>
      </c>
    </row>
    <row r="6" spans="1:28" ht="24" thickBot="1" x14ac:dyDescent="0.3">
      <c r="B6" s="304" t="s">
        <v>29</v>
      </c>
      <c r="C6" s="256"/>
      <c r="D6" s="256"/>
      <c r="E6" s="257"/>
      <c r="F6" s="257"/>
      <c r="G6" s="433"/>
      <c r="H6" s="5" t="s">
        <v>17</v>
      </c>
      <c r="I6" s="290"/>
      <c r="J6" s="259"/>
      <c r="K6" s="258"/>
      <c r="L6" s="5" t="s">
        <v>17</v>
      </c>
      <c r="M6" s="290"/>
      <c r="N6" s="259"/>
      <c r="O6" s="258"/>
      <c r="P6" s="5" t="s">
        <v>17</v>
      </c>
      <c r="Q6" s="290"/>
      <c r="R6" s="259"/>
      <c r="S6" s="258"/>
      <c r="T6" s="5" t="s">
        <v>17</v>
      </c>
      <c r="U6" s="290"/>
      <c r="V6" s="259"/>
      <c r="W6" s="258"/>
      <c r="X6" s="206" t="s">
        <v>17</v>
      </c>
      <c r="Z6" s="16" t="s">
        <v>17</v>
      </c>
    </row>
    <row r="7" spans="1:28" s="47" customFormat="1" ht="16.5" thickTop="1" x14ac:dyDescent="0.25">
      <c r="B7" s="305"/>
      <c r="C7" s="263" t="s">
        <v>27</v>
      </c>
      <c r="D7" s="263"/>
      <c r="E7" s="264"/>
      <c r="F7" s="264"/>
      <c r="G7" s="265"/>
      <c r="H7" s="5" t="s">
        <v>17</v>
      </c>
      <c r="I7" s="291"/>
      <c r="J7" s="264"/>
      <c r="K7" s="265"/>
      <c r="L7" s="5" t="s">
        <v>17</v>
      </c>
      <c r="M7" s="291"/>
      <c r="N7" s="264"/>
      <c r="O7" s="265"/>
      <c r="P7" s="5" t="s">
        <v>17</v>
      </c>
      <c r="Q7" s="291"/>
      <c r="R7" s="264"/>
      <c r="S7" s="265"/>
      <c r="T7" s="5" t="s">
        <v>17</v>
      </c>
      <c r="U7" s="291"/>
      <c r="V7" s="264"/>
      <c r="W7" s="265"/>
      <c r="X7" s="206" t="s">
        <v>17</v>
      </c>
      <c r="Y7" s="332"/>
      <c r="Z7" s="16" t="s">
        <v>17</v>
      </c>
      <c r="AB7" s="5"/>
    </row>
    <row r="8" spans="1:28" s="11" customFormat="1" x14ac:dyDescent="0.25">
      <c r="B8" s="309"/>
      <c r="C8" s="12"/>
      <c r="D8" s="12"/>
      <c r="E8" s="262" t="s">
        <v>128</v>
      </c>
      <c r="F8" s="19" t="s">
        <v>140</v>
      </c>
      <c r="G8" s="434" t="s">
        <v>153</v>
      </c>
      <c r="H8" s="5" t="s">
        <v>17</v>
      </c>
      <c r="I8" s="268" t="str">
        <f>INDEX('Utility rates'!$I:$K,MATCH(I$4&amp;$Y8,'Utility rates'!$L:$L,0),MATCH(I$5,'Utility rates'!$I$5:$K$5,0))</f>
        <v>R-3</v>
      </c>
      <c r="J8" s="285" t="str">
        <f>INDEX('Utility rates'!$I:$K,MATCH(J$4&amp;$Y8,'Utility rates'!$L:$L,0),MATCH(J$5,'Utility rates'!$I$5:$K$5,0))</f>
        <v>Residential Heating (Excluding Keene Customers)</v>
      </c>
      <c r="K8" s="24" t="str">
        <f>INDEX('Utility rates'!$I:$K,MATCH(K$4&amp;$Y8,'Utility rates'!$L:$L,0),MATCH(K$5,'Utility rates'!$I$5:$K$5,0))</f>
        <v>File name: LU - Rates 2019-10 Summary of Rates for Gas Service</v>
      </c>
      <c r="L8" s="5" t="s">
        <v>17</v>
      </c>
      <c r="M8" s="268" t="str">
        <f>INDEX('Utility rates'!$I:$K,MATCH(M$4&amp;$Y8,'Utility rates'!$L:$L,0),MATCH(M$5,'Utility rates'!$I$5:$K$5,0))</f>
        <v>R-4</v>
      </c>
      <c r="N8" s="285" t="str">
        <f>INDEX('Utility rates'!$I:$K,MATCH(N$4&amp;$Y8,'Utility rates'!$L:$L,0),MATCH(N$5,'Utility rates'!$I$5:$K$5,0))</f>
        <v>Residential Heating - Low-Income (Excluding Keene Customers)</v>
      </c>
      <c r="O8" s="24" t="str">
        <f>INDEX('Utility rates'!$I:$K,MATCH(O$4&amp;$Y8,'Utility rates'!$L:$L,0),MATCH(O$5,'Utility rates'!$I$5:$K$5,0))</f>
        <v>File name: LU - Rates 2019-10 Summary of Rates for Gas Service</v>
      </c>
      <c r="P8" s="5" t="s">
        <v>17</v>
      </c>
      <c r="Q8" s="268" t="str">
        <f>INDEX('Utility rates'!$I:$K,MATCH(Q$4&amp;$Y8,'Utility rates'!$L:$L,0),MATCH(Q$5,'Utility rates'!$I$5:$K$5,0))</f>
        <v>G-41</v>
      </c>
      <c r="R8" s="285" t="str">
        <f>INDEX('Utility rates'!$I:$K,MATCH(R$4&amp;$Y8,'Utility rates'!$L:$L,0),MATCH(R$5,'Utility rates'!$I$5:$K$5,0))</f>
        <v>Commercial / Industrial - Low Annual Use, High Winter Use - (Excluding Keene Customers)</v>
      </c>
      <c r="S8" s="24" t="str">
        <f>INDEX('Utility rates'!$I:$K,MATCH(S$4&amp;$Y8,'Utility rates'!$L:$L,0),MATCH(S$5,'Utility rates'!$I$5:$K$5,0))</f>
        <v>File name: LU - Rates 2019-10 Summary of Rates for Gas Service</v>
      </c>
      <c r="T8" s="5" t="s">
        <v>17</v>
      </c>
      <c r="U8" s="268" t="str">
        <f>INDEX('Utility rates'!$I:$K,MATCH(U$4&amp;$Y8,'Utility rates'!$L:$L,0),MATCH(U$5,'Utility rates'!$I$5:$K$5,0))</f>
        <v>G-43</v>
      </c>
      <c r="V8" s="285" t="str">
        <f>INDEX('Utility rates'!$I:$K,MATCH(V$4&amp;$Y8,'Utility rates'!$L:$L,0),MATCH(V$5,'Utility rates'!$I$5:$K$5,0))</f>
        <v>Commercial / Industrial - High Annual Use and High Winter Use - (Excluding Keene Customers)</v>
      </c>
      <c r="W8" s="24" t="str">
        <f>INDEX('Utility rates'!$I:$K,MATCH(W$4&amp;$Y8,'Utility rates'!$L:$L,0),MATCH(W$5,'Utility rates'!$I$5:$K$5,0))</f>
        <v>File name: LU - Rates 2019-10 Summary of Rates for Gas Service</v>
      </c>
      <c r="X8" s="206" t="s">
        <v>17</v>
      </c>
      <c r="Y8" s="104" t="str">
        <f>Lookups!$E$6&amp;$B$6&amp;$C$7&amp;E8&amp;F8</f>
        <v>LibertyRate Class DataRate ClassRate NameName</v>
      </c>
      <c r="Z8" s="16" t="s">
        <v>17</v>
      </c>
      <c r="AB8" s="5"/>
    </row>
    <row r="9" spans="1:28" s="47" customFormat="1" x14ac:dyDescent="0.25">
      <c r="B9" s="305"/>
      <c r="C9" s="250" t="s">
        <v>3</v>
      </c>
      <c r="D9" s="250"/>
      <c r="E9" s="248"/>
      <c r="F9" s="249"/>
      <c r="G9" s="249"/>
      <c r="H9" s="5" t="s">
        <v>17</v>
      </c>
      <c r="I9" s="286"/>
      <c r="J9" s="313"/>
      <c r="K9" s="314"/>
      <c r="L9" s="5" t="s">
        <v>17</v>
      </c>
      <c r="M9" s="286"/>
      <c r="N9" s="313"/>
      <c r="O9" s="314"/>
      <c r="P9" s="5" t="s">
        <v>17</v>
      </c>
      <c r="Q9" s="286"/>
      <c r="R9" s="313"/>
      <c r="S9" s="314"/>
      <c r="T9" s="5" t="s">
        <v>17</v>
      </c>
      <c r="U9" s="286"/>
      <c r="V9" s="313"/>
      <c r="W9" s="314"/>
      <c r="X9" s="206" t="s">
        <v>17</v>
      </c>
      <c r="Y9" s="332"/>
      <c r="Z9" s="16" t="s">
        <v>17</v>
      </c>
      <c r="AB9" s="5"/>
    </row>
    <row r="10" spans="1:28" s="11" customFormat="1" x14ac:dyDescent="0.25">
      <c r="B10" s="309"/>
      <c r="C10" s="12"/>
      <c r="D10" s="262" t="s">
        <v>265</v>
      </c>
      <c r="E10" s="262"/>
      <c r="F10" s="19" t="s">
        <v>260</v>
      </c>
      <c r="G10" s="434" t="s">
        <v>280</v>
      </c>
      <c r="H10" s="5" t="s">
        <v>17</v>
      </c>
      <c r="I10" s="268" t="s">
        <v>266</v>
      </c>
      <c r="J10" s="285"/>
      <c r="K10" s="24"/>
      <c r="L10" s="5"/>
      <c r="M10" s="268" t="str">
        <f>I10</f>
        <v>Single Year</v>
      </c>
      <c r="N10" s="285"/>
      <c r="O10" s="24"/>
      <c r="P10" s="5"/>
      <c r="Q10" s="268" t="str">
        <f>I10</f>
        <v>Single Year</v>
      </c>
      <c r="R10" s="285"/>
      <c r="S10" s="24"/>
      <c r="T10" s="5"/>
      <c r="U10" s="268" t="str">
        <f>I10</f>
        <v>Single Year</v>
      </c>
      <c r="V10" s="285"/>
      <c r="W10" s="24"/>
      <c r="X10" s="206"/>
      <c r="Y10" s="104"/>
      <c r="Z10" s="16"/>
      <c r="AB10" s="5"/>
    </row>
    <row r="11" spans="1:28" s="11" customFormat="1" x14ac:dyDescent="0.25">
      <c r="B11" s="309"/>
      <c r="C11" s="12"/>
      <c r="D11" s="599" t="s">
        <v>267</v>
      </c>
      <c r="E11" s="600"/>
      <c r="F11" s="600"/>
      <c r="G11" s="602"/>
      <c r="H11" s="5" t="s">
        <v>17</v>
      </c>
      <c r="I11" s="598"/>
      <c r="J11" s="596"/>
      <c r="K11" s="597"/>
      <c r="L11" s="412"/>
      <c r="M11" s="598"/>
      <c r="N11" s="596"/>
      <c r="O11" s="597"/>
      <c r="P11" s="412"/>
      <c r="Q11" s="598"/>
      <c r="R11" s="596"/>
      <c r="S11" s="597"/>
      <c r="T11" s="412"/>
      <c r="U11" s="598"/>
      <c r="V11" s="596"/>
      <c r="W11" s="597"/>
      <c r="X11" s="206"/>
      <c r="Y11" s="104"/>
      <c r="Z11" s="16"/>
      <c r="AB11" s="5"/>
    </row>
    <row r="12" spans="1:28" s="16" customFormat="1" x14ac:dyDescent="0.25">
      <c r="B12" s="306"/>
      <c r="C12" s="12"/>
      <c r="D12" s="12"/>
      <c r="E12" s="15" t="s">
        <v>3</v>
      </c>
      <c r="F12" s="15" t="s">
        <v>48</v>
      </c>
      <c r="G12" s="636" t="s">
        <v>281</v>
      </c>
      <c r="H12" s="5" t="s">
        <v>17</v>
      </c>
      <c r="I12" s="266">
        <f>INDEX('Utility rates'!$I:$K,MATCH(I$4&amp;$Y12,'Utility rates'!$L:$L,0),MATCH(I$5,'Utility rates'!$I$5:$K$5,0))</f>
        <v>71674.712393819893</v>
      </c>
      <c r="J12" s="285">
        <f>INDEX('Utility rates'!$I:$K,MATCH(J$4&amp;$Y12,'Utility rates'!$L:$L,0),MATCH(J$5,'Utility rates'!$I$5:$K$5,0))</f>
        <v>0</v>
      </c>
      <c r="K12" s="24" t="str">
        <f>INDEX('Utility rates'!$I:$K,MATCH(K$4&amp;$Y12,'Utility rates'!$L:$L,0),MATCH(K$5,'Utility rates'!$I$5:$K$5,0))</f>
        <v>File name: LU - Customer and Sales by Rate Class ENN_GSE Cust_Vol 2018</v>
      </c>
      <c r="L12" s="5" t="s">
        <v>17</v>
      </c>
      <c r="M12" s="266">
        <f>INDEX('Utility rates'!$I:$K,MATCH(M$4&amp;$Y12,'Utility rates'!$L:$L,0),MATCH(M$5,'Utility rates'!$I$5:$K$5,0))</f>
        <v>5826.1944158878568</v>
      </c>
      <c r="N12" s="285">
        <f>INDEX('Utility rates'!$I:$K,MATCH(N$4&amp;$Y12,'Utility rates'!$L:$L,0),MATCH(N$5,'Utility rates'!$I$5:$K$5,0))</f>
        <v>0</v>
      </c>
      <c r="O12" s="24" t="str">
        <f>INDEX('Utility rates'!$I:$K,MATCH(O$4&amp;$Y12,'Utility rates'!$L:$L,0),MATCH(O$5,'Utility rates'!$I$5:$K$5,0))</f>
        <v>File name: LU - Customer and Sales by Rate Class ENN_GSE Cust_Vol 2018</v>
      </c>
      <c r="P12" s="5" t="s">
        <v>17</v>
      </c>
      <c r="Q12" s="266">
        <f>INDEX('Utility rates'!$I:$K,MATCH(Q$4&amp;$Y12,'Utility rates'!$L:$L,0),MATCH(Q$5,'Utility rates'!$I$5:$K$5,0))</f>
        <v>8983.683460097729</v>
      </c>
      <c r="R12" s="285">
        <f>INDEX('Utility rates'!$I:$K,MATCH(R$4&amp;$Y12,'Utility rates'!$L:$L,0),MATCH(R$5,'Utility rates'!$I$5:$K$5,0))</f>
        <v>0</v>
      </c>
      <c r="S12" s="24" t="str">
        <f>INDEX('Utility rates'!$I:$K,MATCH(S$4&amp;$Y12,'Utility rates'!$L:$L,0),MATCH(S$5,'Utility rates'!$I$5:$K$5,0))</f>
        <v>File name: LU - Customer and Sales by Rate Class ENN_GSE Cust_Vol 2018</v>
      </c>
      <c r="T12" s="5" t="s">
        <v>17</v>
      </c>
      <c r="U12" s="266">
        <f>INDEX('Utility rates'!$I:$K,MATCH(U$4&amp;$Y12,'Utility rates'!$L:$L,0),MATCH(U$5,'Utility rates'!$I$5:$K$5,0))</f>
        <v>55.255527025440614</v>
      </c>
      <c r="V12" s="285">
        <f>INDEX('Utility rates'!$I:$K,MATCH(V$4&amp;$Y12,'Utility rates'!$L:$L,0),MATCH(V$5,'Utility rates'!$I$5:$K$5,0))</f>
        <v>0</v>
      </c>
      <c r="W12" s="24" t="str">
        <f>INDEX('Utility rates'!$I:$K,MATCH(W$4&amp;$Y12,'Utility rates'!$L:$L,0),MATCH(W$5,'Utility rates'!$I$5:$K$5,0))</f>
        <v>File name: LU - Customer and Sales by Rate Class ENN_GSE Cust_Vol 2018</v>
      </c>
      <c r="X12" s="206" t="s">
        <v>17</v>
      </c>
      <c r="Y12" s="104" t="str">
        <f>Lookups!$E$6&amp;$B$6&amp;$C$9&amp;E12&amp;F12</f>
        <v>LibertyRate Class DataCustomersCustomersAccounts</v>
      </c>
      <c r="Z12" s="16" t="s">
        <v>17</v>
      </c>
    </row>
    <row r="13" spans="1:28" s="20" customFormat="1" x14ac:dyDescent="0.25">
      <c r="A13" s="207"/>
      <c r="B13" s="307"/>
      <c r="C13" s="207"/>
      <c r="D13" s="207"/>
      <c r="E13" s="19" t="s">
        <v>15</v>
      </c>
      <c r="F13" s="19" t="s">
        <v>15</v>
      </c>
      <c r="G13" s="434" t="s">
        <v>282</v>
      </c>
      <c r="H13" s="5" t="s">
        <v>17</v>
      </c>
      <c r="I13" s="292">
        <f>INDEX('Utility rates'!$I:$K,MATCH(I$4&amp;$Y13,'Utility rates'!$L:$L,0),MATCH(I$5,'Utility rates'!$I$5:$K$5,0))</f>
        <v>2018</v>
      </c>
      <c r="J13" s="282">
        <f>INDEX('Utility rates'!$I:$K,MATCH(J$4&amp;$Y13,'Utility rates'!$L:$L,0),MATCH(J$5,'Utility rates'!$I$5:$K$5,0))</f>
        <v>0</v>
      </c>
      <c r="K13" s="26" t="str">
        <f>INDEX('Utility rates'!$I:$K,MATCH(K$4&amp;$Y13,'Utility rates'!$L:$L,0),MATCH(K$5,'Utility rates'!$I$5:$K$5,0))</f>
        <v>File name: LU - Customer and Sales by Rate Class ENN_GSE Cust_Vol 2018</v>
      </c>
      <c r="L13" s="5" t="s">
        <v>17</v>
      </c>
      <c r="M13" s="292">
        <f>INDEX('Utility rates'!$I:$K,MATCH(M$4&amp;$Y13,'Utility rates'!$L:$L,0),MATCH(M$5,'Utility rates'!$I$5:$K$5,0))</f>
        <v>2018</v>
      </c>
      <c r="N13" s="282">
        <f>INDEX('Utility rates'!$I:$K,MATCH(N$4&amp;$Y13,'Utility rates'!$L:$L,0),MATCH(N$5,'Utility rates'!$I$5:$K$5,0))</f>
        <v>0</v>
      </c>
      <c r="O13" s="26" t="str">
        <f>INDEX('Utility rates'!$I:$K,MATCH(O$4&amp;$Y13,'Utility rates'!$L:$L,0),MATCH(O$5,'Utility rates'!$I$5:$K$5,0))</f>
        <v>File name: LU - Customer and Sales by Rate Class ENN_GSE Cust_Vol 2018</v>
      </c>
      <c r="P13" s="5" t="s">
        <v>17</v>
      </c>
      <c r="Q13" s="292">
        <f>INDEX('Utility rates'!$I:$K,MATCH(Q$4&amp;$Y13,'Utility rates'!$L:$L,0),MATCH(Q$5,'Utility rates'!$I$5:$K$5,0))</f>
        <v>2018</v>
      </c>
      <c r="R13" s="282">
        <f>INDEX('Utility rates'!$I:$K,MATCH(R$4&amp;$Y13,'Utility rates'!$L:$L,0),MATCH(R$5,'Utility rates'!$I$5:$K$5,0))</f>
        <v>0</v>
      </c>
      <c r="S13" s="26" t="str">
        <f>INDEX('Utility rates'!$I:$K,MATCH(S$4&amp;$Y13,'Utility rates'!$L:$L,0),MATCH(S$5,'Utility rates'!$I$5:$K$5,0))</f>
        <v>File name: LU - Customer and Sales by Rate Class ENN_GSE Cust_Vol 2018</v>
      </c>
      <c r="T13" s="5" t="s">
        <v>17</v>
      </c>
      <c r="U13" s="292">
        <f>INDEX('Utility rates'!$I:$K,MATCH(U$4&amp;$Y13,'Utility rates'!$L:$L,0),MATCH(U$5,'Utility rates'!$I$5:$K$5,0))</f>
        <v>2018</v>
      </c>
      <c r="V13" s="282">
        <f>INDEX('Utility rates'!$I:$K,MATCH(V$4&amp;$Y13,'Utility rates'!$L:$L,0),MATCH(V$5,'Utility rates'!$I$5:$K$5,0))</f>
        <v>0</v>
      </c>
      <c r="W13" s="26" t="str">
        <f>INDEX('Utility rates'!$I:$K,MATCH(W$4&amp;$Y13,'Utility rates'!$L:$L,0),MATCH(W$5,'Utility rates'!$I$5:$K$5,0))</f>
        <v>File name: LU - Customer and Sales by Rate Class ENN_GSE Cust_Vol 2018</v>
      </c>
      <c r="X13" s="206" t="s">
        <v>17</v>
      </c>
      <c r="Y13" s="104" t="str">
        <f>Lookups!$E$6&amp;$B$6&amp;$C$9&amp;E13&amp;F13</f>
        <v>LibertyRate Class DataCustomersYearYear</v>
      </c>
      <c r="Z13" s="16" t="s">
        <v>17</v>
      </c>
    </row>
    <row r="14" spans="1:28" s="20" customFormat="1" x14ac:dyDescent="0.25">
      <c r="B14" s="307"/>
      <c r="C14" s="12"/>
      <c r="D14" s="12"/>
      <c r="E14" s="19" t="s">
        <v>44</v>
      </c>
      <c r="F14" s="19" t="s">
        <v>16</v>
      </c>
      <c r="G14" s="434" t="s">
        <v>283</v>
      </c>
      <c r="H14" s="5" t="s">
        <v>17</v>
      </c>
      <c r="I14" s="293">
        <f>INDEX('Utility rates'!$I:$K,MATCH(I$4&amp;$Y14,'Utility rates'!$L:$L,0),MATCH(I$5,'Utility rates'!$I$5:$K$5,0))</f>
        <v>0</v>
      </c>
      <c r="J14" s="284" t="str">
        <f>INDEX('Utility rates'!$I:$K,MATCH(J$4&amp;$Y14,'Utility rates'!$L:$L,0),MATCH(J$5,'Utility rates'!$I$5:$K$5,0))</f>
        <v>User-defined</v>
      </c>
      <c r="K14" s="294">
        <f>INDEX('Utility rates'!$I:$K,MATCH(K$4&amp;$Y14,'Utility rates'!$L:$L,0),MATCH(K$5,'Utility rates'!$I$5:$K$5,0))</f>
        <v>0</v>
      </c>
      <c r="L14" s="5" t="s">
        <v>17</v>
      </c>
      <c r="M14" s="293">
        <f>INDEX('Utility rates'!$I:$K,MATCH(M$4&amp;$Y14,'Utility rates'!$L:$L,0),MATCH(M$5,'Utility rates'!$I$5:$K$5,0))</f>
        <v>0</v>
      </c>
      <c r="N14" s="284" t="str">
        <f>INDEX('Utility rates'!$I:$K,MATCH(N$4&amp;$Y14,'Utility rates'!$L:$L,0),MATCH(N$5,'Utility rates'!$I$5:$K$5,0))</f>
        <v>User-defined</v>
      </c>
      <c r="O14" s="294">
        <f>INDEX('Utility rates'!$I:$K,MATCH(O$4&amp;$Y14,'Utility rates'!$L:$L,0),MATCH(O$5,'Utility rates'!$I$5:$K$5,0))</f>
        <v>0</v>
      </c>
      <c r="P14" s="5" t="s">
        <v>17</v>
      </c>
      <c r="Q14" s="293">
        <f>INDEX('Utility rates'!$I:$K,MATCH(Q$4&amp;$Y14,'Utility rates'!$L:$L,0),MATCH(Q$5,'Utility rates'!$I$5:$K$5,0))</f>
        <v>0</v>
      </c>
      <c r="R14" s="284" t="str">
        <f>INDEX('Utility rates'!$I:$K,MATCH(R$4&amp;$Y14,'Utility rates'!$L:$L,0),MATCH(R$5,'Utility rates'!$I$5:$K$5,0))</f>
        <v>User-defined</v>
      </c>
      <c r="S14" s="294">
        <f>INDEX('Utility rates'!$I:$K,MATCH(S$4&amp;$Y14,'Utility rates'!$L:$L,0),MATCH(S$5,'Utility rates'!$I$5:$K$5,0))</f>
        <v>0</v>
      </c>
      <c r="T14" s="5" t="s">
        <v>17</v>
      </c>
      <c r="U14" s="293">
        <f>INDEX('Utility rates'!$I:$K,MATCH(U$4&amp;$Y14,'Utility rates'!$L:$L,0),MATCH(U$5,'Utility rates'!$I$5:$K$5,0))</f>
        <v>0</v>
      </c>
      <c r="V14" s="284" t="str">
        <f>INDEX('Utility rates'!$I:$K,MATCH(V$4&amp;$Y14,'Utility rates'!$L:$L,0),MATCH(V$5,'Utility rates'!$I$5:$K$5,0))</f>
        <v>User-defined</v>
      </c>
      <c r="W14" s="294">
        <f>INDEX('Utility rates'!$I:$K,MATCH(W$4&amp;$Y14,'Utility rates'!$L:$L,0),MATCH(W$5,'Utility rates'!$I$5:$K$5,0))</f>
        <v>0</v>
      </c>
      <c r="X14" s="206" t="s">
        <v>17</v>
      </c>
      <c r="Y14" s="104" t="str">
        <f>Lookups!$E$6&amp;$B$6&amp;$C$9&amp;E14&amp;F14</f>
        <v>LibertyRate Class DataCustomersAnnual Growth Rate%</v>
      </c>
      <c r="Z14" s="16" t="s">
        <v>17</v>
      </c>
    </row>
    <row r="15" spans="1:28" s="11" customFormat="1" x14ac:dyDescent="0.25">
      <c r="B15" s="309"/>
      <c r="C15" s="12"/>
      <c r="D15" s="599" t="s">
        <v>268</v>
      </c>
      <c r="E15" s="600"/>
      <c r="F15" s="600"/>
      <c r="G15" s="602"/>
      <c r="H15" s="5" t="s">
        <v>17</v>
      </c>
      <c r="I15" s="598"/>
      <c r="J15" s="596"/>
      <c r="K15" s="597"/>
      <c r="L15" s="412"/>
      <c r="M15" s="598"/>
      <c r="N15" s="596"/>
      <c r="O15" s="597"/>
      <c r="P15" s="412"/>
      <c r="Q15" s="598"/>
      <c r="R15" s="596"/>
      <c r="S15" s="597"/>
      <c r="T15" s="412"/>
      <c r="U15" s="598"/>
      <c r="V15" s="596"/>
      <c r="W15" s="597"/>
      <c r="X15" s="206"/>
      <c r="Y15" s="104"/>
      <c r="Z15" s="16"/>
      <c r="AB15" s="5"/>
    </row>
    <row r="16" spans="1:28" s="11" customFormat="1" x14ac:dyDescent="0.25">
      <c r="B16" s="307"/>
      <c r="C16" s="207"/>
      <c r="D16" s="207"/>
      <c r="E16" s="19" t="s">
        <v>270</v>
      </c>
      <c r="F16" s="19" t="s">
        <v>16</v>
      </c>
      <c r="G16" s="434" t="s">
        <v>284</v>
      </c>
      <c r="H16" s="5" t="s">
        <v>17</v>
      </c>
      <c r="I16" s="293"/>
      <c r="J16" s="285"/>
      <c r="K16" s="24"/>
      <c r="L16" s="5"/>
      <c r="M16" s="293"/>
      <c r="N16" s="285"/>
      <c r="O16" s="24"/>
      <c r="P16" s="5"/>
      <c r="Q16" s="293"/>
      <c r="R16" s="285"/>
      <c r="S16" s="24"/>
      <c r="T16" s="5"/>
      <c r="U16" s="293"/>
      <c r="V16" s="285"/>
      <c r="W16" s="24"/>
      <c r="X16" s="206"/>
      <c r="Y16" s="104"/>
      <c r="Z16" s="16" t="s">
        <v>17</v>
      </c>
      <c r="AB16" s="5"/>
    </row>
    <row r="17" spans="2:30" s="47" customFormat="1" x14ac:dyDescent="0.25">
      <c r="B17" s="305"/>
      <c r="C17" s="250" t="s">
        <v>4</v>
      </c>
      <c r="D17" s="250"/>
      <c r="E17" s="248"/>
      <c r="F17" s="248"/>
      <c r="G17" s="249"/>
      <c r="H17" s="5" t="s">
        <v>17</v>
      </c>
      <c r="I17" s="286"/>
      <c r="J17" s="313"/>
      <c r="K17" s="314"/>
      <c r="L17" s="5" t="s">
        <v>17</v>
      </c>
      <c r="M17" s="286"/>
      <c r="N17" s="313"/>
      <c r="O17" s="314"/>
      <c r="P17" s="5" t="s">
        <v>17</v>
      </c>
      <c r="Q17" s="286"/>
      <c r="R17" s="313"/>
      <c r="S17" s="314"/>
      <c r="T17" s="5" t="s">
        <v>17</v>
      </c>
      <c r="U17" s="286"/>
      <c r="V17" s="313"/>
      <c r="W17" s="314"/>
      <c r="X17" s="206" t="s">
        <v>17</v>
      </c>
      <c r="Y17" s="104"/>
      <c r="Z17" s="16" t="s">
        <v>17</v>
      </c>
      <c r="AB17" s="5"/>
    </row>
    <row r="18" spans="2:30" s="11" customFormat="1" x14ac:dyDescent="0.25">
      <c r="B18" s="309"/>
      <c r="C18" s="12"/>
      <c r="D18" s="262" t="s">
        <v>265</v>
      </c>
      <c r="E18" s="262"/>
      <c r="F18" s="19" t="s">
        <v>260</v>
      </c>
      <c r="G18" s="434" t="s">
        <v>285</v>
      </c>
      <c r="H18" s="5" t="s">
        <v>17</v>
      </c>
      <c r="I18" s="268" t="s">
        <v>266</v>
      </c>
      <c r="J18" s="285"/>
      <c r="K18" s="24"/>
      <c r="L18" s="5"/>
      <c r="M18" s="268" t="str">
        <f>I18</f>
        <v>Single Year</v>
      </c>
      <c r="N18" s="285"/>
      <c r="O18" s="24"/>
      <c r="P18" s="5"/>
      <c r="Q18" s="268" t="str">
        <f>I18</f>
        <v>Single Year</v>
      </c>
      <c r="R18" s="285"/>
      <c r="S18" s="24"/>
      <c r="T18" s="5"/>
      <c r="U18" s="268" t="str">
        <f>I18</f>
        <v>Single Year</v>
      </c>
      <c r="V18" s="285"/>
      <c r="W18" s="24"/>
      <c r="X18" s="206"/>
      <c r="Y18" s="104"/>
      <c r="Z18" s="16"/>
      <c r="AB18" s="5"/>
    </row>
    <row r="19" spans="2:30" s="11" customFormat="1" x14ac:dyDescent="0.25">
      <c r="B19" s="309"/>
      <c r="C19" s="12"/>
      <c r="D19" s="599" t="s">
        <v>267</v>
      </c>
      <c r="E19" s="600"/>
      <c r="F19" s="600"/>
      <c r="G19" s="602"/>
      <c r="H19" s="5" t="s">
        <v>17</v>
      </c>
      <c r="I19" s="598"/>
      <c r="J19" s="596"/>
      <c r="K19" s="597"/>
      <c r="L19" s="412"/>
      <c r="M19" s="598"/>
      <c r="N19" s="596"/>
      <c r="O19" s="597"/>
      <c r="P19" s="412"/>
      <c r="Q19" s="598"/>
      <c r="R19" s="596"/>
      <c r="S19" s="597"/>
      <c r="T19" s="412"/>
      <c r="U19" s="598"/>
      <c r="V19" s="596"/>
      <c r="W19" s="597"/>
      <c r="X19" s="206"/>
      <c r="Y19" s="104"/>
      <c r="Z19" s="16"/>
      <c r="AB19" s="5"/>
    </row>
    <row r="20" spans="2:30" s="16" customFormat="1" x14ac:dyDescent="0.25">
      <c r="B20" s="306"/>
      <c r="C20" s="12"/>
      <c r="D20" s="12"/>
      <c r="E20" s="15" t="s">
        <v>313</v>
      </c>
      <c r="F20" s="15" t="s">
        <v>195</v>
      </c>
      <c r="G20" s="636" t="s">
        <v>286</v>
      </c>
      <c r="H20" s="5" t="s">
        <v>17</v>
      </c>
      <c r="I20" s="266">
        <f>INDEX('Utility rates'!$I:$K,MATCH(I$4&amp;$Y20,'Utility rates'!$L:$L,0),MATCH(I$5,'Utility rates'!$I$5:$K$5,0))</f>
        <v>58525589.103563093</v>
      </c>
      <c r="J20" s="285">
        <f>INDEX('Utility rates'!$I:$K,MATCH(J$4&amp;$Y20,'Utility rates'!$L:$L,0),MATCH(J$5,'Utility rates'!$I$5:$K$5,0))</f>
        <v>0</v>
      </c>
      <c r="K20" s="24" t="str">
        <f>INDEX('Utility rates'!$I:$K,MATCH(K$4&amp;$Y20,'Utility rates'!$L:$L,0),MATCH(K$5,'Utility rates'!$I$5:$K$5,0))</f>
        <v>File name: LU - Customer and Sales by Rate Class ENN_GSE Cust_Vol 2018</v>
      </c>
      <c r="L20" s="5" t="s">
        <v>17</v>
      </c>
      <c r="M20" s="266">
        <f>INDEX('Utility rates'!$I:$K,MATCH(M$4&amp;$Y20,'Utility rates'!$L:$L,0),MATCH(M$5,'Utility rates'!$I$5:$K$5,0))</f>
        <v>4673617.4897935251</v>
      </c>
      <c r="N20" s="285">
        <f>INDEX('Utility rates'!$I:$K,MATCH(N$4&amp;$Y20,'Utility rates'!$L:$L,0),MATCH(N$5,'Utility rates'!$I$5:$K$5,0))</f>
        <v>0</v>
      </c>
      <c r="O20" s="24" t="str">
        <f>INDEX('Utility rates'!$I:$K,MATCH(O$4&amp;$Y20,'Utility rates'!$L:$L,0),MATCH(O$5,'Utility rates'!$I$5:$K$5,0))</f>
        <v>File name: LU - Customer and Sales by Rate Class ENN_GSE Cust_Vol 2018</v>
      </c>
      <c r="P20" s="5" t="s">
        <v>17</v>
      </c>
      <c r="Q20" s="266">
        <f>INDEX('Utility rates'!$I:$K,MATCH(Q$4&amp;$Y20,'Utility rates'!$L:$L,0),MATCH(Q$5,'Utility rates'!$I$5:$K$5,0))</f>
        <v>21353625.848446414</v>
      </c>
      <c r="R20" s="285" t="str">
        <f>INDEX('Utility rates'!$I:$K,MATCH(R$4&amp;$Y20,'Utility rates'!$L:$L,0),MATCH(R$5,'Utility rates'!$I$5:$K$5,0))</f>
        <v>Sum of billing determinants, but also very similar to number in customer and sales file.</v>
      </c>
      <c r="S20" s="24" t="str">
        <f>INDEX('Utility rates'!$I:$K,MATCH(S$4&amp;$Y20,'Utility rates'!$L:$L,0),MATCH(S$5,'Utility rates'!$I$5:$K$5,0))</f>
        <v>File name: LU - Customer and Sales by Rate Class ENN_GSE Cust_Vol 2018</v>
      </c>
      <c r="T20" s="5" t="s">
        <v>17</v>
      </c>
      <c r="U20" s="266">
        <f>INDEX('Utility rates'!$I:$K,MATCH(U$4&amp;$Y20,'Utility rates'!$L:$L,0),MATCH(U$5,'Utility rates'!$I$5:$K$5,0))</f>
        <v>11263405.136430969</v>
      </c>
      <c r="V20" s="285">
        <f>INDEX('Utility rates'!$I:$K,MATCH(V$4&amp;$Y20,'Utility rates'!$L:$L,0),MATCH(V$5,'Utility rates'!$I$5:$K$5,0))</f>
        <v>0</v>
      </c>
      <c r="W20" s="24" t="str">
        <f>INDEX('Utility rates'!$I:$K,MATCH(W$4&amp;$Y20,'Utility rates'!$L:$L,0),MATCH(W$5,'Utility rates'!$I$5:$K$5,0))</f>
        <v>File name: LU - Customer and Sales by Rate Class ENN_GSE Cust_Vol 2018</v>
      </c>
      <c r="X20" s="206" t="s">
        <v>17</v>
      </c>
      <c r="Y20" s="104" t="str">
        <f>Lookups!$E$6&amp;$B$6&amp;$C$17&amp;E20&amp;F20</f>
        <v>LibertyRate Class DataSalesWinter SalesTherms</v>
      </c>
      <c r="Z20" s="16" t="s">
        <v>17</v>
      </c>
    </row>
    <row r="21" spans="2:30" s="16" customFormat="1" x14ac:dyDescent="0.25">
      <c r="B21" s="306"/>
      <c r="C21" s="12"/>
      <c r="D21" s="12"/>
      <c r="E21" s="15" t="s">
        <v>314</v>
      </c>
      <c r="F21" s="15" t="s">
        <v>195</v>
      </c>
      <c r="G21" s="636" t="s">
        <v>286</v>
      </c>
      <c r="H21" s="5" t="s">
        <v>17</v>
      </c>
      <c r="I21" s="266">
        <f>INDEX('Utility rates'!$I:$K,MATCH(I$4&amp;$Y21,'Utility rates'!$L:$L,0),MATCH(I$5,'Utility rates'!$I$5:$K$5,0))</f>
        <v>0</v>
      </c>
      <c r="J21" s="285">
        <f>INDEX('Utility rates'!$I:$K,MATCH(J$4&amp;$Y21,'Utility rates'!$L:$L,0),MATCH(J$5,'Utility rates'!$I$5:$K$5,0))</f>
        <v>0</v>
      </c>
      <c r="K21" s="24">
        <f>INDEX('Utility rates'!$I:$K,MATCH(K$4&amp;$Y21,'Utility rates'!$L:$L,0),MATCH(K$5,'Utility rates'!$I$5:$K$5,0))</f>
        <v>0</v>
      </c>
      <c r="L21" s="5" t="s">
        <v>17</v>
      </c>
      <c r="M21" s="266">
        <f>INDEX('Utility rates'!$I:$K,MATCH(M$4&amp;$Y21,'Utility rates'!$L:$L,0),MATCH(M$5,'Utility rates'!$I$5:$K$5,0))</f>
        <v>0</v>
      </c>
      <c r="N21" s="285">
        <f>INDEX('Utility rates'!$I:$K,MATCH(N$4&amp;$Y21,'Utility rates'!$L:$L,0),MATCH(N$5,'Utility rates'!$I$5:$K$5,0))</f>
        <v>0</v>
      </c>
      <c r="O21" s="24">
        <f>INDEX('Utility rates'!$I:$K,MATCH(O$4&amp;$Y21,'Utility rates'!$L:$L,0),MATCH(O$5,'Utility rates'!$I$5:$K$5,0))</f>
        <v>0</v>
      </c>
      <c r="P21" s="5" t="s">
        <v>17</v>
      </c>
      <c r="Q21" s="266">
        <f>INDEX('Utility rates'!$I:$K,MATCH(Q$4&amp;$Y21,'Utility rates'!$L:$L,0),MATCH(Q$5,'Utility rates'!$I$5:$K$5,0))</f>
        <v>0</v>
      </c>
      <c r="R21" s="285">
        <f>INDEX('Utility rates'!$I:$K,MATCH(R$4&amp;$Y21,'Utility rates'!$L:$L,0),MATCH(R$5,'Utility rates'!$I$5:$K$5,0))</f>
        <v>0</v>
      </c>
      <c r="S21" s="24">
        <f>INDEX('Utility rates'!$I:$K,MATCH(S$4&amp;$Y21,'Utility rates'!$L:$L,0),MATCH(S$5,'Utility rates'!$I$5:$K$5,0))</f>
        <v>0</v>
      </c>
      <c r="T21" s="5" t="s">
        <v>17</v>
      </c>
      <c r="U21" s="266">
        <f>INDEX('Utility rates'!$I:$K,MATCH(U$4&amp;$Y21,'Utility rates'!$L:$L,0),MATCH(U$5,'Utility rates'!$I$5:$K$5,0))</f>
        <v>0</v>
      </c>
      <c r="V21" s="285">
        <f>INDEX('Utility rates'!$I:$K,MATCH(V$4&amp;$Y21,'Utility rates'!$L:$L,0),MATCH(V$5,'Utility rates'!$I$5:$K$5,0))</f>
        <v>0</v>
      </c>
      <c r="W21" s="24">
        <f>INDEX('Utility rates'!$I:$K,MATCH(W$4&amp;$Y21,'Utility rates'!$L:$L,0),MATCH(W$5,'Utility rates'!$I$5:$K$5,0))</f>
        <v>0</v>
      </c>
      <c r="X21" s="206" t="s">
        <v>17</v>
      </c>
      <c r="Y21" s="104" t="str">
        <f>Lookups!$E$6&amp;$B$6&amp;$C$17&amp;E21&amp;F21</f>
        <v>LibertyRate Class DataSalesSummer SalesTherms</v>
      </c>
      <c r="Z21" s="16" t="s">
        <v>17</v>
      </c>
    </row>
    <row r="22" spans="2:30" s="20" customFormat="1" x14ac:dyDescent="0.25">
      <c r="B22" s="307"/>
      <c r="C22" s="207"/>
      <c r="D22" s="207"/>
      <c r="E22" s="19" t="s">
        <v>15</v>
      </c>
      <c r="F22" s="19" t="s">
        <v>15</v>
      </c>
      <c r="G22" s="434" t="s">
        <v>287</v>
      </c>
      <c r="H22" s="5" t="s">
        <v>17</v>
      </c>
      <c r="I22" s="292">
        <f>INDEX('Utility rates'!$I:$K,MATCH(I$4&amp;$Y22,'Utility rates'!$L:$L,0),MATCH(I$5,'Utility rates'!$I$5:$K$5,0))</f>
        <v>2018</v>
      </c>
      <c r="J22" s="282">
        <f>INDEX('Utility rates'!$I:$K,MATCH(J$4&amp;$Y22,'Utility rates'!$L:$L,0),MATCH(J$5,'Utility rates'!$I$5:$K$5,0))</f>
        <v>0</v>
      </c>
      <c r="K22" s="26" t="str">
        <f>INDEX('Utility rates'!$I:$K,MATCH(K$4&amp;$Y22,'Utility rates'!$L:$L,0),MATCH(K$5,'Utility rates'!$I$5:$K$5,0))</f>
        <v>File name: LU - Customer and Sales by Rate Class ENN_GSE Cust_Vol 2018</v>
      </c>
      <c r="L22" s="5" t="s">
        <v>17</v>
      </c>
      <c r="M22" s="292">
        <f>INDEX('Utility rates'!$I:$K,MATCH(M$4&amp;$Y22,'Utility rates'!$L:$L,0),MATCH(M$5,'Utility rates'!$I$5:$K$5,0))</f>
        <v>2018</v>
      </c>
      <c r="N22" s="282">
        <f>INDEX('Utility rates'!$I:$K,MATCH(N$4&amp;$Y22,'Utility rates'!$L:$L,0),MATCH(N$5,'Utility rates'!$I$5:$K$5,0))</f>
        <v>0</v>
      </c>
      <c r="O22" s="26" t="str">
        <f>INDEX('Utility rates'!$I:$K,MATCH(O$4&amp;$Y22,'Utility rates'!$L:$L,0),MATCH(O$5,'Utility rates'!$I$5:$K$5,0))</f>
        <v>File name: LU - Customer and Sales by Rate Class ENN_GSE Cust_Vol 2018</v>
      </c>
      <c r="P22" s="5" t="s">
        <v>17</v>
      </c>
      <c r="Q22" s="292">
        <f>INDEX('Utility rates'!$I:$K,MATCH(Q$4&amp;$Y22,'Utility rates'!$L:$L,0),MATCH(Q$5,'Utility rates'!$I$5:$K$5,0))</f>
        <v>2018</v>
      </c>
      <c r="R22" s="282">
        <f>INDEX('Utility rates'!$I:$K,MATCH(R$4&amp;$Y22,'Utility rates'!$L:$L,0),MATCH(R$5,'Utility rates'!$I$5:$K$5,0))</f>
        <v>0</v>
      </c>
      <c r="S22" s="26" t="str">
        <f>INDEX('Utility rates'!$I:$K,MATCH(S$4&amp;$Y22,'Utility rates'!$L:$L,0),MATCH(S$5,'Utility rates'!$I$5:$K$5,0))</f>
        <v>File name: LU - Customer and Sales by Rate Class ENN_GSE Cust_Vol 2018</v>
      </c>
      <c r="T22" s="5" t="s">
        <v>17</v>
      </c>
      <c r="U22" s="292">
        <f>INDEX('Utility rates'!$I:$K,MATCH(U$4&amp;$Y22,'Utility rates'!$L:$L,0),MATCH(U$5,'Utility rates'!$I$5:$K$5,0))</f>
        <v>2018</v>
      </c>
      <c r="V22" s="282">
        <f>INDEX('Utility rates'!$I:$K,MATCH(V$4&amp;$Y22,'Utility rates'!$L:$L,0),MATCH(V$5,'Utility rates'!$I$5:$K$5,0))</f>
        <v>0</v>
      </c>
      <c r="W22" s="26" t="str">
        <f>INDEX('Utility rates'!$I:$K,MATCH(W$4&amp;$Y22,'Utility rates'!$L:$L,0),MATCH(W$5,'Utility rates'!$I$5:$K$5,0))</f>
        <v>File name: LU - Customer and Sales by Rate Class ENN_GSE Cust_Vol 2018</v>
      </c>
      <c r="X22" s="206" t="s">
        <v>17</v>
      </c>
      <c r="Y22" s="104" t="str">
        <f>Lookups!$E$6&amp;$B$6&amp;$C$17&amp;E22&amp;F22</f>
        <v>LibertyRate Class DataSalesYearYear</v>
      </c>
      <c r="Z22" s="16" t="s">
        <v>17</v>
      </c>
    </row>
    <row r="23" spans="2:30" s="20" customFormat="1" x14ac:dyDescent="0.25">
      <c r="B23" s="307"/>
      <c r="C23" s="12"/>
      <c r="D23" s="12"/>
      <c r="E23" s="19" t="s">
        <v>44</v>
      </c>
      <c r="F23" s="19" t="s">
        <v>16</v>
      </c>
      <c r="G23" s="434" t="s">
        <v>288</v>
      </c>
      <c r="H23" s="5" t="s">
        <v>17</v>
      </c>
      <c r="I23" s="267">
        <f>INDEX('Utility rates'!$I:$K,MATCH(I$4&amp;$Y23,'Utility rates'!$L:$L,0),MATCH(I$5,'Utility rates'!$I$5:$K$5,0))</f>
        <v>0</v>
      </c>
      <c r="J23" s="282" t="str">
        <f>INDEX('Utility rates'!$I:$K,MATCH(J$4&amp;$Y23,'Utility rates'!$L:$L,0),MATCH(J$5,'Utility rates'!$I$5:$K$5,0))</f>
        <v>User-defined</v>
      </c>
      <c r="K23" s="26">
        <f>INDEX('Utility rates'!$I:$K,MATCH(K$4&amp;$Y23,'Utility rates'!$L:$L,0),MATCH(K$5,'Utility rates'!$I$5:$K$5,0))</f>
        <v>0</v>
      </c>
      <c r="L23" s="5" t="s">
        <v>17</v>
      </c>
      <c r="M23" s="267">
        <f>INDEX('Utility rates'!$I:$K,MATCH(M$4&amp;$Y23,'Utility rates'!$L:$L,0),MATCH(M$5,'Utility rates'!$I$5:$K$5,0))</f>
        <v>0</v>
      </c>
      <c r="N23" s="282" t="str">
        <f>INDEX('Utility rates'!$I:$K,MATCH(N$4&amp;$Y23,'Utility rates'!$L:$L,0),MATCH(N$5,'Utility rates'!$I$5:$K$5,0))</f>
        <v>User-defined</v>
      </c>
      <c r="O23" s="26">
        <f>INDEX('Utility rates'!$I:$K,MATCH(O$4&amp;$Y23,'Utility rates'!$L:$L,0),MATCH(O$5,'Utility rates'!$I$5:$K$5,0))</f>
        <v>0</v>
      </c>
      <c r="P23" s="5" t="s">
        <v>17</v>
      </c>
      <c r="Q23" s="267">
        <f>INDEX('Utility rates'!$I:$K,MATCH(Q$4&amp;$Y23,'Utility rates'!$L:$L,0),MATCH(Q$5,'Utility rates'!$I$5:$K$5,0))</f>
        <v>0</v>
      </c>
      <c r="R23" s="282" t="str">
        <f>INDEX('Utility rates'!$I:$K,MATCH(R$4&amp;$Y23,'Utility rates'!$L:$L,0),MATCH(R$5,'Utility rates'!$I$5:$K$5,0))</f>
        <v>User-defined</v>
      </c>
      <c r="S23" s="26">
        <f>INDEX('Utility rates'!$I:$K,MATCH(S$4&amp;$Y23,'Utility rates'!$L:$L,0),MATCH(S$5,'Utility rates'!$I$5:$K$5,0))</f>
        <v>0</v>
      </c>
      <c r="T23" s="5" t="s">
        <v>17</v>
      </c>
      <c r="U23" s="267">
        <f>INDEX('Utility rates'!$I:$K,MATCH(U$4&amp;$Y23,'Utility rates'!$L:$L,0),MATCH(U$5,'Utility rates'!$I$5:$K$5,0))</f>
        <v>0</v>
      </c>
      <c r="V23" s="282" t="str">
        <f>INDEX('Utility rates'!$I:$K,MATCH(V$4&amp;$Y23,'Utility rates'!$L:$L,0),MATCH(V$5,'Utility rates'!$I$5:$K$5,0))</f>
        <v>User-defined</v>
      </c>
      <c r="W23" s="26">
        <f>INDEX('Utility rates'!$I:$K,MATCH(W$4&amp;$Y23,'Utility rates'!$L:$L,0),MATCH(W$5,'Utility rates'!$I$5:$K$5,0))</f>
        <v>0</v>
      </c>
      <c r="X23" s="206" t="s">
        <v>17</v>
      </c>
      <c r="Y23" s="104" t="str">
        <f>Lookups!$E$6&amp;$B$6&amp;$C$17&amp;E23&amp;F23</f>
        <v>LibertyRate Class DataSalesAnnual Growth Rate%</v>
      </c>
      <c r="Z23" s="16" t="s">
        <v>17</v>
      </c>
    </row>
    <row r="24" spans="2:30" s="11" customFormat="1" x14ac:dyDescent="0.25">
      <c r="B24" s="309"/>
      <c r="C24" s="12"/>
      <c r="D24" s="599" t="s">
        <v>268</v>
      </c>
      <c r="E24" s="600"/>
      <c r="F24" s="600"/>
      <c r="G24" s="602"/>
      <c r="H24" s="5" t="s">
        <v>17</v>
      </c>
      <c r="I24" s="598"/>
      <c r="J24" s="596"/>
      <c r="K24" s="597"/>
      <c r="L24" s="412"/>
      <c r="M24" s="598"/>
      <c r="N24" s="596"/>
      <c r="O24" s="597"/>
      <c r="P24" s="412"/>
      <c r="Q24" s="598"/>
      <c r="R24" s="596"/>
      <c r="S24" s="597"/>
      <c r="T24" s="412"/>
      <c r="U24" s="598"/>
      <c r="V24" s="596"/>
      <c r="W24" s="597"/>
      <c r="X24" s="206"/>
      <c r="Y24" s="104"/>
      <c r="Z24" s="16"/>
      <c r="AB24" s="5"/>
    </row>
    <row r="25" spans="2:30" s="11" customFormat="1" x14ac:dyDescent="0.25">
      <c r="B25" s="307"/>
      <c r="C25" s="207"/>
      <c r="D25" s="207"/>
      <c r="E25" s="19" t="s">
        <v>270</v>
      </c>
      <c r="F25" s="19" t="s">
        <v>16</v>
      </c>
      <c r="G25" s="434" t="s">
        <v>289</v>
      </c>
      <c r="H25" s="5" t="s">
        <v>17</v>
      </c>
      <c r="I25" s="293"/>
      <c r="J25" s="285"/>
      <c r="K25" s="24"/>
      <c r="L25" s="5"/>
      <c r="M25" s="293"/>
      <c r="N25" s="285"/>
      <c r="O25" s="24"/>
      <c r="P25" s="5"/>
      <c r="Q25" s="293"/>
      <c r="R25" s="285"/>
      <c r="S25" s="24"/>
      <c r="T25" s="5"/>
      <c r="U25" s="293"/>
      <c r="V25" s="285"/>
      <c r="W25" s="24"/>
      <c r="X25" s="206"/>
      <c r="Y25" s="104"/>
      <c r="Z25" s="16" t="s">
        <v>17</v>
      </c>
      <c r="AB25" s="5"/>
    </row>
    <row r="26" spans="2:30" s="47" customFormat="1" x14ac:dyDescent="0.25">
      <c r="B26" s="305"/>
      <c r="C26" s="250" t="s">
        <v>300</v>
      </c>
      <c r="D26" s="250"/>
      <c r="E26" s="248"/>
      <c r="F26" s="248"/>
      <c r="G26" s="249"/>
      <c r="H26" s="5" t="s">
        <v>17</v>
      </c>
      <c r="I26" s="286"/>
      <c r="J26" s="313"/>
      <c r="K26" s="314"/>
      <c r="L26" s="5" t="s">
        <v>17</v>
      </c>
      <c r="M26" s="286"/>
      <c r="N26" s="313"/>
      <c r="O26" s="314"/>
      <c r="P26" s="5" t="s">
        <v>17</v>
      </c>
      <c r="Q26" s="286"/>
      <c r="R26" s="313"/>
      <c r="S26" s="314"/>
      <c r="T26" s="5" t="s">
        <v>17</v>
      </c>
      <c r="U26" s="286"/>
      <c r="V26" s="313"/>
      <c r="W26" s="314"/>
      <c r="X26" s="206" t="s">
        <v>17</v>
      </c>
      <c r="Y26" s="104"/>
      <c r="Z26" s="16" t="s">
        <v>17</v>
      </c>
      <c r="AB26" s="5"/>
    </row>
    <row r="27" spans="2:30" x14ac:dyDescent="0.25">
      <c r="B27" s="308"/>
      <c r="E27" s="9" t="s">
        <v>302</v>
      </c>
      <c r="F27" s="15" t="s">
        <v>195</v>
      </c>
      <c r="G27" s="110" t="s">
        <v>303</v>
      </c>
      <c r="H27" s="5" t="s">
        <v>17</v>
      </c>
      <c r="I27" s="274">
        <f>INDEX('Utility rates'!$I:$K,MATCH(I$4&amp;$Y27,'Utility rates'!$L:$L,0),MATCH(I$5,'Utility rates'!$I$5:$K$5,0))</f>
        <v>666</v>
      </c>
      <c r="J27" s="283" t="str">
        <f>INDEX('Utility rates'!$I:$K,MATCH(J$4&amp;$Y27,'Utility rates'!$L:$L,0),MATCH(J$5,'Utility rates'!$I$5:$K$5,0))</f>
        <v>Nov-Apr usage</v>
      </c>
      <c r="K27" s="25" t="str">
        <f>INDEX('Utility rates'!$I:$K,MATCH(K$4&amp;$Y27,'Utility rates'!$L:$L,0),MATCH(K$5,'Utility rates'!$I$5:$K$5,0))</f>
        <v>File name: LU - Rate Schedules - Gas COG filing</v>
      </c>
      <c r="L27" s="5" t="s">
        <v>17</v>
      </c>
      <c r="M27" s="274">
        <f>INDEX('Utility rates'!$I:$K,MATCH(M$4&amp;$Y27,'Utility rates'!$L:$L,0),MATCH(M$5,'Utility rates'!$I$5:$K$5,0))</f>
        <v>666</v>
      </c>
      <c r="N27" s="283" t="str">
        <f>INDEX('Utility rates'!$I:$K,MATCH(N$4&amp;$Y27,'Utility rates'!$L:$L,0),MATCH(N$5,'Utility rates'!$I$5:$K$5,0))</f>
        <v>Using the same as R-3</v>
      </c>
      <c r="O27" s="25" t="str">
        <f>INDEX('Utility rates'!$I:$K,MATCH(O$4&amp;$Y27,'Utility rates'!$L:$L,0),MATCH(O$5,'Utility rates'!$I$5:$K$5,0))</f>
        <v>File name: LU - Rate Schedules - Gas COG filing</v>
      </c>
      <c r="P27" s="5" t="s">
        <v>17</v>
      </c>
      <c r="Q27" s="274">
        <f>INDEX('Utility rates'!$I:$K,MATCH(Q$4&amp;$Y27,'Utility rates'!$L:$L,0),MATCH(Q$5,'Utility rates'!$I$5:$K$5,0))</f>
        <v>1953.9570000000001</v>
      </c>
      <c r="R27" s="283" t="str">
        <f>INDEX('Utility rates'!$I:$K,MATCH(R$4&amp;$Y27,'Utility rates'!$L:$L,0),MATCH(R$5,'Utility rates'!$I$5:$K$5,0))</f>
        <v>Nov-Apr usage</v>
      </c>
      <c r="S27" s="25" t="str">
        <f>INDEX('Utility rates'!$I:$K,MATCH(S$4&amp;$Y27,'Utility rates'!$L:$L,0),MATCH(S$5,'Utility rates'!$I$5:$K$5,0))</f>
        <v>File name: LU - Rate Schedules - Gas COG filing</v>
      </c>
      <c r="T27" s="5" t="s">
        <v>17</v>
      </c>
      <c r="U27" s="274">
        <f>INDEX('Utility rates'!$I:$K,MATCH(U$4&amp;$Y27,'Utility rates'!$L:$L,0),MATCH(U$5,'Utility rates'!$I$5:$K$5,0))</f>
        <v>148228.91743625092</v>
      </c>
      <c r="V27" s="283" t="str">
        <f>INDEX('Utility rates'!$I:$K,MATCH(V$4&amp;$Y27,'Utility rates'!$L:$L,0),MATCH(V$5,'Utility rates'!$I$5:$K$5,0))</f>
        <v>Nov-Apr usage</v>
      </c>
      <c r="W27" s="25" t="str">
        <f>INDEX('Utility rates'!$I:$K,MATCH(W$4&amp;$Y27,'Utility rates'!$L:$L,0),MATCH(W$5,'Utility rates'!$I$5:$K$5,0))</f>
        <v>File name: ENN CalMo BillDetm (G-41  G-43) 201811-201910_20200225</v>
      </c>
      <c r="X27" s="206" t="s">
        <v>17</v>
      </c>
      <c r="Y27" s="104" t="str">
        <f>Lookups!$E$6&amp;$B$6&amp;$C$26&amp;E27&amp;F27</f>
        <v>LibertyRate Class DataAverage Annual UsageWinter UsageTherms</v>
      </c>
      <c r="Z27" s="16" t="s">
        <v>17</v>
      </c>
    </row>
    <row r="28" spans="2:30" x14ac:dyDescent="0.25">
      <c r="B28" s="308"/>
      <c r="E28" s="9" t="s">
        <v>301</v>
      </c>
      <c r="F28" s="15" t="s">
        <v>195</v>
      </c>
      <c r="G28" s="110" t="s">
        <v>304</v>
      </c>
      <c r="H28" s="5" t="s">
        <v>17</v>
      </c>
      <c r="I28" s="274">
        <f>INDEX('Utility rates'!$I:$K,MATCH(I$4&amp;$Y28,'Utility rates'!$L:$L,0),MATCH(I$5,'Utility rates'!$I$5:$K$5,0))</f>
        <v>0</v>
      </c>
      <c r="J28" s="283">
        <f>INDEX('Utility rates'!$I:$K,MATCH(J$4&amp;$Y28,'Utility rates'!$L:$L,0),MATCH(J$5,'Utility rates'!$I$5:$K$5,0))</f>
        <v>0</v>
      </c>
      <c r="K28" s="25">
        <f>INDEX('Utility rates'!$I:$K,MATCH(K$4&amp;$Y28,'Utility rates'!$L:$L,0),MATCH(K$5,'Utility rates'!$I$5:$K$5,0))</f>
        <v>0</v>
      </c>
      <c r="L28" s="5" t="s">
        <v>17</v>
      </c>
      <c r="M28" s="274">
        <f>INDEX('Utility rates'!$I:$K,MATCH(M$4&amp;$Y28,'Utility rates'!$L:$L,0),MATCH(M$5,'Utility rates'!$I$5:$K$5,0))</f>
        <v>0</v>
      </c>
      <c r="N28" s="283" t="str">
        <f>INDEX('Utility rates'!$I:$K,MATCH(N$4&amp;$Y28,'Utility rates'!$L:$L,0),MATCH(N$5,'Utility rates'!$I$5:$K$5,0))</f>
        <v>Using the same as R-3</v>
      </c>
      <c r="O28" s="25">
        <f>INDEX('Utility rates'!$I:$K,MATCH(O$4&amp;$Y28,'Utility rates'!$L:$L,0),MATCH(O$5,'Utility rates'!$I$5:$K$5,0))</f>
        <v>0</v>
      </c>
      <c r="P28" s="5" t="s">
        <v>17</v>
      </c>
      <c r="Q28" s="274">
        <f>INDEX('Utility rates'!$I:$K,MATCH(Q$4&amp;$Y28,'Utility rates'!$L:$L,0),MATCH(Q$5,'Utility rates'!$I$5:$K$5,0))</f>
        <v>0</v>
      </c>
      <c r="R28" s="283">
        <f>INDEX('Utility rates'!$I:$K,MATCH(R$4&amp;$Y28,'Utility rates'!$L:$L,0),MATCH(R$5,'Utility rates'!$I$5:$K$5,0))</f>
        <v>0</v>
      </c>
      <c r="S28" s="25">
        <f>INDEX('Utility rates'!$I:$K,MATCH(S$4&amp;$Y28,'Utility rates'!$L:$L,0),MATCH(S$5,'Utility rates'!$I$5:$K$5,0))</f>
        <v>0</v>
      </c>
      <c r="T28" s="5" t="s">
        <v>17</v>
      </c>
      <c r="U28" s="274">
        <f>INDEX('Utility rates'!$I:$K,MATCH(U$4&amp;$Y28,'Utility rates'!$L:$L,0),MATCH(U$5,'Utility rates'!$I$5:$K$5,0))</f>
        <v>44617.016125558046</v>
      </c>
      <c r="V28" s="283" t="str">
        <f>INDEX('Utility rates'!$I:$K,MATCH(V$4&amp;$Y28,'Utility rates'!$L:$L,0),MATCH(V$5,'Utility rates'!$I$5:$K$5,0))</f>
        <v>May-Oct usage</v>
      </c>
      <c r="W28" s="25" t="str">
        <f>INDEX('Utility rates'!$I:$K,MATCH(W$4&amp;$Y28,'Utility rates'!$L:$L,0),MATCH(W$5,'Utility rates'!$I$5:$K$5,0))</f>
        <v>File name: ENN CalMo BillDetm (G-41  G-43) 201811-201910_20200225</v>
      </c>
      <c r="X28" s="206" t="s">
        <v>17</v>
      </c>
      <c r="Y28" s="104" t="str">
        <f>Lookups!$E$6&amp;$B$6&amp;$C$26&amp;E28&amp;F28</f>
        <v>LibertyRate Class DataAverage Annual UsageSummer UsageTherms</v>
      </c>
      <c r="Z28" s="16" t="s">
        <v>17</v>
      </c>
    </row>
    <row r="29" spans="2:30" s="47" customFormat="1" x14ac:dyDescent="0.25">
      <c r="B29" s="305"/>
      <c r="C29" s="250" t="s">
        <v>129</v>
      </c>
      <c r="D29" s="250"/>
      <c r="E29" s="248"/>
      <c r="F29" s="248"/>
      <c r="G29" s="435" t="s">
        <v>210</v>
      </c>
      <c r="H29" s="5" t="s">
        <v>17</v>
      </c>
      <c r="I29" s="286"/>
      <c r="J29" s="313"/>
      <c r="K29" s="314"/>
      <c r="L29" s="5" t="s">
        <v>17</v>
      </c>
      <c r="M29" s="286"/>
      <c r="N29" s="313"/>
      <c r="O29" s="314"/>
      <c r="P29" s="5" t="s">
        <v>17</v>
      </c>
      <c r="Q29" s="286"/>
      <c r="R29" s="313"/>
      <c r="S29" s="314"/>
      <c r="T29" s="5" t="s">
        <v>17</v>
      </c>
      <c r="U29" s="286"/>
      <c r="V29" s="313"/>
      <c r="W29" s="314"/>
      <c r="X29" s="206" t="s">
        <v>17</v>
      </c>
      <c r="Y29" s="104"/>
      <c r="Z29" s="16" t="s">
        <v>17</v>
      </c>
      <c r="AB29" s="5"/>
    </row>
    <row r="30" spans="2:30" s="47" customFormat="1" x14ac:dyDescent="0.25">
      <c r="B30" s="305"/>
      <c r="C30" s="207"/>
      <c r="D30" s="651" t="s">
        <v>305</v>
      </c>
      <c r="E30" s="600"/>
      <c r="F30" s="600"/>
      <c r="G30" s="652"/>
      <c r="H30"/>
      <c r="I30" s="653"/>
      <c r="J30" s="596"/>
      <c r="K30" s="597"/>
      <c r="L30"/>
      <c r="M30" s="653"/>
      <c r="N30" s="596"/>
      <c r="O30" s="597"/>
      <c r="P30"/>
      <c r="Q30" s="653"/>
      <c r="R30" s="596"/>
      <c r="S30" s="597"/>
      <c r="T30"/>
      <c r="U30" s="653"/>
      <c r="V30" s="596"/>
      <c r="W30" s="597"/>
      <c r="X30" s="654"/>
      <c r="Y30" s="104"/>
      <c r="Z30" s="16" t="s">
        <v>17</v>
      </c>
      <c r="AA30" s="5"/>
      <c r="AB30" s="5"/>
      <c r="AC30" s="30"/>
      <c r="AD30" s="655"/>
    </row>
    <row r="31" spans="2:30" s="59" customFormat="1" x14ac:dyDescent="0.25">
      <c r="B31" s="310"/>
      <c r="C31" s="207"/>
      <c r="D31" s="207"/>
      <c r="E31" s="108" t="s">
        <v>50</v>
      </c>
      <c r="F31" s="108" t="s">
        <v>195</v>
      </c>
      <c r="G31" s="436" t="s">
        <v>211</v>
      </c>
      <c r="H31" s="5" t="s">
        <v>17</v>
      </c>
      <c r="I31" s="269">
        <f>INDEX('Utility rates'!$I:$K,MATCH(I$4&amp;$Y31,'Utility rates'!$L:$L,0),MATCH(I$5,'Utility rates'!$I$5:$K$5,0))</f>
        <v>0</v>
      </c>
      <c r="J31" s="283" t="str">
        <f>INDEX('Utility rates'!$I:$K,MATCH(J$4&amp;$Y31,'Utility rates'!$L:$L,0),MATCH(J$5,'Utility rates'!$I$5:$K$5,0))</f>
        <v>Not applicable to this rate class.</v>
      </c>
      <c r="K31" s="25">
        <f>INDEX('Utility rates'!$I:$K,MATCH(K$4&amp;$Y31,'Utility rates'!$L:$L,0),MATCH(K$5,'Utility rates'!$I$5:$K$5,0))</f>
        <v>0</v>
      </c>
      <c r="L31" s="5" t="s">
        <v>17</v>
      </c>
      <c r="M31" s="269">
        <f>INDEX('Utility rates'!$I:$K,MATCH(M$4&amp;$Y31,'Utility rates'!$L:$L,0),MATCH(M$5,'Utility rates'!$I$5:$K$5,0))</f>
        <v>0</v>
      </c>
      <c r="N31" s="283" t="str">
        <f>INDEX('Utility rates'!$I:$K,MATCH(N$4&amp;$Y31,'Utility rates'!$L:$L,0),MATCH(N$5,'Utility rates'!$I$5:$K$5,0))</f>
        <v>Not applicable to this rate class.</v>
      </c>
      <c r="O31" s="25">
        <f>INDEX('Utility rates'!$I:$K,MATCH(O$4&amp;$Y31,'Utility rates'!$L:$L,0),MATCH(O$5,'Utility rates'!$I$5:$K$5,0))</f>
        <v>0</v>
      </c>
      <c r="P31" s="5" t="s">
        <v>17</v>
      </c>
      <c r="Q31" s="269">
        <f>INDEX('Utility rates'!$I:$K,MATCH(Q$4&amp;$Y31,'Utility rates'!$L:$L,0),MATCH(Q$5,'Utility rates'!$I$5:$K$5,0))</f>
        <v>100</v>
      </c>
      <c r="R31" s="283" t="str">
        <f>INDEX('Utility rates'!$I:$K,MATCH(R$4&amp;$Y31,'Utility rates'!$L:$L,0),MATCH(R$5,'Utility rates'!$I$5:$K$5,0))</f>
        <v>Monthly Headblock Threshold</v>
      </c>
      <c r="S31" s="25" t="str">
        <f>INDEX('Utility rates'!$I:$K,MATCH(S$4&amp;$Y31,'Utility rates'!$L:$L,0),MATCH(S$5,'Utility rates'!$I$5:$K$5,0))</f>
        <v>File name: LU - Rate Schedules - Gas COG filing</v>
      </c>
      <c r="T31" s="5" t="s">
        <v>17</v>
      </c>
      <c r="U31" s="269">
        <f>INDEX('Utility rates'!$I:$K,MATCH(U$4&amp;$Y31,'Utility rates'!$L:$L,0),MATCH(U$5,'Utility rates'!$I$5:$K$5,0))</f>
        <v>0</v>
      </c>
      <c r="V31" s="283" t="str">
        <f>INDEX('Utility rates'!$I:$K,MATCH(V$4&amp;$Y31,'Utility rates'!$L:$L,0),MATCH(V$5,'Utility rates'!$I$5:$K$5,0))</f>
        <v>Not applicable to this rate class.</v>
      </c>
      <c r="W31" s="25">
        <f>INDEX('Utility rates'!$I:$K,MATCH(W$4&amp;$Y31,'Utility rates'!$L:$L,0),MATCH(W$5,'Utility rates'!$I$5:$K$5,0))</f>
        <v>0</v>
      </c>
      <c r="X31" s="206" t="s">
        <v>17</v>
      </c>
      <c r="Y31" s="333" t="str">
        <f>Lookups!$E$6&amp;$B$6&amp;$C$29&amp;$D$30&amp;E31&amp;F31</f>
        <v>LibertyRate Class DataRate Type DataWinterFirst Block MaximumTherms</v>
      </c>
      <c r="Z31" s="16" t="s">
        <v>17</v>
      </c>
    </row>
    <row r="32" spans="2:30" s="59" customFormat="1" x14ac:dyDescent="0.25">
      <c r="B32" s="310"/>
      <c r="C32" s="207"/>
      <c r="D32" s="207"/>
      <c r="E32" s="247" t="s">
        <v>49</v>
      </c>
      <c r="F32" s="247" t="s">
        <v>195</v>
      </c>
      <c r="G32" s="437" t="s">
        <v>212</v>
      </c>
      <c r="H32" s="5" t="s">
        <v>17</v>
      </c>
      <c r="I32" s="269">
        <f>INDEX('Utility rates'!$I:$K,MATCH(I$4&amp;$Y32,'Utility rates'!$L:$L,0),MATCH(I$5,'Utility rates'!$I$5:$K$5,0))</f>
        <v>0</v>
      </c>
      <c r="J32" s="283" t="str">
        <f>INDEX('Utility rates'!$I:$K,MATCH(J$4&amp;$Y32,'Utility rates'!$L:$L,0),MATCH(J$5,'Utility rates'!$I$5:$K$5,0))</f>
        <v>Not applicable to this rate class.</v>
      </c>
      <c r="K32" s="25">
        <f>INDEX('Utility rates'!$I:$K,MATCH(K$4&amp;$Y32,'Utility rates'!$L:$L,0),MATCH(K$5,'Utility rates'!$I$5:$K$5,0))</f>
        <v>0</v>
      </c>
      <c r="L32" s="5" t="s">
        <v>17</v>
      </c>
      <c r="M32" s="269">
        <f>INDEX('Utility rates'!$I:$K,MATCH(M$4&amp;$Y32,'Utility rates'!$L:$L,0),MATCH(M$5,'Utility rates'!$I$5:$K$5,0))</f>
        <v>0</v>
      </c>
      <c r="N32" s="283" t="str">
        <f>INDEX('Utility rates'!$I:$K,MATCH(N$4&amp;$Y32,'Utility rates'!$L:$L,0),MATCH(N$5,'Utility rates'!$I$5:$K$5,0))</f>
        <v>Not applicable to this rate class.</v>
      </c>
      <c r="O32" s="25">
        <f>INDEX('Utility rates'!$I:$K,MATCH(O$4&amp;$Y32,'Utility rates'!$L:$L,0),MATCH(O$5,'Utility rates'!$I$5:$K$5,0))</f>
        <v>0</v>
      </c>
      <c r="P32" s="5" t="s">
        <v>17</v>
      </c>
      <c r="Q32" s="269">
        <f>INDEX('Utility rates'!$I:$K,MATCH(Q$4&amp;$Y32,'Utility rates'!$L:$L,0),MATCH(Q$5,'Utility rates'!$I$5:$K$5,0))</f>
        <v>0</v>
      </c>
      <c r="R32" s="283" t="str">
        <f>INDEX('Utility rates'!$I:$K,MATCH(R$4&amp;$Y32,'Utility rates'!$L:$L,0),MATCH(R$5,'Utility rates'!$I$5:$K$5,0))</f>
        <v>Not applicable to this rate class.</v>
      </c>
      <c r="S32" s="25">
        <f>INDEX('Utility rates'!$I:$K,MATCH(S$4&amp;$Y32,'Utility rates'!$L:$L,0),MATCH(S$5,'Utility rates'!$I$5:$K$5,0))</f>
        <v>0</v>
      </c>
      <c r="T32" s="5" t="s">
        <v>17</v>
      </c>
      <c r="U32" s="269">
        <f>INDEX('Utility rates'!$I:$K,MATCH(U$4&amp;$Y32,'Utility rates'!$L:$L,0),MATCH(U$5,'Utility rates'!$I$5:$K$5,0))</f>
        <v>0</v>
      </c>
      <c r="V32" s="283" t="str">
        <f>INDEX('Utility rates'!$I:$K,MATCH(V$4&amp;$Y32,'Utility rates'!$L:$L,0),MATCH(V$5,'Utility rates'!$I$5:$K$5,0))</f>
        <v>Not applicable to this rate class.</v>
      </c>
      <c r="W32" s="25">
        <f>INDEX('Utility rates'!$I:$K,MATCH(W$4&amp;$Y32,'Utility rates'!$L:$L,0),MATCH(W$5,'Utility rates'!$I$5:$K$5,0))</f>
        <v>0</v>
      </c>
      <c r="X32" s="206" t="s">
        <v>17</v>
      </c>
      <c r="Y32" s="333" t="str">
        <f>Lookups!$E$6&amp;$B$6&amp;$C$29&amp;$D$30&amp;E32&amp;F32</f>
        <v>LibertyRate Class DataRate Type DataWinterSecond Block MaximumTherms</v>
      </c>
      <c r="Z32" s="16" t="s">
        <v>17</v>
      </c>
    </row>
    <row r="33" spans="1:30" s="11" customFormat="1" x14ac:dyDescent="0.25">
      <c r="B33" s="309"/>
      <c r="C33" s="207"/>
      <c r="D33" s="207"/>
      <c r="E33" s="108" t="s">
        <v>130</v>
      </c>
      <c r="F33" s="108" t="s">
        <v>195</v>
      </c>
      <c r="G33" s="436" t="s">
        <v>323</v>
      </c>
      <c r="H33" s="5" t="s">
        <v>17</v>
      </c>
      <c r="I33" s="269">
        <f>INDEX('Utility rates'!$I:$K,MATCH(I$4&amp;$Y33,'Utility rates'!$L:$L,0),MATCH(I$5,'Utility rates'!$I$5:$K$5,0))</f>
        <v>0</v>
      </c>
      <c r="J33" s="283" t="str">
        <f>INDEX('Utility rates'!$I:$K,MATCH(J$4&amp;$Y33,'Utility rates'!$L:$L,0),MATCH(J$5,'Utility rates'!$I$5:$K$5,0))</f>
        <v>Not applicable to this rate class.</v>
      </c>
      <c r="K33" s="25">
        <f>INDEX('Utility rates'!$I:$K,MATCH(K$4&amp;$Y33,'Utility rates'!$L:$L,0),MATCH(K$5,'Utility rates'!$I$5:$K$5,0))</f>
        <v>0</v>
      </c>
      <c r="L33" s="5" t="s">
        <v>17</v>
      </c>
      <c r="M33" s="269">
        <f>INDEX('Utility rates'!$I:$K,MATCH(M$4&amp;$Y33,'Utility rates'!$L:$L,0),MATCH(M$5,'Utility rates'!$I$5:$K$5,0))</f>
        <v>0</v>
      </c>
      <c r="N33" s="283" t="str">
        <f>INDEX('Utility rates'!$I:$K,MATCH(N$4&amp;$Y33,'Utility rates'!$L:$L,0),MATCH(N$5,'Utility rates'!$I$5:$K$5,0))</f>
        <v>Not applicable to this rate class.</v>
      </c>
      <c r="O33" s="25">
        <f>INDEX('Utility rates'!$I:$K,MATCH(O$4&amp;$Y33,'Utility rates'!$L:$L,0),MATCH(O$5,'Utility rates'!$I$5:$K$5,0))</f>
        <v>0</v>
      </c>
      <c r="P33" s="5" t="s">
        <v>17</v>
      </c>
      <c r="Q33" s="269">
        <f>INDEX('Utility rates'!$I:$K,MATCH(Q$4&amp;$Y33,'Utility rates'!$L:$L,0),MATCH(Q$5,'Utility rates'!$I$5:$K$5,0))</f>
        <v>4526027.9801893961</v>
      </c>
      <c r="R33" s="283" t="str">
        <f>INDEX('Utility rates'!$I:$K,MATCH(R$4&amp;$Y33,'Utility rates'!$L:$L,0),MATCH(R$5,'Utility rates'!$I$5:$K$5,0))</f>
        <v>Nov-Apr</v>
      </c>
      <c r="S33" s="25" t="str">
        <f>INDEX('Utility rates'!$I:$K,MATCH(S$4&amp;$Y33,'Utility rates'!$L:$L,0),MATCH(S$5,'Utility rates'!$I$5:$K$5,0))</f>
        <v>File name: ENN CalMo BillDetm (G-41  G-43) 201811-201910_20200225</v>
      </c>
      <c r="T33" s="5" t="s">
        <v>17</v>
      </c>
      <c r="U33" s="269">
        <f>INDEX('Utility rates'!$I:$K,MATCH(U$4&amp;$Y33,'Utility rates'!$L:$L,0),MATCH(U$5,'Utility rates'!$I$5:$K$5,0))</f>
        <v>0</v>
      </c>
      <c r="V33" s="283" t="str">
        <f>INDEX('Utility rates'!$I:$K,MATCH(V$4&amp;$Y33,'Utility rates'!$L:$L,0),MATCH(V$5,'Utility rates'!$I$5:$K$5,0))</f>
        <v>Not applicable to this rate class.</v>
      </c>
      <c r="W33" s="25">
        <f>INDEX('Utility rates'!$I:$K,MATCH(W$4&amp;$Y33,'Utility rates'!$L:$L,0),MATCH(W$5,'Utility rates'!$I$5:$K$5,0))</f>
        <v>0</v>
      </c>
      <c r="X33" s="206" t="s">
        <v>17</v>
      </c>
      <c r="Y33" s="333" t="str">
        <f>Lookups!$E$6&amp;$B$6&amp;$C$29&amp;$D$30&amp;E33&amp;F33</f>
        <v>LibertyRate Class DataRate Type DataWinterFirst Block Billing DeterminantsTherms</v>
      </c>
      <c r="Z33" s="16" t="s">
        <v>17</v>
      </c>
    </row>
    <row r="34" spans="1:30" s="59" customFormat="1" x14ac:dyDescent="0.25">
      <c r="B34" s="310"/>
      <c r="C34" s="207"/>
      <c r="D34" s="207"/>
      <c r="E34" s="108" t="s">
        <v>131</v>
      </c>
      <c r="F34" s="108" t="s">
        <v>195</v>
      </c>
      <c r="G34" s="436" t="s">
        <v>324</v>
      </c>
      <c r="H34" s="5" t="s">
        <v>17</v>
      </c>
      <c r="I34" s="269">
        <f>INDEX('Utility rates'!$I:$K,MATCH(I$4&amp;$Y34,'Utility rates'!$L:$L,0),MATCH(I$5,'Utility rates'!$I$5:$K$5,0))</f>
        <v>0</v>
      </c>
      <c r="J34" s="283" t="str">
        <f>INDEX('Utility rates'!$I:$K,MATCH(J$4&amp;$Y34,'Utility rates'!$L:$L,0),MATCH(J$5,'Utility rates'!$I$5:$K$5,0))</f>
        <v>Not applicable to this rate class.</v>
      </c>
      <c r="K34" s="25">
        <f>INDEX('Utility rates'!$I:$K,MATCH(K$4&amp;$Y34,'Utility rates'!$L:$L,0),MATCH(K$5,'Utility rates'!$I$5:$K$5,0))</f>
        <v>0</v>
      </c>
      <c r="L34" s="5" t="s">
        <v>17</v>
      </c>
      <c r="M34" s="269">
        <f>INDEX('Utility rates'!$I:$K,MATCH(M$4&amp;$Y34,'Utility rates'!$L:$L,0),MATCH(M$5,'Utility rates'!$I$5:$K$5,0))</f>
        <v>0</v>
      </c>
      <c r="N34" s="283" t="str">
        <f>INDEX('Utility rates'!$I:$K,MATCH(N$4&amp;$Y34,'Utility rates'!$L:$L,0),MATCH(N$5,'Utility rates'!$I$5:$K$5,0))</f>
        <v>Not applicable to this rate class.</v>
      </c>
      <c r="O34" s="25">
        <f>INDEX('Utility rates'!$I:$K,MATCH(O$4&amp;$Y34,'Utility rates'!$L:$L,0),MATCH(O$5,'Utility rates'!$I$5:$K$5,0))</f>
        <v>0</v>
      </c>
      <c r="P34" s="5" t="s">
        <v>17</v>
      </c>
      <c r="Q34" s="269">
        <f>INDEX('Utility rates'!$I:$K,MATCH(Q$4&amp;$Y34,'Utility rates'!$L:$L,0),MATCH(Q$5,'Utility rates'!$I$5:$K$5,0))</f>
        <v>16827597.86825702</v>
      </c>
      <c r="R34" s="283" t="str">
        <f>INDEX('Utility rates'!$I:$K,MATCH(R$4&amp;$Y34,'Utility rates'!$L:$L,0),MATCH(R$5,'Utility rates'!$I$5:$K$5,0))</f>
        <v>Nov-Apr</v>
      </c>
      <c r="S34" s="25" t="str">
        <f>INDEX('Utility rates'!$I:$K,MATCH(S$4&amp;$Y34,'Utility rates'!$L:$L,0),MATCH(S$5,'Utility rates'!$I$5:$K$5,0))</f>
        <v>File name: ENN CalMo BillDetm (G-41  G-43) 201811-201910_20200225</v>
      </c>
      <c r="T34" s="5" t="s">
        <v>17</v>
      </c>
      <c r="U34" s="269">
        <f>INDEX('Utility rates'!$I:$K,MATCH(U$4&amp;$Y34,'Utility rates'!$L:$L,0),MATCH(U$5,'Utility rates'!$I$5:$K$5,0))</f>
        <v>0</v>
      </c>
      <c r="V34" s="283" t="str">
        <f>INDEX('Utility rates'!$I:$K,MATCH(V$4&amp;$Y34,'Utility rates'!$L:$L,0),MATCH(V$5,'Utility rates'!$I$5:$K$5,0))</f>
        <v>Not applicable to this rate class.</v>
      </c>
      <c r="W34" s="25">
        <f>INDEX('Utility rates'!$I:$K,MATCH(W$4&amp;$Y34,'Utility rates'!$L:$L,0),MATCH(W$5,'Utility rates'!$I$5:$K$5,0))</f>
        <v>0</v>
      </c>
      <c r="X34" s="206" t="s">
        <v>17</v>
      </c>
      <c r="Y34" s="333" t="str">
        <f>Lookups!$E$6&amp;$B$6&amp;$C$29&amp;$D$30&amp;E34&amp;F34</f>
        <v>LibertyRate Class DataRate Type DataWinterSecond Block Billing DeterminantsTherms</v>
      </c>
      <c r="Z34" s="16" t="s">
        <v>17</v>
      </c>
    </row>
    <row r="35" spans="1:30" s="59" customFormat="1" x14ac:dyDescent="0.25">
      <c r="B35" s="310"/>
      <c r="C35" s="207"/>
      <c r="D35" s="207"/>
      <c r="E35" s="247" t="s">
        <v>132</v>
      </c>
      <c r="F35" s="247" t="s">
        <v>195</v>
      </c>
      <c r="G35" s="437" t="s">
        <v>325</v>
      </c>
      <c r="H35" s="5" t="s">
        <v>17</v>
      </c>
      <c r="I35" s="269">
        <f>INDEX('Utility rates'!$I:$K,MATCH(I$4&amp;$Y35,'Utility rates'!$L:$L,0),MATCH(I$5,'Utility rates'!$I$5:$K$5,0))</f>
        <v>0</v>
      </c>
      <c r="J35" s="283" t="str">
        <f>INDEX('Utility rates'!$I:$K,MATCH(J$4&amp;$Y35,'Utility rates'!$L:$L,0),MATCH(J$5,'Utility rates'!$I$5:$K$5,0))</f>
        <v>Not applicable to this rate class.</v>
      </c>
      <c r="K35" s="25">
        <f>INDEX('Utility rates'!$I:$K,MATCH(K$4&amp;$Y35,'Utility rates'!$L:$L,0),MATCH(K$5,'Utility rates'!$I$5:$K$5,0))</f>
        <v>0</v>
      </c>
      <c r="L35" s="5" t="s">
        <v>17</v>
      </c>
      <c r="M35" s="269">
        <f>INDEX('Utility rates'!$I:$K,MATCH(M$4&amp;$Y35,'Utility rates'!$L:$L,0),MATCH(M$5,'Utility rates'!$I$5:$K$5,0))</f>
        <v>0</v>
      </c>
      <c r="N35" s="283" t="str">
        <f>INDEX('Utility rates'!$I:$K,MATCH(N$4&amp;$Y35,'Utility rates'!$L:$L,0),MATCH(N$5,'Utility rates'!$I$5:$K$5,0))</f>
        <v>Not applicable to this rate class.</v>
      </c>
      <c r="O35" s="25">
        <f>INDEX('Utility rates'!$I:$K,MATCH(O$4&amp;$Y35,'Utility rates'!$L:$L,0),MATCH(O$5,'Utility rates'!$I$5:$K$5,0))</f>
        <v>0</v>
      </c>
      <c r="P35" s="5" t="s">
        <v>17</v>
      </c>
      <c r="Q35" s="269">
        <f>INDEX('Utility rates'!$I:$K,MATCH(Q$4&amp;$Y35,'Utility rates'!$L:$L,0),MATCH(Q$5,'Utility rates'!$I$5:$K$5,0))</f>
        <v>0</v>
      </c>
      <c r="R35" s="283">
        <f>INDEX('Utility rates'!$I:$K,MATCH(R$4&amp;$Y35,'Utility rates'!$L:$L,0),MATCH(R$5,'Utility rates'!$I$5:$K$5,0))</f>
        <v>0</v>
      </c>
      <c r="S35" s="25">
        <f>INDEX('Utility rates'!$I:$K,MATCH(S$4&amp;$Y35,'Utility rates'!$L:$L,0),MATCH(S$5,'Utility rates'!$I$5:$K$5,0))</f>
        <v>0</v>
      </c>
      <c r="T35" s="5" t="s">
        <v>17</v>
      </c>
      <c r="U35" s="269">
        <f>INDEX('Utility rates'!$I:$K,MATCH(U$4&amp;$Y35,'Utility rates'!$L:$L,0),MATCH(U$5,'Utility rates'!$I$5:$K$5,0))</f>
        <v>0</v>
      </c>
      <c r="V35" s="283" t="str">
        <f>INDEX('Utility rates'!$I:$K,MATCH(V$4&amp;$Y35,'Utility rates'!$L:$L,0),MATCH(V$5,'Utility rates'!$I$5:$K$5,0))</f>
        <v>Not applicable to this rate class.</v>
      </c>
      <c r="W35" s="25">
        <f>INDEX('Utility rates'!$I:$K,MATCH(W$4&amp;$Y35,'Utility rates'!$L:$L,0),MATCH(W$5,'Utility rates'!$I$5:$K$5,0))</f>
        <v>0</v>
      </c>
      <c r="X35" s="206" t="s">
        <v>17</v>
      </c>
      <c r="Y35" s="333" t="str">
        <f>Lookups!$E$6&amp;$B$6&amp;$C$29&amp;$D$30&amp;E35&amp;F35</f>
        <v>LibertyRate Class DataRate Type DataWinterRemaining Billing DeterminantsTherms</v>
      </c>
      <c r="Z35" s="16" t="s">
        <v>17</v>
      </c>
    </row>
    <row r="36" spans="1:30" s="47" customFormat="1" x14ac:dyDescent="0.25">
      <c r="B36" s="305"/>
      <c r="C36" s="207"/>
      <c r="D36" s="651" t="s">
        <v>306</v>
      </c>
      <c r="E36" s="664"/>
      <c r="F36" s="600"/>
      <c r="G36" s="652"/>
      <c r="H36"/>
      <c r="I36" s="653"/>
      <c r="J36" s="596"/>
      <c r="K36" s="597"/>
      <c r="L36"/>
      <c r="M36" s="653"/>
      <c r="N36" s="596"/>
      <c r="O36" s="597"/>
      <c r="P36"/>
      <c r="Q36" s="653"/>
      <c r="R36" s="596"/>
      <c r="S36" s="597"/>
      <c r="T36"/>
      <c r="U36" s="653"/>
      <c r="V36" s="596"/>
      <c r="W36" s="597"/>
      <c r="X36" s="654"/>
      <c r="Y36" s="104"/>
      <c r="Z36" s="16" t="s">
        <v>17</v>
      </c>
      <c r="AA36" s="5"/>
      <c r="AB36" s="5"/>
      <c r="AC36" s="30"/>
      <c r="AD36" s="655"/>
    </row>
    <row r="37" spans="1:30" s="59" customFormat="1" x14ac:dyDescent="0.25">
      <c r="B37" s="310"/>
      <c r="C37" s="207"/>
      <c r="D37" s="207"/>
      <c r="E37" s="108" t="s">
        <v>50</v>
      </c>
      <c r="F37" s="108" t="s">
        <v>195</v>
      </c>
      <c r="G37" s="436" t="s">
        <v>211</v>
      </c>
      <c r="H37" s="5" t="s">
        <v>17</v>
      </c>
      <c r="I37" s="269">
        <f>INDEX('Utility rates'!$I:$K,MATCH(I$4&amp;$Y37,'Utility rates'!$L:$L,0),MATCH(I$5,'Utility rates'!$I$5:$K$5,0))</f>
        <v>0</v>
      </c>
      <c r="J37" s="283" t="str">
        <f>INDEX('Utility rates'!$I:$K,MATCH(J$4&amp;$Y37,'Utility rates'!$L:$L,0),MATCH(J$5,'Utility rates'!$I$5:$K$5,0))</f>
        <v>Not applicable to this rate class.</v>
      </c>
      <c r="K37" s="25">
        <f>INDEX('Utility rates'!$I:$K,MATCH(K$4&amp;$Y37,'Utility rates'!$L:$L,0),MATCH(K$5,'Utility rates'!$I$5:$K$5,0))</f>
        <v>0</v>
      </c>
      <c r="L37" s="5" t="s">
        <v>17</v>
      </c>
      <c r="M37" s="269">
        <f>INDEX('Utility rates'!$I:$K,MATCH(M$4&amp;$Y37,'Utility rates'!$L:$L,0),MATCH(M$5,'Utility rates'!$I$5:$K$5,0))</f>
        <v>0</v>
      </c>
      <c r="N37" s="283" t="str">
        <f>INDEX('Utility rates'!$I:$K,MATCH(N$4&amp;$Y37,'Utility rates'!$L:$L,0),MATCH(N$5,'Utility rates'!$I$5:$K$5,0))</f>
        <v>Not applicable to this rate class.</v>
      </c>
      <c r="O37" s="25">
        <f>INDEX('Utility rates'!$I:$K,MATCH(O$4&amp;$Y37,'Utility rates'!$L:$L,0),MATCH(O$5,'Utility rates'!$I$5:$K$5,0))</f>
        <v>0</v>
      </c>
      <c r="P37" s="5" t="s">
        <v>17</v>
      </c>
      <c r="Q37" s="269">
        <f>INDEX('Utility rates'!$I:$K,MATCH(Q$4&amp;$Y37,'Utility rates'!$L:$L,0),MATCH(Q$5,'Utility rates'!$I$5:$K$5,0))</f>
        <v>20</v>
      </c>
      <c r="R37" s="283" t="str">
        <f>INDEX('Utility rates'!$I:$K,MATCH(R$4&amp;$Y37,'Utility rates'!$L:$L,0),MATCH(R$5,'Utility rates'!$I$5:$K$5,0))</f>
        <v>Monthly Headblock Threshold</v>
      </c>
      <c r="S37" s="25" t="str">
        <f>INDEX('Utility rates'!$I:$K,MATCH(S$4&amp;$Y37,'Utility rates'!$L:$L,0),MATCH(S$5,'Utility rates'!$I$5:$K$5,0))</f>
        <v>File name: LU - Rate Schedules - Gas COG filing</v>
      </c>
      <c r="T37" s="5" t="s">
        <v>17</v>
      </c>
      <c r="U37" s="269">
        <f>INDEX('Utility rates'!$I:$K,MATCH(U$4&amp;$Y37,'Utility rates'!$L:$L,0),MATCH(U$5,'Utility rates'!$I$5:$K$5,0))</f>
        <v>0</v>
      </c>
      <c r="V37" s="283" t="str">
        <f>INDEX('Utility rates'!$I:$K,MATCH(V$4&amp;$Y37,'Utility rates'!$L:$L,0),MATCH(V$5,'Utility rates'!$I$5:$K$5,0))</f>
        <v>Not applicable to this rate class.</v>
      </c>
      <c r="W37" s="25">
        <f>INDEX('Utility rates'!$I:$K,MATCH(W$4&amp;$Y37,'Utility rates'!$L:$L,0),MATCH(W$5,'Utility rates'!$I$5:$K$5,0))</f>
        <v>0</v>
      </c>
      <c r="X37" s="206" t="s">
        <v>17</v>
      </c>
      <c r="Y37" s="333" t="str">
        <f>Lookups!$E$6&amp;$B$6&amp;$C$29&amp;$D$36&amp;E37&amp;F37</f>
        <v>LibertyRate Class DataRate Type DataSummerFirst Block MaximumTherms</v>
      </c>
      <c r="Z37" s="16" t="s">
        <v>17</v>
      </c>
    </row>
    <row r="38" spans="1:30" s="59" customFormat="1" x14ac:dyDescent="0.25">
      <c r="B38" s="310"/>
      <c r="C38" s="207"/>
      <c r="D38" s="207"/>
      <c r="E38" s="247" t="s">
        <v>49</v>
      </c>
      <c r="F38" s="247" t="s">
        <v>195</v>
      </c>
      <c r="G38" s="437" t="s">
        <v>212</v>
      </c>
      <c r="H38" s="5" t="s">
        <v>17</v>
      </c>
      <c r="I38" s="269">
        <f>INDEX('Utility rates'!$I:$K,MATCH(I$4&amp;$Y38,'Utility rates'!$L:$L,0),MATCH(I$5,'Utility rates'!$I$5:$K$5,0))</f>
        <v>0</v>
      </c>
      <c r="J38" s="283" t="str">
        <f>INDEX('Utility rates'!$I:$K,MATCH(J$4&amp;$Y38,'Utility rates'!$L:$L,0),MATCH(J$5,'Utility rates'!$I$5:$K$5,0))</f>
        <v>Not applicable to this rate class.</v>
      </c>
      <c r="K38" s="25">
        <f>INDEX('Utility rates'!$I:$K,MATCH(K$4&amp;$Y38,'Utility rates'!$L:$L,0),MATCH(K$5,'Utility rates'!$I$5:$K$5,0))</f>
        <v>0</v>
      </c>
      <c r="L38" s="5" t="s">
        <v>17</v>
      </c>
      <c r="M38" s="269">
        <f>INDEX('Utility rates'!$I:$K,MATCH(M$4&amp;$Y38,'Utility rates'!$L:$L,0),MATCH(M$5,'Utility rates'!$I$5:$K$5,0))</f>
        <v>0</v>
      </c>
      <c r="N38" s="283" t="str">
        <f>INDEX('Utility rates'!$I:$K,MATCH(N$4&amp;$Y38,'Utility rates'!$L:$L,0),MATCH(N$5,'Utility rates'!$I$5:$K$5,0))</f>
        <v>Not applicable to this rate class.</v>
      </c>
      <c r="O38" s="25">
        <f>INDEX('Utility rates'!$I:$K,MATCH(O$4&amp;$Y38,'Utility rates'!$L:$L,0),MATCH(O$5,'Utility rates'!$I$5:$K$5,0))</f>
        <v>0</v>
      </c>
      <c r="P38" s="5" t="s">
        <v>17</v>
      </c>
      <c r="Q38" s="269">
        <f>INDEX('Utility rates'!$I:$K,MATCH(Q$4&amp;$Y38,'Utility rates'!$L:$L,0),MATCH(Q$5,'Utility rates'!$I$5:$K$5,0))</f>
        <v>0</v>
      </c>
      <c r="R38" s="283" t="str">
        <f>INDEX('Utility rates'!$I:$K,MATCH(R$4&amp;$Y38,'Utility rates'!$L:$L,0),MATCH(R$5,'Utility rates'!$I$5:$K$5,0))</f>
        <v>Not applicable to this rate class.</v>
      </c>
      <c r="S38" s="25">
        <f>INDEX('Utility rates'!$I:$K,MATCH(S$4&amp;$Y38,'Utility rates'!$L:$L,0),MATCH(S$5,'Utility rates'!$I$5:$K$5,0))</f>
        <v>0</v>
      </c>
      <c r="T38" s="5" t="s">
        <v>17</v>
      </c>
      <c r="U38" s="269">
        <f>INDEX('Utility rates'!$I:$K,MATCH(U$4&amp;$Y38,'Utility rates'!$L:$L,0),MATCH(U$5,'Utility rates'!$I$5:$K$5,0))</f>
        <v>0</v>
      </c>
      <c r="V38" s="283" t="str">
        <f>INDEX('Utility rates'!$I:$K,MATCH(V$4&amp;$Y38,'Utility rates'!$L:$L,0),MATCH(V$5,'Utility rates'!$I$5:$K$5,0))</f>
        <v>Not applicable to this rate class.</v>
      </c>
      <c r="W38" s="25">
        <f>INDEX('Utility rates'!$I:$K,MATCH(W$4&amp;$Y38,'Utility rates'!$L:$L,0),MATCH(W$5,'Utility rates'!$I$5:$K$5,0))</f>
        <v>0</v>
      </c>
      <c r="X38" s="206" t="s">
        <v>17</v>
      </c>
      <c r="Y38" s="333" t="str">
        <f>Lookups!$E$6&amp;$B$6&amp;$C$29&amp;$D$36&amp;E38&amp;F38</f>
        <v>LibertyRate Class DataRate Type DataSummerSecond Block MaximumTherms</v>
      </c>
      <c r="Z38" s="16" t="s">
        <v>17</v>
      </c>
    </row>
    <row r="39" spans="1:30" s="11" customFormat="1" x14ac:dyDescent="0.25">
      <c r="B39" s="309"/>
      <c r="C39" s="207"/>
      <c r="D39" s="207"/>
      <c r="E39" s="108" t="s">
        <v>130</v>
      </c>
      <c r="F39" s="108" t="s">
        <v>195</v>
      </c>
      <c r="G39" s="436" t="s">
        <v>326</v>
      </c>
      <c r="H39" s="5" t="s">
        <v>17</v>
      </c>
      <c r="I39" s="269">
        <f>INDEX('Utility rates'!$I:$K,MATCH(I$4&amp;$Y39,'Utility rates'!$L:$L,0),MATCH(I$5,'Utility rates'!$I$5:$K$5,0))</f>
        <v>0</v>
      </c>
      <c r="J39" s="283" t="str">
        <f>INDEX('Utility rates'!$I:$K,MATCH(J$4&amp;$Y39,'Utility rates'!$L:$L,0),MATCH(J$5,'Utility rates'!$I$5:$K$5,0))</f>
        <v>Not applicable to this rate class.</v>
      </c>
      <c r="K39" s="25">
        <f>INDEX('Utility rates'!$I:$K,MATCH(K$4&amp;$Y39,'Utility rates'!$L:$L,0),MATCH(K$5,'Utility rates'!$I$5:$K$5,0))</f>
        <v>0</v>
      </c>
      <c r="L39" s="5" t="s">
        <v>17</v>
      </c>
      <c r="M39" s="269">
        <f>INDEX('Utility rates'!$I:$K,MATCH(M$4&amp;$Y39,'Utility rates'!$L:$L,0),MATCH(M$5,'Utility rates'!$I$5:$K$5,0))</f>
        <v>0</v>
      </c>
      <c r="N39" s="283" t="str">
        <f>INDEX('Utility rates'!$I:$K,MATCH(N$4&amp;$Y39,'Utility rates'!$L:$L,0),MATCH(N$5,'Utility rates'!$I$5:$K$5,0))</f>
        <v>Not applicable to this rate class.</v>
      </c>
      <c r="O39" s="25">
        <f>INDEX('Utility rates'!$I:$K,MATCH(O$4&amp;$Y39,'Utility rates'!$L:$L,0),MATCH(O$5,'Utility rates'!$I$5:$K$5,0))</f>
        <v>0</v>
      </c>
      <c r="P39" s="5" t="s">
        <v>17</v>
      </c>
      <c r="Q39" s="269">
        <f>INDEX('Utility rates'!$I:$K,MATCH(Q$4&amp;$Y39,'Utility rates'!$L:$L,0),MATCH(Q$5,'Utility rates'!$I$5:$K$5,0))</f>
        <v>678411.7538526234</v>
      </c>
      <c r="R39" s="283" t="str">
        <f>INDEX('Utility rates'!$I:$K,MATCH(R$4&amp;$Y39,'Utility rates'!$L:$L,0),MATCH(R$5,'Utility rates'!$I$5:$K$5,0))</f>
        <v>Oct-May</v>
      </c>
      <c r="S39" s="25" t="str">
        <f>INDEX('Utility rates'!$I:$K,MATCH(S$4&amp;$Y39,'Utility rates'!$L:$L,0),MATCH(S$5,'Utility rates'!$I$5:$K$5,0))</f>
        <v>File name: ENN CalMo BillDetm (G-41  G-43) 201811-201910_20200225</v>
      </c>
      <c r="T39" s="5" t="s">
        <v>17</v>
      </c>
      <c r="U39" s="269">
        <f>INDEX('Utility rates'!$I:$K,MATCH(U$4&amp;$Y39,'Utility rates'!$L:$L,0),MATCH(U$5,'Utility rates'!$I$5:$K$5,0))</f>
        <v>0</v>
      </c>
      <c r="V39" s="283" t="str">
        <f>INDEX('Utility rates'!$I:$K,MATCH(V$4&amp;$Y39,'Utility rates'!$L:$L,0),MATCH(V$5,'Utility rates'!$I$5:$K$5,0))</f>
        <v>Not applicable to this rate class.</v>
      </c>
      <c r="W39" s="25">
        <f>INDEX('Utility rates'!$I:$K,MATCH(W$4&amp;$Y39,'Utility rates'!$L:$L,0),MATCH(W$5,'Utility rates'!$I$5:$K$5,0))</f>
        <v>0</v>
      </c>
      <c r="X39" s="206" t="s">
        <v>17</v>
      </c>
      <c r="Y39" s="333" t="str">
        <f>Lookups!$E$6&amp;$B$6&amp;$C$29&amp;$D$36&amp;E39&amp;F39</f>
        <v>LibertyRate Class DataRate Type DataSummerFirst Block Billing DeterminantsTherms</v>
      </c>
      <c r="Z39" s="16" t="s">
        <v>17</v>
      </c>
    </row>
    <row r="40" spans="1:30" s="59" customFormat="1" x14ac:dyDescent="0.25">
      <c r="B40" s="310"/>
      <c r="C40" s="207"/>
      <c r="D40" s="207"/>
      <c r="E40" s="108" t="s">
        <v>131</v>
      </c>
      <c r="F40" s="108" t="s">
        <v>195</v>
      </c>
      <c r="G40" s="436" t="s">
        <v>327</v>
      </c>
      <c r="H40" s="5" t="s">
        <v>17</v>
      </c>
      <c r="I40" s="269">
        <f>INDEX('Utility rates'!$I:$K,MATCH(I$4&amp;$Y40,'Utility rates'!$L:$L,0),MATCH(I$5,'Utility rates'!$I$5:$K$5,0))</f>
        <v>0</v>
      </c>
      <c r="J40" s="283" t="str">
        <f>INDEX('Utility rates'!$I:$K,MATCH(J$4&amp;$Y40,'Utility rates'!$L:$L,0),MATCH(J$5,'Utility rates'!$I$5:$K$5,0))</f>
        <v>Not applicable to this rate class.</v>
      </c>
      <c r="K40" s="25">
        <f>INDEX('Utility rates'!$I:$K,MATCH(K$4&amp;$Y40,'Utility rates'!$L:$L,0),MATCH(K$5,'Utility rates'!$I$5:$K$5,0))</f>
        <v>0</v>
      </c>
      <c r="L40" s="5" t="s">
        <v>17</v>
      </c>
      <c r="M40" s="269">
        <f>INDEX('Utility rates'!$I:$K,MATCH(M$4&amp;$Y40,'Utility rates'!$L:$L,0),MATCH(M$5,'Utility rates'!$I$5:$K$5,0))</f>
        <v>0</v>
      </c>
      <c r="N40" s="283" t="str">
        <f>INDEX('Utility rates'!$I:$K,MATCH(N$4&amp;$Y40,'Utility rates'!$L:$L,0),MATCH(N$5,'Utility rates'!$I$5:$K$5,0))</f>
        <v>Not applicable to this rate class.</v>
      </c>
      <c r="O40" s="25">
        <f>INDEX('Utility rates'!$I:$K,MATCH(O$4&amp;$Y40,'Utility rates'!$L:$L,0),MATCH(O$5,'Utility rates'!$I$5:$K$5,0))</f>
        <v>0</v>
      </c>
      <c r="P40" s="5" t="s">
        <v>17</v>
      </c>
      <c r="Q40" s="269">
        <f>INDEX('Utility rates'!$I:$K,MATCH(Q$4&amp;$Y40,'Utility rates'!$L:$L,0),MATCH(Q$5,'Utility rates'!$I$5:$K$5,0))</f>
        <v>2440489.8402010379</v>
      </c>
      <c r="R40" s="283" t="str">
        <f>INDEX('Utility rates'!$I:$K,MATCH(R$4&amp;$Y40,'Utility rates'!$L:$L,0),MATCH(R$5,'Utility rates'!$I$5:$K$5,0))</f>
        <v>Oct-May</v>
      </c>
      <c r="S40" s="25" t="str">
        <f>INDEX('Utility rates'!$I:$K,MATCH(S$4&amp;$Y40,'Utility rates'!$L:$L,0),MATCH(S$5,'Utility rates'!$I$5:$K$5,0))</f>
        <v>File name: ENN CalMo BillDetm (G-41  G-43) 201811-201910_20200225</v>
      </c>
      <c r="T40" s="5" t="s">
        <v>17</v>
      </c>
      <c r="U40" s="269">
        <f>INDEX('Utility rates'!$I:$K,MATCH(U$4&amp;$Y40,'Utility rates'!$L:$L,0),MATCH(U$5,'Utility rates'!$I$5:$K$5,0))</f>
        <v>0</v>
      </c>
      <c r="V40" s="283" t="str">
        <f>INDEX('Utility rates'!$I:$K,MATCH(V$4&amp;$Y40,'Utility rates'!$L:$L,0),MATCH(V$5,'Utility rates'!$I$5:$K$5,0))</f>
        <v>Not applicable to this rate class.</v>
      </c>
      <c r="W40" s="25">
        <f>INDEX('Utility rates'!$I:$K,MATCH(W$4&amp;$Y40,'Utility rates'!$L:$L,0),MATCH(W$5,'Utility rates'!$I$5:$K$5,0))</f>
        <v>0</v>
      </c>
      <c r="X40" s="206" t="s">
        <v>17</v>
      </c>
      <c r="Y40" s="333" t="str">
        <f>Lookups!$E$6&amp;$B$6&amp;$C$29&amp;$D$36&amp;E40&amp;F40</f>
        <v>LibertyRate Class DataRate Type DataSummerSecond Block Billing DeterminantsTherms</v>
      </c>
      <c r="Z40" s="16" t="s">
        <v>17</v>
      </c>
    </row>
    <row r="41" spans="1:30" s="59" customFormat="1" x14ac:dyDescent="0.25">
      <c r="B41" s="310"/>
      <c r="C41" s="207"/>
      <c r="D41" s="207"/>
      <c r="E41" s="247" t="s">
        <v>132</v>
      </c>
      <c r="F41" s="247" t="s">
        <v>195</v>
      </c>
      <c r="G41" s="437" t="s">
        <v>328</v>
      </c>
      <c r="H41" s="5" t="s">
        <v>17</v>
      </c>
      <c r="I41" s="269">
        <f>INDEX('Utility rates'!$I:$K,MATCH(I$4&amp;$Y41,'Utility rates'!$L:$L,0),MATCH(I$5,'Utility rates'!$I$5:$K$5,0))</f>
        <v>0</v>
      </c>
      <c r="J41" s="283" t="str">
        <f>INDEX('Utility rates'!$I:$K,MATCH(J$4&amp;$Y41,'Utility rates'!$L:$L,0),MATCH(J$5,'Utility rates'!$I$5:$K$5,0))</f>
        <v>Not applicable to this rate class.</v>
      </c>
      <c r="K41" s="25">
        <f>INDEX('Utility rates'!$I:$K,MATCH(K$4&amp;$Y41,'Utility rates'!$L:$L,0),MATCH(K$5,'Utility rates'!$I$5:$K$5,0))</f>
        <v>0</v>
      </c>
      <c r="L41" s="5" t="s">
        <v>17</v>
      </c>
      <c r="M41" s="269">
        <f>INDEX('Utility rates'!$I:$K,MATCH(M$4&amp;$Y41,'Utility rates'!$L:$L,0),MATCH(M$5,'Utility rates'!$I$5:$K$5,0))</f>
        <v>0</v>
      </c>
      <c r="N41" s="283" t="str">
        <f>INDEX('Utility rates'!$I:$K,MATCH(N$4&amp;$Y41,'Utility rates'!$L:$L,0),MATCH(N$5,'Utility rates'!$I$5:$K$5,0))</f>
        <v>Not applicable to this rate class.</v>
      </c>
      <c r="O41" s="25">
        <f>INDEX('Utility rates'!$I:$K,MATCH(O$4&amp;$Y41,'Utility rates'!$L:$L,0),MATCH(O$5,'Utility rates'!$I$5:$K$5,0))</f>
        <v>0</v>
      </c>
      <c r="P41" s="5" t="s">
        <v>17</v>
      </c>
      <c r="Q41" s="269">
        <f>INDEX('Utility rates'!$I:$K,MATCH(Q$4&amp;$Y41,'Utility rates'!$L:$L,0),MATCH(Q$5,'Utility rates'!$I$5:$K$5,0))</f>
        <v>0</v>
      </c>
      <c r="R41" s="283" t="str">
        <f>INDEX('Utility rates'!$I:$K,MATCH(R$4&amp;$Y41,'Utility rates'!$L:$L,0),MATCH(R$5,'Utility rates'!$I$5:$K$5,0))</f>
        <v>Not applicable to this rate class.</v>
      </c>
      <c r="S41" s="25">
        <f>INDEX('Utility rates'!$I:$K,MATCH(S$4&amp;$Y41,'Utility rates'!$L:$L,0),MATCH(S$5,'Utility rates'!$I$5:$K$5,0))</f>
        <v>0</v>
      </c>
      <c r="T41" s="5" t="s">
        <v>17</v>
      </c>
      <c r="U41" s="269">
        <f>INDEX('Utility rates'!$I:$K,MATCH(U$4&amp;$Y41,'Utility rates'!$L:$L,0),MATCH(U$5,'Utility rates'!$I$5:$K$5,0))</f>
        <v>0</v>
      </c>
      <c r="V41" s="283" t="str">
        <f>INDEX('Utility rates'!$I:$K,MATCH(V$4&amp;$Y41,'Utility rates'!$L:$L,0),MATCH(V$5,'Utility rates'!$I$5:$K$5,0))</f>
        <v>Not applicable to this rate class.</v>
      </c>
      <c r="W41" s="25">
        <f>INDEX('Utility rates'!$I:$K,MATCH(W$4&amp;$Y41,'Utility rates'!$L:$L,0),MATCH(W$5,'Utility rates'!$I$5:$K$5,0))</f>
        <v>0</v>
      </c>
      <c r="X41" s="206" t="s">
        <v>17</v>
      </c>
      <c r="Y41" s="333" t="str">
        <f>Lookups!$E$6&amp;$B$6&amp;$C$29&amp;$D$36&amp;E41&amp;F41</f>
        <v>LibertyRate Class DataRate Type DataSummerRemaining Billing DeterminantsTherms</v>
      </c>
      <c r="Z41" s="16" t="s">
        <v>17</v>
      </c>
    </row>
    <row r="42" spans="1:30" x14ac:dyDescent="0.25">
      <c r="B42" s="308"/>
      <c r="G42" s="110"/>
      <c r="I42" s="295"/>
      <c r="K42" s="213"/>
      <c r="M42" s="295"/>
      <c r="O42" s="213"/>
      <c r="Q42" s="295"/>
      <c r="S42" s="213"/>
      <c r="U42" s="295"/>
      <c r="W42" s="213"/>
      <c r="X42" s="206" t="s">
        <v>17</v>
      </c>
      <c r="Z42" s="16" t="s">
        <v>17</v>
      </c>
    </row>
    <row r="43" spans="1:30" ht="24" thickBot="1" x14ac:dyDescent="0.3">
      <c r="B43" s="304" t="s">
        <v>46</v>
      </c>
      <c r="C43" s="256"/>
      <c r="D43" s="277"/>
      <c r="E43" s="271"/>
      <c r="F43" s="271"/>
      <c r="G43" s="438"/>
      <c r="H43" s="5" t="s">
        <v>17</v>
      </c>
      <c r="I43" s="296"/>
      <c r="J43" s="273"/>
      <c r="K43" s="297"/>
      <c r="L43" s="5" t="s">
        <v>17</v>
      </c>
      <c r="M43" s="296"/>
      <c r="N43" s="273"/>
      <c r="O43" s="297"/>
      <c r="P43" s="5" t="s">
        <v>17</v>
      </c>
      <c r="Q43" s="296"/>
      <c r="R43" s="273"/>
      <c r="S43" s="297"/>
      <c r="T43" s="5" t="s">
        <v>17</v>
      </c>
      <c r="U43" s="296"/>
      <c r="V43" s="273"/>
      <c r="W43" s="297"/>
      <c r="X43" s="206" t="s">
        <v>17</v>
      </c>
      <c r="Z43" s="16" t="s">
        <v>17</v>
      </c>
    </row>
    <row r="44" spans="1:30" s="47" customFormat="1" ht="16.5" thickTop="1" x14ac:dyDescent="0.25">
      <c r="B44" s="305"/>
      <c r="C44" s="250" t="s">
        <v>33</v>
      </c>
      <c r="D44" s="250"/>
      <c r="E44" s="248"/>
      <c r="F44" s="248"/>
      <c r="G44" s="249"/>
      <c r="H44" s="5" t="s">
        <v>17</v>
      </c>
      <c r="I44" s="291"/>
      <c r="J44" s="315"/>
      <c r="K44" s="316"/>
      <c r="L44" s="5" t="s">
        <v>17</v>
      </c>
      <c r="M44" s="291"/>
      <c r="N44" s="315"/>
      <c r="O44" s="316"/>
      <c r="P44" s="5" t="s">
        <v>17</v>
      </c>
      <c r="Q44" s="291"/>
      <c r="R44" s="315"/>
      <c r="S44" s="316"/>
      <c r="T44" s="5" t="s">
        <v>17</v>
      </c>
      <c r="U44" s="291"/>
      <c r="V44" s="315"/>
      <c r="W44" s="316"/>
      <c r="X44" s="206" t="s">
        <v>17</v>
      </c>
      <c r="Y44" s="104"/>
      <c r="Z44" s="16" t="s">
        <v>17</v>
      </c>
      <c r="AA44" s="5"/>
      <c r="AB44" s="5"/>
    </row>
    <row r="45" spans="1:30" s="107" customFormat="1" x14ac:dyDescent="0.25">
      <c r="B45" s="311"/>
      <c r="C45" s="318"/>
      <c r="D45" s="207"/>
      <c r="E45" s="108" t="s">
        <v>75</v>
      </c>
      <c r="F45" s="108" t="s">
        <v>31</v>
      </c>
      <c r="G45" s="436" t="s">
        <v>346</v>
      </c>
      <c r="H45" s="5" t="s">
        <v>17</v>
      </c>
      <c r="I45" s="268">
        <f>INDEX('Utility rates'!$I:$K,MATCH(I$4&amp;$Y45,'Utility rates'!$L:$L,0),MATCH(I$5,'Utility rates'!$I$5:$K$5,0))</f>
        <v>15.2</v>
      </c>
      <c r="J45" s="285">
        <f>INDEX('Utility rates'!$I:$K,MATCH(J$4&amp;$Y45,'Utility rates'!$L:$L,0),MATCH(J$5,'Utility rates'!$I$5:$K$5,0))</f>
        <v>0</v>
      </c>
      <c r="K45" s="24" t="str">
        <f>INDEX('Utility rates'!$I:$K,MATCH(K$4&amp;$Y45,'Utility rates'!$L:$L,0),MATCH(K$5,'Utility rates'!$I$5:$K$5,0))</f>
        <v>File name: LU - Rates 2019-10 Summary of Rates for Gas Service</v>
      </c>
      <c r="L45" s="5" t="s">
        <v>17</v>
      </c>
      <c r="M45" s="268">
        <f>INDEX('Utility rates'!$I:$K,MATCH(M$4&amp;$Y45,'Utility rates'!$L:$L,0),MATCH(M$5,'Utility rates'!$I$5:$K$5,0))</f>
        <v>6.08</v>
      </c>
      <c r="N45" s="285">
        <f>INDEX('Utility rates'!$I:$K,MATCH(N$4&amp;$Y45,'Utility rates'!$L:$L,0),MATCH(N$5,'Utility rates'!$I$5:$K$5,0))</f>
        <v>0</v>
      </c>
      <c r="O45" s="24" t="str">
        <f>INDEX('Utility rates'!$I:$K,MATCH(O$4&amp;$Y45,'Utility rates'!$L:$L,0),MATCH(O$5,'Utility rates'!$I$5:$K$5,0))</f>
        <v>File name: LU - Rates 2019-10 Summary of Rates for Gas Service</v>
      </c>
      <c r="P45" s="5" t="s">
        <v>17</v>
      </c>
      <c r="Q45" s="268">
        <f>INDEX('Utility rates'!$I:$K,MATCH(Q$4&amp;$Y45,'Utility rates'!$L:$L,0),MATCH(Q$5,'Utility rates'!$I$5:$K$5,0))</f>
        <v>56.36</v>
      </c>
      <c r="R45" s="285">
        <f>INDEX('Utility rates'!$I:$K,MATCH(R$4&amp;$Y45,'Utility rates'!$L:$L,0),MATCH(R$5,'Utility rates'!$I$5:$K$5,0))</f>
        <v>0</v>
      </c>
      <c r="S45" s="24" t="str">
        <f>INDEX('Utility rates'!$I:$K,MATCH(S$4&amp;$Y45,'Utility rates'!$L:$L,0),MATCH(S$5,'Utility rates'!$I$5:$K$5,0))</f>
        <v>File name: LU - Rates 2019-10 Summary of Rates for Gas Service</v>
      </c>
      <c r="T45" s="5" t="s">
        <v>17</v>
      </c>
      <c r="U45" s="268">
        <f>INDEX('Utility rates'!$I:$K,MATCH(U$4&amp;$Y45,'Utility rates'!$L:$L,0),MATCH(U$5,'Utility rates'!$I$5:$K$5,0))</f>
        <v>725.66</v>
      </c>
      <c r="V45" s="285">
        <f>INDEX('Utility rates'!$I:$K,MATCH(V$4&amp;$Y45,'Utility rates'!$L:$L,0),MATCH(V$5,'Utility rates'!$I$5:$K$5,0))</f>
        <v>0</v>
      </c>
      <c r="W45" s="24" t="str">
        <f>INDEX('Utility rates'!$I:$K,MATCH(W$4&amp;$Y45,'Utility rates'!$L:$L,0),MATCH(W$5,'Utility rates'!$I$5:$K$5,0))</f>
        <v>File name: LU - Rates 2019-10 Summary of Rates for Gas Service</v>
      </c>
      <c r="X45" s="206" t="s">
        <v>17</v>
      </c>
      <c r="Y45" s="104" t="str">
        <f>Lookups!$E$6&amp;$B$43&amp;$C$44&amp;E45&amp;F45</f>
        <v>LibertyCurrent RatesCustomer or Meter ChargeCustomer Charge$/month</v>
      </c>
      <c r="Z45" s="16" t="s">
        <v>17</v>
      </c>
    </row>
    <row r="46" spans="1:30" s="60" customFormat="1" x14ac:dyDescent="0.25">
      <c r="A46" s="47"/>
      <c r="B46" s="312" t="s">
        <v>17</v>
      </c>
      <c r="C46" s="318"/>
      <c r="D46" s="144"/>
      <c r="E46" s="145" t="s">
        <v>61</v>
      </c>
      <c r="F46" s="145" t="s">
        <v>16</v>
      </c>
      <c r="G46" s="434" t="s">
        <v>152</v>
      </c>
      <c r="H46" s="5" t="s">
        <v>17</v>
      </c>
      <c r="I46" s="267">
        <f>INDEX('Utility rates'!$I:$K,MATCH(I$4&amp;$Y46,'Utility rates'!$L:$L,0),MATCH(I$5,'Utility rates'!$I$5:$K$5,0))</f>
        <v>0</v>
      </c>
      <c r="J46" s="282" t="str">
        <f>INDEX('Utility rates'!$I:$K,MATCH(J$4&amp;$Y46,'Utility rates'!$L:$L,0),MATCH(J$5,'Utility rates'!$I$5:$K$5,0))</f>
        <v>User-defined</v>
      </c>
      <c r="K46" s="26">
        <f>INDEX('Utility rates'!$I:$K,MATCH(K$4&amp;$Y46,'Utility rates'!$L:$L,0),MATCH(K$5,'Utility rates'!$I$5:$K$5,0))</f>
        <v>0</v>
      </c>
      <c r="L46" s="5" t="s">
        <v>17</v>
      </c>
      <c r="M46" s="267">
        <f>INDEX('Utility rates'!$I:$K,MATCH(M$4&amp;$Y46,'Utility rates'!$L:$L,0),MATCH(M$5,'Utility rates'!$I$5:$K$5,0))</f>
        <v>0</v>
      </c>
      <c r="N46" s="282" t="str">
        <f>INDEX('Utility rates'!$I:$K,MATCH(N$4&amp;$Y46,'Utility rates'!$L:$L,0),MATCH(N$5,'Utility rates'!$I$5:$K$5,0))</f>
        <v>User-defined</v>
      </c>
      <c r="O46" s="26">
        <f>INDEX('Utility rates'!$I:$K,MATCH(O$4&amp;$Y46,'Utility rates'!$L:$L,0),MATCH(O$5,'Utility rates'!$I$5:$K$5,0))</f>
        <v>0</v>
      </c>
      <c r="P46" s="5" t="s">
        <v>17</v>
      </c>
      <c r="Q46" s="267">
        <f>INDEX('Utility rates'!$I:$K,MATCH(Q$4&amp;$Y46,'Utility rates'!$L:$L,0),MATCH(Q$5,'Utility rates'!$I$5:$K$5,0))</f>
        <v>0</v>
      </c>
      <c r="R46" s="282" t="str">
        <f>INDEX('Utility rates'!$I:$K,MATCH(R$4&amp;$Y46,'Utility rates'!$L:$L,0),MATCH(R$5,'Utility rates'!$I$5:$K$5,0))</f>
        <v>User-defined</v>
      </c>
      <c r="S46" s="26">
        <f>INDEX('Utility rates'!$I:$K,MATCH(S$4&amp;$Y46,'Utility rates'!$L:$L,0),MATCH(S$5,'Utility rates'!$I$5:$K$5,0))</f>
        <v>0</v>
      </c>
      <c r="T46" s="5" t="s">
        <v>17</v>
      </c>
      <c r="U46" s="267">
        <f>INDEX('Utility rates'!$I:$K,MATCH(U$4&amp;$Y46,'Utility rates'!$L:$L,0),MATCH(U$5,'Utility rates'!$I$5:$K$5,0))</f>
        <v>0</v>
      </c>
      <c r="V46" s="282" t="str">
        <f>INDEX('Utility rates'!$I:$K,MATCH(V$4&amp;$Y46,'Utility rates'!$L:$L,0),MATCH(V$5,'Utility rates'!$I$5:$K$5,0))</f>
        <v>User-defined</v>
      </c>
      <c r="W46" s="26">
        <f>INDEX('Utility rates'!$I:$K,MATCH(W$4&amp;$Y46,'Utility rates'!$L:$L,0),MATCH(W$5,'Utility rates'!$I$5:$K$5,0))</f>
        <v>0</v>
      </c>
      <c r="X46" s="206" t="s">
        <v>17</v>
      </c>
      <c r="Y46" s="104" t="str">
        <f>Lookups!$E$6&amp;$B$43&amp;$C$44&amp;E46&amp;F46</f>
        <v>LibertyCurrent RatesCustomer or Meter ChargeAnnual Rate Change%</v>
      </c>
      <c r="Z46" s="16" t="s">
        <v>17</v>
      </c>
    </row>
    <row r="47" spans="1:30" s="47" customFormat="1" x14ac:dyDescent="0.25">
      <c r="B47" s="305"/>
      <c r="C47" s="250" t="s">
        <v>126</v>
      </c>
      <c r="D47" s="250"/>
      <c r="E47" s="248"/>
      <c r="F47" s="248"/>
      <c r="G47" s="249"/>
      <c r="H47" s="5" t="s">
        <v>17</v>
      </c>
      <c r="I47" s="286"/>
      <c r="J47" s="313"/>
      <c r="K47" s="314"/>
      <c r="L47" s="5" t="s">
        <v>17</v>
      </c>
      <c r="M47" s="286"/>
      <c r="N47" s="313"/>
      <c r="O47" s="314"/>
      <c r="P47" s="5" t="s">
        <v>17</v>
      </c>
      <c r="Q47" s="286"/>
      <c r="R47" s="313"/>
      <c r="S47" s="314"/>
      <c r="T47" s="5" t="s">
        <v>17</v>
      </c>
      <c r="U47" s="286"/>
      <c r="V47" s="313"/>
      <c r="W47" s="314"/>
      <c r="X47" s="206" t="s">
        <v>17</v>
      </c>
      <c r="Y47" s="104"/>
      <c r="Z47" s="16" t="s">
        <v>17</v>
      </c>
    </row>
    <row r="48" spans="1:30" s="47" customFormat="1" x14ac:dyDescent="0.25">
      <c r="A48" s="261"/>
      <c r="B48" s="305"/>
      <c r="C48" s="318" t="s">
        <v>17</v>
      </c>
      <c r="D48" s="207"/>
      <c r="E48" s="251" t="s">
        <v>61</v>
      </c>
      <c r="F48" s="19" t="s">
        <v>16</v>
      </c>
      <c r="G48" s="434" t="s">
        <v>152</v>
      </c>
      <c r="H48" s="5" t="s">
        <v>17</v>
      </c>
      <c r="I48" s="267">
        <f>INDEX('Utility rates'!$I:$K,MATCH(I$4&amp;$Y48,'Utility rates'!$L:$L,0),MATCH(I$5,'Utility rates'!$I$5:$K$5,0))</f>
        <v>0</v>
      </c>
      <c r="J48" s="282" t="str">
        <f>INDEX('Utility rates'!$I:$K,MATCH(J$4&amp;$Y48,'Utility rates'!$L:$L,0),MATCH(J$5,'Utility rates'!$I$5:$K$5,0))</f>
        <v>User-defined</v>
      </c>
      <c r="K48" s="26">
        <f>INDEX('Utility rates'!$I:$K,MATCH(K$4&amp;$Y48,'Utility rates'!$L:$L,0),MATCH(K$5,'Utility rates'!$I$5:$K$5,0))</f>
        <v>0</v>
      </c>
      <c r="L48" s="5" t="s">
        <v>17</v>
      </c>
      <c r="M48" s="267">
        <f>INDEX('Utility rates'!$I:$K,MATCH(M$4&amp;$Y48,'Utility rates'!$L:$L,0),MATCH(M$5,'Utility rates'!$I$5:$K$5,0))</f>
        <v>0</v>
      </c>
      <c r="N48" s="282" t="str">
        <f>INDEX('Utility rates'!$I:$K,MATCH(N$4&amp;$Y48,'Utility rates'!$L:$L,0),MATCH(N$5,'Utility rates'!$I$5:$K$5,0))</f>
        <v>User-defined</v>
      </c>
      <c r="O48" s="26">
        <f>INDEX('Utility rates'!$I:$K,MATCH(O$4&amp;$Y48,'Utility rates'!$L:$L,0),MATCH(O$5,'Utility rates'!$I$5:$K$5,0))</f>
        <v>0</v>
      </c>
      <c r="P48" s="5" t="s">
        <v>17</v>
      </c>
      <c r="Q48" s="267">
        <f>INDEX('Utility rates'!$I:$K,MATCH(Q$4&amp;$Y48,'Utility rates'!$L:$L,0),MATCH(Q$5,'Utility rates'!$I$5:$K$5,0))</f>
        <v>0</v>
      </c>
      <c r="R48" s="282" t="str">
        <f>INDEX('Utility rates'!$I:$K,MATCH(R$4&amp;$Y48,'Utility rates'!$L:$L,0),MATCH(R$5,'Utility rates'!$I$5:$K$5,0))</f>
        <v>User-defined</v>
      </c>
      <c r="S48" s="26">
        <f>INDEX('Utility rates'!$I:$K,MATCH(S$4&amp;$Y48,'Utility rates'!$L:$L,0),MATCH(S$5,'Utility rates'!$I$5:$K$5,0))</f>
        <v>0</v>
      </c>
      <c r="T48" s="5" t="s">
        <v>17</v>
      </c>
      <c r="U48" s="267">
        <f>INDEX('Utility rates'!$I:$K,MATCH(U$4&amp;$Y48,'Utility rates'!$L:$L,0),MATCH(U$5,'Utility rates'!$I$5:$K$5,0))</f>
        <v>0</v>
      </c>
      <c r="V48" s="282" t="str">
        <f>INDEX('Utility rates'!$I:$K,MATCH(V$4&amp;$Y48,'Utility rates'!$L:$L,0),MATCH(V$5,'Utility rates'!$I$5:$K$5,0))</f>
        <v>User-defined</v>
      </c>
      <c r="W48" s="26">
        <f>INDEX('Utility rates'!$I:$K,MATCH(W$4&amp;$Y48,'Utility rates'!$L:$L,0),MATCH(W$5,'Utility rates'!$I$5:$K$5,0))</f>
        <v>0</v>
      </c>
      <c r="X48" s="206" t="s">
        <v>17</v>
      </c>
      <c r="Y48" s="104" t="str">
        <f>Lookups!$E$6&amp;$B$43&amp;$C$47&amp;E48&amp;F48</f>
        <v>LibertyCurrent RatesDistribution ChargesAnnual Rate Change%</v>
      </c>
      <c r="Z48" s="16" t="s">
        <v>17</v>
      </c>
    </row>
    <row r="49" spans="2:30" s="47" customFormat="1" x14ac:dyDescent="0.25">
      <c r="B49" s="305"/>
      <c r="C49" s="665"/>
      <c r="D49" s="651" t="s">
        <v>305</v>
      </c>
      <c r="E49" s="600"/>
      <c r="F49" s="600"/>
      <c r="G49" s="652"/>
      <c r="H49"/>
      <c r="I49" s="653"/>
      <c r="J49" s="596"/>
      <c r="K49" s="597"/>
      <c r="L49"/>
      <c r="M49" s="653"/>
      <c r="N49" s="596"/>
      <c r="O49" s="597"/>
      <c r="P49"/>
      <c r="Q49" s="653"/>
      <c r="R49" s="596"/>
      <c r="S49" s="597"/>
      <c r="T49"/>
      <c r="U49" s="653"/>
      <c r="V49" s="596"/>
      <c r="W49" s="597"/>
      <c r="X49" s="654"/>
      <c r="Y49" s="104"/>
      <c r="Z49" s="16" t="s">
        <v>17</v>
      </c>
      <c r="AA49" s="5"/>
      <c r="AB49" s="5"/>
      <c r="AC49" s="30"/>
      <c r="AD49" s="655"/>
    </row>
    <row r="50" spans="2:30" s="11" customFormat="1" x14ac:dyDescent="0.25">
      <c r="B50" s="309"/>
      <c r="C50" s="53"/>
      <c r="D50" s="53"/>
      <c r="E50" s="260" t="s">
        <v>228</v>
      </c>
      <c r="F50" s="260" t="s">
        <v>182</v>
      </c>
      <c r="G50" s="439" t="s">
        <v>213</v>
      </c>
      <c r="H50" s="5" t="s">
        <v>17</v>
      </c>
      <c r="I50" s="270">
        <f>INDEX('Utility rates'!$I:$K,MATCH(I$4&amp;$Y50,'Utility rates'!$L:$L,0),MATCH(I$5,'Utility rates'!$I$5:$K$5,0))</f>
        <v>0.55689999999999995</v>
      </c>
      <c r="J50" s="283">
        <f>INDEX('Utility rates'!$I:$K,MATCH(J$4&amp;$Y50,'Utility rates'!$L:$L,0),MATCH(J$5,'Utility rates'!$I$5:$K$5,0))</f>
        <v>0</v>
      </c>
      <c r="K50" s="25" t="str">
        <f>INDEX('Utility rates'!$I:$K,MATCH(K$4&amp;$Y50,'Utility rates'!$L:$L,0),MATCH(K$5,'Utility rates'!$I$5:$K$5,0))</f>
        <v>File name: LU - Rates 2019-10 Summary of Rates for Gas Service</v>
      </c>
      <c r="L50" s="5" t="s">
        <v>17</v>
      </c>
      <c r="M50" s="270">
        <f>INDEX('Utility rates'!$I:$K,MATCH(M$4&amp;$Y50,'Utility rates'!$L:$L,0),MATCH(M$5,'Utility rates'!$I$5:$K$5,0))</f>
        <v>0.2228</v>
      </c>
      <c r="N50" s="283">
        <f>INDEX('Utility rates'!$I:$K,MATCH(N$4&amp;$Y50,'Utility rates'!$L:$L,0),MATCH(N$5,'Utility rates'!$I$5:$K$5,0))</f>
        <v>0</v>
      </c>
      <c r="O50" s="25" t="str">
        <f>INDEX('Utility rates'!$I:$K,MATCH(O$4&amp;$Y50,'Utility rates'!$L:$L,0),MATCH(O$5,'Utility rates'!$I$5:$K$5,0))</f>
        <v>File name: LU - Rates 2019-10 Summary of Rates for Gas Service</v>
      </c>
      <c r="P50" s="5" t="s">
        <v>17</v>
      </c>
      <c r="Q50" s="270">
        <f>INDEX('Utility rates'!$I:$K,MATCH(Q$4&amp;$Y50,'Utility rates'!$L:$L,0),MATCH(Q$5,'Utility rates'!$I$5:$K$5,0))</f>
        <v>0</v>
      </c>
      <c r="R50" s="283" t="str">
        <f>INDEX('Utility rates'!$I:$K,MATCH(R$4&amp;$Y50,'Utility rates'!$L:$L,0),MATCH(R$5,'Utility rates'!$I$5:$K$5,0))</f>
        <v>Not applicable to this rate class.</v>
      </c>
      <c r="S50" s="25">
        <f>INDEX('Utility rates'!$I:$K,MATCH(S$4&amp;$Y50,'Utility rates'!$L:$L,0),MATCH(S$5,'Utility rates'!$I$5:$K$5,0))</f>
        <v>0</v>
      </c>
      <c r="T50" s="5" t="s">
        <v>17</v>
      </c>
      <c r="U50" s="270">
        <f>INDEX('Utility rates'!$I:$K,MATCH(U$4&amp;$Y50,'Utility rates'!$L:$L,0),MATCH(U$5,'Utility rates'!$I$5:$K$5,0))</f>
        <v>0.1181</v>
      </c>
      <c r="V50" s="283">
        <f>INDEX('Utility rates'!$I:$K,MATCH(V$4&amp;$Y50,'Utility rates'!$L:$L,0),MATCH(V$5,'Utility rates'!$I$5:$K$5,0))</f>
        <v>0</v>
      </c>
      <c r="W50" s="25" t="str">
        <f>INDEX('Utility rates'!$I:$K,MATCH(W$4&amp;$Y50,'Utility rates'!$L:$L,0),MATCH(W$5,'Utility rates'!$I$5:$K$5,0))</f>
        <v>File name: LU - Rates 2019-10 Summary of Rates for Gas Service</v>
      </c>
      <c r="X50" s="206" t="s">
        <v>17</v>
      </c>
      <c r="Y50" s="104" t="str">
        <f>Lookups!$E$6&amp;$B$43&amp;$C$47&amp;$D$49&amp;E50&amp;F50</f>
        <v>LibertyCurrent RatesDistribution ChargesWinterTotal (no blocks)$/Therm</v>
      </c>
      <c r="Z50" s="16" t="s">
        <v>17</v>
      </c>
    </row>
    <row r="51" spans="2:30" s="11" customFormat="1" x14ac:dyDescent="0.25">
      <c r="B51" s="309"/>
      <c r="C51" s="318"/>
      <c r="D51" s="207"/>
      <c r="E51" s="108" t="s">
        <v>122</v>
      </c>
      <c r="F51" s="108" t="s">
        <v>182</v>
      </c>
      <c r="G51" s="436" t="s">
        <v>213</v>
      </c>
      <c r="H51" s="5" t="s">
        <v>17</v>
      </c>
      <c r="I51" s="270">
        <f>INDEX('Utility rates'!$I:$K,MATCH(I$4&amp;$Y51,'Utility rates'!$L:$L,0),MATCH(I$5,'Utility rates'!$I$5:$K$5,0))</f>
        <v>0</v>
      </c>
      <c r="J51" s="283" t="str">
        <f>INDEX('Utility rates'!$I:$K,MATCH(J$4&amp;$Y51,'Utility rates'!$L:$L,0),MATCH(J$5,'Utility rates'!$I$5:$K$5,0))</f>
        <v>Not applicable to this rate class.</v>
      </c>
      <c r="K51" s="25">
        <f>INDEX('Utility rates'!$I:$K,MATCH(K$4&amp;$Y51,'Utility rates'!$L:$L,0),MATCH(K$5,'Utility rates'!$I$5:$K$5,0))</f>
        <v>0</v>
      </c>
      <c r="L51" s="5" t="s">
        <v>17</v>
      </c>
      <c r="M51" s="270">
        <f>INDEX('Utility rates'!$I:$K,MATCH(M$4&amp;$Y51,'Utility rates'!$L:$L,0),MATCH(M$5,'Utility rates'!$I$5:$K$5,0))</f>
        <v>0</v>
      </c>
      <c r="N51" s="283" t="str">
        <f>INDEX('Utility rates'!$I:$K,MATCH(N$4&amp;$Y51,'Utility rates'!$L:$L,0),MATCH(N$5,'Utility rates'!$I$5:$K$5,0))</f>
        <v>Not applicable to this rate class.</v>
      </c>
      <c r="O51" s="25">
        <f>INDEX('Utility rates'!$I:$K,MATCH(O$4&amp;$Y51,'Utility rates'!$L:$L,0),MATCH(O$5,'Utility rates'!$I$5:$K$5,0))</f>
        <v>0</v>
      </c>
      <c r="P51" s="5" t="s">
        <v>17</v>
      </c>
      <c r="Q51" s="270">
        <f>INDEX('Utility rates'!$I:$K,MATCH(Q$4&amp;$Y51,'Utility rates'!$L:$L,0),MATCH(Q$5,'Utility rates'!$I$5:$K$5,0))</f>
        <v>0.46210000000000001</v>
      </c>
      <c r="R51" s="283" t="str">
        <f>INDEX('Utility rates'!$I:$K,MATCH(R$4&amp;$Y51,'Utility rates'!$L:$L,0),MATCH(R$5,'Utility rates'!$I$5:$K$5,0))</f>
        <v>Headblock</v>
      </c>
      <c r="S51" s="25" t="str">
        <f>INDEX('Utility rates'!$I:$K,MATCH(S$4&amp;$Y51,'Utility rates'!$L:$L,0),MATCH(S$5,'Utility rates'!$I$5:$K$5,0))</f>
        <v>File name: LU - Rates 2019-10 Summary of Rates for Gas Service</v>
      </c>
      <c r="T51" s="5" t="s">
        <v>17</v>
      </c>
      <c r="U51" s="270">
        <f>INDEX('Utility rates'!$I:$K,MATCH(U$4&amp;$Y51,'Utility rates'!$L:$L,0),MATCH(U$5,'Utility rates'!$I$5:$K$5,0))</f>
        <v>0</v>
      </c>
      <c r="V51" s="283" t="str">
        <f>INDEX('Utility rates'!$I:$K,MATCH(V$4&amp;$Y51,'Utility rates'!$L:$L,0),MATCH(V$5,'Utility rates'!$I$5:$K$5,0))</f>
        <v>Not applicable to this rate class.</v>
      </c>
      <c r="W51" s="25">
        <f>INDEX('Utility rates'!$I:$K,MATCH(W$4&amp;$Y51,'Utility rates'!$L:$L,0),MATCH(W$5,'Utility rates'!$I$5:$K$5,0))</f>
        <v>0</v>
      </c>
      <c r="X51" s="206" t="s">
        <v>17</v>
      </c>
      <c r="Y51" s="104" t="str">
        <f>Lookups!$E$6&amp;$B$43&amp;$C$47&amp;$D$49&amp;E51&amp;F51</f>
        <v>LibertyCurrent RatesDistribution ChargesWinterFirst Block$/Therm</v>
      </c>
      <c r="Z51" s="16" t="s">
        <v>17</v>
      </c>
      <c r="AC51" s="366"/>
    </row>
    <row r="52" spans="2:30" s="59" customFormat="1" x14ac:dyDescent="0.25">
      <c r="B52" s="310"/>
      <c r="C52" s="318"/>
      <c r="D52" s="207"/>
      <c r="E52" s="108" t="s">
        <v>123</v>
      </c>
      <c r="F52" s="108" t="s">
        <v>182</v>
      </c>
      <c r="G52" s="436" t="s">
        <v>213</v>
      </c>
      <c r="H52" s="5" t="s">
        <v>17</v>
      </c>
      <c r="I52" s="270">
        <f>INDEX('Utility rates'!$I:$K,MATCH(I$4&amp;$Y52,'Utility rates'!$L:$L,0),MATCH(I$5,'Utility rates'!$I$5:$K$5,0))</f>
        <v>0</v>
      </c>
      <c r="J52" s="283" t="str">
        <f>INDEX('Utility rates'!$I:$K,MATCH(J$4&amp;$Y52,'Utility rates'!$L:$L,0),MATCH(J$5,'Utility rates'!$I$5:$K$5,0))</f>
        <v>Not applicable to this rate class.</v>
      </c>
      <c r="K52" s="25">
        <f>INDEX('Utility rates'!$I:$K,MATCH(K$4&amp;$Y52,'Utility rates'!$L:$L,0),MATCH(K$5,'Utility rates'!$I$5:$K$5,0))</f>
        <v>0</v>
      </c>
      <c r="L52" s="5" t="s">
        <v>17</v>
      </c>
      <c r="M52" s="270">
        <f>INDEX('Utility rates'!$I:$K,MATCH(M$4&amp;$Y52,'Utility rates'!$L:$L,0),MATCH(M$5,'Utility rates'!$I$5:$K$5,0))</f>
        <v>0</v>
      </c>
      <c r="N52" s="283" t="str">
        <f>INDEX('Utility rates'!$I:$K,MATCH(N$4&amp;$Y52,'Utility rates'!$L:$L,0),MATCH(N$5,'Utility rates'!$I$5:$K$5,0))</f>
        <v>Not applicable to this rate class.</v>
      </c>
      <c r="O52" s="25">
        <f>INDEX('Utility rates'!$I:$K,MATCH(O$4&amp;$Y52,'Utility rates'!$L:$L,0),MATCH(O$5,'Utility rates'!$I$5:$K$5,0))</f>
        <v>0</v>
      </c>
      <c r="P52" s="5" t="s">
        <v>17</v>
      </c>
      <c r="Q52" s="270">
        <f>INDEX('Utility rates'!$I:$K,MATCH(Q$4&amp;$Y52,'Utility rates'!$L:$L,0),MATCH(Q$5,'Utility rates'!$I$5:$K$5,0))</f>
        <v>0.31040000000000001</v>
      </c>
      <c r="R52" s="283" t="str">
        <f>INDEX('Utility rates'!$I:$K,MATCH(R$4&amp;$Y52,'Utility rates'!$L:$L,0),MATCH(R$5,'Utility rates'!$I$5:$K$5,0))</f>
        <v>Tailblock</v>
      </c>
      <c r="S52" s="25" t="str">
        <f>INDEX('Utility rates'!$I:$K,MATCH(S$4&amp;$Y52,'Utility rates'!$L:$L,0),MATCH(S$5,'Utility rates'!$I$5:$K$5,0))</f>
        <v>File name: LU - Rates 2019-10 Summary of Rates for Gas Service</v>
      </c>
      <c r="T52" s="5" t="s">
        <v>17</v>
      </c>
      <c r="U52" s="270">
        <f>INDEX('Utility rates'!$I:$K,MATCH(U$4&amp;$Y52,'Utility rates'!$L:$L,0),MATCH(U$5,'Utility rates'!$I$5:$K$5,0))</f>
        <v>0</v>
      </c>
      <c r="V52" s="283" t="str">
        <f>INDEX('Utility rates'!$I:$K,MATCH(V$4&amp;$Y52,'Utility rates'!$L:$L,0),MATCH(V$5,'Utility rates'!$I$5:$K$5,0))</f>
        <v>Not applicable to this rate class.</v>
      </c>
      <c r="W52" s="25">
        <f>INDEX('Utility rates'!$I:$K,MATCH(W$4&amp;$Y52,'Utility rates'!$L:$L,0),MATCH(W$5,'Utility rates'!$I$5:$K$5,0))</f>
        <v>0</v>
      </c>
      <c r="X52" s="206" t="s">
        <v>17</v>
      </c>
      <c r="Y52" s="104" t="str">
        <f>Lookups!$E$6&amp;$B$43&amp;$C$47&amp;$D$49&amp;E52&amp;F52</f>
        <v>LibertyCurrent RatesDistribution ChargesWinterSecond Block$/Therm</v>
      </c>
      <c r="Z52" s="16" t="s">
        <v>17</v>
      </c>
      <c r="AC52" s="366"/>
    </row>
    <row r="53" spans="2:30" s="59" customFormat="1" x14ac:dyDescent="0.25">
      <c r="B53" s="310"/>
      <c r="C53" s="318"/>
      <c r="D53" s="207"/>
      <c r="E53" s="247" t="s">
        <v>47</v>
      </c>
      <c r="F53" s="247" t="s">
        <v>182</v>
      </c>
      <c r="G53" s="437" t="s">
        <v>213</v>
      </c>
      <c r="H53" s="5" t="s">
        <v>17</v>
      </c>
      <c r="I53" s="270">
        <f>INDEX('Utility rates'!$I:$K,MATCH(I$4&amp;$Y53,'Utility rates'!$L:$L,0),MATCH(I$5,'Utility rates'!$I$5:$K$5,0))</f>
        <v>0</v>
      </c>
      <c r="J53" s="283" t="str">
        <f>INDEX('Utility rates'!$I:$K,MATCH(J$4&amp;$Y53,'Utility rates'!$L:$L,0),MATCH(J$5,'Utility rates'!$I$5:$K$5,0))</f>
        <v>Not applicable to this rate class.</v>
      </c>
      <c r="K53" s="25">
        <f>INDEX('Utility rates'!$I:$K,MATCH(K$4&amp;$Y53,'Utility rates'!$L:$L,0),MATCH(K$5,'Utility rates'!$I$5:$K$5,0))</f>
        <v>0</v>
      </c>
      <c r="L53" s="5" t="s">
        <v>17</v>
      </c>
      <c r="M53" s="270">
        <f>INDEX('Utility rates'!$I:$K,MATCH(M$4&amp;$Y53,'Utility rates'!$L:$L,0),MATCH(M$5,'Utility rates'!$I$5:$K$5,0))</f>
        <v>0</v>
      </c>
      <c r="N53" s="283" t="str">
        <f>INDEX('Utility rates'!$I:$K,MATCH(N$4&amp;$Y53,'Utility rates'!$L:$L,0),MATCH(N$5,'Utility rates'!$I$5:$K$5,0))</f>
        <v>Not applicable to this rate class.</v>
      </c>
      <c r="O53" s="25">
        <f>INDEX('Utility rates'!$I:$K,MATCH(O$4&amp;$Y53,'Utility rates'!$L:$L,0),MATCH(O$5,'Utility rates'!$I$5:$K$5,0))</f>
        <v>0</v>
      </c>
      <c r="P53" s="5" t="s">
        <v>17</v>
      </c>
      <c r="Q53" s="270">
        <f>INDEX('Utility rates'!$I:$K,MATCH(Q$4&amp;$Y53,'Utility rates'!$L:$L,0),MATCH(Q$5,'Utility rates'!$I$5:$K$5,0))</f>
        <v>0</v>
      </c>
      <c r="R53" s="283" t="str">
        <f>INDEX('Utility rates'!$I:$K,MATCH(R$4&amp;$Y53,'Utility rates'!$L:$L,0),MATCH(R$5,'Utility rates'!$I$5:$K$5,0))</f>
        <v>Not applicable to this rate class.</v>
      </c>
      <c r="S53" s="25">
        <f>INDEX('Utility rates'!$I:$K,MATCH(S$4&amp;$Y53,'Utility rates'!$L:$L,0),MATCH(S$5,'Utility rates'!$I$5:$K$5,0))</f>
        <v>0</v>
      </c>
      <c r="T53" s="5" t="s">
        <v>17</v>
      </c>
      <c r="U53" s="270">
        <f>INDEX('Utility rates'!$I:$K,MATCH(U$4&amp;$Y53,'Utility rates'!$L:$L,0),MATCH(U$5,'Utility rates'!$I$5:$K$5,0))</f>
        <v>0</v>
      </c>
      <c r="V53" s="283" t="str">
        <f>INDEX('Utility rates'!$I:$K,MATCH(V$4&amp;$Y53,'Utility rates'!$L:$L,0),MATCH(V$5,'Utility rates'!$I$5:$K$5,0))</f>
        <v>Not applicable to this rate class.</v>
      </c>
      <c r="W53" s="25">
        <f>INDEX('Utility rates'!$I:$K,MATCH(W$4&amp;$Y53,'Utility rates'!$L:$L,0),MATCH(W$5,'Utility rates'!$I$5:$K$5,0))</f>
        <v>0</v>
      </c>
      <c r="X53" s="206" t="s">
        <v>17</v>
      </c>
      <c r="Y53" s="104" t="str">
        <f>Lookups!$E$6&amp;$B$43&amp;$C$47&amp;$D$49&amp;E53&amp;F53</f>
        <v>LibertyCurrent RatesDistribution ChargesWinterThird Block$/Therm</v>
      </c>
      <c r="Z53" s="16" t="s">
        <v>17</v>
      </c>
    </row>
    <row r="54" spans="2:30" s="47" customFormat="1" x14ac:dyDescent="0.25">
      <c r="B54" s="305"/>
      <c r="C54" s="665"/>
      <c r="D54" s="651" t="s">
        <v>306</v>
      </c>
      <c r="E54" s="600"/>
      <c r="F54" s="600"/>
      <c r="G54" s="652"/>
      <c r="H54"/>
      <c r="I54" s="653"/>
      <c r="J54" s="596"/>
      <c r="K54" s="597"/>
      <c r="L54"/>
      <c r="M54" s="653"/>
      <c r="N54" s="596"/>
      <c r="O54" s="597"/>
      <c r="P54"/>
      <c r="Q54" s="653"/>
      <c r="R54" s="596"/>
      <c r="S54" s="597"/>
      <c r="T54"/>
      <c r="U54" s="653"/>
      <c r="V54" s="596"/>
      <c r="W54" s="597"/>
      <c r="X54" s="654"/>
      <c r="Y54" s="104"/>
      <c r="Z54" s="16" t="s">
        <v>17</v>
      </c>
      <c r="AA54" s="5"/>
      <c r="AB54" s="5"/>
      <c r="AC54" s="30"/>
      <c r="AD54" s="655"/>
    </row>
    <row r="55" spans="2:30" s="11" customFormat="1" x14ac:dyDescent="0.25">
      <c r="B55" s="309"/>
      <c r="C55" s="53"/>
      <c r="D55" s="53"/>
      <c r="E55" s="260" t="s">
        <v>228</v>
      </c>
      <c r="F55" s="260" t="s">
        <v>182</v>
      </c>
      <c r="G55" s="439" t="s">
        <v>213</v>
      </c>
      <c r="H55" s="5" t="s">
        <v>17</v>
      </c>
      <c r="I55" s="270">
        <f>INDEX('Utility rates'!$I:$K,MATCH(I$4&amp;$Y55,'Utility rates'!$L:$L,0),MATCH(I$5,'Utility rates'!$I$5:$K$5,0))</f>
        <v>0.55020000000000002</v>
      </c>
      <c r="J55" s="283">
        <f>INDEX('Utility rates'!$I:$K,MATCH(J$4&amp;$Y55,'Utility rates'!$L:$L,0),MATCH(J$5,'Utility rates'!$I$5:$K$5,0))</f>
        <v>0</v>
      </c>
      <c r="K55" s="25" t="str">
        <f>INDEX('Utility rates'!$I:$K,MATCH(K$4&amp;$Y55,'Utility rates'!$L:$L,0),MATCH(K$5,'Utility rates'!$I$5:$K$5,0))</f>
        <v>File name: LU - Rate Schedules - Gas COG filing</v>
      </c>
      <c r="L55" s="5" t="s">
        <v>17</v>
      </c>
      <c r="M55" s="270">
        <f>INDEX('Utility rates'!$I:$K,MATCH(M$4&amp;$Y55,'Utility rates'!$L:$L,0),MATCH(M$5,'Utility rates'!$I$5:$K$5,0))</f>
        <v>0.2228</v>
      </c>
      <c r="N55" s="283">
        <f>INDEX('Utility rates'!$I:$K,MATCH(N$4&amp;$Y55,'Utility rates'!$L:$L,0),MATCH(N$5,'Utility rates'!$I$5:$K$5,0))</f>
        <v>0</v>
      </c>
      <c r="O55" s="25">
        <f>INDEX('Utility rates'!$I:$K,MATCH(O$4&amp;$Y55,'Utility rates'!$L:$L,0),MATCH(O$5,'Utility rates'!$I$5:$K$5,0))</f>
        <v>0</v>
      </c>
      <c r="P55" s="5" t="s">
        <v>17</v>
      </c>
      <c r="Q55" s="270">
        <f>INDEX('Utility rates'!$I:$K,MATCH(Q$4&amp;$Y55,'Utility rates'!$L:$L,0),MATCH(Q$5,'Utility rates'!$I$5:$K$5,0))</f>
        <v>0</v>
      </c>
      <c r="R55" s="283" t="str">
        <f>INDEX('Utility rates'!$I:$K,MATCH(R$4&amp;$Y55,'Utility rates'!$L:$L,0),MATCH(R$5,'Utility rates'!$I$5:$K$5,0))</f>
        <v>Not applicable to this rate class.</v>
      </c>
      <c r="S55" s="25">
        <f>INDEX('Utility rates'!$I:$K,MATCH(S$4&amp;$Y55,'Utility rates'!$L:$L,0),MATCH(S$5,'Utility rates'!$I$5:$K$5,0))</f>
        <v>0</v>
      </c>
      <c r="T55" s="5" t="s">
        <v>17</v>
      </c>
      <c r="U55" s="270">
        <f>INDEX('Utility rates'!$I:$K,MATCH(U$4&amp;$Y55,'Utility rates'!$L:$L,0),MATCH(U$5,'Utility rates'!$I$5:$K$5,0))</f>
        <v>0.1181</v>
      </c>
      <c r="V55" s="283">
        <f>INDEX('Utility rates'!$I:$K,MATCH(V$4&amp;$Y55,'Utility rates'!$L:$L,0),MATCH(V$5,'Utility rates'!$I$5:$K$5,0))</f>
        <v>0</v>
      </c>
      <c r="W55" s="25">
        <f>INDEX('Utility rates'!$I:$K,MATCH(W$4&amp;$Y55,'Utility rates'!$L:$L,0),MATCH(W$5,'Utility rates'!$I$5:$K$5,0))</f>
        <v>0</v>
      </c>
      <c r="X55" s="206" t="s">
        <v>17</v>
      </c>
      <c r="Y55" s="104" t="str">
        <f>Lookups!$E$6&amp;$B$43&amp;$C$47&amp;$D$54&amp;E55&amp;F55</f>
        <v>LibertyCurrent RatesDistribution ChargesSummerTotal (no blocks)$/Therm</v>
      </c>
      <c r="Z55" s="16" t="s">
        <v>17</v>
      </c>
    </row>
    <row r="56" spans="2:30" s="11" customFormat="1" x14ac:dyDescent="0.25">
      <c r="B56" s="309"/>
      <c r="C56" s="318"/>
      <c r="D56" s="207"/>
      <c r="E56" s="108" t="s">
        <v>122</v>
      </c>
      <c r="F56" s="108" t="s">
        <v>182</v>
      </c>
      <c r="G56" s="436" t="s">
        <v>213</v>
      </c>
      <c r="H56" s="5" t="s">
        <v>17</v>
      </c>
      <c r="I56" s="270">
        <f>INDEX('Utility rates'!$I:$K,MATCH(I$4&amp;$Y56,'Utility rates'!$L:$L,0),MATCH(I$5,'Utility rates'!$I$5:$K$5,0))</f>
        <v>0</v>
      </c>
      <c r="J56" s="283" t="str">
        <f>INDEX('Utility rates'!$I:$K,MATCH(J$4&amp;$Y56,'Utility rates'!$L:$L,0),MATCH(J$5,'Utility rates'!$I$5:$K$5,0))</f>
        <v>Not applicable to this rate class.</v>
      </c>
      <c r="K56" s="25">
        <f>INDEX('Utility rates'!$I:$K,MATCH(K$4&amp;$Y56,'Utility rates'!$L:$L,0),MATCH(K$5,'Utility rates'!$I$5:$K$5,0))</f>
        <v>0</v>
      </c>
      <c r="L56" s="5" t="s">
        <v>17</v>
      </c>
      <c r="M56" s="270">
        <f>INDEX('Utility rates'!$I:$K,MATCH(M$4&amp;$Y56,'Utility rates'!$L:$L,0),MATCH(M$5,'Utility rates'!$I$5:$K$5,0))</f>
        <v>0</v>
      </c>
      <c r="N56" s="283" t="str">
        <f>INDEX('Utility rates'!$I:$K,MATCH(N$4&amp;$Y56,'Utility rates'!$L:$L,0),MATCH(N$5,'Utility rates'!$I$5:$K$5,0))</f>
        <v>Not applicable to this rate class.</v>
      </c>
      <c r="O56" s="25">
        <f>INDEX('Utility rates'!$I:$K,MATCH(O$4&amp;$Y56,'Utility rates'!$L:$L,0),MATCH(O$5,'Utility rates'!$I$5:$K$5,0))</f>
        <v>0</v>
      </c>
      <c r="P56" s="5" t="s">
        <v>17</v>
      </c>
      <c r="Q56" s="270">
        <f>INDEX('Utility rates'!$I:$K,MATCH(Q$4&amp;$Y56,'Utility rates'!$L:$L,0),MATCH(Q$5,'Utility rates'!$I$5:$K$5,0))</f>
        <v>0.45660000000000001</v>
      </c>
      <c r="R56" s="283" t="str">
        <f>INDEX('Utility rates'!$I:$K,MATCH(R$4&amp;$Y56,'Utility rates'!$L:$L,0),MATCH(R$5,'Utility rates'!$I$5:$K$5,0))</f>
        <v>Headblock</v>
      </c>
      <c r="S56" s="25" t="str">
        <f>INDEX('Utility rates'!$I:$K,MATCH(S$4&amp;$Y56,'Utility rates'!$L:$L,0),MATCH(S$5,'Utility rates'!$I$5:$K$5,0))</f>
        <v>File name: LU - Rates 2019-10 Summary of Rates for Gas Service</v>
      </c>
      <c r="T56" s="5" t="s">
        <v>17</v>
      </c>
      <c r="U56" s="270">
        <f>INDEX('Utility rates'!$I:$K,MATCH(U$4&amp;$Y56,'Utility rates'!$L:$L,0),MATCH(U$5,'Utility rates'!$I$5:$K$5,0))</f>
        <v>0</v>
      </c>
      <c r="V56" s="283" t="str">
        <f>INDEX('Utility rates'!$I:$K,MATCH(V$4&amp;$Y56,'Utility rates'!$L:$L,0),MATCH(V$5,'Utility rates'!$I$5:$K$5,0))</f>
        <v>Not applicable to this rate class.</v>
      </c>
      <c r="W56" s="25">
        <f>INDEX('Utility rates'!$I:$K,MATCH(W$4&amp;$Y56,'Utility rates'!$L:$L,0),MATCH(W$5,'Utility rates'!$I$5:$K$5,0))</f>
        <v>0</v>
      </c>
      <c r="X56" s="206" t="s">
        <v>17</v>
      </c>
      <c r="Y56" s="104" t="str">
        <f>Lookups!$E$6&amp;$B$43&amp;$C$47&amp;$D$54&amp;E56&amp;F56</f>
        <v>LibertyCurrent RatesDistribution ChargesSummerFirst Block$/Therm</v>
      </c>
      <c r="Z56" s="16" t="s">
        <v>17</v>
      </c>
      <c r="AC56" s="366"/>
    </row>
    <row r="57" spans="2:30" s="59" customFormat="1" x14ac:dyDescent="0.25">
      <c r="B57" s="310"/>
      <c r="C57" s="318"/>
      <c r="D57" s="207"/>
      <c r="E57" s="108" t="s">
        <v>123</v>
      </c>
      <c r="F57" s="108" t="s">
        <v>182</v>
      </c>
      <c r="G57" s="436" t="s">
        <v>213</v>
      </c>
      <c r="H57" s="5" t="s">
        <v>17</v>
      </c>
      <c r="I57" s="270">
        <f>INDEX('Utility rates'!$I:$K,MATCH(I$4&amp;$Y57,'Utility rates'!$L:$L,0),MATCH(I$5,'Utility rates'!$I$5:$K$5,0))</f>
        <v>0</v>
      </c>
      <c r="J57" s="283" t="str">
        <f>INDEX('Utility rates'!$I:$K,MATCH(J$4&amp;$Y57,'Utility rates'!$L:$L,0),MATCH(J$5,'Utility rates'!$I$5:$K$5,0))</f>
        <v>Not applicable to this rate class.</v>
      </c>
      <c r="K57" s="25">
        <f>INDEX('Utility rates'!$I:$K,MATCH(K$4&amp;$Y57,'Utility rates'!$L:$L,0),MATCH(K$5,'Utility rates'!$I$5:$K$5,0))</f>
        <v>0</v>
      </c>
      <c r="L57" s="5" t="s">
        <v>17</v>
      </c>
      <c r="M57" s="270">
        <f>INDEX('Utility rates'!$I:$K,MATCH(M$4&amp;$Y57,'Utility rates'!$L:$L,0),MATCH(M$5,'Utility rates'!$I$5:$K$5,0))</f>
        <v>0</v>
      </c>
      <c r="N57" s="283" t="str">
        <f>INDEX('Utility rates'!$I:$K,MATCH(N$4&amp;$Y57,'Utility rates'!$L:$L,0),MATCH(N$5,'Utility rates'!$I$5:$K$5,0))</f>
        <v>Not applicable to this rate class.</v>
      </c>
      <c r="O57" s="25">
        <f>INDEX('Utility rates'!$I:$K,MATCH(O$4&amp;$Y57,'Utility rates'!$L:$L,0),MATCH(O$5,'Utility rates'!$I$5:$K$5,0))</f>
        <v>0</v>
      </c>
      <c r="P57" s="5" t="s">
        <v>17</v>
      </c>
      <c r="Q57" s="270">
        <f>INDEX('Utility rates'!$I:$K,MATCH(Q$4&amp;$Y57,'Utility rates'!$L:$L,0),MATCH(Q$5,'Utility rates'!$I$5:$K$5,0))</f>
        <v>0.30669999999999997</v>
      </c>
      <c r="R57" s="283" t="str">
        <f>INDEX('Utility rates'!$I:$K,MATCH(R$4&amp;$Y57,'Utility rates'!$L:$L,0),MATCH(R$5,'Utility rates'!$I$5:$K$5,0))</f>
        <v>Tailblock</v>
      </c>
      <c r="S57" s="25" t="str">
        <f>INDEX('Utility rates'!$I:$K,MATCH(S$4&amp;$Y57,'Utility rates'!$L:$L,0),MATCH(S$5,'Utility rates'!$I$5:$K$5,0))</f>
        <v>File name: LU - Rates 2019-10 Summary of Rates for Gas Service</v>
      </c>
      <c r="T57" s="5" t="s">
        <v>17</v>
      </c>
      <c r="U57" s="270">
        <f>INDEX('Utility rates'!$I:$K,MATCH(U$4&amp;$Y57,'Utility rates'!$L:$L,0),MATCH(U$5,'Utility rates'!$I$5:$K$5,0))</f>
        <v>0</v>
      </c>
      <c r="V57" s="283" t="str">
        <f>INDEX('Utility rates'!$I:$K,MATCH(V$4&amp;$Y57,'Utility rates'!$L:$L,0),MATCH(V$5,'Utility rates'!$I$5:$K$5,0))</f>
        <v>Not applicable to this rate class.</v>
      </c>
      <c r="W57" s="25">
        <f>INDEX('Utility rates'!$I:$K,MATCH(W$4&amp;$Y57,'Utility rates'!$L:$L,0),MATCH(W$5,'Utility rates'!$I$5:$K$5,0))</f>
        <v>0</v>
      </c>
      <c r="X57" s="206" t="s">
        <v>17</v>
      </c>
      <c r="Y57" s="104" t="str">
        <f>Lookups!$E$6&amp;$B$43&amp;$C$47&amp;$D$54&amp;E57&amp;F57</f>
        <v>LibertyCurrent RatesDistribution ChargesSummerSecond Block$/Therm</v>
      </c>
      <c r="Z57" s="16" t="s">
        <v>17</v>
      </c>
      <c r="AC57" s="366"/>
    </row>
    <row r="58" spans="2:30" s="59" customFormat="1" x14ac:dyDescent="0.25">
      <c r="B58" s="310"/>
      <c r="C58" s="318"/>
      <c r="D58" s="207"/>
      <c r="E58" s="247" t="s">
        <v>47</v>
      </c>
      <c r="F58" s="247" t="s">
        <v>182</v>
      </c>
      <c r="G58" s="437" t="s">
        <v>213</v>
      </c>
      <c r="H58" s="5" t="s">
        <v>17</v>
      </c>
      <c r="I58" s="270">
        <f>INDEX('Utility rates'!$I:$K,MATCH(I$4&amp;$Y58,'Utility rates'!$L:$L,0),MATCH(I$5,'Utility rates'!$I$5:$K$5,0))</f>
        <v>0</v>
      </c>
      <c r="J58" s="283" t="str">
        <f>INDEX('Utility rates'!$I:$K,MATCH(J$4&amp;$Y58,'Utility rates'!$L:$L,0),MATCH(J$5,'Utility rates'!$I$5:$K$5,0))</f>
        <v>Not applicable to this rate class.</v>
      </c>
      <c r="K58" s="25">
        <f>INDEX('Utility rates'!$I:$K,MATCH(K$4&amp;$Y58,'Utility rates'!$L:$L,0),MATCH(K$5,'Utility rates'!$I$5:$K$5,0))</f>
        <v>0</v>
      </c>
      <c r="L58" s="5" t="s">
        <v>17</v>
      </c>
      <c r="M58" s="270">
        <f>INDEX('Utility rates'!$I:$K,MATCH(M$4&amp;$Y58,'Utility rates'!$L:$L,0),MATCH(M$5,'Utility rates'!$I$5:$K$5,0))</f>
        <v>0</v>
      </c>
      <c r="N58" s="283" t="str">
        <f>INDEX('Utility rates'!$I:$K,MATCH(N$4&amp;$Y58,'Utility rates'!$L:$L,0),MATCH(N$5,'Utility rates'!$I$5:$K$5,0))</f>
        <v>Not applicable to this rate class.</v>
      </c>
      <c r="O58" s="25">
        <f>INDEX('Utility rates'!$I:$K,MATCH(O$4&amp;$Y58,'Utility rates'!$L:$L,0),MATCH(O$5,'Utility rates'!$I$5:$K$5,0))</f>
        <v>0</v>
      </c>
      <c r="P58" s="5" t="s">
        <v>17</v>
      </c>
      <c r="Q58" s="270">
        <f>INDEX('Utility rates'!$I:$K,MATCH(Q$4&amp;$Y58,'Utility rates'!$L:$L,0),MATCH(Q$5,'Utility rates'!$I$5:$K$5,0))</f>
        <v>0</v>
      </c>
      <c r="R58" s="283" t="str">
        <f>INDEX('Utility rates'!$I:$K,MATCH(R$4&amp;$Y58,'Utility rates'!$L:$L,0),MATCH(R$5,'Utility rates'!$I$5:$K$5,0))</f>
        <v>Not applicable to this rate class.</v>
      </c>
      <c r="S58" s="25">
        <f>INDEX('Utility rates'!$I:$K,MATCH(S$4&amp;$Y58,'Utility rates'!$L:$L,0),MATCH(S$5,'Utility rates'!$I$5:$K$5,0))</f>
        <v>0</v>
      </c>
      <c r="T58" s="5" t="s">
        <v>17</v>
      </c>
      <c r="U58" s="270">
        <f>INDEX('Utility rates'!$I:$K,MATCH(U$4&amp;$Y58,'Utility rates'!$L:$L,0),MATCH(U$5,'Utility rates'!$I$5:$K$5,0))</f>
        <v>0</v>
      </c>
      <c r="V58" s="283" t="str">
        <f>INDEX('Utility rates'!$I:$K,MATCH(V$4&amp;$Y58,'Utility rates'!$L:$L,0),MATCH(V$5,'Utility rates'!$I$5:$K$5,0))</f>
        <v>Not applicable to this rate class.</v>
      </c>
      <c r="W58" s="25">
        <f>INDEX('Utility rates'!$I:$K,MATCH(W$4&amp;$Y58,'Utility rates'!$L:$L,0),MATCH(W$5,'Utility rates'!$I$5:$K$5,0))</f>
        <v>0</v>
      </c>
      <c r="X58" s="206" t="s">
        <v>17</v>
      </c>
      <c r="Y58" s="104" t="str">
        <f>Lookups!$E$6&amp;$B$43&amp;$C$47&amp;$D$54&amp;E58&amp;F58</f>
        <v>LibertyCurrent RatesDistribution ChargesSummerThird Block$/Therm</v>
      </c>
      <c r="Z58" s="16" t="s">
        <v>17</v>
      </c>
    </row>
    <row r="59" spans="2:30" s="47" customFormat="1" x14ac:dyDescent="0.25">
      <c r="B59" s="305"/>
      <c r="C59" s="250" t="s">
        <v>214</v>
      </c>
      <c r="D59" s="250"/>
      <c r="E59" s="248"/>
      <c r="F59" s="248"/>
      <c r="G59" s="249"/>
      <c r="H59" s="5" t="s">
        <v>17</v>
      </c>
      <c r="I59" s="286"/>
      <c r="J59" s="313"/>
      <c r="K59" s="314"/>
      <c r="L59" s="5" t="s">
        <v>17</v>
      </c>
      <c r="M59" s="286"/>
      <c r="N59" s="313"/>
      <c r="O59" s="314"/>
      <c r="P59" s="5" t="s">
        <v>17</v>
      </c>
      <c r="Q59" s="286"/>
      <c r="R59" s="313"/>
      <c r="S59" s="314"/>
      <c r="T59" s="5" t="s">
        <v>17</v>
      </c>
      <c r="U59" s="286"/>
      <c r="V59" s="313"/>
      <c r="W59" s="314"/>
      <c r="X59" s="206" t="s">
        <v>17</v>
      </c>
      <c r="Y59" s="332"/>
      <c r="Z59" s="16" t="s">
        <v>17</v>
      </c>
    </row>
    <row r="60" spans="2:30" s="11" customFormat="1" x14ac:dyDescent="0.25">
      <c r="B60" s="309"/>
      <c r="C60" s="53"/>
      <c r="D60" s="465"/>
      <c r="E60" s="465" t="s">
        <v>340</v>
      </c>
      <c r="F60" s="466" t="s">
        <v>182</v>
      </c>
      <c r="G60" s="467" t="s">
        <v>342</v>
      </c>
      <c r="H60" s="5" t="s">
        <v>17</v>
      </c>
      <c r="I60" s="270">
        <f>INDEX('Utility rates'!$I:$K,MATCH(I$4&amp;$Y60,'Utility rates'!$L:$L,0),MATCH(I$5,'Utility rates'!$I$5:$K$5,0))</f>
        <v>-3.3000000000000002E-2</v>
      </c>
      <c r="J60" s="283" t="str">
        <f>INDEX('Utility rates'!$I:$K,MATCH(J$4&amp;$Y60,'Utility rates'!$L:$L,0),MATCH(J$5,'Utility rates'!$I$5:$K$5,0))</f>
        <v>When subtract EE Charge, the rate becomes negative</v>
      </c>
      <c r="K60" s="25" t="str">
        <f>INDEX('Utility rates'!$I:$K,MATCH(K$4&amp;$Y60,'Utility rates'!$L:$L,0),MATCH(K$5,'Utility rates'!$I$5:$K$5,0))</f>
        <v>File name: LU_Gas_LDAC_BackupData_20200221</v>
      </c>
      <c r="L60" s="5" t="s">
        <v>17</v>
      </c>
      <c r="M60" s="270">
        <f>INDEX('Utility rates'!$I:$K,MATCH(M$4&amp;$Y60,'Utility rates'!$L:$L,0),MATCH(M$5,'Utility rates'!$I$5:$K$5,0))</f>
        <v>-3.3000000000000002E-2</v>
      </c>
      <c r="N60" s="283" t="str">
        <f>INDEX('Utility rates'!$I:$K,MATCH(N$4&amp;$Y60,'Utility rates'!$L:$L,0),MATCH(N$5,'Utility rates'!$I$5:$K$5,0))</f>
        <v>When subtract EE Charge, the rate becomes negative</v>
      </c>
      <c r="O60" s="25" t="str">
        <f>INDEX('Utility rates'!$I:$K,MATCH(O$4&amp;$Y60,'Utility rates'!$L:$L,0),MATCH(O$5,'Utility rates'!$I$5:$K$5,0))</f>
        <v>File name: LU_Gas_LDAC_BackupData_20200221</v>
      </c>
      <c r="P60" s="5" t="s">
        <v>17</v>
      </c>
      <c r="Q60" s="270">
        <f>INDEX('Utility rates'!$I:$K,MATCH(Q$4&amp;$Y60,'Utility rates'!$L:$L,0),MATCH(Q$5,'Utility rates'!$I$5:$K$5,0))</f>
        <v>5.2000000000000032E-3</v>
      </c>
      <c r="R60" s="283">
        <f>INDEX('Utility rates'!$I:$K,MATCH(R$4&amp;$Y60,'Utility rates'!$L:$L,0),MATCH(R$5,'Utility rates'!$I$5:$K$5,0))</f>
        <v>0</v>
      </c>
      <c r="S60" s="25" t="str">
        <f>INDEX('Utility rates'!$I:$K,MATCH(S$4&amp;$Y60,'Utility rates'!$L:$L,0),MATCH(S$5,'Utility rates'!$I$5:$K$5,0))</f>
        <v>File name: LU_Gas_LDAC_BackupData_20200221</v>
      </c>
      <c r="T60" s="5" t="s">
        <v>17</v>
      </c>
      <c r="U60" s="270">
        <f>INDEX('Utility rates'!$I:$K,MATCH(U$4&amp;$Y60,'Utility rates'!$L:$L,0),MATCH(U$5,'Utility rates'!$I$5:$K$5,0))</f>
        <v>5.2000000000000032E-3</v>
      </c>
      <c r="V60" s="283">
        <f>INDEX('Utility rates'!$I:$K,MATCH(V$4&amp;$Y60,'Utility rates'!$L:$L,0),MATCH(V$5,'Utility rates'!$I$5:$K$5,0))</f>
        <v>0</v>
      </c>
      <c r="W60" s="25" t="str">
        <f>INDEX('Utility rates'!$I:$K,MATCH(W$4&amp;$Y60,'Utility rates'!$L:$L,0),MATCH(W$5,'Utility rates'!$I$5:$K$5,0))</f>
        <v>File name: LU_Gas_LDAC_BackupData_20200221</v>
      </c>
      <c r="X60" s="206" t="s">
        <v>17</v>
      </c>
      <c r="Y60" s="104" t="str">
        <f>Lookups!$E$6&amp;$B$43&amp;$C$59&amp;E60&amp;F60</f>
        <v>LibertyCurrent RatesLocal Distribution Adjustment Charge (LDAC)Winter Rate$/Therm</v>
      </c>
      <c r="Z60" s="16" t="s">
        <v>17</v>
      </c>
      <c r="AB60" s="208"/>
      <c r="AC60" s="430"/>
    </row>
    <row r="61" spans="2:30" s="11" customFormat="1" x14ac:dyDescent="0.25">
      <c r="B61" s="309"/>
      <c r="C61" s="53"/>
      <c r="D61" s="12"/>
      <c r="E61" s="12" t="s">
        <v>341</v>
      </c>
      <c r="F61" s="606" t="s">
        <v>182</v>
      </c>
      <c r="G61" s="670" t="s">
        <v>343</v>
      </c>
      <c r="H61" s="5" t="s">
        <v>17</v>
      </c>
      <c r="I61" s="270">
        <f>INDEX('Utility rates'!$I:$K,MATCH(I$4&amp;$Y61,'Utility rates'!$L:$L,0),MATCH(I$5,'Utility rates'!$I$5:$K$5,0))</f>
        <v>-3.3000000000000002E-2</v>
      </c>
      <c r="J61" s="283" t="str">
        <f>INDEX('Utility rates'!$I:$K,MATCH(J$4&amp;$Y61,'Utility rates'!$L:$L,0),MATCH(J$5,'Utility rates'!$I$5:$K$5,0))</f>
        <v>When subtract EE Charge, the rate becomes negative</v>
      </c>
      <c r="K61" s="25" t="str">
        <f>INDEX('Utility rates'!$I:$K,MATCH(K$4&amp;$Y61,'Utility rates'!$L:$L,0),MATCH(K$5,'Utility rates'!$I$5:$K$5,0))</f>
        <v>File name: LU_Gas_LDAC_BackupData_20200221</v>
      </c>
      <c r="L61" s="5" t="s">
        <v>17</v>
      </c>
      <c r="M61" s="270">
        <f>INDEX('Utility rates'!$I:$K,MATCH(M$4&amp;$Y61,'Utility rates'!$L:$L,0),MATCH(M$5,'Utility rates'!$I$5:$K$5,0))</f>
        <v>-3.3000000000000002E-2</v>
      </c>
      <c r="N61" s="283" t="str">
        <f>INDEX('Utility rates'!$I:$K,MATCH(N$4&amp;$Y61,'Utility rates'!$L:$L,0),MATCH(N$5,'Utility rates'!$I$5:$K$5,0))</f>
        <v>When subtract EE Charge, the rate becomes negative</v>
      </c>
      <c r="O61" s="25" t="str">
        <f>INDEX('Utility rates'!$I:$K,MATCH(O$4&amp;$Y61,'Utility rates'!$L:$L,0),MATCH(O$5,'Utility rates'!$I$5:$K$5,0))</f>
        <v>File name: LU_Gas_LDAC_BackupData_20200221</v>
      </c>
      <c r="P61" s="5" t="s">
        <v>17</v>
      </c>
      <c r="Q61" s="270">
        <f>INDEX('Utility rates'!$I:$K,MATCH(Q$4&amp;$Y61,'Utility rates'!$L:$L,0),MATCH(Q$5,'Utility rates'!$I$5:$K$5,0))</f>
        <v>5.2000000000000032E-3</v>
      </c>
      <c r="R61" s="283">
        <f>INDEX('Utility rates'!$I:$K,MATCH(R$4&amp;$Y61,'Utility rates'!$L:$L,0),MATCH(R$5,'Utility rates'!$I$5:$K$5,0))</f>
        <v>0</v>
      </c>
      <c r="S61" s="25" t="str">
        <f>INDEX('Utility rates'!$I:$K,MATCH(S$4&amp;$Y61,'Utility rates'!$L:$L,0),MATCH(S$5,'Utility rates'!$I$5:$K$5,0))</f>
        <v>File name: LU_Gas_LDAC_BackupData_20200221</v>
      </c>
      <c r="T61" s="5" t="s">
        <v>17</v>
      </c>
      <c r="U61" s="270">
        <f>INDEX('Utility rates'!$I:$K,MATCH(U$4&amp;$Y61,'Utility rates'!$L:$L,0),MATCH(U$5,'Utility rates'!$I$5:$K$5,0))</f>
        <v>5.2000000000000032E-3</v>
      </c>
      <c r="V61" s="283">
        <f>INDEX('Utility rates'!$I:$K,MATCH(V$4&amp;$Y61,'Utility rates'!$L:$L,0),MATCH(V$5,'Utility rates'!$I$5:$K$5,0))</f>
        <v>0</v>
      </c>
      <c r="W61" s="25" t="str">
        <f>INDEX('Utility rates'!$I:$K,MATCH(W$4&amp;$Y61,'Utility rates'!$L:$L,0),MATCH(W$5,'Utility rates'!$I$5:$K$5,0))</f>
        <v>File name: LU_Gas_LDAC_BackupData_20200221</v>
      </c>
      <c r="X61" s="206" t="s">
        <v>17</v>
      </c>
      <c r="Y61" s="104" t="str">
        <f>Lookups!$E$6&amp;$B$43&amp;$C$59&amp;E61&amp;F61</f>
        <v>LibertyCurrent RatesLocal Distribution Adjustment Charge (LDAC)Summer Rate$/Therm</v>
      </c>
      <c r="Z61" s="16" t="s">
        <v>17</v>
      </c>
      <c r="AB61" s="208"/>
      <c r="AC61" s="430"/>
    </row>
    <row r="62" spans="2:30" s="47" customFormat="1" x14ac:dyDescent="0.25">
      <c r="B62" s="305"/>
      <c r="C62" s="53"/>
      <c r="D62" s="317"/>
      <c r="E62" s="19" t="s">
        <v>61</v>
      </c>
      <c r="F62" s="19" t="s">
        <v>16</v>
      </c>
      <c r="G62" s="434" t="s">
        <v>152</v>
      </c>
      <c r="H62" s="5" t="s">
        <v>17</v>
      </c>
      <c r="I62" s="267">
        <f>INDEX('Utility rates'!$I:$K,MATCH(I$4&amp;$Y62,'Utility rates'!$L:$L,0),MATCH(I$5,'Utility rates'!$I$5:$K$5,0))</f>
        <v>0</v>
      </c>
      <c r="J62" s="282" t="str">
        <f>INDEX('Utility rates'!$I:$K,MATCH(J$4&amp;$Y62,'Utility rates'!$L:$L,0),MATCH(J$5,'Utility rates'!$I$5:$K$5,0))</f>
        <v>User-defined</v>
      </c>
      <c r="K62" s="26">
        <f>INDEX('Utility rates'!$I:$K,MATCH(K$4&amp;$Y62,'Utility rates'!$L:$L,0),MATCH(K$5,'Utility rates'!$I$5:$K$5,0))</f>
        <v>0</v>
      </c>
      <c r="L62" s="5" t="s">
        <v>17</v>
      </c>
      <c r="M62" s="267">
        <f>INDEX('Utility rates'!$I:$K,MATCH(M$4&amp;$Y62,'Utility rates'!$L:$L,0),MATCH(M$5,'Utility rates'!$I$5:$K$5,0))</f>
        <v>0</v>
      </c>
      <c r="N62" s="282" t="str">
        <f>INDEX('Utility rates'!$I:$K,MATCH(N$4&amp;$Y62,'Utility rates'!$L:$L,0),MATCH(N$5,'Utility rates'!$I$5:$K$5,0))</f>
        <v>User-defined</v>
      </c>
      <c r="O62" s="26">
        <f>INDEX('Utility rates'!$I:$K,MATCH(O$4&amp;$Y62,'Utility rates'!$L:$L,0),MATCH(O$5,'Utility rates'!$I$5:$K$5,0))</f>
        <v>0</v>
      </c>
      <c r="P62" s="5" t="s">
        <v>17</v>
      </c>
      <c r="Q62" s="267">
        <f>INDEX('Utility rates'!$I:$K,MATCH(Q$4&amp;$Y62,'Utility rates'!$L:$L,0),MATCH(Q$5,'Utility rates'!$I$5:$K$5,0))</f>
        <v>0</v>
      </c>
      <c r="R62" s="282" t="str">
        <f>INDEX('Utility rates'!$I:$K,MATCH(R$4&amp;$Y62,'Utility rates'!$L:$L,0),MATCH(R$5,'Utility rates'!$I$5:$K$5,0))</f>
        <v>User-defined</v>
      </c>
      <c r="S62" s="26">
        <f>INDEX('Utility rates'!$I:$K,MATCH(S$4&amp;$Y62,'Utility rates'!$L:$L,0),MATCH(S$5,'Utility rates'!$I$5:$K$5,0))</f>
        <v>0</v>
      </c>
      <c r="T62" s="5" t="s">
        <v>17</v>
      </c>
      <c r="U62" s="267">
        <f>INDEX('Utility rates'!$I:$K,MATCH(U$4&amp;$Y62,'Utility rates'!$L:$L,0),MATCH(U$5,'Utility rates'!$I$5:$K$5,0))</f>
        <v>0</v>
      </c>
      <c r="V62" s="282" t="str">
        <f>INDEX('Utility rates'!$I:$K,MATCH(V$4&amp;$Y62,'Utility rates'!$L:$L,0),MATCH(V$5,'Utility rates'!$I$5:$K$5,0))</f>
        <v>User-defined</v>
      </c>
      <c r="W62" s="26">
        <f>INDEX('Utility rates'!$I:$K,MATCH(W$4&amp;$Y62,'Utility rates'!$L:$L,0),MATCH(W$5,'Utility rates'!$I$5:$K$5,0))</f>
        <v>0</v>
      </c>
      <c r="X62" s="206" t="s">
        <v>17</v>
      </c>
      <c r="Y62" s="104" t="str">
        <f>Lookups!$E$6&amp;$B$43&amp;$C$59&amp;E62&amp;F62</f>
        <v>LibertyCurrent RatesLocal Distribution Adjustment Charge (LDAC)Annual Rate Change%</v>
      </c>
      <c r="Z62" s="16" t="s">
        <v>17</v>
      </c>
    </row>
    <row r="63" spans="2:30" s="47" customFormat="1" x14ac:dyDescent="0.25">
      <c r="B63" s="305"/>
      <c r="C63" s="250" t="s">
        <v>183</v>
      </c>
      <c r="D63" s="250"/>
      <c r="E63" s="248"/>
      <c r="F63" s="248"/>
      <c r="G63" s="249"/>
      <c r="H63" s="5" t="s">
        <v>17</v>
      </c>
      <c r="I63" s="286"/>
      <c r="J63" s="313"/>
      <c r="K63" s="314"/>
      <c r="L63" s="5" t="s">
        <v>17</v>
      </c>
      <c r="M63" s="286"/>
      <c r="N63" s="313"/>
      <c r="O63" s="314"/>
      <c r="P63" s="5" t="s">
        <v>17</v>
      </c>
      <c r="Q63" s="286"/>
      <c r="R63" s="313"/>
      <c r="S63" s="314"/>
      <c r="T63" s="5" t="s">
        <v>17</v>
      </c>
      <c r="U63" s="286"/>
      <c r="V63" s="313"/>
      <c r="W63" s="314"/>
      <c r="X63" s="206" t="s">
        <v>17</v>
      </c>
      <c r="Y63" s="332"/>
      <c r="Z63" s="16" t="s">
        <v>17</v>
      </c>
    </row>
    <row r="64" spans="2:30" s="11" customFormat="1" x14ac:dyDescent="0.25">
      <c r="B64" s="309"/>
      <c r="C64" s="53"/>
      <c r="D64" s="465"/>
      <c r="E64" s="465" t="s">
        <v>340</v>
      </c>
      <c r="F64" s="466" t="s">
        <v>182</v>
      </c>
      <c r="G64" s="467" t="s">
        <v>344</v>
      </c>
      <c r="H64" s="5" t="s">
        <v>17</v>
      </c>
      <c r="I64" s="270">
        <f>INDEX('Utility rates'!$I:$K,MATCH(I$4&amp;$Y64,'Utility rates'!$L:$L,0),MATCH(I$5,'Utility rates'!$I$5:$K$5,0))</f>
        <v>0.62029999999999996</v>
      </c>
      <c r="J64" s="283">
        <f>INDEX('Utility rates'!$I:$K,MATCH(J$4&amp;$Y64,'Utility rates'!$L:$L,0),MATCH(J$5,'Utility rates'!$I$5:$K$5,0))</f>
        <v>0</v>
      </c>
      <c r="K64" s="25" t="str">
        <f>INDEX('Utility rates'!$I:$K,MATCH(K$4&amp;$Y64,'Utility rates'!$L:$L,0),MATCH(K$5,'Utility rates'!$I$5:$K$5,0))</f>
        <v>File name: LU - EE Bill impact calc Winter 2019-2020 COG Filing (gas)</v>
      </c>
      <c r="L64" s="5" t="s">
        <v>17</v>
      </c>
      <c r="M64" s="270">
        <f>INDEX('Utility rates'!$I:$K,MATCH(M$4&amp;$Y64,'Utility rates'!$L:$L,0),MATCH(M$5,'Utility rates'!$I$5:$K$5,0))</f>
        <v>0.62029999999999996</v>
      </c>
      <c r="N64" s="283" t="str">
        <f>INDEX('Utility rates'!$I:$K,MATCH(N$4&amp;$Y64,'Utility rates'!$L:$L,0),MATCH(N$5,'Utility rates'!$I$5:$K$5,0))</f>
        <v>Same as R-3</v>
      </c>
      <c r="O64" s="25" t="str">
        <f>INDEX('Utility rates'!$I:$K,MATCH(O$4&amp;$Y64,'Utility rates'!$L:$L,0),MATCH(O$5,'Utility rates'!$I$5:$K$5,0))</f>
        <v>File name: LU - EE Bill impact calc Winter 2019-2020 COG Filing (gas)</v>
      </c>
      <c r="P64" s="5" t="s">
        <v>17</v>
      </c>
      <c r="Q64" s="270">
        <f>INDEX('Utility rates'!$I:$K,MATCH(Q$4&amp;$Y64,'Utility rates'!$L:$L,0),MATCH(Q$5,'Utility rates'!$I$5:$K$5,0))</f>
        <v>0.61899999999999999</v>
      </c>
      <c r="R64" s="283">
        <f>INDEX('Utility rates'!$I:$K,MATCH(R$4&amp;$Y64,'Utility rates'!$L:$L,0),MATCH(R$5,'Utility rates'!$I$5:$K$5,0))</f>
        <v>0</v>
      </c>
      <c r="S64" s="25" t="str">
        <f>INDEX('Utility rates'!$I:$K,MATCH(S$4&amp;$Y64,'Utility rates'!$L:$L,0),MATCH(S$5,'Utility rates'!$I$5:$K$5,0))</f>
        <v>File name: LU - EE Bill impact calc Winter 2019-2020 COG Filing (gas)</v>
      </c>
      <c r="T64" s="5" t="s">
        <v>17</v>
      </c>
      <c r="U64" s="270">
        <f>INDEX('Utility rates'!$I:$K,MATCH(U$4&amp;$Y64,'Utility rates'!$L:$L,0),MATCH(U$5,'Utility rates'!$I$5:$K$5,0))</f>
        <v>0.61899999999999999</v>
      </c>
      <c r="V64" s="283" t="str">
        <f>INDEX('Utility rates'!$I:$K,MATCH(V$4&amp;$Y64,'Utility rates'!$L:$L,0),MATCH(V$5,'Utility rates'!$I$5:$K$5,0))</f>
        <v>Same as G-41</v>
      </c>
      <c r="W64" s="25" t="str">
        <f>INDEX('Utility rates'!$I:$K,MATCH(W$4&amp;$Y64,'Utility rates'!$L:$L,0),MATCH(W$5,'Utility rates'!$I$5:$K$5,0))</f>
        <v>File name: LU - EE Bill impact calc Winter 2019-2020 COG Filing (gas)</v>
      </c>
      <c r="X64" s="206" t="s">
        <v>17</v>
      </c>
      <c r="Y64" s="104" t="str">
        <f>Lookups!$E$6&amp;$B$43&amp;$C$63&amp;E64&amp;F64</f>
        <v>LibertyCurrent RatesCost of Gas ChargeWinter Rate$/Therm</v>
      </c>
      <c r="Z64" s="16" t="s">
        <v>17</v>
      </c>
      <c r="AB64" s="208"/>
      <c r="AC64" s="430"/>
    </row>
    <row r="65" spans="1:30" s="11" customFormat="1" x14ac:dyDescent="0.25">
      <c r="B65" s="309"/>
      <c r="C65" s="53"/>
      <c r="D65" s="12"/>
      <c r="E65" s="12" t="s">
        <v>341</v>
      </c>
      <c r="F65" s="606" t="s">
        <v>182</v>
      </c>
      <c r="G65" s="670" t="s">
        <v>345</v>
      </c>
      <c r="H65" s="5" t="s">
        <v>17</v>
      </c>
      <c r="I65" s="270">
        <f>INDEX('Utility rates'!$I:$K,MATCH(I$4&amp;$Y65,'Utility rates'!$L:$L,0),MATCH(I$5,'Utility rates'!$I$5:$K$5,0))</f>
        <v>0.62029999999999996</v>
      </c>
      <c r="J65" s="283">
        <f>INDEX('Utility rates'!$I:$K,MATCH(J$4&amp;$Y65,'Utility rates'!$L:$L,0),MATCH(J$5,'Utility rates'!$I$5:$K$5,0))</f>
        <v>0</v>
      </c>
      <c r="K65" s="25">
        <f>INDEX('Utility rates'!$I:$K,MATCH(K$4&amp;$Y65,'Utility rates'!$L:$L,0),MATCH(K$5,'Utility rates'!$I$5:$K$5,0))</f>
        <v>0</v>
      </c>
      <c r="L65" s="5" t="s">
        <v>17</v>
      </c>
      <c r="M65" s="270">
        <f>INDEX('Utility rates'!$I:$K,MATCH(M$4&amp;$Y65,'Utility rates'!$L:$L,0),MATCH(M$5,'Utility rates'!$I$5:$K$5,0))</f>
        <v>0.62029999999999996</v>
      </c>
      <c r="N65" s="283" t="str">
        <f>INDEX('Utility rates'!$I:$K,MATCH(N$4&amp;$Y65,'Utility rates'!$L:$L,0),MATCH(N$5,'Utility rates'!$I$5:$K$5,0))</f>
        <v>Same as R-3</v>
      </c>
      <c r="O65" s="25">
        <f>INDEX('Utility rates'!$I:$K,MATCH(O$4&amp;$Y65,'Utility rates'!$L:$L,0),MATCH(O$5,'Utility rates'!$I$5:$K$5,0))</f>
        <v>0</v>
      </c>
      <c r="P65" s="5" t="s">
        <v>17</v>
      </c>
      <c r="Q65" s="270">
        <f>INDEX('Utility rates'!$I:$K,MATCH(Q$4&amp;$Y65,'Utility rates'!$L:$L,0),MATCH(Q$5,'Utility rates'!$I$5:$K$5,0))</f>
        <v>0.61899999999999999</v>
      </c>
      <c r="R65" s="283">
        <f>INDEX('Utility rates'!$I:$K,MATCH(R$4&amp;$Y65,'Utility rates'!$L:$L,0),MATCH(R$5,'Utility rates'!$I$5:$K$5,0))</f>
        <v>0</v>
      </c>
      <c r="S65" s="25">
        <f>INDEX('Utility rates'!$I:$K,MATCH(S$4&amp;$Y65,'Utility rates'!$L:$L,0),MATCH(S$5,'Utility rates'!$I$5:$K$5,0))</f>
        <v>0</v>
      </c>
      <c r="T65" s="5" t="s">
        <v>17</v>
      </c>
      <c r="U65" s="270">
        <f>INDEX('Utility rates'!$I:$K,MATCH(U$4&amp;$Y65,'Utility rates'!$L:$L,0),MATCH(U$5,'Utility rates'!$I$5:$K$5,0))</f>
        <v>0.61899999999999999</v>
      </c>
      <c r="V65" s="283">
        <f>INDEX('Utility rates'!$I:$K,MATCH(V$4&amp;$Y65,'Utility rates'!$L:$L,0),MATCH(V$5,'Utility rates'!$I$5:$K$5,0))</f>
        <v>0</v>
      </c>
      <c r="W65" s="25">
        <f>INDEX('Utility rates'!$I:$K,MATCH(W$4&amp;$Y65,'Utility rates'!$L:$L,0),MATCH(W$5,'Utility rates'!$I$5:$K$5,0))</f>
        <v>0</v>
      </c>
      <c r="X65" s="206" t="s">
        <v>17</v>
      </c>
      <c r="Y65" s="104" t="str">
        <f>Lookups!$E$6&amp;$B$43&amp;$C$63&amp;E65&amp;F65</f>
        <v>LibertyCurrent RatesCost of Gas ChargeSummer Rate$/Therm</v>
      </c>
      <c r="Z65" s="16" t="s">
        <v>17</v>
      </c>
      <c r="AB65" s="208"/>
      <c r="AC65" s="430"/>
    </row>
    <row r="66" spans="1:30" s="47" customFormat="1" x14ac:dyDescent="0.25">
      <c r="B66" s="305"/>
      <c r="C66" s="53"/>
      <c r="D66" s="317"/>
      <c r="E66" s="19" t="s">
        <v>61</v>
      </c>
      <c r="F66" s="19" t="s">
        <v>16</v>
      </c>
      <c r="G66" s="434" t="s">
        <v>152</v>
      </c>
      <c r="H66" s="5" t="s">
        <v>17</v>
      </c>
      <c r="I66" s="267">
        <f>INDEX('Utility rates'!$I:$K,MATCH(I$4&amp;$Y66,'Utility rates'!$L:$L,0),MATCH(I$5,'Utility rates'!$I$5:$K$5,0))</f>
        <v>0</v>
      </c>
      <c r="J66" s="282" t="str">
        <f>INDEX('Utility rates'!$I:$K,MATCH(J$4&amp;$Y66,'Utility rates'!$L:$L,0),MATCH(J$5,'Utility rates'!$I$5:$K$5,0))</f>
        <v>User-defined</v>
      </c>
      <c r="K66" s="26">
        <f>INDEX('Utility rates'!$I:$K,MATCH(K$4&amp;$Y66,'Utility rates'!$L:$L,0),MATCH(K$5,'Utility rates'!$I$5:$K$5,0))</f>
        <v>0</v>
      </c>
      <c r="L66" s="5" t="s">
        <v>17</v>
      </c>
      <c r="M66" s="267">
        <f>INDEX('Utility rates'!$I:$K,MATCH(M$4&amp;$Y66,'Utility rates'!$L:$L,0),MATCH(M$5,'Utility rates'!$I$5:$K$5,0))</f>
        <v>0</v>
      </c>
      <c r="N66" s="282" t="str">
        <f>INDEX('Utility rates'!$I:$K,MATCH(N$4&amp;$Y66,'Utility rates'!$L:$L,0),MATCH(N$5,'Utility rates'!$I$5:$K$5,0))</f>
        <v>User-defined</v>
      </c>
      <c r="O66" s="26">
        <f>INDEX('Utility rates'!$I:$K,MATCH(O$4&amp;$Y66,'Utility rates'!$L:$L,0),MATCH(O$5,'Utility rates'!$I$5:$K$5,0))</f>
        <v>0</v>
      </c>
      <c r="P66" s="5" t="s">
        <v>17</v>
      </c>
      <c r="Q66" s="267">
        <f>INDEX('Utility rates'!$I:$K,MATCH(Q$4&amp;$Y66,'Utility rates'!$L:$L,0),MATCH(Q$5,'Utility rates'!$I$5:$K$5,0))</f>
        <v>0</v>
      </c>
      <c r="R66" s="282" t="str">
        <f>INDEX('Utility rates'!$I:$K,MATCH(R$4&amp;$Y66,'Utility rates'!$L:$L,0),MATCH(R$5,'Utility rates'!$I$5:$K$5,0))</f>
        <v>User-defined</v>
      </c>
      <c r="S66" s="26">
        <f>INDEX('Utility rates'!$I:$K,MATCH(S$4&amp;$Y66,'Utility rates'!$L:$L,0),MATCH(S$5,'Utility rates'!$I$5:$K$5,0))</f>
        <v>0</v>
      </c>
      <c r="T66" s="5" t="s">
        <v>17</v>
      </c>
      <c r="U66" s="267">
        <f>INDEX('Utility rates'!$I:$K,MATCH(U$4&amp;$Y66,'Utility rates'!$L:$L,0),MATCH(U$5,'Utility rates'!$I$5:$K$5,0))</f>
        <v>0</v>
      </c>
      <c r="V66" s="282" t="str">
        <f>INDEX('Utility rates'!$I:$K,MATCH(V$4&amp;$Y66,'Utility rates'!$L:$L,0),MATCH(V$5,'Utility rates'!$I$5:$K$5,0))</f>
        <v>User-defined</v>
      </c>
      <c r="W66" s="26">
        <f>INDEX('Utility rates'!$I:$K,MATCH(W$4&amp;$Y66,'Utility rates'!$L:$L,0),MATCH(W$5,'Utility rates'!$I$5:$K$5,0))</f>
        <v>0</v>
      </c>
      <c r="X66" s="206" t="s">
        <v>17</v>
      </c>
      <c r="Y66" s="104" t="str">
        <f>Lookups!$E$6&amp;$B$43&amp;$C$63&amp;E66&amp;F66</f>
        <v>LibertyCurrent RatesCost of Gas ChargeAnnual Rate Change%</v>
      </c>
      <c r="Z66" s="16" t="s">
        <v>17</v>
      </c>
    </row>
    <row r="67" spans="1:30" x14ac:dyDescent="0.25">
      <c r="B67" s="461"/>
      <c r="C67" s="216"/>
      <c r="D67" s="216"/>
      <c r="E67" s="216"/>
      <c r="F67" s="216"/>
      <c r="G67" s="217"/>
      <c r="H67" s="5" t="s">
        <v>17</v>
      </c>
      <c r="I67" s="462"/>
      <c r="J67" s="463"/>
      <c r="K67" s="464"/>
      <c r="L67" s="5" t="s">
        <v>17</v>
      </c>
      <c r="M67" s="462"/>
      <c r="N67" s="463"/>
      <c r="O67" s="464"/>
      <c r="P67" s="5" t="s">
        <v>17</v>
      </c>
      <c r="Q67" s="462"/>
      <c r="R67" s="463"/>
      <c r="S67" s="464"/>
      <c r="T67" s="5" t="s">
        <v>17</v>
      </c>
      <c r="U67" s="462"/>
      <c r="V67" s="463"/>
      <c r="W67" s="464"/>
      <c r="X67" s="206" t="s">
        <v>17</v>
      </c>
      <c r="Z67" s="16" t="s">
        <v>17</v>
      </c>
    </row>
    <row r="68" spans="1:30" x14ac:dyDescent="0.25">
      <c r="H68" s="5" t="s">
        <v>17</v>
      </c>
      <c r="J68" s="9"/>
      <c r="K68" s="9"/>
      <c r="L68" s="5" t="s">
        <v>17</v>
      </c>
      <c r="M68" s="9"/>
      <c r="P68" s="5" t="s">
        <v>17</v>
      </c>
      <c r="T68" s="5" t="s">
        <v>17</v>
      </c>
    </row>
    <row r="69" spans="1:30" x14ac:dyDescent="0.25">
      <c r="H69" s="5" t="s">
        <v>17</v>
      </c>
      <c r="J69" s="9"/>
      <c r="K69" s="9"/>
      <c r="L69" s="5" t="s">
        <v>17</v>
      </c>
      <c r="M69" s="9"/>
      <c r="P69" s="5" t="s">
        <v>17</v>
      </c>
      <c r="T69" s="5" t="s">
        <v>17</v>
      </c>
    </row>
    <row r="70" spans="1:30" ht="21.75" thickBot="1" x14ac:dyDescent="0.3">
      <c r="B70" s="276" t="s">
        <v>39</v>
      </c>
      <c r="C70" s="277"/>
      <c r="D70" s="277"/>
      <c r="E70" s="271"/>
      <c r="F70" s="271"/>
      <c r="G70" s="271"/>
      <c r="I70" s="271"/>
      <c r="J70" s="273"/>
      <c r="K70" s="273"/>
      <c r="M70" s="272"/>
      <c r="N70" s="273"/>
      <c r="O70" s="273"/>
      <c r="Q70" s="272"/>
      <c r="R70" s="273"/>
      <c r="S70" s="273"/>
      <c r="U70" s="272"/>
      <c r="V70" s="273"/>
      <c r="W70" s="273"/>
    </row>
    <row r="71" spans="1:30" s="104" customFormat="1" ht="16.5" thickTop="1" x14ac:dyDescent="0.25">
      <c r="A71" s="47"/>
      <c r="B71" s="46"/>
      <c r="C71" s="252" t="s">
        <v>196</v>
      </c>
      <c r="D71" s="252"/>
      <c r="E71" s="253"/>
      <c r="F71" s="254"/>
      <c r="G71" s="253"/>
      <c r="I71" s="255"/>
      <c r="J71" s="253"/>
      <c r="K71" s="253"/>
      <c r="M71" s="255"/>
      <c r="N71" s="253"/>
      <c r="O71" s="253"/>
      <c r="Q71" s="255"/>
      <c r="R71" s="253"/>
      <c r="S71" s="253"/>
      <c r="U71" s="255"/>
      <c r="V71" s="253"/>
      <c r="W71" s="253"/>
    </row>
    <row r="72" spans="1:30" s="104" customFormat="1" x14ac:dyDescent="0.25">
      <c r="B72" s="105"/>
      <c r="C72" s="106"/>
      <c r="D72" s="106"/>
      <c r="E72" s="416" t="s">
        <v>359</v>
      </c>
      <c r="F72" s="111" t="s">
        <v>195</v>
      </c>
      <c r="G72" s="416" t="s">
        <v>243</v>
      </c>
      <c r="H72" s="104" t="s">
        <v>17</v>
      </c>
      <c r="I72" s="417">
        <f>IFERROR(INDEX('Multi-Year Inputs'!$E$41:$E$44,MATCH(I$4,'Multi-Year Inputs'!$D$41:$D$44,0))/I12,0)</f>
        <v>816.54445687890097</v>
      </c>
      <c r="J72" s="299"/>
      <c r="K72" s="279"/>
      <c r="M72" s="417">
        <f>IFERROR(INDEX('Multi-Year Inputs'!$E$41:$E$44,MATCH(M$4,'Multi-Year Inputs'!$D$41:$D$44,0))/M12,0)</f>
        <v>802.17328090678041</v>
      </c>
      <c r="N72" s="299"/>
      <c r="O72" s="279"/>
      <c r="Q72" s="417">
        <f>IFERROR(INDEX('Multi-Year Inputs'!$E$41:$E$44,MATCH(Q$4,'Multi-Year Inputs'!$D$41:$D$44,0))/Q12,0)</f>
        <v>2376.9343547434069</v>
      </c>
      <c r="R72" s="358"/>
      <c r="S72" s="279"/>
      <c r="U72" s="417">
        <f>IFERROR(INDEX('Multi-Year Inputs'!$E$41:$E$44,MATCH(U$4,'Multi-Year Inputs'!$D$41:$D$44,0))/U12,0)</f>
        <v>203842.14471875547</v>
      </c>
      <c r="V72" s="299"/>
      <c r="W72" s="279"/>
    </row>
    <row r="73" spans="1:30" s="104" customFormat="1" x14ac:dyDescent="0.25">
      <c r="B73" s="105"/>
      <c r="C73" s="106"/>
      <c r="D73" s="106"/>
      <c r="E73" s="416" t="s">
        <v>75</v>
      </c>
      <c r="F73" s="111" t="s">
        <v>182</v>
      </c>
      <c r="G73" s="416" t="s">
        <v>360</v>
      </c>
      <c r="H73" s="104" t="s">
        <v>17</v>
      </c>
      <c r="I73" s="418">
        <f>IFERROR((I45*12)/I72,0)</f>
        <v>0.2233803664496018</v>
      </c>
      <c r="J73" s="299"/>
      <c r="K73" s="279"/>
      <c r="M73" s="418">
        <f>IFERROR((M45*12)/M72,0)</f>
        <v>9.0952917202036049E-2</v>
      </c>
      <c r="N73" s="299"/>
      <c r="O73" s="279"/>
      <c r="Q73" s="418">
        <f>IFERROR((Q45*12)/Q72,0)</f>
        <v>0.28453457229491286</v>
      </c>
      <c r="R73" s="358"/>
      <c r="S73" s="279"/>
      <c r="U73" s="418">
        <f>IFERROR((U45*12)/U72,0)</f>
        <v>4.271893828439878E-2</v>
      </c>
      <c r="V73" s="299"/>
      <c r="W73" s="279"/>
    </row>
    <row r="74" spans="1:30" s="104" customFormat="1" x14ac:dyDescent="0.25">
      <c r="B74" s="105"/>
      <c r="C74" s="252" t="s">
        <v>308</v>
      </c>
      <c r="D74" s="252"/>
      <c r="E74" s="253"/>
      <c r="F74" s="254"/>
      <c r="G74" s="253"/>
      <c r="H74" s="104" t="s">
        <v>17</v>
      </c>
      <c r="I74" s="255"/>
      <c r="J74" s="253"/>
      <c r="K74" s="253"/>
      <c r="M74" s="255"/>
      <c r="N74" s="253"/>
      <c r="O74" s="253"/>
      <c r="Q74" s="255"/>
      <c r="R74" s="253"/>
      <c r="S74" s="253"/>
      <c r="U74" s="255"/>
      <c r="V74" s="253"/>
      <c r="W74" s="253"/>
    </row>
    <row r="75" spans="1:30" s="47" customFormat="1" x14ac:dyDescent="0.25">
      <c r="A75" s="104"/>
      <c r="B75" s="105"/>
      <c r="C75" s="207"/>
      <c r="D75" s="669" t="s">
        <v>26</v>
      </c>
      <c r="E75" s="666"/>
      <c r="F75" s="661"/>
      <c r="G75" s="661"/>
      <c r="H75" s="5"/>
      <c r="I75" s="667"/>
      <c r="J75" s="662"/>
      <c r="K75" s="662"/>
      <c r="L75" s="5"/>
      <c r="M75" s="667"/>
      <c r="N75" s="662"/>
      <c r="O75" s="662"/>
      <c r="P75" s="5"/>
      <c r="Q75" s="667"/>
      <c r="R75" s="662"/>
      <c r="S75" s="662"/>
      <c r="T75" s="5"/>
      <c r="U75" s="667"/>
      <c r="V75" s="662"/>
      <c r="W75" s="662"/>
      <c r="X75" s="206"/>
      <c r="Y75" s="104"/>
      <c r="Z75" s="16" t="s">
        <v>17</v>
      </c>
      <c r="AA75" s="5"/>
      <c r="AB75" s="5"/>
      <c r="AC75" s="104"/>
      <c r="AD75" s="668"/>
    </row>
    <row r="76" spans="1:30" s="104" customFormat="1" x14ac:dyDescent="0.25">
      <c r="B76" s="105"/>
      <c r="C76" s="106"/>
      <c r="D76" s="106"/>
      <c r="E76" s="106" t="s">
        <v>329</v>
      </c>
      <c r="F76" s="111" t="s">
        <v>32</v>
      </c>
      <c r="G76" s="416" t="s">
        <v>320</v>
      </c>
      <c r="H76" s="104" t="s">
        <v>17</v>
      </c>
      <c r="I76" s="112">
        <f>IF(I50=0,I51*I33+I52*I34+I53*I35,I50*INDEX('Multi-Year Inputs'!$E$31:$E$34,MATCH(I$4,'Multi-Year Inputs'!$D$31:$D$34,0)))</f>
        <v>32592900.571774282</v>
      </c>
      <c r="J76" s="706"/>
      <c r="K76" s="112"/>
      <c r="L76" s="333"/>
      <c r="M76" s="112">
        <f>IF(M50=0,M51*M33+M52*M34+M53*M35,M50*INDEX('Multi-Year Inputs'!$E$31:$E$34,MATCH(M$4,'Multi-Year Inputs'!$D$31:$D$34,0)))</f>
        <v>1041281.9767259974</v>
      </c>
      <c r="N76" s="706"/>
      <c r="O76" s="112"/>
      <c r="P76" s="333"/>
      <c r="Q76" s="112">
        <f>IF(Q50=0,Q51*Q33+Q52*Q34+Q53*Q35,Q50*INDEX('Multi-Year Inputs'!$E$31:$E$34,MATCH(Q$4,'Multi-Year Inputs'!$D$31:$D$34,0)))</f>
        <v>7314763.9079524996</v>
      </c>
      <c r="R76" s="707"/>
      <c r="S76" s="112"/>
      <c r="T76" s="333"/>
      <c r="U76" s="112">
        <f>IF(U50=0,U51*U33+U52*U34+U53*U35,U50*INDEX('Multi-Year Inputs'!$E$31:$E$34,MATCH(U$4,'Multi-Year Inputs'!$D$31:$D$34,0)))</f>
        <v>1330208.1466124975</v>
      </c>
      <c r="V76" s="299"/>
      <c r="W76" s="279"/>
    </row>
    <row r="77" spans="1:30" s="104" customFormat="1" x14ac:dyDescent="0.25">
      <c r="B77" s="105"/>
      <c r="C77" s="106"/>
      <c r="D77" s="106"/>
      <c r="E77" s="106" t="s">
        <v>330</v>
      </c>
      <c r="F77" s="111" t="s">
        <v>32</v>
      </c>
      <c r="G77" s="416" t="s">
        <v>321</v>
      </c>
      <c r="H77" s="104" t="s">
        <v>17</v>
      </c>
      <c r="I77" s="112">
        <f>IF(I55=0,I56*I39+I57*I40+I58*I41,I55*INDEX('Multi-Year Inputs'!$E$36:$E$39,MATCH(I$4,'Multi-Year Inputs'!$D$36:$D$39,0)))</f>
        <v>0</v>
      </c>
      <c r="J77" s="706"/>
      <c r="K77" s="112"/>
      <c r="L77" s="333"/>
      <c r="M77" s="112">
        <f>IF(M55=0,M56*M39+M57*M40+M58*M41,M55*INDEX('Multi-Year Inputs'!$E$36:$E$39,MATCH(M$4,'Multi-Year Inputs'!$D$36:$D$39,0)))</f>
        <v>0</v>
      </c>
      <c r="N77" s="706"/>
      <c r="O77" s="112"/>
      <c r="P77" s="333"/>
      <c r="Q77" s="112">
        <f>IF(Q55=0,Q56*Q39+Q57*Q40+Q58*Q41,Q55*INDEX('Multi-Year Inputs'!$E$36:$E$39,MATCH(Q$4,'Multi-Year Inputs'!$D$36:$D$39,0)))</f>
        <v>1058261.0407987661</v>
      </c>
      <c r="R77" s="707"/>
      <c r="S77" s="112"/>
      <c r="T77" s="333"/>
      <c r="U77" s="112">
        <f>IF(U55=0,U56*U39+U57*U40+U58*U41,U55*INDEX('Multi-Year Inputs'!$E$36:$E$39,MATCH(U$4,'Multi-Year Inputs'!$D$36:$D$39,0)))</f>
        <v>0</v>
      </c>
      <c r="V77" s="299"/>
      <c r="W77" s="279"/>
    </row>
    <row r="78" spans="1:30" s="104" customFormat="1" x14ac:dyDescent="0.25">
      <c r="B78" s="105"/>
      <c r="C78" s="106"/>
      <c r="D78" s="106"/>
      <c r="E78" s="106" t="s">
        <v>337</v>
      </c>
      <c r="F78" s="111" t="s">
        <v>182</v>
      </c>
      <c r="G78" s="416" t="s">
        <v>322</v>
      </c>
      <c r="H78" s="104" t="s">
        <v>17</v>
      </c>
      <c r="I78" s="660">
        <f>(I76+I77)/INDEX('Multi-Year Inputs'!$E$41:$E$44,MATCH(I$4,'Multi-Year Inputs'!$D$41:$D$44,0))</f>
        <v>0.55689999999999995</v>
      </c>
      <c r="J78" s="298"/>
      <c r="K78" s="29"/>
      <c r="M78" s="660">
        <f>(M76+M77)/INDEX('Multi-Year Inputs'!$E$41:$E$44,MATCH(M$4,'Multi-Year Inputs'!$D$41:$D$44,0))</f>
        <v>0.2228</v>
      </c>
      <c r="N78" s="298"/>
      <c r="O78" s="29"/>
      <c r="Q78" s="660">
        <f>(Q76+Q77)/INDEX('Multi-Year Inputs'!$E$41:$E$44,MATCH(Q$4,'Multi-Year Inputs'!$D$41:$D$44,0))</f>
        <v>0.39211256243681192</v>
      </c>
      <c r="R78" s="298"/>
      <c r="S78" s="29"/>
      <c r="U78" s="660">
        <f>(U76+U77)/INDEX('Multi-Year Inputs'!$E$41:$E$44,MATCH(U$4,'Multi-Year Inputs'!$D$41:$D$44,0))</f>
        <v>0.1181</v>
      </c>
      <c r="V78" s="298"/>
      <c r="W78" s="29"/>
    </row>
    <row r="79" spans="1:30" s="47" customFormat="1" x14ac:dyDescent="0.25">
      <c r="A79" s="104"/>
      <c r="B79" s="105"/>
      <c r="C79" s="207"/>
      <c r="D79" s="669" t="s">
        <v>217</v>
      </c>
      <c r="E79" s="666"/>
      <c r="F79" s="661"/>
      <c r="G79" s="661"/>
      <c r="H79" s="5"/>
      <c r="I79" s="667"/>
      <c r="J79" s="662"/>
      <c r="K79" s="662"/>
      <c r="L79" s="5"/>
      <c r="M79" s="667"/>
      <c r="N79" s="662"/>
      <c r="O79" s="662"/>
      <c r="P79" s="5"/>
      <c r="Q79" s="667"/>
      <c r="R79" s="662"/>
      <c r="S79" s="662"/>
      <c r="T79" s="5"/>
      <c r="U79" s="667"/>
      <c r="V79" s="662"/>
      <c r="W79" s="662"/>
      <c r="X79" s="206"/>
      <c r="Y79" s="104"/>
      <c r="Z79" s="16" t="s">
        <v>17</v>
      </c>
      <c r="AA79" s="5"/>
      <c r="AB79" s="5"/>
      <c r="AC79" s="104"/>
      <c r="AD79" s="668"/>
    </row>
    <row r="80" spans="1:30" s="104" customFormat="1" x14ac:dyDescent="0.25">
      <c r="B80" s="105"/>
      <c r="C80" s="106"/>
      <c r="D80" s="106"/>
      <c r="E80" s="106" t="s">
        <v>329</v>
      </c>
      <c r="F80" s="111" t="s">
        <v>32</v>
      </c>
      <c r="G80" s="416" t="s">
        <v>331</v>
      </c>
      <c r="H80" s="104" t="s">
        <v>17</v>
      </c>
      <c r="I80" s="112">
        <f>I60*INDEX('Multi-Year Inputs'!$E$31:$E$34,MATCH(I$4,'Multi-Year Inputs'!$D$31:$D$34,0))</f>
        <v>-1931344.4404175822</v>
      </c>
      <c r="J80" s="299"/>
      <c r="K80" s="279"/>
      <c r="M80" s="112">
        <f>M60*INDEX('Multi-Year Inputs'!$E$31:$E$34,MATCH(M$4,'Multi-Year Inputs'!$D$31:$D$34,0))</f>
        <v>-154229.37716318635</v>
      </c>
      <c r="N80" s="299"/>
      <c r="O80" s="279"/>
      <c r="Q80" s="112">
        <f>Q60*INDEX('Multi-Year Inputs'!$E$31:$E$34,MATCH(Q$4,'Multi-Year Inputs'!$D$31:$D$34,0))</f>
        <v>111038.85441192142</v>
      </c>
      <c r="R80" s="358"/>
      <c r="S80" s="279"/>
      <c r="U80" s="112">
        <f>U60*INDEX('Multi-Year Inputs'!$E$31:$E$34,MATCH(U$4,'Multi-Year Inputs'!$D$31:$D$34,0))</f>
        <v>58569.706709441074</v>
      </c>
      <c r="V80" s="299"/>
      <c r="W80" s="279"/>
    </row>
    <row r="81" spans="1:30" s="104" customFormat="1" x14ac:dyDescent="0.25">
      <c r="B81" s="105"/>
      <c r="C81" s="106"/>
      <c r="D81" s="106"/>
      <c r="E81" s="106" t="s">
        <v>330</v>
      </c>
      <c r="F81" s="111" t="s">
        <v>32</v>
      </c>
      <c r="G81" s="416" t="s">
        <v>332</v>
      </c>
      <c r="H81" s="104" t="s">
        <v>17</v>
      </c>
      <c r="I81" s="112">
        <f>I61*INDEX('Multi-Year Inputs'!$E$36:$E$39,MATCH(I$4,'Multi-Year Inputs'!$D$36:$D$39,0))</f>
        <v>0</v>
      </c>
      <c r="J81" s="299"/>
      <c r="K81" s="279"/>
      <c r="M81" s="112">
        <f>M61*INDEX('Multi-Year Inputs'!$E$36:$E$39,MATCH(M$4,'Multi-Year Inputs'!$D$36:$D$39,0))</f>
        <v>0</v>
      </c>
      <c r="N81" s="299"/>
      <c r="O81" s="279"/>
      <c r="Q81" s="112">
        <f>Q61*INDEX('Multi-Year Inputs'!$E$36:$E$39,MATCH(Q$4,'Multi-Year Inputs'!$D$36:$D$39,0))</f>
        <v>0</v>
      </c>
      <c r="R81" s="358"/>
      <c r="S81" s="279"/>
      <c r="U81" s="112">
        <f>U61*INDEX('Multi-Year Inputs'!$E$36:$E$39,MATCH(U$4,'Multi-Year Inputs'!$D$36:$D$39,0))</f>
        <v>0</v>
      </c>
      <c r="V81" s="299"/>
      <c r="W81" s="279"/>
    </row>
    <row r="82" spans="1:30" s="104" customFormat="1" x14ac:dyDescent="0.25">
      <c r="B82" s="105"/>
      <c r="C82" s="106"/>
      <c r="D82" s="106"/>
      <c r="E82" s="106" t="s">
        <v>338</v>
      </c>
      <c r="F82" s="111" t="s">
        <v>182</v>
      </c>
      <c r="G82" s="416" t="s">
        <v>333</v>
      </c>
      <c r="H82" s="104" t="s">
        <v>17</v>
      </c>
      <c r="I82" s="113">
        <f>(I80+I81)/INDEX('Multi-Year Inputs'!$E$41:$E$44,MATCH(I$4,'Multi-Year Inputs'!$D$41:$D$44,0))</f>
        <v>-3.3000000000000002E-2</v>
      </c>
      <c r="J82" s="298"/>
      <c r="K82" s="29"/>
      <c r="M82" s="113">
        <f>(M80+M81)/INDEX('Multi-Year Inputs'!$E$41:$E$44,MATCH(M$4,'Multi-Year Inputs'!$D$41:$D$44,0))</f>
        <v>-3.3000000000000002E-2</v>
      </c>
      <c r="N82" s="298"/>
      <c r="O82" s="29"/>
      <c r="Q82" s="113">
        <f>(Q80+Q81)/INDEX('Multi-Year Inputs'!$E$41:$E$44,MATCH(Q$4,'Multi-Year Inputs'!$D$41:$D$44,0))</f>
        <v>5.2000000000000032E-3</v>
      </c>
      <c r="R82" s="298"/>
      <c r="S82" s="29"/>
      <c r="U82" s="113">
        <f>(U80+U81)/INDEX('Multi-Year Inputs'!$E$41:$E$44,MATCH(U$4,'Multi-Year Inputs'!$D$41:$D$44,0))</f>
        <v>5.2000000000000032E-3</v>
      </c>
      <c r="V82" s="298"/>
      <c r="W82" s="29"/>
    </row>
    <row r="83" spans="1:30" s="47" customFormat="1" x14ac:dyDescent="0.25">
      <c r="A83" s="104"/>
      <c r="B83" s="105"/>
      <c r="C83" s="207"/>
      <c r="D83" s="669" t="s">
        <v>197</v>
      </c>
      <c r="E83" s="666"/>
      <c r="F83" s="661"/>
      <c r="G83" s="661"/>
      <c r="H83" s="5"/>
      <c r="I83" s="667"/>
      <c r="J83" s="662"/>
      <c r="K83" s="662"/>
      <c r="L83" s="5"/>
      <c r="M83" s="667"/>
      <c r="N83" s="662"/>
      <c r="O83" s="662"/>
      <c r="P83" s="5"/>
      <c r="Q83" s="667"/>
      <c r="R83" s="662"/>
      <c r="S83" s="662"/>
      <c r="T83" s="5"/>
      <c r="U83" s="667"/>
      <c r="V83" s="662"/>
      <c r="W83" s="662"/>
      <c r="X83" s="206"/>
      <c r="Y83" s="104"/>
      <c r="Z83" s="16" t="s">
        <v>17</v>
      </c>
      <c r="AA83" s="5"/>
      <c r="AB83" s="5"/>
      <c r="AC83" s="104"/>
      <c r="AD83" s="668"/>
    </row>
    <row r="84" spans="1:30" s="104" customFormat="1" x14ac:dyDescent="0.25">
      <c r="B84" s="105"/>
      <c r="C84" s="106"/>
      <c r="D84" s="106"/>
      <c r="E84" s="106" t="s">
        <v>329</v>
      </c>
      <c r="F84" s="111" t="s">
        <v>32</v>
      </c>
      <c r="G84" s="416" t="s">
        <v>334</v>
      </c>
      <c r="H84" s="104" t="s">
        <v>17</v>
      </c>
      <c r="I84" s="112">
        <f>I64*INDEX('Multi-Year Inputs'!$E$31:$E$34,MATCH(I$4,'Multi-Year Inputs'!$D$31:$D$34,0))</f>
        <v>36303422.920940183</v>
      </c>
      <c r="J84" s="299"/>
      <c r="K84" s="279"/>
      <c r="M84" s="112">
        <f>M64*INDEX('Multi-Year Inputs'!$E$31:$E$34,MATCH(M$4,'Multi-Year Inputs'!$D$31:$D$34,0))</f>
        <v>2899044.9289189233</v>
      </c>
      <c r="N84" s="299"/>
      <c r="O84" s="279"/>
      <c r="Q84" s="112">
        <f>Q64*INDEX('Multi-Year Inputs'!$E$31:$E$34,MATCH(Q$4,'Multi-Year Inputs'!$D$31:$D$34,0))</f>
        <v>13217894.400188331</v>
      </c>
      <c r="R84" s="358"/>
      <c r="S84" s="279"/>
      <c r="U84" s="112">
        <f>U64*INDEX('Multi-Year Inputs'!$E$31:$E$34,MATCH(U$4,'Multi-Year Inputs'!$D$31:$D$34,0))</f>
        <v>6972047.7794507705</v>
      </c>
      <c r="V84" s="299"/>
      <c r="W84" s="279"/>
    </row>
    <row r="85" spans="1:30" s="104" customFormat="1" x14ac:dyDescent="0.25">
      <c r="B85" s="105"/>
      <c r="C85" s="106"/>
      <c r="D85" s="106"/>
      <c r="E85" s="106" t="s">
        <v>330</v>
      </c>
      <c r="F85" s="111" t="s">
        <v>32</v>
      </c>
      <c r="G85" s="416" t="s">
        <v>335</v>
      </c>
      <c r="H85" s="104" t="s">
        <v>17</v>
      </c>
      <c r="I85" s="112">
        <f>I65*INDEX('Multi-Year Inputs'!$E$36:$E$39,MATCH(I$4,'Multi-Year Inputs'!$D$36:$D$39,0))</f>
        <v>0</v>
      </c>
      <c r="J85" s="299"/>
      <c r="K85" s="279"/>
      <c r="M85" s="112">
        <f>M65*INDEX('Multi-Year Inputs'!$E$36:$E$39,MATCH(M$4,'Multi-Year Inputs'!$D$36:$D$39,0))</f>
        <v>0</v>
      </c>
      <c r="N85" s="299"/>
      <c r="O85" s="279"/>
      <c r="Q85" s="112">
        <f>Q65*INDEX('Multi-Year Inputs'!$E$36:$E$39,MATCH(Q$4,'Multi-Year Inputs'!$D$36:$D$39,0))</f>
        <v>0</v>
      </c>
      <c r="R85" s="358"/>
      <c r="S85" s="279"/>
      <c r="U85" s="112">
        <f>U65*INDEX('Multi-Year Inputs'!$E$36:$E$39,MATCH(U$4,'Multi-Year Inputs'!$D$36:$D$39,0))</f>
        <v>0</v>
      </c>
      <c r="V85" s="299"/>
      <c r="W85" s="279"/>
    </row>
    <row r="86" spans="1:30" s="104" customFormat="1" x14ac:dyDescent="0.25">
      <c r="B86" s="105"/>
      <c r="C86" s="106"/>
      <c r="D86" s="106"/>
      <c r="E86" s="106" t="s">
        <v>339</v>
      </c>
      <c r="F86" s="111" t="s">
        <v>182</v>
      </c>
      <c r="G86" s="416" t="s">
        <v>336</v>
      </c>
      <c r="H86" s="104" t="s">
        <v>17</v>
      </c>
      <c r="I86" s="660">
        <f>(I84+I85)/INDEX('Multi-Year Inputs'!$E$41:$E$44,MATCH(I$4,'Multi-Year Inputs'!$D$41:$D$44,0))</f>
        <v>0.62029999999999996</v>
      </c>
      <c r="J86" s="298"/>
      <c r="K86" s="29"/>
      <c r="M86" s="660">
        <f>(M84+M85)/INDEX('Multi-Year Inputs'!$E$41:$E$44,MATCH(M$4,'Multi-Year Inputs'!$D$41:$D$44,0))</f>
        <v>0.62029999999999996</v>
      </c>
      <c r="N86" s="298"/>
      <c r="O86" s="29"/>
      <c r="Q86" s="660">
        <f>(Q84+Q85)/INDEX('Multi-Year Inputs'!$E$41:$E$44,MATCH(Q$4,'Multi-Year Inputs'!$D$41:$D$44,0))</f>
        <v>0.61899999999999999</v>
      </c>
      <c r="R86" s="298"/>
      <c r="S86" s="29"/>
      <c r="U86" s="660">
        <f>(U84+U85)/INDEX('Multi-Year Inputs'!$E$41:$E$44,MATCH(U$4,'Multi-Year Inputs'!$D$41:$D$44,0))</f>
        <v>0.61899999999999999</v>
      </c>
      <c r="V86" s="298"/>
      <c r="W86" s="29"/>
    </row>
  </sheetData>
  <dataValidations count="1">
    <dataValidation type="list" allowBlank="1" showInputMessage="1" showErrorMessage="1" sqref="I10 Q10 U10 M10 I18 Q18 U18 M18" xr:uid="{00000000-0002-0000-0500-000000000000}">
      <formula1>"Single Year, Multi-Year"</formula1>
    </dataValidation>
  </dataValidations>
  <pageMargins left="0.7" right="0.7" top="0.75" bottom="0.75" header="0.3" footer="0.3"/>
  <pageSetup scale="40" orientation="landscape" horizontalDpi="1200" verticalDpi="1200" r:id="rId1"/>
  <rowBreaks count="1" manualBreakCount="1">
    <brk id="42" min="1" max="22" man="1"/>
  </rowBreaks>
  <colBreaks count="1" manualBreakCount="1">
    <brk id="16" min="1" max="86"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Lookups!$D$26:$D$29</xm:f>
          </x14:formula1>
          <xm:sqref>Q4 M4 I4 U4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AE50"/>
  <sheetViews>
    <sheetView showGridLines="0" zoomScale="85" zoomScaleNormal="85" workbookViewId="0">
      <pane xSplit="4" ySplit="4" topLeftCell="E5" activePane="bottomRight" state="frozen"/>
      <selection pane="topRight" activeCell="G1" sqref="G1"/>
      <selection pane="bottomLeft" activeCell="A5" sqref="A5"/>
      <selection pane="bottomRight"/>
    </sheetView>
  </sheetViews>
  <sheetFormatPr defaultRowHeight="15" x14ac:dyDescent="0.25"/>
  <cols>
    <col min="1" max="3" width="2.7109375" customWidth="1"/>
    <col min="4" max="4" width="17.28515625" customWidth="1"/>
    <col min="5" max="31" width="11.5703125" bestFit="1" customWidth="1"/>
  </cols>
  <sheetData>
    <row r="1" spans="2:31" x14ac:dyDescent="0.25">
      <c r="D1" s="1"/>
    </row>
    <row r="2" spans="2:31" ht="26.25" x14ac:dyDescent="0.25">
      <c r="B2" s="2" t="s">
        <v>269</v>
      </c>
    </row>
    <row r="4" spans="2:31" s="5" customFormat="1" ht="15.75" x14ac:dyDescent="0.25">
      <c r="B4" s="11"/>
      <c r="C4" s="11"/>
      <c r="D4" s="595" t="s">
        <v>27</v>
      </c>
      <c r="E4" s="594">
        <f>Year1</f>
        <v>2021</v>
      </c>
      <c r="F4" s="594">
        <f>E4+1</f>
        <v>2022</v>
      </c>
      <c r="G4" s="594">
        <f t="shared" ref="G4:V4" si="0">F4+1</f>
        <v>2023</v>
      </c>
      <c r="H4" s="594">
        <f t="shared" si="0"/>
        <v>2024</v>
      </c>
      <c r="I4" s="594">
        <f t="shared" si="0"/>
        <v>2025</v>
      </c>
      <c r="J4" s="594">
        <f t="shared" si="0"/>
        <v>2026</v>
      </c>
      <c r="K4" s="594">
        <f t="shared" si="0"/>
        <v>2027</v>
      </c>
      <c r="L4" s="594">
        <f t="shared" si="0"/>
        <v>2028</v>
      </c>
      <c r="M4" s="594">
        <f t="shared" si="0"/>
        <v>2029</v>
      </c>
      <c r="N4" s="594">
        <f t="shared" si="0"/>
        <v>2030</v>
      </c>
      <c r="O4" s="594">
        <f t="shared" si="0"/>
        <v>2031</v>
      </c>
      <c r="P4" s="594">
        <f t="shared" si="0"/>
        <v>2032</v>
      </c>
      <c r="Q4" s="594">
        <f t="shared" si="0"/>
        <v>2033</v>
      </c>
      <c r="R4" s="594">
        <f t="shared" si="0"/>
        <v>2034</v>
      </c>
      <c r="S4" s="594">
        <f t="shared" si="0"/>
        <v>2035</v>
      </c>
      <c r="T4" s="594">
        <f t="shared" si="0"/>
        <v>2036</v>
      </c>
      <c r="U4" s="594">
        <f>T4+1</f>
        <v>2037</v>
      </c>
      <c r="V4" s="594">
        <f t="shared" si="0"/>
        <v>2038</v>
      </c>
      <c r="W4" s="594">
        <f t="shared" ref="W4:AC4" si="1">V4+1</f>
        <v>2039</v>
      </c>
      <c r="X4" s="594">
        <f t="shared" si="1"/>
        <v>2040</v>
      </c>
      <c r="Y4" s="594">
        <f t="shared" si="1"/>
        <v>2041</v>
      </c>
      <c r="Z4" s="594">
        <f t="shared" si="1"/>
        <v>2042</v>
      </c>
      <c r="AA4" s="594">
        <f t="shared" si="1"/>
        <v>2043</v>
      </c>
      <c r="AB4" s="594">
        <f t="shared" si="1"/>
        <v>2044</v>
      </c>
      <c r="AC4" s="594">
        <f t="shared" si="1"/>
        <v>2045</v>
      </c>
      <c r="AD4" s="594">
        <f>AC4+1</f>
        <v>2046</v>
      </c>
      <c r="AE4" s="594">
        <f>AD4+1</f>
        <v>2047</v>
      </c>
    </row>
    <row r="5" spans="2:31" s="545" customFormat="1" ht="21" x14ac:dyDescent="0.35">
      <c r="B5" s="601" t="s">
        <v>3</v>
      </c>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row>
    <row r="6" spans="2:31" ht="15.75" x14ac:dyDescent="0.25">
      <c r="C6" s="63" t="s">
        <v>157</v>
      </c>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row>
    <row r="7" spans="2:31" x14ac:dyDescent="0.25">
      <c r="D7" s="205" t="s">
        <v>20</v>
      </c>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row>
    <row r="8" spans="2:31" x14ac:dyDescent="0.25">
      <c r="D8" s="39" t="s">
        <v>21</v>
      </c>
      <c r="E8" s="593"/>
      <c r="F8" s="593"/>
      <c r="G8" s="593"/>
      <c r="H8" s="593"/>
      <c r="I8" s="593"/>
      <c r="J8" s="593"/>
      <c r="K8" s="593"/>
      <c r="L8" s="593"/>
      <c r="M8" s="593"/>
      <c r="N8" s="593"/>
      <c r="O8" s="593"/>
      <c r="P8" s="593"/>
      <c r="Q8" s="593"/>
      <c r="R8" s="593"/>
      <c r="S8" s="593"/>
      <c r="T8" s="593"/>
      <c r="U8" s="593"/>
      <c r="V8" s="593"/>
      <c r="W8" s="593"/>
      <c r="X8" s="593"/>
      <c r="Y8" s="593"/>
      <c r="Z8" s="593"/>
      <c r="AA8" s="593"/>
      <c r="AB8" s="593"/>
      <c r="AC8" s="593"/>
      <c r="AD8" s="593"/>
      <c r="AE8" s="593"/>
    </row>
    <row r="9" spans="2:31" x14ac:dyDescent="0.25">
      <c r="D9" s="39" t="s">
        <v>42</v>
      </c>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row>
    <row r="10" spans="2:31" x14ac:dyDescent="0.25">
      <c r="C10" s="39"/>
      <c r="D10" s="39" t="s">
        <v>43</v>
      </c>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row>
    <row r="11" spans="2:31" ht="15.75" x14ac:dyDescent="0.25">
      <c r="C11" s="63" t="s">
        <v>264</v>
      </c>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row>
    <row r="12" spans="2:31" x14ac:dyDescent="0.25">
      <c r="D12" s="205" t="s">
        <v>20</v>
      </c>
      <c r="E12" s="592">
        <f>IFERROR(IF(INDEX('R&amp;B Inputs'!$I$10:$V$10,MATCH($D12,'R&amp;B Inputs'!$I$4:$V$4,0))="Single Year",
INDEX('R&amp;B Inputs'!$I$12:$V$12,MATCH($D12,'R&amp;B Inputs'!$I$4:$V$4,0))*(1+INDEX('R&amp;B Inputs'!$I$14:$V$14,MATCH($D12,'R&amp;B Inputs'!$I$4:$V$4,0)))^(E$4-INDEX('R&amp;B Inputs'!$I$13:$V$13,MATCH($D12,'R&amp;B Inputs'!$I$4:$V$4,0))),
IF(F7="",D12*(1+INDEX('R&amp;B Inputs'!$I$16:$V$16,MATCH($D12,'R&amp;B Inputs'!$I$4:$V$4,0))),E7)),0)</f>
        <v>71674.712393819893</v>
      </c>
      <c r="F12" s="592">
        <f>IFERROR(IF(INDEX('R&amp;B Inputs'!$I$10:$V$10,MATCH($D12,'R&amp;B Inputs'!$I$4:$V$4,0))="Single Year",
INDEX('R&amp;B Inputs'!$I$12:$V$12,MATCH($D12,'R&amp;B Inputs'!$I$4:$V$4,0))*(1+INDEX('R&amp;B Inputs'!$I$14:$V$14,MATCH($D12,'R&amp;B Inputs'!$I$4:$V$4,0)))^(F$4-INDEX('R&amp;B Inputs'!$I$13:$V$13,MATCH($D12,'R&amp;B Inputs'!$I$4:$V$4,0))),
IF(G7="",E12*(1+INDEX('R&amp;B Inputs'!$I$16:$V$16,MATCH($D12,'R&amp;B Inputs'!$I$4:$V$4,0))),F7)),0)</f>
        <v>71674.712393819893</v>
      </c>
      <c r="G12" s="592">
        <f>IFERROR(IF(INDEX('R&amp;B Inputs'!$I$10:$V$10,MATCH($D12,'R&amp;B Inputs'!$I$4:$V$4,0))="Single Year",
INDEX('R&amp;B Inputs'!$I$12:$V$12,MATCH($D12,'R&amp;B Inputs'!$I$4:$V$4,0))*(1+INDEX('R&amp;B Inputs'!$I$14:$V$14,MATCH($D12,'R&amp;B Inputs'!$I$4:$V$4,0)))^(G$4-INDEX('R&amp;B Inputs'!$I$13:$V$13,MATCH($D12,'R&amp;B Inputs'!$I$4:$V$4,0))),
IF(H7="",F12*(1+INDEX('R&amp;B Inputs'!$I$16:$V$16,MATCH($D12,'R&amp;B Inputs'!$I$4:$V$4,0))),G7)),0)</f>
        <v>71674.712393819893</v>
      </c>
      <c r="H12" s="592">
        <f>IFERROR(IF(INDEX('R&amp;B Inputs'!$I$10:$V$10,MATCH($D12,'R&amp;B Inputs'!$I$4:$V$4,0))="Single Year",
INDEX('R&amp;B Inputs'!$I$12:$V$12,MATCH($D12,'R&amp;B Inputs'!$I$4:$V$4,0))*(1+INDEX('R&amp;B Inputs'!$I$14:$V$14,MATCH($D12,'R&amp;B Inputs'!$I$4:$V$4,0)))^(H$4-INDEX('R&amp;B Inputs'!$I$13:$V$13,MATCH($D12,'R&amp;B Inputs'!$I$4:$V$4,0))),
IF(I7="",G12*(1+INDEX('R&amp;B Inputs'!$I$16:$V$16,MATCH($D12,'R&amp;B Inputs'!$I$4:$V$4,0))),H7)),0)</f>
        <v>71674.712393819893</v>
      </c>
      <c r="I12" s="592">
        <f>IFERROR(IF(INDEX('R&amp;B Inputs'!$I$10:$V$10,MATCH($D12,'R&amp;B Inputs'!$I$4:$V$4,0))="Single Year",
INDEX('R&amp;B Inputs'!$I$12:$V$12,MATCH($D12,'R&amp;B Inputs'!$I$4:$V$4,0))*(1+INDEX('R&amp;B Inputs'!$I$14:$V$14,MATCH($D12,'R&amp;B Inputs'!$I$4:$V$4,0)))^(I$4-INDEX('R&amp;B Inputs'!$I$13:$V$13,MATCH($D12,'R&amp;B Inputs'!$I$4:$V$4,0))),
IF(J7="",H12*(1+INDEX('R&amp;B Inputs'!$I$16:$V$16,MATCH($D12,'R&amp;B Inputs'!$I$4:$V$4,0))),I7)),0)</f>
        <v>71674.712393819893</v>
      </c>
      <c r="J12" s="592">
        <f>IFERROR(IF(INDEX('R&amp;B Inputs'!$I$10:$V$10,MATCH($D12,'R&amp;B Inputs'!$I$4:$V$4,0))="Single Year",
INDEX('R&amp;B Inputs'!$I$12:$V$12,MATCH($D12,'R&amp;B Inputs'!$I$4:$V$4,0))*(1+INDEX('R&amp;B Inputs'!$I$14:$V$14,MATCH($D12,'R&amp;B Inputs'!$I$4:$V$4,0)))^(J$4-INDEX('R&amp;B Inputs'!$I$13:$V$13,MATCH($D12,'R&amp;B Inputs'!$I$4:$V$4,0))),
IF(K7="",I12*(1+INDEX('R&amp;B Inputs'!$I$16:$V$16,MATCH($D12,'R&amp;B Inputs'!$I$4:$V$4,0))),J7)),0)</f>
        <v>71674.712393819893</v>
      </c>
      <c r="K12" s="592">
        <f>IFERROR(IF(INDEX('R&amp;B Inputs'!$I$10:$V$10,MATCH($D12,'R&amp;B Inputs'!$I$4:$V$4,0))="Single Year",
INDEX('R&amp;B Inputs'!$I$12:$V$12,MATCH($D12,'R&amp;B Inputs'!$I$4:$V$4,0))*(1+INDEX('R&amp;B Inputs'!$I$14:$V$14,MATCH($D12,'R&amp;B Inputs'!$I$4:$V$4,0)))^(K$4-INDEX('R&amp;B Inputs'!$I$13:$V$13,MATCH($D12,'R&amp;B Inputs'!$I$4:$V$4,0))),
IF(L7="",J12*(1+INDEX('R&amp;B Inputs'!$I$16:$V$16,MATCH($D12,'R&amp;B Inputs'!$I$4:$V$4,0))),K7)),0)</f>
        <v>71674.712393819893</v>
      </c>
      <c r="L12" s="592">
        <f>IFERROR(IF(INDEX('R&amp;B Inputs'!$I$10:$V$10,MATCH($D12,'R&amp;B Inputs'!$I$4:$V$4,0))="Single Year",
INDEX('R&amp;B Inputs'!$I$12:$V$12,MATCH($D12,'R&amp;B Inputs'!$I$4:$V$4,0))*(1+INDEX('R&amp;B Inputs'!$I$14:$V$14,MATCH($D12,'R&amp;B Inputs'!$I$4:$V$4,0)))^(L$4-INDEX('R&amp;B Inputs'!$I$13:$V$13,MATCH($D12,'R&amp;B Inputs'!$I$4:$V$4,0))),
IF(M7="",K12*(1+INDEX('R&amp;B Inputs'!$I$16:$V$16,MATCH($D12,'R&amp;B Inputs'!$I$4:$V$4,0))),L7)),0)</f>
        <v>71674.712393819893</v>
      </c>
      <c r="M12" s="592">
        <f>IFERROR(IF(INDEX('R&amp;B Inputs'!$I$10:$V$10,MATCH($D12,'R&amp;B Inputs'!$I$4:$V$4,0))="Single Year",
INDEX('R&amp;B Inputs'!$I$12:$V$12,MATCH($D12,'R&amp;B Inputs'!$I$4:$V$4,0))*(1+INDEX('R&amp;B Inputs'!$I$14:$V$14,MATCH($D12,'R&amp;B Inputs'!$I$4:$V$4,0)))^(M$4-INDEX('R&amp;B Inputs'!$I$13:$V$13,MATCH($D12,'R&amp;B Inputs'!$I$4:$V$4,0))),
IF(N7="",L12*(1+INDEX('R&amp;B Inputs'!$I$16:$V$16,MATCH($D12,'R&amp;B Inputs'!$I$4:$V$4,0))),M7)),0)</f>
        <v>71674.712393819893</v>
      </c>
      <c r="N12" s="592">
        <f>IFERROR(IF(INDEX('R&amp;B Inputs'!$I$10:$V$10,MATCH($D12,'R&amp;B Inputs'!$I$4:$V$4,0))="Single Year",
INDEX('R&amp;B Inputs'!$I$12:$V$12,MATCH($D12,'R&amp;B Inputs'!$I$4:$V$4,0))*(1+INDEX('R&amp;B Inputs'!$I$14:$V$14,MATCH($D12,'R&amp;B Inputs'!$I$4:$V$4,0)))^(N$4-INDEX('R&amp;B Inputs'!$I$13:$V$13,MATCH($D12,'R&amp;B Inputs'!$I$4:$V$4,0))),
IF(O7="",M12*(1+INDEX('R&amp;B Inputs'!$I$16:$V$16,MATCH($D12,'R&amp;B Inputs'!$I$4:$V$4,0))),N7)),0)</f>
        <v>71674.712393819893</v>
      </c>
      <c r="O12" s="592">
        <f>IFERROR(IF(INDEX('R&amp;B Inputs'!$I$10:$V$10,MATCH($D12,'R&amp;B Inputs'!$I$4:$V$4,0))="Single Year",
INDEX('R&amp;B Inputs'!$I$12:$V$12,MATCH($D12,'R&amp;B Inputs'!$I$4:$V$4,0))*(1+INDEX('R&amp;B Inputs'!$I$14:$V$14,MATCH($D12,'R&amp;B Inputs'!$I$4:$V$4,0)))^(O$4-INDEX('R&amp;B Inputs'!$I$13:$V$13,MATCH($D12,'R&amp;B Inputs'!$I$4:$V$4,0))),
IF(P7="",N12*(1+INDEX('R&amp;B Inputs'!$I$16:$V$16,MATCH($D12,'R&amp;B Inputs'!$I$4:$V$4,0))),O7)),0)</f>
        <v>71674.712393819893</v>
      </c>
      <c r="P12" s="592">
        <f>IFERROR(IF(INDEX('R&amp;B Inputs'!$I$10:$V$10,MATCH($D12,'R&amp;B Inputs'!$I$4:$V$4,0))="Single Year",
INDEX('R&amp;B Inputs'!$I$12:$V$12,MATCH($D12,'R&amp;B Inputs'!$I$4:$V$4,0))*(1+INDEX('R&amp;B Inputs'!$I$14:$V$14,MATCH($D12,'R&amp;B Inputs'!$I$4:$V$4,0)))^(P$4-INDEX('R&amp;B Inputs'!$I$13:$V$13,MATCH($D12,'R&amp;B Inputs'!$I$4:$V$4,0))),
IF(Q7="",O12*(1+INDEX('R&amp;B Inputs'!$I$16:$V$16,MATCH($D12,'R&amp;B Inputs'!$I$4:$V$4,0))),P7)),0)</f>
        <v>71674.712393819893</v>
      </c>
      <c r="Q12" s="592">
        <f>IFERROR(IF(INDEX('R&amp;B Inputs'!$I$10:$V$10,MATCH($D12,'R&amp;B Inputs'!$I$4:$V$4,0))="Single Year",
INDEX('R&amp;B Inputs'!$I$12:$V$12,MATCH($D12,'R&amp;B Inputs'!$I$4:$V$4,0))*(1+INDEX('R&amp;B Inputs'!$I$14:$V$14,MATCH($D12,'R&amp;B Inputs'!$I$4:$V$4,0)))^(Q$4-INDEX('R&amp;B Inputs'!$I$13:$V$13,MATCH($D12,'R&amp;B Inputs'!$I$4:$V$4,0))),
IF(R7="",P12*(1+INDEX('R&amp;B Inputs'!$I$16:$V$16,MATCH($D12,'R&amp;B Inputs'!$I$4:$V$4,0))),Q7)),0)</f>
        <v>71674.712393819893</v>
      </c>
      <c r="R12" s="592">
        <f>IFERROR(IF(INDEX('R&amp;B Inputs'!$I$10:$V$10,MATCH($D12,'R&amp;B Inputs'!$I$4:$V$4,0))="Single Year",
INDEX('R&amp;B Inputs'!$I$12:$V$12,MATCH($D12,'R&amp;B Inputs'!$I$4:$V$4,0))*(1+INDEX('R&amp;B Inputs'!$I$14:$V$14,MATCH($D12,'R&amp;B Inputs'!$I$4:$V$4,0)))^(R$4-INDEX('R&amp;B Inputs'!$I$13:$V$13,MATCH($D12,'R&amp;B Inputs'!$I$4:$V$4,0))),
IF(S7="",Q12*(1+INDEX('R&amp;B Inputs'!$I$16:$V$16,MATCH($D12,'R&amp;B Inputs'!$I$4:$V$4,0))),R7)),0)</f>
        <v>71674.712393819893</v>
      </c>
      <c r="S12" s="592">
        <f>IFERROR(IF(INDEX('R&amp;B Inputs'!$I$10:$V$10,MATCH($D12,'R&amp;B Inputs'!$I$4:$V$4,0))="Single Year",
INDEX('R&amp;B Inputs'!$I$12:$V$12,MATCH($D12,'R&amp;B Inputs'!$I$4:$V$4,0))*(1+INDEX('R&amp;B Inputs'!$I$14:$V$14,MATCH($D12,'R&amp;B Inputs'!$I$4:$V$4,0)))^(S$4-INDEX('R&amp;B Inputs'!$I$13:$V$13,MATCH($D12,'R&amp;B Inputs'!$I$4:$V$4,0))),
IF(T7="",R12*(1+INDEX('R&amp;B Inputs'!$I$16:$V$16,MATCH($D12,'R&amp;B Inputs'!$I$4:$V$4,0))),S7)),0)</f>
        <v>71674.712393819893</v>
      </c>
      <c r="T12" s="592">
        <f>IFERROR(IF(INDEX('R&amp;B Inputs'!$I$10:$V$10,MATCH($D12,'R&amp;B Inputs'!$I$4:$V$4,0))="Single Year",
INDEX('R&amp;B Inputs'!$I$12:$V$12,MATCH($D12,'R&amp;B Inputs'!$I$4:$V$4,0))*(1+INDEX('R&amp;B Inputs'!$I$14:$V$14,MATCH($D12,'R&amp;B Inputs'!$I$4:$V$4,0)))^(T$4-INDEX('R&amp;B Inputs'!$I$13:$V$13,MATCH($D12,'R&amp;B Inputs'!$I$4:$V$4,0))),
IF(U7="",S12*(1+INDEX('R&amp;B Inputs'!$I$16:$V$16,MATCH($D12,'R&amp;B Inputs'!$I$4:$V$4,0))),T7)),0)</f>
        <v>71674.712393819893</v>
      </c>
      <c r="U12" s="592">
        <f>IFERROR(IF(INDEX('R&amp;B Inputs'!$I$10:$V$10,MATCH($D12,'R&amp;B Inputs'!$I$4:$V$4,0))="Single Year",
INDEX('R&amp;B Inputs'!$I$12:$V$12,MATCH($D12,'R&amp;B Inputs'!$I$4:$V$4,0))*(1+INDEX('R&amp;B Inputs'!$I$14:$V$14,MATCH($D12,'R&amp;B Inputs'!$I$4:$V$4,0)))^(U$4-INDEX('R&amp;B Inputs'!$I$13:$V$13,MATCH($D12,'R&amp;B Inputs'!$I$4:$V$4,0))),
IF(V7="",T12*(1+INDEX('R&amp;B Inputs'!$I$16:$V$16,MATCH($D12,'R&amp;B Inputs'!$I$4:$V$4,0))),U7)),0)</f>
        <v>71674.712393819893</v>
      </c>
      <c r="V12" s="592">
        <f>IFERROR(IF(INDEX('R&amp;B Inputs'!$I$10:$V$10,MATCH($D12,'R&amp;B Inputs'!$I$4:$V$4,0))="Single Year",
INDEX('R&amp;B Inputs'!$I$12:$V$12,MATCH($D12,'R&amp;B Inputs'!$I$4:$V$4,0))*(1+INDEX('R&amp;B Inputs'!$I$14:$V$14,MATCH($D12,'R&amp;B Inputs'!$I$4:$V$4,0)))^(V$4-INDEX('R&amp;B Inputs'!$I$13:$V$13,MATCH($D12,'R&amp;B Inputs'!$I$4:$V$4,0))),
IF(W7="",U12*(1+INDEX('R&amp;B Inputs'!$I$16:$V$16,MATCH($D12,'R&amp;B Inputs'!$I$4:$V$4,0))),V7)),0)</f>
        <v>71674.712393819893</v>
      </c>
      <c r="W12" s="592">
        <f>IFERROR(IF(INDEX('R&amp;B Inputs'!$I$10:$V$10,MATCH($D12,'R&amp;B Inputs'!$I$4:$V$4,0))="Single Year",
INDEX('R&amp;B Inputs'!$I$12:$V$12,MATCH($D12,'R&amp;B Inputs'!$I$4:$V$4,0))*(1+INDEX('R&amp;B Inputs'!$I$14:$V$14,MATCH($D12,'R&amp;B Inputs'!$I$4:$V$4,0)))^(W$4-INDEX('R&amp;B Inputs'!$I$13:$V$13,MATCH($D12,'R&amp;B Inputs'!$I$4:$V$4,0))),
IF(X7="",V12*(1+INDEX('R&amp;B Inputs'!$I$16:$V$16,MATCH($D12,'R&amp;B Inputs'!$I$4:$V$4,0))),W7)),0)</f>
        <v>71674.712393819893</v>
      </c>
      <c r="X12" s="592">
        <f>IFERROR(IF(INDEX('R&amp;B Inputs'!$I$10:$V$10,MATCH($D12,'R&amp;B Inputs'!$I$4:$V$4,0))="Single Year",
INDEX('R&amp;B Inputs'!$I$12:$V$12,MATCH($D12,'R&amp;B Inputs'!$I$4:$V$4,0))*(1+INDEX('R&amp;B Inputs'!$I$14:$V$14,MATCH($D12,'R&amp;B Inputs'!$I$4:$V$4,0)))^(X$4-INDEX('R&amp;B Inputs'!$I$13:$V$13,MATCH($D12,'R&amp;B Inputs'!$I$4:$V$4,0))),
IF(Y7="",W12*(1+INDEX('R&amp;B Inputs'!$I$16:$V$16,MATCH($D12,'R&amp;B Inputs'!$I$4:$V$4,0))),X7)),0)</f>
        <v>71674.712393819893</v>
      </c>
      <c r="Y12" s="592">
        <f>IFERROR(IF(INDEX('R&amp;B Inputs'!$I$10:$V$10,MATCH($D12,'R&amp;B Inputs'!$I$4:$V$4,0))="Single Year",
INDEX('R&amp;B Inputs'!$I$12:$V$12,MATCH($D12,'R&amp;B Inputs'!$I$4:$V$4,0))*(1+INDEX('R&amp;B Inputs'!$I$14:$V$14,MATCH($D12,'R&amp;B Inputs'!$I$4:$V$4,0)))^(Y$4-INDEX('R&amp;B Inputs'!$I$13:$V$13,MATCH($D12,'R&amp;B Inputs'!$I$4:$V$4,0))),
IF(Z7="",X12*(1+INDEX('R&amp;B Inputs'!$I$16:$V$16,MATCH($D12,'R&amp;B Inputs'!$I$4:$V$4,0))),Y7)),0)</f>
        <v>71674.712393819893</v>
      </c>
      <c r="Z12" s="592">
        <f>IFERROR(IF(INDEX('R&amp;B Inputs'!$I$10:$V$10,MATCH($D12,'R&amp;B Inputs'!$I$4:$V$4,0))="Single Year",
INDEX('R&amp;B Inputs'!$I$12:$V$12,MATCH($D12,'R&amp;B Inputs'!$I$4:$V$4,0))*(1+INDEX('R&amp;B Inputs'!$I$14:$V$14,MATCH($D12,'R&amp;B Inputs'!$I$4:$V$4,0)))^(Z$4-INDEX('R&amp;B Inputs'!$I$13:$V$13,MATCH($D12,'R&amp;B Inputs'!$I$4:$V$4,0))),
IF(AA7="",Y12*(1+INDEX('R&amp;B Inputs'!$I$16:$V$16,MATCH($D12,'R&amp;B Inputs'!$I$4:$V$4,0))),Z7)),0)</f>
        <v>71674.712393819893</v>
      </c>
      <c r="AA12" s="592">
        <f>IFERROR(IF(INDEX('R&amp;B Inputs'!$I$10:$V$10,MATCH($D12,'R&amp;B Inputs'!$I$4:$V$4,0))="Single Year",
INDEX('R&amp;B Inputs'!$I$12:$V$12,MATCH($D12,'R&amp;B Inputs'!$I$4:$V$4,0))*(1+INDEX('R&amp;B Inputs'!$I$14:$V$14,MATCH($D12,'R&amp;B Inputs'!$I$4:$V$4,0)))^(AA$4-INDEX('R&amp;B Inputs'!$I$13:$V$13,MATCH($D12,'R&amp;B Inputs'!$I$4:$V$4,0))),
IF(AB7="",Z12*(1+INDEX('R&amp;B Inputs'!$I$16:$V$16,MATCH($D12,'R&amp;B Inputs'!$I$4:$V$4,0))),AA7)),0)</f>
        <v>71674.712393819893</v>
      </c>
      <c r="AB12" s="592">
        <f>IFERROR(IF(INDEX('R&amp;B Inputs'!$I$10:$V$10,MATCH($D12,'R&amp;B Inputs'!$I$4:$V$4,0))="Single Year",
INDEX('R&amp;B Inputs'!$I$12:$V$12,MATCH($D12,'R&amp;B Inputs'!$I$4:$V$4,0))*(1+INDEX('R&amp;B Inputs'!$I$14:$V$14,MATCH($D12,'R&amp;B Inputs'!$I$4:$V$4,0)))^(AB$4-INDEX('R&amp;B Inputs'!$I$13:$V$13,MATCH($D12,'R&amp;B Inputs'!$I$4:$V$4,0))),
IF(AC7="",AA12*(1+INDEX('R&amp;B Inputs'!$I$16:$V$16,MATCH($D12,'R&amp;B Inputs'!$I$4:$V$4,0))),AB7)),0)</f>
        <v>71674.712393819893</v>
      </c>
      <c r="AC12" s="592">
        <f>IFERROR(IF(INDEX('R&amp;B Inputs'!$I$10:$V$10,MATCH($D12,'R&amp;B Inputs'!$I$4:$V$4,0))="Single Year",
INDEX('R&amp;B Inputs'!$I$12:$V$12,MATCH($D12,'R&amp;B Inputs'!$I$4:$V$4,0))*(1+INDEX('R&amp;B Inputs'!$I$14:$V$14,MATCH($D12,'R&amp;B Inputs'!$I$4:$V$4,0)))^(AC$4-INDEX('R&amp;B Inputs'!$I$13:$V$13,MATCH($D12,'R&amp;B Inputs'!$I$4:$V$4,0))),
IF(AD7="",AB12*(1+INDEX('R&amp;B Inputs'!$I$16:$V$16,MATCH($D12,'R&amp;B Inputs'!$I$4:$V$4,0))),AC7)),0)</f>
        <v>71674.712393819893</v>
      </c>
      <c r="AD12" s="592">
        <f>IFERROR(IF(INDEX('R&amp;B Inputs'!$I$10:$V$10,MATCH($D12,'R&amp;B Inputs'!$I$4:$V$4,0))="Single Year",
INDEX('R&amp;B Inputs'!$I$12:$V$12,MATCH($D12,'R&amp;B Inputs'!$I$4:$V$4,0))*(1+INDEX('R&amp;B Inputs'!$I$14:$V$14,MATCH($D12,'R&amp;B Inputs'!$I$4:$V$4,0)))^(AD$4-INDEX('R&amp;B Inputs'!$I$13:$V$13,MATCH($D12,'R&amp;B Inputs'!$I$4:$V$4,0))),
IF(AE7="",AC12*(1+INDEX('R&amp;B Inputs'!$I$16:$V$16,MATCH($D12,'R&amp;B Inputs'!$I$4:$V$4,0))),AD7)),0)</f>
        <v>71674.712393819893</v>
      </c>
      <c r="AE12" s="592">
        <f>IFERROR(IF(INDEX('R&amp;B Inputs'!$I$10:$V$10,MATCH($D12,'R&amp;B Inputs'!$I$4:$V$4,0))="Single Year",
INDEX('R&amp;B Inputs'!$I$12:$V$12,MATCH($D12,'R&amp;B Inputs'!$I$4:$V$4,0))*(1+INDEX('R&amp;B Inputs'!$I$14:$V$14,MATCH($D12,'R&amp;B Inputs'!$I$4:$V$4,0)))^(AE$4-INDEX('R&amp;B Inputs'!$I$13:$V$13,MATCH($D12,'R&amp;B Inputs'!$I$4:$V$4,0))),
IF(AF7="",AD12*(1+INDEX('R&amp;B Inputs'!$I$16:$V$16,MATCH($D12,'R&amp;B Inputs'!$I$4:$V$4,0))),AE7)),0)</f>
        <v>71674.712393819893</v>
      </c>
    </row>
    <row r="13" spans="2:31" x14ac:dyDescent="0.25">
      <c r="D13" s="39" t="s">
        <v>21</v>
      </c>
      <c r="E13" s="592">
        <f>IFERROR(IF(INDEX('R&amp;B Inputs'!$I$10:$V$10,MATCH($D13,'R&amp;B Inputs'!$I$4:$V$4,0))="Single Year",
INDEX('R&amp;B Inputs'!$I$12:$V$12,MATCH($D13,'R&amp;B Inputs'!$I$4:$V$4,0))*(1+INDEX('R&amp;B Inputs'!$I$14:$V$14,MATCH($D13,'R&amp;B Inputs'!$I$4:$V$4,0)))^(E$4-INDEX('R&amp;B Inputs'!$I$13:$V$13,MATCH($D13,'R&amp;B Inputs'!$I$4:$V$4,0))),
IF(F8="",D13*(1+INDEX('R&amp;B Inputs'!$I$16:$V$16,MATCH($D13,'R&amp;B Inputs'!$I$4:$V$4,0))),E8)),0)</f>
        <v>5826.1944158878568</v>
      </c>
      <c r="F13" s="592">
        <f>IFERROR(IF(INDEX('R&amp;B Inputs'!$I$10:$V$10,MATCH($D13,'R&amp;B Inputs'!$I$4:$V$4,0))="Single Year",
INDEX('R&amp;B Inputs'!$I$12:$V$12,MATCH($D13,'R&amp;B Inputs'!$I$4:$V$4,0))*(1+INDEX('R&amp;B Inputs'!$I$14:$V$14,MATCH($D13,'R&amp;B Inputs'!$I$4:$V$4,0)))^(F$4-INDEX('R&amp;B Inputs'!$I$13:$V$13,MATCH($D13,'R&amp;B Inputs'!$I$4:$V$4,0))),
IF(G8="",E13*(1+INDEX('R&amp;B Inputs'!$I$16:$V$16,MATCH($D13,'R&amp;B Inputs'!$I$4:$V$4,0))),F8)),0)</f>
        <v>5826.1944158878568</v>
      </c>
      <c r="G13" s="592">
        <f>IFERROR(IF(INDEX('R&amp;B Inputs'!$I$10:$V$10,MATCH($D13,'R&amp;B Inputs'!$I$4:$V$4,0))="Single Year",
INDEX('R&amp;B Inputs'!$I$12:$V$12,MATCH($D13,'R&amp;B Inputs'!$I$4:$V$4,0))*(1+INDEX('R&amp;B Inputs'!$I$14:$V$14,MATCH($D13,'R&amp;B Inputs'!$I$4:$V$4,0)))^(G$4-INDEX('R&amp;B Inputs'!$I$13:$V$13,MATCH($D13,'R&amp;B Inputs'!$I$4:$V$4,0))),
IF(H8="",F13*(1+INDEX('R&amp;B Inputs'!$I$16:$V$16,MATCH($D13,'R&amp;B Inputs'!$I$4:$V$4,0))),G8)),0)</f>
        <v>5826.1944158878568</v>
      </c>
      <c r="H13" s="592">
        <f>IFERROR(IF(INDEX('R&amp;B Inputs'!$I$10:$V$10,MATCH($D13,'R&amp;B Inputs'!$I$4:$V$4,0))="Single Year",
INDEX('R&amp;B Inputs'!$I$12:$V$12,MATCH($D13,'R&amp;B Inputs'!$I$4:$V$4,0))*(1+INDEX('R&amp;B Inputs'!$I$14:$V$14,MATCH($D13,'R&amp;B Inputs'!$I$4:$V$4,0)))^(H$4-INDEX('R&amp;B Inputs'!$I$13:$V$13,MATCH($D13,'R&amp;B Inputs'!$I$4:$V$4,0))),
IF(I8="",G13*(1+INDEX('R&amp;B Inputs'!$I$16:$V$16,MATCH($D13,'R&amp;B Inputs'!$I$4:$V$4,0))),H8)),0)</f>
        <v>5826.1944158878568</v>
      </c>
      <c r="I13" s="592">
        <f>IFERROR(IF(INDEX('R&amp;B Inputs'!$I$10:$V$10,MATCH($D13,'R&amp;B Inputs'!$I$4:$V$4,0))="Single Year",
INDEX('R&amp;B Inputs'!$I$12:$V$12,MATCH($D13,'R&amp;B Inputs'!$I$4:$V$4,0))*(1+INDEX('R&amp;B Inputs'!$I$14:$V$14,MATCH($D13,'R&amp;B Inputs'!$I$4:$V$4,0)))^(I$4-INDEX('R&amp;B Inputs'!$I$13:$V$13,MATCH($D13,'R&amp;B Inputs'!$I$4:$V$4,0))),
IF(J8="",H13*(1+INDEX('R&amp;B Inputs'!$I$16:$V$16,MATCH($D13,'R&amp;B Inputs'!$I$4:$V$4,0))),I8)),0)</f>
        <v>5826.1944158878568</v>
      </c>
      <c r="J13" s="592">
        <f>IFERROR(IF(INDEX('R&amp;B Inputs'!$I$10:$V$10,MATCH($D13,'R&amp;B Inputs'!$I$4:$V$4,0))="Single Year",
INDEX('R&amp;B Inputs'!$I$12:$V$12,MATCH($D13,'R&amp;B Inputs'!$I$4:$V$4,0))*(1+INDEX('R&amp;B Inputs'!$I$14:$V$14,MATCH($D13,'R&amp;B Inputs'!$I$4:$V$4,0)))^(J$4-INDEX('R&amp;B Inputs'!$I$13:$V$13,MATCH($D13,'R&amp;B Inputs'!$I$4:$V$4,0))),
IF(K8="",I13*(1+INDEX('R&amp;B Inputs'!$I$16:$V$16,MATCH($D13,'R&amp;B Inputs'!$I$4:$V$4,0))),J8)),0)</f>
        <v>5826.1944158878568</v>
      </c>
      <c r="K13" s="592">
        <f>IFERROR(IF(INDEX('R&amp;B Inputs'!$I$10:$V$10,MATCH($D13,'R&amp;B Inputs'!$I$4:$V$4,0))="Single Year",
INDEX('R&amp;B Inputs'!$I$12:$V$12,MATCH($D13,'R&amp;B Inputs'!$I$4:$V$4,0))*(1+INDEX('R&amp;B Inputs'!$I$14:$V$14,MATCH($D13,'R&amp;B Inputs'!$I$4:$V$4,0)))^(K$4-INDEX('R&amp;B Inputs'!$I$13:$V$13,MATCH($D13,'R&amp;B Inputs'!$I$4:$V$4,0))),
IF(L8="",J13*(1+INDEX('R&amp;B Inputs'!$I$16:$V$16,MATCH($D13,'R&amp;B Inputs'!$I$4:$V$4,0))),K8)),0)</f>
        <v>5826.1944158878568</v>
      </c>
      <c r="L13" s="592">
        <f>IFERROR(IF(INDEX('R&amp;B Inputs'!$I$10:$V$10,MATCH($D13,'R&amp;B Inputs'!$I$4:$V$4,0))="Single Year",
INDEX('R&amp;B Inputs'!$I$12:$V$12,MATCH($D13,'R&amp;B Inputs'!$I$4:$V$4,0))*(1+INDEX('R&amp;B Inputs'!$I$14:$V$14,MATCH($D13,'R&amp;B Inputs'!$I$4:$V$4,0)))^(L$4-INDEX('R&amp;B Inputs'!$I$13:$V$13,MATCH($D13,'R&amp;B Inputs'!$I$4:$V$4,0))),
IF(M8="",K13*(1+INDEX('R&amp;B Inputs'!$I$16:$V$16,MATCH($D13,'R&amp;B Inputs'!$I$4:$V$4,0))),L8)),0)</f>
        <v>5826.1944158878568</v>
      </c>
      <c r="M13" s="592">
        <f>IFERROR(IF(INDEX('R&amp;B Inputs'!$I$10:$V$10,MATCH($D13,'R&amp;B Inputs'!$I$4:$V$4,0))="Single Year",
INDEX('R&amp;B Inputs'!$I$12:$V$12,MATCH($D13,'R&amp;B Inputs'!$I$4:$V$4,0))*(1+INDEX('R&amp;B Inputs'!$I$14:$V$14,MATCH($D13,'R&amp;B Inputs'!$I$4:$V$4,0)))^(M$4-INDEX('R&amp;B Inputs'!$I$13:$V$13,MATCH($D13,'R&amp;B Inputs'!$I$4:$V$4,0))),
IF(N8="",L13*(1+INDEX('R&amp;B Inputs'!$I$16:$V$16,MATCH($D13,'R&amp;B Inputs'!$I$4:$V$4,0))),M8)),0)</f>
        <v>5826.1944158878568</v>
      </c>
      <c r="N13" s="592">
        <f>IFERROR(IF(INDEX('R&amp;B Inputs'!$I$10:$V$10,MATCH($D13,'R&amp;B Inputs'!$I$4:$V$4,0))="Single Year",
INDEX('R&amp;B Inputs'!$I$12:$V$12,MATCH($D13,'R&amp;B Inputs'!$I$4:$V$4,0))*(1+INDEX('R&amp;B Inputs'!$I$14:$V$14,MATCH($D13,'R&amp;B Inputs'!$I$4:$V$4,0)))^(N$4-INDEX('R&amp;B Inputs'!$I$13:$V$13,MATCH($D13,'R&amp;B Inputs'!$I$4:$V$4,0))),
IF(O8="",M13*(1+INDEX('R&amp;B Inputs'!$I$16:$V$16,MATCH($D13,'R&amp;B Inputs'!$I$4:$V$4,0))),N8)),0)</f>
        <v>5826.1944158878568</v>
      </c>
      <c r="O13" s="592">
        <f>IFERROR(IF(INDEX('R&amp;B Inputs'!$I$10:$V$10,MATCH($D13,'R&amp;B Inputs'!$I$4:$V$4,0))="Single Year",
INDEX('R&amp;B Inputs'!$I$12:$V$12,MATCH($D13,'R&amp;B Inputs'!$I$4:$V$4,0))*(1+INDEX('R&amp;B Inputs'!$I$14:$V$14,MATCH($D13,'R&amp;B Inputs'!$I$4:$V$4,0)))^(O$4-INDEX('R&amp;B Inputs'!$I$13:$V$13,MATCH($D13,'R&amp;B Inputs'!$I$4:$V$4,0))),
IF(P8="",N13*(1+INDEX('R&amp;B Inputs'!$I$16:$V$16,MATCH($D13,'R&amp;B Inputs'!$I$4:$V$4,0))),O8)),0)</f>
        <v>5826.1944158878568</v>
      </c>
      <c r="P13" s="592">
        <f>IFERROR(IF(INDEX('R&amp;B Inputs'!$I$10:$V$10,MATCH($D13,'R&amp;B Inputs'!$I$4:$V$4,0))="Single Year",
INDEX('R&amp;B Inputs'!$I$12:$V$12,MATCH($D13,'R&amp;B Inputs'!$I$4:$V$4,0))*(1+INDEX('R&amp;B Inputs'!$I$14:$V$14,MATCH($D13,'R&amp;B Inputs'!$I$4:$V$4,0)))^(P$4-INDEX('R&amp;B Inputs'!$I$13:$V$13,MATCH($D13,'R&amp;B Inputs'!$I$4:$V$4,0))),
IF(Q8="",O13*(1+INDEX('R&amp;B Inputs'!$I$16:$V$16,MATCH($D13,'R&amp;B Inputs'!$I$4:$V$4,0))),P8)),0)</f>
        <v>5826.1944158878568</v>
      </c>
      <c r="Q13" s="592">
        <f>IFERROR(IF(INDEX('R&amp;B Inputs'!$I$10:$V$10,MATCH($D13,'R&amp;B Inputs'!$I$4:$V$4,0))="Single Year",
INDEX('R&amp;B Inputs'!$I$12:$V$12,MATCH($D13,'R&amp;B Inputs'!$I$4:$V$4,0))*(1+INDEX('R&amp;B Inputs'!$I$14:$V$14,MATCH($D13,'R&amp;B Inputs'!$I$4:$V$4,0)))^(Q$4-INDEX('R&amp;B Inputs'!$I$13:$V$13,MATCH($D13,'R&amp;B Inputs'!$I$4:$V$4,0))),
IF(R8="",P13*(1+INDEX('R&amp;B Inputs'!$I$16:$V$16,MATCH($D13,'R&amp;B Inputs'!$I$4:$V$4,0))),Q8)),0)</f>
        <v>5826.1944158878568</v>
      </c>
      <c r="R13" s="592">
        <f>IFERROR(IF(INDEX('R&amp;B Inputs'!$I$10:$V$10,MATCH($D13,'R&amp;B Inputs'!$I$4:$V$4,0))="Single Year",
INDEX('R&amp;B Inputs'!$I$12:$V$12,MATCH($D13,'R&amp;B Inputs'!$I$4:$V$4,0))*(1+INDEX('R&amp;B Inputs'!$I$14:$V$14,MATCH($D13,'R&amp;B Inputs'!$I$4:$V$4,0)))^(R$4-INDEX('R&amp;B Inputs'!$I$13:$V$13,MATCH($D13,'R&amp;B Inputs'!$I$4:$V$4,0))),
IF(S8="",Q13*(1+INDEX('R&amp;B Inputs'!$I$16:$V$16,MATCH($D13,'R&amp;B Inputs'!$I$4:$V$4,0))),R8)),0)</f>
        <v>5826.1944158878568</v>
      </c>
      <c r="S13" s="592">
        <f>IFERROR(IF(INDEX('R&amp;B Inputs'!$I$10:$V$10,MATCH($D13,'R&amp;B Inputs'!$I$4:$V$4,0))="Single Year",
INDEX('R&amp;B Inputs'!$I$12:$V$12,MATCH($D13,'R&amp;B Inputs'!$I$4:$V$4,0))*(1+INDEX('R&amp;B Inputs'!$I$14:$V$14,MATCH($D13,'R&amp;B Inputs'!$I$4:$V$4,0)))^(S$4-INDEX('R&amp;B Inputs'!$I$13:$V$13,MATCH($D13,'R&amp;B Inputs'!$I$4:$V$4,0))),
IF(T8="",R13*(1+INDEX('R&amp;B Inputs'!$I$16:$V$16,MATCH($D13,'R&amp;B Inputs'!$I$4:$V$4,0))),S8)),0)</f>
        <v>5826.1944158878568</v>
      </c>
      <c r="T13" s="592">
        <f>IFERROR(IF(INDEX('R&amp;B Inputs'!$I$10:$V$10,MATCH($D13,'R&amp;B Inputs'!$I$4:$V$4,0))="Single Year",
INDEX('R&amp;B Inputs'!$I$12:$V$12,MATCH($D13,'R&amp;B Inputs'!$I$4:$V$4,0))*(1+INDEX('R&amp;B Inputs'!$I$14:$V$14,MATCH($D13,'R&amp;B Inputs'!$I$4:$V$4,0)))^(T$4-INDEX('R&amp;B Inputs'!$I$13:$V$13,MATCH($D13,'R&amp;B Inputs'!$I$4:$V$4,0))),
IF(U8="",S13*(1+INDEX('R&amp;B Inputs'!$I$16:$V$16,MATCH($D13,'R&amp;B Inputs'!$I$4:$V$4,0))),T8)),0)</f>
        <v>5826.1944158878568</v>
      </c>
      <c r="U13" s="592">
        <f>IFERROR(IF(INDEX('R&amp;B Inputs'!$I$10:$V$10,MATCH($D13,'R&amp;B Inputs'!$I$4:$V$4,0))="Single Year",
INDEX('R&amp;B Inputs'!$I$12:$V$12,MATCH($D13,'R&amp;B Inputs'!$I$4:$V$4,0))*(1+INDEX('R&amp;B Inputs'!$I$14:$V$14,MATCH($D13,'R&amp;B Inputs'!$I$4:$V$4,0)))^(U$4-INDEX('R&amp;B Inputs'!$I$13:$V$13,MATCH($D13,'R&amp;B Inputs'!$I$4:$V$4,0))),
IF(V8="",T13*(1+INDEX('R&amp;B Inputs'!$I$16:$V$16,MATCH($D13,'R&amp;B Inputs'!$I$4:$V$4,0))),U8)),0)</f>
        <v>5826.1944158878568</v>
      </c>
      <c r="V13" s="592">
        <f>IFERROR(IF(INDEX('R&amp;B Inputs'!$I$10:$V$10,MATCH($D13,'R&amp;B Inputs'!$I$4:$V$4,0))="Single Year",
INDEX('R&amp;B Inputs'!$I$12:$V$12,MATCH($D13,'R&amp;B Inputs'!$I$4:$V$4,0))*(1+INDEX('R&amp;B Inputs'!$I$14:$V$14,MATCH($D13,'R&amp;B Inputs'!$I$4:$V$4,0)))^(V$4-INDEX('R&amp;B Inputs'!$I$13:$V$13,MATCH($D13,'R&amp;B Inputs'!$I$4:$V$4,0))),
IF(W8="",U13*(1+INDEX('R&amp;B Inputs'!$I$16:$V$16,MATCH($D13,'R&amp;B Inputs'!$I$4:$V$4,0))),V8)),0)</f>
        <v>5826.1944158878568</v>
      </c>
      <c r="W13" s="592">
        <f>IFERROR(IF(INDEX('R&amp;B Inputs'!$I$10:$V$10,MATCH($D13,'R&amp;B Inputs'!$I$4:$V$4,0))="Single Year",
INDEX('R&amp;B Inputs'!$I$12:$V$12,MATCH($D13,'R&amp;B Inputs'!$I$4:$V$4,0))*(1+INDEX('R&amp;B Inputs'!$I$14:$V$14,MATCH($D13,'R&amp;B Inputs'!$I$4:$V$4,0)))^(W$4-INDEX('R&amp;B Inputs'!$I$13:$V$13,MATCH($D13,'R&amp;B Inputs'!$I$4:$V$4,0))),
IF(X8="",V13*(1+INDEX('R&amp;B Inputs'!$I$16:$V$16,MATCH($D13,'R&amp;B Inputs'!$I$4:$V$4,0))),W8)),0)</f>
        <v>5826.1944158878568</v>
      </c>
      <c r="X13" s="592">
        <f>IFERROR(IF(INDEX('R&amp;B Inputs'!$I$10:$V$10,MATCH($D13,'R&amp;B Inputs'!$I$4:$V$4,0))="Single Year",
INDEX('R&amp;B Inputs'!$I$12:$V$12,MATCH($D13,'R&amp;B Inputs'!$I$4:$V$4,0))*(1+INDEX('R&amp;B Inputs'!$I$14:$V$14,MATCH($D13,'R&amp;B Inputs'!$I$4:$V$4,0)))^(X$4-INDEX('R&amp;B Inputs'!$I$13:$V$13,MATCH($D13,'R&amp;B Inputs'!$I$4:$V$4,0))),
IF(Y8="",W13*(1+INDEX('R&amp;B Inputs'!$I$16:$V$16,MATCH($D13,'R&amp;B Inputs'!$I$4:$V$4,0))),X8)),0)</f>
        <v>5826.1944158878568</v>
      </c>
      <c r="Y13" s="592">
        <f>IFERROR(IF(INDEX('R&amp;B Inputs'!$I$10:$V$10,MATCH($D13,'R&amp;B Inputs'!$I$4:$V$4,0))="Single Year",
INDEX('R&amp;B Inputs'!$I$12:$V$12,MATCH($D13,'R&amp;B Inputs'!$I$4:$V$4,0))*(1+INDEX('R&amp;B Inputs'!$I$14:$V$14,MATCH($D13,'R&amp;B Inputs'!$I$4:$V$4,0)))^(Y$4-INDEX('R&amp;B Inputs'!$I$13:$V$13,MATCH($D13,'R&amp;B Inputs'!$I$4:$V$4,0))),
IF(Z8="",X13*(1+INDEX('R&amp;B Inputs'!$I$16:$V$16,MATCH($D13,'R&amp;B Inputs'!$I$4:$V$4,0))),Y8)),0)</f>
        <v>5826.1944158878568</v>
      </c>
      <c r="Z13" s="592">
        <f>IFERROR(IF(INDEX('R&amp;B Inputs'!$I$10:$V$10,MATCH($D13,'R&amp;B Inputs'!$I$4:$V$4,0))="Single Year",
INDEX('R&amp;B Inputs'!$I$12:$V$12,MATCH($D13,'R&amp;B Inputs'!$I$4:$V$4,0))*(1+INDEX('R&amp;B Inputs'!$I$14:$V$14,MATCH($D13,'R&amp;B Inputs'!$I$4:$V$4,0)))^(Z$4-INDEX('R&amp;B Inputs'!$I$13:$V$13,MATCH($D13,'R&amp;B Inputs'!$I$4:$V$4,0))),
IF(AA8="",Y13*(1+INDEX('R&amp;B Inputs'!$I$16:$V$16,MATCH($D13,'R&amp;B Inputs'!$I$4:$V$4,0))),Z8)),0)</f>
        <v>5826.1944158878568</v>
      </c>
      <c r="AA13" s="592">
        <f>IFERROR(IF(INDEX('R&amp;B Inputs'!$I$10:$V$10,MATCH($D13,'R&amp;B Inputs'!$I$4:$V$4,0))="Single Year",
INDEX('R&amp;B Inputs'!$I$12:$V$12,MATCH($D13,'R&amp;B Inputs'!$I$4:$V$4,0))*(1+INDEX('R&amp;B Inputs'!$I$14:$V$14,MATCH($D13,'R&amp;B Inputs'!$I$4:$V$4,0)))^(AA$4-INDEX('R&amp;B Inputs'!$I$13:$V$13,MATCH($D13,'R&amp;B Inputs'!$I$4:$V$4,0))),
IF(AB8="",Z13*(1+INDEX('R&amp;B Inputs'!$I$16:$V$16,MATCH($D13,'R&amp;B Inputs'!$I$4:$V$4,0))),AA8)),0)</f>
        <v>5826.1944158878568</v>
      </c>
      <c r="AB13" s="592">
        <f>IFERROR(IF(INDEX('R&amp;B Inputs'!$I$10:$V$10,MATCH($D13,'R&amp;B Inputs'!$I$4:$V$4,0))="Single Year",
INDEX('R&amp;B Inputs'!$I$12:$V$12,MATCH($D13,'R&amp;B Inputs'!$I$4:$V$4,0))*(1+INDEX('R&amp;B Inputs'!$I$14:$V$14,MATCH($D13,'R&amp;B Inputs'!$I$4:$V$4,0)))^(AB$4-INDEX('R&amp;B Inputs'!$I$13:$V$13,MATCH($D13,'R&amp;B Inputs'!$I$4:$V$4,0))),
IF(AC8="",AA13*(1+INDEX('R&amp;B Inputs'!$I$16:$V$16,MATCH($D13,'R&amp;B Inputs'!$I$4:$V$4,0))),AB8)),0)</f>
        <v>5826.1944158878568</v>
      </c>
      <c r="AC13" s="592">
        <f>IFERROR(IF(INDEX('R&amp;B Inputs'!$I$10:$V$10,MATCH($D13,'R&amp;B Inputs'!$I$4:$V$4,0))="Single Year",
INDEX('R&amp;B Inputs'!$I$12:$V$12,MATCH($D13,'R&amp;B Inputs'!$I$4:$V$4,0))*(1+INDEX('R&amp;B Inputs'!$I$14:$V$14,MATCH($D13,'R&amp;B Inputs'!$I$4:$V$4,0)))^(AC$4-INDEX('R&amp;B Inputs'!$I$13:$V$13,MATCH($D13,'R&amp;B Inputs'!$I$4:$V$4,0))),
IF(AD8="",AB13*(1+INDEX('R&amp;B Inputs'!$I$16:$V$16,MATCH($D13,'R&amp;B Inputs'!$I$4:$V$4,0))),AC8)),0)</f>
        <v>5826.1944158878568</v>
      </c>
      <c r="AD13" s="592">
        <f>IFERROR(IF(INDEX('R&amp;B Inputs'!$I$10:$V$10,MATCH($D13,'R&amp;B Inputs'!$I$4:$V$4,0))="Single Year",
INDEX('R&amp;B Inputs'!$I$12:$V$12,MATCH($D13,'R&amp;B Inputs'!$I$4:$V$4,0))*(1+INDEX('R&amp;B Inputs'!$I$14:$V$14,MATCH($D13,'R&amp;B Inputs'!$I$4:$V$4,0)))^(AD$4-INDEX('R&amp;B Inputs'!$I$13:$V$13,MATCH($D13,'R&amp;B Inputs'!$I$4:$V$4,0))),
IF(AE8="",AC13*(1+INDEX('R&amp;B Inputs'!$I$16:$V$16,MATCH($D13,'R&amp;B Inputs'!$I$4:$V$4,0))),AD8)),0)</f>
        <v>5826.1944158878568</v>
      </c>
      <c r="AE13" s="592">
        <f>IFERROR(IF(INDEX('R&amp;B Inputs'!$I$10:$V$10,MATCH($D13,'R&amp;B Inputs'!$I$4:$V$4,0))="Single Year",
INDEX('R&amp;B Inputs'!$I$12:$V$12,MATCH($D13,'R&amp;B Inputs'!$I$4:$V$4,0))*(1+INDEX('R&amp;B Inputs'!$I$14:$V$14,MATCH($D13,'R&amp;B Inputs'!$I$4:$V$4,0)))^(AE$4-INDEX('R&amp;B Inputs'!$I$13:$V$13,MATCH($D13,'R&amp;B Inputs'!$I$4:$V$4,0))),
IF(AF8="",AD13*(1+INDEX('R&amp;B Inputs'!$I$16:$V$16,MATCH($D13,'R&amp;B Inputs'!$I$4:$V$4,0))),AE8)),0)</f>
        <v>5826.1944158878568</v>
      </c>
    </row>
    <row r="14" spans="2:31" x14ac:dyDescent="0.25">
      <c r="D14" s="39" t="s">
        <v>42</v>
      </c>
      <c r="E14" s="592">
        <f>IFERROR(IF(INDEX('R&amp;B Inputs'!$I$10:$V$10,MATCH($D14,'R&amp;B Inputs'!$I$4:$V$4,0))="Single Year",
INDEX('R&amp;B Inputs'!$I$12:$V$12,MATCH($D14,'R&amp;B Inputs'!$I$4:$V$4,0))*(1+INDEX('R&amp;B Inputs'!$I$14:$V$14,MATCH($D14,'R&amp;B Inputs'!$I$4:$V$4,0)))^(E$4-INDEX('R&amp;B Inputs'!$I$13:$V$13,MATCH($D14,'R&amp;B Inputs'!$I$4:$V$4,0))),
IF(F9="",D14*(1+INDEX('R&amp;B Inputs'!$I$16:$V$16,MATCH($D14,'R&amp;B Inputs'!$I$4:$V$4,0))),E9)),0)</f>
        <v>8983.683460097729</v>
      </c>
      <c r="F14" s="592">
        <f>IFERROR(IF(INDEX('R&amp;B Inputs'!$I$10:$V$10,MATCH($D14,'R&amp;B Inputs'!$I$4:$V$4,0))="Single Year",
INDEX('R&amp;B Inputs'!$I$12:$V$12,MATCH($D14,'R&amp;B Inputs'!$I$4:$V$4,0))*(1+INDEX('R&amp;B Inputs'!$I$14:$V$14,MATCH($D14,'R&amp;B Inputs'!$I$4:$V$4,0)))^(F$4-INDEX('R&amp;B Inputs'!$I$13:$V$13,MATCH($D14,'R&amp;B Inputs'!$I$4:$V$4,0))),
IF(G9="",E14*(1+INDEX('R&amp;B Inputs'!$I$16:$V$16,MATCH($D14,'R&amp;B Inputs'!$I$4:$V$4,0))),F9)),0)</f>
        <v>8983.683460097729</v>
      </c>
      <c r="G14" s="592">
        <f>IFERROR(IF(INDEX('R&amp;B Inputs'!$I$10:$V$10,MATCH($D14,'R&amp;B Inputs'!$I$4:$V$4,0))="Single Year",
INDEX('R&amp;B Inputs'!$I$12:$V$12,MATCH($D14,'R&amp;B Inputs'!$I$4:$V$4,0))*(1+INDEX('R&amp;B Inputs'!$I$14:$V$14,MATCH($D14,'R&amp;B Inputs'!$I$4:$V$4,0)))^(G$4-INDEX('R&amp;B Inputs'!$I$13:$V$13,MATCH($D14,'R&amp;B Inputs'!$I$4:$V$4,0))),
IF(H9="",F14*(1+INDEX('R&amp;B Inputs'!$I$16:$V$16,MATCH($D14,'R&amp;B Inputs'!$I$4:$V$4,0))),G9)),0)</f>
        <v>8983.683460097729</v>
      </c>
      <c r="H14" s="592">
        <f>IFERROR(IF(INDEX('R&amp;B Inputs'!$I$10:$V$10,MATCH($D14,'R&amp;B Inputs'!$I$4:$V$4,0))="Single Year",
INDEX('R&amp;B Inputs'!$I$12:$V$12,MATCH($D14,'R&amp;B Inputs'!$I$4:$V$4,0))*(1+INDEX('R&amp;B Inputs'!$I$14:$V$14,MATCH($D14,'R&amp;B Inputs'!$I$4:$V$4,0)))^(H$4-INDEX('R&amp;B Inputs'!$I$13:$V$13,MATCH($D14,'R&amp;B Inputs'!$I$4:$V$4,0))),
IF(I9="",G14*(1+INDEX('R&amp;B Inputs'!$I$16:$V$16,MATCH($D14,'R&amp;B Inputs'!$I$4:$V$4,0))),H9)),0)</f>
        <v>8983.683460097729</v>
      </c>
      <c r="I14" s="592">
        <f>IFERROR(IF(INDEX('R&amp;B Inputs'!$I$10:$V$10,MATCH($D14,'R&amp;B Inputs'!$I$4:$V$4,0))="Single Year",
INDEX('R&amp;B Inputs'!$I$12:$V$12,MATCH($D14,'R&amp;B Inputs'!$I$4:$V$4,0))*(1+INDEX('R&amp;B Inputs'!$I$14:$V$14,MATCH($D14,'R&amp;B Inputs'!$I$4:$V$4,0)))^(I$4-INDEX('R&amp;B Inputs'!$I$13:$V$13,MATCH($D14,'R&amp;B Inputs'!$I$4:$V$4,0))),
IF(J9="",H14*(1+INDEX('R&amp;B Inputs'!$I$16:$V$16,MATCH($D14,'R&amp;B Inputs'!$I$4:$V$4,0))),I9)),0)</f>
        <v>8983.683460097729</v>
      </c>
      <c r="J14" s="592">
        <f>IFERROR(IF(INDEX('R&amp;B Inputs'!$I$10:$V$10,MATCH($D14,'R&amp;B Inputs'!$I$4:$V$4,0))="Single Year",
INDEX('R&amp;B Inputs'!$I$12:$V$12,MATCH($D14,'R&amp;B Inputs'!$I$4:$V$4,0))*(1+INDEX('R&amp;B Inputs'!$I$14:$V$14,MATCH($D14,'R&amp;B Inputs'!$I$4:$V$4,0)))^(J$4-INDEX('R&amp;B Inputs'!$I$13:$V$13,MATCH($D14,'R&amp;B Inputs'!$I$4:$V$4,0))),
IF(K9="",I14*(1+INDEX('R&amp;B Inputs'!$I$16:$V$16,MATCH($D14,'R&amp;B Inputs'!$I$4:$V$4,0))),J9)),0)</f>
        <v>8983.683460097729</v>
      </c>
      <c r="K14" s="592">
        <f>IFERROR(IF(INDEX('R&amp;B Inputs'!$I$10:$V$10,MATCH($D14,'R&amp;B Inputs'!$I$4:$V$4,0))="Single Year",
INDEX('R&amp;B Inputs'!$I$12:$V$12,MATCH($D14,'R&amp;B Inputs'!$I$4:$V$4,0))*(1+INDEX('R&amp;B Inputs'!$I$14:$V$14,MATCH($D14,'R&amp;B Inputs'!$I$4:$V$4,0)))^(K$4-INDEX('R&amp;B Inputs'!$I$13:$V$13,MATCH($D14,'R&amp;B Inputs'!$I$4:$V$4,0))),
IF(L9="",J14*(1+INDEX('R&amp;B Inputs'!$I$16:$V$16,MATCH($D14,'R&amp;B Inputs'!$I$4:$V$4,0))),K9)),0)</f>
        <v>8983.683460097729</v>
      </c>
      <c r="L14" s="592">
        <f>IFERROR(IF(INDEX('R&amp;B Inputs'!$I$10:$V$10,MATCH($D14,'R&amp;B Inputs'!$I$4:$V$4,0))="Single Year",
INDEX('R&amp;B Inputs'!$I$12:$V$12,MATCH($D14,'R&amp;B Inputs'!$I$4:$V$4,0))*(1+INDEX('R&amp;B Inputs'!$I$14:$V$14,MATCH($D14,'R&amp;B Inputs'!$I$4:$V$4,0)))^(L$4-INDEX('R&amp;B Inputs'!$I$13:$V$13,MATCH($D14,'R&amp;B Inputs'!$I$4:$V$4,0))),
IF(M9="",K14*(1+INDEX('R&amp;B Inputs'!$I$16:$V$16,MATCH($D14,'R&amp;B Inputs'!$I$4:$V$4,0))),L9)),0)</f>
        <v>8983.683460097729</v>
      </c>
      <c r="M14" s="592">
        <f>IFERROR(IF(INDEX('R&amp;B Inputs'!$I$10:$V$10,MATCH($D14,'R&amp;B Inputs'!$I$4:$V$4,0))="Single Year",
INDEX('R&amp;B Inputs'!$I$12:$V$12,MATCH($D14,'R&amp;B Inputs'!$I$4:$V$4,0))*(1+INDEX('R&amp;B Inputs'!$I$14:$V$14,MATCH($D14,'R&amp;B Inputs'!$I$4:$V$4,0)))^(M$4-INDEX('R&amp;B Inputs'!$I$13:$V$13,MATCH($D14,'R&amp;B Inputs'!$I$4:$V$4,0))),
IF(N9="",L14*(1+INDEX('R&amp;B Inputs'!$I$16:$V$16,MATCH($D14,'R&amp;B Inputs'!$I$4:$V$4,0))),M9)),0)</f>
        <v>8983.683460097729</v>
      </c>
      <c r="N14" s="592">
        <f>IFERROR(IF(INDEX('R&amp;B Inputs'!$I$10:$V$10,MATCH($D14,'R&amp;B Inputs'!$I$4:$V$4,0))="Single Year",
INDEX('R&amp;B Inputs'!$I$12:$V$12,MATCH($D14,'R&amp;B Inputs'!$I$4:$V$4,0))*(1+INDEX('R&amp;B Inputs'!$I$14:$V$14,MATCH($D14,'R&amp;B Inputs'!$I$4:$V$4,0)))^(N$4-INDEX('R&amp;B Inputs'!$I$13:$V$13,MATCH($D14,'R&amp;B Inputs'!$I$4:$V$4,0))),
IF(O9="",M14*(1+INDEX('R&amp;B Inputs'!$I$16:$V$16,MATCH($D14,'R&amp;B Inputs'!$I$4:$V$4,0))),N9)),0)</f>
        <v>8983.683460097729</v>
      </c>
      <c r="O14" s="592">
        <f>IFERROR(IF(INDEX('R&amp;B Inputs'!$I$10:$V$10,MATCH($D14,'R&amp;B Inputs'!$I$4:$V$4,0))="Single Year",
INDEX('R&amp;B Inputs'!$I$12:$V$12,MATCH($D14,'R&amp;B Inputs'!$I$4:$V$4,0))*(1+INDEX('R&amp;B Inputs'!$I$14:$V$14,MATCH($D14,'R&amp;B Inputs'!$I$4:$V$4,0)))^(O$4-INDEX('R&amp;B Inputs'!$I$13:$V$13,MATCH($D14,'R&amp;B Inputs'!$I$4:$V$4,0))),
IF(P9="",N14*(1+INDEX('R&amp;B Inputs'!$I$16:$V$16,MATCH($D14,'R&amp;B Inputs'!$I$4:$V$4,0))),O9)),0)</f>
        <v>8983.683460097729</v>
      </c>
      <c r="P14" s="592">
        <f>IFERROR(IF(INDEX('R&amp;B Inputs'!$I$10:$V$10,MATCH($D14,'R&amp;B Inputs'!$I$4:$V$4,0))="Single Year",
INDEX('R&amp;B Inputs'!$I$12:$V$12,MATCH($D14,'R&amp;B Inputs'!$I$4:$V$4,0))*(1+INDEX('R&amp;B Inputs'!$I$14:$V$14,MATCH($D14,'R&amp;B Inputs'!$I$4:$V$4,0)))^(P$4-INDEX('R&amp;B Inputs'!$I$13:$V$13,MATCH($D14,'R&amp;B Inputs'!$I$4:$V$4,0))),
IF(Q9="",O14*(1+INDEX('R&amp;B Inputs'!$I$16:$V$16,MATCH($D14,'R&amp;B Inputs'!$I$4:$V$4,0))),P9)),0)</f>
        <v>8983.683460097729</v>
      </c>
      <c r="Q14" s="592">
        <f>IFERROR(IF(INDEX('R&amp;B Inputs'!$I$10:$V$10,MATCH($D14,'R&amp;B Inputs'!$I$4:$V$4,0))="Single Year",
INDEX('R&amp;B Inputs'!$I$12:$V$12,MATCH($D14,'R&amp;B Inputs'!$I$4:$V$4,0))*(1+INDEX('R&amp;B Inputs'!$I$14:$V$14,MATCH($D14,'R&amp;B Inputs'!$I$4:$V$4,0)))^(Q$4-INDEX('R&amp;B Inputs'!$I$13:$V$13,MATCH($D14,'R&amp;B Inputs'!$I$4:$V$4,0))),
IF(R9="",P14*(1+INDEX('R&amp;B Inputs'!$I$16:$V$16,MATCH($D14,'R&amp;B Inputs'!$I$4:$V$4,0))),Q9)),0)</f>
        <v>8983.683460097729</v>
      </c>
      <c r="R14" s="592">
        <f>IFERROR(IF(INDEX('R&amp;B Inputs'!$I$10:$V$10,MATCH($D14,'R&amp;B Inputs'!$I$4:$V$4,0))="Single Year",
INDEX('R&amp;B Inputs'!$I$12:$V$12,MATCH($D14,'R&amp;B Inputs'!$I$4:$V$4,0))*(1+INDEX('R&amp;B Inputs'!$I$14:$V$14,MATCH($D14,'R&amp;B Inputs'!$I$4:$V$4,0)))^(R$4-INDEX('R&amp;B Inputs'!$I$13:$V$13,MATCH($D14,'R&amp;B Inputs'!$I$4:$V$4,0))),
IF(S9="",Q14*(1+INDEX('R&amp;B Inputs'!$I$16:$V$16,MATCH($D14,'R&amp;B Inputs'!$I$4:$V$4,0))),R9)),0)</f>
        <v>8983.683460097729</v>
      </c>
      <c r="S14" s="592">
        <f>IFERROR(IF(INDEX('R&amp;B Inputs'!$I$10:$V$10,MATCH($D14,'R&amp;B Inputs'!$I$4:$V$4,0))="Single Year",
INDEX('R&amp;B Inputs'!$I$12:$V$12,MATCH($D14,'R&amp;B Inputs'!$I$4:$V$4,0))*(1+INDEX('R&amp;B Inputs'!$I$14:$V$14,MATCH($D14,'R&amp;B Inputs'!$I$4:$V$4,0)))^(S$4-INDEX('R&amp;B Inputs'!$I$13:$V$13,MATCH($D14,'R&amp;B Inputs'!$I$4:$V$4,0))),
IF(T9="",R14*(1+INDEX('R&amp;B Inputs'!$I$16:$V$16,MATCH($D14,'R&amp;B Inputs'!$I$4:$V$4,0))),S9)),0)</f>
        <v>8983.683460097729</v>
      </c>
      <c r="T14" s="592">
        <f>IFERROR(IF(INDEX('R&amp;B Inputs'!$I$10:$V$10,MATCH($D14,'R&amp;B Inputs'!$I$4:$V$4,0))="Single Year",
INDEX('R&amp;B Inputs'!$I$12:$V$12,MATCH($D14,'R&amp;B Inputs'!$I$4:$V$4,0))*(1+INDEX('R&amp;B Inputs'!$I$14:$V$14,MATCH($D14,'R&amp;B Inputs'!$I$4:$V$4,0)))^(T$4-INDEX('R&amp;B Inputs'!$I$13:$V$13,MATCH($D14,'R&amp;B Inputs'!$I$4:$V$4,0))),
IF(U9="",S14*(1+INDEX('R&amp;B Inputs'!$I$16:$V$16,MATCH($D14,'R&amp;B Inputs'!$I$4:$V$4,0))),T9)),0)</f>
        <v>8983.683460097729</v>
      </c>
      <c r="U14" s="592">
        <f>IFERROR(IF(INDEX('R&amp;B Inputs'!$I$10:$V$10,MATCH($D14,'R&amp;B Inputs'!$I$4:$V$4,0))="Single Year",
INDEX('R&amp;B Inputs'!$I$12:$V$12,MATCH($D14,'R&amp;B Inputs'!$I$4:$V$4,0))*(1+INDEX('R&amp;B Inputs'!$I$14:$V$14,MATCH($D14,'R&amp;B Inputs'!$I$4:$V$4,0)))^(U$4-INDEX('R&amp;B Inputs'!$I$13:$V$13,MATCH($D14,'R&amp;B Inputs'!$I$4:$V$4,0))),
IF(V9="",T14*(1+INDEX('R&amp;B Inputs'!$I$16:$V$16,MATCH($D14,'R&amp;B Inputs'!$I$4:$V$4,0))),U9)),0)</f>
        <v>8983.683460097729</v>
      </c>
      <c r="V14" s="592">
        <f>IFERROR(IF(INDEX('R&amp;B Inputs'!$I$10:$V$10,MATCH($D14,'R&amp;B Inputs'!$I$4:$V$4,0))="Single Year",
INDEX('R&amp;B Inputs'!$I$12:$V$12,MATCH($D14,'R&amp;B Inputs'!$I$4:$V$4,0))*(1+INDEX('R&amp;B Inputs'!$I$14:$V$14,MATCH($D14,'R&amp;B Inputs'!$I$4:$V$4,0)))^(V$4-INDEX('R&amp;B Inputs'!$I$13:$V$13,MATCH($D14,'R&amp;B Inputs'!$I$4:$V$4,0))),
IF(W9="",U14*(1+INDEX('R&amp;B Inputs'!$I$16:$V$16,MATCH($D14,'R&amp;B Inputs'!$I$4:$V$4,0))),V9)),0)</f>
        <v>8983.683460097729</v>
      </c>
      <c r="W14" s="592">
        <f>IFERROR(IF(INDEX('R&amp;B Inputs'!$I$10:$V$10,MATCH($D14,'R&amp;B Inputs'!$I$4:$V$4,0))="Single Year",
INDEX('R&amp;B Inputs'!$I$12:$V$12,MATCH($D14,'R&amp;B Inputs'!$I$4:$V$4,0))*(1+INDEX('R&amp;B Inputs'!$I$14:$V$14,MATCH($D14,'R&amp;B Inputs'!$I$4:$V$4,0)))^(W$4-INDEX('R&amp;B Inputs'!$I$13:$V$13,MATCH($D14,'R&amp;B Inputs'!$I$4:$V$4,0))),
IF(X9="",V14*(1+INDEX('R&amp;B Inputs'!$I$16:$V$16,MATCH($D14,'R&amp;B Inputs'!$I$4:$V$4,0))),W9)),0)</f>
        <v>8983.683460097729</v>
      </c>
      <c r="X14" s="592">
        <f>IFERROR(IF(INDEX('R&amp;B Inputs'!$I$10:$V$10,MATCH($D14,'R&amp;B Inputs'!$I$4:$V$4,0))="Single Year",
INDEX('R&amp;B Inputs'!$I$12:$V$12,MATCH($D14,'R&amp;B Inputs'!$I$4:$V$4,0))*(1+INDEX('R&amp;B Inputs'!$I$14:$V$14,MATCH($D14,'R&amp;B Inputs'!$I$4:$V$4,0)))^(X$4-INDEX('R&amp;B Inputs'!$I$13:$V$13,MATCH($D14,'R&amp;B Inputs'!$I$4:$V$4,0))),
IF(Y9="",W14*(1+INDEX('R&amp;B Inputs'!$I$16:$V$16,MATCH($D14,'R&amp;B Inputs'!$I$4:$V$4,0))),X9)),0)</f>
        <v>8983.683460097729</v>
      </c>
      <c r="Y14" s="592">
        <f>IFERROR(IF(INDEX('R&amp;B Inputs'!$I$10:$V$10,MATCH($D14,'R&amp;B Inputs'!$I$4:$V$4,0))="Single Year",
INDEX('R&amp;B Inputs'!$I$12:$V$12,MATCH($D14,'R&amp;B Inputs'!$I$4:$V$4,0))*(1+INDEX('R&amp;B Inputs'!$I$14:$V$14,MATCH($D14,'R&amp;B Inputs'!$I$4:$V$4,0)))^(Y$4-INDEX('R&amp;B Inputs'!$I$13:$V$13,MATCH($D14,'R&amp;B Inputs'!$I$4:$V$4,0))),
IF(Z9="",X14*(1+INDEX('R&amp;B Inputs'!$I$16:$V$16,MATCH($D14,'R&amp;B Inputs'!$I$4:$V$4,0))),Y9)),0)</f>
        <v>8983.683460097729</v>
      </c>
      <c r="Z14" s="592">
        <f>IFERROR(IF(INDEX('R&amp;B Inputs'!$I$10:$V$10,MATCH($D14,'R&amp;B Inputs'!$I$4:$V$4,0))="Single Year",
INDEX('R&amp;B Inputs'!$I$12:$V$12,MATCH($D14,'R&amp;B Inputs'!$I$4:$V$4,0))*(1+INDEX('R&amp;B Inputs'!$I$14:$V$14,MATCH($D14,'R&amp;B Inputs'!$I$4:$V$4,0)))^(Z$4-INDEX('R&amp;B Inputs'!$I$13:$V$13,MATCH($D14,'R&amp;B Inputs'!$I$4:$V$4,0))),
IF(AA9="",Y14*(1+INDEX('R&amp;B Inputs'!$I$16:$V$16,MATCH($D14,'R&amp;B Inputs'!$I$4:$V$4,0))),Z9)),0)</f>
        <v>8983.683460097729</v>
      </c>
      <c r="AA14" s="592">
        <f>IFERROR(IF(INDEX('R&amp;B Inputs'!$I$10:$V$10,MATCH($D14,'R&amp;B Inputs'!$I$4:$V$4,0))="Single Year",
INDEX('R&amp;B Inputs'!$I$12:$V$12,MATCH($D14,'R&amp;B Inputs'!$I$4:$V$4,0))*(1+INDEX('R&amp;B Inputs'!$I$14:$V$14,MATCH($D14,'R&amp;B Inputs'!$I$4:$V$4,0)))^(AA$4-INDEX('R&amp;B Inputs'!$I$13:$V$13,MATCH($D14,'R&amp;B Inputs'!$I$4:$V$4,0))),
IF(AB9="",Z14*(1+INDEX('R&amp;B Inputs'!$I$16:$V$16,MATCH($D14,'R&amp;B Inputs'!$I$4:$V$4,0))),AA9)),0)</f>
        <v>8983.683460097729</v>
      </c>
      <c r="AB14" s="592">
        <f>IFERROR(IF(INDEX('R&amp;B Inputs'!$I$10:$V$10,MATCH($D14,'R&amp;B Inputs'!$I$4:$V$4,0))="Single Year",
INDEX('R&amp;B Inputs'!$I$12:$V$12,MATCH($D14,'R&amp;B Inputs'!$I$4:$V$4,0))*(1+INDEX('R&amp;B Inputs'!$I$14:$V$14,MATCH($D14,'R&amp;B Inputs'!$I$4:$V$4,0)))^(AB$4-INDEX('R&amp;B Inputs'!$I$13:$V$13,MATCH($D14,'R&amp;B Inputs'!$I$4:$V$4,0))),
IF(AC9="",AA14*(1+INDEX('R&amp;B Inputs'!$I$16:$V$16,MATCH($D14,'R&amp;B Inputs'!$I$4:$V$4,0))),AB9)),0)</f>
        <v>8983.683460097729</v>
      </c>
      <c r="AC14" s="592">
        <f>IFERROR(IF(INDEX('R&amp;B Inputs'!$I$10:$V$10,MATCH($D14,'R&amp;B Inputs'!$I$4:$V$4,0))="Single Year",
INDEX('R&amp;B Inputs'!$I$12:$V$12,MATCH($D14,'R&amp;B Inputs'!$I$4:$V$4,0))*(1+INDEX('R&amp;B Inputs'!$I$14:$V$14,MATCH($D14,'R&amp;B Inputs'!$I$4:$V$4,0)))^(AC$4-INDEX('R&amp;B Inputs'!$I$13:$V$13,MATCH($D14,'R&amp;B Inputs'!$I$4:$V$4,0))),
IF(AD9="",AB14*(1+INDEX('R&amp;B Inputs'!$I$16:$V$16,MATCH($D14,'R&amp;B Inputs'!$I$4:$V$4,0))),AC9)),0)</f>
        <v>8983.683460097729</v>
      </c>
      <c r="AD14" s="592">
        <f>IFERROR(IF(INDEX('R&amp;B Inputs'!$I$10:$V$10,MATCH($D14,'R&amp;B Inputs'!$I$4:$V$4,0))="Single Year",
INDEX('R&amp;B Inputs'!$I$12:$V$12,MATCH($D14,'R&amp;B Inputs'!$I$4:$V$4,0))*(1+INDEX('R&amp;B Inputs'!$I$14:$V$14,MATCH($D14,'R&amp;B Inputs'!$I$4:$V$4,0)))^(AD$4-INDEX('R&amp;B Inputs'!$I$13:$V$13,MATCH($D14,'R&amp;B Inputs'!$I$4:$V$4,0))),
IF(AE9="",AC14*(1+INDEX('R&amp;B Inputs'!$I$16:$V$16,MATCH($D14,'R&amp;B Inputs'!$I$4:$V$4,0))),AD9)),0)</f>
        <v>8983.683460097729</v>
      </c>
      <c r="AE14" s="592">
        <f>IFERROR(IF(INDEX('R&amp;B Inputs'!$I$10:$V$10,MATCH($D14,'R&amp;B Inputs'!$I$4:$V$4,0))="Single Year",
INDEX('R&amp;B Inputs'!$I$12:$V$12,MATCH($D14,'R&amp;B Inputs'!$I$4:$V$4,0))*(1+INDEX('R&amp;B Inputs'!$I$14:$V$14,MATCH($D14,'R&amp;B Inputs'!$I$4:$V$4,0)))^(AE$4-INDEX('R&amp;B Inputs'!$I$13:$V$13,MATCH($D14,'R&amp;B Inputs'!$I$4:$V$4,0))),
IF(AF9="",AD14*(1+INDEX('R&amp;B Inputs'!$I$16:$V$16,MATCH($D14,'R&amp;B Inputs'!$I$4:$V$4,0))),AE9)),0)</f>
        <v>8983.683460097729</v>
      </c>
    </row>
    <row r="15" spans="2:31" s="5" customFormat="1" x14ac:dyDescent="0.25">
      <c r="D15" s="39" t="s">
        <v>43</v>
      </c>
      <c r="E15" s="592">
        <f>IFERROR(IF(INDEX('R&amp;B Inputs'!$I$10:$V$10,MATCH($D15,'R&amp;B Inputs'!$I$4:$V$4,0))="Single Year",
INDEX('R&amp;B Inputs'!$I$12:$V$12,MATCH($D15,'R&amp;B Inputs'!$I$4:$V$4,0))*(1+INDEX('R&amp;B Inputs'!$I$14:$V$14,MATCH($D15,'R&amp;B Inputs'!$I$4:$V$4,0)))^(E$4-INDEX('R&amp;B Inputs'!$I$13:$V$13,MATCH($D15,'R&amp;B Inputs'!$I$4:$V$4,0))),
IF(F10="",D15*(1+INDEX('R&amp;B Inputs'!$I$16:$V$16,MATCH($D15,'R&amp;B Inputs'!$I$4:$V$4,0))),E10)),0)</f>
        <v>55.255527025440614</v>
      </c>
      <c r="F15" s="592">
        <f>IFERROR(IF(INDEX('R&amp;B Inputs'!$I$10:$V$10,MATCH($D15,'R&amp;B Inputs'!$I$4:$V$4,0))="Single Year",
INDEX('R&amp;B Inputs'!$I$12:$V$12,MATCH($D15,'R&amp;B Inputs'!$I$4:$V$4,0))*(1+INDEX('R&amp;B Inputs'!$I$14:$V$14,MATCH($D15,'R&amp;B Inputs'!$I$4:$V$4,0)))^(F$4-INDEX('R&amp;B Inputs'!$I$13:$V$13,MATCH($D15,'R&amp;B Inputs'!$I$4:$V$4,0))),
IF(G10="",E15*(1+INDEX('R&amp;B Inputs'!$I$16:$V$16,MATCH($D15,'R&amp;B Inputs'!$I$4:$V$4,0))),F10)),0)</f>
        <v>55.255527025440614</v>
      </c>
      <c r="G15" s="592">
        <f>IFERROR(IF(INDEX('R&amp;B Inputs'!$I$10:$V$10,MATCH($D15,'R&amp;B Inputs'!$I$4:$V$4,0))="Single Year",
INDEX('R&amp;B Inputs'!$I$12:$V$12,MATCH($D15,'R&amp;B Inputs'!$I$4:$V$4,0))*(1+INDEX('R&amp;B Inputs'!$I$14:$V$14,MATCH($D15,'R&amp;B Inputs'!$I$4:$V$4,0)))^(G$4-INDEX('R&amp;B Inputs'!$I$13:$V$13,MATCH($D15,'R&amp;B Inputs'!$I$4:$V$4,0))),
IF(H10="",F15*(1+INDEX('R&amp;B Inputs'!$I$16:$V$16,MATCH($D15,'R&amp;B Inputs'!$I$4:$V$4,0))),G10)),0)</f>
        <v>55.255527025440614</v>
      </c>
      <c r="H15" s="592">
        <f>IFERROR(IF(INDEX('R&amp;B Inputs'!$I$10:$V$10,MATCH($D15,'R&amp;B Inputs'!$I$4:$V$4,0))="Single Year",
INDEX('R&amp;B Inputs'!$I$12:$V$12,MATCH($D15,'R&amp;B Inputs'!$I$4:$V$4,0))*(1+INDEX('R&amp;B Inputs'!$I$14:$V$14,MATCH($D15,'R&amp;B Inputs'!$I$4:$V$4,0)))^(H$4-INDEX('R&amp;B Inputs'!$I$13:$V$13,MATCH($D15,'R&amp;B Inputs'!$I$4:$V$4,0))),
IF(I10="",G15*(1+INDEX('R&amp;B Inputs'!$I$16:$V$16,MATCH($D15,'R&amp;B Inputs'!$I$4:$V$4,0))),H10)),0)</f>
        <v>55.255527025440614</v>
      </c>
      <c r="I15" s="592">
        <f>IFERROR(IF(INDEX('R&amp;B Inputs'!$I$10:$V$10,MATCH($D15,'R&amp;B Inputs'!$I$4:$V$4,0))="Single Year",
INDEX('R&amp;B Inputs'!$I$12:$V$12,MATCH($D15,'R&amp;B Inputs'!$I$4:$V$4,0))*(1+INDEX('R&amp;B Inputs'!$I$14:$V$14,MATCH($D15,'R&amp;B Inputs'!$I$4:$V$4,0)))^(I$4-INDEX('R&amp;B Inputs'!$I$13:$V$13,MATCH($D15,'R&amp;B Inputs'!$I$4:$V$4,0))),
IF(J10="",H15*(1+INDEX('R&amp;B Inputs'!$I$16:$V$16,MATCH($D15,'R&amp;B Inputs'!$I$4:$V$4,0))),I10)),0)</f>
        <v>55.255527025440614</v>
      </c>
      <c r="J15" s="592">
        <f>IFERROR(IF(INDEX('R&amp;B Inputs'!$I$10:$V$10,MATCH($D15,'R&amp;B Inputs'!$I$4:$V$4,0))="Single Year",
INDEX('R&amp;B Inputs'!$I$12:$V$12,MATCH($D15,'R&amp;B Inputs'!$I$4:$V$4,0))*(1+INDEX('R&amp;B Inputs'!$I$14:$V$14,MATCH($D15,'R&amp;B Inputs'!$I$4:$V$4,0)))^(J$4-INDEX('R&amp;B Inputs'!$I$13:$V$13,MATCH($D15,'R&amp;B Inputs'!$I$4:$V$4,0))),
IF(K10="",I15*(1+INDEX('R&amp;B Inputs'!$I$16:$V$16,MATCH($D15,'R&amp;B Inputs'!$I$4:$V$4,0))),J10)),0)</f>
        <v>55.255527025440614</v>
      </c>
      <c r="K15" s="592">
        <f>IFERROR(IF(INDEX('R&amp;B Inputs'!$I$10:$V$10,MATCH($D15,'R&amp;B Inputs'!$I$4:$V$4,0))="Single Year",
INDEX('R&amp;B Inputs'!$I$12:$V$12,MATCH($D15,'R&amp;B Inputs'!$I$4:$V$4,0))*(1+INDEX('R&amp;B Inputs'!$I$14:$V$14,MATCH($D15,'R&amp;B Inputs'!$I$4:$V$4,0)))^(K$4-INDEX('R&amp;B Inputs'!$I$13:$V$13,MATCH($D15,'R&amp;B Inputs'!$I$4:$V$4,0))),
IF(L10="",J15*(1+INDEX('R&amp;B Inputs'!$I$16:$V$16,MATCH($D15,'R&amp;B Inputs'!$I$4:$V$4,0))),K10)),0)</f>
        <v>55.255527025440614</v>
      </c>
      <c r="L15" s="592">
        <f>IFERROR(IF(INDEX('R&amp;B Inputs'!$I$10:$V$10,MATCH($D15,'R&amp;B Inputs'!$I$4:$V$4,0))="Single Year",
INDEX('R&amp;B Inputs'!$I$12:$V$12,MATCH($D15,'R&amp;B Inputs'!$I$4:$V$4,0))*(1+INDEX('R&amp;B Inputs'!$I$14:$V$14,MATCH($D15,'R&amp;B Inputs'!$I$4:$V$4,0)))^(L$4-INDEX('R&amp;B Inputs'!$I$13:$V$13,MATCH($D15,'R&amp;B Inputs'!$I$4:$V$4,0))),
IF(M10="",K15*(1+INDEX('R&amp;B Inputs'!$I$16:$V$16,MATCH($D15,'R&amp;B Inputs'!$I$4:$V$4,0))),L10)),0)</f>
        <v>55.255527025440614</v>
      </c>
      <c r="M15" s="592">
        <f>IFERROR(IF(INDEX('R&amp;B Inputs'!$I$10:$V$10,MATCH($D15,'R&amp;B Inputs'!$I$4:$V$4,0))="Single Year",
INDEX('R&amp;B Inputs'!$I$12:$V$12,MATCH($D15,'R&amp;B Inputs'!$I$4:$V$4,0))*(1+INDEX('R&amp;B Inputs'!$I$14:$V$14,MATCH($D15,'R&amp;B Inputs'!$I$4:$V$4,0)))^(M$4-INDEX('R&amp;B Inputs'!$I$13:$V$13,MATCH($D15,'R&amp;B Inputs'!$I$4:$V$4,0))),
IF(N10="",L15*(1+INDEX('R&amp;B Inputs'!$I$16:$V$16,MATCH($D15,'R&amp;B Inputs'!$I$4:$V$4,0))),M10)),0)</f>
        <v>55.255527025440614</v>
      </c>
      <c r="N15" s="592">
        <f>IFERROR(IF(INDEX('R&amp;B Inputs'!$I$10:$V$10,MATCH($D15,'R&amp;B Inputs'!$I$4:$V$4,0))="Single Year",
INDEX('R&amp;B Inputs'!$I$12:$V$12,MATCH($D15,'R&amp;B Inputs'!$I$4:$V$4,0))*(1+INDEX('R&amp;B Inputs'!$I$14:$V$14,MATCH($D15,'R&amp;B Inputs'!$I$4:$V$4,0)))^(N$4-INDEX('R&amp;B Inputs'!$I$13:$V$13,MATCH($D15,'R&amp;B Inputs'!$I$4:$V$4,0))),
IF(O10="",M15*(1+INDEX('R&amp;B Inputs'!$I$16:$V$16,MATCH($D15,'R&amp;B Inputs'!$I$4:$V$4,0))),N10)),0)</f>
        <v>55.255527025440614</v>
      </c>
      <c r="O15" s="592">
        <f>IFERROR(IF(INDEX('R&amp;B Inputs'!$I$10:$V$10,MATCH($D15,'R&amp;B Inputs'!$I$4:$V$4,0))="Single Year",
INDEX('R&amp;B Inputs'!$I$12:$V$12,MATCH($D15,'R&amp;B Inputs'!$I$4:$V$4,0))*(1+INDEX('R&amp;B Inputs'!$I$14:$V$14,MATCH($D15,'R&amp;B Inputs'!$I$4:$V$4,0)))^(O$4-INDEX('R&amp;B Inputs'!$I$13:$V$13,MATCH($D15,'R&amp;B Inputs'!$I$4:$V$4,0))),
IF(P10="",N15*(1+INDEX('R&amp;B Inputs'!$I$16:$V$16,MATCH($D15,'R&amp;B Inputs'!$I$4:$V$4,0))),O10)),0)</f>
        <v>55.255527025440614</v>
      </c>
      <c r="P15" s="592">
        <f>IFERROR(IF(INDEX('R&amp;B Inputs'!$I$10:$V$10,MATCH($D15,'R&amp;B Inputs'!$I$4:$V$4,0))="Single Year",
INDEX('R&amp;B Inputs'!$I$12:$V$12,MATCH($D15,'R&amp;B Inputs'!$I$4:$V$4,0))*(1+INDEX('R&amp;B Inputs'!$I$14:$V$14,MATCH($D15,'R&amp;B Inputs'!$I$4:$V$4,0)))^(P$4-INDEX('R&amp;B Inputs'!$I$13:$V$13,MATCH($D15,'R&amp;B Inputs'!$I$4:$V$4,0))),
IF(Q10="",O15*(1+INDEX('R&amp;B Inputs'!$I$16:$V$16,MATCH($D15,'R&amp;B Inputs'!$I$4:$V$4,0))),P10)),0)</f>
        <v>55.255527025440614</v>
      </c>
      <c r="Q15" s="592">
        <f>IFERROR(IF(INDEX('R&amp;B Inputs'!$I$10:$V$10,MATCH($D15,'R&amp;B Inputs'!$I$4:$V$4,0))="Single Year",
INDEX('R&amp;B Inputs'!$I$12:$V$12,MATCH($D15,'R&amp;B Inputs'!$I$4:$V$4,0))*(1+INDEX('R&amp;B Inputs'!$I$14:$V$14,MATCH($D15,'R&amp;B Inputs'!$I$4:$V$4,0)))^(Q$4-INDEX('R&amp;B Inputs'!$I$13:$V$13,MATCH($D15,'R&amp;B Inputs'!$I$4:$V$4,0))),
IF(R10="",P15*(1+INDEX('R&amp;B Inputs'!$I$16:$V$16,MATCH($D15,'R&amp;B Inputs'!$I$4:$V$4,0))),Q10)),0)</f>
        <v>55.255527025440614</v>
      </c>
      <c r="R15" s="592">
        <f>IFERROR(IF(INDEX('R&amp;B Inputs'!$I$10:$V$10,MATCH($D15,'R&amp;B Inputs'!$I$4:$V$4,0))="Single Year",
INDEX('R&amp;B Inputs'!$I$12:$V$12,MATCH($D15,'R&amp;B Inputs'!$I$4:$V$4,0))*(1+INDEX('R&amp;B Inputs'!$I$14:$V$14,MATCH($D15,'R&amp;B Inputs'!$I$4:$V$4,0)))^(R$4-INDEX('R&amp;B Inputs'!$I$13:$V$13,MATCH($D15,'R&amp;B Inputs'!$I$4:$V$4,0))),
IF(S10="",Q15*(1+INDEX('R&amp;B Inputs'!$I$16:$V$16,MATCH($D15,'R&amp;B Inputs'!$I$4:$V$4,0))),R10)),0)</f>
        <v>55.255527025440614</v>
      </c>
      <c r="S15" s="592">
        <f>IFERROR(IF(INDEX('R&amp;B Inputs'!$I$10:$V$10,MATCH($D15,'R&amp;B Inputs'!$I$4:$V$4,0))="Single Year",
INDEX('R&amp;B Inputs'!$I$12:$V$12,MATCH($D15,'R&amp;B Inputs'!$I$4:$V$4,0))*(1+INDEX('R&amp;B Inputs'!$I$14:$V$14,MATCH($D15,'R&amp;B Inputs'!$I$4:$V$4,0)))^(S$4-INDEX('R&amp;B Inputs'!$I$13:$V$13,MATCH($D15,'R&amp;B Inputs'!$I$4:$V$4,0))),
IF(T10="",R15*(1+INDEX('R&amp;B Inputs'!$I$16:$V$16,MATCH($D15,'R&amp;B Inputs'!$I$4:$V$4,0))),S10)),0)</f>
        <v>55.255527025440614</v>
      </c>
      <c r="T15" s="592">
        <f>IFERROR(IF(INDEX('R&amp;B Inputs'!$I$10:$V$10,MATCH($D15,'R&amp;B Inputs'!$I$4:$V$4,0))="Single Year",
INDEX('R&amp;B Inputs'!$I$12:$V$12,MATCH($D15,'R&amp;B Inputs'!$I$4:$V$4,0))*(1+INDEX('R&amp;B Inputs'!$I$14:$V$14,MATCH($D15,'R&amp;B Inputs'!$I$4:$V$4,0)))^(T$4-INDEX('R&amp;B Inputs'!$I$13:$V$13,MATCH($D15,'R&amp;B Inputs'!$I$4:$V$4,0))),
IF(U10="",S15*(1+INDEX('R&amp;B Inputs'!$I$16:$V$16,MATCH($D15,'R&amp;B Inputs'!$I$4:$V$4,0))),T10)),0)</f>
        <v>55.255527025440614</v>
      </c>
      <c r="U15" s="592">
        <f>IFERROR(IF(INDEX('R&amp;B Inputs'!$I$10:$V$10,MATCH($D15,'R&amp;B Inputs'!$I$4:$V$4,0))="Single Year",
INDEX('R&amp;B Inputs'!$I$12:$V$12,MATCH($D15,'R&amp;B Inputs'!$I$4:$V$4,0))*(1+INDEX('R&amp;B Inputs'!$I$14:$V$14,MATCH($D15,'R&amp;B Inputs'!$I$4:$V$4,0)))^(U$4-INDEX('R&amp;B Inputs'!$I$13:$V$13,MATCH($D15,'R&amp;B Inputs'!$I$4:$V$4,0))),
IF(V10="",T15*(1+INDEX('R&amp;B Inputs'!$I$16:$V$16,MATCH($D15,'R&amp;B Inputs'!$I$4:$V$4,0))),U10)),0)</f>
        <v>55.255527025440614</v>
      </c>
      <c r="V15" s="592">
        <f>IFERROR(IF(INDEX('R&amp;B Inputs'!$I$10:$V$10,MATCH($D15,'R&amp;B Inputs'!$I$4:$V$4,0))="Single Year",
INDEX('R&amp;B Inputs'!$I$12:$V$12,MATCH($D15,'R&amp;B Inputs'!$I$4:$V$4,0))*(1+INDEX('R&amp;B Inputs'!$I$14:$V$14,MATCH($D15,'R&amp;B Inputs'!$I$4:$V$4,0)))^(V$4-INDEX('R&amp;B Inputs'!$I$13:$V$13,MATCH($D15,'R&amp;B Inputs'!$I$4:$V$4,0))),
IF(W10="",U15*(1+INDEX('R&amp;B Inputs'!$I$16:$V$16,MATCH($D15,'R&amp;B Inputs'!$I$4:$V$4,0))),V10)),0)</f>
        <v>55.255527025440614</v>
      </c>
      <c r="W15" s="592">
        <f>IFERROR(IF(INDEX('R&amp;B Inputs'!$I$10:$V$10,MATCH($D15,'R&amp;B Inputs'!$I$4:$V$4,0))="Single Year",
INDEX('R&amp;B Inputs'!$I$12:$V$12,MATCH($D15,'R&amp;B Inputs'!$I$4:$V$4,0))*(1+INDEX('R&amp;B Inputs'!$I$14:$V$14,MATCH($D15,'R&amp;B Inputs'!$I$4:$V$4,0)))^(W$4-INDEX('R&amp;B Inputs'!$I$13:$V$13,MATCH($D15,'R&amp;B Inputs'!$I$4:$V$4,0))),
IF(X10="",V15*(1+INDEX('R&amp;B Inputs'!$I$16:$V$16,MATCH($D15,'R&amp;B Inputs'!$I$4:$V$4,0))),W10)),0)</f>
        <v>55.255527025440614</v>
      </c>
      <c r="X15" s="592">
        <f>IFERROR(IF(INDEX('R&amp;B Inputs'!$I$10:$V$10,MATCH($D15,'R&amp;B Inputs'!$I$4:$V$4,0))="Single Year",
INDEX('R&amp;B Inputs'!$I$12:$V$12,MATCH($D15,'R&amp;B Inputs'!$I$4:$V$4,0))*(1+INDEX('R&amp;B Inputs'!$I$14:$V$14,MATCH($D15,'R&amp;B Inputs'!$I$4:$V$4,0)))^(X$4-INDEX('R&amp;B Inputs'!$I$13:$V$13,MATCH($D15,'R&amp;B Inputs'!$I$4:$V$4,0))),
IF(Y10="",W15*(1+INDEX('R&amp;B Inputs'!$I$16:$V$16,MATCH($D15,'R&amp;B Inputs'!$I$4:$V$4,0))),X10)),0)</f>
        <v>55.255527025440614</v>
      </c>
      <c r="Y15" s="592">
        <f>IFERROR(IF(INDEX('R&amp;B Inputs'!$I$10:$V$10,MATCH($D15,'R&amp;B Inputs'!$I$4:$V$4,0))="Single Year",
INDEX('R&amp;B Inputs'!$I$12:$V$12,MATCH($D15,'R&amp;B Inputs'!$I$4:$V$4,0))*(1+INDEX('R&amp;B Inputs'!$I$14:$V$14,MATCH($D15,'R&amp;B Inputs'!$I$4:$V$4,0)))^(Y$4-INDEX('R&amp;B Inputs'!$I$13:$V$13,MATCH($D15,'R&amp;B Inputs'!$I$4:$V$4,0))),
IF(Z10="",X15*(1+INDEX('R&amp;B Inputs'!$I$16:$V$16,MATCH($D15,'R&amp;B Inputs'!$I$4:$V$4,0))),Y10)),0)</f>
        <v>55.255527025440614</v>
      </c>
      <c r="Z15" s="592">
        <f>IFERROR(IF(INDEX('R&amp;B Inputs'!$I$10:$V$10,MATCH($D15,'R&amp;B Inputs'!$I$4:$V$4,0))="Single Year",
INDEX('R&amp;B Inputs'!$I$12:$V$12,MATCH($D15,'R&amp;B Inputs'!$I$4:$V$4,0))*(1+INDEX('R&amp;B Inputs'!$I$14:$V$14,MATCH($D15,'R&amp;B Inputs'!$I$4:$V$4,0)))^(Z$4-INDEX('R&amp;B Inputs'!$I$13:$V$13,MATCH($D15,'R&amp;B Inputs'!$I$4:$V$4,0))),
IF(AA10="",Y15*(1+INDEX('R&amp;B Inputs'!$I$16:$V$16,MATCH($D15,'R&amp;B Inputs'!$I$4:$V$4,0))),Z10)),0)</f>
        <v>55.255527025440614</v>
      </c>
      <c r="AA15" s="592">
        <f>IFERROR(IF(INDEX('R&amp;B Inputs'!$I$10:$V$10,MATCH($D15,'R&amp;B Inputs'!$I$4:$V$4,0))="Single Year",
INDEX('R&amp;B Inputs'!$I$12:$V$12,MATCH($D15,'R&amp;B Inputs'!$I$4:$V$4,0))*(1+INDEX('R&amp;B Inputs'!$I$14:$V$14,MATCH($D15,'R&amp;B Inputs'!$I$4:$V$4,0)))^(AA$4-INDEX('R&amp;B Inputs'!$I$13:$V$13,MATCH($D15,'R&amp;B Inputs'!$I$4:$V$4,0))),
IF(AB10="",Z15*(1+INDEX('R&amp;B Inputs'!$I$16:$V$16,MATCH($D15,'R&amp;B Inputs'!$I$4:$V$4,0))),AA10)),0)</f>
        <v>55.255527025440614</v>
      </c>
      <c r="AB15" s="592">
        <f>IFERROR(IF(INDEX('R&amp;B Inputs'!$I$10:$V$10,MATCH($D15,'R&amp;B Inputs'!$I$4:$V$4,0))="Single Year",
INDEX('R&amp;B Inputs'!$I$12:$V$12,MATCH($D15,'R&amp;B Inputs'!$I$4:$V$4,0))*(1+INDEX('R&amp;B Inputs'!$I$14:$V$14,MATCH($D15,'R&amp;B Inputs'!$I$4:$V$4,0)))^(AB$4-INDEX('R&amp;B Inputs'!$I$13:$V$13,MATCH($D15,'R&amp;B Inputs'!$I$4:$V$4,0))),
IF(AC10="",AA15*(1+INDEX('R&amp;B Inputs'!$I$16:$V$16,MATCH($D15,'R&amp;B Inputs'!$I$4:$V$4,0))),AB10)),0)</f>
        <v>55.255527025440614</v>
      </c>
      <c r="AC15" s="592">
        <f>IFERROR(IF(INDEX('R&amp;B Inputs'!$I$10:$V$10,MATCH($D15,'R&amp;B Inputs'!$I$4:$V$4,0))="Single Year",
INDEX('R&amp;B Inputs'!$I$12:$V$12,MATCH($D15,'R&amp;B Inputs'!$I$4:$V$4,0))*(1+INDEX('R&amp;B Inputs'!$I$14:$V$14,MATCH($D15,'R&amp;B Inputs'!$I$4:$V$4,0)))^(AC$4-INDEX('R&amp;B Inputs'!$I$13:$V$13,MATCH($D15,'R&amp;B Inputs'!$I$4:$V$4,0))),
IF(AD10="",AB15*(1+INDEX('R&amp;B Inputs'!$I$16:$V$16,MATCH($D15,'R&amp;B Inputs'!$I$4:$V$4,0))),AC10)),0)</f>
        <v>55.255527025440614</v>
      </c>
      <c r="AD15" s="592">
        <f>IFERROR(IF(INDEX('R&amp;B Inputs'!$I$10:$V$10,MATCH($D15,'R&amp;B Inputs'!$I$4:$V$4,0))="Single Year",
INDEX('R&amp;B Inputs'!$I$12:$V$12,MATCH($D15,'R&amp;B Inputs'!$I$4:$V$4,0))*(1+INDEX('R&amp;B Inputs'!$I$14:$V$14,MATCH($D15,'R&amp;B Inputs'!$I$4:$V$4,0)))^(AD$4-INDEX('R&amp;B Inputs'!$I$13:$V$13,MATCH($D15,'R&amp;B Inputs'!$I$4:$V$4,0))),
IF(AE10="",AC15*(1+INDEX('R&amp;B Inputs'!$I$16:$V$16,MATCH($D15,'R&amp;B Inputs'!$I$4:$V$4,0))),AD10)),0)</f>
        <v>55.255527025440614</v>
      </c>
      <c r="AE15" s="592">
        <f>IFERROR(IF(INDEX('R&amp;B Inputs'!$I$10:$V$10,MATCH($D15,'R&amp;B Inputs'!$I$4:$V$4,0))="Single Year",
INDEX('R&amp;B Inputs'!$I$12:$V$12,MATCH($D15,'R&amp;B Inputs'!$I$4:$V$4,0))*(1+INDEX('R&amp;B Inputs'!$I$14:$V$14,MATCH($D15,'R&amp;B Inputs'!$I$4:$V$4,0)))^(AE$4-INDEX('R&amp;B Inputs'!$I$13:$V$13,MATCH($D15,'R&amp;B Inputs'!$I$4:$V$4,0))),
IF(AF10="",AD15*(1+INDEX('R&amp;B Inputs'!$I$16:$V$16,MATCH($D15,'R&amp;B Inputs'!$I$4:$V$4,0))),AE10)),0)</f>
        <v>55.255527025440614</v>
      </c>
    </row>
    <row r="18" spans="2:31" s="545" customFormat="1" ht="21" x14ac:dyDescent="0.35">
      <c r="B18" s="601" t="s">
        <v>4</v>
      </c>
      <c r="C18" s="601"/>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row>
    <row r="19" spans="2:31" ht="15.75" x14ac:dyDescent="0.25">
      <c r="C19" s="63" t="s">
        <v>311</v>
      </c>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row>
    <row r="20" spans="2:31" x14ac:dyDescent="0.25">
      <c r="D20" s="205" t="s">
        <v>20</v>
      </c>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row>
    <row r="21" spans="2:31" x14ac:dyDescent="0.25">
      <c r="D21" s="39" t="s">
        <v>21</v>
      </c>
      <c r="E21" s="593"/>
      <c r="F21" s="593"/>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row>
    <row r="22" spans="2:31" x14ac:dyDescent="0.25">
      <c r="D22" s="39" t="s">
        <v>42</v>
      </c>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row>
    <row r="23" spans="2:31" x14ac:dyDescent="0.25">
      <c r="D23" s="39" t="s">
        <v>43</v>
      </c>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row>
    <row r="24" spans="2:31" ht="15.75" x14ac:dyDescent="0.25">
      <c r="C24" s="63" t="s">
        <v>312</v>
      </c>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row>
    <row r="25" spans="2:31" x14ac:dyDescent="0.25">
      <c r="D25" s="205" t="s">
        <v>20</v>
      </c>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row>
    <row r="26" spans="2:31" x14ac:dyDescent="0.25">
      <c r="D26" s="39" t="s">
        <v>21</v>
      </c>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593"/>
      <c r="AE26" s="593"/>
    </row>
    <row r="27" spans="2:31" x14ac:dyDescent="0.25">
      <c r="D27" s="39" t="s">
        <v>42</v>
      </c>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593"/>
      <c r="AE27" s="593"/>
    </row>
    <row r="28" spans="2:31" x14ac:dyDescent="0.25">
      <c r="D28" s="39" t="s">
        <v>43</v>
      </c>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row>
    <row r="30" spans="2:31" ht="15.75" x14ac:dyDescent="0.25">
      <c r="C30" s="63" t="s">
        <v>318</v>
      </c>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row>
    <row r="31" spans="2:31" x14ac:dyDescent="0.25">
      <c r="D31" s="205" t="s">
        <v>20</v>
      </c>
      <c r="E31" s="592">
        <f>IFERROR(IF(INDEX('R&amp;B Inputs'!$I$18:$V$18,MATCH($D31,'R&amp;B Inputs'!$I$4:$V$4,0))="Single Year",
INDEX('R&amp;B Inputs'!$I$20:$V$20,MATCH($D31,'R&amp;B Inputs'!$I$4:$V$4,0))*(1+INDEX('R&amp;B Inputs'!$I$23:$V$23,MATCH($D31,'R&amp;B Inputs'!$I$4:$V$4,0)))^(E$4-INDEX('R&amp;B Inputs'!$I$22:$V$22,MATCH($D31,'R&amp;B Inputs'!$I$4:$V$4,0))),
IF(F20="",D31*(1+INDEX('R&amp;B Inputs'!$I$25:$V$25,MATCH($D31,'R&amp;B Inputs'!$I$4:$V$4,0))),E20)),0)</f>
        <v>58525589.103563093</v>
      </c>
      <c r="F31" s="592">
        <f>IFERROR(IF(INDEX('R&amp;B Inputs'!$I$18:$V$18,MATCH($D31,'R&amp;B Inputs'!$I$4:$V$4,0))="Single Year",
INDEX('R&amp;B Inputs'!$I$20:$V$20,MATCH($D31,'R&amp;B Inputs'!$I$4:$V$4,0))*(1+INDEX('R&amp;B Inputs'!$I$23:$V$23,MATCH($D31,'R&amp;B Inputs'!$I$4:$V$4,0)))^(F$4-INDEX('R&amp;B Inputs'!$I$22:$V$22,MATCH($D31,'R&amp;B Inputs'!$I$4:$V$4,0))),
IF(G20="",E31*(1+INDEX('R&amp;B Inputs'!$I$25:$V$25,MATCH($D31,'R&amp;B Inputs'!$I$4:$V$4,0))),F20)),0)</f>
        <v>58525589.103563093</v>
      </c>
      <c r="G31" s="592">
        <f>IFERROR(IF(INDEX('R&amp;B Inputs'!$I$18:$V$18,MATCH($D31,'R&amp;B Inputs'!$I$4:$V$4,0))="Single Year",
INDEX('R&amp;B Inputs'!$I$20:$V$20,MATCH($D31,'R&amp;B Inputs'!$I$4:$V$4,0))*(1+INDEX('R&amp;B Inputs'!$I$23:$V$23,MATCH($D31,'R&amp;B Inputs'!$I$4:$V$4,0)))^(G$4-INDEX('R&amp;B Inputs'!$I$22:$V$22,MATCH($D31,'R&amp;B Inputs'!$I$4:$V$4,0))),
IF(H20="",F31*(1+INDEX('R&amp;B Inputs'!$I$25:$V$25,MATCH($D31,'R&amp;B Inputs'!$I$4:$V$4,0))),G20)),0)</f>
        <v>58525589.103563093</v>
      </c>
      <c r="H31" s="592">
        <f>IFERROR(IF(INDEX('R&amp;B Inputs'!$I$18:$V$18,MATCH($D31,'R&amp;B Inputs'!$I$4:$V$4,0))="Single Year",
INDEX('R&amp;B Inputs'!$I$20:$V$20,MATCH($D31,'R&amp;B Inputs'!$I$4:$V$4,0))*(1+INDEX('R&amp;B Inputs'!$I$23:$V$23,MATCH($D31,'R&amp;B Inputs'!$I$4:$V$4,0)))^(H$4-INDEX('R&amp;B Inputs'!$I$22:$V$22,MATCH($D31,'R&amp;B Inputs'!$I$4:$V$4,0))),
IF(I20="",G31*(1+INDEX('R&amp;B Inputs'!$I$25:$V$25,MATCH($D31,'R&amp;B Inputs'!$I$4:$V$4,0))),H20)),0)</f>
        <v>58525589.103563093</v>
      </c>
      <c r="I31" s="592">
        <f>IFERROR(IF(INDEX('R&amp;B Inputs'!$I$18:$V$18,MATCH($D31,'R&amp;B Inputs'!$I$4:$V$4,0))="Single Year",
INDEX('R&amp;B Inputs'!$I$20:$V$20,MATCH($D31,'R&amp;B Inputs'!$I$4:$V$4,0))*(1+INDEX('R&amp;B Inputs'!$I$23:$V$23,MATCH($D31,'R&amp;B Inputs'!$I$4:$V$4,0)))^(I$4-INDEX('R&amp;B Inputs'!$I$22:$V$22,MATCH($D31,'R&amp;B Inputs'!$I$4:$V$4,0))),
IF(J20="",H31*(1+INDEX('R&amp;B Inputs'!$I$25:$V$25,MATCH($D31,'R&amp;B Inputs'!$I$4:$V$4,0))),I20)),0)</f>
        <v>58525589.103563093</v>
      </c>
      <c r="J31" s="592">
        <f>IFERROR(IF(INDEX('R&amp;B Inputs'!$I$18:$V$18,MATCH($D31,'R&amp;B Inputs'!$I$4:$V$4,0))="Single Year",
INDEX('R&amp;B Inputs'!$I$20:$V$20,MATCH($D31,'R&amp;B Inputs'!$I$4:$V$4,0))*(1+INDEX('R&amp;B Inputs'!$I$23:$V$23,MATCH($D31,'R&amp;B Inputs'!$I$4:$V$4,0)))^(J$4-INDEX('R&amp;B Inputs'!$I$22:$V$22,MATCH($D31,'R&amp;B Inputs'!$I$4:$V$4,0))),
IF(K20="",I31*(1+INDEX('R&amp;B Inputs'!$I$25:$V$25,MATCH($D31,'R&amp;B Inputs'!$I$4:$V$4,0))),J20)),0)</f>
        <v>58525589.103563093</v>
      </c>
      <c r="K31" s="592">
        <f>IFERROR(IF(INDEX('R&amp;B Inputs'!$I$18:$V$18,MATCH($D31,'R&amp;B Inputs'!$I$4:$V$4,0))="Single Year",
INDEX('R&amp;B Inputs'!$I$20:$V$20,MATCH($D31,'R&amp;B Inputs'!$I$4:$V$4,0))*(1+INDEX('R&amp;B Inputs'!$I$23:$V$23,MATCH($D31,'R&amp;B Inputs'!$I$4:$V$4,0)))^(K$4-INDEX('R&amp;B Inputs'!$I$22:$V$22,MATCH($D31,'R&amp;B Inputs'!$I$4:$V$4,0))),
IF(L20="",J31*(1+INDEX('R&amp;B Inputs'!$I$25:$V$25,MATCH($D31,'R&amp;B Inputs'!$I$4:$V$4,0))),K20)),0)</f>
        <v>58525589.103563093</v>
      </c>
      <c r="L31" s="592">
        <f>IFERROR(IF(INDEX('R&amp;B Inputs'!$I$18:$V$18,MATCH($D31,'R&amp;B Inputs'!$I$4:$V$4,0))="Single Year",
INDEX('R&amp;B Inputs'!$I$20:$V$20,MATCH($D31,'R&amp;B Inputs'!$I$4:$V$4,0))*(1+INDEX('R&amp;B Inputs'!$I$23:$V$23,MATCH($D31,'R&amp;B Inputs'!$I$4:$V$4,0)))^(L$4-INDEX('R&amp;B Inputs'!$I$22:$V$22,MATCH($D31,'R&amp;B Inputs'!$I$4:$V$4,0))),
IF(M20="",K31*(1+INDEX('R&amp;B Inputs'!$I$25:$V$25,MATCH($D31,'R&amp;B Inputs'!$I$4:$V$4,0))),L20)),0)</f>
        <v>58525589.103563093</v>
      </c>
      <c r="M31" s="592">
        <f>IFERROR(IF(INDEX('R&amp;B Inputs'!$I$18:$V$18,MATCH($D31,'R&amp;B Inputs'!$I$4:$V$4,0))="Single Year",
INDEX('R&amp;B Inputs'!$I$20:$V$20,MATCH($D31,'R&amp;B Inputs'!$I$4:$V$4,0))*(1+INDEX('R&amp;B Inputs'!$I$23:$V$23,MATCH($D31,'R&amp;B Inputs'!$I$4:$V$4,0)))^(M$4-INDEX('R&amp;B Inputs'!$I$22:$V$22,MATCH($D31,'R&amp;B Inputs'!$I$4:$V$4,0))),
IF(N20="",L31*(1+INDEX('R&amp;B Inputs'!$I$25:$V$25,MATCH($D31,'R&amp;B Inputs'!$I$4:$V$4,0))),M20)),0)</f>
        <v>58525589.103563093</v>
      </c>
      <c r="N31" s="592">
        <f>IFERROR(IF(INDEX('R&amp;B Inputs'!$I$18:$V$18,MATCH($D31,'R&amp;B Inputs'!$I$4:$V$4,0))="Single Year",
INDEX('R&amp;B Inputs'!$I$20:$V$20,MATCH($D31,'R&amp;B Inputs'!$I$4:$V$4,0))*(1+INDEX('R&amp;B Inputs'!$I$23:$V$23,MATCH($D31,'R&amp;B Inputs'!$I$4:$V$4,0)))^(N$4-INDEX('R&amp;B Inputs'!$I$22:$V$22,MATCH($D31,'R&amp;B Inputs'!$I$4:$V$4,0))),
IF(O20="",M31*(1+INDEX('R&amp;B Inputs'!$I$25:$V$25,MATCH($D31,'R&amp;B Inputs'!$I$4:$V$4,0))),N20)),0)</f>
        <v>58525589.103563093</v>
      </c>
      <c r="O31" s="592">
        <f>IFERROR(IF(INDEX('R&amp;B Inputs'!$I$18:$V$18,MATCH($D31,'R&amp;B Inputs'!$I$4:$V$4,0))="Single Year",
INDEX('R&amp;B Inputs'!$I$20:$V$20,MATCH($D31,'R&amp;B Inputs'!$I$4:$V$4,0))*(1+INDEX('R&amp;B Inputs'!$I$23:$V$23,MATCH($D31,'R&amp;B Inputs'!$I$4:$V$4,0)))^(O$4-INDEX('R&amp;B Inputs'!$I$22:$V$22,MATCH($D31,'R&amp;B Inputs'!$I$4:$V$4,0))),
IF(P20="",N31*(1+INDEX('R&amp;B Inputs'!$I$25:$V$25,MATCH($D31,'R&amp;B Inputs'!$I$4:$V$4,0))),O20)),0)</f>
        <v>58525589.103563093</v>
      </c>
      <c r="P31" s="592">
        <f>IFERROR(IF(INDEX('R&amp;B Inputs'!$I$18:$V$18,MATCH($D31,'R&amp;B Inputs'!$I$4:$V$4,0))="Single Year",
INDEX('R&amp;B Inputs'!$I$20:$V$20,MATCH($D31,'R&amp;B Inputs'!$I$4:$V$4,0))*(1+INDEX('R&amp;B Inputs'!$I$23:$V$23,MATCH($D31,'R&amp;B Inputs'!$I$4:$V$4,0)))^(P$4-INDEX('R&amp;B Inputs'!$I$22:$V$22,MATCH($D31,'R&amp;B Inputs'!$I$4:$V$4,0))),
IF(Q20="",O31*(1+INDEX('R&amp;B Inputs'!$I$25:$V$25,MATCH($D31,'R&amp;B Inputs'!$I$4:$V$4,0))),P20)),0)</f>
        <v>58525589.103563093</v>
      </c>
      <c r="Q31" s="592">
        <f>IFERROR(IF(INDEX('R&amp;B Inputs'!$I$18:$V$18,MATCH($D31,'R&amp;B Inputs'!$I$4:$V$4,0))="Single Year",
INDEX('R&amp;B Inputs'!$I$20:$V$20,MATCH($D31,'R&amp;B Inputs'!$I$4:$V$4,0))*(1+INDEX('R&amp;B Inputs'!$I$23:$V$23,MATCH($D31,'R&amp;B Inputs'!$I$4:$V$4,0)))^(Q$4-INDEX('R&amp;B Inputs'!$I$22:$V$22,MATCH($D31,'R&amp;B Inputs'!$I$4:$V$4,0))),
IF(R20="",P31*(1+INDEX('R&amp;B Inputs'!$I$25:$V$25,MATCH($D31,'R&amp;B Inputs'!$I$4:$V$4,0))),Q20)),0)</f>
        <v>58525589.103563093</v>
      </c>
      <c r="R31" s="592">
        <f>IFERROR(IF(INDEX('R&amp;B Inputs'!$I$18:$V$18,MATCH($D31,'R&amp;B Inputs'!$I$4:$V$4,0))="Single Year",
INDEX('R&amp;B Inputs'!$I$20:$V$20,MATCH($D31,'R&amp;B Inputs'!$I$4:$V$4,0))*(1+INDEX('R&amp;B Inputs'!$I$23:$V$23,MATCH($D31,'R&amp;B Inputs'!$I$4:$V$4,0)))^(R$4-INDEX('R&amp;B Inputs'!$I$22:$V$22,MATCH($D31,'R&amp;B Inputs'!$I$4:$V$4,0))),
IF(S20="",Q31*(1+INDEX('R&amp;B Inputs'!$I$25:$V$25,MATCH($D31,'R&amp;B Inputs'!$I$4:$V$4,0))),R20)),0)</f>
        <v>58525589.103563093</v>
      </c>
      <c r="S31" s="592">
        <f>IFERROR(IF(INDEX('R&amp;B Inputs'!$I$18:$V$18,MATCH($D31,'R&amp;B Inputs'!$I$4:$V$4,0))="Single Year",
INDEX('R&amp;B Inputs'!$I$20:$V$20,MATCH($D31,'R&amp;B Inputs'!$I$4:$V$4,0))*(1+INDEX('R&amp;B Inputs'!$I$23:$V$23,MATCH($D31,'R&amp;B Inputs'!$I$4:$V$4,0)))^(S$4-INDEX('R&amp;B Inputs'!$I$22:$V$22,MATCH($D31,'R&amp;B Inputs'!$I$4:$V$4,0))),
IF(T20="",R31*(1+INDEX('R&amp;B Inputs'!$I$25:$V$25,MATCH($D31,'R&amp;B Inputs'!$I$4:$V$4,0))),S20)),0)</f>
        <v>58525589.103563093</v>
      </c>
      <c r="T31" s="592">
        <f>IFERROR(IF(INDEX('R&amp;B Inputs'!$I$18:$V$18,MATCH($D31,'R&amp;B Inputs'!$I$4:$V$4,0))="Single Year",
INDEX('R&amp;B Inputs'!$I$20:$V$20,MATCH($D31,'R&amp;B Inputs'!$I$4:$V$4,0))*(1+INDEX('R&amp;B Inputs'!$I$23:$V$23,MATCH($D31,'R&amp;B Inputs'!$I$4:$V$4,0)))^(T$4-INDEX('R&amp;B Inputs'!$I$22:$V$22,MATCH($D31,'R&amp;B Inputs'!$I$4:$V$4,0))),
IF(U20="",S31*(1+INDEX('R&amp;B Inputs'!$I$25:$V$25,MATCH($D31,'R&amp;B Inputs'!$I$4:$V$4,0))),T20)),0)</f>
        <v>58525589.103563093</v>
      </c>
      <c r="U31" s="592">
        <f>IFERROR(IF(INDEX('R&amp;B Inputs'!$I$18:$V$18,MATCH($D31,'R&amp;B Inputs'!$I$4:$V$4,0))="Single Year",
INDEX('R&amp;B Inputs'!$I$20:$V$20,MATCH($D31,'R&amp;B Inputs'!$I$4:$V$4,0))*(1+INDEX('R&amp;B Inputs'!$I$23:$V$23,MATCH($D31,'R&amp;B Inputs'!$I$4:$V$4,0)))^(U$4-INDEX('R&amp;B Inputs'!$I$22:$V$22,MATCH($D31,'R&amp;B Inputs'!$I$4:$V$4,0))),
IF(V20="",T31*(1+INDEX('R&amp;B Inputs'!$I$25:$V$25,MATCH($D31,'R&amp;B Inputs'!$I$4:$V$4,0))),U20)),0)</f>
        <v>58525589.103563093</v>
      </c>
      <c r="V31" s="592">
        <f>IFERROR(IF(INDEX('R&amp;B Inputs'!$I$18:$V$18,MATCH($D31,'R&amp;B Inputs'!$I$4:$V$4,0))="Single Year",
INDEX('R&amp;B Inputs'!$I$20:$V$20,MATCH($D31,'R&amp;B Inputs'!$I$4:$V$4,0))*(1+INDEX('R&amp;B Inputs'!$I$23:$V$23,MATCH($D31,'R&amp;B Inputs'!$I$4:$V$4,0)))^(V$4-INDEX('R&amp;B Inputs'!$I$22:$V$22,MATCH($D31,'R&amp;B Inputs'!$I$4:$V$4,0))),
IF(W20="",U31*(1+INDEX('R&amp;B Inputs'!$I$25:$V$25,MATCH($D31,'R&amp;B Inputs'!$I$4:$V$4,0))),V20)),0)</f>
        <v>58525589.103563093</v>
      </c>
      <c r="W31" s="592">
        <f>IFERROR(IF(INDEX('R&amp;B Inputs'!$I$18:$V$18,MATCH($D31,'R&amp;B Inputs'!$I$4:$V$4,0))="Single Year",
INDEX('R&amp;B Inputs'!$I$20:$V$20,MATCH($D31,'R&amp;B Inputs'!$I$4:$V$4,0))*(1+INDEX('R&amp;B Inputs'!$I$23:$V$23,MATCH($D31,'R&amp;B Inputs'!$I$4:$V$4,0)))^(W$4-INDEX('R&amp;B Inputs'!$I$22:$V$22,MATCH($D31,'R&amp;B Inputs'!$I$4:$V$4,0))),
IF(X20="",V31*(1+INDEX('R&amp;B Inputs'!$I$25:$V$25,MATCH($D31,'R&amp;B Inputs'!$I$4:$V$4,0))),W20)),0)</f>
        <v>58525589.103563093</v>
      </c>
      <c r="X31" s="592">
        <f>IFERROR(IF(INDEX('R&amp;B Inputs'!$I$18:$V$18,MATCH($D31,'R&amp;B Inputs'!$I$4:$V$4,0))="Single Year",
INDEX('R&amp;B Inputs'!$I$20:$V$20,MATCH($D31,'R&amp;B Inputs'!$I$4:$V$4,0))*(1+INDEX('R&amp;B Inputs'!$I$23:$V$23,MATCH($D31,'R&amp;B Inputs'!$I$4:$V$4,0)))^(X$4-INDEX('R&amp;B Inputs'!$I$22:$V$22,MATCH($D31,'R&amp;B Inputs'!$I$4:$V$4,0))),
IF(Y20="",W31*(1+INDEX('R&amp;B Inputs'!$I$25:$V$25,MATCH($D31,'R&amp;B Inputs'!$I$4:$V$4,0))),X20)),0)</f>
        <v>58525589.103563093</v>
      </c>
      <c r="Y31" s="592">
        <f>IFERROR(IF(INDEX('R&amp;B Inputs'!$I$18:$V$18,MATCH($D31,'R&amp;B Inputs'!$I$4:$V$4,0))="Single Year",
INDEX('R&amp;B Inputs'!$I$20:$V$20,MATCH($D31,'R&amp;B Inputs'!$I$4:$V$4,0))*(1+INDEX('R&amp;B Inputs'!$I$23:$V$23,MATCH($D31,'R&amp;B Inputs'!$I$4:$V$4,0)))^(Y$4-INDEX('R&amp;B Inputs'!$I$22:$V$22,MATCH($D31,'R&amp;B Inputs'!$I$4:$V$4,0))),
IF(Z20="",X31*(1+INDEX('R&amp;B Inputs'!$I$25:$V$25,MATCH($D31,'R&amp;B Inputs'!$I$4:$V$4,0))),Y20)),0)</f>
        <v>58525589.103563093</v>
      </c>
      <c r="Z31" s="592">
        <f>IFERROR(IF(INDEX('R&amp;B Inputs'!$I$18:$V$18,MATCH($D31,'R&amp;B Inputs'!$I$4:$V$4,0))="Single Year",
INDEX('R&amp;B Inputs'!$I$20:$V$20,MATCH($D31,'R&amp;B Inputs'!$I$4:$V$4,0))*(1+INDEX('R&amp;B Inputs'!$I$23:$V$23,MATCH($D31,'R&amp;B Inputs'!$I$4:$V$4,0)))^(Z$4-INDEX('R&amp;B Inputs'!$I$22:$V$22,MATCH($D31,'R&amp;B Inputs'!$I$4:$V$4,0))),
IF(AA20="",Y31*(1+INDEX('R&amp;B Inputs'!$I$25:$V$25,MATCH($D31,'R&amp;B Inputs'!$I$4:$V$4,0))),Z20)),0)</f>
        <v>58525589.103563093</v>
      </c>
      <c r="AA31" s="592">
        <f>IFERROR(IF(INDEX('R&amp;B Inputs'!$I$18:$V$18,MATCH($D31,'R&amp;B Inputs'!$I$4:$V$4,0))="Single Year",
INDEX('R&amp;B Inputs'!$I$20:$V$20,MATCH($D31,'R&amp;B Inputs'!$I$4:$V$4,0))*(1+INDEX('R&amp;B Inputs'!$I$23:$V$23,MATCH($D31,'R&amp;B Inputs'!$I$4:$V$4,0)))^(AA$4-INDEX('R&amp;B Inputs'!$I$22:$V$22,MATCH($D31,'R&amp;B Inputs'!$I$4:$V$4,0))),
IF(AB20="",Z31*(1+INDEX('R&amp;B Inputs'!$I$25:$V$25,MATCH($D31,'R&amp;B Inputs'!$I$4:$V$4,0))),AA20)),0)</f>
        <v>58525589.103563093</v>
      </c>
      <c r="AB31" s="592">
        <f>IFERROR(IF(INDEX('R&amp;B Inputs'!$I$18:$V$18,MATCH($D31,'R&amp;B Inputs'!$I$4:$V$4,0))="Single Year",
INDEX('R&amp;B Inputs'!$I$20:$V$20,MATCH($D31,'R&amp;B Inputs'!$I$4:$V$4,0))*(1+INDEX('R&amp;B Inputs'!$I$23:$V$23,MATCH($D31,'R&amp;B Inputs'!$I$4:$V$4,0)))^(AB$4-INDEX('R&amp;B Inputs'!$I$22:$V$22,MATCH($D31,'R&amp;B Inputs'!$I$4:$V$4,0))),
IF(AC20="",AA31*(1+INDEX('R&amp;B Inputs'!$I$25:$V$25,MATCH($D31,'R&amp;B Inputs'!$I$4:$V$4,0))),AB20)),0)</f>
        <v>58525589.103563093</v>
      </c>
      <c r="AC31" s="592">
        <f>IFERROR(IF(INDEX('R&amp;B Inputs'!$I$18:$V$18,MATCH($D31,'R&amp;B Inputs'!$I$4:$V$4,0))="Single Year",
INDEX('R&amp;B Inputs'!$I$20:$V$20,MATCH($D31,'R&amp;B Inputs'!$I$4:$V$4,0))*(1+INDEX('R&amp;B Inputs'!$I$23:$V$23,MATCH($D31,'R&amp;B Inputs'!$I$4:$V$4,0)))^(AC$4-INDEX('R&amp;B Inputs'!$I$22:$V$22,MATCH($D31,'R&amp;B Inputs'!$I$4:$V$4,0))),
IF(AD20="",AB31*(1+INDEX('R&amp;B Inputs'!$I$25:$V$25,MATCH($D31,'R&amp;B Inputs'!$I$4:$V$4,0))),AC20)),0)</f>
        <v>58525589.103563093</v>
      </c>
      <c r="AD31" s="592">
        <f>IFERROR(IF(INDEX('R&amp;B Inputs'!$I$18:$V$18,MATCH($D31,'R&amp;B Inputs'!$I$4:$V$4,0))="Single Year",
INDEX('R&amp;B Inputs'!$I$20:$V$20,MATCH($D31,'R&amp;B Inputs'!$I$4:$V$4,0))*(1+INDEX('R&amp;B Inputs'!$I$23:$V$23,MATCH($D31,'R&amp;B Inputs'!$I$4:$V$4,0)))^(AD$4-INDEX('R&amp;B Inputs'!$I$22:$V$22,MATCH($D31,'R&amp;B Inputs'!$I$4:$V$4,0))),
IF(AE20="",AC31*(1+INDEX('R&amp;B Inputs'!$I$25:$V$25,MATCH($D31,'R&amp;B Inputs'!$I$4:$V$4,0))),AD20)),0)</f>
        <v>58525589.103563093</v>
      </c>
      <c r="AE31" s="592">
        <f>IFERROR(IF(INDEX('R&amp;B Inputs'!$I$18:$V$18,MATCH($D31,'R&amp;B Inputs'!$I$4:$V$4,0))="Single Year",
INDEX('R&amp;B Inputs'!$I$20:$V$20,MATCH($D31,'R&amp;B Inputs'!$I$4:$V$4,0))*(1+INDEX('R&amp;B Inputs'!$I$23:$V$23,MATCH($D31,'R&amp;B Inputs'!$I$4:$V$4,0)))^(AE$4-INDEX('R&amp;B Inputs'!$I$22:$V$22,MATCH($D31,'R&amp;B Inputs'!$I$4:$V$4,0))),
IF(AF20="",AD31*(1+INDEX('R&amp;B Inputs'!$I$25:$V$25,MATCH($D31,'R&amp;B Inputs'!$I$4:$V$4,0))),AE20)),0)</f>
        <v>58525589.103563093</v>
      </c>
    </row>
    <row r="32" spans="2:31" x14ac:dyDescent="0.25">
      <c r="D32" s="39" t="s">
        <v>21</v>
      </c>
      <c r="E32" s="592">
        <f>IFERROR(IF(INDEX('R&amp;B Inputs'!$I$18:$V$18,MATCH($D32,'R&amp;B Inputs'!$I$4:$V$4,0))="Single Year",
INDEX('R&amp;B Inputs'!$I$20:$V$20,MATCH($D32,'R&amp;B Inputs'!$I$4:$V$4,0))*(1+INDEX('R&amp;B Inputs'!$I$23:$V$23,MATCH($D32,'R&amp;B Inputs'!$I$4:$V$4,0)))^(E$4-INDEX('R&amp;B Inputs'!$I$22:$V$22,MATCH($D32,'R&amp;B Inputs'!$I$4:$V$4,0))),
IF(F21="",D32*(1+INDEX('R&amp;B Inputs'!$I$25:$V$25,MATCH($D32,'R&amp;B Inputs'!$I$4:$V$4,0))),E21)),0)</f>
        <v>4673617.4897935251</v>
      </c>
      <c r="F32" s="592">
        <f>IFERROR(IF(INDEX('R&amp;B Inputs'!$I$18:$V$18,MATCH($D32,'R&amp;B Inputs'!$I$4:$V$4,0))="Single Year",
INDEX('R&amp;B Inputs'!$I$20:$V$20,MATCH($D32,'R&amp;B Inputs'!$I$4:$V$4,0))*(1+INDEX('R&amp;B Inputs'!$I$23:$V$23,MATCH($D32,'R&amp;B Inputs'!$I$4:$V$4,0)))^(F$4-INDEX('R&amp;B Inputs'!$I$22:$V$22,MATCH($D32,'R&amp;B Inputs'!$I$4:$V$4,0))),
IF(G21="",E32*(1+INDEX('R&amp;B Inputs'!$I$25:$V$25,MATCH($D32,'R&amp;B Inputs'!$I$4:$V$4,0))),F21)),0)</f>
        <v>4673617.4897935251</v>
      </c>
      <c r="G32" s="592">
        <f>IFERROR(IF(INDEX('R&amp;B Inputs'!$I$18:$V$18,MATCH($D32,'R&amp;B Inputs'!$I$4:$V$4,0))="Single Year",
INDEX('R&amp;B Inputs'!$I$20:$V$20,MATCH($D32,'R&amp;B Inputs'!$I$4:$V$4,0))*(1+INDEX('R&amp;B Inputs'!$I$23:$V$23,MATCH($D32,'R&amp;B Inputs'!$I$4:$V$4,0)))^(G$4-INDEX('R&amp;B Inputs'!$I$22:$V$22,MATCH($D32,'R&amp;B Inputs'!$I$4:$V$4,0))),
IF(H21="",F32*(1+INDEX('R&amp;B Inputs'!$I$25:$V$25,MATCH($D32,'R&amp;B Inputs'!$I$4:$V$4,0))),G21)),0)</f>
        <v>4673617.4897935251</v>
      </c>
      <c r="H32" s="592">
        <f>IFERROR(IF(INDEX('R&amp;B Inputs'!$I$18:$V$18,MATCH($D32,'R&amp;B Inputs'!$I$4:$V$4,0))="Single Year",
INDEX('R&amp;B Inputs'!$I$20:$V$20,MATCH($D32,'R&amp;B Inputs'!$I$4:$V$4,0))*(1+INDEX('R&amp;B Inputs'!$I$23:$V$23,MATCH($D32,'R&amp;B Inputs'!$I$4:$V$4,0)))^(H$4-INDEX('R&amp;B Inputs'!$I$22:$V$22,MATCH($D32,'R&amp;B Inputs'!$I$4:$V$4,0))),
IF(I21="",G32*(1+INDEX('R&amp;B Inputs'!$I$25:$V$25,MATCH($D32,'R&amp;B Inputs'!$I$4:$V$4,0))),H21)),0)</f>
        <v>4673617.4897935251</v>
      </c>
      <c r="I32" s="592">
        <f>IFERROR(IF(INDEX('R&amp;B Inputs'!$I$18:$V$18,MATCH($D32,'R&amp;B Inputs'!$I$4:$V$4,0))="Single Year",
INDEX('R&amp;B Inputs'!$I$20:$V$20,MATCH($D32,'R&amp;B Inputs'!$I$4:$V$4,0))*(1+INDEX('R&amp;B Inputs'!$I$23:$V$23,MATCH($D32,'R&amp;B Inputs'!$I$4:$V$4,0)))^(I$4-INDEX('R&amp;B Inputs'!$I$22:$V$22,MATCH($D32,'R&amp;B Inputs'!$I$4:$V$4,0))),
IF(J21="",H32*(1+INDEX('R&amp;B Inputs'!$I$25:$V$25,MATCH($D32,'R&amp;B Inputs'!$I$4:$V$4,0))),I21)),0)</f>
        <v>4673617.4897935251</v>
      </c>
      <c r="J32" s="592">
        <f>IFERROR(IF(INDEX('R&amp;B Inputs'!$I$18:$V$18,MATCH($D32,'R&amp;B Inputs'!$I$4:$V$4,0))="Single Year",
INDEX('R&amp;B Inputs'!$I$20:$V$20,MATCH($D32,'R&amp;B Inputs'!$I$4:$V$4,0))*(1+INDEX('R&amp;B Inputs'!$I$23:$V$23,MATCH($D32,'R&amp;B Inputs'!$I$4:$V$4,0)))^(J$4-INDEX('R&amp;B Inputs'!$I$22:$V$22,MATCH($D32,'R&amp;B Inputs'!$I$4:$V$4,0))),
IF(K21="",I32*(1+INDEX('R&amp;B Inputs'!$I$25:$V$25,MATCH($D32,'R&amp;B Inputs'!$I$4:$V$4,0))),J21)),0)</f>
        <v>4673617.4897935251</v>
      </c>
      <c r="K32" s="592">
        <f>IFERROR(IF(INDEX('R&amp;B Inputs'!$I$18:$V$18,MATCH($D32,'R&amp;B Inputs'!$I$4:$V$4,0))="Single Year",
INDEX('R&amp;B Inputs'!$I$20:$V$20,MATCH($D32,'R&amp;B Inputs'!$I$4:$V$4,0))*(1+INDEX('R&amp;B Inputs'!$I$23:$V$23,MATCH($D32,'R&amp;B Inputs'!$I$4:$V$4,0)))^(K$4-INDEX('R&amp;B Inputs'!$I$22:$V$22,MATCH($D32,'R&amp;B Inputs'!$I$4:$V$4,0))),
IF(L21="",J32*(1+INDEX('R&amp;B Inputs'!$I$25:$V$25,MATCH($D32,'R&amp;B Inputs'!$I$4:$V$4,0))),K21)),0)</f>
        <v>4673617.4897935251</v>
      </c>
      <c r="L32" s="592">
        <f>IFERROR(IF(INDEX('R&amp;B Inputs'!$I$18:$V$18,MATCH($D32,'R&amp;B Inputs'!$I$4:$V$4,0))="Single Year",
INDEX('R&amp;B Inputs'!$I$20:$V$20,MATCH($D32,'R&amp;B Inputs'!$I$4:$V$4,0))*(1+INDEX('R&amp;B Inputs'!$I$23:$V$23,MATCH($D32,'R&amp;B Inputs'!$I$4:$V$4,0)))^(L$4-INDEX('R&amp;B Inputs'!$I$22:$V$22,MATCH($D32,'R&amp;B Inputs'!$I$4:$V$4,0))),
IF(M21="",K32*(1+INDEX('R&amp;B Inputs'!$I$25:$V$25,MATCH($D32,'R&amp;B Inputs'!$I$4:$V$4,0))),L21)),0)</f>
        <v>4673617.4897935251</v>
      </c>
      <c r="M32" s="592">
        <f>IFERROR(IF(INDEX('R&amp;B Inputs'!$I$18:$V$18,MATCH($D32,'R&amp;B Inputs'!$I$4:$V$4,0))="Single Year",
INDEX('R&amp;B Inputs'!$I$20:$V$20,MATCH($D32,'R&amp;B Inputs'!$I$4:$V$4,0))*(1+INDEX('R&amp;B Inputs'!$I$23:$V$23,MATCH($D32,'R&amp;B Inputs'!$I$4:$V$4,0)))^(M$4-INDEX('R&amp;B Inputs'!$I$22:$V$22,MATCH($D32,'R&amp;B Inputs'!$I$4:$V$4,0))),
IF(N21="",L32*(1+INDEX('R&amp;B Inputs'!$I$25:$V$25,MATCH($D32,'R&amp;B Inputs'!$I$4:$V$4,0))),M21)),0)</f>
        <v>4673617.4897935251</v>
      </c>
      <c r="N32" s="592">
        <f>IFERROR(IF(INDEX('R&amp;B Inputs'!$I$18:$V$18,MATCH($D32,'R&amp;B Inputs'!$I$4:$V$4,0))="Single Year",
INDEX('R&amp;B Inputs'!$I$20:$V$20,MATCH($D32,'R&amp;B Inputs'!$I$4:$V$4,0))*(1+INDEX('R&amp;B Inputs'!$I$23:$V$23,MATCH($D32,'R&amp;B Inputs'!$I$4:$V$4,0)))^(N$4-INDEX('R&amp;B Inputs'!$I$22:$V$22,MATCH($D32,'R&amp;B Inputs'!$I$4:$V$4,0))),
IF(O21="",M32*(1+INDEX('R&amp;B Inputs'!$I$25:$V$25,MATCH($D32,'R&amp;B Inputs'!$I$4:$V$4,0))),N21)),0)</f>
        <v>4673617.4897935251</v>
      </c>
      <c r="O32" s="592">
        <f>IFERROR(IF(INDEX('R&amp;B Inputs'!$I$18:$V$18,MATCH($D32,'R&amp;B Inputs'!$I$4:$V$4,0))="Single Year",
INDEX('R&amp;B Inputs'!$I$20:$V$20,MATCH($D32,'R&amp;B Inputs'!$I$4:$V$4,0))*(1+INDEX('R&amp;B Inputs'!$I$23:$V$23,MATCH($D32,'R&amp;B Inputs'!$I$4:$V$4,0)))^(O$4-INDEX('R&amp;B Inputs'!$I$22:$V$22,MATCH($D32,'R&amp;B Inputs'!$I$4:$V$4,0))),
IF(P21="",N32*(1+INDEX('R&amp;B Inputs'!$I$25:$V$25,MATCH($D32,'R&amp;B Inputs'!$I$4:$V$4,0))),O21)),0)</f>
        <v>4673617.4897935251</v>
      </c>
      <c r="P32" s="592">
        <f>IFERROR(IF(INDEX('R&amp;B Inputs'!$I$18:$V$18,MATCH($D32,'R&amp;B Inputs'!$I$4:$V$4,0))="Single Year",
INDEX('R&amp;B Inputs'!$I$20:$V$20,MATCH($D32,'R&amp;B Inputs'!$I$4:$V$4,0))*(1+INDEX('R&amp;B Inputs'!$I$23:$V$23,MATCH($D32,'R&amp;B Inputs'!$I$4:$V$4,0)))^(P$4-INDEX('R&amp;B Inputs'!$I$22:$V$22,MATCH($D32,'R&amp;B Inputs'!$I$4:$V$4,0))),
IF(Q21="",O32*(1+INDEX('R&amp;B Inputs'!$I$25:$V$25,MATCH($D32,'R&amp;B Inputs'!$I$4:$V$4,0))),P21)),0)</f>
        <v>4673617.4897935251</v>
      </c>
      <c r="Q32" s="592">
        <f>IFERROR(IF(INDEX('R&amp;B Inputs'!$I$18:$V$18,MATCH($D32,'R&amp;B Inputs'!$I$4:$V$4,0))="Single Year",
INDEX('R&amp;B Inputs'!$I$20:$V$20,MATCH($D32,'R&amp;B Inputs'!$I$4:$V$4,0))*(1+INDEX('R&amp;B Inputs'!$I$23:$V$23,MATCH($D32,'R&amp;B Inputs'!$I$4:$V$4,0)))^(Q$4-INDEX('R&amp;B Inputs'!$I$22:$V$22,MATCH($D32,'R&amp;B Inputs'!$I$4:$V$4,0))),
IF(R21="",P32*(1+INDEX('R&amp;B Inputs'!$I$25:$V$25,MATCH($D32,'R&amp;B Inputs'!$I$4:$V$4,0))),Q21)),0)</f>
        <v>4673617.4897935251</v>
      </c>
      <c r="R32" s="592">
        <f>IFERROR(IF(INDEX('R&amp;B Inputs'!$I$18:$V$18,MATCH($D32,'R&amp;B Inputs'!$I$4:$V$4,0))="Single Year",
INDEX('R&amp;B Inputs'!$I$20:$V$20,MATCH($D32,'R&amp;B Inputs'!$I$4:$V$4,0))*(1+INDEX('R&amp;B Inputs'!$I$23:$V$23,MATCH($D32,'R&amp;B Inputs'!$I$4:$V$4,0)))^(R$4-INDEX('R&amp;B Inputs'!$I$22:$V$22,MATCH($D32,'R&amp;B Inputs'!$I$4:$V$4,0))),
IF(S21="",Q32*(1+INDEX('R&amp;B Inputs'!$I$25:$V$25,MATCH($D32,'R&amp;B Inputs'!$I$4:$V$4,0))),R21)),0)</f>
        <v>4673617.4897935251</v>
      </c>
      <c r="S32" s="592">
        <f>IFERROR(IF(INDEX('R&amp;B Inputs'!$I$18:$V$18,MATCH($D32,'R&amp;B Inputs'!$I$4:$V$4,0))="Single Year",
INDEX('R&amp;B Inputs'!$I$20:$V$20,MATCH($D32,'R&amp;B Inputs'!$I$4:$V$4,0))*(1+INDEX('R&amp;B Inputs'!$I$23:$V$23,MATCH($D32,'R&amp;B Inputs'!$I$4:$V$4,0)))^(S$4-INDEX('R&amp;B Inputs'!$I$22:$V$22,MATCH($D32,'R&amp;B Inputs'!$I$4:$V$4,0))),
IF(T21="",R32*(1+INDEX('R&amp;B Inputs'!$I$25:$V$25,MATCH($D32,'R&amp;B Inputs'!$I$4:$V$4,0))),S21)),0)</f>
        <v>4673617.4897935251</v>
      </c>
      <c r="T32" s="592">
        <f>IFERROR(IF(INDEX('R&amp;B Inputs'!$I$18:$V$18,MATCH($D32,'R&amp;B Inputs'!$I$4:$V$4,0))="Single Year",
INDEX('R&amp;B Inputs'!$I$20:$V$20,MATCH($D32,'R&amp;B Inputs'!$I$4:$V$4,0))*(1+INDEX('R&amp;B Inputs'!$I$23:$V$23,MATCH($D32,'R&amp;B Inputs'!$I$4:$V$4,0)))^(T$4-INDEX('R&amp;B Inputs'!$I$22:$V$22,MATCH($D32,'R&amp;B Inputs'!$I$4:$V$4,0))),
IF(U21="",S32*(1+INDEX('R&amp;B Inputs'!$I$25:$V$25,MATCH($D32,'R&amp;B Inputs'!$I$4:$V$4,0))),T21)),0)</f>
        <v>4673617.4897935251</v>
      </c>
      <c r="U32" s="592">
        <f>IFERROR(IF(INDEX('R&amp;B Inputs'!$I$18:$V$18,MATCH($D32,'R&amp;B Inputs'!$I$4:$V$4,0))="Single Year",
INDEX('R&amp;B Inputs'!$I$20:$V$20,MATCH($D32,'R&amp;B Inputs'!$I$4:$V$4,0))*(1+INDEX('R&amp;B Inputs'!$I$23:$V$23,MATCH($D32,'R&amp;B Inputs'!$I$4:$V$4,0)))^(U$4-INDEX('R&amp;B Inputs'!$I$22:$V$22,MATCH($D32,'R&amp;B Inputs'!$I$4:$V$4,0))),
IF(V21="",T32*(1+INDEX('R&amp;B Inputs'!$I$25:$V$25,MATCH($D32,'R&amp;B Inputs'!$I$4:$V$4,0))),U21)),0)</f>
        <v>4673617.4897935251</v>
      </c>
      <c r="V32" s="592">
        <f>IFERROR(IF(INDEX('R&amp;B Inputs'!$I$18:$V$18,MATCH($D32,'R&amp;B Inputs'!$I$4:$V$4,0))="Single Year",
INDEX('R&amp;B Inputs'!$I$20:$V$20,MATCH($D32,'R&amp;B Inputs'!$I$4:$V$4,0))*(1+INDEX('R&amp;B Inputs'!$I$23:$V$23,MATCH($D32,'R&amp;B Inputs'!$I$4:$V$4,0)))^(V$4-INDEX('R&amp;B Inputs'!$I$22:$V$22,MATCH($D32,'R&amp;B Inputs'!$I$4:$V$4,0))),
IF(W21="",U32*(1+INDEX('R&amp;B Inputs'!$I$25:$V$25,MATCH($D32,'R&amp;B Inputs'!$I$4:$V$4,0))),V21)),0)</f>
        <v>4673617.4897935251</v>
      </c>
      <c r="W32" s="592">
        <f>IFERROR(IF(INDEX('R&amp;B Inputs'!$I$18:$V$18,MATCH($D32,'R&amp;B Inputs'!$I$4:$V$4,0))="Single Year",
INDEX('R&amp;B Inputs'!$I$20:$V$20,MATCH($D32,'R&amp;B Inputs'!$I$4:$V$4,0))*(1+INDEX('R&amp;B Inputs'!$I$23:$V$23,MATCH($D32,'R&amp;B Inputs'!$I$4:$V$4,0)))^(W$4-INDEX('R&amp;B Inputs'!$I$22:$V$22,MATCH($D32,'R&amp;B Inputs'!$I$4:$V$4,0))),
IF(X21="",V32*(1+INDEX('R&amp;B Inputs'!$I$25:$V$25,MATCH($D32,'R&amp;B Inputs'!$I$4:$V$4,0))),W21)),0)</f>
        <v>4673617.4897935251</v>
      </c>
      <c r="X32" s="592">
        <f>IFERROR(IF(INDEX('R&amp;B Inputs'!$I$18:$V$18,MATCH($D32,'R&amp;B Inputs'!$I$4:$V$4,0))="Single Year",
INDEX('R&amp;B Inputs'!$I$20:$V$20,MATCH($D32,'R&amp;B Inputs'!$I$4:$V$4,0))*(1+INDEX('R&amp;B Inputs'!$I$23:$V$23,MATCH($D32,'R&amp;B Inputs'!$I$4:$V$4,0)))^(X$4-INDEX('R&amp;B Inputs'!$I$22:$V$22,MATCH($D32,'R&amp;B Inputs'!$I$4:$V$4,0))),
IF(Y21="",W32*(1+INDEX('R&amp;B Inputs'!$I$25:$V$25,MATCH($D32,'R&amp;B Inputs'!$I$4:$V$4,0))),X21)),0)</f>
        <v>4673617.4897935251</v>
      </c>
      <c r="Y32" s="592">
        <f>IFERROR(IF(INDEX('R&amp;B Inputs'!$I$18:$V$18,MATCH($D32,'R&amp;B Inputs'!$I$4:$V$4,0))="Single Year",
INDEX('R&amp;B Inputs'!$I$20:$V$20,MATCH($D32,'R&amp;B Inputs'!$I$4:$V$4,0))*(1+INDEX('R&amp;B Inputs'!$I$23:$V$23,MATCH($D32,'R&amp;B Inputs'!$I$4:$V$4,0)))^(Y$4-INDEX('R&amp;B Inputs'!$I$22:$V$22,MATCH($D32,'R&amp;B Inputs'!$I$4:$V$4,0))),
IF(Z21="",X32*(1+INDEX('R&amp;B Inputs'!$I$25:$V$25,MATCH($D32,'R&amp;B Inputs'!$I$4:$V$4,0))),Y21)),0)</f>
        <v>4673617.4897935251</v>
      </c>
      <c r="Z32" s="592">
        <f>IFERROR(IF(INDEX('R&amp;B Inputs'!$I$18:$V$18,MATCH($D32,'R&amp;B Inputs'!$I$4:$V$4,0))="Single Year",
INDEX('R&amp;B Inputs'!$I$20:$V$20,MATCH($D32,'R&amp;B Inputs'!$I$4:$V$4,0))*(1+INDEX('R&amp;B Inputs'!$I$23:$V$23,MATCH($D32,'R&amp;B Inputs'!$I$4:$V$4,0)))^(Z$4-INDEX('R&amp;B Inputs'!$I$22:$V$22,MATCH($D32,'R&amp;B Inputs'!$I$4:$V$4,0))),
IF(AA21="",Y32*(1+INDEX('R&amp;B Inputs'!$I$25:$V$25,MATCH($D32,'R&amp;B Inputs'!$I$4:$V$4,0))),Z21)),0)</f>
        <v>4673617.4897935251</v>
      </c>
      <c r="AA32" s="592">
        <f>IFERROR(IF(INDEX('R&amp;B Inputs'!$I$18:$V$18,MATCH($D32,'R&amp;B Inputs'!$I$4:$V$4,0))="Single Year",
INDEX('R&amp;B Inputs'!$I$20:$V$20,MATCH($D32,'R&amp;B Inputs'!$I$4:$V$4,0))*(1+INDEX('R&amp;B Inputs'!$I$23:$V$23,MATCH($D32,'R&amp;B Inputs'!$I$4:$V$4,0)))^(AA$4-INDEX('R&amp;B Inputs'!$I$22:$V$22,MATCH($D32,'R&amp;B Inputs'!$I$4:$V$4,0))),
IF(AB21="",Z32*(1+INDEX('R&amp;B Inputs'!$I$25:$V$25,MATCH($D32,'R&amp;B Inputs'!$I$4:$V$4,0))),AA21)),0)</f>
        <v>4673617.4897935251</v>
      </c>
      <c r="AB32" s="592">
        <f>IFERROR(IF(INDEX('R&amp;B Inputs'!$I$18:$V$18,MATCH($D32,'R&amp;B Inputs'!$I$4:$V$4,0))="Single Year",
INDEX('R&amp;B Inputs'!$I$20:$V$20,MATCH($D32,'R&amp;B Inputs'!$I$4:$V$4,0))*(1+INDEX('R&amp;B Inputs'!$I$23:$V$23,MATCH($D32,'R&amp;B Inputs'!$I$4:$V$4,0)))^(AB$4-INDEX('R&amp;B Inputs'!$I$22:$V$22,MATCH($D32,'R&amp;B Inputs'!$I$4:$V$4,0))),
IF(AC21="",AA32*(1+INDEX('R&amp;B Inputs'!$I$25:$V$25,MATCH($D32,'R&amp;B Inputs'!$I$4:$V$4,0))),AB21)),0)</f>
        <v>4673617.4897935251</v>
      </c>
      <c r="AC32" s="592">
        <f>IFERROR(IF(INDEX('R&amp;B Inputs'!$I$18:$V$18,MATCH($D32,'R&amp;B Inputs'!$I$4:$V$4,0))="Single Year",
INDEX('R&amp;B Inputs'!$I$20:$V$20,MATCH($D32,'R&amp;B Inputs'!$I$4:$V$4,0))*(1+INDEX('R&amp;B Inputs'!$I$23:$V$23,MATCH($D32,'R&amp;B Inputs'!$I$4:$V$4,0)))^(AC$4-INDEX('R&amp;B Inputs'!$I$22:$V$22,MATCH($D32,'R&amp;B Inputs'!$I$4:$V$4,0))),
IF(AD21="",AB32*(1+INDEX('R&amp;B Inputs'!$I$25:$V$25,MATCH($D32,'R&amp;B Inputs'!$I$4:$V$4,0))),AC21)),0)</f>
        <v>4673617.4897935251</v>
      </c>
      <c r="AD32" s="592">
        <f>IFERROR(IF(INDEX('R&amp;B Inputs'!$I$18:$V$18,MATCH($D32,'R&amp;B Inputs'!$I$4:$V$4,0))="Single Year",
INDEX('R&amp;B Inputs'!$I$20:$V$20,MATCH($D32,'R&amp;B Inputs'!$I$4:$V$4,0))*(1+INDEX('R&amp;B Inputs'!$I$23:$V$23,MATCH($D32,'R&amp;B Inputs'!$I$4:$V$4,0)))^(AD$4-INDEX('R&amp;B Inputs'!$I$22:$V$22,MATCH($D32,'R&amp;B Inputs'!$I$4:$V$4,0))),
IF(AE21="",AC32*(1+INDEX('R&amp;B Inputs'!$I$25:$V$25,MATCH($D32,'R&amp;B Inputs'!$I$4:$V$4,0))),AD21)),0)</f>
        <v>4673617.4897935251</v>
      </c>
      <c r="AE32" s="592">
        <f>IFERROR(IF(INDEX('R&amp;B Inputs'!$I$18:$V$18,MATCH($D32,'R&amp;B Inputs'!$I$4:$V$4,0))="Single Year",
INDEX('R&amp;B Inputs'!$I$20:$V$20,MATCH($D32,'R&amp;B Inputs'!$I$4:$V$4,0))*(1+INDEX('R&amp;B Inputs'!$I$23:$V$23,MATCH($D32,'R&amp;B Inputs'!$I$4:$V$4,0)))^(AE$4-INDEX('R&amp;B Inputs'!$I$22:$V$22,MATCH($D32,'R&amp;B Inputs'!$I$4:$V$4,0))),
IF(AF21="",AD32*(1+INDEX('R&amp;B Inputs'!$I$25:$V$25,MATCH($D32,'R&amp;B Inputs'!$I$4:$V$4,0))),AE21)),0)</f>
        <v>4673617.4897935251</v>
      </c>
    </row>
    <row r="33" spans="2:31" x14ac:dyDescent="0.25">
      <c r="D33" s="39" t="s">
        <v>42</v>
      </c>
      <c r="E33" s="592">
        <f>IFERROR(IF(INDEX('R&amp;B Inputs'!$I$18:$V$18,MATCH($D33,'R&amp;B Inputs'!$I$4:$V$4,0))="Single Year",
INDEX('R&amp;B Inputs'!$I$20:$V$20,MATCH($D33,'R&amp;B Inputs'!$I$4:$V$4,0))*(1+INDEX('R&amp;B Inputs'!$I$23:$V$23,MATCH($D33,'R&amp;B Inputs'!$I$4:$V$4,0)))^(E$4-INDEX('R&amp;B Inputs'!$I$22:$V$22,MATCH($D33,'R&amp;B Inputs'!$I$4:$V$4,0))),
IF(F22="",D33*(1+INDEX('R&amp;B Inputs'!$I$25:$V$25,MATCH($D33,'R&amp;B Inputs'!$I$4:$V$4,0))),E22)),0)</f>
        <v>21353625.848446414</v>
      </c>
      <c r="F33" s="592">
        <f>IFERROR(IF(INDEX('R&amp;B Inputs'!$I$18:$V$18,MATCH($D33,'R&amp;B Inputs'!$I$4:$V$4,0))="Single Year",
INDEX('R&amp;B Inputs'!$I$20:$V$20,MATCH($D33,'R&amp;B Inputs'!$I$4:$V$4,0))*(1+INDEX('R&amp;B Inputs'!$I$23:$V$23,MATCH($D33,'R&amp;B Inputs'!$I$4:$V$4,0)))^(F$4-INDEX('R&amp;B Inputs'!$I$22:$V$22,MATCH($D33,'R&amp;B Inputs'!$I$4:$V$4,0))),
IF(G22="",E33*(1+INDEX('R&amp;B Inputs'!$I$25:$V$25,MATCH($D33,'R&amp;B Inputs'!$I$4:$V$4,0))),F22)),0)</f>
        <v>21353625.848446414</v>
      </c>
      <c r="G33" s="592">
        <f>IFERROR(IF(INDEX('R&amp;B Inputs'!$I$18:$V$18,MATCH($D33,'R&amp;B Inputs'!$I$4:$V$4,0))="Single Year",
INDEX('R&amp;B Inputs'!$I$20:$V$20,MATCH($D33,'R&amp;B Inputs'!$I$4:$V$4,0))*(1+INDEX('R&amp;B Inputs'!$I$23:$V$23,MATCH($D33,'R&amp;B Inputs'!$I$4:$V$4,0)))^(G$4-INDEX('R&amp;B Inputs'!$I$22:$V$22,MATCH($D33,'R&amp;B Inputs'!$I$4:$V$4,0))),
IF(H22="",F33*(1+INDEX('R&amp;B Inputs'!$I$25:$V$25,MATCH($D33,'R&amp;B Inputs'!$I$4:$V$4,0))),G22)),0)</f>
        <v>21353625.848446414</v>
      </c>
      <c r="H33" s="592">
        <f>IFERROR(IF(INDEX('R&amp;B Inputs'!$I$18:$V$18,MATCH($D33,'R&amp;B Inputs'!$I$4:$V$4,0))="Single Year",
INDEX('R&amp;B Inputs'!$I$20:$V$20,MATCH($D33,'R&amp;B Inputs'!$I$4:$V$4,0))*(1+INDEX('R&amp;B Inputs'!$I$23:$V$23,MATCH($D33,'R&amp;B Inputs'!$I$4:$V$4,0)))^(H$4-INDEX('R&amp;B Inputs'!$I$22:$V$22,MATCH($D33,'R&amp;B Inputs'!$I$4:$V$4,0))),
IF(I22="",G33*(1+INDEX('R&amp;B Inputs'!$I$25:$V$25,MATCH($D33,'R&amp;B Inputs'!$I$4:$V$4,0))),H22)),0)</f>
        <v>21353625.848446414</v>
      </c>
      <c r="I33" s="592">
        <f>IFERROR(IF(INDEX('R&amp;B Inputs'!$I$18:$V$18,MATCH($D33,'R&amp;B Inputs'!$I$4:$V$4,0))="Single Year",
INDEX('R&amp;B Inputs'!$I$20:$V$20,MATCH($D33,'R&amp;B Inputs'!$I$4:$V$4,0))*(1+INDEX('R&amp;B Inputs'!$I$23:$V$23,MATCH($D33,'R&amp;B Inputs'!$I$4:$V$4,0)))^(I$4-INDEX('R&amp;B Inputs'!$I$22:$V$22,MATCH($D33,'R&amp;B Inputs'!$I$4:$V$4,0))),
IF(J22="",H33*(1+INDEX('R&amp;B Inputs'!$I$25:$V$25,MATCH($D33,'R&amp;B Inputs'!$I$4:$V$4,0))),I22)),0)</f>
        <v>21353625.848446414</v>
      </c>
      <c r="J33" s="592">
        <f>IFERROR(IF(INDEX('R&amp;B Inputs'!$I$18:$V$18,MATCH($D33,'R&amp;B Inputs'!$I$4:$V$4,0))="Single Year",
INDEX('R&amp;B Inputs'!$I$20:$V$20,MATCH($D33,'R&amp;B Inputs'!$I$4:$V$4,0))*(1+INDEX('R&amp;B Inputs'!$I$23:$V$23,MATCH($D33,'R&amp;B Inputs'!$I$4:$V$4,0)))^(J$4-INDEX('R&amp;B Inputs'!$I$22:$V$22,MATCH($D33,'R&amp;B Inputs'!$I$4:$V$4,0))),
IF(K22="",I33*(1+INDEX('R&amp;B Inputs'!$I$25:$V$25,MATCH($D33,'R&amp;B Inputs'!$I$4:$V$4,0))),J22)),0)</f>
        <v>21353625.848446414</v>
      </c>
      <c r="K33" s="592">
        <f>IFERROR(IF(INDEX('R&amp;B Inputs'!$I$18:$V$18,MATCH($D33,'R&amp;B Inputs'!$I$4:$V$4,0))="Single Year",
INDEX('R&amp;B Inputs'!$I$20:$V$20,MATCH($D33,'R&amp;B Inputs'!$I$4:$V$4,0))*(1+INDEX('R&amp;B Inputs'!$I$23:$V$23,MATCH($D33,'R&amp;B Inputs'!$I$4:$V$4,0)))^(K$4-INDEX('R&amp;B Inputs'!$I$22:$V$22,MATCH($D33,'R&amp;B Inputs'!$I$4:$V$4,0))),
IF(L22="",J33*(1+INDEX('R&amp;B Inputs'!$I$25:$V$25,MATCH($D33,'R&amp;B Inputs'!$I$4:$V$4,0))),K22)),0)</f>
        <v>21353625.848446414</v>
      </c>
      <c r="L33" s="592">
        <f>IFERROR(IF(INDEX('R&amp;B Inputs'!$I$18:$V$18,MATCH($D33,'R&amp;B Inputs'!$I$4:$V$4,0))="Single Year",
INDEX('R&amp;B Inputs'!$I$20:$V$20,MATCH($D33,'R&amp;B Inputs'!$I$4:$V$4,0))*(1+INDEX('R&amp;B Inputs'!$I$23:$V$23,MATCH($D33,'R&amp;B Inputs'!$I$4:$V$4,0)))^(L$4-INDEX('R&amp;B Inputs'!$I$22:$V$22,MATCH($D33,'R&amp;B Inputs'!$I$4:$V$4,0))),
IF(M22="",K33*(1+INDEX('R&amp;B Inputs'!$I$25:$V$25,MATCH($D33,'R&amp;B Inputs'!$I$4:$V$4,0))),L22)),0)</f>
        <v>21353625.848446414</v>
      </c>
      <c r="M33" s="592">
        <f>IFERROR(IF(INDEX('R&amp;B Inputs'!$I$18:$V$18,MATCH($D33,'R&amp;B Inputs'!$I$4:$V$4,0))="Single Year",
INDEX('R&amp;B Inputs'!$I$20:$V$20,MATCH($D33,'R&amp;B Inputs'!$I$4:$V$4,0))*(1+INDEX('R&amp;B Inputs'!$I$23:$V$23,MATCH($D33,'R&amp;B Inputs'!$I$4:$V$4,0)))^(M$4-INDEX('R&amp;B Inputs'!$I$22:$V$22,MATCH($D33,'R&amp;B Inputs'!$I$4:$V$4,0))),
IF(N22="",L33*(1+INDEX('R&amp;B Inputs'!$I$25:$V$25,MATCH($D33,'R&amp;B Inputs'!$I$4:$V$4,0))),M22)),0)</f>
        <v>21353625.848446414</v>
      </c>
      <c r="N33" s="592">
        <f>IFERROR(IF(INDEX('R&amp;B Inputs'!$I$18:$V$18,MATCH($D33,'R&amp;B Inputs'!$I$4:$V$4,0))="Single Year",
INDEX('R&amp;B Inputs'!$I$20:$V$20,MATCH($D33,'R&amp;B Inputs'!$I$4:$V$4,0))*(1+INDEX('R&amp;B Inputs'!$I$23:$V$23,MATCH($D33,'R&amp;B Inputs'!$I$4:$V$4,0)))^(N$4-INDEX('R&amp;B Inputs'!$I$22:$V$22,MATCH($D33,'R&amp;B Inputs'!$I$4:$V$4,0))),
IF(O22="",M33*(1+INDEX('R&amp;B Inputs'!$I$25:$V$25,MATCH($D33,'R&amp;B Inputs'!$I$4:$V$4,0))),N22)),0)</f>
        <v>21353625.848446414</v>
      </c>
      <c r="O33" s="592">
        <f>IFERROR(IF(INDEX('R&amp;B Inputs'!$I$18:$V$18,MATCH($D33,'R&amp;B Inputs'!$I$4:$V$4,0))="Single Year",
INDEX('R&amp;B Inputs'!$I$20:$V$20,MATCH($D33,'R&amp;B Inputs'!$I$4:$V$4,0))*(1+INDEX('R&amp;B Inputs'!$I$23:$V$23,MATCH($D33,'R&amp;B Inputs'!$I$4:$V$4,0)))^(O$4-INDEX('R&amp;B Inputs'!$I$22:$V$22,MATCH($D33,'R&amp;B Inputs'!$I$4:$V$4,0))),
IF(P22="",N33*(1+INDEX('R&amp;B Inputs'!$I$25:$V$25,MATCH($D33,'R&amp;B Inputs'!$I$4:$V$4,0))),O22)),0)</f>
        <v>21353625.848446414</v>
      </c>
      <c r="P33" s="592">
        <f>IFERROR(IF(INDEX('R&amp;B Inputs'!$I$18:$V$18,MATCH($D33,'R&amp;B Inputs'!$I$4:$V$4,0))="Single Year",
INDEX('R&amp;B Inputs'!$I$20:$V$20,MATCH($D33,'R&amp;B Inputs'!$I$4:$V$4,0))*(1+INDEX('R&amp;B Inputs'!$I$23:$V$23,MATCH($D33,'R&amp;B Inputs'!$I$4:$V$4,0)))^(P$4-INDEX('R&amp;B Inputs'!$I$22:$V$22,MATCH($D33,'R&amp;B Inputs'!$I$4:$V$4,0))),
IF(Q22="",O33*(1+INDEX('R&amp;B Inputs'!$I$25:$V$25,MATCH($D33,'R&amp;B Inputs'!$I$4:$V$4,0))),P22)),0)</f>
        <v>21353625.848446414</v>
      </c>
      <c r="Q33" s="592">
        <f>IFERROR(IF(INDEX('R&amp;B Inputs'!$I$18:$V$18,MATCH($D33,'R&amp;B Inputs'!$I$4:$V$4,0))="Single Year",
INDEX('R&amp;B Inputs'!$I$20:$V$20,MATCH($D33,'R&amp;B Inputs'!$I$4:$V$4,0))*(1+INDEX('R&amp;B Inputs'!$I$23:$V$23,MATCH($D33,'R&amp;B Inputs'!$I$4:$V$4,0)))^(Q$4-INDEX('R&amp;B Inputs'!$I$22:$V$22,MATCH($D33,'R&amp;B Inputs'!$I$4:$V$4,0))),
IF(R22="",P33*(1+INDEX('R&amp;B Inputs'!$I$25:$V$25,MATCH($D33,'R&amp;B Inputs'!$I$4:$V$4,0))),Q22)),0)</f>
        <v>21353625.848446414</v>
      </c>
      <c r="R33" s="592">
        <f>IFERROR(IF(INDEX('R&amp;B Inputs'!$I$18:$V$18,MATCH($D33,'R&amp;B Inputs'!$I$4:$V$4,0))="Single Year",
INDEX('R&amp;B Inputs'!$I$20:$V$20,MATCH($D33,'R&amp;B Inputs'!$I$4:$V$4,0))*(1+INDEX('R&amp;B Inputs'!$I$23:$V$23,MATCH($D33,'R&amp;B Inputs'!$I$4:$V$4,0)))^(R$4-INDEX('R&amp;B Inputs'!$I$22:$V$22,MATCH($D33,'R&amp;B Inputs'!$I$4:$V$4,0))),
IF(S22="",Q33*(1+INDEX('R&amp;B Inputs'!$I$25:$V$25,MATCH($D33,'R&amp;B Inputs'!$I$4:$V$4,0))),R22)),0)</f>
        <v>21353625.848446414</v>
      </c>
      <c r="S33" s="592">
        <f>IFERROR(IF(INDEX('R&amp;B Inputs'!$I$18:$V$18,MATCH($D33,'R&amp;B Inputs'!$I$4:$V$4,0))="Single Year",
INDEX('R&amp;B Inputs'!$I$20:$V$20,MATCH($D33,'R&amp;B Inputs'!$I$4:$V$4,0))*(1+INDEX('R&amp;B Inputs'!$I$23:$V$23,MATCH($D33,'R&amp;B Inputs'!$I$4:$V$4,0)))^(S$4-INDEX('R&amp;B Inputs'!$I$22:$V$22,MATCH($D33,'R&amp;B Inputs'!$I$4:$V$4,0))),
IF(T22="",R33*(1+INDEX('R&amp;B Inputs'!$I$25:$V$25,MATCH($D33,'R&amp;B Inputs'!$I$4:$V$4,0))),S22)),0)</f>
        <v>21353625.848446414</v>
      </c>
      <c r="T33" s="592">
        <f>IFERROR(IF(INDEX('R&amp;B Inputs'!$I$18:$V$18,MATCH($D33,'R&amp;B Inputs'!$I$4:$V$4,0))="Single Year",
INDEX('R&amp;B Inputs'!$I$20:$V$20,MATCH($D33,'R&amp;B Inputs'!$I$4:$V$4,0))*(1+INDEX('R&amp;B Inputs'!$I$23:$V$23,MATCH($D33,'R&amp;B Inputs'!$I$4:$V$4,0)))^(T$4-INDEX('R&amp;B Inputs'!$I$22:$V$22,MATCH($D33,'R&amp;B Inputs'!$I$4:$V$4,0))),
IF(U22="",S33*(1+INDEX('R&amp;B Inputs'!$I$25:$V$25,MATCH($D33,'R&amp;B Inputs'!$I$4:$V$4,0))),T22)),0)</f>
        <v>21353625.848446414</v>
      </c>
      <c r="U33" s="592">
        <f>IFERROR(IF(INDEX('R&amp;B Inputs'!$I$18:$V$18,MATCH($D33,'R&amp;B Inputs'!$I$4:$V$4,0))="Single Year",
INDEX('R&amp;B Inputs'!$I$20:$V$20,MATCH($D33,'R&amp;B Inputs'!$I$4:$V$4,0))*(1+INDEX('R&amp;B Inputs'!$I$23:$V$23,MATCH($D33,'R&amp;B Inputs'!$I$4:$V$4,0)))^(U$4-INDEX('R&amp;B Inputs'!$I$22:$V$22,MATCH($D33,'R&amp;B Inputs'!$I$4:$V$4,0))),
IF(V22="",T33*(1+INDEX('R&amp;B Inputs'!$I$25:$V$25,MATCH($D33,'R&amp;B Inputs'!$I$4:$V$4,0))),U22)),0)</f>
        <v>21353625.848446414</v>
      </c>
      <c r="V33" s="592">
        <f>IFERROR(IF(INDEX('R&amp;B Inputs'!$I$18:$V$18,MATCH($D33,'R&amp;B Inputs'!$I$4:$V$4,0))="Single Year",
INDEX('R&amp;B Inputs'!$I$20:$V$20,MATCH($D33,'R&amp;B Inputs'!$I$4:$V$4,0))*(1+INDEX('R&amp;B Inputs'!$I$23:$V$23,MATCH($D33,'R&amp;B Inputs'!$I$4:$V$4,0)))^(V$4-INDEX('R&amp;B Inputs'!$I$22:$V$22,MATCH($D33,'R&amp;B Inputs'!$I$4:$V$4,0))),
IF(W22="",U33*(1+INDEX('R&amp;B Inputs'!$I$25:$V$25,MATCH($D33,'R&amp;B Inputs'!$I$4:$V$4,0))),V22)),0)</f>
        <v>21353625.848446414</v>
      </c>
      <c r="W33" s="592">
        <f>IFERROR(IF(INDEX('R&amp;B Inputs'!$I$18:$V$18,MATCH($D33,'R&amp;B Inputs'!$I$4:$V$4,0))="Single Year",
INDEX('R&amp;B Inputs'!$I$20:$V$20,MATCH($D33,'R&amp;B Inputs'!$I$4:$V$4,0))*(1+INDEX('R&amp;B Inputs'!$I$23:$V$23,MATCH($D33,'R&amp;B Inputs'!$I$4:$V$4,0)))^(W$4-INDEX('R&amp;B Inputs'!$I$22:$V$22,MATCH($D33,'R&amp;B Inputs'!$I$4:$V$4,0))),
IF(X22="",V33*(1+INDEX('R&amp;B Inputs'!$I$25:$V$25,MATCH($D33,'R&amp;B Inputs'!$I$4:$V$4,0))),W22)),0)</f>
        <v>21353625.848446414</v>
      </c>
      <c r="X33" s="592">
        <f>IFERROR(IF(INDEX('R&amp;B Inputs'!$I$18:$V$18,MATCH($D33,'R&amp;B Inputs'!$I$4:$V$4,0))="Single Year",
INDEX('R&amp;B Inputs'!$I$20:$V$20,MATCH($D33,'R&amp;B Inputs'!$I$4:$V$4,0))*(1+INDEX('R&amp;B Inputs'!$I$23:$V$23,MATCH($D33,'R&amp;B Inputs'!$I$4:$V$4,0)))^(X$4-INDEX('R&amp;B Inputs'!$I$22:$V$22,MATCH($D33,'R&amp;B Inputs'!$I$4:$V$4,0))),
IF(Y22="",W33*(1+INDEX('R&amp;B Inputs'!$I$25:$V$25,MATCH($D33,'R&amp;B Inputs'!$I$4:$V$4,0))),X22)),0)</f>
        <v>21353625.848446414</v>
      </c>
      <c r="Y33" s="592">
        <f>IFERROR(IF(INDEX('R&amp;B Inputs'!$I$18:$V$18,MATCH($D33,'R&amp;B Inputs'!$I$4:$V$4,0))="Single Year",
INDEX('R&amp;B Inputs'!$I$20:$V$20,MATCH($D33,'R&amp;B Inputs'!$I$4:$V$4,0))*(1+INDEX('R&amp;B Inputs'!$I$23:$V$23,MATCH($D33,'R&amp;B Inputs'!$I$4:$V$4,0)))^(Y$4-INDEX('R&amp;B Inputs'!$I$22:$V$22,MATCH($D33,'R&amp;B Inputs'!$I$4:$V$4,0))),
IF(Z22="",X33*(1+INDEX('R&amp;B Inputs'!$I$25:$V$25,MATCH($D33,'R&amp;B Inputs'!$I$4:$V$4,0))),Y22)),0)</f>
        <v>21353625.848446414</v>
      </c>
      <c r="Z33" s="592">
        <f>IFERROR(IF(INDEX('R&amp;B Inputs'!$I$18:$V$18,MATCH($D33,'R&amp;B Inputs'!$I$4:$V$4,0))="Single Year",
INDEX('R&amp;B Inputs'!$I$20:$V$20,MATCH($D33,'R&amp;B Inputs'!$I$4:$V$4,0))*(1+INDEX('R&amp;B Inputs'!$I$23:$V$23,MATCH($D33,'R&amp;B Inputs'!$I$4:$V$4,0)))^(Z$4-INDEX('R&amp;B Inputs'!$I$22:$V$22,MATCH($D33,'R&amp;B Inputs'!$I$4:$V$4,0))),
IF(AA22="",Y33*(1+INDEX('R&amp;B Inputs'!$I$25:$V$25,MATCH($D33,'R&amp;B Inputs'!$I$4:$V$4,0))),Z22)),0)</f>
        <v>21353625.848446414</v>
      </c>
      <c r="AA33" s="592">
        <f>IFERROR(IF(INDEX('R&amp;B Inputs'!$I$18:$V$18,MATCH($D33,'R&amp;B Inputs'!$I$4:$V$4,0))="Single Year",
INDEX('R&amp;B Inputs'!$I$20:$V$20,MATCH($D33,'R&amp;B Inputs'!$I$4:$V$4,0))*(1+INDEX('R&amp;B Inputs'!$I$23:$V$23,MATCH($D33,'R&amp;B Inputs'!$I$4:$V$4,0)))^(AA$4-INDEX('R&amp;B Inputs'!$I$22:$V$22,MATCH($D33,'R&amp;B Inputs'!$I$4:$V$4,0))),
IF(AB22="",Z33*(1+INDEX('R&amp;B Inputs'!$I$25:$V$25,MATCH($D33,'R&amp;B Inputs'!$I$4:$V$4,0))),AA22)),0)</f>
        <v>21353625.848446414</v>
      </c>
      <c r="AB33" s="592">
        <f>IFERROR(IF(INDEX('R&amp;B Inputs'!$I$18:$V$18,MATCH($D33,'R&amp;B Inputs'!$I$4:$V$4,0))="Single Year",
INDEX('R&amp;B Inputs'!$I$20:$V$20,MATCH($D33,'R&amp;B Inputs'!$I$4:$V$4,0))*(1+INDEX('R&amp;B Inputs'!$I$23:$V$23,MATCH($D33,'R&amp;B Inputs'!$I$4:$V$4,0)))^(AB$4-INDEX('R&amp;B Inputs'!$I$22:$V$22,MATCH($D33,'R&amp;B Inputs'!$I$4:$V$4,0))),
IF(AC22="",AA33*(1+INDEX('R&amp;B Inputs'!$I$25:$V$25,MATCH($D33,'R&amp;B Inputs'!$I$4:$V$4,0))),AB22)),0)</f>
        <v>21353625.848446414</v>
      </c>
      <c r="AC33" s="592">
        <f>IFERROR(IF(INDEX('R&amp;B Inputs'!$I$18:$V$18,MATCH($D33,'R&amp;B Inputs'!$I$4:$V$4,0))="Single Year",
INDEX('R&amp;B Inputs'!$I$20:$V$20,MATCH($D33,'R&amp;B Inputs'!$I$4:$V$4,0))*(1+INDEX('R&amp;B Inputs'!$I$23:$V$23,MATCH($D33,'R&amp;B Inputs'!$I$4:$V$4,0)))^(AC$4-INDEX('R&amp;B Inputs'!$I$22:$V$22,MATCH($D33,'R&amp;B Inputs'!$I$4:$V$4,0))),
IF(AD22="",AB33*(1+INDEX('R&amp;B Inputs'!$I$25:$V$25,MATCH($D33,'R&amp;B Inputs'!$I$4:$V$4,0))),AC22)),0)</f>
        <v>21353625.848446414</v>
      </c>
      <c r="AD33" s="592">
        <f>IFERROR(IF(INDEX('R&amp;B Inputs'!$I$18:$V$18,MATCH($D33,'R&amp;B Inputs'!$I$4:$V$4,0))="Single Year",
INDEX('R&amp;B Inputs'!$I$20:$V$20,MATCH($D33,'R&amp;B Inputs'!$I$4:$V$4,0))*(1+INDEX('R&amp;B Inputs'!$I$23:$V$23,MATCH($D33,'R&amp;B Inputs'!$I$4:$V$4,0)))^(AD$4-INDEX('R&amp;B Inputs'!$I$22:$V$22,MATCH($D33,'R&amp;B Inputs'!$I$4:$V$4,0))),
IF(AE22="",AC33*(1+INDEX('R&amp;B Inputs'!$I$25:$V$25,MATCH($D33,'R&amp;B Inputs'!$I$4:$V$4,0))),AD22)),0)</f>
        <v>21353625.848446414</v>
      </c>
      <c r="AE33" s="592">
        <f>IFERROR(IF(INDEX('R&amp;B Inputs'!$I$18:$V$18,MATCH($D33,'R&amp;B Inputs'!$I$4:$V$4,0))="Single Year",
INDEX('R&amp;B Inputs'!$I$20:$V$20,MATCH($D33,'R&amp;B Inputs'!$I$4:$V$4,0))*(1+INDEX('R&amp;B Inputs'!$I$23:$V$23,MATCH($D33,'R&amp;B Inputs'!$I$4:$V$4,0)))^(AE$4-INDEX('R&amp;B Inputs'!$I$22:$V$22,MATCH($D33,'R&amp;B Inputs'!$I$4:$V$4,0))),
IF(AF22="",AD33*(1+INDEX('R&amp;B Inputs'!$I$25:$V$25,MATCH($D33,'R&amp;B Inputs'!$I$4:$V$4,0))),AE22)),0)</f>
        <v>21353625.848446414</v>
      </c>
    </row>
    <row r="34" spans="2:31" s="5" customFormat="1" x14ac:dyDescent="0.25">
      <c r="D34" s="39" t="s">
        <v>43</v>
      </c>
      <c r="E34" s="592">
        <f>IFERROR(IF(INDEX('R&amp;B Inputs'!$I$18:$V$18,MATCH($D34,'R&amp;B Inputs'!$I$4:$V$4,0))="Single Year",
INDEX('R&amp;B Inputs'!$I$20:$V$20,MATCH($D34,'R&amp;B Inputs'!$I$4:$V$4,0))*(1+INDEX('R&amp;B Inputs'!$I$23:$V$23,MATCH($D34,'R&amp;B Inputs'!$I$4:$V$4,0)))^(E$4-INDEX('R&amp;B Inputs'!$I$22:$V$22,MATCH($D34,'R&amp;B Inputs'!$I$4:$V$4,0))),
IF(F23="",D34*(1+INDEX('R&amp;B Inputs'!$I$25:$V$25,MATCH($D34,'R&amp;B Inputs'!$I$4:$V$4,0))),E23)),0)</f>
        <v>11263405.136430969</v>
      </c>
      <c r="F34" s="592">
        <f>IFERROR(IF(INDEX('R&amp;B Inputs'!$I$18:$V$18,MATCH($D34,'R&amp;B Inputs'!$I$4:$V$4,0))="Single Year",
INDEX('R&amp;B Inputs'!$I$20:$V$20,MATCH($D34,'R&amp;B Inputs'!$I$4:$V$4,0))*(1+INDEX('R&amp;B Inputs'!$I$23:$V$23,MATCH($D34,'R&amp;B Inputs'!$I$4:$V$4,0)))^(F$4-INDEX('R&amp;B Inputs'!$I$22:$V$22,MATCH($D34,'R&amp;B Inputs'!$I$4:$V$4,0))),
IF(G23="",E34*(1+INDEX('R&amp;B Inputs'!$I$25:$V$25,MATCH($D34,'R&amp;B Inputs'!$I$4:$V$4,0))),F23)),0)</f>
        <v>11263405.136430969</v>
      </c>
      <c r="G34" s="592">
        <f>IFERROR(IF(INDEX('R&amp;B Inputs'!$I$18:$V$18,MATCH($D34,'R&amp;B Inputs'!$I$4:$V$4,0))="Single Year",
INDEX('R&amp;B Inputs'!$I$20:$V$20,MATCH($D34,'R&amp;B Inputs'!$I$4:$V$4,0))*(1+INDEX('R&amp;B Inputs'!$I$23:$V$23,MATCH($D34,'R&amp;B Inputs'!$I$4:$V$4,0)))^(G$4-INDEX('R&amp;B Inputs'!$I$22:$V$22,MATCH($D34,'R&amp;B Inputs'!$I$4:$V$4,0))),
IF(H23="",F34*(1+INDEX('R&amp;B Inputs'!$I$25:$V$25,MATCH($D34,'R&amp;B Inputs'!$I$4:$V$4,0))),G23)),0)</f>
        <v>11263405.136430969</v>
      </c>
      <c r="H34" s="592">
        <f>IFERROR(IF(INDEX('R&amp;B Inputs'!$I$18:$V$18,MATCH($D34,'R&amp;B Inputs'!$I$4:$V$4,0))="Single Year",
INDEX('R&amp;B Inputs'!$I$20:$V$20,MATCH($D34,'R&amp;B Inputs'!$I$4:$V$4,0))*(1+INDEX('R&amp;B Inputs'!$I$23:$V$23,MATCH($D34,'R&amp;B Inputs'!$I$4:$V$4,0)))^(H$4-INDEX('R&amp;B Inputs'!$I$22:$V$22,MATCH($D34,'R&amp;B Inputs'!$I$4:$V$4,0))),
IF(I23="",G34*(1+INDEX('R&amp;B Inputs'!$I$25:$V$25,MATCH($D34,'R&amp;B Inputs'!$I$4:$V$4,0))),H23)),0)</f>
        <v>11263405.136430969</v>
      </c>
      <c r="I34" s="592">
        <f>IFERROR(IF(INDEX('R&amp;B Inputs'!$I$18:$V$18,MATCH($D34,'R&amp;B Inputs'!$I$4:$V$4,0))="Single Year",
INDEX('R&amp;B Inputs'!$I$20:$V$20,MATCH($D34,'R&amp;B Inputs'!$I$4:$V$4,0))*(1+INDEX('R&amp;B Inputs'!$I$23:$V$23,MATCH($D34,'R&amp;B Inputs'!$I$4:$V$4,0)))^(I$4-INDEX('R&amp;B Inputs'!$I$22:$V$22,MATCH($D34,'R&amp;B Inputs'!$I$4:$V$4,0))),
IF(J23="",H34*(1+INDEX('R&amp;B Inputs'!$I$25:$V$25,MATCH($D34,'R&amp;B Inputs'!$I$4:$V$4,0))),I23)),0)</f>
        <v>11263405.136430969</v>
      </c>
      <c r="J34" s="592">
        <f>IFERROR(IF(INDEX('R&amp;B Inputs'!$I$18:$V$18,MATCH($D34,'R&amp;B Inputs'!$I$4:$V$4,0))="Single Year",
INDEX('R&amp;B Inputs'!$I$20:$V$20,MATCH($D34,'R&amp;B Inputs'!$I$4:$V$4,0))*(1+INDEX('R&amp;B Inputs'!$I$23:$V$23,MATCH($D34,'R&amp;B Inputs'!$I$4:$V$4,0)))^(J$4-INDEX('R&amp;B Inputs'!$I$22:$V$22,MATCH($D34,'R&amp;B Inputs'!$I$4:$V$4,0))),
IF(K23="",I34*(1+INDEX('R&amp;B Inputs'!$I$25:$V$25,MATCH($D34,'R&amp;B Inputs'!$I$4:$V$4,0))),J23)),0)</f>
        <v>11263405.136430969</v>
      </c>
      <c r="K34" s="592">
        <f>IFERROR(IF(INDEX('R&amp;B Inputs'!$I$18:$V$18,MATCH($D34,'R&amp;B Inputs'!$I$4:$V$4,0))="Single Year",
INDEX('R&amp;B Inputs'!$I$20:$V$20,MATCH($D34,'R&amp;B Inputs'!$I$4:$V$4,0))*(1+INDEX('R&amp;B Inputs'!$I$23:$V$23,MATCH($D34,'R&amp;B Inputs'!$I$4:$V$4,0)))^(K$4-INDEX('R&amp;B Inputs'!$I$22:$V$22,MATCH($D34,'R&amp;B Inputs'!$I$4:$V$4,0))),
IF(L23="",J34*(1+INDEX('R&amp;B Inputs'!$I$25:$V$25,MATCH($D34,'R&amp;B Inputs'!$I$4:$V$4,0))),K23)),0)</f>
        <v>11263405.136430969</v>
      </c>
      <c r="L34" s="592">
        <f>IFERROR(IF(INDEX('R&amp;B Inputs'!$I$18:$V$18,MATCH($D34,'R&amp;B Inputs'!$I$4:$V$4,0))="Single Year",
INDEX('R&amp;B Inputs'!$I$20:$V$20,MATCH($D34,'R&amp;B Inputs'!$I$4:$V$4,0))*(1+INDEX('R&amp;B Inputs'!$I$23:$V$23,MATCH($D34,'R&amp;B Inputs'!$I$4:$V$4,0)))^(L$4-INDEX('R&amp;B Inputs'!$I$22:$V$22,MATCH($D34,'R&amp;B Inputs'!$I$4:$V$4,0))),
IF(M23="",K34*(1+INDEX('R&amp;B Inputs'!$I$25:$V$25,MATCH($D34,'R&amp;B Inputs'!$I$4:$V$4,0))),L23)),0)</f>
        <v>11263405.136430969</v>
      </c>
      <c r="M34" s="592">
        <f>IFERROR(IF(INDEX('R&amp;B Inputs'!$I$18:$V$18,MATCH($D34,'R&amp;B Inputs'!$I$4:$V$4,0))="Single Year",
INDEX('R&amp;B Inputs'!$I$20:$V$20,MATCH($D34,'R&amp;B Inputs'!$I$4:$V$4,0))*(1+INDEX('R&amp;B Inputs'!$I$23:$V$23,MATCH($D34,'R&amp;B Inputs'!$I$4:$V$4,0)))^(M$4-INDEX('R&amp;B Inputs'!$I$22:$V$22,MATCH($D34,'R&amp;B Inputs'!$I$4:$V$4,0))),
IF(N23="",L34*(1+INDEX('R&amp;B Inputs'!$I$25:$V$25,MATCH($D34,'R&amp;B Inputs'!$I$4:$V$4,0))),M23)),0)</f>
        <v>11263405.136430969</v>
      </c>
      <c r="N34" s="592">
        <f>IFERROR(IF(INDEX('R&amp;B Inputs'!$I$18:$V$18,MATCH($D34,'R&amp;B Inputs'!$I$4:$V$4,0))="Single Year",
INDEX('R&amp;B Inputs'!$I$20:$V$20,MATCH($D34,'R&amp;B Inputs'!$I$4:$V$4,0))*(1+INDEX('R&amp;B Inputs'!$I$23:$V$23,MATCH($D34,'R&amp;B Inputs'!$I$4:$V$4,0)))^(N$4-INDEX('R&amp;B Inputs'!$I$22:$V$22,MATCH($D34,'R&amp;B Inputs'!$I$4:$V$4,0))),
IF(O23="",M34*(1+INDEX('R&amp;B Inputs'!$I$25:$V$25,MATCH($D34,'R&amp;B Inputs'!$I$4:$V$4,0))),N23)),0)</f>
        <v>11263405.136430969</v>
      </c>
      <c r="O34" s="592">
        <f>IFERROR(IF(INDEX('R&amp;B Inputs'!$I$18:$V$18,MATCH($D34,'R&amp;B Inputs'!$I$4:$V$4,0))="Single Year",
INDEX('R&amp;B Inputs'!$I$20:$V$20,MATCH($D34,'R&amp;B Inputs'!$I$4:$V$4,0))*(1+INDEX('R&amp;B Inputs'!$I$23:$V$23,MATCH($D34,'R&amp;B Inputs'!$I$4:$V$4,0)))^(O$4-INDEX('R&amp;B Inputs'!$I$22:$V$22,MATCH($D34,'R&amp;B Inputs'!$I$4:$V$4,0))),
IF(P23="",N34*(1+INDEX('R&amp;B Inputs'!$I$25:$V$25,MATCH($D34,'R&amp;B Inputs'!$I$4:$V$4,0))),O23)),0)</f>
        <v>11263405.136430969</v>
      </c>
      <c r="P34" s="592">
        <f>IFERROR(IF(INDEX('R&amp;B Inputs'!$I$18:$V$18,MATCH($D34,'R&amp;B Inputs'!$I$4:$V$4,0))="Single Year",
INDEX('R&amp;B Inputs'!$I$20:$V$20,MATCH($D34,'R&amp;B Inputs'!$I$4:$V$4,0))*(1+INDEX('R&amp;B Inputs'!$I$23:$V$23,MATCH($D34,'R&amp;B Inputs'!$I$4:$V$4,0)))^(P$4-INDEX('R&amp;B Inputs'!$I$22:$V$22,MATCH($D34,'R&amp;B Inputs'!$I$4:$V$4,0))),
IF(Q23="",O34*(1+INDEX('R&amp;B Inputs'!$I$25:$V$25,MATCH($D34,'R&amp;B Inputs'!$I$4:$V$4,0))),P23)),0)</f>
        <v>11263405.136430969</v>
      </c>
      <c r="Q34" s="592">
        <f>IFERROR(IF(INDEX('R&amp;B Inputs'!$I$18:$V$18,MATCH($D34,'R&amp;B Inputs'!$I$4:$V$4,0))="Single Year",
INDEX('R&amp;B Inputs'!$I$20:$V$20,MATCH($D34,'R&amp;B Inputs'!$I$4:$V$4,0))*(1+INDEX('R&amp;B Inputs'!$I$23:$V$23,MATCH($D34,'R&amp;B Inputs'!$I$4:$V$4,0)))^(Q$4-INDEX('R&amp;B Inputs'!$I$22:$V$22,MATCH($D34,'R&amp;B Inputs'!$I$4:$V$4,0))),
IF(R23="",P34*(1+INDEX('R&amp;B Inputs'!$I$25:$V$25,MATCH($D34,'R&amp;B Inputs'!$I$4:$V$4,0))),Q23)),0)</f>
        <v>11263405.136430969</v>
      </c>
      <c r="R34" s="592">
        <f>IFERROR(IF(INDEX('R&amp;B Inputs'!$I$18:$V$18,MATCH($D34,'R&amp;B Inputs'!$I$4:$V$4,0))="Single Year",
INDEX('R&amp;B Inputs'!$I$20:$V$20,MATCH($D34,'R&amp;B Inputs'!$I$4:$V$4,0))*(1+INDEX('R&amp;B Inputs'!$I$23:$V$23,MATCH($D34,'R&amp;B Inputs'!$I$4:$V$4,0)))^(R$4-INDEX('R&amp;B Inputs'!$I$22:$V$22,MATCH($D34,'R&amp;B Inputs'!$I$4:$V$4,0))),
IF(S23="",Q34*(1+INDEX('R&amp;B Inputs'!$I$25:$V$25,MATCH($D34,'R&amp;B Inputs'!$I$4:$V$4,0))),R23)),0)</f>
        <v>11263405.136430969</v>
      </c>
      <c r="S34" s="592">
        <f>IFERROR(IF(INDEX('R&amp;B Inputs'!$I$18:$V$18,MATCH($D34,'R&amp;B Inputs'!$I$4:$V$4,0))="Single Year",
INDEX('R&amp;B Inputs'!$I$20:$V$20,MATCH($D34,'R&amp;B Inputs'!$I$4:$V$4,0))*(1+INDEX('R&amp;B Inputs'!$I$23:$V$23,MATCH($D34,'R&amp;B Inputs'!$I$4:$V$4,0)))^(S$4-INDEX('R&amp;B Inputs'!$I$22:$V$22,MATCH($D34,'R&amp;B Inputs'!$I$4:$V$4,0))),
IF(T23="",R34*(1+INDEX('R&amp;B Inputs'!$I$25:$V$25,MATCH($D34,'R&amp;B Inputs'!$I$4:$V$4,0))),S23)),0)</f>
        <v>11263405.136430969</v>
      </c>
      <c r="T34" s="592">
        <f>IFERROR(IF(INDEX('R&amp;B Inputs'!$I$18:$V$18,MATCH($D34,'R&amp;B Inputs'!$I$4:$V$4,0))="Single Year",
INDEX('R&amp;B Inputs'!$I$20:$V$20,MATCH($D34,'R&amp;B Inputs'!$I$4:$V$4,0))*(1+INDEX('R&amp;B Inputs'!$I$23:$V$23,MATCH($D34,'R&amp;B Inputs'!$I$4:$V$4,0)))^(T$4-INDEX('R&amp;B Inputs'!$I$22:$V$22,MATCH($D34,'R&amp;B Inputs'!$I$4:$V$4,0))),
IF(U23="",S34*(1+INDEX('R&amp;B Inputs'!$I$25:$V$25,MATCH($D34,'R&amp;B Inputs'!$I$4:$V$4,0))),T23)),0)</f>
        <v>11263405.136430969</v>
      </c>
      <c r="U34" s="592">
        <f>IFERROR(IF(INDEX('R&amp;B Inputs'!$I$18:$V$18,MATCH($D34,'R&amp;B Inputs'!$I$4:$V$4,0))="Single Year",
INDEX('R&amp;B Inputs'!$I$20:$V$20,MATCH($D34,'R&amp;B Inputs'!$I$4:$V$4,0))*(1+INDEX('R&amp;B Inputs'!$I$23:$V$23,MATCH($D34,'R&amp;B Inputs'!$I$4:$V$4,0)))^(U$4-INDEX('R&amp;B Inputs'!$I$22:$V$22,MATCH($D34,'R&amp;B Inputs'!$I$4:$V$4,0))),
IF(V23="",T34*(1+INDEX('R&amp;B Inputs'!$I$25:$V$25,MATCH($D34,'R&amp;B Inputs'!$I$4:$V$4,0))),U23)),0)</f>
        <v>11263405.136430969</v>
      </c>
      <c r="V34" s="592">
        <f>IFERROR(IF(INDEX('R&amp;B Inputs'!$I$18:$V$18,MATCH($D34,'R&amp;B Inputs'!$I$4:$V$4,0))="Single Year",
INDEX('R&amp;B Inputs'!$I$20:$V$20,MATCH($D34,'R&amp;B Inputs'!$I$4:$V$4,0))*(1+INDEX('R&amp;B Inputs'!$I$23:$V$23,MATCH($D34,'R&amp;B Inputs'!$I$4:$V$4,0)))^(V$4-INDEX('R&amp;B Inputs'!$I$22:$V$22,MATCH($D34,'R&amp;B Inputs'!$I$4:$V$4,0))),
IF(W23="",U34*(1+INDEX('R&amp;B Inputs'!$I$25:$V$25,MATCH($D34,'R&amp;B Inputs'!$I$4:$V$4,0))),V23)),0)</f>
        <v>11263405.136430969</v>
      </c>
      <c r="W34" s="592">
        <f>IFERROR(IF(INDEX('R&amp;B Inputs'!$I$18:$V$18,MATCH($D34,'R&amp;B Inputs'!$I$4:$V$4,0))="Single Year",
INDEX('R&amp;B Inputs'!$I$20:$V$20,MATCH($D34,'R&amp;B Inputs'!$I$4:$V$4,0))*(1+INDEX('R&amp;B Inputs'!$I$23:$V$23,MATCH($D34,'R&amp;B Inputs'!$I$4:$V$4,0)))^(W$4-INDEX('R&amp;B Inputs'!$I$22:$V$22,MATCH($D34,'R&amp;B Inputs'!$I$4:$V$4,0))),
IF(X23="",V34*(1+INDEX('R&amp;B Inputs'!$I$25:$V$25,MATCH($D34,'R&amp;B Inputs'!$I$4:$V$4,0))),W23)),0)</f>
        <v>11263405.136430969</v>
      </c>
      <c r="X34" s="592">
        <f>IFERROR(IF(INDEX('R&amp;B Inputs'!$I$18:$V$18,MATCH($D34,'R&amp;B Inputs'!$I$4:$V$4,0))="Single Year",
INDEX('R&amp;B Inputs'!$I$20:$V$20,MATCH($D34,'R&amp;B Inputs'!$I$4:$V$4,0))*(1+INDEX('R&amp;B Inputs'!$I$23:$V$23,MATCH($D34,'R&amp;B Inputs'!$I$4:$V$4,0)))^(X$4-INDEX('R&amp;B Inputs'!$I$22:$V$22,MATCH($D34,'R&amp;B Inputs'!$I$4:$V$4,0))),
IF(Y23="",W34*(1+INDEX('R&amp;B Inputs'!$I$25:$V$25,MATCH($D34,'R&amp;B Inputs'!$I$4:$V$4,0))),X23)),0)</f>
        <v>11263405.136430969</v>
      </c>
      <c r="Y34" s="592">
        <f>IFERROR(IF(INDEX('R&amp;B Inputs'!$I$18:$V$18,MATCH($D34,'R&amp;B Inputs'!$I$4:$V$4,0))="Single Year",
INDEX('R&amp;B Inputs'!$I$20:$V$20,MATCH($D34,'R&amp;B Inputs'!$I$4:$V$4,0))*(1+INDEX('R&amp;B Inputs'!$I$23:$V$23,MATCH($D34,'R&amp;B Inputs'!$I$4:$V$4,0)))^(Y$4-INDEX('R&amp;B Inputs'!$I$22:$V$22,MATCH($D34,'R&amp;B Inputs'!$I$4:$V$4,0))),
IF(Z23="",X34*(1+INDEX('R&amp;B Inputs'!$I$25:$V$25,MATCH($D34,'R&amp;B Inputs'!$I$4:$V$4,0))),Y23)),0)</f>
        <v>11263405.136430969</v>
      </c>
      <c r="Z34" s="592">
        <f>IFERROR(IF(INDEX('R&amp;B Inputs'!$I$18:$V$18,MATCH($D34,'R&amp;B Inputs'!$I$4:$V$4,0))="Single Year",
INDEX('R&amp;B Inputs'!$I$20:$V$20,MATCH($D34,'R&amp;B Inputs'!$I$4:$V$4,0))*(1+INDEX('R&amp;B Inputs'!$I$23:$V$23,MATCH($D34,'R&amp;B Inputs'!$I$4:$V$4,0)))^(Z$4-INDEX('R&amp;B Inputs'!$I$22:$V$22,MATCH($D34,'R&amp;B Inputs'!$I$4:$V$4,0))),
IF(AA23="",Y34*(1+INDEX('R&amp;B Inputs'!$I$25:$V$25,MATCH($D34,'R&amp;B Inputs'!$I$4:$V$4,0))),Z23)),0)</f>
        <v>11263405.136430969</v>
      </c>
      <c r="AA34" s="592">
        <f>IFERROR(IF(INDEX('R&amp;B Inputs'!$I$18:$V$18,MATCH($D34,'R&amp;B Inputs'!$I$4:$V$4,0))="Single Year",
INDEX('R&amp;B Inputs'!$I$20:$V$20,MATCH($D34,'R&amp;B Inputs'!$I$4:$V$4,0))*(1+INDEX('R&amp;B Inputs'!$I$23:$V$23,MATCH($D34,'R&amp;B Inputs'!$I$4:$V$4,0)))^(AA$4-INDEX('R&amp;B Inputs'!$I$22:$V$22,MATCH($D34,'R&amp;B Inputs'!$I$4:$V$4,0))),
IF(AB23="",Z34*(1+INDEX('R&amp;B Inputs'!$I$25:$V$25,MATCH($D34,'R&amp;B Inputs'!$I$4:$V$4,0))),AA23)),0)</f>
        <v>11263405.136430969</v>
      </c>
      <c r="AB34" s="592">
        <f>IFERROR(IF(INDEX('R&amp;B Inputs'!$I$18:$V$18,MATCH($D34,'R&amp;B Inputs'!$I$4:$V$4,0))="Single Year",
INDEX('R&amp;B Inputs'!$I$20:$V$20,MATCH($D34,'R&amp;B Inputs'!$I$4:$V$4,0))*(1+INDEX('R&amp;B Inputs'!$I$23:$V$23,MATCH($D34,'R&amp;B Inputs'!$I$4:$V$4,0)))^(AB$4-INDEX('R&amp;B Inputs'!$I$22:$V$22,MATCH($D34,'R&amp;B Inputs'!$I$4:$V$4,0))),
IF(AC23="",AA34*(1+INDEX('R&amp;B Inputs'!$I$25:$V$25,MATCH($D34,'R&amp;B Inputs'!$I$4:$V$4,0))),AB23)),0)</f>
        <v>11263405.136430969</v>
      </c>
      <c r="AC34" s="592">
        <f>IFERROR(IF(INDEX('R&amp;B Inputs'!$I$18:$V$18,MATCH($D34,'R&amp;B Inputs'!$I$4:$V$4,0))="Single Year",
INDEX('R&amp;B Inputs'!$I$20:$V$20,MATCH($D34,'R&amp;B Inputs'!$I$4:$V$4,0))*(1+INDEX('R&amp;B Inputs'!$I$23:$V$23,MATCH($D34,'R&amp;B Inputs'!$I$4:$V$4,0)))^(AC$4-INDEX('R&amp;B Inputs'!$I$22:$V$22,MATCH($D34,'R&amp;B Inputs'!$I$4:$V$4,0))),
IF(AD23="",AB34*(1+INDEX('R&amp;B Inputs'!$I$25:$V$25,MATCH($D34,'R&amp;B Inputs'!$I$4:$V$4,0))),AC23)),0)</f>
        <v>11263405.136430969</v>
      </c>
      <c r="AD34" s="592">
        <f>IFERROR(IF(INDEX('R&amp;B Inputs'!$I$18:$V$18,MATCH($D34,'R&amp;B Inputs'!$I$4:$V$4,0))="Single Year",
INDEX('R&amp;B Inputs'!$I$20:$V$20,MATCH($D34,'R&amp;B Inputs'!$I$4:$V$4,0))*(1+INDEX('R&amp;B Inputs'!$I$23:$V$23,MATCH($D34,'R&amp;B Inputs'!$I$4:$V$4,0)))^(AD$4-INDEX('R&amp;B Inputs'!$I$22:$V$22,MATCH($D34,'R&amp;B Inputs'!$I$4:$V$4,0))),
IF(AE23="",AC34*(1+INDEX('R&amp;B Inputs'!$I$25:$V$25,MATCH($D34,'R&amp;B Inputs'!$I$4:$V$4,0))),AD23)),0)</f>
        <v>11263405.136430969</v>
      </c>
      <c r="AE34" s="592">
        <f>IFERROR(IF(INDEX('R&amp;B Inputs'!$I$18:$V$18,MATCH($D34,'R&amp;B Inputs'!$I$4:$V$4,0))="Single Year",
INDEX('R&amp;B Inputs'!$I$20:$V$20,MATCH($D34,'R&amp;B Inputs'!$I$4:$V$4,0))*(1+INDEX('R&amp;B Inputs'!$I$23:$V$23,MATCH($D34,'R&amp;B Inputs'!$I$4:$V$4,0)))^(AE$4-INDEX('R&amp;B Inputs'!$I$22:$V$22,MATCH($D34,'R&amp;B Inputs'!$I$4:$V$4,0))),
IF(AF23="",AD34*(1+INDEX('R&amp;B Inputs'!$I$25:$V$25,MATCH($D34,'R&amp;B Inputs'!$I$4:$V$4,0))),AE23)),0)</f>
        <v>11263405.136430969</v>
      </c>
    </row>
    <row r="35" spans="2:31" ht="15.75" x14ac:dyDescent="0.25">
      <c r="C35" s="63" t="s">
        <v>319</v>
      </c>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row>
    <row r="36" spans="2:31" x14ac:dyDescent="0.25">
      <c r="D36" s="205" t="s">
        <v>20</v>
      </c>
      <c r="E36" s="592">
        <f>IFERROR(IF(INDEX('R&amp;B Inputs'!$I$18:$V$18,MATCH($D36,'R&amp;B Inputs'!$I$4:$V$4,0))="Single Year",
INDEX('R&amp;B Inputs'!$I$21:$V$21,MATCH($D36,'R&amp;B Inputs'!$I$4:$V$4,0))*(1+INDEX('R&amp;B Inputs'!$I$23:$V$23,MATCH($D36,'R&amp;B Inputs'!$I$4:$V$4,0)))^(E$4-INDEX('R&amp;B Inputs'!$I$22:$V$22,MATCH($D36,'R&amp;B Inputs'!$I$4:$V$4,0))),
IF(F25="",D36*(1+INDEX('R&amp;B Inputs'!$I$25:$V$25,MATCH($D36,'R&amp;B Inputs'!$I$4:$V$4,0))),E25)),0)</f>
        <v>0</v>
      </c>
      <c r="F36" s="592">
        <f>IFERROR(IF(INDEX('R&amp;B Inputs'!$I$18:$V$18,MATCH($D36,'R&amp;B Inputs'!$I$4:$V$4,0))="Single Year",
INDEX('R&amp;B Inputs'!$I$21:$V$21,MATCH($D36,'R&amp;B Inputs'!$I$4:$V$4,0))*(1+INDEX('R&amp;B Inputs'!$I$23:$V$23,MATCH($D36,'R&amp;B Inputs'!$I$4:$V$4,0)))^(F$4-INDEX('R&amp;B Inputs'!$I$22:$V$22,MATCH($D36,'R&amp;B Inputs'!$I$4:$V$4,0))),
IF(G25="",E36*(1+INDEX('R&amp;B Inputs'!$I$25:$V$25,MATCH($D36,'R&amp;B Inputs'!$I$4:$V$4,0))),F25)),0)</f>
        <v>0</v>
      </c>
      <c r="G36" s="592">
        <f>IFERROR(IF(INDEX('R&amp;B Inputs'!$I$18:$V$18,MATCH($D36,'R&amp;B Inputs'!$I$4:$V$4,0))="Single Year",
INDEX('R&amp;B Inputs'!$I$21:$V$21,MATCH($D36,'R&amp;B Inputs'!$I$4:$V$4,0))*(1+INDEX('R&amp;B Inputs'!$I$23:$V$23,MATCH($D36,'R&amp;B Inputs'!$I$4:$V$4,0)))^(G$4-INDEX('R&amp;B Inputs'!$I$22:$V$22,MATCH($D36,'R&amp;B Inputs'!$I$4:$V$4,0))),
IF(H25="",F36*(1+INDEX('R&amp;B Inputs'!$I$25:$V$25,MATCH($D36,'R&amp;B Inputs'!$I$4:$V$4,0))),G25)),0)</f>
        <v>0</v>
      </c>
      <c r="H36" s="592">
        <f>IFERROR(IF(INDEX('R&amp;B Inputs'!$I$18:$V$18,MATCH($D36,'R&amp;B Inputs'!$I$4:$V$4,0))="Single Year",
INDEX('R&amp;B Inputs'!$I$21:$V$21,MATCH($D36,'R&amp;B Inputs'!$I$4:$V$4,0))*(1+INDEX('R&amp;B Inputs'!$I$23:$V$23,MATCH($D36,'R&amp;B Inputs'!$I$4:$V$4,0)))^(H$4-INDEX('R&amp;B Inputs'!$I$22:$V$22,MATCH($D36,'R&amp;B Inputs'!$I$4:$V$4,0))),
IF(I25="",G36*(1+INDEX('R&amp;B Inputs'!$I$25:$V$25,MATCH($D36,'R&amp;B Inputs'!$I$4:$V$4,0))),H25)),0)</f>
        <v>0</v>
      </c>
      <c r="I36" s="592">
        <f>IFERROR(IF(INDEX('R&amp;B Inputs'!$I$18:$V$18,MATCH($D36,'R&amp;B Inputs'!$I$4:$V$4,0))="Single Year",
INDEX('R&amp;B Inputs'!$I$21:$V$21,MATCH($D36,'R&amp;B Inputs'!$I$4:$V$4,0))*(1+INDEX('R&amp;B Inputs'!$I$23:$V$23,MATCH($D36,'R&amp;B Inputs'!$I$4:$V$4,0)))^(I$4-INDEX('R&amp;B Inputs'!$I$22:$V$22,MATCH($D36,'R&amp;B Inputs'!$I$4:$V$4,0))),
IF(J25="",H36*(1+INDEX('R&amp;B Inputs'!$I$25:$V$25,MATCH($D36,'R&amp;B Inputs'!$I$4:$V$4,0))),I25)),0)</f>
        <v>0</v>
      </c>
      <c r="J36" s="592">
        <f>IFERROR(IF(INDEX('R&amp;B Inputs'!$I$18:$V$18,MATCH($D36,'R&amp;B Inputs'!$I$4:$V$4,0))="Single Year",
INDEX('R&amp;B Inputs'!$I$21:$V$21,MATCH($D36,'R&amp;B Inputs'!$I$4:$V$4,0))*(1+INDEX('R&amp;B Inputs'!$I$23:$V$23,MATCH($D36,'R&amp;B Inputs'!$I$4:$V$4,0)))^(J$4-INDEX('R&amp;B Inputs'!$I$22:$V$22,MATCH($D36,'R&amp;B Inputs'!$I$4:$V$4,0))),
IF(K25="",I36*(1+INDEX('R&amp;B Inputs'!$I$25:$V$25,MATCH($D36,'R&amp;B Inputs'!$I$4:$V$4,0))),J25)),0)</f>
        <v>0</v>
      </c>
      <c r="K36" s="592">
        <f>IFERROR(IF(INDEX('R&amp;B Inputs'!$I$18:$V$18,MATCH($D36,'R&amp;B Inputs'!$I$4:$V$4,0))="Single Year",
INDEX('R&amp;B Inputs'!$I$21:$V$21,MATCH($D36,'R&amp;B Inputs'!$I$4:$V$4,0))*(1+INDEX('R&amp;B Inputs'!$I$23:$V$23,MATCH($D36,'R&amp;B Inputs'!$I$4:$V$4,0)))^(K$4-INDEX('R&amp;B Inputs'!$I$22:$V$22,MATCH($D36,'R&amp;B Inputs'!$I$4:$V$4,0))),
IF(L25="",J36*(1+INDEX('R&amp;B Inputs'!$I$25:$V$25,MATCH($D36,'R&amp;B Inputs'!$I$4:$V$4,0))),K25)),0)</f>
        <v>0</v>
      </c>
      <c r="L36" s="592">
        <f>IFERROR(IF(INDEX('R&amp;B Inputs'!$I$18:$V$18,MATCH($D36,'R&amp;B Inputs'!$I$4:$V$4,0))="Single Year",
INDEX('R&amp;B Inputs'!$I$21:$V$21,MATCH($D36,'R&amp;B Inputs'!$I$4:$V$4,0))*(1+INDEX('R&amp;B Inputs'!$I$23:$V$23,MATCH($D36,'R&amp;B Inputs'!$I$4:$V$4,0)))^(L$4-INDEX('R&amp;B Inputs'!$I$22:$V$22,MATCH($D36,'R&amp;B Inputs'!$I$4:$V$4,0))),
IF(M25="",K36*(1+INDEX('R&amp;B Inputs'!$I$25:$V$25,MATCH($D36,'R&amp;B Inputs'!$I$4:$V$4,0))),L25)),0)</f>
        <v>0</v>
      </c>
      <c r="M36" s="592">
        <f>IFERROR(IF(INDEX('R&amp;B Inputs'!$I$18:$V$18,MATCH($D36,'R&amp;B Inputs'!$I$4:$V$4,0))="Single Year",
INDEX('R&amp;B Inputs'!$I$21:$V$21,MATCH($D36,'R&amp;B Inputs'!$I$4:$V$4,0))*(1+INDEX('R&amp;B Inputs'!$I$23:$V$23,MATCH($D36,'R&amp;B Inputs'!$I$4:$V$4,0)))^(M$4-INDEX('R&amp;B Inputs'!$I$22:$V$22,MATCH($D36,'R&amp;B Inputs'!$I$4:$V$4,0))),
IF(N25="",L36*(1+INDEX('R&amp;B Inputs'!$I$25:$V$25,MATCH($D36,'R&amp;B Inputs'!$I$4:$V$4,0))),M25)),0)</f>
        <v>0</v>
      </c>
      <c r="N36" s="592">
        <f>IFERROR(IF(INDEX('R&amp;B Inputs'!$I$18:$V$18,MATCH($D36,'R&amp;B Inputs'!$I$4:$V$4,0))="Single Year",
INDEX('R&amp;B Inputs'!$I$21:$V$21,MATCH($D36,'R&amp;B Inputs'!$I$4:$V$4,0))*(1+INDEX('R&amp;B Inputs'!$I$23:$V$23,MATCH($D36,'R&amp;B Inputs'!$I$4:$V$4,0)))^(N$4-INDEX('R&amp;B Inputs'!$I$22:$V$22,MATCH($D36,'R&amp;B Inputs'!$I$4:$V$4,0))),
IF(O25="",M36*(1+INDEX('R&amp;B Inputs'!$I$25:$V$25,MATCH($D36,'R&amp;B Inputs'!$I$4:$V$4,0))),N25)),0)</f>
        <v>0</v>
      </c>
      <c r="O36" s="592">
        <f>IFERROR(IF(INDEX('R&amp;B Inputs'!$I$18:$V$18,MATCH($D36,'R&amp;B Inputs'!$I$4:$V$4,0))="Single Year",
INDEX('R&amp;B Inputs'!$I$21:$V$21,MATCH($D36,'R&amp;B Inputs'!$I$4:$V$4,0))*(1+INDEX('R&amp;B Inputs'!$I$23:$V$23,MATCH($D36,'R&amp;B Inputs'!$I$4:$V$4,0)))^(O$4-INDEX('R&amp;B Inputs'!$I$22:$V$22,MATCH($D36,'R&amp;B Inputs'!$I$4:$V$4,0))),
IF(P25="",N36*(1+INDEX('R&amp;B Inputs'!$I$25:$V$25,MATCH($D36,'R&amp;B Inputs'!$I$4:$V$4,0))),O25)),0)</f>
        <v>0</v>
      </c>
      <c r="P36" s="592">
        <f>IFERROR(IF(INDEX('R&amp;B Inputs'!$I$18:$V$18,MATCH($D36,'R&amp;B Inputs'!$I$4:$V$4,0))="Single Year",
INDEX('R&amp;B Inputs'!$I$21:$V$21,MATCH($D36,'R&amp;B Inputs'!$I$4:$V$4,0))*(1+INDEX('R&amp;B Inputs'!$I$23:$V$23,MATCH($D36,'R&amp;B Inputs'!$I$4:$V$4,0)))^(P$4-INDEX('R&amp;B Inputs'!$I$22:$V$22,MATCH($D36,'R&amp;B Inputs'!$I$4:$V$4,0))),
IF(Q25="",O36*(1+INDEX('R&amp;B Inputs'!$I$25:$V$25,MATCH($D36,'R&amp;B Inputs'!$I$4:$V$4,0))),P25)),0)</f>
        <v>0</v>
      </c>
      <c r="Q36" s="592">
        <f>IFERROR(IF(INDEX('R&amp;B Inputs'!$I$18:$V$18,MATCH($D36,'R&amp;B Inputs'!$I$4:$V$4,0))="Single Year",
INDEX('R&amp;B Inputs'!$I$21:$V$21,MATCH($D36,'R&amp;B Inputs'!$I$4:$V$4,0))*(1+INDEX('R&amp;B Inputs'!$I$23:$V$23,MATCH($D36,'R&amp;B Inputs'!$I$4:$V$4,0)))^(Q$4-INDEX('R&amp;B Inputs'!$I$22:$V$22,MATCH($D36,'R&amp;B Inputs'!$I$4:$V$4,0))),
IF(R25="",P36*(1+INDEX('R&amp;B Inputs'!$I$25:$V$25,MATCH($D36,'R&amp;B Inputs'!$I$4:$V$4,0))),Q25)),0)</f>
        <v>0</v>
      </c>
      <c r="R36" s="592">
        <f>IFERROR(IF(INDEX('R&amp;B Inputs'!$I$18:$V$18,MATCH($D36,'R&amp;B Inputs'!$I$4:$V$4,0))="Single Year",
INDEX('R&amp;B Inputs'!$I$21:$V$21,MATCH($D36,'R&amp;B Inputs'!$I$4:$V$4,0))*(1+INDEX('R&amp;B Inputs'!$I$23:$V$23,MATCH($D36,'R&amp;B Inputs'!$I$4:$V$4,0)))^(R$4-INDEX('R&amp;B Inputs'!$I$22:$V$22,MATCH($D36,'R&amp;B Inputs'!$I$4:$V$4,0))),
IF(S25="",Q36*(1+INDEX('R&amp;B Inputs'!$I$25:$V$25,MATCH($D36,'R&amp;B Inputs'!$I$4:$V$4,0))),R25)),0)</f>
        <v>0</v>
      </c>
      <c r="S36" s="592">
        <f>IFERROR(IF(INDEX('R&amp;B Inputs'!$I$18:$V$18,MATCH($D36,'R&amp;B Inputs'!$I$4:$V$4,0))="Single Year",
INDEX('R&amp;B Inputs'!$I$21:$V$21,MATCH($D36,'R&amp;B Inputs'!$I$4:$V$4,0))*(1+INDEX('R&amp;B Inputs'!$I$23:$V$23,MATCH($D36,'R&amp;B Inputs'!$I$4:$V$4,0)))^(S$4-INDEX('R&amp;B Inputs'!$I$22:$V$22,MATCH($D36,'R&amp;B Inputs'!$I$4:$V$4,0))),
IF(T25="",R36*(1+INDEX('R&amp;B Inputs'!$I$25:$V$25,MATCH($D36,'R&amp;B Inputs'!$I$4:$V$4,0))),S25)),0)</f>
        <v>0</v>
      </c>
      <c r="T36" s="592">
        <f>IFERROR(IF(INDEX('R&amp;B Inputs'!$I$18:$V$18,MATCH($D36,'R&amp;B Inputs'!$I$4:$V$4,0))="Single Year",
INDEX('R&amp;B Inputs'!$I$21:$V$21,MATCH($D36,'R&amp;B Inputs'!$I$4:$V$4,0))*(1+INDEX('R&amp;B Inputs'!$I$23:$V$23,MATCH($D36,'R&amp;B Inputs'!$I$4:$V$4,0)))^(T$4-INDEX('R&amp;B Inputs'!$I$22:$V$22,MATCH($D36,'R&amp;B Inputs'!$I$4:$V$4,0))),
IF(U25="",S36*(1+INDEX('R&amp;B Inputs'!$I$25:$V$25,MATCH($D36,'R&amp;B Inputs'!$I$4:$V$4,0))),T25)),0)</f>
        <v>0</v>
      </c>
      <c r="U36" s="592">
        <f>IFERROR(IF(INDEX('R&amp;B Inputs'!$I$18:$V$18,MATCH($D36,'R&amp;B Inputs'!$I$4:$V$4,0))="Single Year",
INDEX('R&amp;B Inputs'!$I$21:$V$21,MATCH($D36,'R&amp;B Inputs'!$I$4:$V$4,0))*(1+INDEX('R&amp;B Inputs'!$I$23:$V$23,MATCH($D36,'R&amp;B Inputs'!$I$4:$V$4,0)))^(U$4-INDEX('R&amp;B Inputs'!$I$22:$V$22,MATCH($D36,'R&amp;B Inputs'!$I$4:$V$4,0))),
IF(V25="",T36*(1+INDEX('R&amp;B Inputs'!$I$25:$V$25,MATCH($D36,'R&amp;B Inputs'!$I$4:$V$4,0))),U25)),0)</f>
        <v>0</v>
      </c>
      <c r="V36" s="592">
        <f>IFERROR(IF(INDEX('R&amp;B Inputs'!$I$18:$V$18,MATCH($D36,'R&amp;B Inputs'!$I$4:$V$4,0))="Single Year",
INDEX('R&amp;B Inputs'!$I$21:$V$21,MATCH($D36,'R&amp;B Inputs'!$I$4:$V$4,0))*(1+INDEX('R&amp;B Inputs'!$I$23:$V$23,MATCH($D36,'R&amp;B Inputs'!$I$4:$V$4,0)))^(V$4-INDEX('R&amp;B Inputs'!$I$22:$V$22,MATCH($D36,'R&amp;B Inputs'!$I$4:$V$4,0))),
IF(W25="",U36*(1+INDEX('R&amp;B Inputs'!$I$25:$V$25,MATCH($D36,'R&amp;B Inputs'!$I$4:$V$4,0))),V25)),0)</f>
        <v>0</v>
      </c>
      <c r="W36" s="592">
        <f>IFERROR(IF(INDEX('R&amp;B Inputs'!$I$18:$V$18,MATCH($D36,'R&amp;B Inputs'!$I$4:$V$4,0))="Single Year",
INDEX('R&amp;B Inputs'!$I$21:$V$21,MATCH($D36,'R&amp;B Inputs'!$I$4:$V$4,0))*(1+INDEX('R&amp;B Inputs'!$I$23:$V$23,MATCH($D36,'R&amp;B Inputs'!$I$4:$V$4,0)))^(W$4-INDEX('R&amp;B Inputs'!$I$22:$V$22,MATCH($D36,'R&amp;B Inputs'!$I$4:$V$4,0))),
IF(X25="",V36*(1+INDEX('R&amp;B Inputs'!$I$25:$V$25,MATCH($D36,'R&amp;B Inputs'!$I$4:$V$4,0))),W25)),0)</f>
        <v>0</v>
      </c>
      <c r="X36" s="592">
        <f>IFERROR(IF(INDEX('R&amp;B Inputs'!$I$18:$V$18,MATCH($D36,'R&amp;B Inputs'!$I$4:$V$4,0))="Single Year",
INDEX('R&amp;B Inputs'!$I$21:$V$21,MATCH($D36,'R&amp;B Inputs'!$I$4:$V$4,0))*(1+INDEX('R&amp;B Inputs'!$I$23:$V$23,MATCH($D36,'R&amp;B Inputs'!$I$4:$V$4,0)))^(X$4-INDEX('R&amp;B Inputs'!$I$22:$V$22,MATCH($D36,'R&amp;B Inputs'!$I$4:$V$4,0))),
IF(Y25="",W36*(1+INDEX('R&amp;B Inputs'!$I$25:$V$25,MATCH($D36,'R&amp;B Inputs'!$I$4:$V$4,0))),X25)),0)</f>
        <v>0</v>
      </c>
      <c r="Y36" s="592">
        <f>IFERROR(IF(INDEX('R&amp;B Inputs'!$I$18:$V$18,MATCH($D36,'R&amp;B Inputs'!$I$4:$V$4,0))="Single Year",
INDEX('R&amp;B Inputs'!$I$21:$V$21,MATCH($D36,'R&amp;B Inputs'!$I$4:$V$4,0))*(1+INDEX('R&amp;B Inputs'!$I$23:$V$23,MATCH($D36,'R&amp;B Inputs'!$I$4:$V$4,0)))^(Y$4-INDEX('R&amp;B Inputs'!$I$22:$V$22,MATCH($D36,'R&amp;B Inputs'!$I$4:$V$4,0))),
IF(Z25="",X36*(1+INDEX('R&amp;B Inputs'!$I$25:$V$25,MATCH($D36,'R&amp;B Inputs'!$I$4:$V$4,0))),Y25)),0)</f>
        <v>0</v>
      </c>
      <c r="Z36" s="592">
        <f>IFERROR(IF(INDEX('R&amp;B Inputs'!$I$18:$V$18,MATCH($D36,'R&amp;B Inputs'!$I$4:$V$4,0))="Single Year",
INDEX('R&amp;B Inputs'!$I$21:$V$21,MATCH($D36,'R&amp;B Inputs'!$I$4:$V$4,0))*(1+INDEX('R&amp;B Inputs'!$I$23:$V$23,MATCH($D36,'R&amp;B Inputs'!$I$4:$V$4,0)))^(Z$4-INDEX('R&amp;B Inputs'!$I$22:$V$22,MATCH($D36,'R&amp;B Inputs'!$I$4:$V$4,0))),
IF(AA25="",Y36*(1+INDEX('R&amp;B Inputs'!$I$25:$V$25,MATCH($D36,'R&amp;B Inputs'!$I$4:$V$4,0))),Z25)),0)</f>
        <v>0</v>
      </c>
      <c r="AA36" s="592">
        <f>IFERROR(IF(INDEX('R&amp;B Inputs'!$I$18:$V$18,MATCH($D36,'R&amp;B Inputs'!$I$4:$V$4,0))="Single Year",
INDEX('R&amp;B Inputs'!$I$21:$V$21,MATCH($D36,'R&amp;B Inputs'!$I$4:$V$4,0))*(1+INDEX('R&amp;B Inputs'!$I$23:$V$23,MATCH($D36,'R&amp;B Inputs'!$I$4:$V$4,0)))^(AA$4-INDEX('R&amp;B Inputs'!$I$22:$V$22,MATCH($D36,'R&amp;B Inputs'!$I$4:$V$4,0))),
IF(AB25="",Z36*(1+INDEX('R&amp;B Inputs'!$I$25:$V$25,MATCH($D36,'R&amp;B Inputs'!$I$4:$V$4,0))),AA25)),0)</f>
        <v>0</v>
      </c>
      <c r="AB36" s="592">
        <f>IFERROR(IF(INDEX('R&amp;B Inputs'!$I$18:$V$18,MATCH($D36,'R&amp;B Inputs'!$I$4:$V$4,0))="Single Year",
INDEX('R&amp;B Inputs'!$I$21:$V$21,MATCH($D36,'R&amp;B Inputs'!$I$4:$V$4,0))*(1+INDEX('R&amp;B Inputs'!$I$23:$V$23,MATCH($D36,'R&amp;B Inputs'!$I$4:$V$4,0)))^(AB$4-INDEX('R&amp;B Inputs'!$I$22:$V$22,MATCH($D36,'R&amp;B Inputs'!$I$4:$V$4,0))),
IF(AC25="",AA36*(1+INDEX('R&amp;B Inputs'!$I$25:$V$25,MATCH($D36,'R&amp;B Inputs'!$I$4:$V$4,0))),AB25)),0)</f>
        <v>0</v>
      </c>
      <c r="AC36" s="592">
        <f>IFERROR(IF(INDEX('R&amp;B Inputs'!$I$18:$V$18,MATCH($D36,'R&amp;B Inputs'!$I$4:$V$4,0))="Single Year",
INDEX('R&amp;B Inputs'!$I$21:$V$21,MATCH($D36,'R&amp;B Inputs'!$I$4:$V$4,0))*(1+INDEX('R&amp;B Inputs'!$I$23:$V$23,MATCH($D36,'R&amp;B Inputs'!$I$4:$V$4,0)))^(AC$4-INDEX('R&amp;B Inputs'!$I$22:$V$22,MATCH($D36,'R&amp;B Inputs'!$I$4:$V$4,0))),
IF(AD25="",AB36*(1+INDEX('R&amp;B Inputs'!$I$25:$V$25,MATCH($D36,'R&amp;B Inputs'!$I$4:$V$4,0))),AC25)),0)</f>
        <v>0</v>
      </c>
      <c r="AD36" s="592">
        <f>IFERROR(IF(INDEX('R&amp;B Inputs'!$I$18:$V$18,MATCH($D36,'R&amp;B Inputs'!$I$4:$V$4,0))="Single Year",
INDEX('R&amp;B Inputs'!$I$21:$V$21,MATCH($D36,'R&amp;B Inputs'!$I$4:$V$4,0))*(1+INDEX('R&amp;B Inputs'!$I$23:$V$23,MATCH($D36,'R&amp;B Inputs'!$I$4:$V$4,0)))^(AD$4-INDEX('R&amp;B Inputs'!$I$22:$V$22,MATCH($D36,'R&amp;B Inputs'!$I$4:$V$4,0))),
IF(AE25="",AC36*(1+INDEX('R&amp;B Inputs'!$I$25:$V$25,MATCH($D36,'R&amp;B Inputs'!$I$4:$V$4,0))),AD25)),0)</f>
        <v>0</v>
      </c>
      <c r="AE36" s="592">
        <f>IFERROR(IF(INDEX('R&amp;B Inputs'!$I$18:$V$18,MATCH($D36,'R&amp;B Inputs'!$I$4:$V$4,0))="Single Year",
INDEX('R&amp;B Inputs'!$I$21:$V$21,MATCH($D36,'R&amp;B Inputs'!$I$4:$V$4,0))*(1+INDEX('R&amp;B Inputs'!$I$23:$V$23,MATCH($D36,'R&amp;B Inputs'!$I$4:$V$4,0)))^(AE$4-INDEX('R&amp;B Inputs'!$I$22:$V$22,MATCH($D36,'R&amp;B Inputs'!$I$4:$V$4,0))),
IF(AF25="",AD36*(1+INDEX('R&amp;B Inputs'!$I$25:$V$25,MATCH($D36,'R&amp;B Inputs'!$I$4:$V$4,0))),AE25)),0)</f>
        <v>0</v>
      </c>
    </row>
    <row r="37" spans="2:31" x14ac:dyDescent="0.25">
      <c r="D37" s="39" t="s">
        <v>21</v>
      </c>
      <c r="E37" s="592">
        <f>IFERROR(IF(INDEX('R&amp;B Inputs'!$I$18:$V$18,MATCH($D37,'R&amp;B Inputs'!$I$4:$V$4,0))="Single Year",
INDEX('R&amp;B Inputs'!$I$21:$V$21,MATCH($D37,'R&amp;B Inputs'!$I$4:$V$4,0))*(1+INDEX('R&amp;B Inputs'!$I$23:$V$23,MATCH($D37,'R&amp;B Inputs'!$I$4:$V$4,0)))^(E$4-INDEX('R&amp;B Inputs'!$I$22:$V$22,MATCH($D37,'R&amp;B Inputs'!$I$4:$V$4,0))),
IF(F26="",D37*(1+INDEX('R&amp;B Inputs'!$I$25:$V$25,MATCH($D37,'R&amp;B Inputs'!$I$4:$V$4,0))),E26)),0)</f>
        <v>0</v>
      </c>
      <c r="F37" s="592">
        <f>IFERROR(IF(INDEX('R&amp;B Inputs'!$I$18:$V$18,MATCH($D37,'R&amp;B Inputs'!$I$4:$V$4,0))="Single Year",
INDEX('R&amp;B Inputs'!$I$21:$V$21,MATCH($D37,'R&amp;B Inputs'!$I$4:$V$4,0))*(1+INDEX('R&amp;B Inputs'!$I$23:$V$23,MATCH($D37,'R&amp;B Inputs'!$I$4:$V$4,0)))^(F$4-INDEX('R&amp;B Inputs'!$I$22:$V$22,MATCH($D37,'R&amp;B Inputs'!$I$4:$V$4,0))),
IF(G26="",E37*(1+INDEX('R&amp;B Inputs'!$I$25:$V$25,MATCH($D37,'R&amp;B Inputs'!$I$4:$V$4,0))),F26)),0)</f>
        <v>0</v>
      </c>
      <c r="G37" s="592">
        <f>IFERROR(IF(INDEX('R&amp;B Inputs'!$I$18:$V$18,MATCH($D37,'R&amp;B Inputs'!$I$4:$V$4,0))="Single Year",
INDEX('R&amp;B Inputs'!$I$21:$V$21,MATCH($D37,'R&amp;B Inputs'!$I$4:$V$4,0))*(1+INDEX('R&amp;B Inputs'!$I$23:$V$23,MATCH($D37,'R&amp;B Inputs'!$I$4:$V$4,0)))^(G$4-INDEX('R&amp;B Inputs'!$I$22:$V$22,MATCH($D37,'R&amp;B Inputs'!$I$4:$V$4,0))),
IF(H26="",F37*(1+INDEX('R&amp;B Inputs'!$I$25:$V$25,MATCH($D37,'R&amp;B Inputs'!$I$4:$V$4,0))),G26)),0)</f>
        <v>0</v>
      </c>
      <c r="H37" s="592">
        <f>IFERROR(IF(INDEX('R&amp;B Inputs'!$I$18:$V$18,MATCH($D37,'R&amp;B Inputs'!$I$4:$V$4,0))="Single Year",
INDEX('R&amp;B Inputs'!$I$21:$V$21,MATCH($D37,'R&amp;B Inputs'!$I$4:$V$4,0))*(1+INDEX('R&amp;B Inputs'!$I$23:$V$23,MATCH($D37,'R&amp;B Inputs'!$I$4:$V$4,0)))^(H$4-INDEX('R&amp;B Inputs'!$I$22:$V$22,MATCH($D37,'R&amp;B Inputs'!$I$4:$V$4,0))),
IF(I26="",G37*(1+INDEX('R&amp;B Inputs'!$I$25:$V$25,MATCH($D37,'R&amp;B Inputs'!$I$4:$V$4,0))),H26)),0)</f>
        <v>0</v>
      </c>
      <c r="I37" s="592">
        <f>IFERROR(IF(INDEX('R&amp;B Inputs'!$I$18:$V$18,MATCH($D37,'R&amp;B Inputs'!$I$4:$V$4,0))="Single Year",
INDEX('R&amp;B Inputs'!$I$21:$V$21,MATCH($D37,'R&amp;B Inputs'!$I$4:$V$4,0))*(1+INDEX('R&amp;B Inputs'!$I$23:$V$23,MATCH($D37,'R&amp;B Inputs'!$I$4:$V$4,0)))^(I$4-INDEX('R&amp;B Inputs'!$I$22:$V$22,MATCH($D37,'R&amp;B Inputs'!$I$4:$V$4,0))),
IF(J26="",H37*(1+INDEX('R&amp;B Inputs'!$I$25:$V$25,MATCH($D37,'R&amp;B Inputs'!$I$4:$V$4,0))),I26)),0)</f>
        <v>0</v>
      </c>
      <c r="J37" s="592">
        <f>IFERROR(IF(INDEX('R&amp;B Inputs'!$I$18:$V$18,MATCH($D37,'R&amp;B Inputs'!$I$4:$V$4,0))="Single Year",
INDEX('R&amp;B Inputs'!$I$21:$V$21,MATCH($D37,'R&amp;B Inputs'!$I$4:$V$4,0))*(1+INDEX('R&amp;B Inputs'!$I$23:$V$23,MATCH($D37,'R&amp;B Inputs'!$I$4:$V$4,0)))^(J$4-INDEX('R&amp;B Inputs'!$I$22:$V$22,MATCH($D37,'R&amp;B Inputs'!$I$4:$V$4,0))),
IF(K26="",I37*(1+INDEX('R&amp;B Inputs'!$I$25:$V$25,MATCH($D37,'R&amp;B Inputs'!$I$4:$V$4,0))),J26)),0)</f>
        <v>0</v>
      </c>
      <c r="K37" s="592">
        <f>IFERROR(IF(INDEX('R&amp;B Inputs'!$I$18:$V$18,MATCH($D37,'R&amp;B Inputs'!$I$4:$V$4,0))="Single Year",
INDEX('R&amp;B Inputs'!$I$21:$V$21,MATCH($D37,'R&amp;B Inputs'!$I$4:$V$4,0))*(1+INDEX('R&amp;B Inputs'!$I$23:$V$23,MATCH($D37,'R&amp;B Inputs'!$I$4:$V$4,0)))^(K$4-INDEX('R&amp;B Inputs'!$I$22:$V$22,MATCH($D37,'R&amp;B Inputs'!$I$4:$V$4,0))),
IF(L26="",J37*(1+INDEX('R&amp;B Inputs'!$I$25:$V$25,MATCH($D37,'R&amp;B Inputs'!$I$4:$V$4,0))),K26)),0)</f>
        <v>0</v>
      </c>
      <c r="L37" s="592">
        <f>IFERROR(IF(INDEX('R&amp;B Inputs'!$I$18:$V$18,MATCH($D37,'R&amp;B Inputs'!$I$4:$V$4,0))="Single Year",
INDEX('R&amp;B Inputs'!$I$21:$V$21,MATCH($D37,'R&amp;B Inputs'!$I$4:$V$4,0))*(1+INDEX('R&amp;B Inputs'!$I$23:$V$23,MATCH($D37,'R&amp;B Inputs'!$I$4:$V$4,0)))^(L$4-INDEX('R&amp;B Inputs'!$I$22:$V$22,MATCH($D37,'R&amp;B Inputs'!$I$4:$V$4,0))),
IF(M26="",K37*(1+INDEX('R&amp;B Inputs'!$I$25:$V$25,MATCH($D37,'R&amp;B Inputs'!$I$4:$V$4,0))),L26)),0)</f>
        <v>0</v>
      </c>
      <c r="M37" s="592">
        <f>IFERROR(IF(INDEX('R&amp;B Inputs'!$I$18:$V$18,MATCH($D37,'R&amp;B Inputs'!$I$4:$V$4,0))="Single Year",
INDEX('R&amp;B Inputs'!$I$21:$V$21,MATCH($D37,'R&amp;B Inputs'!$I$4:$V$4,0))*(1+INDEX('R&amp;B Inputs'!$I$23:$V$23,MATCH($D37,'R&amp;B Inputs'!$I$4:$V$4,0)))^(M$4-INDEX('R&amp;B Inputs'!$I$22:$V$22,MATCH($D37,'R&amp;B Inputs'!$I$4:$V$4,0))),
IF(N26="",L37*(1+INDEX('R&amp;B Inputs'!$I$25:$V$25,MATCH($D37,'R&amp;B Inputs'!$I$4:$V$4,0))),M26)),0)</f>
        <v>0</v>
      </c>
      <c r="N37" s="592">
        <f>IFERROR(IF(INDEX('R&amp;B Inputs'!$I$18:$V$18,MATCH($D37,'R&amp;B Inputs'!$I$4:$V$4,0))="Single Year",
INDEX('R&amp;B Inputs'!$I$21:$V$21,MATCH($D37,'R&amp;B Inputs'!$I$4:$V$4,0))*(1+INDEX('R&amp;B Inputs'!$I$23:$V$23,MATCH($D37,'R&amp;B Inputs'!$I$4:$V$4,0)))^(N$4-INDEX('R&amp;B Inputs'!$I$22:$V$22,MATCH($D37,'R&amp;B Inputs'!$I$4:$V$4,0))),
IF(O26="",M37*(1+INDEX('R&amp;B Inputs'!$I$25:$V$25,MATCH($D37,'R&amp;B Inputs'!$I$4:$V$4,0))),N26)),0)</f>
        <v>0</v>
      </c>
      <c r="O37" s="592">
        <f>IFERROR(IF(INDEX('R&amp;B Inputs'!$I$18:$V$18,MATCH($D37,'R&amp;B Inputs'!$I$4:$V$4,0))="Single Year",
INDEX('R&amp;B Inputs'!$I$21:$V$21,MATCH($D37,'R&amp;B Inputs'!$I$4:$V$4,0))*(1+INDEX('R&amp;B Inputs'!$I$23:$V$23,MATCH($D37,'R&amp;B Inputs'!$I$4:$V$4,0)))^(O$4-INDEX('R&amp;B Inputs'!$I$22:$V$22,MATCH($D37,'R&amp;B Inputs'!$I$4:$V$4,0))),
IF(P26="",N37*(1+INDEX('R&amp;B Inputs'!$I$25:$V$25,MATCH($D37,'R&amp;B Inputs'!$I$4:$V$4,0))),O26)),0)</f>
        <v>0</v>
      </c>
      <c r="P37" s="592">
        <f>IFERROR(IF(INDEX('R&amp;B Inputs'!$I$18:$V$18,MATCH($D37,'R&amp;B Inputs'!$I$4:$V$4,0))="Single Year",
INDEX('R&amp;B Inputs'!$I$21:$V$21,MATCH($D37,'R&amp;B Inputs'!$I$4:$V$4,0))*(1+INDEX('R&amp;B Inputs'!$I$23:$V$23,MATCH($D37,'R&amp;B Inputs'!$I$4:$V$4,0)))^(P$4-INDEX('R&amp;B Inputs'!$I$22:$V$22,MATCH($D37,'R&amp;B Inputs'!$I$4:$V$4,0))),
IF(Q26="",O37*(1+INDEX('R&amp;B Inputs'!$I$25:$V$25,MATCH($D37,'R&amp;B Inputs'!$I$4:$V$4,0))),P26)),0)</f>
        <v>0</v>
      </c>
      <c r="Q37" s="592">
        <f>IFERROR(IF(INDEX('R&amp;B Inputs'!$I$18:$V$18,MATCH($D37,'R&amp;B Inputs'!$I$4:$V$4,0))="Single Year",
INDEX('R&amp;B Inputs'!$I$21:$V$21,MATCH($D37,'R&amp;B Inputs'!$I$4:$V$4,0))*(1+INDEX('R&amp;B Inputs'!$I$23:$V$23,MATCH($D37,'R&amp;B Inputs'!$I$4:$V$4,0)))^(Q$4-INDEX('R&amp;B Inputs'!$I$22:$V$22,MATCH($D37,'R&amp;B Inputs'!$I$4:$V$4,0))),
IF(R26="",P37*(1+INDEX('R&amp;B Inputs'!$I$25:$V$25,MATCH($D37,'R&amp;B Inputs'!$I$4:$V$4,0))),Q26)),0)</f>
        <v>0</v>
      </c>
      <c r="R37" s="592">
        <f>IFERROR(IF(INDEX('R&amp;B Inputs'!$I$18:$V$18,MATCH($D37,'R&amp;B Inputs'!$I$4:$V$4,0))="Single Year",
INDEX('R&amp;B Inputs'!$I$21:$V$21,MATCH($D37,'R&amp;B Inputs'!$I$4:$V$4,0))*(1+INDEX('R&amp;B Inputs'!$I$23:$V$23,MATCH($D37,'R&amp;B Inputs'!$I$4:$V$4,0)))^(R$4-INDEX('R&amp;B Inputs'!$I$22:$V$22,MATCH($D37,'R&amp;B Inputs'!$I$4:$V$4,0))),
IF(S26="",Q37*(1+INDEX('R&amp;B Inputs'!$I$25:$V$25,MATCH($D37,'R&amp;B Inputs'!$I$4:$V$4,0))),R26)),0)</f>
        <v>0</v>
      </c>
      <c r="S37" s="592">
        <f>IFERROR(IF(INDEX('R&amp;B Inputs'!$I$18:$V$18,MATCH($D37,'R&amp;B Inputs'!$I$4:$V$4,0))="Single Year",
INDEX('R&amp;B Inputs'!$I$21:$V$21,MATCH($D37,'R&amp;B Inputs'!$I$4:$V$4,0))*(1+INDEX('R&amp;B Inputs'!$I$23:$V$23,MATCH($D37,'R&amp;B Inputs'!$I$4:$V$4,0)))^(S$4-INDEX('R&amp;B Inputs'!$I$22:$V$22,MATCH($D37,'R&amp;B Inputs'!$I$4:$V$4,0))),
IF(T26="",R37*(1+INDEX('R&amp;B Inputs'!$I$25:$V$25,MATCH($D37,'R&amp;B Inputs'!$I$4:$V$4,0))),S26)),0)</f>
        <v>0</v>
      </c>
      <c r="T37" s="592">
        <f>IFERROR(IF(INDEX('R&amp;B Inputs'!$I$18:$V$18,MATCH($D37,'R&amp;B Inputs'!$I$4:$V$4,0))="Single Year",
INDEX('R&amp;B Inputs'!$I$21:$V$21,MATCH($D37,'R&amp;B Inputs'!$I$4:$V$4,0))*(1+INDEX('R&amp;B Inputs'!$I$23:$V$23,MATCH($D37,'R&amp;B Inputs'!$I$4:$V$4,0)))^(T$4-INDEX('R&amp;B Inputs'!$I$22:$V$22,MATCH($D37,'R&amp;B Inputs'!$I$4:$V$4,0))),
IF(U26="",S37*(1+INDEX('R&amp;B Inputs'!$I$25:$V$25,MATCH($D37,'R&amp;B Inputs'!$I$4:$V$4,0))),T26)),0)</f>
        <v>0</v>
      </c>
      <c r="U37" s="592">
        <f>IFERROR(IF(INDEX('R&amp;B Inputs'!$I$18:$V$18,MATCH($D37,'R&amp;B Inputs'!$I$4:$V$4,0))="Single Year",
INDEX('R&amp;B Inputs'!$I$21:$V$21,MATCH($D37,'R&amp;B Inputs'!$I$4:$V$4,0))*(1+INDEX('R&amp;B Inputs'!$I$23:$V$23,MATCH($D37,'R&amp;B Inputs'!$I$4:$V$4,0)))^(U$4-INDEX('R&amp;B Inputs'!$I$22:$V$22,MATCH($D37,'R&amp;B Inputs'!$I$4:$V$4,0))),
IF(V26="",T37*(1+INDEX('R&amp;B Inputs'!$I$25:$V$25,MATCH($D37,'R&amp;B Inputs'!$I$4:$V$4,0))),U26)),0)</f>
        <v>0</v>
      </c>
      <c r="V37" s="592">
        <f>IFERROR(IF(INDEX('R&amp;B Inputs'!$I$18:$V$18,MATCH($D37,'R&amp;B Inputs'!$I$4:$V$4,0))="Single Year",
INDEX('R&amp;B Inputs'!$I$21:$V$21,MATCH($D37,'R&amp;B Inputs'!$I$4:$V$4,0))*(1+INDEX('R&amp;B Inputs'!$I$23:$V$23,MATCH($D37,'R&amp;B Inputs'!$I$4:$V$4,0)))^(V$4-INDEX('R&amp;B Inputs'!$I$22:$V$22,MATCH($D37,'R&amp;B Inputs'!$I$4:$V$4,0))),
IF(W26="",U37*(1+INDEX('R&amp;B Inputs'!$I$25:$V$25,MATCH($D37,'R&amp;B Inputs'!$I$4:$V$4,0))),V26)),0)</f>
        <v>0</v>
      </c>
      <c r="W37" s="592">
        <f>IFERROR(IF(INDEX('R&amp;B Inputs'!$I$18:$V$18,MATCH($D37,'R&amp;B Inputs'!$I$4:$V$4,0))="Single Year",
INDEX('R&amp;B Inputs'!$I$21:$V$21,MATCH($D37,'R&amp;B Inputs'!$I$4:$V$4,0))*(1+INDEX('R&amp;B Inputs'!$I$23:$V$23,MATCH($D37,'R&amp;B Inputs'!$I$4:$V$4,0)))^(W$4-INDEX('R&amp;B Inputs'!$I$22:$V$22,MATCH($D37,'R&amp;B Inputs'!$I$4:$V$4,0))),
IF(X26="",V37*(1+INDEX('R&amp;B Inputs'!$I$25:$V$25,MATCH($D37,'R&amp;B Inputs'!$I$4:$V$4,0))),W26)),0)</f>
        <v>0</v>
      </c>
      <c r="X37" s="592">
        <f>IFERROR(IF(INDEX('R&amp;B Inputs'!$I$18:$V$18,MATCH($D37,'R&amp;B Inputs'!$I$4:$V$4,0))="Single Year",
INDEX('R&amp;B Inputs'!$I$21:$V$21,MATCH($D37,'R&amp;B Inputs'!$I$4:$V$4,0))*(1+INDEX('R&amp;B Inputs'!$I$23:$V$23,MATCH($D37,'R&amp;B Inputs'!$I$4:$V$4,0)))^(X$4-INDEX('R&amp;B Inputs'!$I$22:$V$22,MATCH($D37,'R&amp;B Inputs'!$I$4:$V$4,0))),
IF(Y26="",W37*(1+INDEX('R&amp;B Inputs'!$I$25:$V$25,MATCH($D37,'R&amp;B Inputs'!$I$4:$V$4,0))),X26)),0)</f>
        <v>0</v>
      </c>
      <c r="Y37" s="592">
        <f>IFERROR(IF(INDEX('R&amp;B Inputs'!$I$18:$V$18,MATCH($D37,'R&amp;B Inputs'!$I$4:$V$4,0))="Single Year",
INDEX('R&amp;B Inputs'!$I$21:$V$21,MATCH($D37,'R&amp;B Inputs'!$I$4:$V$4,0))*(1+INDEX('R&amp;B Inputs'!$I$23:$V$23,MATCH($D37,'R&amp;B Inputs'!$I$4:$V$4,0)))^(Y$4-INDEX('R&amp;B Inputs'!$I$22:$V$22,MATCH($D37,'R&amp;B Inputs'!$I$4:$V$4,0))),
IF(Z26="",X37*(1+INDEX('R&amp;B Inputs'!$I$25:$V$25,MATCH($D37,'R&amp;B Inputs'!$I$4:$V$4,0))),Y26)),0)</f>
        <v>0</v>
      </c>
      <c r="Z37" s="592">
        <f>IFERROR(IF(INDEX('R&amp;B Inputs'!$I$18:$V$18,MATCH($D37,'R&amp;B Inputs'!$I$4:$V$4,0))="Single Year",
INDEX('R&amp;B Inputs'!$I$21:$V$21,MATCH($D37,'R&amp;B Inputs'!$I$4:$V$4,0))*(1+INDEX('R&amp;B Inputs'!$I$23:$V$23,MATCH($D37,'R&amp;B Inputs'!$I$4:$V$4,0)))^(Z$4-INDEX('R&amp;B Inputs'!$I$22:$V$22,MATCH($D37,'R&amp;B Inputs'!$I$4:$V$4,0))),
IF(AA26="",Y37*(1+INDEX('R&amp;B Inputs'!$I$25:$V$25,MATCH($D37,'R&amp;B Inputs'!$I$4:$V$4,0))),Z26)),0)</f>
        <v>0</v>
      </c>
      <c r="AA37" s="592">
        <f>IFERROR(IF(INDEX('R&amp;B Inputs'!$I$18:$V$18,MATCH($D37,'R&amp;B Inputs'!$I$4:$V$4,0))="Single Year",
INDEX('R&amp;B Inputs'!$I$21:$V$21,MATCH($D37,'R&amp;B Inputs'!$I$4:$V$4,0))*(1+INDEX('R&amp;B Inputs'!$I$23:$V$23,MATCH($D37,'R&amp;B Inputs'!$I$4:$V$4,0)))^(AA$4-INDEX('R&amp;B Inputs'!$I$22:$V$22,MATCH($D37,'R&amp;B Inputs'!$I$4:$V$4,0))),
IF(AB26="",Z37*(1+INDEX('R&amp;B Inputs'!$I$25:$V$25,MATCH($D37,'R&amp;B Inputs'!$I$4:$V$4,0))),AA26)),0)</f>
        <v>0</v>
      </c>
      <c r="AB37" s="592">
        <f>IFERROR(IF(INDEX('R&amp;B Inputs'!$I$18:$V$18,MATCH($D37,'R&amp;B Inputs'!$I$4:$V$4,0))="Single Year",
INDEX('R&amp;B Inputs'!$I$21:$V$21,MATCH($D37,'R&amp;B Inputs'!$I$4:$V$4,0))*(1+INDEX('R&amp;B Inputs'!$I$23:$V$23,MATCH($D37,'R&amp;B Inputs'!$I$4:$V$4,0)))^(AB$4-INDEX('R&amp;B Inputs'!$I$22:$V$22,MATCH($D37,'R&amp;B Inputs'!$I$4:$V$4,0))),
IF(AC26="",AA37*(1+INDEX('R&amp;B Inputs'!$I$25:$V$25,MATCH($D37,'R&amp;B Inputs'!$I$4:$V$4,0))),AB26)),0)</f>
        <v>0</v>
      </c>
      <c r="AC37" s="592">
        <f>IFERROR(IF(INDEX('R&amp;B Inputs'!$I$18:$V$18,MATCH($D37,'R&amp;B Inputs'!$I$4:$V$4,0))="Single Year",
INDEX('R&amp;B Inputs'!$I$21:$V$21,MATCH($D37,'R&amp;B Inputs'!$I$4:$V$4,0))*(1+INDEX('R&amp;B Inputs'!$I$23:$V$23,MATCH($D37,'R&amp;B Inputs'!$I$4:$V$4,0)))^(AC$4-INDEX('R&amp;B Inputs'!$I$22:$V$22,MATCH($D37,'R&amp;B Inputs'!$I$4:$V$4,0))),
IF(AD26="",AB37*(1+INDEX('R&amp;B Inputs'!$I$25:$V$25,MATCH($D37,'R&amp;B Inputs'!$I$4:$V$4,0))),AC26)),0)</f>
        <v>0</v>
      </c>
      <c r="AD37" s="592">
        <f>IFERROR(IF(INDEX('R&amp;B Inputs'!$I$18:$V$18,MATCH($D37,'R&amp;B Inputs'!$I$4:$V$4,0))="Single Year",
INDEX('R&amp;B Inputs'!$I$21:$V$21,MATCH($D37,'R&amp;B Inputs'!$I$4:$V$4,0))*(1+INDEX('R&amp;B Inputs'!$I$23:$V$23,MATCH($D37,'R&amp;B Inputs'!$I$4:$V$4,0)))^(AD$4-INDEX('R&amp;B Inputs'!$I$22:$V$22,MATCH($D37,'R&amp;B Inputs'!$I$4:$V$4,0))),
IF(AE26="",AC37*(1+INDEX('R&amp;B Inputs'!$I$25:$V$25,MATCH($D37,'R&amp;B Inputs'!$I$4:$V$4,0))),AD26)),0)</f>
        <v>0</v>
      </c>
      <c r="AE37" s="592">
        <f>IFERROR(IF(INDEX('R&amp;B Inputs'!$I$18:$V$18,MATCH($D37,'R&amp;B Inputs'!$I$4:$V$4,0))="Single Year",
INDEX('R&amp;B Inputs'!$I$21:$V$21,MATCH($D37,'R&amp;B Inputs'!$I$4:$V$4,0))*(1+INDEX('R&amp;B Inputs'!$I$23:$V$23,MATCH($D37,'R&amp;B Inputs'!$I$4:$V$4,0)))^(AE$4-INDEX('R&amp;B Inputs'!$I$22:$V$22,MATCH($D37,'R&amp;B Inputs'!$I$4:$V$4,0))),
IF(AF26="",AD37*(1+INDEX('R&amp;B Inputs'!$I$25:$V$25,MATCH($D37,'R&amp;B Inputs'!$I$4:$V$4,0))),AE26)),0)</f>
        <v>0</v>
      </c>
    </row>
    <row r="38" spans="2:31" x14ac:dyDescent="0.25">
      <c r="D38" s="39" t="s">
        <v>42</v>
      </c>
      <c r="E38" s="592">
        <f>IFERROR(IF(INDEX('R&amp;B Inputs'!$I$18:$V$18,MATCH($D38,'R&amp;B Inputs'!$I$4:$V$4,0))="Single Year",
INDEX('R&amp;B Inputs'!$I$21:$V$21,MATCH($D38,'R&amp;B Inputs'!$I$4:$V$4,0))*(1+INDEX('R&amp;B Inputs'!$I$23:$V$23,MATCH($D38,'R&amp;B Inputs'!$I$4:$V$4,0)))^(E$4-INDEX('R&amp;B Inputs'!$I$22:$V$22,MATCH($D38,'R&amp;B Inputs'!$I$4:$V$4,0))),
IF(F27="",D38*(1+INDEX('R&amp;B Inputs'!$I$25:$V$25,MATCH($D38,'R&amp;B Inputs'!$I$4:$V$4,0))),E27)),0)</f>
        <v>0</v>
      </c>
      <c r="F38" s="592">
        <f>IFERROR(IF(INDEX('R&amp;B Inputs'!$I$18:$V$18,MATCH($D38,'R&amp;B Inputs'!$I$4:$V$4,0))="Single Year",
INDEX('R&amp;B Inputs'!$I$21:$V$21,MATCH($D38,'R&amp;B Inputs'!$I$4:$V$4,0))*(1+INDEX('R&amp;B Inputs'!$I$23:$V$23,MATCH($D38,'R&amp;B Inputs'!$I$4:$V$4,0)))^(F$4-INDEX('R&amp;B Inputs'!$I$22:$V$22,MATCH($D38,'R&amp;B Inputs'!$I$4:$V$4,0))),
IF(G27="",E38*(1+INDEX('R&amp;B Inputs'!$I$25:$V$25,MATCH($D38,'R&amp;B Inputs'!$I$4:$V$4,0))),F27)),0)</f>
        <v>0</v>
      </c>
      <c r="G38" s="592">
        <f>IFERROR(IF(INDEX('R&amp;B Inputs'!$I$18:$V$18,MATCH($D38,'R&amp;B Inputs'!$I$4:$V$4,0))="Single Year",
INDEX('R&amp;B Inputs'!$I$21:$V$21,MATCH($D38,'R&amp;B Inputs'!$I$4:$V$4,0))*(1+INDEX('R&amp;B Inputs'!$I$23:$V$23,MATCH($D38,'R&amp;B Inputs'!$I$4:$V$4,0)))^(G$4-INDEX('R&amp;B Inputs'!$I$22:$V$22,MATCH($D38,'R&amp;B Inputs'!$I$4:$V$4,0))),
IF(H27="",F38*(1+INDEX('R&amp;B Inputs'!$I$25:$V$25,MATCH($D38,'R&amp;B Inputs'!$I$4:$V$4,0))),G27)),0)</f>
        <v>0</v>
      </c>
      <c r="H38" s="592">
        <f>IFERROR(IF(INDEX('R&amp;B Inputs'!$I$18:$V$18,MATCH($D38,'R&amp;B Inputs'!$I$4:$V$4,0))="Single Year",
INDEX('R&amp;B Inputs'!$I$21:$V$21,MATCH($D38,'R&amp;B Inputs'!$I$4:$V$4,0))*(1+INDEX('R&amp;B Inputs'!$I$23:$V$23,MATCH($D38,'R&amp;B Inputs'!$I$4:$V$4,0)))^(H$4-INDEX('R&amp;B Inputs'!$I$22:$V$22,MATCH($D38,'R&amp;B Inputs'!$I$4:$V$4,0))),
IF(I27="",G38*(1+INDEX('R&amp;B Inputs'!$I$25:$V$25,MATCH($D38,'R&amp;B Inputs'!$I$4:$V$4,0))),H27)),0)</f>
        <v>0</v>
      </c>
      <c r="I38" s="592">
        <f>IFERROR(IF(INDEX('R&amp;B Inputs'!$I$18:$V$18,MATCH($D38,'R&amp;B Inputs'!$I$4:$V$4,0))="Single Year",
INDEX('R&amp;B Inputs'!$I$21:$V$21,MATCH($D38,'R&amp;B Inputs'!$I$4:$V$4,0))*(1+INDEX('R&amp;B Inputs'!$I$23:$V$23,MATCH($D38,'R&amp;B Inputs'!$I$4:$V$4,0)))^(I$4-INDEX('R&amp;B Inputs'!$I$22:$V$22,MATCH($D38,'R&amp;B Inputs'!$I$4:$V$4,0))),
IF(J27="",H38*(1+INDEX('R&amp;B Inputs'!$I$25:$V$25,MATCH($D38,'R&amp;B Inputs'!$I$4:$V$4,0))),I27)),0)</f>
        <v>0</v>
      </c>
      <c r="J38" s="592">
        <f>IFERROR(IF(INDEX('R&amp;B Inputs'!$I$18:$V$18,MATCH($D38,'R&amp;B Inputs'!$I$4:$V$4,0))="Single Year",
INDEX('R&amp;B Inputs'!$I$21:$V$21,MATCH($D38,'R&amp;B Inputs'!$I$4:$V$4,0))*(1+INDEX('R&amp;B Inputs'!$I$23:$V$23,MATCH($D38,'R&amp;B Inputs'!$I$4:$V$4,0)))^(J$4-INDEX('R&amp;B Inputs'!$I$22:$V$22,MATCH($D38,'R&amp;B Inputs'!$I$4:$V$4,0))),
IF(K27="",I38*(1+INDEX('R&amp;B Inputs'!$I$25:$V$25,MATCH($D38,'R&amp;B Inputs'!$I$4:$V$4,0))),J27)),0)</f>
        <v>0</v>
      </c>
      <c r="K38" s="592">
        <f>IFERROR(IF(INDEX('R&amp;B Inputs'!$I$18:$V$18,MATCH($D38,'R&amp;B Inputs'!$I$4:$V$4,0))="Single Year",
INDEX('R&amp;B Inputs'!$I$21:$V$21,MATCH($D38,'R&amp;B Inputs'!$I$4:$V$4,0))*(1+INDEX('R&amp;B Inputs'!$I$23:$V$23,MATCH($D38,'R&amp;B Inputs'!$I$4:$V$4,0)))^(K$4-INDEX('R&amp;B Inputs'!$I$22:$V$22,MATCH($D38,'R&amp;B Inputs'!$I$4:$V$4,0))),
IF(L27="",J38*(1+INDEX('R&amp;B Inputs'!$I$25:$V$25,MATCH($D38,'R&amp;B Inputs'!$I$4:$V$4,0))),K27)),0)</f>
        <v>0</v>
      </c>
      <c r="L38" s="592">
        <f>IFERROR(IF(INDEX('R&amp;B Inputs'!$I$18:$V$18,MATCH($D38,'R&amp;B Inputs'!$I$4:$V$4,0))="Single Year",
INDEX('R&amp;B Inputs'!$I$21:$V$21,MATCH($D38,'R&amp;B Inputs'!$I$4:$V$4,0))*(1+INDEX('R&amp;B Inputs'!$I$23:$V$23,MATCH($D38,'R&amp;B Inputs'!$I$4:$V$4,0)))^(L$4-INDEX('R&amp;B Inputs'!$I$22:$V$22,MATCH($D38,'R&amp;B Inputs'!$I$4:$V$4,0))),
IF(M27="",K38*(1+INDEX('R&amp;B Inputs'!$I$25:$V$25,MATCH($D38,'R&amp;B Inputs'!$I$4:$V$4,0))),L27)),0)</f>
        <v>0</v>
      </c>
      <c r="M38" s="592">
        <f>IFERROR(IF(INDEX('R&amp;B Inputs'!$I$18:$V$18,MATCH($D38,'R&amp;B Inputs'!$I$4:$V$4,0))="Single Year",
INDEX('R&amp;B Inputs'!$I$21:$V$21,MATCH($D38,'R&amp;B Inputs'!$I$4:$V$4,0))*(1+INDEX('R&amp;B Inputs'!$I$23:$V$23,MATCH($D38,'R&amp;B Inputs'!$I$4:$V$4,0)))^(M$4-INDEX('R&amp;B Inputs'!$I$22:$V$22,MATCH($D38,'R&amp;B Inputs'!$I$4:$V$4,0))),
IF(N27="",L38*(1+INDEX('R&amp;B Inputs'!$I$25:$V$25,MATCH($D38,'R&amp;B Inputs'!$I$4:$V$4,0))),M27)),0)</f>
        <v>0</v>
      </c>
      <c r="N38" s="592">
        <f>IFERROR(IF(INDEX('R&amp;B Inputs'!$I$18:$V$18,MATCH($D38,'R&amp;B Inputs'!$I$4:$V$4,0))="Single Year",
INDEX('R&amp;B Inputs'!$I$21:$V$21,MATCH($D38,'R&amp;B Inputs'!$I$4:$V$4,0))*(1+INDEX('R&amp;B Inputs'!$I$23:$V$23,MATCH($D38,'R&amp;B Inputs'!$I$4:$V$4,0)))^(N$4-INDEX('R&amp;B Inputs'!$I$22:$V$22,MATCH($D38,'R&amp;B Inputs'!$I$4:$V$4,0))),
IF(O27="",M38*(1+INDEX('R&amp;B Inputs'!$I$25:$V$25,MATCH($D38,'R&amp;B Inputs'!$I$4:$V$4,0))),N27)),0)</f>
        <v>0</v>
      </c>
      <c r="O38" s="592">
        <f>IFERROR(IF(INDEX('R&amp;B Inputs'!$I$18:$V$18,MATCH($D38,'R&amp;B Inputs'!$I$4:$V$4,0))="Single Year",
INDEX('R&amp;B Inputs'!$I$21:$V$21,MATCH($D38,'R&amp;B Inputs'!$I$4:$V$4,0))*(1+INDEX('R&amp;B Inputs'!$I$23:$V$23,MATCH($D38,'R&amp;B Inputs'!$I$4:$V$4,0)))^(O$4-INDEX('R&amp;B Inputs'!$I$22:$V$22,MATCH($D38,'R&amp;B Inputs'!$I$4:$V$4,0))),
IF(P27="",N38*(1+INDEX('R&amp;B Inputs'!$I$25:$V$25,MATCH($D38,'R&amp;B Inputs'!$I$4:$V$4,0))),O27)),0)</f>
        <v>0</v>
      </c>
      <c r="P38" s="592">
        <f>IFERROR(IF(INDEX('R&amp;B Inputs'!$I$18:$V$18,MATCH($D38,'R&amp;B Inputs'!$I$4:$V$4,0))="Single Year",
INDEX('R&amp;B Inputs'!$I$21:$V$21,MATCH($D38,'R&amp;B Inputs'!$I$4:$V$4,0))*(1+INDEX('R&amp;B Inputs'!$I$23:$V$23,MATCH($D38,'R&amp;B Inputs'!$I$4:$V$4,0)))^(P$4-INDEX('R&amp;B Inputs'!$I$22:$V$22,MATCH($D38,'R&amp;B Inputs'!$I$4:$V$4,0))),
IF(Q27="",O38*(1+INDEX('R&amp;B Inputs'!$I$25:$V$25,MATCH($D38,'R&amp;B Inputs'!$I$4:$V$4,0))),P27)),0)</f>
        <v>0</v>
      </c>
      <c r="Q38" s="592">
        <f>IFERROR(IF(INDEX('R&amp;B Inputs'!$I$18:$V$18,MATCH($D38,'R&amp;B Inputs'!$I$4:$V$4,0))="Single Year",
INDEX('R&amp;B Inputs'!$I$21:$V$21,MATCH($D38,'R&amp;B Inputs'!$I$4:$V$4,0))*(1+INDEX('R&amp;B Inputs'!$I$23:$V$23,MATCH($D38,'R&amp;B Inputs'!$I$4:$V$4,0)))^(Q$4-INDEX('R&amp;B Inputs'!$I$22:$V$22,MATCH($D38,'R&amp;B Inputs'!$I$4:$V$4,0))),
IF(R27="",P38*(1+INDEX('R&amp;B Inputs'!$I$25:$V$25,MATCH($D38,'R&amp;B Inputs'!$I$4:$V$4,0))),Q27)),0)</f>
        <v>0</v>
      </c>
      <c r="R38" s="592">
        <f>IFERROR(IF(INDEX('R&amp;B Inputs'!$I$18:$V$18,MATCH($D38,'R&amp;B Inputs'!$I$4:$V$4,0))="Single Year",
INDEX('R&amp;B Inputs'!$I$21:$V$21,MATCH($D38,'R&amp;B Inputs'!$I$4:$V$4,0))*(1+INDEX('R&amp;B Inputs'!$I$23:$V$23,MATCH($D38,'R&amp;B Inputs'!$I$4:$V$4,0)))^(R$4-INDEX('R&amp;B Inputs'!$I$22:$V$22,MATCH($D38,'R&amp;B Inputs'!$I$4:$V$4,0))),
IF(S27="",Q38*(1+INDEX('R&amp;B Inputs'!$I$25:$V$25,MATCH($D38,'R&amp;B Inputs'!$I$4:$V$4,0))),R27)),0)</f>
        <v>0</v>
      </c>
      <c r="S38" s="592">
        <f>IFERROR(IF(INDEX('R&amp;B Inputs'!$I$18:$V$18,MATCH($D38,'R&amp;B Inputs'!$I$4:$V$4,0))="Single Year",
INDEX('R&amp;B Inputs'!$I$21:$V$21,MATCH($D38,'R&amp;B Inputs'!$I$4:$V$4,0))*(1+INDEX('R&amp;B Inputs'!$I$23:$V$23,MATCH($D38,'R&amp;B Inputs'!$I$4:$V$4,0)))^(S$4-INDEX('R&amp;B Inputs'!$I$22:$V$22,MATCH($D38,'R&amp;B Inputs'!$I$4:$V$4,0))),
IF(T27="",R38*(1+INDEX('R&amp;B Inputs'!$I$25:$V$25,MATCH($D38,'R&amp;B Inputs'!$I$4:$V$4,0))),S27)),0)</f>
        <v>0</v>
      </c>
      <c r="T38" s="592">
        <f>IFERROR(IF(INDEX('R&amp;B Inputs'!$I$18:$V$18,MATCH($D38,'R&amp;B Inputs'!$I$4:$V$4,0))="Single Year",
INDEX('R&amp;B Inputs'!$I$21:$V$21,MATCH($D38,'R&amp;B Inputs'!$I$4:$V$4,0))*(1+INDEX('R&amp;B Inputs'!$I$23:$V$23,MATCH($D38,'R&amp;B Inputs'!$I$4:$V$4,0)))^(T$4-INDEX('R&amp;B Inputs'!$I$22:$V$22,MATCH($D38,'R&amp;B Inputs'!$I$4:$V$4,0))),
IF(U27="",S38*(1+INDEX('R&amp;B Inputs'!$I$25:$V$25,MATCH($D38,'R&amp;B Inputs'!$I$4:$V$4,0))),T27)),0)</f>
        <v>0</v>
      </c>
      <c r="U38" s="592">
        <f>IFERROR(IF(INDEX('R&amp;B Inputs'!$I$18:$V$18,MATCH($D38,'R&amp;B Inputs'!$I$4:$V$4,0))="Single Year",
INDEX('R&amp;B Inputs'!$I$21:$V$21,MATCH($D38,'R&amp;B Inputs'!$I$4:$V$4,0))*(1+INDEX('R&amp;B Inputs'!$I$23:$V$23,MATCH($D38,'R&amp;B Inputs'!$I$4:$V$4,0)))^(U$4-INDEX('R&amp;B Inputs'!$I$22:$V$22,MATCH($D38,'R&amp;B Inputs'!$I$4:$V$4,0))),
IF(V27="",T38*(1+INDEX('R&amp;B Inputs'!$I$25:$V$25,MATCH($D38,'R&amp;B Inputs'!$I$4:$V$4,0))),U27)),0)</f>
        <v>0</v>
      </c>
      <c r="V38" s="592">
        <f>IFERROR(IF(INDEX('R&amp;B Inputs'!$I$18:$V$18,MATCH($D38,'R&amp;B Inputs'!$I$4:$V$4,0))="Single Year",
INDEX('R&amp;B Inputs'!$I$21:$V$21,MATCH($D38,'R&amp;B Inputs'!$I$4:$V$4,0))*(1+INDEX('R&amp;B Inputs'!$I$23:$V$23,MATCH($D38,'R&amp;B Inputs'!$I$4:$V$4,0)))^(V$4-INDEX('R&amp;B Inputs'!$I$22:$V$22,MATCH($D38,'R&amp;B Inputs'!$I$4:$V$4,0))),
IF(W27="",U38*(1+INDEX('R&amp;B Inputs'!$I$25:$V$25,MATCH($D38,'R&amp;B Inputs'!$I$4:$V$4,0))),V27)),0)</f>
        <v>0</v>
      </c>
      <c r="W38" s="592">
        <f>IFERROR(IF(INDEX('R&amp;B Inputs'!$I$18:$V$18,MATCH($D38,'R&amp;B Inputs'!$I$4:$V$4,0))="Single Year",
INDEX('R&amp;B Inputs'!$I$21:$V$21,MATCH($D38,'R&amp;B Inputs'!$I$4:$V$4,0))*(1+INDEX('R&amp;B Inputs'!$I$23:$V$23,MATCH($D38,'R&amp;B Inputs'!$I$4:$V$4,0)))^(W$4-INDEX('R&amp;B Inputs'!$I$22:$V$22,MATCH($D38,'R&amp;B Inputs'!$I$4:$V$4,0))),
IF(X27="",V38*(1+INDEX('R&amp;B Inputs'!$I$25:$V$25,MATCH($D38,'R&amp;B Inputs'!$I$4:$V$4,0))),W27)),0)</f>
        <v>0</v>
      </c>
      <c r="X38" s="592">
        <f>IFERROR(IF(INDEX('R&amp;B Inputs'!$I$18:$V$18,MATCH($D38,'R&amp;B Inputs'!$I$4:$V$4,0))="Single Year",
INDEX('R&amp;B Inputs'!$I$21:$V$21,MATCH($D38,'R&amp;B Inputs'!$I$4:$V$4,0))*(1+INDEX('R&amp;B Inputs'!$I$23:$V$23,MATCH($D38,'R&amp;B Inputs'!$I$4:$V$4,0)))^(X$4-INDEX('R&amp;B Inputs'!$I$22:$V$22,MATCH($D38,'R&amp;B Inputs'!$I$4:$V$4,0))),
IF(Y27="",W38*(1+INDEX('R&amp;B Inputs'!$I$25:$V$25,MATCH($D38,'R&amp;B Inputs'!$I$4:$V$4,0))),X27)),0)</f>
        <v>0</v>
      </c>
      <c r="Y38" s="592">
        <f>IFERROR(IF(INDEX('R&amp;B Inputs'!$I$18:$V$18,MATCH($D38,'R&amp;B Inputs'!$I$4:$V$4,0))="Single Year",
INDEX('R&amp;B Inputs'!$I$21:$V$21,MATCH($D38,'R&amp;B Inputs'!$I$4:$V$4,0))*(1+INDEX('R&amp;B Inputs'!$I$23:$V$23,MATCH($D38,'R&amp;B Inputs'!$I$4:$V$4,0)))^(Y$4-INDEX('R&amp;B Inputs'!$I$22:$V$22,MATCH($D38,'R&amp;B Inputs'!$I$4:$V$4,0))),
IF(Z27="",X38*(1+INDEX('R&amp;B Inputs'!$I$25:$V$25,MATCH($D38,'R&amp;B Inputs'!$I$4:$V$4,0))),Y27)),0)</f>
        <v>0</v>
      </c>
      <c r="Z38" s="592">
        <f>IFERROR(IF(INDEX('R&amp;B Inputs'!$I$18:$V$18,MATCH($D38,'R&amp;B Inputs'!$I$4:$V$4,0))="Single Year",
INDEX('R&amp;B Inputs'!$I$21:$V$21,MATCH($D38,'R&amp;B Inputs'!$I$4:$V$4,0))*(1+INDEX('R&amp;B Inputs'!$I$23:$V$23,MATCH($D38,'R&amp;B Inputs'!$I$4:$V$4,0)))^(Z$4-INDEX('R&amp;B Inputs'!$I$22:$V$22,MATCH($D38,'R&amp;B Inputs'!$I$4:$V$4,0))),
IF(AA27="",Y38*(1+INDEX('R&amp;B Inputs'!$I$25:$V$25,MATCH($D38,'R&amp;B Inputs'!$I$4:$V$4,0))),Z27)),0)</f>
        <v>0</v>
      </c>
      <c r="AA38" s="592">
        <f>IFERROR(IF(INDEX('R&amp;B Inputs'!$I$18:$V$18,MATCH($D38,'R&amp;B Inputs'!$I$4:$V$4,0))="Single Year",
INDEX('R&amp;B Inputs'!$I$21:$V$21,MATCH($D38,'R&amp;B Inputs'!$I$4:$V$4,0))*(1+INDEX('R&amp;B Inputs'!$I$23:$V$23,MATCH($D38,'R&amp;B Inputs'!$I$4:$V$4,0)))^(AA$4-INDEX('R&amp;B Inputs'!$I$22:$V$22,MATCH($D38,'R&amp;B Inputs'!$I$4:$V$4,0))),
IF(AB27="",Z38*(1+INDEX('R&amp;B Inputs'!$I$25:$V$25,MATCH($D38,'R&amp;B Inputs'!$I$4:$V$4,0))),AA27)),0)</f>
        <v>0</v>
      </c>
      <c r="AB38" s="592">
        <f>IFERROR(IF(INDEX('R&amp;B Inputs'!$I$18:$V$18,MATCH($D38,'R&amp;B Inputs'!$I$4:$V$4,0))="Single Year",
INDEX('R&amp;B Inputs'!$I$21:$V$21,MATCH($D38,'R&amp;B Inputs'!$I$4:$V$4,0))*(1+INDEX('R&amp;B Inputs'!$I$23:$V$23,MATCH($D38,'R&amp;B Inputs'!$I$4:$V$4,0)))^(AB$4-INDEX('R&amp;B Inputs'!$I$22:$V$22,MATCH($D38,'R&amp;B Inputs'!$I$4:$V$4,0))),
IF(AC27="",AA38*(1+INDEX('R&amp;B Inputs'!$I$25:$V$25,MATCH($D38,'R&amp;B Inputs'!$I$4:$V$4,0))),AB27)),0)</f>
        <v>0</v>
      </c>
      <c r="AC38" s="592">
        <f>IFERROR(IF(INDEX('R&amp;B Inputs'!$I$18:$V$18,MATCH($D38,'R&amp;B Inputs'!$I$4:$V$4,0))="Single Year",
INDEX('R&amp;B Inputs'!$I$21:$V$21,MATCH($D38,'R&amp;B Inputs'!$I$4:$V$4,0))*(1+INDEX('R&amp;B Inputs'!$I$23:$V$23,MATCH($D38,'R&amp;B Inputs'!$I$4:$V$4,0)))^(AC$4-INDEX('R&amp;B Inputs'!$I$22:$V$22,MATCH($D38,'R&amp;B Inputs'!$I$4:$V$4,0))),
IF(AD27="",AB38*(1+INDEX('R&amp;B Inputs'!$I$25:$V$25,MATCH($D38,'R&amp;B Inputs'!$I$4:$V$4,0))),AC27)),0)</f>
        <v>0</v>
      </c>
      <c r="AD38" s="592">
        <f>IFERROR(IF(INDEX('R&amp;B Inputs'!$I$18:$V$18,MATCH($D38,'R&amp;B Inputs'!$I$4:$V$4,0))="Single Year",
INDEX('R&amp;B Inputs'!$I$21:$V$21,MATCH($D38,'R&amp;B Inputs'!$I$4:$V$4,0))*(1+INDEX('R&amp;B Inputs'!$I$23:$V$23,MATCH($D38,'R&amp;B Inputs'!$I$4:$V$4,0)))^(AD$4-INDEX('R&amp;B Inputs'!$I$22:$V$22,MATCH($D38,'R&amp;B Inputs'!$I$4:$V$4,0))),
IF(AE27="",AC38*(1+INDEX('R&amp;B Inputs'!$I$25:$V$25,MATCH($D38,'R&amp;B Inputs'!$I$4:$V$4,0))),AD27)),0)</f>
        <v>0</v>
      </c>
      <c r="AE38" s="592">
        <f>IFERROR(IF(INDEX('R&amp;B Inputs'!$I$18:$V$18,MATCH($D38,'R&amp;B Inputs'!$I$4:$V$4,0))="Single Year",
INDEX('R&amp;B Inputs'!$I$21:$V$21,MATCH($D38,'R&amp;B Inputs'!$I$4:$V$4,0))*(1+INDEX('R&amp;B Inputs'!$I$23:$V$23,MATCH($D38,'R&amp;B Inputs'!$I$4:$V$4,0)))^(AE$4-INDEX('R&amp;B Inputs'!$I$22:$V$22,MATCH($D38,'R&amp;B Inputs'!$I$4:$V$4,0))),
IF(AF27="",AD38*(1+INDEX('R&amp;B Inputs'!$I$25:$V$25,MATCH($D38,'R&amp;B Inputs'!$I$4:$V$4,0))),AE27)),0)</f>
        <v>0</v>
      </c>
    </row>
    <row r="39" spans="2:31" s="5" customFormat="1" x14ac:dyDescent="0.25">
      <c r="D39" s="39" t="s">
        <v>43</v>
      </c>
      <c r="E39" s="592">
        <f>IFERROR(IF(INDEX('R&amp;B Inputs'!$I$18:$V$18,MATCH($D39,'R&amp;B Inputs'!$I$4:$V$4,0))="Single Year",
INDEX('R&amp;B Inputs'!$I$21:$V$21,MATCH($D39,'R&amp;B Inputs'!$I$4:$V$4,0))*(1+INDEX('R&amp;B Inputs'!$I$23:$V$23,MATCH($D39,'R&amp;B Inputs'!$I$4:$V$4,0)))^(E$4-INDEX('R&amp;B Inputs'!$I$22:$V$22,MATCH($D39,'R&amp;B Inputs'!$I$4:$V$4,0))),
IF(F28="",D39*(1+INDEX('R&amp;B Inputs'!$I$25:$V$25,MATCH($D39,'R&amp;B Inputs'!$I$4:$V$4,0))),E28)),0)</f>
        <v>0</v>
      </c>
      <c r="F39" s="592">
        <f>IFERROR(IF(INDEX('R&amp;B Inputs'!$I$18:$V$18,MATCH($D39,'R&amp;B Inputs'!$I$4:$V$4,0))="Single Year",
INDEX('R&amp;B Inputs'!$I$21:$V$21,MATCH($D39,'R&amp;B Inputs'!$I$4:$V$4,0))*(1+INDEX('R&amp;B Inputs'!$I$23:$V$23,MATCH($D39,'R&amp;B Inputs'!$I$4:$V$4,0)))^(F$4-INDEX('R&amp;B Inputs'!$I$22:$V$22,MATCH($D39,'R&amp;B Inputs'!$I$4:$V$4,0))),
IF(G28="",E39*(1+INDEX('R&amp;B Inputs'!$I$25:$V$25,MATCH($D39,'R&amp;B Inputs'!$I$4:$V$4,0))),F28)),0)</f>
        <v>0</v>
      </c>
      <c r="G39" s="592">
        <f>IFERROR(IF(INDEX('R&amp;B Inputs'!$I$18:$V$18,MATCH($D39,'R&amp;B Inputs'!$I$4:$V$4,0))="Single Year",
INDEX('R&amp;B Inputs'!$I$21:$V$21,MATCH($D39,'R&amp;B Inputs'!$I$4:$V$4,0))*(1+INDEX('R&amp;B Inputs'!$I$23:$V$23,MATCH($D39,'R&amp;B Inputs'!$I$4:$V$4,0)))^(G$4-INDEX('R&amp;B Inputs'!$I$22:$V$22,MATCH($D39,'R&amp;B Inputs'!$I$4:$V$4,0))),
IF(H28="",F39*(1+INDEX('R&amp;B Inputs'!$I$25:$V$25,MATCH($D39,'R&amp;B Inputs'!$I$4:$V$4,0))),G28)),0)</f>
        <v>0</v>
      </c>
      <c r="H39" s="592">
        <f>IFERROR(IF(INDEX('R&amp;B Inputs'!$I$18:$V$18,MATCH($D39,'R&amp;B Inputs'!$I$4:$V$4,0))="Single Year",
INDEX('R&amp;B Inputs'!$I$21:$V$21,MATCH($D39,'R&amp;B Inputs'!$I$4:$V$4,0))*(1+INDEX('R&amp;B Inputs'!$I$23:$V$23,MATCH($D39,'R&amp;B Inputs'!$I$4:$V$4,0)))^(H$4-INDEX('R&amp;B Inputs'!$I$22:$V$22,MATCH($D39,'R&amp;B Inputs'!$I$4:$V$4,0))),
IF(I28="",G39*(1+INDEX('R&amp;B Inputs'!$I$25:$V$25,MATCH($D39,'R&amp;B Inputs'!$I$4:$V$4,0))),H28)),0)</f>
        <v>0</v>
      </c>
      <c r="I39" s="592">
        <f>IFERROR(IF(INDEX('R&amp;B Inputs'!$I$18:$V$18,MATCH($D39,'R&amp;B Inputs'!$I$4:$V$4,0))="Single Year",
INDEX('R&amp;B Inputs'!$I$21:$V$21,MATCH($D39,'R&amp;B Inputs'!$I$4:$V$4,0))*(1+INDEX('R&amp;B Inputs'!$I$23:$V$23,MATCH($D39,'R&amp;B Inputs'!$I$4:$V$4,0)))^(I$4-INDEX('R&amp;B Inputs'!$I$22:$V$22,MATCH($D39,'R&amp;B Inputs'!$I$4:$V$4,0))),
IF(J28="",H39*(1+INDEX('R&amp;B Inputs'!$I$25:$V$25,MATCH($D39,'R&amp;B Inputs'!$I$4:$V$4,0))),I28)),0)</f>
        <v>0</v>
      </c>
      <c r="J39" s="592">
        <f>IFERROR(IF(INDEX('R&amp;B Inputs'!$I$18:$V$18,MATCH($D39,'R&amp;B Inputs'!$I$4:$V$4,0))="Single Year",
INDEX('R&amp;B Inputs'!$I$21:$V$21,MATCH($D39,'R&amp;B Inputs'!$I$4:$V$4,0))*(1+INDEX('R&amp;B Inputs'!$I$23:$V$23,MATCH($D39,'R&amp;B Inputs'!$I$4:$V$4,0)))^(J$4-INDEX('R&amp;B Inputs'!$I$22:$V$22,MATCH($D39,'R&amp;B Inputs'!$I$4:$V$4,0))),
IF(K28="",I39*(1+INDEX('R&amp;B Inputs'!$I$25:$V$25,MATCH($D39,'R&amp;B Inputs'!$I$4:$V$4,0))),J28)),0)</f>
        <v>0</v>
      </c>
      <c r="K39" s="592">
        <f>IFERROR(IF(INDEX('R&amp;B Inputs'!$I$18:$V$18,MATCH($D39,'R&amp;B Inputs'!$I$4:$V$4,0))="Single Year",
INDEX('R&amp;B Inputs'!$I$21:$V$21,MATCH($D39,'R&amp;B Inputs'!$I$4:$V$4,0))*(1+INDEX('R&amp;B Inputs'!$I$23:$V$23,MATCH($D39,'R&amp;B Inputs'!$I$4:$V$4,0)))^(K$4-INDEX('R&amp;B Inputs'!$I$22:$V$22,MATCH($D39,'R&amp;B Inputs'!$I$4:$V$4,0))),
IF(L28="",J39*(1+INDEX('R&amp;B Inputs'!$I$25:$V$25,MATCH($D39,'R&amp;B Inputs'!$I$4:$V$4,0))),K28)),0)</f>
        <v>0</v>
      </c>
      <c r="L39" s="592">
        <f>IFERROR(IF(INDEX('R&amp;B Inputs'!$I$18:$V$18,MATCH($D39,'R&amp;B Inputs'!$I$4:$V$4,0))="Single Year",
INDEX('R&amp;B Inputs'!$I$21:$V$21,MATCH($D39,'R&amp;B Inputs'!$I$4:$V$4,0))*(1+INDEX('R&amp;B Inputs'!$I$23:$V$23,MATCH($D39,'R&amp;B Inputs'!$I$4:$V$4,0)))^(L$4-INDEX('R&amp;B Inputs'!$I$22:$V$22,MATCH($D39,'R&amp;B Inputs'!$I$4:$V$4,0))),
IF(M28="",K39*(1+INDEX('R&amp;B Inputs'!$I$25:$V$25,MATCH($D39,'R&amp;B Inputs'!$I$4:$V$4,0))),L28)),0)</f>
        <v>0</v>
      </c>
      <c r="M39" s="592">
        <f>IFERROR(IF(INDEX('R&amp;B Inputs'!$I$18:$V$18,MATCH($D39,'R&amp;B Inputs'!$I$4:$V$4,0))="Single Year",
INDEX('R&amp;B Inputs'!$I$21:$V$21,MATCH($D39,'R&amp;B Inputs'!$I$4:$V$4,0))*(1+INDEX('R&amp;B Inputs'!$I$23:$V$23,MATCH($D39,'R&amp;B Inputs'!$I$4:$V$4,0)))^(M$4-INDEX('R&amp;B Inputs'!$I$22:$V$22,MATCH($D39,'R&amp;B Inputs'!$I$4:$V$4,0))),
IF(N28="",L39*(1+INDEX('R&amp;B Inputs'!$I$25:$V$25,MATCH($D39,'R&amp;B Inputs'!$I$4:$V$4,0))),M28)),0)</f>
        <v>0</v>
      </c>
      <c r="N39" s="592">
        <f>IFERROR(IF(INDEX('R&amp;B Inputs'!$I$18:$V$18,MATCH($D39,'R&amp;B Inputs'!$I$4:$V$4,0))="Single Year",
INDEX('R&amp;B Inputs'!$I$21:$V$21,MATCH($D39,'R&amp;B Inputs'!$I$4:$V$4,0))*(1+INDEX('R&amp;B Inputs'!$I$23:$V$23,MATCH($D39,'R&amp;B Inputs'!$I$4:$V$4,0)))^(N$4-INDEX('R&amp;B Inputs'!$I$22:$V$22,MATCH($D39,'R&amp;B Inputs'!$I$4:$V$4,0))),
IF(O28="",M39*(1+INDEX('R&amp;B Inputs'!$I$25:$V$25,MATCH($D39,'R&amp;B Inputs'!$I$4:$V$4,0))),N28)),0)</f>
        <v>0</v>
      </c>
      <c r="O39" s="592">
        <f>IFERROR(IF(INDEX('R&amp;B Inputs'!$I$18:$V$18,MATCH($D39,'R&amp;B Inputs'!$I$4:$V$4,0))="Single Year",
INDEX('R&amp;B Inputs'!$I$21:$V$21,MATCH($D39,'R&amp;B Inputs'!$I$4:$V$4,0))*(1+INDEX('R&amp;B Inputs'!$I$23:$V$23,MATCH($D39,'R&amp;B Inputs'!$I$4:$V$4,0)))^(O$4-INDEX('R&amp;B Inputs'!$I$22:$V$22,MATCH($D39,'R&amp;B Inputs'!$I$4:$V$4,0))),
IF(P28="",N39*(1+INDEX('R&amp;B Inputs'!$I$25:$V$25,MATCH($D39,'R&amp;B Inputs'!$I$4:$V$4,0))),O28)),0)</f>
        <v>0</v>
      </c>
      <c r="P39" s="592">
        <f>IFERROR(IF(INDEX('R&amp;B Inputs'!$I$18:$V$18,MATCH($D39,'R&amp;B Inputs'!$I$4:$V$4,0))="Single Year",
INDEX('R&amp;B Inputs'!$I$21:$V$21,MATCH($D39,'R&amp;B Inputs'!$I$4:$V$4,0))*(1+INDEX('R&amp;B Inputs'!$I$23:$V$23,MATCH($D39,'R&amp;B Inputs'!$I$4:$V$4,0)))^(P$4-INDEX('R&amp;B Inputs'!$I$22:$V$22,MATCH($D39,'R&amp;B Inputs'!$I$4:$V$4,0))),
IF(Q28="",O39*(1+INDEX('R&amp;B Inputs'!$I$25:$V$25,MATCH($D39,'R&amp;B Inputs'!$I$4:$V$4,0))),P28)),0)</f>
        <v>0</v>
      </c>
      <c r="Q39" s="592">
        <f>IFERROR(IF(INDEX('R&amp;B Inputs'!$I$18:$V$18,MATCH($D39,'R&amp;B Inputs'!$I$4:$V$4,0))="Single Year",
INDEX('R&amp;B Inputs'!$I$21:$V$21,MATCH($D39,'R&amp;B Inputs'!$I$4:$V$4,0))*(1+INDEX('R&amp;B Inputs'!$I$23:$V$23,MATCH($D39,'R&amp;B Inputs'!$I$4:$V$4,0)))^(Q$4-INDEX('R&amp;B Inputs'!$I$22:$V$22,MATCH($D39,'R&amp;B Inputs'!$I$4:$V$4,0))),
IF(R28="",P39*(1+INDEX('R&amp;B Inputs'!$I$25:$V$25,MATCH($D39,'R&amp;B Inputs'!$I$4:$V$4,0))),Q28)),0)</f>
        <v>0</v>
      </c>
      <c r="R39" s="592">
        <f>IFERROR(IF(INDEX('R&amp;B Inputs'!$I$18:$V$18,MATCH($D39,'R&amp;B Inputs'!$I$4:$V$4,0))="Single Year",
INDEX('R&amp;B Inputs'!$I$21:$V$21,MATCH($D39,'R&amp;B Inputs'!$I$4:$V$4,0))*(1+INDEX('R&amp;B Inputs'!$I$23:$V$23,MATCH($D39,'R&amp;B Inputs'!$I$4:$V$4,0)))^(R$4-INDEX('R&amp;B Inputs'!$I$22:$V$22,MATCH($D39,'R&amp;B Inputs'!$I$4:$V$4,0))),
IF(S28="",Q39*(1+INDEX('R&amp;B Inputs'!$I$25:$V$25,MATCH($D39,'R&amp;B Inputs'!$I$4:$V$4,0))),R28)),0)</f>
        <v>0</v>
      </c>
      <c r="S39" s="592">
        <f>IFERROR(IF(INDEX('R&amp;B Inputs'!$I$18:$V$18,MATCH($D39,'R&amp;B Inputs'!$I$4:$V$4,0))="Single Year",
INDEX('R&amp;B Inputs'!$I$21:$V$21,MATCH($D39,'R&amp;B Inputs'!$I$4:$V$4,0))*(1+INDEX('R&amp;B Inputs'!$I$23:$V$23,MATCH($D39,'R&amp;B Inputs'!$I$4:$V$4,0)))^(S$4-INDEX('R&amp;B Inputs'!$I$22:$V$22,MATCH($D39,'R&amp;B Inputs'!$I$4:$V$4,0))),
IF(T28="",R39*(1+INDEX('R&amp;B Inputs'!$I$25:$V$25,MATCH($D39,'R&amp;B Inputs'!$I$4:$V$4,0))),S28)),0)</f>
        <v>0</v>
      </c>
      <c r="T39" s="592">
        <f>IFERROR(IF(INDEX('R&amp;B Inputs'!$I$18:$V$18,MATCH($D39,'R&amp;B Inputs'!$I$4:$V$4,0))="Single Year",
INDEX('R&amp;B Inputs'!$I$21:$V$21,MATCH($D39,'R&amp;B Inputs'!$I$4:$V$4,0))*(1+INDEX('R&amp;B Inputs'!$I$23:$V$23,MATCH($D39,'R&amp;B Inputs'!$I$4:$V$4,0)))^(T$4-INDEX('R&amp;B Inputs'!$I$22:$V$22,MATCH($D39,'R&amp;B Inputs'!$I$4:$V$4,0))),
IF(U28="",S39*(1+INDEX('R&amp;B Inputs'!$I$25:$V$25,MATCH($D39,'R&amp;B Inputs'!$I$4:$V$4,0))),T28)),0)</f>
        <v>0</v>
      </c>
      <c r="U39" s="592">
        <f>IFERROR(IF(INDEX('R&amp;B Inputs'!$I$18:$V$18,MATCH($D39,'R&amp;B Inputs'!$I$4:$V$4,0))="Single Year",
INDEX('R&amp;B Inputs'!$I$21:$V$21,MATCH($D39,'R&amp;B Inputs'!$I$4:$V$4,0))*(1+INDEX('R&amp;B Inputs'!$I$23:$V$23,MATCH($D39,'R&amp;B Inputs'!$I$4:$V$4,0)))^(U$4-INDEX('R&amp;B Inputs'!$I$22:$V$22,MATCH($D39,'R&amp;B Inputs'!$I$4:$V$4,0))),
IF(V28="",T39*(1+INDEX('R&amp;B Inputs'!$I$25:$V$25,MATCH($D39,'R&amp;B Inputs'!$I$4:$V$4,0))),U28)),0)</f>
        <v>0</v>
      </c>
      <c r="V39" s="592">
        <f>IFERROR(IF(INDEX('R&amp;B Inputs'!$I$18:$V$18,MATCH($D39,'R&amp;B Inputs'!$I$4:$V$4,0))="Single Year",
INDEX('R&amp;B Inputs'!$I$21:$V$21,MATCH($D39,'R&amp;B Inputs'!$I$4:$V$4,0))*(1+INDEX('R&amp;B Inputs'!$I$23:$V$23,MATCH($D39,'R&amp;B Inputs'!$I$4:$V$4,0)))^(V$4-INDEX('R&amp;B Inputs'!$I$22:$V$22,MATCH($D39,'R&amp;B Inputs'!$I$4:$V$4,0))),
IF(W28="",U39*(1+INDEX('R&amp;B Inputs'!$I$25:$V$25,MATCH($D39,'R&amp;B Inputs'!$I$4:$V$4,0))),V28)),0)</f>
        <v>0</v>
      </c>
      <c r="W39" s="592">
        <f>IFERROR(IF(INDEX('R&amp;B Inputs'!$I$18:$V$18,MATCH($D39,'R&amp;B Inputs'!$I$4:$V$4,0))="Single Year",
INDEX('R&amp;B Inputs'!$I$21:$V$21,MATCH($D39,'R&amp;B Inputs'!$I$4:$V$4,0))*(1+INDEX('R&amp;B Inputs'!$I$23:$V$23,MATCH($D39,'R&amp;B Inputs'!$I$4:$V$4,0)))^(W$4-INDEX('R&amp;B Inputs'!$I$22:$V$22,MATCH($D39,'R&amp;B Inputs'!$I$4:$V$4,0))),
IF(X28="",V39*(1+INDEX('R&amp;B Inputs'!$I$25:$V$25,MATCH($D39,'R&amp;B Inputs'!$I$4:$V$4,0))),W28)),0)</f>
        <v>0</v>
      </c>
      <c r="X39" s="592">
        <f>IFERROR(IF(INDEX('R&amp;B Inputs'!$I$18:$V$18,MATCH($D39,'R&amp;B Inputs'!$I$4:$V$4,0))="Single Year",
INDEX('R&amp;B Inputs'!$I$21:$V$21,MATCH($D39,'R&amp;B Inputs'!$I$4:$V$4,0))*(1+INDEX('R&amp;B Inputs'!$I$23:$V$23,MATCH($D39,'R&amp;B Inputs'!$I$4:$V$4,0)))^(X$4-INDEX('R&amp;B Inputs'!$I$22:$V$22,MATCH($D39,'R&amp;B Inputs'!$I$4:$V$4,0))),
IF(Y28="",W39*(1+INDEX('R&amp;B Inputs'!$I$25:$V$25,MATCH($D39,'R&amp;B Inputs'!$I$4:$V$4,0))),X28)),0)</f>
        <v>0</v>
      </c>
      <c r="Y39" s="592">
        <f>IFERROR(IF(INDEX('R&amp;B Inputs'!$I$18:$V$18,MATCH($D39,'R&amp;B Inputs'!$I$4:$V$4,0))="Single Year",
INDEX('R&amp;B Inputs'!$I$21:$V$21,MATCH($D39,'R&amp;B Inputs'!$I$4:$V$4,0))*(1+INDEX('R&amp;B Inputs'!$I$23:$V$23,MATCH($D39,'R&amp;B Inputs'!$I$4:$V$4,0)))^(Y$4-INDEX('R&amp;B Inputs'!$I$22:$V$22,MATCH($D39,'R&amp;B Inputs'!$I$4:$V$4,0))),
IF(Z28="",X39*(1+INDEX('R&amp;B Inputs'!$I$25:$V$25,MATCH($D39,'R&amp;B Inputs'!$I$4:$V$4,0))),Y28)),0)</f>
        <v>0</v>
      </c>
      <c r="Z39" s="592">
        <f>IFERROR(IF(INDEX('R&amp;B Inputs'!$I$18:$V$18,MATCH($D39,'R&amp;B Inputs'!$I$4:$V$4,0))="Single Year",
INDEX('R&amp;B Inputs'!$I$21:$V$21,MATCH($D39,'R&amp;B Inputs'!$I$4:$V$4,0))*(1+INDEX('R&amp;B Inputs'!$I$23:$V$23,MATCH($D39,'R&amp;B Inputs'!$I$4:$V$4,0)))^(Z$4-INDEX('R&amp;B Inputs'!$I$22:$V$22,MATCH($D39,'R&amp;B Inputs'!$I$4:$V$4,0))),
IF(AA28="",Y39*(1+INDEX('R&amp;B Inputs'!$I$25:$V$25,MATCH($D39,'R&amp;B Inputs'!$I$4:$V$4,0))),Z28)),0)</f>
        <v>0</v>
      </c>
      <c r="AA39" s="592">
        <f>IFERROR(IF(INDEX('R&amp;B Inputs'!$I$18:$V$18,MATCH($D39,'R&amp;B Inputs'!$I$4:$V$4,0))="Single Year",
INDEX('R&amp;B Inputs'!$I$21:$V$21,MATCH($D39,'R&amp;B Inputs'!$I$4:$V$4,0))*(1+INDEX('R&amp;B Inputs'!$I$23:$V$23,MATCH($D39,'R&amp;B Inputs'!$I$4:$V$4,0)))^(AA$4-INDEX('R&amp;B Inputs'!$I$22:$V$22,MATCH($D39,'R&amp;B Inputs'!$I$4:$V$4,0))),
IF(AB28="",Z39*(1+INDEX('R&amp;B Inputs'!$I$25:$V$25,MATCH($D39,'R&amp;B Inputs'!$I$4:$V$4,0))),AA28)),0)</f>
        <v>0</v>
      </c>
      <c r="AB39" s="592">
        <f>IFERROR(IF(INDEX('R&amp;B Inputs'!$I$18:$V$18,MATCH($D39,'R&amp;B Inputs'!$I$4:$V$4,0))="Single Year",
INDEX('R&amp;B Inputs'!$I$21:$V$21,MATCH($D39,'R&amp;B Inputs'!$I$4:$V$4,0))*(1+INDEX('R&amp;B Inputs'!$I$23:$V$23,MATCH($D39,'R&amp;B Inputs'!$I$4:$V$4,0)))^(AB$4-INDEX('R&amp;B Inputs'!$I$22:$V$22,MATCH($D39,'R&amp;B Inputs'!$I$4:$V$4,0))),
IF(AC28="",AA39*(1+INDEX('R&amp;B Inputs'!$I$25:$V$25,MATCH($D39,'R&amp;B Inputs'!$I$4:$V$4,0))),AB28)),0)</f>
        <v>0</v>
      </c>
      <c r="AC39" s="592">
        <f>IFERROR(IF(INDEX('R&amp;B Inputs'!$I$18:$V$18,MATCH($D39,'R&amp;B Inputs'!$I$4:$V$4,0))="Single Year",
INDEX('R&amp;B Inputs'!$I$21:$V$21,MATCH($D39,'R&amp;B Inputs'!$I$4:$V$4,0))*(1+INDEX('R&amp;B Inputs'!$I$23:$V$23,MATCH($D39,'R&amp;B Inputs'!$I$4:$V$4,0)))^(AC$4-INDEX('R&amp;B Inputs'!$I$22:$V$22,MATCH($D39,'R&amp;B Inputs'!$I$4:$V$4,0))),
IF(AD28="",AB39*(1+INDEX('R&amp;B Inputs'!$I$25:$V$25,MATCH($D39,'R&amp;B Inputs'!$I$4:$V$4,0))),AC28)),0)</f>
        <v>0</v>
      </c>
      <c r="AD39" s="592">
        <f>IFERROR(IF(INDEX('R&amp;B Inputs'!$I$18:$V$18,MATCH($D39,'R&amp;B Inputs'!$I$4:$V$4,0))="Single Year",
INDEX('R&amp;B Inputs'!$I$21:$V$21,MATCH($D39,'R&amp;B Inputs'!$I$4:$V$4,0))*(1+INDEX('R&amp;B Inputs'!$I$23:$V$23,MATCH($D39,'R&amp;B Inputs'!$I$4:$V$4,0)))^(AD$4-INDEX('R&amp;B Inputs'!$I$22:$V$22,MATCH($D39,'R&amp;B Inputs'!$I$4:$V$4,0))),
IF(AE28="",AC39*(1+INDEX('R&amp;B Inputs'!$I$25:$V$25,MATCH($D39,'R&amp;B Inputs'!$I$4:$V$4,0))),AD28)),0)</f>
        <v>0</v>
      </c>
      <c r="AE39" s="592">
        <f>IFERROR(IF(INDEX('R&amp;B Inputs'!$I$18:$V$18,MATCH($D39,'R&amp;B Inputs'!$I$4:$V$4,0))="Single Year",
INDEX('R&amp;B Inputs'!$I$21:$V$21,MATCH($D39,'R&amp;B Inputs'!$I$4:$V$4,0))*(1+INDEX('R&amp;B Inputs'!$I$23:$V$23,MATCH($D39,'R&amp;B Inputs'!$I$4:$V$4,0)))^(AE$4-INDEX('R&amp;B Inputs'!$I$22:$V$22,MATCH($D39,'R&amp;B Inputs'!$I$4:$V$4,0))),
IF(AF28="",AD39*(1+INDEX('R&amp;B Inputs'!$I$25:$V$25,MATCH($D39,'R&amp;B Inputs'!$I$4:$V$4,0))),AE28)),0)</f>
        <v>0</v>
      </c>
    </row>
    <row r="40" spans="2:31" ht="15.75" x14ac:dyDescent="0.25">
      <c r="C40" s="63" t="s">
        <v>317</v>
      </c>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row>
    <row r="41" spans="2:31" x14ac:dyDescent="0.25">
      <c r="D41" s="205" t="s">
        <v>20</v>
      </c>
      <c r="E41" s="592">
        <f>SUM(E31,E36)</f>
        <v>58525589.103563093</v>
      </c>
      <c r="F41" s="592">
        <f t="shared" ref="F41:AE44" si="2">SUM(F31,F36)</f>
        <v>58525589.103563093</v>
      </c>
      <c r="G41" s="592">
        <f t="shared" si="2"/>
        <v>58525589.103563093</v>
      </c>
      <c r="H41" s="592">
        <f t="shared" si="2"/>
        <v>58525589.103563093</v>
      </c>
      <c r="I41" s="592">
        <f t="shared" si="2"/>
        <v>58525589.103563093</v>
      </c>
      <c r="J41" s="592">
        <f t="shared" si="2"/>
        <v>58525589.103563093</v>
      </c>
      <c r="K41" s="592">
        <f t="shared" si="2"/>
        <v>58525589.103563093</v>
      </c>
      <c r="L41" s="592">
        <f t="shared" si="2"/>
        <v>58525589.103563093</v>
      </c>
      <c r="M41" s="592">
        <f t="shared" si="2"/>
        <v>58525589.103563093</v>
      </c>
      <c r="N41" s="592">
        <f t="shared" si="2"/>
        <v>58525589.103563093</v>
      </c>
      <c r="O41" s="592">
        <f t="shared" si="2"/>
        <v>58525589.103563093</v>
      </c>
      <c r="P41" s="592">
        <f t="shared" si="2"/>
        <v>58525589.103563093</v>
      </c>
      <c r="Q41" s="592">
        <f t="shared" si="2"/>
        <v>58525589.103563093</v>
      </c>
      <c r="R41" s="592">
        <f t="shared" si="2"/>
        <v>58525589.103563093</v>
      </c>
      <c r="S41" s="592">
        <f t="shared" si="2"/>
        <v>58525589.103563093</v>
      </c>
      <c r="T41" s="592">
        <f t="shared" si="2"/>
        <v>58525589.103563093</v>
      </c>
      <c r="U41" s="592">
        <f t="shared" si="2"/>
        <v>58525589.103563093</v>
      </c>
      <c r="V41" s="592">
        <f t="shared" si="2"/>
        <v>58525589.103563093</v>
      </c>
      <c r="W41" s="592">
        <f t="shared" si="2"/>
        <v>58525589.103563093</v>
      </c>
      <c r="X41" s="592">
        <f t="shared" si="2"/>
        <v>58525589.103563093</v>
      </c>
      <c r="Y41" s="592">
        <f t="shared" si="2"/>
        <v>58525589.103563093</v>
      </c>
      <c r="Z41" s="592">
        <f t="shared" si="2"/>
        <v>58525589.103563093</v>
      </c>
      <c r="AA41" s="592">
        <f t="shared" si="2"/>
        <v>58525589.103563093</v>
      </c>
      <c r="AB41" s="592">
        <f t="shared" si="2"/>
        <v>58525589.103563093</v>
      </c>
      <c r="AC41" s="592">
        <f t="shared" si="2"/>
        <v>58525589.103563093</v>
      </c>
      <c r="AD41" s="592">
        <f t="shared" si="2"/>
        <v>58525589.103563093</v>
      </c>
      <c r="AE41" s="592">
        <f t="shared" si="2"/>
        <v>58525589.103563093</v>
      </c>
    </row>
    <row r="42" spans="2:31" x14ac:dyDescent="0.25">
      <c r="D42" s="39" t="s">
        <v>21</v>
      </c>
      <c r="E42" s="592">
        <f t="shared" ref="E42:T44" si="3">SUM(E32,E37)</f>
        <v>4673617.4897935251</v>
      </c>
      <c r="F42" s="592">
        <f t="shared" si="3"/>
        <v>4673617.4897935251</v>
      </c>
      <c r="G42" s="592">
        <f t="shared" si="3"/>
        <v>4673617.4897935251</v>
      </c>
      <c r="H42" s="592">
        <f t="shared" si="3"/>
        <v>4673617.4897935251</v>
      </c>
      <c r="I42" s="592">
        <f t="shared" si="3"/>
        <v>4673617.4897935251</v>
      </c>
      <c r="J42" s="592">
        <f t="shared" si="3"/>
        <v>4673617.4897935251</v>
      </c>
      <c r="K42" s="592">
        <f t="shared" si="3"/>
        <v>4673617.4897935251</v>
      </c>
      <c r="L42" s="592">
        <f t="shared" si="3"/>
        <v>4673617.4897935251</v>
      </c>
      <c r="M42" s="592">
        <f t="shared" si="3"/>
        <v>4673617.4897935251</v>
      </c>
      <c r="N42" s="592">
        <f t="shared" si="3"/>
        <v>4673617.4897935251</v>
      </c>
      <c r="O42" s="592">
        <f t="shared" si="3"/>
        <v>4673617.4897935251</v>
      </c>
      <c r="P42" s="592">
        <f t="shared" si="3"/>
        <v>4673617.4897935251</v>
      </c>
      <c r="Q42" s="592">
        <f t="shared" si="3"/>
        <v>4673617.4897935251</v>
      </c>
      <c r="R42" s="592">
        <f t="shared" si="3"/>
        <v>4673617.4897935251</v>
      </c>
      <c r="S42" s="592">
        <f t="shared" si="3"/>
        <v>4673617.4897935251</v>
      </c>
      <c r="T42" s="592">
        <f t="shared" si="3"/>
        <v>4673617.4897935251</v>
      </c>
      <c r="U42" s="592">
        <f t="shared" si="2"/>
        <v>4673617.4897935251</v>
      </c>
      <c r="V42" s="592">
        <f t="shared" si="2"/>
        <v>4673617.4897935251</v>
      </c>
      <c r="W42" s="592">
        <f t="shared" si="2"/>
        <v>4673617.4897935251</v>
      </c>
      <c r="X42" s="592">
        <f t="shared" si="2"/>
        <v>4673617.4897935251</v>
      </c>
      <c r="Y42" s="592">
        <f t="shared" si="2"/>
        <v>4673617.4897935251</v>
      </c>
      <c r="Z42" s="592">
        <f t="shared" si="2"/>
        <v>4673617.4897935251</v>
      </c>
      <c r="AA42" s="592">
        <f t="shared" si="2"/>
        <v>4673617.4897935251</v>
      </c>
      <c r="AB42" s="592">
        <f t="shared" si="2"/>
        <v>4673617.4897935251</v>
      </c>
      <c r="AC42" s="592">
        <f t="shared" si="2"/>
        <v>4673617.4897935251</v>
      </c>
      <c r="AD42" s="592">
        <f t="shared" si="2"/>
        <v>4673617.4897935251</v>
      </c>
      <c r="AE42" s="592">
        <f t="shared" si="2"/>
        <v>4673617.4897935251</v>
      </c>
    </row>
    <row r="43" spans="2:31" x14ac:dyDescent="0.25">
      <c r="D43" s="39" t="s">
        <v>42</v>
      </c>
      <c r="E43" s="592">
        <f t="shared" si="3"/>
        <v>21353625.848446414</v>
      </c>
      <c r="F43" s="592">
        <f t="shared" si="2"/>
        <v>21353625.848446414</v>
      </c>
      <c r="G43" s="592">
        <f t="shared" si="2"/>
        <v>21353625.848446414</v>
      </c>
      <c r="H43" s="592">
        <f t="shared" si="2"/>
        <v>21353625.848446414</v>
      </c>
      <c r="I43" s="592">
        <f t="shared" si="2"/>
        <v>21353625.848446414</v>
      </c>
      <c r="J43" s="592">
        <f t="shared" si="2"/>
        <v>21353625.848446414</v>
      </c>
      <c r="K43" s="592">
        <f t="shared" si="2"/>
        <v>21353625.848446414</v>
      </c>
      <c r="L43" s="592">
        <f t="shared" si="2"/>
        <v>21353625.848446414</v>
      </c>
      <c r="M43" s="592">
        <f t="shared" si="2"/>
        <v>21353625.848446414</v>
      </c>
      <c r="N43" s="592">
        <f t="shared" si="2"/>
        <v>21353625.848446414</v>
      </c>
      <c r="O43" s="592">
        <f t="shared" si="2"/>
        <v>21353625.848446414</v>
      </c>
      <c r="P43" s="592">
        <f t="shared" si="2"/>
        <v>21353625.848446414</v>
      </c>
      <c r="Q43" s="592">
        <f t="shared" si="2"/>
        <v>21353625.848446414</v>
      </c>
      <c r="R43" s="592">
        <f t="shared" si="2"/>
        <v>21353625.848446414</v>
      </c>
      <c r="S43" s="592">
        <f t="shared" si="2"/>
        <v>21353625.848446414</v>
      </c>
      <c r="T43" s="592">
        <f t="shared" si="2"/>
        <v>21353625.848446414</v>
      </c>
      <c r="U43" s="592">
        <f t="shared" si="2"/>
        <v>21353625.848446414</v>
      </c>
      <c r="V43" s="592">
        <f t="shared" si="2"/>
        <v>21353625.848446414</v>
      </c>
      <c r="W43" s="592">
        <f t="shared" si="2"/>
        <v>21353625.848446414</v>
      </c>
      <c r="X43" s="592">
        <f t="shared" si="2"/>
        <v>21353625.848446414</v>
      </c>
      <c r="Y43" s="592">
        <f t="shared" si="2"/>
        <v>21353625.848446414</v>
      </c>
      <c r="Z43" s="592">
        <f t="shared" si="2"/>
        <v>21353625.848446414</v>
      </c>
      <c r="AA43" s="592">
        <f t="shared" si="2"/>
        <v>21353625.848446414</v>
      </c>
      <c r="AB43" s="592">
        <f t="shared" si="2"/>
        <v>21353625.848446414</v>
      </c>
      <c r="AC43" s="592">
        <f t="shared" si="2"/>
        <v>21353625.848446414</v>
      </c>
      <c r="AD43" s="592">
        <f t="shared" si="2"/>
        <v>21353625.848446414</v>
      </c>
      <c r="AE43" s="592">
        <f t="shared" si="2"/>
        <v>21353625.848446414</v>
      </c>
    </row>
    <row r="44" spans="2:31" s="5" customFormat="1" x14ac:dyDescent="0.25">
      <c r="D44" s="39" t="s">
        <v>43</v>
      </c>
      <c r="E44" s="592">
        <f t="shared" si="3"/>
        <v>11263405.136430969</v>
      </c>
      <c r="F44" s="592">
        <f t="shared" si="2"/>
        <v>11263405.136430969</v>
      </c>
      <c r="G44" s="592">
        <f t="shared" si="2"/>
        <v>11263405.136430969</v>
      </c>
      <c r="H44" s="592">
        <f t="shared" si="2"/>
        <v>11263405.136430969</v>
      </c>
      <c r="I44" s="592">
        <f t="shared" si="2"/>
        <v>11263405.136430969</v>
      </c>
      <c r="J44" s="592">
        <f t="shared" si="2"/>
        <v>11263405.136430969</v>
      </c>
      <c r="K44" s="592">
        <f t="shared" si="2"/>
        <v>11263405.136430969</v>
      </c>
      <c r="L44" s="592">
        <f t="shared" si="2"/>
        <v>11263405.136430969</v>
      </c>
      <c r="M44" s="592">
        <f t="shared" si="2"/>
        <v>11263405.136430969</v>
      </c>
      <c r="N44" s="592">
        <f t="shared" si="2"/>
        <v>11263405.136430969</v>
      </c>
      <c r="O44" s="592">
        <f t="shared" si="2"/>
        <v>11263405.136430969</v>
      </c>
      <c r="P44" s="592">
        <f t="shared" si="2"/>
        <v>11263405.136430969</v>
      </c>
      <c r="Q44" s="592">
        <f t="shared" si="2"/>
        <v>11263405.136430969</v>
      </c>
      <c r="R44" s="592">
        <f t="shared" si="2"/>
        <v>11263405.136430969</v>
      </c>
      <c r="S44" s="592">
        <f t="shared" si="2"/>
        <v>11263405.136430969</v>
      </c>
      <c r="T44" s="592">
        <f t="shared" si="2"/>
        <v>11263405.136430969</v>
      </c>
      <c r="U44" s="592">
        <f t="shared" si="2"/>
        <v>11263405.136430969</v>
      </c>
      <c r="V44" s="592">
        <f t="shared" si="2"/>
        <v>11263405.136430969</v>
      </c>
      <c r="W44" s="592">
        <f t="shared" si="2"/>
        <v>11263405.136430969</v>
      </c>
      <c r="X44" s="592">
        <f t="shared" si="2"/>
        <v>11263405.136430969</v>
      </c>
      <c r="Y44" s="592">
        <f t="shared" si="2"/>
        <v>11263405.136430969</v>
      </c>
      <c r="Z44" s="592">
        <f t="shared" si="2"/>
        <v>11263405.136430969</v>
      </c>
      <c r="AA44" s="592">
        <f t="shared" si="2"/>
        <v>11263405.136430969</v>
      </c>
      <c r="AB44" s="592">
        <f t="shared" si="2"/>
        <v>11263405.136430969</v>
      </c>
      <c r="AC44" s="592">
        <f t="shared" si="2"/>
        <v>11263405.136430969</v>
      </c>
      <c r="AD44" s="592">
        <f t="shared" si="2"/>
        <v>11263405.136430969</v>
      </c>
      <c r="AE44" s="592">
        <f t="shared" si="2"/>
        <v>11263405.136430969</v>
      </c>
    </row>
    <row r="47" spans="2:31" s="545" customFormat="1" ht="21" x14ac:dyDescent="0.35">
      <c r="B47" s="601" t="s">
        <v>28</v>
      </c>
      <c r="C47" s="601"/>
      <c r="D47" s="601"/>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row>
    <row r="48" spans="2:31" x14ac:dyDescent="0.25">
      <c r="D48" s="96" t="s">
        <v>399</v>
      </c>
    </row>
    <row r="49" spans="4:4" x14ac:dyDescent="0.25">
      <c r="D49" s="96" t="s">
        <v>397</v>
      </c>
    </row>
    <row r="50" spans="4:4" x14ac:dyDescent="0.25">
      <c r="D50" s="96" t="s">
        <v>398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Lookups!$D$26:$D$29</xm:f>
          </x14:formula1>
          <xm:sqref>D12:D15 D7:D10 D20:D23 D36:D44 D31:D34 D25:D28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8197-77B4-4461-A8E2-77AFFBC19FB7}">
  <sheetPr>
    <tabColor theme="0" tint="-0.34998626667073579"/>
  </sheetPr>
  <dimension ref="A1:BT348"/>
  <sheetViews>
    <sheetView showGridLines="0" tabSelected="1" zoomScale="85" zoomScaleNormal="85" workbookViewId="0">
      <pane xSplit="6" ySplit="8" topLeftCell="BG318" activePane="bottomRight" state="frozen"/>
      <selection pane="topRight" activeCell="H1" sqref="H1"/>
      <selection pane="bottomLeft" activeCell="A8" sqref="A8"/>
      <selection pane="bottomRight" activeCell="BP333" sqref="BP333"/>
    </sheetView>
  </sheetViews>
  <sheetFormatPr defaultRowHeight="15" x14ac:dyDescent="0.25"/>
  <cols>
    <col min="1" max="1" width="2.7109375" style="52" customWidth="1"/>
    <col min="2" max="2" width="2.7109375" customWidth="1"/>
    <col min="3" max="3" width="10.5703125" customWidth="1"/>
    <col min="4" max="4" width="14.85546875" style="18" customWidth="1"/>
    <col min="5" max="5" width="38" bestFit="1" customWidth="1"/>
    <col min="6" max="6" width="11.7109375" customWidth="1"/>
    <col min="7" max="7" width="15" bestFit="1" customWidth="1"/>
    <col min="8" max="33" width="15" customWidth="1"/>
    <col min="34" max="34" width="1.7109375" customWidth="1"/>
    <col min="35" max="35" width="15" customWidth="1"/>
    <col min="36" max="36" width="18.140625" customWidth="1"/>
    <col min="37" max="38" width="2.7109375" customWidth="1"/>
    <col min="39" max="40" width="15.7109375" customWidth="1"/>
    <col min="41" max="65" width="15.140625" customWidth="1"/>
    <col min="66" max="66" width="1.7109375" customWidth="1"/>
    <col min="67" max="67" width="15" bestFit="1" customWidth="1"/>
    <col min="68" max="68" width="18.140625" bestFit="1" customWidth="1"/>
    <col min="69" max="70" width="2.7109375" customWidth="1"/>
    <col min="71" max="71" width="133.28515625" bestFit="1" customWidth="1"/>
    <col min="72" max="72" width="2.7109375" customWidth="1"/>
  </cols>
  <sheetData>
    <row r="1" spans="1:72" x14ac:dyDescent="0.25">
      <c r="E1" s="1"/>
      <c r="F1" s="1"/>
      <c r="I1" s="1"/>
      <c r="AO1" s="1"/>
    </row>
    <row r="2" spans="1:72" ht="26.25" x14ac:dyDescent="0.25">
      <c r="B2" s="2" t="s">
        <v>36</v>
      </c>
      <c r="F2" s="234"/>
      <c r="G2" s="410"/>
      <c r="H2" s="421"/>
      <c r="I2" s="421"/>
      <c r="J2" s="410"/>
      <c r="K2" s="410"/>
      <c r="L2" s="410"/>
      <c r="AO2" s="1"/>
    </row>
    <row r="3" spans="1:72" ht="21" x14ac:dyDescent="0.25">
      <c r="B3" s="245" t="str">
        <f>Lookups!$E$6</f>
        <v>Liberty</v>
      </c>
      <c r="F3" s="234"/>
      <c r="G3" s="409"/>
      <c r="H3" s="421"/>
      <c r="I3" s="421"/>
      <c r="J3" s="22"/>
      <c r="K3" s="22"/>
      <c r="AO3" s="1"/>
    </row>
    <row r="4" spans="1:72" ht="15.75" x14ac:dyDescent="0.25">
      <c r="B4" s="87"/>
      <c r="C4" s="640">
        <v>2021</v>
      </c>
      <c r="D4" s="359" t="s">
        <v>73</v>
      </c>
      <c r="G4" s="672"/>
      <c r="H4" s="421"/>
      <c r="I4" s="421"/>
      <c r="J4" s="88"/>
      <c r="K4" s="88"/>
      <c r="L4" s="88"/>
      <c r="AM4" s="50"/>
      <c r="AP4" s="1"/>
      <c r="BS4" s="87"/>
    </row>
    <row r="5" spans="1:72" x14ac:dyDescent="0.25">
      <c r="D5"/>
      <c r="H5" s="421"/>
      <c r="I5" s="421"/>
      <c r="J5" s="212"/>
      <c r="K5" s="212"/>
      <c r="L5" s="212"/>
      <c r="M5" s="212"/>
      <c r="N5" s="212"/>
      <c r="O5" s="212"/>
      <c r="P5" s="212"/>
      <c r="Q5" s="212"/>
      <c r="R5" s="212"/>
      <c r="S5" s="212"/>
      <c r="T5" s="212"/>
      <c r="AO5" s="1"/>
    </row>
    <row r="6" spans="1:72" s="203" customFormat="1" ht="26.25" x14ac:dyDescent="0.4">
      <c r="A6" s="384"/>
      <c r="B6" s="199" t="s">
        <v>172</v>
      </c>
      <c r="C6" s="200"/>
      <c r="D6" s="200"/>
      <c r="E6" s="198"/>
      <c r="F6" s="198"/>
      <c r="G6" s="201" t="str">
        <f>Lookups!$D$23</f>
        <v>Proposed EE</v>
      </c>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2"/>
      <c r="AG6" s="202"/>
      <c r="AH6" s="202"/>
      <c r="AI6" s="202"/>
      <c r="AJ6" s="202"/>
      <c r="AM6" s="204" t="str">
        <f>Lookups!$D$24</f>
        <v>Alternative EE</v>
      </c>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S6" s="199" t="s">
        <v>88</v>
      </c>
    </row>
    <row r="7" spans="1:72" s="28" customFormat="1" x14ac:dyDescent="0.25">
      <c r="A7" s="385"/>
      <c r="B7" s="80"/>
      <c r="C7" s="78"/>
      <c r="D7" s="79"/>
      <c r="E7" s="78"/>
      <c r="F7" s="80"/>
      <c r="G7" s="67">
        <f>Year1</f>
        <v>2021</v>
      </c>
      <c r="H7" s="67">
        <f>G7+1</f>
        <v>2022</v>
      </c>
      <c r="I7" s="67">
        <f t="shared" ref="I7:X8" si="0">H7+1</f>
        <v>2023</v>
      </c>
      <c r="J7" s="67">
        <f t="shared" si="0"/>
        <v>2024</v>
      </c>
      <c r="K7" s="67">
        <f t="shared" si="0"/>
        <v>2025</v>
      </c>
      <c r="L7" s="67">
        <f t="shared" si="0"/>
        <v>2026</v>
      </c>
      <c r="M7" s="67">
        <f t="shared" si="0"/>
        <v>2027</v>
      </c>
      <c r="N7" s="67">
        <f t="shared" si="0"/>
        <v>2028</v>
      </c>
      <c r="O7" s="67">
        <f t="shared" si="0"/>
        <v>2029</v>
      </c>
      <c r="P7" s="67">
        <f t="shared" si="0"/>
        <v>2030</v>
      </c>
      <c r="Q7" s="67">
        <f t="shared" si="0"/>
        <v>2031</v>
      </c>
      <c r="R7" s="67">
        <f t="shared" si="0"/>
        <v>2032</v>
      </c>
      <c r="S7" s="67">
        <f t="shared" si="0"/>
        <v>2033</v>
      </c>
      <c r="T7" s="67">
        <f t="shared" si="0"/>
        <v>2034</v>
      </c>
      <c r="U7" s="67">
        <f t="shared" si="0"/>
        <v>2035</v>
      </c>
      <c r="V7" s="67">
        <f t="shared" si="0"/>
        <v>2036</v>
      </c>
      <c r="W7" s="67">
        <f>V7+1</f>
        <v>2037</v>
      </c>
      <c r="X7" s="67">
        <f t="shared" si="0"/>
        <v>2038</v>
      </c>
      <c r="Y7" s="67">
        <f t="shared" ref="Y7:AE8" si="1">X7+1</f>
        <v>2039</v>
      </c>
      <c r="Z7" s="67">
        <f t="shared" si="1"/>
        <v>2040</v>
      </c>
      <c r="AA7" s="67">
        <f t="shared" si="1"/>
        <v>2041</v>
      </c>
      <c r="AB7" s="67">
        <f t="shared" si="1"/>
        <v>2042</v>
      </c>
      <c r="AC7" s="67">
        <f t="shared" si="1"/>
        <v>2043</v>
      </c>
      <c r="AD7" s="67">
        <f t="shared" si="1"/>
        <v>2044</v>
      </c>
      <c r="AE7" s="67">
        <f t="shared" si="1"/>
        <v>2045</v>
      </c>
      <c r="AF7" s="67">
        <f>AE7+1</f>
        <v>2046</v>
      </c>
      <c r="AG7" s="67">
        <f>AF7+1</f>
        <v>2047</v>
      </c>
      <c r="AH7" s="67"/>
      <c r="AI7" s="67" t="s">
        <v>416</v>
      </c>
      <c r="AJ7" s="67" t="s">
        <v>415</v>
      </c>
      <c r="AM7" s="69">
        <f>Year1</f>
        <v>2021</v>
      </c>
      <c r="AN7" s="69">
        <f>AM7+1</f>
        <v>2022</v>
      </c>
      <c r="AO7" s="69">
        <f t="shared" ref="AO7:BB8" si="2">AN7+1</f>
        <v>2023</v>
      </c>
      <c r="AP7" s="69">
        <f t="shared" si="2"/>
        <v>2024</v>
      </c>
      <c r="AQ7" s="69">
        <f t="shared" si="2"/>
        <v>2025</v>
      </c>
      <c r="AR7" s="69">
        <f t="shared" si="2"/>
        <v>2026</v>
      </c>
      <c r="AS7" s="69">
        <f t="shared" si="2"/>
        <v>2027</v>
      </c>
      <c r="AT7" s="69">
        <f t="shared" si="2"/>
        <v>2028</v>
      </c>
      <c r="AU7" s="69">
        <f t="shared" si="2"/>
        <v>2029</v>
      </c>
      <c r="AV7" s="69">
        <f t="shared" si="2"/>
        <v>2030</v>
      </c>
      <c r="AW7" s="69">
        <f t="shared" si="2"/>
        <v>2031</v>
      </c>
      <c r="AX7" s="69">
        <f t="shared" si="2"/>
        <v>2032</v>
      </c>
      <c r="AY7" s="69">
        <f t="shared" si="2"/>
        <v>2033</v>
      </c>
      <c r="AZ7" s="69">
        <f t="shared" si="2"/>
        <v>2034</v>
      </c>
      <c r="BA7" s="69">
        <f t="shared" si="2"/>
        <v>2035</v>
      </c>
      <c r="BB7" s="69">
        <f t="shared" si="2"/>
        <v>2036</v>
      </c>
      <c r="BC7" s="69">
        <f>BB7+1</f>
        <v>2037</v>
      </c>
      <c r="BD7" s="69">
        <f t="shared" ref="BD7:BK8" si="3">BC7+1</f>
        <v>2038</v>
      </c>
      <c r="BE7" s="69">
        <f t="shared" si="3"/>
        <v>2039</v>
      </c>
      <c r="BF7" s="69">
        <f t="shared" si="3"/>
        <v>2040</v>
      </c>
      <c r="BG7" s="69">
        <f t="shared" si="3"/>
        <v>2041</v>
      </c>
      <c r="BH7" s="69">
        <f t="shared" si="3"/>
        <v>2042</v>
      </c>
      <c r="BI7" s="69">
        <f t="shared" si="3"/>
        <v>2043</v>
      </c>
      <c r="BJ7" s="69">
        <f t="shared" si="3"/>
        <v>2044</v>
      </c>
      <c r="BK7" s="69">
        <f t="shared" si="3"/>
        <v>2045</v>
      </c>
      <c r="BL7" s="69">
        <f>BK7+1</f>
        <v>2046</v>
      </c>
      <c r="BM7" s="69">
        <f>BL7+1</f>
        <v>2047</v>
      </c>
      <c r="BN7" s="69"/>
      <c r="BO7" s="69" t="s">
        <v>416</v>
      </c>
      <c r="BP7" s="69" t="s">
        <v>417</v>
      </c>
      <c r="BS7" s="80"/>
    </row>
    <row r="8" spans="1:72" s="51" customFormat="1" x14ac:dyDescent="0.25">
      <c r="A8" s="386"/>
      <c r="B8" s="83"/>
      <c r="C8" s="81"/>
      <c r="D8" s="82"/>
      <c r="E8" s="81"/>
      <c r="F8" s="83"/>
      <c r="G8" s="68">
        <f>IF(OR($C$4=Year2,$C$4=Year3),0,1)</f>
        <v>1</v>
      </c>
      <c r="H8" s="68">
        <f>IF($C$4=Year3,0,G8+1)</f>
        <v>2</v>
      </c>
      <c r="I8" s="68">
        <f t="shared" si="0"/>
        <v>3</v>
      </c>
      <c r="J8" s="68">
        <f t="shared" si="0"/>
        <v>4</v>
      </c>
      <c r="K8" s="68">
        <f t="shared" si="0"/>
        <v>5</v>
      </c>
      <c r="L8" s="68">
        <f t="shared" si="0"/>
        <v>6</v>
      </c>
      <c r="M8" s="68">
        <f t="shared" si="0"/>
        <v>7</v>
      </c>
      <c r="N8" s="68">
        <f t="shared" si="0"/>
        <v>8</v>
      </c>
      <c r="O8" s="68">
        <f t="shared" si="0"/>
        <v>9</v>
      </c>
      <c r="P8" s="68">
        <f t="shared" si="0"/>
        <v>10</v>
      </c>
      <c r="Q8" s="68">
        <f t="shared" si="0"/>
        <v>11</v>
      </c>
      <c r="R8" s="68">
        <f t="shared" si="0"/>
        <v>12</v>
      </c>
      <c r="S8" s="68">
        <f t="shared" si="0"/>
        <v>13</v>
      </c>
      <c r="T8" s="68">
        <f t="shared" si="0"/>
        <v>14</v>
      </c>
      <c r="U8" s="68">
        <f t="shared" si="0"/>
        <v>15</v>
      </c>
      <c r="V8" s="68">
        <f t="shared" si="0"/>
        <v>16</v>
      </c>
      <c r="W8" s="68">
        <f>V8+1</f>
        <v>17</v>
      </c>
      <c r="X8" s="68">
        <f t="shared" si="0"/>
        <v>18</v>
      </c>
      <c r="Y8" s="68">
        <f t="shared" si="1"/>
        <v>19</v>
      </c>
      <c r="Z8" s="68">
        <f t="shared" si="1"/>
        <v>20</v>
      </c>
      <c r="AA8" s="68">
        <f t="shared" si="1"/>
        <v>21</v>
      </c>
      <c r="AB8" s="68">
        <f t="shared" si="1"/>
        <v>22</v>
      </c>
      <c r="AC8" s="68">
        <f t="shared" si="1"/>
        <v>23</v>
      </c>
      <c r="AD8" s="68">
        <f t="shared" si="1"/>
        <v>24</v>
      </c>
      <c r="AE8" s="68">
        <f t="shared" si="1"/>
        <v>25</v>
      </c>
      <c r="AF8" s="68">
        <f>AE8+1</f>
        <v>26</v>
      </c>
      <c r="AG8" s="68">
        <f>AF8+1</f>
        <v>27</v>
      </c>
      <c r="AH8" s="68"/>
      <c r="AI8" s="68"/>
      <c r="AJ8" s="68"/>
      <c r="AM8" s="70">
        <f>IF(OR($C$4=Year2,$C$4=Year3),0,1)</f>
        <v>1</v>
      </c>
      <c r="AN8" s="70">
        <f>IF($C$4=Year3,0,AM8+1)</f>
        <v>2</v>
      </c>
      <c r="AO8" s="70">
        <f t="shared" si="2"/>
        <v>3</v>
      </c>
      <c r="AP8" s="70">
        <f t="shared" si="2"/>
        <v>4</v>
      </c>
      <c r="AQ8" s="70">
        <f t="shared" si="2"/>
        <v>5</v>
      </c>
      <c r="AR8" s="70">
        <f t="shared" si="2"/>
        <v>6</v>
      </c>
      <c r="AS8" s="70">
        <f t="shared" si="2"/>
        <v>7</v>
      </c>
      <c r="AT8" s="70">
        <f t="shared" si="2"/>
        <v>8</v>
      </c>
      <c r="AU8" s="70">
        <f t="shared" si="2"/>
        <v>9</v>
      </c>
      <c r="AV8" s="70">
        <f t="shared" si="2"/>
        <v>10</v>
      </c>
      <c r="AW8" s="70">
        <f t="shared" si="2"/>
        <v>11</v>
      </c>
      <c r="AX8" s="70">
        <f t="shared" si="2"/>
        <v>12</v>
      </c>
      <c r="AY8" s="70">
        <f t="shared" si="2"/>
        <v>13</v>
      </c>
      <c r="AZ8" s="70">
        <f t="shared" si="2"/>
        <v>14</v>
      </c>
      <c r="BA8" s="70">
        <f t="shared" si="2"/>
        <v>15</v>
      </c>
      <c r="BB8" s="70">
        <f t="shared" si="2"/>
        <v>16</v>
      </c>
      <c r="BC8" s="70">
        <f>BB8+1</f>
        <v>17</v>
      </c>
      <c r="BD8" s="70">
        <f t="shared" si="3"/>
        <v>18</v>
      </c>
      <c r="BE8" s="70">
        <f t="shared" si="3"/>
        <v>19</v>
      </c>
      <c r="BF8" s="70">
        <f t="shared" si="3"/>
        <v>20</v>
      </c>
      <c r="BG8" s="70">
        <f t="shared" si="3"/>
        <v>21</v>
      </c>
      <c r="BH8" s="70">
        <f t="shared" si="3"/>
        <v>22</v>
      </c>
      <c r="BI8" s="70">
        <f t="shared" si="3"/>
        <v>23</v>
      </c>
      <c r="BJ8" s="70">
        <f t="shared" si="3"/>
        <v>24</v>
      </c>
      <c r="BK8" s="70">
        <f t="shared" si="3"/>
        <v>25</v>
      </c>
      <c r="BL8" s="70">
        <f>BK8+1</f>
        <v>26</v>
      </c>
      <c r="BM8" s="70">
        <f>BL8+1</f>
        <v>27</v>
      </c>
      <c r="BN8" s="70"/>
      <c r="BO8" s="70"/>
      <c r="BP8" s="70"/>
      <c r="BS8" s="83"/>
    </row>
    <row r="9" spans="1:72" s="51" customFormat="1" ht="23.25" x14ac:dyDescent="0.25">
      <c r="A9" s="52"/>
      <c r="B9" s="195" t="str">
        <f>Lookups!$D$26</f>
        <v>Residential</v>
      </c>
      <c r="C9" s="196"/>
      <c r="D9" s="196"/>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51" t="s">
        <v>17</v>
      </c>
    </row>
    <row r="10" spans="1:72" s="5" customFormat="1" ht="15.75" x14ac:dyDescent="0.25">
      <c r="A10" s="52"/>
      <c r="B10" s="241" t="str">
        <f>B9</f>
        <v>Residential</v>
      </c>
      <c r="C10" s="63" t="s">
        <v>3</v>
      </c>
      <c r="D10" s="61"/>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M10" s="63"/>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S10" s="62"/>
      <c r="BT10" s="51" t="s">
        <v>17</v>
      </c>
    </row>
    <row r="11" spans="1:72" s="5" customFormat="1" x14ac:dyDescent="0.25">
      <c r="A11" s="52"/>
      <c r="B11" s="242" t="str">
        <f t="shared" ref="B11:C26" si="4">B10</f>
        <v>Residential</v>
      </c>
      <c r="C11" s="242" t="str">
        <f>C10</f>
        <v>Customers</v>
      </c>
      <c r="D11" s="244" t="s">
        <v>3</v>
      </c>
      <c r="E11" s="77" t="s">
        <v>3</v>
      </c>
      <c r="F11" s="76" t="s">
        <v>48</v>
      </c>
      <c r="G11" s="64">
        <f>IF(G$8=0,0,INDEX('Multi-Year Inputs'!$E$12:$AE$15,MATCH($B11,'Multi-Year Inputs'!$D$12:$D$15,0),MATCH(G$7,'Multi-Year Inputs'!$E$4:$AE$4,0)))</f>
        <v>71674.712393819893</v>
      </c>
      <c r="H11" s="64">
        <f>IF(H$8=0,0,INDEX('Multi-Year Inputs'!$E$12:$AE$15,MATCH($B11,'Multi-Year Inputs'!$D$12:$D$15,0),MATCH(H$7,'Multi-Year Inputs'!$E$4:$AE$4,0)))</f>
        <v>71674.712393819893</v>
      </c>
      <c r="I11" s="64">
        <f>IF(I$8=0,0,INDEX('Multi-Year Inputs'!$E$12:$AE$15,MATCH($B11,'Multi-Year Inputs'!$D$12:$D$15,0),MATCH(I$7,'Multi-Year Inputs'!$E$4:$AE$4,0)))</f>
        <v>71674.712393819893</v>
      </c>
      <c r="J11" s="64">
        <f>IF(J$8=0,0,INDEX('Multi-Year Inputs'!$E$12:$AE$15,MATCH($B11,'Multi-Year Inputs'!$D$12:$D$15,0),MATCH(J$7,'Multi-Year Inputs'!$E$4:$AE$4,0)))</f>
        <v>71674.712393819893</v>
      </c>
      <c r="K11" s="64">
        <f>IF(K$8=0,0,INDEX('Multi-Year Inputs'!$E$12:$AE$15,MATCH($B11,'Multi-Year Inputs'!$D$12:$D$15,0),MATCH(K$7,'Multi-Year Inputs'!$E$4:$AE$4,0)))</f>
        <v>71674.712393819893</v>
      </c>
      <c r="L11" s="64">
        <f>IF(L$8=0,0,INDEX('Multi-Year Inputs'!$E$12:$AE$15,MATCH($B11,'Multi-Year Inputs'!$D$12:$D$15,0),MATCH(L$7,'Multi-Year Inputs'!$E$4:$AE$4,0)))</f>
        <v>71674.712393819893</v>
      </c>
      <c r="M11" s="64">
        <f>IF(M$8=0,0,INDEX('Multi-Year Inputs'!$E$12:$AE$15,MATCH($B11,'Multi-Year Inputs'!$D$12:$D$15,0),MATCH(M$7,'Multi-Year Inputs'!$E$4:$AE$4,0)))</f>
        <v>71674.712393819893</v>
      </c>
      <c r="N11" s="64">
        <f>IF(N$8=0,0,INDEX('Multi-Year Inputs'!$E$12:$AE$15,MATCH($B11,'Multi-Year Inputs'!$D$12:$D$15,0),MATCH(N$7,'Multi-Year Inputs'!$E$4:$AE$4,0)))</f>
        <v>71674.712393819893</v>
      </c>
      <c r="O11" s="64">
        <f>IF(O$8=0,0,INDEX('Multi-Year Inputs'!$E$12:$AE$15,MATCH($B11,'Multi-Year Inputs'!$D$12:$D$15,0),MATCH(O$7,'Multi-Year Inputs'!$E$4:$AE$4,0)))</f>
        <v>71674.712393819893</v>
      </c>
      <c r="P11" s="64">
        <f>IF(P$8=0,0,INDEX('Multi-Year Inputs'!$E$12:$AE$15,MATCH($B11,'Multi-Year Inputs'!$D$12:$D$15,0),MATCH(P$7,'Multi-Year Inputs'!$E$4:$AE$4,0)))</f>
        <v>71674.712393819893</v>
      </c>
      <c r="Q11" s="64">
        <f>IF(Q$8=0,0,INDEX('Multi-Year Inputs'!$E$12:$AE$15,MATCH($B11,'Multi-Year Inputs'!$D$12:$D$15,0),MATCH(Q$7,'Multi-Year Inputs'!$E$4:$AE$4,0)))</f>
        <v>71674.712393819893</v>
      </c>
      <c r="R11" s="64">
        <f>IF(R$8=0,0,INDEX('Multi-Year Inputs'!$E$12:$AE$15,MATCH($B11,'Multi-Year Inputs'!$D$12:$D$15,0),MATCH(R$7,'Multi-Year Inputs'!$E$4:$AE$4,0)))</f>
        <v>71674.712393819893</v>
      </c>
      <c r="S11" s="64">
        <f>IF(S$8=0,0,INDEX('Multi-Year Inputs'!$E$12:$AE$15,MATCH($B11,'Multi-Year Inputs'!$D$12:$D$15,0),MATCH(S$7,'Multi-Year Inputs'!$E$4:$AE$4,0)))</f>
        <v>71674.712393819893</v>
      </c>
      <c r="T11" s="64">
        <f>IF(T$8=0,0,INDEX('Multi-Year Inputs'!$E$12:$AE$15,MATCH($B11,'Multi-Year Inputs'!$D$12:$D$15,0),MATCH(T$7,'Multi-Year Inputs'!$E$4:$AE$4,0)))</f>
        <v>71674.712393819893</v>
      </c>
      <c r="U11" s="64">
        <f>IF(U$8=0,0,INDEX('Multi-Year Inputs'!$E$12:$AE$15,MATCH($B11,'Multi-Year Inputs'!$D$12:$D$15,0),MATCH(U$7,'Multi-Year Inputs'!$E$4:$AE$4,0)))</f>
        <v>71674.712393819893</v>
      </c>
      <c r="V11" s="64">
        <f>IF(V$8=0,0,INDEX('Multi-Year Inputs'!$E$12:$AE$15,MATCH($B11,'Multi-Year Inputs'!$D$12:$D$15,0),MATCH(V$7,'Multi-Year Inputs'!$E$4:$AE$4,0)))</f>
        <v>71674.712393819893</v>
      </c>
      <c r="W11" s="64">
        <f>IF(W$8=0,0,INDEX('Multi-Year Inputs'!$E$12:$AE$15,MATCH($B11,'Multi-Year Inputs'!$D$12:$D$15,0),MATCH(W$7,'Multi-Year Inputs'!$E$4:$AE$4,0)))</f>
        <v>71674.712393819893</v>
      </c>
      <c r="X11" s="64">
        <f>IF(X$8=0,0,INDEX('Multi-Year Inputs'!$E$12:$AE$15,MATCH($B11,'Multi-Year Inputs'!$D$12:$D$15,0),MATCH(X$7,'Multi-Year Inputs'!$E$4:$AE$4,0)))</f>
        <v>71674.712393819893</v>
      </c>
      <c r="Y11" s="64">
        <f>IF(Y$8=0,0,INDEX('Multi-Year Inputs'!$E$12:$AE$15,MATCH($B11,'Multi-Year Inputs'!$D$12:$D$15,0),MATCH(Y$7,'Multi-Year Inputs'!$E$4:$AE$4,0)))</f>
        <v>71674.712393819893</v>
      </c>
      <c r="Z11" s="64">
        <f>IF(Z$8=0,0,INDEX('Multi-Year Inputs'!$E$12:$AE$15,MATCH($B11,'Multi-Year Inputs'!$D$12:$D$15,0),MATCH(Z$7,'Multi-Year Inputs'!$E$4:$AE$4,0)))</f>
        <v>71674.712393819893</v>
      </c>
      <c r="AA11" s="64">
        <f>IF(AA$8=0,0,INDEX('Multi-Year Inputs'!$E$12:$AE$15,MATCH($B11,'Multi-Year Inputs'!$D$12:$D$15,0),MATCH(AA$7,'Multi-Year Inputs'!$E$4:$AE$4,0)))</f>
        <v>71674.712393819893</v>
      </c>
      <c r="AB11" s="64">
        <f>IF(AB$8=0,0,INDEX('Multi-Year Inputs'!$E$12:$AE$15,MATCH($B11,'Multi-Year Inputs'!$D$12:$D$15,0),MATCH(AB$7,'Multi-Year Inputs'!$E$4:$AE$4,0)))</f>
        <v>71674.712393819893</v>
      </c>
      <c r="AC11" s="64">
        <f>IF(AC$8=0,0,INDEX('Multi-Year Inputs'!$E$12:$AE$15,MATCH($B11,'Multi-Year Inputs'!$D$12:$D$15,0),MATCH(AC$7,'Multi-Year Inputs'!$E$4:$AE$4,0)))</f>
        <v>71674.712393819893</v>
      </c>
      <c r="AD11" s="64">
        <f>IF(AD$8=0,0,INDEX('Multi-Year Inputs'!$E$12:$AE$15,MATCH($B11,'Multi-Year Inputs'!$D$12:$D$15,0),MATCH(AD$7,'Multi-Year Inputs'!$E$4:$AE$4,0)))</f>
        <v>71674.712393819893</v>
      </c>
      <c r="AE11" s="64">
        <f>IF(AE$8=0,0,INDEX('Multi-Year Inputs'!$E$12:$AE$15,MATCH($B11,'Multi-Year Inputs'!$D$12:$D$15,0),MATCH(AE$7,'Multi-Year Inputs'!$E$4:$AE$4,0)))</f>
        <v>71674.712393819893</v>
      </c>
      <c r="AF11" s="64">
        <f>IF(AF$8=0,0,INDEX('Multi-Year Inputs'!$E$12:$AE$15,MATCH($B11,'Multi-Year Inputs'!$D$12:$D$15,0),MATCH(AF$7,'Multi-Year Inputs'!$E$4:$AE$4,0)))</f>
        <v>71674.712393819893</v>
      </c>
      <c r="AG11" s="64">
        <f>IF(AG$8=0,0,INDEX('Multi-Year Inputs'!$E$12:$AE$15,MATCH($B11,'Multi-Year Inputs'!$D$12:$D$15,0),MATCH(AG$7,'Multi-Year Inputs'!$E$4:$AE$4,0)))</f>
        <v>71674.712393819893</v>
      </c>
      <c r="AH11" s="64"/>
      <c r="AI11" s="64"/>
      <c r="AJ11" s="64"/>
      <c r="AM11" s="71">
        <f>IF(AM$8=0,0,INDEX('Multi-Year Inputs'!$E$12:$AE$15,MATCH($B11,'Multi-Year Inputs'!$D$12:$D$15,0),MATCH(AM$7,'Multi-Year Inputs'!$E$4:$AE$4,0)))</f>
        <v>71674.712393819893</v>
      </c>
      <c r="AN11" s="71">
        <f>IF(AN$8=0,0,INDEX('Multi-Year Inputs'!$E$12:$AE$15,MATCH($B11,'Multi-Year Inputs'!$D$12:$D$15,0),MATCH(AN$7,'Multi-Year Inputs'!$E$4:$AE$4,0)))</f>
        <v>71674.712393819893</v>
      </c>
      <c r="AO11" s="71">
        <f>IF(AO$8=0,0,INDEX('Multi-Year Inputs'!$E$12:$AE$15,MATCH($B11,'Multi-Year Inputs'!$D$12:$D$15,0),MATCH(AO$7,'Multi-Year Inputs'!$E$4:$AE$4,0)))</f>
        <v>71674.712393819893</v>
      </c>
      <c r="AP11" s="71">
        <f>IF(AP$8=0,0,INDEX('Multi-Year Inputs'!$E$12:$AE$15,MATCH($B11,'Multi-Year Inputs'!$D$12:$D$15,0),MATCH(AP$7,'Multi-Year Inputs'!$E$4:$AE$4,0)))</f>
        <v>71674.712393819893</v>
      </c>
      <c r="AQ11" s="71">
        <f>IF(AQ$8=0,0,INDEX('Multi-Year Inputs'!$E$12:$AE$15,MATCH($B11,'Multi-Year Inputs'!$D$12:$D$15,0),MATCH(AQ$7,'Multi-Year Inputs'!$E$4:$AE$4,0)))</f>
        <v>71674.712393819893</v>
      </c>
      <c r="AR11" s="71">
        <f>IF(AR$8=0,0,INDEX('Multi-Year Inputs'!$E$12:$AE$15,MATCH($B11,'Multi-Year Inputs'!$D$12:$D$15,0),MATCH(AR$7,'Multi-Year Inputs'!$E$4:$AE$4,0)))</f>
        <v>71674.712393819893</v>
      </c>
      <c r="AS11" s="71">
        <f>IF(AS$8=0,0,INDEX('Multi-Year Inputs'!$E$12:$AE$15,MATCH($B11,'Multi-Year Inputs'!$D$12:$D$15,0),MATCH(AS$7,'Multi-Year Inputs'!$E$4:$AE$4,0)))</f>
        <v>71674.712393819893</v>
      </c>
      <c r="AT11" s="71">
        <f>IF(AT$8=0,0,INDEX('Multi-Year Inputs'!$E$12:$AE$15,MATCH($B11,'Multi-Year Inputs'!$D$12:$D$15,0),MATCH(AT$7,'Multi-Year Inputs'!$E$4:$AE$4,0)))</f>
        <v>71674.712393819893</v>
      </c>
      <c r="AU11" s="71">
        <f>IF(AU$8=0,0,INDEX('Multi-Year Inputs'!$E$12:$AE$15,MATCH($B11,'Multi-Year Inputs'!$D$12:$D$15,0),MATCH(AU$7,'Multi-Year Inputs'!$E$4:$AE$4,0)))</f>
        <v>71674.712393819893</v>
      </c>
      <c r="AV11" s="71">
        <f>IF(AV$8=0,0,INDEX('Multi-Year Inputs'!$E$12:$AE$15,MATCH($B11,'Multi-Year Inputs'!$D$12:$D$15,0),MATCH(AV$7,'Multi-Year Inputs'!$E$4:$AE$4,0)))</f>
        <v>71674.712393819893</v>
      </c>
      <c r="AW11" s="71">
        <f>IF(AW$8=0,0,INDEX('Multi-Year Inputs'!$E$12:$AE$15,MATCH($B11,'Multi-Year Inputs'!$D$12:$D$15,0),MATCH(AW$7,'Multi-Year Inputs'!$E$4:$AE$4,0)))</f>
        <v>71674.712393819893</v>
      </c>
      <c r="AX11" s="71">
        <f>IF(AX$8=0,0,INDEX('Multi-Year Inputs'!$E$12:$AE$15,MATCH($B11,'Multi-Year Inputs'!$D$12:$D$15,0),MATCH(AX$7,'Multi-Year Inputs'!$E$4:$AE$4,0)))</f>
        <v>71674.712393819893</v>
      </c>
      <c r="AY11" s="71">
        <f>IF(AY$8=0,0,INDEX('Multi-Year Inputs'!$E$12:$AE$15,MATCH($B11,'Multi-Year Inputs'!$D$12:$D$15,0),MATCH(AY$7,'Multi-Year Inputs'!$E$4:$AE$4,0)))</f>
        <v>71674.712393819893</v>
      </c>
      <c r="AZ11" s="71">
        <f>IF(AZ$8=0,0,INDEX('Multi-Year Inputs'!$E$12:$AE$15,MATCH($B11,'Multi-Year Inputs'!$D$12:$D$15,0),MATCH(AZ$7,'Multi-Year Inputs'!$E$4:$AE$4,0)))</f>
        <v>71674.712393819893</v>
      </c>
      <c r="BA11" s="71">
        <f>IF(BA$8=0,0,INDEX('Multi-Year Inputs'!$E$12:$AE$15,MATCH($B11,'Multi-Year Inputs'!$D$12:$D$15,0),MATCH(BA$7,'Multi-Year Inputs'!$E$4:$AE$4,0)))</f>
        <v>71674.712393819893</v>
      </c>
      <c r="BB11" s="71">
        <f>IF(BB$8=0,0,INDEX('Multi-Year Inputs'!$E$12:$AE$15,MATCH($B11,'Multi-Year Inputs'!$D$12:$D$15,0),MATCH(BB$7,'Multi-Year Inputs'!$E$4:$AE$4,0)))</f>
        <v>71674.712393819893</v>
      </c>
      <c r="BC11" s="71">
        <f>IF(BC$8=0,0,INDEX('Multi-Year Inputs'!$E$12:$AE$15,MATCH($B11,'Multi-Year Inputs'!$D$12:$D$15,0),MATCH(BC$7,'Multi-Year Inputs'!$E$4:$AE$4,0)))</f>
        <v>71674.712393819893</v>
      </c>
      <c r="BD11" s="71">
        <f>IF(BD$8=0,0,INDEX('Multi-Year Inputs'!$E$12:$AE$15,MATCH($B11,'Multi-Year Inputs'!$D$12:$D$15,0),MATCH(BD$7,'Multi-Year Inputs'!$E$4:$AE$4,0)))</f>
        <v>71674.712393819893</v>
      </c>
      <c r="BE11" s="71">
        <f>IF(BE$8=0,0,INDEX('Multi-Year Inputs'!$E$12:$AE$15,MATCH($B11,'Multi-Year Inputs'!$D$12:$D$15,0),MATCH(BE$7,'Multi-Year Inputs'!$E$4:$AE$4,0)))</f>
        <v>71674.712393819893</v>
      </c>
      <c r="BF11" s="71">
        <f>IF(BF$8=0,0,INDEX('Multi-Year Inputs'!$E$12:$AE$15,MATCH($B11,'Multi-Year Inputs'!$D$12:$D$15,0),MATCH(BF$7,'Multi-Year Inputs'!$E$4:$AE$4,0)))</f>
        <v>71674.712393819893</v>
      </c>
      <c r="BG11" s="71">
        <f>IF(BG$8=0,0,INDEX('Multi-Year Inputs'!$E$12:$AE$15,MATCH($B11,'Multi-Year Inputs'!$D$12:$D$15,0),MATCH(BG$7,'Multi-Year Inputs'!$E$4:$AE$4,0)))</f>
        <v>71674.712393819893</v>
      </c>
      <c r="BH11" s="71">
        <f>IF(BH$8=0,0,INDEX('Multi-Year Inputs'!$E$12:$AE$15,MATCH($B11,'Multi-Year Inputs'!$D$12:$D$15,0),MATCH(BH$7,'Multi-Year Inputs'!$E$4:$AE$4,0)))</f>
        <v>71674.712393819893</v>
      </c>
      <c r="BI11" s="71">
        <f>IF(BI$8=0,0,INDEX('Multi-Year Inputs'!$E$12:$AE$15,MATCH($B11,'Multi-Year Inputs'!$D$12:$D$15,0),MATCH(BI$7,'Multi-Year Inputs'!$E$4:$AE$4,0)))</f>
        <v>71674.712393819893</v>
      </c>
      <c r="BJ11" s="71">
        <f>IF(BJ$8=0,0,INDEX('Multi-Year Inputs'!$E$12:$AE$15,MATCH($B11,'Multi-Year Inputs'!$D$12:$D$15,0),MATCH(BJ$7,'Multi-Year Inputs'!$E$4:$AE$4,0)))</f>
        <v>71674.712393819893</v>
      </c>
      <c r="BK11" s="71">
        <f>IF(BK$8=0,0,INDEX('Multi-Year Inputs'!$E$12:$AE$15,MATCH($B11,'Multi-Year Inputs'!$D$12:$D$15,0),MATCH(BK$7,'Multi-Year Inputs'!$E$4:$AE$4,0)))</f>
        <v>71674.712393819893</v>
      </c>
      <c r="BL11" s="71">
        <f>IF(BL$8=0,0,INDEX('Multi-Year Inputs'!$E$12:$AE$15,MATCH($B11,'Multi-Year Inputs'!$D$12:$D$15,0),MATCH(BL$7,'Multi-Year Inputs'!$E$4:$AE$4,0)))</f>
        <v>71674.712393819893</v>
      </c>
      <c r="BM11" s="71">
        <f>IF(BM$8=0,0,INDEX('Multi-Year Inputs'!$E$12:$AE$15,MATCH($B11,'Multi-Year Inputs'!$D$12:$D$15,0),MATCH(BM$7,'Multi-Year Inputs'!$E$4:$AE$4,0)))</f>
        <v>71674.712393819893</v>
      </c>
      <c r="BN11" s="72"/>
      <c r="BO11" s="72"/>
      <c r="BP11" s="72"/>
      <c r="BS11" s="76" t="s">
        <v>89</v>
      </c>
      <c r="BT11" s="51" t="s">
        <v>17</v>
      </c>
    </row>
    <row r="12" spans="1:72" s="5" customFormat="1" x14ac:dyDescent="0.25">
      <c r="A12" s="52"/>
      <c r="B12" s="242" t="str">
        <f t="shared" si="4"/>
        <v>Residential</v>
      </c>
      <c r="C12" s="242" t="str">
        <f>C11</f>
        <v>Customers</v>
      </c>
      <c r="D12" s="244" t="s">
        <v>40</v>
      </c>
      <c r="E12" s="77" t="s">
        <v>40</v>
      </c>
      <c r="F12" s="76" t="s">
        <v>2</v>
      </c>
      <c r="G12" s="65">
        <f ca="1">IF($C$4=Lookups!$D$40,IF(SUM(INDIRECT("'Yr1'!"&amp;ADDRESS(ROW(G12),COLUMN(G12))),INDIRECT("'Yr2'!"&amp;ADDRESS(ROW(G12),COLUMN(G12))),INDIRECT("'Yr3'!"&amp;ADDRESS(ROW(G12),COLUMN(G12))))&gt;0,"3 Yr. total",0),
IF(G$7&lt;$C$4,0,IF(G$8&lt;=SUMIFS('EE Inputs'!$V$9:$V$32,'EE Inputs'!$C$9:$C$32,$G$6,'EE Inputs'!$D$9:$D$32,$C$4,'EE Inputs'!$E$9:$E$32,$B12),SUMIFS('EE Inputs'!$V$9:$V$32,'EE Inputs'!$C$9:$C$32,$G$6,'EE Inputs'!$D$9:$D$32,$C$4,'EE Inputs'!$E$9:$E$32,$B12),0)))</f>
        <v>15</v>
      </c>
      <c r="H12" s="65">
        <f ca="1">IF($C$4=Lookups!$D$40,IF(SUM(INDIRECT("'Yr1'!"&amp;ADDRESS(ROW(H12),COLUMN(H12))),INDIRECT("'Yr2'!"&amp;ADDRESS(ROW(H12),COLUMN(H12))),INDIRECT("'Yr3'!"&amp;ADDRESS(ROW(H12),COLUMN(H12))))&gt;0,"3 Yr. total",0),
IF(H$7&lt;$C$4,0,IF(H$8&lt;=SUMIFS('EE Inputs'!$V$9:$V$32,'EE Inputs'!$C$9:$C$32,$G$6,'EE Inputs'!$D$9:$D$32,$C$4,'EE Inputs'!$E$9:$E$32,$B12),SUMIFS('EE Inputs'!$V$9:$V$32,'EE Inputs'!$C$9:$C$32,$G$6,'EE Inputs'!$D$9:$D$32,$C$4,'EE Inputs'!$E$9:$E$32,$B12),0)))</f>
        <v>15</v>
      </c>
      <c r="I12" s="65">
        <f ca="1">IF($C$4=Lookups!$D$40,IF(SUM(INDIRECT("'Yr1'!"&amp;ADDRESS(ROW(I12),COLUMN(I12))),INDIRECT("'Yr2'!"&amp;ADDRESS(ROW(I12),COLUMN(I12))),INDIRECT("'Yr3'!"&amp;ADDRESS(ROW(I12),COLUMN(I12))))&gt;0,"3 Yr. total",0),
IF(I$7&lt;$C$4,0,IF(I$8&lt;=SUMIFS('EE Inputs'!$V$9:$V$32,'EE Inputs'!$C$9:$C$32,$G$6,'EE Inputs'!$D$9:$D$32,$C$4,'EE Inputs'!$E$9:$E$32,$B12),SUMIFS('EE Inputs'!$V$9:$V$32,'EE Inputs'!$C$9:$C$32,$G$6,'EE Inputs'!$D$9:$D$32,$C$4,'EE Inputs'!$E$9:$E$32,$B12),0)))</f>
        <v>15</v>
      </c>
      <c r="J12" s="65">
        <f ca="1">IF($C$4=Lookups!$D$40,IF(SUM(INDIRECT("'Yr1'!"&amp;ADDRESS(ROW(J12),COLUMN(J12))),INDIRECT("'Yr2'!"&amp;ADDRESS(ROW(J12),COLUMN(J12))),INDIRECT("'Yr3'!"&amp;ADDRESS(ROW(J12),COLUMN(J12))))&gt;0,"3 Yr. total",0),
IF(J$7&lt;$C$4,0,IF(J$8&lt;=SUMIFS('EE Inputs'!$V$9:$V$32,'EE Inputs'!$C$9:$C$32,$G$6,'EE Inputs'!$D$9:$D$32,$C$4,'EE Inputs'!$E$9:$E$32,$B12),SUMIFS('EE Inputs'!$V$9:$V$32,'EE Inputs'!$C$9:$C$32,$G$6,'EE Inputs'!$D$9:$D$32,$C$4,'EE Inputs'!$E$9:$E$32,$B12),0)))</f>
        <v>15</v>
      </c>
      <c r="K12" s="65">
        <f ca="1">IF($C$4=Lookups!$D$40,IF(SUM(INDIRECT("'Yr1'!"&amp;ADDRESS(ROW(K12),COLUMN(K12))),INDIRECT("'Yr2'!"&amp;ADDRESS(ROW(K12),COLUMN(K12))),INDIRECT("'Yr3'!"&amp;ADDRESS(ROW(K12),COLUMN(K12))))&gt;0,"3 Yr. total",0),
IF(K$7&lt;$C$4,0,IF(K$8&lt;=SUMIFS('EE Inputs'!$V$9:$V$32,'EE Inputs'!$C$9:$C$32,$G$6,'EE Inputs'!$D$9:$D$32,$C$4,'EE Inputs'!$E$9:$E$32,$B12),SUMIFS('EE Inputs'!$V$9:$V$32,'EE Inputs'!$C$9:$C$32,$G$6,'EE Inputs'!$D$9:$D$32,$C$4,'EE Inputs'!$E$9:$E$32,$B12),0)))</f>
        <v>15</v>
      </c>
      <c r="L12" s="65">
        <f ca="1">IF($C$4=Lookups!$D$40,IF(SUM(INDIRECT("'Yr1'!"&amp;ADDRESS(ROW(L12),COLUMN(L12))),INDIRECT("'Yr2'!"&amp;ADDRESS(ROW(L12),COLUMN(L12))),INDIRECT("'Yr3'!"&amp;ADDRESS(ROW(L12),COLUMN(L12))))&gt;0,"3 Yr. total",0),
IF(L$7&lt;$C$4,0,IF(L$8&lt;=SUMIFS('EE Inputs'!$V$9:$V$32,'EE Inputs'!$C$9:$C$32,$G$6,'EE Inputs'!$D$9:$D$32,$C$4,'EE Inputs'!$E$9:$E$32,$B12),SUMIFS('EE Inputs'!$V$9:$V$32,'EE Inputs'!$C$9:$C$32,$G$6,'EE Inputs'!$D$9:$D$32,$C$4,'EE Inputs'!$E$9:$E$32,$B12),0)))</f>
        <v>15</v>
      </c>
      <c r="M12" s="65">
        <f ca="1">IF($C$4=Lookups!$D$40,IF(SUM(INDIRECT("'Yr1'!"&amp;ADDRESS(ROW(M12),COLUMN(M12))),INDIRECT("'Yr2'!"&amp;ADDRESS(ROW(M12),COLUMN(M12))),INDIRECT("'Yr3'!"&amp;ADDRESS(ROW(M12),COLUMN(M12))))&gt;0,"3 Yr. total",0),
IF(M$7&lt;$C$4,0,IF(M$8&lt;=SUMIFS('EE Inputs'!$V$9:$V$32,'EE Inputs'!$C$9:$C$32,$G$6,'EE Inputs'!$D$9:$D$32,$C$4,'EE Inputs'!$E$9:$E$32,$B12),SUMIFS('EE Inputs'!$V$9:$V$32,'EE Inputs'!$C$9:$C$32,$G$6,'EE Inputs'!$D$9:$D$32,$C$4,'EE Inputs'!$E$9:$E$32,$B12),0)))</f>
        <v>15</v>
      </c>
      <c r="N12" s="65">
        <f ca="1">IF($C$4=Lookups!$D$40,IF(SUM(INDIRECT("'Yr1'!"&amp;ADDRESS(ROW(N12),COLUMN(N12))),INDIRECT("'Yr2'!"&amp;ADDRESS(ROW(N12),COLUMN(N12))),INDIRECT("'Yr3'!"&amp;ADDRESS(ROW(N12),COLUMN(N12))))&gt;0,"3 Yr. total",0),
IF(N$7&lt;$C$4,0,IF(N$8&lt;=SUMIFS('EE Inputs'!$V$9:$V$32,'EE Inputs'!$C$9:$C$32,$G$6,'EE Inputs'!$D$9:$D$32,$C$4,'EE Inputs'!$E$9:$E$32,$B12),SUMIFS('EE Inputs'!$V$9:$V$32,'EE Inputs'!$C$9:$C$32,$G$6,'EE Inputs'!$D$9:$D$32,$C$4,'EE Inputs'!$E$9:$E$32,$B12),0)))</f>
        <v>15</v>
      </c>
      <c r="O12" s="65">
        <f ca="1">IF($C$4=Lookups!$D$40,IF(SUM(INDIRECT("'Yr1'!"&amp;ADDRESS(ROW(O12),COLUMN(O12))),INDIRECT("'Yr2'!"&amp;ADDRESS(ROW(O12),COLUMN(O12))),INDIRECT("'Yr3'!"&amp;ADDRESS(ROW(O12),COLUMN(O12))))&gt;0,"3 Yr. total",0),
IF(O$7&lt;$C$4,0,IF(O$8&lt;=SUMIFS('EE Inputs'!$V$9:$V$32,'EE Inputs'!$C$9:$C$32,$G$6,'EE Inputs'!$D$9:$D$32,$C$4,'EE Inputs'!$E$9:$E$32,$B12),SUMIFS('EE Inputs'!$V$9:$V$32,'EE Inputs'!$C$9:$C$32,$G$6,'EE Inputs'!$D$9:$D$32,$C$4,'EE Inputs'!$E$9:$E$32,$B12),0)))</f>
        <v>15</v>
      </c>
      <c r="P12" s="65">
        <f ca="1">IF($C$4=Lookups!$D$40,IF(SUM(INDIRECT("'Yr1'!"&amp;ADDRESS(ROW(P12),COLUMN(P12))),INDIRECT("'Yr2'!"&amp;ADDRESS(ROW(P12),COLUMN(P12))),INDIRECT("'Yr3'!"&amp;ADDRESS(ROW(P12),COLUMN(P12))))&gt;0,"3 Yr. total",0),
IF(P$7&lt;$C$4,0,IF(P$8&lt;=SUMIFS('EE Inputs'!$V$9:$V$32,'EE Inputs'!$C$9:$C$32,$G$6,'EE Inputs'!$D$9:$D$32,$C$4,'EE Inputs'!$E$9:$E$32,$B12),SUMIFS('EE Inputs'!$V$9:$V$32,'EE Inputs'!$C$9:$C$32,$G$6,'EE Inputs'!$D$9:$D$32,$C$4,'EE Inputs'!$E$9:$E$32,$B12),0)))</f>
        <v>15</v>
      </c>
      <c r="Q12" s="65">
        <f ca="1">IF($C$4=Lookups!$D$40,IF(SUM(INDIRECT("'Yr1'!"&amp;ADDRESS(ROW(Q12),COLUMN(Q12))),INDIRECT("'Yr2'!"&amp;ADDRESS(ROW(Q12),COLUMN(Q12))),INDIRECT("'Yr3'!"&amp;ADDRESS(ROW(Q12),COLUMN(Q12))))&gt;0,"3 Yr. total",0),
IF(Q$7&lt;$C$4,0,IF(Q$8&lt;=SUMIFS('EE Inputs'!$V$9:$V$32,'EE Inputs'!$C$9:$C$32,$G$6,'EE Inputs'!$D$9:$D$32,$C$4,'EE Inputs'!$E$9:$E$32,$B12),SUMIFS('EE Inputs'!$V$9:$V$32,'EE Inputs'!$C$9:$C$32,$G$6,'EE Inputs'!$D$9:$D$32,$C$4,'EE Inputs'!$E$9:$E$32,$B12),0)))</f>
        <v>15</v>
      </c>
      <c r="R12" s="65">
        <f ca="1">IF($C$4=Lookups!$D$40,IF(SUM(INDIRECT("'Yr1'!"&amp;ADDRESS(ROW(R12),COLUMN(R12))),INDIRECT("'Yr2'!"&amp;ADDRESS(ROW(R12),COLUMN(R12))),INDIRECT("'Yr3'!"&amp;ADDRESS(ROW(R12),COLUMN(R12))))&gt;0,"3 Yr. total",0),
IF(R$7&lt;$C$4,0,IF(R$8&lt;=SUMIFS('EE Inputs'!$V$9:$V$32,'EE Inputs'!$C$9:$C$32,$G$6,'EE Inputs'!$D$9:$D$32,$C$4,'EE Inputs'!$E$9:$E$32,$B12),SUMIFS('EE Inputs'!$V$9:$V$32,'EE Inputs'!$C$9:$C$32,$G$6,'EE Inputs'!$D$9:$D$32,$C$4,'EE Inputs'!$E$9:$E$32,$B12),0)))</f>
        <v>15</v>
      </c>
      <c r="S12" s="65">
        <f ca="1">IF($C$4=Lookups!$D$40,IF(SUM(INDIRECT("'Yr1'!"&amp;ADDRESS(ROW(S12),COLUMN(S12))),INDIRECT("'Yr2'!"&amp;ADDRESS(ROW(S12),COLUMN(S12))),INDIRECT("'Yr3'!"&amp;ADDRESS(ROW(S12),COLUMN(S12))))&gt;0,"3 Yr. total",0),
IF(S$7&lt;$C$4,0,IF(S$8&lt;=SUMIFS('EE Inputs'!$V$9:$V$32,'EE Inputs'!$C$9:$C$32,$G$6,'EE Inputs'!$D$9:$D$32,$C$4,'EE Inputs'!$E$9:$E$32,$B12),SUMIFS('EE Inputs'!$V$9:$V$32,'EE Inputs'!$C$9:$C$32,$G$6,'EE Inputs'!$D$9:$D$32,$C$4,'EE Inputs'!$E$9:$E$32,$B12),0)))</f>
        <v>15</v>
      </c>
      <c r="T12" s="65">
        <f ca="1">IF($C$4=Lookups!$D$40,IF(SUM(INDIRECT("'Yr1'!"&amp;ADDRESS(ROW(T12),COLUMN(T12))),INDIRECT("'Yr2'!"&amp;ADDRESS(ROW(T12),COLUMN(T12))),INDIRECT("'Yr3'!"&amp;ADDRESS(ROW(T12),COLUMN(T12))))&gt;0,"3 Yr. total",0),
IF(T$7&lt;$C$4,0,IF(T$8&lt;=SUMIFS('EE Inputs'!$V$9:$V$32,'EE Inputs'!$C$9:$C$32,$G$6,'EE Inputs'!$D$9:$D$32,$C$4,'EE Inputs'!$E$9:$E$32,$B12),SUMIFS('EE Inputs'!$V$9:$V$32,'EE Inputs'!$C$9:$C$32,$G$6,'EE Inputs'!$D$9:$D$32,$C$4,'EE Inputs'!$E$9:$E$32,$B12),0)))</f>
        <v>15</v>
      </c>
      <c r="U12" s="65">
        <f ca="1">IF($C$4=Lookups!$D$40,IF(SUM(INDIRECT("'Yr1'!"&amp;ADDRESS(ROW(U12),COLUMN(U12))),INDIRECT("'Yr2'!"&amp;ADDRESS(ROW(U12),COLUMN(U12))),INDIRECT("'Yr3'!"&amp;ADDRESS(ROW(U12),COLUMN(U12))))&gt;0,"3 Yr. total",0),
IF(U$7&lt;$C$4,0,IF(U$8&lt;=SUMIFS('EE Inputs'!$V$9:$V$32,'EE Inputs'!$C$9:$C$32,$G$6,'EE Inputs'!$D$9:$D$32,$C$4,'EE Inputs'!$E$9:$E$32,$B12),SUMIFS('EE Inputs'!$V$9:$V$32,'EE Inputs'!$C$9:$C$32,$G$6,'EE Inputs'!$D$9:$D$32,$C$4,'EE Inputs'!$E$9:$E$32,$B12),0)))</f>
        <v>15</v>
      </c>
      <c r="V12" s="65">
        <f ca="1">IF($C$4=Lookups!$D$40,IF(SUM(INDIRECT("'Yr1'!"&amp;ADDRESS(ROW(V12),COLUMN(V12))),INDIRECT("'Yr2'!"&amp;ADDRESS(ROW(V12),COLUMN(V12))),INDIRECT("'Yr3'!"&amp;ADDRESS(ROW(V12),COLUMN(V12))))&gt;0,"3 Yr. total",0),
IF(V$7&lt;$C$4,0,IF(V$8&lt;=SUMIFS('EE Inputs'!$V$9:$V$32,'EE Inputs'!$C$9:$C$32,$G$6,'EE Inputs'!$D$9:$D$32,$C$4,'EE Inputs'!$E$9:$E$32,$B12),SUMIFS('EE Inputs'!$V$9:$V$32,'EE Inputs'!$C$9:$C$32,$G$6,'EE Inputs'!$D$9:$D$32,$C$4,'EE Inputs'!$E$9:$E$32,$B12),0)))</f>
        <v>0</v>
      </c>
      <c r="W12" s="65">
        <f ca="1">IF($C$4=Lookups!$D$40,IF(SUM(INDIRECT("'Yr1'!"&amp;ADDRESS(ROW(W12),COLUMN(W12))),INDIRECT("'Yr2'!"&amp;ADDRESS(ROW(W12),COLUMN(W12))),INDIRECT("'Yr3'!"&amp;ADDRESS(ROW(W12),COLUMN(W12))))&gt;0,"3 Yr. total",0),
IF(W$7&lt;$C$4,0,IF(W$8&lt;=SUMIFS('EE Inputs'!$V$9:$V$32,'EE Inputs'!$C$9:$C$32,$G$6,'EE Inputs'!$D$9:$D$32,$C$4,'EE Inputs'!$E$9:$E$32,$B12),SUMIFS('EE Inputs'!$V$9:$V$32,'EE Inputs'!$C$9:$C$32,$G$6,'EE Inputs'!$D$9:$D$32,$C$4,'EE Inputs'!$E$9:$E$32,$B12),0)))</f>
        <v>0</v>
      </c>
      <c r="X12" s="65">
        <f ca="1">IF($C$4=Lookups!$D$40,IF(SUM(INDIRECT("'Yr1'!"&amp;ADDRESS(ROW(X12),COLUMN(X12))),INDIRECT("'Yr2'!"&amp;ADDRESS(ROW(X12),COLUMN(X12))),INDIRECT("'Yr3'!"&amp;ADDRESS(ROW(X12),COLUMN(X12))))&gt;0,"3 Yr. total",0),
IF(X$7&lt;$C$4,0,IF(X$8&lt;=SUMIFS('EE Inputs'!$V$9:$V$32,'EE Inputs'!$C$9:$C$32,$G$6,'EE Inputs'!$D$9:$D$32,$C$4,'EE Inputs'!$E$9:$E$32,$B12),SUMIFS('EE Inputs'!$V$9:$V$32,'EE Inputs'!$C$9:$C$32,$G$6,'EE Inputs'!$D$9:$D$32,$C$4,'EE Inputs'!$E$9:$E$32,$B12),0)))</f>
        <v>0</v>
      </c>
      <c r="Y12" s="65">
        <f ca="1">IF($C$4=Lookups!$D$40,IF(SUM(INDIRECT("'Yr1'!"&amp;ADDRESS(ROW(Y12),COLUMN(Y12))),INDIRECT("'Yr2'!"&amp;ADDRESS(ROW(Y12),COLUMN(Y12))),INDIRECT("'Yr3'!"&amp;ADDRESS(ROW(Y12),COLUMN(Y12))))&gt;0,"3 Yr. total",0),
IF(Y$7&lt;$C$4,0,IF(Y$8&lt;=SUMIFS('EE Inputs'!$V$9:$V$32,'EE Inputs'!$C$9:$C$32,$G$6,'EE Inputs'!$D$9:$D$32,$C$4,'EE Inputs'!$E$9:$E$32,$B12),SUMIFS('EE Inputs'!$V$9:$V$32,'EE Inputs'!$C$9:$C$32,$G$6,'EE Inputs'!$D$9:$D$32,$C$4,'EE Inputs'!$E$9:$E$32,$B12),0)))</f>
        <v>0</v>
      </c>
      <c r="Z12" s="65">
        <f ca="1">IF($C$4=Lookups!$D$40,IF(SUM(INDIRECT("'Yr1'!"&amp;ADDRESS(ROW(Z12),COLUMN(Z12))),INDIRECT("'Yr2'!"&amp;ADDRESS(ROW(Z12),COLUMN(Z12))),INDIRECT("'Yr3'!"&amp;ADDRESS(ROW(Z12),COLUMN(Z12))))&gt;0,"3 Yr. total",0),
IF(Z$7&lt;$C$4,0,IF(Z$8&lt;=SUMIFS('EE Inputs'!$V$9:$V$32,'EE Inputs'!$C$9:$C$32,$G$6,'EE Inputs'!$D$9:$D$32,$C$4,'EE Inputs'!$E$9:$E$32,$B12),SUMIFS('EE Inputs'!$V$9:$V$32,'EE Inputs'!$C$9:$C$32,$G$6,'EE Inputs'!$D$9:$D$32,$C$4,'EE Inputs'!$E$9:$E$32,$B12),0)))</f>
        <v>0</v>
      </c>
      <c r="AA12" s="65">
        <f ca="1">IF($C$4=Lookups!$D$40,IF(SUM(INDIRECT("'Yr1'!"&amp;ADDRESS(ROW(AA12),COLUMN(AA12))),INDIRECT("'Yr2'!"&amp;ADDRESS(ROW(AA12),COLUMN(AA12))),INDIRECT("'Yr3'!"&amp;ADDRESS(ROW(AA12),COLUMN(AA12))))&gt;0,"3 Yr. total",0),
IF(AA$7&lt;$C$4,0,IF(AA$8&lt;=SUMIFS('EE Inputs'!$V$9:$V$32,'EE Inputs'!$C$9:$C$32,$G$6,'EE Inputs'!$D$9:$D$32,$C$4,'EE Inputs'!$E$9:$E$32,$B12),SUMIFS('EE Inputs'!$V$9:$V$32,'EE Inputs'!$C$9:$C$32,$G$6,'EE Inputs'!$D$9:$D$32,$C$4,'EE Inputs'!$E$9:$E$32,$B12),0)))</f>
        <v>0</v>
      </c>
      <c r="AB12" s="65">
        <f ca="1">IF($C$4=Lookups!$D$40,IF(SUM(INDIRECT("'Yr1'!"&amp;ADDRESS(ROW(AB12),COLUMN(AB12))),INDIRECT("'Yr2'!"&amp;ADDRESS(ROW(AB12),COLUMN(AB12))),INDIRECT("'Yr3'!"&amp;ADDRESS(ROW(AB12),COLUMN(AB12))))&gt;0,"3 Yr. total",0),
IF(AB$7&lt;$C$4,0,IF(AB$8&lt;=SUMIFS('EE Inputs'!$V$9:$V$32,'EE Inputs'!$C$9:$C$32,$G$6,'EE Inputs'!$D$9:$D$32,$C$4,'EE Inputs'!$E$9:$E$32,$B12),SUMIFS('EE Inputs'!$V$9:$V$32,'EE Inputs'!$C$9:$C$32,$G$6,'EE Inputs'!$D$9:$D$32,$C$4,'EE Inputs'!$E$9:$E$32,$B12),0)))</f>
        <v>0</v>
      </c>
      <c r="AC12" s="65">
        <f ca="1">IF($C$4=Lookups!$D$40,IF(SUM(INDIRECT("'Yr1'!"&amp;ADDRESS(ROW(AC12),COLUMN(AC12))),INDIRECT("'Yr2'!"&amp;ADDRESS(ROW(AC12),COLUMN(AC12))),INDIRECT("'Yr3'!"&amp;ADDRESS(ROW(AC12),COLUMN(AC12))))&gt;0,"3 Yr. total",0),
IF(AC$7&lt;$C$4,0,IF(AC$8&lt;=SUMIFS('EE Inputs'!$V$9:$V$32,'EE Inputs'!$C$9:$C$32,$G$6,'EE Inputs'!$D$9:$D$32,$C$4,'EE Inputs'!$E$9:$E$32,$B12),SUMIFS('EE Inputs'!$V$9:$V$32,'EE Inputs'!$C$9:$C$32,$G$6,'EE Inputs'!$D$9:$D$32,$C$4,'EE Inputs'!$E$9:$E$32,$B12),0)))</f>
        <v>0</v>
      </c>
      <c r="AD12" s="65">
        <f ca="1">IF($C$4=Lookups!$D$40,IF(SUM(INDIRECT("'Yr1'!"&amp;ADDRESS(ROW(AD12),COLUMN(AD12))),INDIRECT("'Yr2'!"&amp;ADDRESS(ROW(AD12),COLUMN(AD12))),INDIRECT("'Yr3'!"&amp;ADDRESS(ROW(AD12),COLUMN(AD12))))&gt;0,"3 Yr. total",0),
IF(AD$7&lt;$C$4,0,IF(AD$8&lt;=SUMIFS('EE Inputs'!$V$9:$V$32,'EE Inputs'!$C$9:$C$32,$G$6,'EE Inputs'!$D$9:$D$32,$C$4,'EE Inputs'!$E$9:$E$32,$B12),SUMIFS('EE Inputs'!$V$9:$V$32,'EE Inputs'!$C$9:$C$32,$G$6,'EE Inputs'!$D$9:$D$32,$C$4,'EE Inputs'!$E$9:$E$32,$B12),0)))</f>
        <v>0</v>
      </c>
      <c r="AE12" s="65">
        <f ca="1">IF($C$4=Lookups!$D$40,IF(SUM(INDIRECT("'Yr1'!"&amp;ADDRESS(ROW(AE12),COLUMN(AE12))),INDIRECT("'Yr2'!"&amp;ADDRESS(ROW(AE12),COLUMN(AE12))),INDIRECT("'Yr3'!"&amp;ADDRESS(ROW(AE12),COLUMN(AE12))))&gt;0,"3 Yr. total",0),
IF(AE$7&lt;$C$4,0,IF(AE$8&lt;=SUMIFS('EE Inputs'!$V$9:$V$32,'EE Inputs'!$C$9:$C$32,$G$6,'EE Inputs'!$D$9:$D$32,$C$4,'EE Inputs'!$E$9:$E$32,$B12),SUMIFS('EE Inputs'!$V$9:$V$32,'EE Inputs'!$C$9:$C$32,$G$6,'EE Inputs'!$D$9:$D$32,$C$4,'EE Inputs'!$E$9:$E$32,$B12),0)))</f>
        <v>0</v>
      </c>
      <c r="AF12" s="65">
        <f ca="1">IF($C$4=Lookups!$D$40,IF(SUM(INDIRECT("'Yr1'!"&amp;ADDRESS(ROW(AF12),COLUMN(AF12))),INDIRECT("'Yr2'!"&amp;ADDRESS(ROW(AF12),COLUMN(AF12))),INDIRECT("'Yr3'!"&amp;ADDRESS(ROW(AF12),COLUMN(AF12))))&gt;0,"3 Yr. total",0),
IF(AF$7&lt;$C$4,0,IF(AF$8&lt;=SUMIFS('EE Inputs'!$V$9:$V$32,'EE Inputs'!$C$9:$C$32,$G$6,'EE Inputs'!$D$9:$D$32,$C$4,'EE Inputs'!$E$9:$E$32,$B12),SUMIFS('EE Inputs'!$V$9:$V$32,'EE Inputs'!$C$9:$C$32,$G$6,'EE Inputs'!$D$9:$D$32,$C$4,'EE Inputs'!$E$9:$E$32,$B12),0)))</f>
        <v>0</v>
      </c>
      <c r="AG12" s="65">
        <f ca="1">IF($C$4=Lookups!$D$40,IF(SUM(INDIRECT("'Yr1'!"&amp;ADDRESS(ROW(AG12),COLUMN(AG12))),INDIRECT("'Yr2'!"&amp;ADDRESS(ROW(AG12),COLUMN(AG12))),INDIRECT("'Yr3'!"&amp;ADDRESS(ROW(AG12),COLUMN(AG12))))&gt;0,"3 Yr. total",0),
IF(AG$7&lt;$C$4,0,IF(AG$8&lt;=SUMIFS('EE Inputs'!$V$9:$V$32,'EE Inputs'!$C$9:$C$32,$G$6,'EE Inputs'!$D$9:$D$32,$C$4,'EE Inputs'!$E$9:$E$32,$B12),SUMIFS('EE Inputs'!$V$9:$V$32,'EE Inputs'!$C$9:$C$32,$G$6,'EE Inputs'!$D$9:$D$32,$C$4,'EE Inputs'!$E$9:$E$32,$B12),0)))</f>
        <v>0</v>
      </c>
      <c r="AH12" s="65"/>
      <c r="AI12" s="65"/>
      <c r="AJ12" s="65"/>
      <c r="AM12" s="72">
        <f ca="1">IF($C$4=Lookups!$D$40,IF(SUM(INDIRECT("'Yr1'!"&amp;ADDRESS(ROW(AM12),COLUMN(AM12))),INDIRECT("'Yr2'!"&amp;ADDRESS(ROW(AM12),COLUMN(AM12))),INDIRECT("'Yr3'!"&amp;ADDRESS(ROW(AM12),COLUMN(AM12))))&gt;0,"3 Yr. total",0),
IF(AM$7&lt;$C$4,0,IF(AM$8&lt;=SUMIFS('EE Inputs'!$V$9:$V$32,'EE Inputs'!$C$9:$C$32,$AM$6,'EE Inputs'!$D$9:$D$32,$C$4,'EE Inputs'!$E$9:$E$32,$B12),SUMIFS('EE Inputs'!$V$9:$V$32,'EE Inputs'!$C$9:$C$32,$AM$6,'EE Inputs'!$D$9:$D$32,$C$4,'EE Inputs'!$E$9:$E$32,$B12),0)))</f>
        <v>15</v>
      </c>
      <c r="AN12" s="72">
        <f ca="1">IF($C$4=Lookups!$D$40,IF(SUM(INDIRECT("'Yr1'!"&amp;ADDRESS(ROW(AN12),COLUMN(AN12))),INDIRECT("'Yr2'!"&amp;ADDRESS(ROW(AN12),COLUMN(AN12))),INDIRECT("'Yr3'!"&amp;ADDRESS(ROW(AN12),COLUMN(AN12))))&gt;0,"3 Yr. total",0),
IF(AN$7&lt;$C$4,0,IF(AN$8&lt;=SUMIFS('EE Inputs'!$V$9:$V$32,'EE Inputs'!$C$9:$C$32,$AM$6,'EE Inputs'!$D$9:$D$32,$C$4,'EE Inputs'!$E$9:$E$32,$B12),SUMIFS('EE Inputs'!$V$9:$V$32,'EE Inputs'!$C$9:$C$32,$AM$6,'EE Inputs'!$D$9:$D$32,$C$4,'EE Inputs'!$E$9:$E$32,$B12),0)))</f>
        <v>15</v>
      </c>
      <c r="AO12" s="72">
        <f ca="1">IF($C$4=Lookups!$D$40,IF(SUM(INDIRECT("'Yr1'!"&amp;ADDRESS(ROW(AO12),COLUMN(AO12))),INDIRECT("'Yr2'!"&amp;ADDRESS(ROW(AO12),COLUMN(AO12))),INDIRECT("'Yr3'!"&amp;ADDRESS(ROW(AO12),COLUMN(AO12))))&gt;0,"3 Yr. total",0),
IF(AO$7&lt;$C$4,0,IF(AO$8&lt;=SUMIFS('EE Inputs'!$V$9:$V$32,'EE Inputs'!$C$9:$C$32,$AM$6,'EE Inputs'!$D$9:$D$32,$C$4,'EE Inputs'!$E$9:$E$32,$B12),SUMIFS('EE Inputs'!$V$9:$V$32,'EE Inputs'!$C$9:$C$32,$AM$6,'EE Inputs'!$D$9:$D$32,$C$4,'EE Inputs'!$E$9:$E$32,$B12),0)))</f>
        <v>15</v>
      </c>
      <c r="AP12" s="72">
        <f ca="1">IF($C$4=Lookups!$D$40,IF(SUM(INDIRECT("'Yr1'!"&amp;ADDRESS(ROW(AP12),COLUMN(AP12))),INDIRECT("'Yr2'!"&amp;ADDRESS(ROW(AP12),COLUMN(AP12))),INDIRECT("'Yr3'!"&amp;ADDRESS(ROW(AP12),COLUMN(AP12))))&gt;0,"3 Yr. total",0),
IF(AP$7&lt;$C$4,0,IF(AP$8&lt;=SUMIFS('EE Inputs'!$V$9:$V$32,'EE Inputs'!$C$9:$C$32,$AM$6,'EE Inputs'!$D$9:$D$32,$C$4,'EE Inputs'!$E$9:$E$32,$B12),SUMIFS('EE Inputs'!$V$9:$V$32,'EE Inputs'!$C$9:$C$32,$AM$6,'EE Inputs'!$D$9:$D$32,$C$4,'EE Inputs'!$E$9:$E$32,$B12),0)))</f>
        <v>15</v>
      </c>
      <c r="AQ12" s="72">
        <f ca="1">IF($C$4=Lookups!$D$40,IF(SUM(INDIRECT("'Yr1'!"&amp;ADDRESS(ROW(AQ12),COLUMN(AQ12))),INDIRECT("'Yr2'!"&amp;ADDRESS(ROW(AQ12),COLUMN(AQ12))),INDIRECT("'Yr3'!"&amp;ADDRESS(ROW(AQ12),COLUMN(AQ12))))&gt;0,"3 Yr. total",0),
IF(AQ$7&lt;$C$4,0,IF(AQ$8&lt;=SUMIFS('EE Inputs'!$V$9:$V$32,'EE Inputs'!$C$9:$C$32,$AM$6,'EE Inputs'!$D$9:$D$32,$C$4,'EE Inputs'!$E$9:$E$32,$B12),SUMIFS('EE Inputs'!$V$9:$V$32,'EE Inputs'!$C$9:$C$32,$AM$6,'EE Inputs'!$D$9:$D$32,$C$4,'EE Inputs'!$E$9:$E$32,$B12),0)))</f>
        <v>15</v>
      </c>
      <c r="AR12" s="72">
        <f ca="1">IF($C$4=Lookups!$D$40,IF(SUM(INDIRECT("'Yr1'!"&amp;ADDRESS(ROW(AR12),COLUMN(AR12))),INDIRECT("'Yr2'!"&amp;ADDRESS(ROW(AR12),COLUMN(AR12))),INDIRECT("'Yr3'!"&amp;ADDRESS(ROW(AR12),COLUMN(AR12))))&gt;0,"3 Yr. total",0),
IF(AR$7&lt;$C$4,0,IF(AR$8&lt;=SUMIFS('EE Inputs'!$V$9:$V$32,'EE Inputs'!$C$9:$C$32,$AM$6,'EE Inputs'!$D$9:$D$32,$C$4,'EE Inputs'!$E$9:$E$32,$B12),SUMIFS('EE Inputs'!$V$9:$V$32,'EE Inputs'!$C$9:$C$32,$AM$6,'EE Inputs'!$D$9:$D$32,$C$4,'EE Inputs'!$E$9:$E$32,$B12),0)))</f>
        <v>15</v>
      </c>
      <c r="AS12" s="72">
        <f ca="1">IF($C$4=Lookups!$D$40,IF(SUM(INDIRECT("'Yr1'!"&amp;ADDRESS(ROW(AS12),COLUMN(AS12))),INDIRECT("'Yr2'!"&amp;ADDRESS(ROW(AS12),COLUMN(AS12))),INDIRECT("'Yr3'!"&amp;ADDRESS(ROW(AS12),COLUMN(AS12))))&gt;0,"3 Yr. total",0),
IF(AS$7&lt;$C$4,0,IF(AS$8&lt;=SUMIFS('EE Inputs'!$V$9:$V$32,'EE Inputs'!$C$9:$C$32,$AM$6,'EE Inputs'!$D$9:$D$32,$C$4,'EE Inputs'!$E$9:$E$32,$B12),SUMIFS('EE Inputs'!$V$9:$V$32,'EE Inputs'!$C$9:$C$32,$AM$6,'EE Inputs'!$D$9:$D$32,$C$4,'EE Inputs'!$E$9:$E$32,$B12),0)))</f>
        <v>15</v>
      </c>
      <c r="AT12" s="72">
        <f ca="1">IF($C$4=Lookups!$D$40,IF(SUM(INDIRECT("'Yr1'!"&amp;ADDRESS(ROW(AT12),COLUMN(AT12))),INDIRECT("'Yr2'!"&amp;ADDRESS(ROW(AT12),COLUMN(AT12))),INDIRECT("'Yr3'!"&amp;ADDRESS(ROW(AT12),COLUMN(AT12))))&gt;0,"3 Yr. total",0),
IF(AT$7&lt;$C$4,0,IF(AT$8&lt;=SUMIFS('EE Inputs'!$V$9:$V$32,'EE Inputs'!$C$9:$C$32,$AM$6,'EE Inputs'!$D$9:$D$32,$C$4,'EE Inputs'!$E$9:$E$32,$B12),SUMIFS('EE Inputs'!$V$9:$V$32,'EE Inputs'!$C$9:$C$32,$AM$6,'EE Inputs'!$D$9:$D$32,$C$4,'EE Inputs'!$E$9:$E$32,$B12),0)))</f>
        <v>15</v>
      </c>
      <c r="AU12" s="72">
        <f ca="1">IF($C$4=Lookups!$D$40,IF(SUM(INDIRECT("'Yr1'!"&amp;ADDRESS(ROW(AU12),COLUMN(AU12))),INDIRECT("'Yr2'!"&amp;ADDRESS(ROW(AU12),COLUMN(AU12))),INDIRECT("'Yr3'!"&amp;ADDRESS(ROW(AU12),COLUMN(AU12))))&gt;0,"3 Yr. total",0),
IF(AU$7&lt;$C$4,0,IF(AU$8&lt;=SUMIFS('EE Inputs'!$V$9:$V$32,'EE Inputs'!$C$9:$C$32,$AM$6,'EE Inputs'!$D$9:$D$32,$C$4,'EE Inputs'!$E$9:$E$32,$B12),SUMIFS('EE Inputs'!$V$9:$V$32,'EE Inputs'!$C$9:$C$32,$AM$6,'EE Inputs'!$D$9:$D$32,$C$4,'EE Inputs'!$E$9:$E$32,$B12),0)))</f>
        <v>15</v>
      </c>
      <c r="AV12" s="72">
        <f ca="1">IF($C$4=Lookups!$D$40,IF(SUM(INDIRECT("'Yr1'!"&amp;ADDRESS(ROW(AV12),COLUMN(AV12))),INDIRECT("'Yr2'!"&amp;ADDRESS(ROW(AV12),COLUMN(AV12))),INDIRECT("'Yr3'!"&amp;ADDRESS(ROW(AV12),COLUMN(AV12))))&gt;0,"3 Yr. total",0),
IF(AV$7&lt;$C$4,0,IF(AV$8&lt;=SUMIFS('EE Inputs'!$V$9:$V$32,'EE Inputs'!$C$9:$C$32,$AM$6,'EE Inputs'!$D$9:$D$32,$C$4,'EE Inputs'!$E$9:$E$32,$B12),SUMIFS('EE Inputs'!$V$9:$V$32,'EE Inputs'!$C$9:$C$32,$AM$6,'EE Inputs'!$D$9:$D$32,$C$4,'EE Inputs'!$E$9:$E$32,$B12),0)))</f>
        <v>15</v>
      </c>
      <c r="AW12" s="72">
        <f ca="1">IF($C$4=Lookups!$D$40,IF(SUM(INDIRECT("'Yr1'!"&amp;ADDRESS(ROW(AW12),COLUMN(AW12))),INDIRECT("'Yr2'!"&amp;ADDRESS(ROW(AW12),COLUMN(AW12))),INDIRECT("'Yr3'!"&amp;ADDRESS(ROW(AW12),COLUMN(AW12))))&gt;0,"3 Yr. total",0),
IF(AW$7&lt;$C$4,0,IF(AW$8&lt;=SUMIFS('EE Inputs'!$V$9:$V$32,'EE Inputs'!$C$9:$C$32,$AM$6,'EE Inputs'!$D$9:$D$32,$C$4,'EE Inputs'!$E$9:$E$32,$B12),SUMIFS('EE Inputs'!$V$9:$V$32,'EE Inputs'!$C$9:$C$32,$AM$6,'EE Inputs'!$D$9:$D$32,$C$4,'EE Inputs'!$E$9:$E$32,$B12),0)))</f>
        <v>15</v>
      </c>
      <c r="AX12" s="72">
        <f ca="1">IF($C$4=Lookups!$D$40,IF(SUM(INDIRECT("'Yr1'!"&amp;ADDRESS(ROW(AX12),COLUMN(AX12))),INDIRECT("'Yr2'!"&amp;ADDRESS(ROW(AX12),COLUMN(AX12))),INDIRECT("'Yr3'!"&amp;ADDRESS(ROW(AX12),COLUMN(AX12))))&gt;0,"3 Yr. total",0),
IF(AX$7&lt;$C$4,0,IF(AX$8&lt;=SUMIFS('EE Inputs'!$V$9:$V$32,'EE Inputs'!$C$9:$C$32,$AM$6,'EE Inputs'!$D$9:$D$32,$C$4,'EE Inputs'!$E$9:$E$32,$B12),SUMIFS('EE Inputs'!$V$9:$V$32,'EE Inputs'!$C$9:$C$32,$AM$6,'EE Inputs'!$D$9:$D$32,$C$4,'EE Inputs'!$E$9:$E$32,$B12),0)))</f>
        <v>15</v>
      </c>
      <c r="AY12" s="72">
        <f ca="1">IF($C$4=Lookups!$D$40,IF(SUM(INDIRECT("'Yr1'!"&amp;ADDRESS(ROW(AY12),COLUMN(AY12))),INDIRECT("'Yr2'!"&amp;ADDRESS(ROW(AY12),COLUMN(AY12))),INDIRECT("'Yr3'!"&amp;ADDRESS(ROW(AY12),COLUMN(AY12))))&gt;0,"3 Yr. total",0),
IF(AY$7&lt;$C$4,0,IF(AY$8&lt;=SUMIFS('EE Inputs'!$V$9:$V$32,'EE Inputs'!$C$9:$C$32,$AM$6,'EE Inputs'!$D$9:$D$32,$C$4,'EE Inputs'!$E$9:$E$32,$B12),SUMIFS('EE Inputs'!$V$9:$V$32,'EE Inputs'!$C$9:$C$32,$AM$6,'EE Inputs'!$D$9:$D$32,$C$4,'EE Inputs'!$E$9:$E$32,$B12),0)))</f>
        <v>15</v>
      </c>
      <c r="AZ12" s="72">
        <f ca="1">IF($C$4=Lookups!$D$40,IF(SUM(INDIRECT("'Yr1'!"&amp;ADDRESS(ROW(AZ12),COLUMN(AZ12))),INDIRECT("'Yr2'!"&amp;ADDRESS(ROW(AZ12),COLUMN(AZ12))),INDIRECT("'Yr3'!"&amp;ADDRESS(ROW(AZ12),COLUMN(AZ12))))&gt;0,"3 Yr. total",0),
IF(AZ$7&lt;$C$4,0,IF(AZ$8&lt;=SUMIFS('EE Inputs'!$V$9:$V$32,'EE Inputs'!$C$9:$C$32,$AM$6,'EE Inputs'!$D$9:$D$32,$C$4,'EE Inputs'!$E$9:$E$32,$B12),SUMIFS('EE Inputs'!$V$9:$V$32,'EE Inputs'!$C$9:$C$32,$AM$6,'EE Inputs'!$D$9:$D$32,$C$4,'EE Inputs'!$E$9:$E$32,$B12),0)))</f>
        <v>15</v>
      </c>
      <c r="BA12" s="72">
        <f ca="1">IF($C$4=Lookups!$D$40,IF(SUM(INDIRECT("'Yr1'!"&amp;ADDRESS(ROW(BA12),COLUMN(BA12))),INDIRECT("'Yr2'!"&amp;ADDRESS(ROW(BA12),COLUMN(BA12))),INDIRECT("'Yr3'!"&amp;ADDRESS(ROW(BA12),COLUMN(BA12))))&gt;0,"3 Yr. total",0),
IF(BA$7&lt;$C$4,0,IF(BA$8&lt;=SUMIFS('EE Inputs'!$V$9:$V$32,'EE Inputs'!$C$9:$C$32,$AM$6,'EE Inputs'!$D$9:$D$32,$C$4,'EE Inputs'!$E$9:$E$32,$B12),SUMIFS('EE Inputs'!$V$9:$V$32,'EE Inputs'!$C$9:$C$32,$AM$6,'EE Inputs'!$D$9:$D$32,$C$4,'EE Inputs'!$E$9:$E$32,$B12),0)))</f>
        <v>15</v>
      </c>
      <c r="BB12" s="72">
        <f ca="1">IF($C$4=Lookups!$D$40,IF(SUM(INDIRECT("'Yr1'!"&amp;ADDRESS(ROW(BB12),COLUMN(BB12))),INDIRECT("'Yr2'!"&amp;ADDRESS(ROW(BB12),COLUMN(BB12))),INDIRECT("'Yr3'!"&amp;ADDRESS(ROW(BB12),COLUMN(BB12))))&gt;0,"3 Yr. total",0),
IF(BB$7&lt;$C$4,0,IF(BB$8&lt;=SUMIFS('EE Inputs'!$V$9:$V$32,'EE Inputs'!$C$9:$C$32,$AM$6,'EE Inputs'!$D$9:$D$32,$C$4,'EE Inputs'!$E$9:$E$32,$B12),SUMIFS('EE Inputs'!$V$9:$V$32,'EE Inputs'!$C$9:$C$32,$AM$6,'EE Inputs'!$D$9:$D$32,$C$4,'EE Inputs'!$E$9:$E$32,$B12),0)))</f>
        <v>0</v>
      </c>
      <c r="BC12" s="72">
        <f ca="1">IF($C$4=Lookups!$D$40,IF(SUM(INDIRECT("'Yr1'!"&amp;ADDRESS(ROW(BC12),COLUMN(BC12))),INDIRECT("'Yr2'!"&amp;ADDRESS(ROW(BC12),COLUMN(BC12))),INDIRECT("'Yr3'!"&amp;ADDRESS(ROW(BC12),COLUMN(BC12))))&gt;0,"3 Yr. total",0),
IF(BC$7&lt;$C$4,0,IF(BC$8&lt;=SUMIFS('EE Inputs'!$V$9:$V$32,'EE Inputs'!$C$9:$C$32,$AM$6,'EE Inputs'!$D$9:$D$32,$C$4,'EE Inputs'!$E$9:$E$32,$B12),SUMIFS('EE Inputs'!$V$9:$V$32,'EE Inputs'!$C$9:$C$32,$AM$6,'EE Inputs'!$D$9:$D$32,$C$4,'EE Inputs'!$E$9:$E$32,$B12),0)))</f>
        <v>0</v>
      </c>
      <c r="BD12" s="72">
        <f ca="1">IF($C$4=Lookups!$D$40,IF(SUM(INDIRECT("'Yr1'!"&amp;ADDRESS(ROW(BD12),COLUMN(BD12))),INDIRECT("'Yr2'!"&amp;ADDRESS(ROW(BD12),COLUMN(BD12))),INDIRECT("'Yr3'!"&amp;ADDRESS(ROW(BD12),COLUMN(BD12))))&gt;0,"3 Yr. total",0),
IF(BD$7&lt;$C$4,0,IF(BD$8&lt;=SUMIFS('EE Inputs'!$V$9:$V$32,'EE Inputs'!$C$9:$C$32,$AM$6,'EE Inputs'!$D$9:$D$32,$C$4,'EE Inputs'!$E$9:$E$32,$B12),SUMIFS('EE Inputs'!$V$9:$V$32,'EE Inputs'!$C$9:$C$32,$AM$6,'EE Inputs'!$D$9:$D$32,$C$4,'EE Inputs'!$E$9:$E$32,$B12),0)))</f>
        <v>0</v>
      </c>
      <c r="BE12" s="72">
        <f ca="1">IF($C$4=Lookups!$D$40,IF(SUM(INDIRECT("'Yr1'!"&amp;ADDRESS(ROW(BE12),COLUMN(BE12))),INDIRECT("'Yr2'!"&amp;ADDRESS(ROW(BE12),COLUMN(BE12))),INDIRECT("'Yr3'!"&amp;ADDRESS(ROW(BE12),COLUMN(BE12))))&gt;0,"3 Yr. total",0),
IF(BE$7&lt;$C$4,0,IF(BE$8&lt;=SUMIFS('EE Inputs'!$V$9:$V$32,'EE Inputs'!$C$9:$C$32,$AM$6,'EE Inputs'!$D$9:$D$32,$C$4,'EE Inputs'!$E$9:$E$32,$B12),SUMIFS('EE Inputs'!$V$9:$V$32,'EE Inputs'!$C$9:$C$32,$AM$6,'EE Inputs'!$D$9:$D$32,$C$4,'EE Inputs'!$E$9:$E$32,$B12),0)))</f>
        <v>0</v>
      </c>
      <c r="BF12" s="72">
        <f ca="1">IF($C$4=Lookups!$D$40,IF(SUM(INDIRECT("'Yr1'!"&amp;ADDRESS(ROW(BF12),COLUMN(BF12))),INDIRECT("'Yr2'!"&amp;ADDRESS(ROW(BF12),COLUMN(BF12))),INDIRECT("'Yr3'!"&amp;ADDRESS(ROW(BF12),COLUMN(BF12))))&gt;0,"3 Yr. total",0),
IF(BF$7&lt;$C$4,0,IF(BF$8&lt;=SUMIFS('EE Inputs'!$V$9:$V$32,'EE Inputs'!$C$9:$C$32,$AM$6,'EE Inputs'!$D$9:$D$32,$C$4,'EE Inputs'!$E$9:$E$32,$B12),SUMIFS('EE Inputs'!$V$9:$V$32,'EE Inputs'!$C$9:$C$32,$AM$6,'EE Inputs'!$D$9:$D$32,$C$4,'EE Inputs'!$E$9:$E$32,$B12),0)))</f>
        <v>0</v>
      </c>
      <c r="BG12" s="72">
        <f ca="1">IF($C$4=Lookups!$D$40,IF(SUM(INDIRECT("'Yr1'!"&amp;ADDRESS(ROW(BG12),COLUMN(BG12))),INDIRECT("'Yr2'!"&amp;ADDRESS(ROW(BG12),COLUMN(BG12))),INDIRECT("'Yr3'!"&amp;ADDRESS(ROW(BG12),COLUMN(BG12))))&gt;0,"3 Yr. total",0),
IF(BG$7&lt;$C$4,0,IF(BG$8&lt;=SUMIFS('EE Inputs'!$V$9:$V$32,'EE Inputs'!$C$9:$C$32,$AM$6,'EE Inputs'!$D$9:$D$32,$C$4,'EE Inputs'!$E$9:$E$32,$B12),SUMIFS('EE Inputs'!$V$9:$V$32,'EE Inputs'!$C$9:$C$32,$AM$6,'EE Inputs'!$D$9:$D$32,$C$4,'EE Inputs'!$E$9:$E$32,$B12),0)))</f>
        <v>0</v>
      </c>
      <c r="BH12" s="72">
        <f ca="1">IF($C$4=Lookups!$D$40,IF(SUM(INDIRECT("'Yr1'!"&amp;ADDRESS(ROW(BH12),COLUMN(BH12))),INDIRECT("'Yr2'!"&amp;ADDRESS(ROW(BH12),COLUMN(BH12))),INDIRECT("'Yr3'!"&amp;ADDRESS(ROW(BH12),COLUMN(BH12))))&gt;0,"3 Yr. total",0),
IF(BH$7&lt;$C$4,0,IF(BH$8&lt;=SUMIFS('EE Inputs'!$V$9:$V$32,'EE Inputs'!$C$9:$C$32,$AM$6,'EE Inputs'!$D$9:$D$32,$C$4,'EE Inputs'!$E$9:$E$32,$B12),SUMIFS('EE Inputs'!$V$9:$V$32,'EE Inputs'!$C$9:$C$32,$AM$6,'EE Inputs'!$D$9:$D$32,$C$4,'EE Inputs'!$E$9:$E$32,$B12),0)))</f>
        <v>0</v>
      </c>
      <c r="BI12" s="72">
        <f ca="1">IF($C$4=Lookups!$D$40,IF(SUM(INDIRECT("'Yr1'!"&amp;ADDRESS(ROW(BI12),COLUMN(BI12))),INDIRECT("'Yr2'!"&amp;ADDRESS(ROW(BI12),COLUMN(BI12))),INDIRECT("'Yr3'!"&amp;ADDRESS(ROW(BI12),COLUMN(BI12))))&gt;0,"3 Yr. total",0),
IF(BI$7&lt;$C$4,0,IF(BI$8&lt;=SUMIFS('EE Inputs'!$V$9:$V$32,'EE Inputs'!$C$9:$C$32,$AM$6,'EE Inputs'!$D$9:$D$32,$C$4,'EE Inputs'!$E$9:$E$32,$B12),SUMIFS('EE Inputs'!$V$9:$V$32,'EE Inputs'!$C$9:$C$32,$AM$6,'EE Inputs'!$D$9:$D$32,$C$4,'EE Inputs'!$E$9:$E$32,$B12),0)))</f>
        <v>0</v>
      </c>
      <c r="BJ12" s="72">
        <f ca="1">IF($C$4=Lookups!$D$40,IF(SUM(INDIRECT("'Yr1'!"&amp;ADDRESS(ROW(BJ12),COLUMN(BJ12))),INDIRECT("'Yr2'!"&amp;ADDRESS(ROW(BJ12),COLUMN(BJ12))),INDIRECT("'Yr3'!"&amp;ADDRESS(ROW(BJ12),COLUMN(BJ12))))&gt;0,"3 Yr. total",0),
IF(BJ$7&lt;$C$4,0,IF(BJ$8&lt;=SUMIFS('EE Inputs'!$V$9:$V$32,'EE Inputs'!$C$9:$C$32,$AM$6,'EE Inputs'!$D$9:$D$32,$C$4,'EE Inputs'!$E$9:$E$32,$B12),SUMIFS('EE Inputs'!$V$9:$V$32,'EE Inputs'!$C$9:$C$32,$AM$6,'EE Inputs'!$D$9:$D$32,$C$4,'EE Inputs'!$E$9:$E$32,$B12),0)))</f>
        <v>0</v>
      </c>
      <c r="BK12" s="72">
        <f ca="1">IF($C$4=Lookups!$D$40,IF(SUM(INDIRECT("'Yr1'!"&amp;ADDRESS(ROW(BK12),COLUMN(BK12))),INDIRECT("'Yr2'!"&amp;ADDRESS(ROW(BK12),COLUMN(BK12))),INDIRECT("'Yr3'!"&amp;ADDRESS(ROW(BK12),COLUMN(BK12))))&gt;0,"3 Yr. total",0),
IF(BK$7&lt;$C$4,0,IF(BK$8&lt;=SUMIFS('EE Inputs'!$V$9:$V$32,'EE Inputs'!$C$9:$C$32,$AM$6,'EE Inputs'!$D$9:$D$32,$C$4,'EE Inputs'!$E$9:$E$32,$B12),SUMIFS('EE Inputs'!$V$9:$V$32,'EE Inputs'!$C$9:$C$32,$AM$6,'EE Inputs'!$D$9:$D$32,$C$4,'EE Inputs'!$E$9:$E$32,$B12),0)))</f>
        <v>0</v>
      </c>
      <c r="BL12" s="72">
        <f ca="1">IF($C$4=Lookups!$D$40,IF(SUM(INDIRECT("'Yr1'!"&amp;ADDRESS(ROW(BL12),COLUMN(BL12))),INDIRECT("'Yr2'!"&amp;ADDRESS(ROW(BL12),COLUMN(BL12))),INDIRECT("'Yr3'!"&amp;ADDRESS(ROW(BL12),COLUMN(BL12))))&gt;0,"3 Yr. total",0),
IF(BL$7&lt;$C$4,0,IF(BL$8&lt;=SUMIFS('EE Inputs'!$V$9:$V$32,'EE Inputs'!$C$9:$C$32,$AM$6,'EE Inputs'!$D$9:$D$32,$C$4,'EE Inputs'!$E$9:$E$32,$B12),SUMIFS('EE Inputs'!$V$9:$V$32,'EE Inputs'!$C$9:$C$32,$AM$6,'EE Inputs'!$D$9:$D$32,$C$4,'EE Inputs'!$E$9:$E$32,$B12),0)))</f>
        <v>0</v>
      </c>
      <c r="BM12" s="72">
        <f ca="1">IF($C$4=Lookups!$D$40,IF(SUM(INDIRECT("'Yr1'!"&amp;ADDRESS(ROW(BM12),COLUMN(BM12))),INDIRECT("'Yr2'!"&amp;ADDRESS(ROW(BM12),COLUMN(BM12))),INDIRECT("'Yr3'!"&amp;ADDRESS(ROW(BM12),COLUMN(BM12))))&gt;0,"3 Yr. total",0),
IF(BM$7&lt;$C$4,0,IF(BM$8&lt;=SUMIFS('EE Inputs'!$V$9:$V$32,'EE Inputs'!$C$9:$C$32,$AM$6,'EE Inputs'!$D$9:$D$32,$C$4,'EE Inputs'!$E$9:$E$32,$B12),SUMIFS('EE Inputs'!$V$9:$V$32,'EE Inputs'!$C$9:$C$32,$AM$6,'EE Inputs'!$D$9:$D$32,$C$4,'EE Inputs'!$E$9:$E$32,$B12),0)))</f>
        <v>0</v>
      </c>
      <c r="BN12" s="72"/>
      <c r="BO12" s="72"/>
      <c r="BP12" s="72"/>
      <c r="BS12" s="76" t="s">
        <v>90</v>
      </c>
      <c r="BT12" s="51" t="s">
        <v>17</v>
      </c>
    </row>
    <row r="13" spans="1:72" s="5" customFormat="1" x14ac:dyDescent="0.25">
      <c r="A13" s="52"/>
      <c r="B13" s="242" t="str">
        <f t="shared" si="4"/>
        <v>Residential</v>
      </c>
      <c r="C13" s="242" t="str">
        <f>C12</f>
        <v>Customers</v>
      </c>
      <c r="D13" s="77" t="s">
        <v>17</v>
      </c>
      <c r="E13" s="76"/>
      <c r="F13" s="76"/>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S13" s="76"/>
      <c r="BT13" s="51" t="s">
        <v>17</v>
      </c>
    </row>
    <row r="14" spans="1:72" s="5" customFormat="1" ht="15.75" x14ac:dyDescent="0.25">
      <c r="A14" s="52"/>
      <c r="B14" s="241" t="str">
        <f t="shared" si="4"/>
        <v>Residential</v>
      </c>
      <c r="C14" s="63" t="s">
        <v>4</v>
      </c>
      <c r="D14" s="61"/>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2"/>
      <c r="BO14" s="62"/>
      <c r="BP14" s="62"/>
      <c r="BS14" s="62"/>
      <c r="BT14" s="51" t="s">
        <v>17</v>
      </c>
    </row>
    <row r="15" spans="1:72" x14ac:dyDescent="0.25">
      <c r="B15" s="243" t="str">
        <f t="shared" si="4"/>
        <v>Residential</v>
      </c>
      <c r="C15" s="243" t="str">
        <f>C14</f>
        <v>Sales</v>
      </c>
      <c r="D15" s="244" t="str">
        <f>"Sales before DSM ("&amp;Lookups!$D$22&amp;" Scenario)"</f>
        <v>Sales before DSM (No EE Scenario)</v>
      </c>
      <c r="E15" s="85" t="str">
        <f>"Sales before DSM ("&amp;Lookups!$D$22&amp;" Scenario)"</f>
        <v>Sales before DSM (No EE Scenario)</v>
      </c>
      <c r="F15" s="84" t="s">
        <v>195</v>
      </c>
      <c r="G15" s="64">
        <f>IF(G$8=0,0,INDEX('Multi-Year Inputs'!$E$41:$AE$44,MATCH($B15,'Multi-Year Inputs'!$D$41:$D$44,0),MATCH(G$7,'Multi-Year Inputs'!$E$4:$AE$4,0)))</f>
        <v>58525589.103563093</v>
      </c>
      <c r="H15" s="64">
        <f>IF(H$8=0,0,INDEX('Multi-Year Inputs'!$E$41:$AE$44,MATCH($B15,'Multi-Year Inputs'!$D$41:$D$44,0),MATCH(H$7,'Multi-Year Inputs'!$E$4:$AE$4,0)))</f>
        <v>58525589.103563093</v>
      </c>
      <c r="I15" s="64">
        <f>IF(I$8=0,0,INDEX('Multi-Year Inputs'!$E$41:$AE$44,MATCH($B15,'Multi-Year Inputs'!$D$41:$D$44,0),MATCH(I$7,'Multi-Year Inputs'!$E$4:$AE$4,0)))</f>
        <v>58525589.103563093</v>
      </c>
      <c r="J15" s="64">
        <f>IF(J$8=0,0,INDEX('Multi-Year Inputs'!$E$41:$AE$44,MATCH($B15,'Multi-Year Inputs'!$D$41:$D$44,0),MATCH(J$7,'Multi-Year Inputs'!$E$4:$AE$4,0)))</f>
        <v>58525589.103563093</v>
      </c>
      <c r="K15" s="64">
        <f>IF(K$8=0,0,INDEX('Multi-Year Inputs'!$E$41:$AE$44,MATCH($B15,'Multi-Year Inputs'!$D$41:$D$44,0),MATCH(K$7,'Multi-Year Inputs'!$E$4:$AE$4,0)))</f>
        <v>58525589.103563093</v>
      </c>
      <c r="L15" s="64">
        <f>IF(L$8=0,0,INDEX('Multi-Year Inputs'!$E$41:$AE$44,MATCH($B15,'Multi-Year Inputs'!$D$41:$D$44,0),MATCH(L$7,'Multi-Year Inputs'!$E$4:$AE$4,0)))</f>
        <v>58525589.103563093</v>
      </c>
      <c r="M15" s="64">
        <f>IF(M$8=0,0,INDEX('Multi-Year Inputs'!$E$41:$AE$44,MATCH($B15,'Multi-Year Inputs'!$D$41:$D$44,0),MATCH(M$7,'Multi-Year Inputs'!$E$4:$AE$4,0)))</f>
        <v>58525589.103563093</v>
      </c>
      <c r="N15" s="64">
        <f>IF(N$8=0,0,INDEX('Multi-Year Inputs'!$E$41:$AE$44,MATCH($B15,'Multi-Year Inputs'!$D$41:$D$44,0),MATCH(N$7,'Multi-Year Inputs'!$E$4:$AE$4,0)))</f>
        <v>58525589.103563093</v>
      </c>
      <c r="O15" s="64">
        <f>IF(O$8=0,0,INDEX('Multi-Year Inputs'!$E$41:$AE$44,MATCH($B15,'Multi-Year Inputs'!$D$41:$D$44,0),MATCH(O$7,'Multi-Year Inputs'!$E$4:$AE$4,0)))</f>
        <v>58525589.103563093</v>
      </c>
      <c r="P15" s="64">
        <f>IF(P$8=0,0,INDEX('Multi-Year Inputs'!$E$41:$AE$44,MATCH($B15,'Multi-Year Inputs'!$D$41:$D$44,0),MATCH(P$7,'Multi-Year Inputs'!$E$4:$AE$4,0)))</f>
        <v>58525589.103563093</v>
      </c>
      <c r="Q15" s="64">
        <f>IF(Q$8=0,0,INDEX('Multi-Year Inputs'!$E$41:$AE$44,MATCH($B15,'Multi-Year Inputs'!$D$41:$D$44,0),MATCH(Q$7,'Multi-Year Inputs'!$E$4:$AE$4,0)))</f>
        <v>58525589.103563093</v>
      </c>
      <c r="R15" s="64">
        <f>IF(R$8=0,0,INDEX('Multi-Year Inputs'!$E$41:$AE$44,MATCH($B15,'Multi-Year Inputs'!$D$41:$D$44,0),MATCH(R$7,'Multi-Year Inputs'!$E$4:$AE$4,0)))</f>
        <v>58525589.103563093</v>
      </c>
      <c r="S15" s="64">
        <f>IF(S$8=0,0,INDEX('Multi-Year Inputs'!$E$41:$AE$44,MATCH($B15,'Multi-Year Inputs'!$D$41:$D$44,0),MATCH(S$7,'Multi-Year Inputs'!$E$4:$AE$4,0)))</f>
        <v>58525589.103563093</v>
      </c>
      <c r="T15" s="64">
        <f>IF(T$8=0,0,INDEX('Multi-Year Inputs'!$E$41:$AE$44,MATCH($B15,'Multi-Year Inputs'!$D$41:$D$44,0),MATCH(T$7,'Multi-Year Inputs'!$E$4:$AE$4,0)))</f>
        <v>58525589.103563093</v>
      </c>
      <c r="U15" s="64">
        <f>IF(U$8=0,0,INDEX('Multi-Year Inputs'!$E$41:$AE$44,MATCH($B15,'Multi-Year Inputs'!$D$41:$D$44,0),MATCH(U$7,'Multi-Year Inputs'!$E$4:$AE$4,0)))</f>
        <v>58525589.103563093</v>
      </c>
      <c r="V15" s="64">
        <f>IF(V$8=0,0,INDEX('Multi-Year Inputs'!$E$41:$AE$44,MATCH($B15,'Multi-Year Inputs'!$D$41:$D$44,0),MATCH(V$7,'Multi-Year Inputs'!$E$4:$AE$4,0)))</f>
        <v>58525589.103563093</v>
      </c>
      <c r="W15" s="64">
        <f>IF(W$8=0,0,INDEX('Multi-Year Inputs'!$E$41:$AE$44,MATCH($B15,'Multi-Year Inputs'!$D$41:$D$44,0),MATCH(W$7,'Multi-Year Inputs'!$E$4:$AE$4,0)))</f>
        <v>58525589.103563093</v>
      </c>
      <c r="X15" s="64">
        <f>IF(X$8=0,0,INDEX('Multi-Year Inputs'!$E$41:$AE$44,MATCH($B15,'Multi-Year Inputs'!$D$41:$D$44,0),MATCH(X$7,'Multi-Year Inputs'!$E$4:$AE$4,0)))</f>
        <v>58525589.103563093</v>
      </c>
      <c r="Y15" s="64">
        <f>IF(Y$8=0,0,INDEX('Multi-Year Inputs'!$E$41:$AE$44,MATCH($B15,'Multi-Year Inputs'!$D$41:$D$44,0),MATCH(Y$7,'Multi-Year Inputs'!$E$4:$AE$4,0)))</f>
        <v>58525589.103563093</v>
      </c>
      <c r="Z15" s="64">
        <f>IF(Z$8=0,0,INDEX('Multi-Year Inputs'!$E$41:$AE$44,MATCH($B15,'Multi-Year Inputs'!$D$41:$D$44,0),MATCH(Z$7,'Multi-Year Inputs'!$E$4:$AE$4,0)))</f>
        <v>58525589.103563093</v>
      </c>
      <c r="AA15" s="64">
        <f>IF(AA$8=0,0,INDEX('Multi-Year Inputs'!$E$41:$AE$44,MATCH($B15,'Multi-Year Inputs'!$D$41:$D$44,0),MATCH(AA$7,'Multi-Year Inputs'!$E$4:$AE$4,0)))</f>
        <v>58525589.103563093</v>
      </c>
      <c r="AB15" s="64">
        <f>IF(AB$8=0,0,INDEX('Multi-Year Inputs'!$E$41:$AE$44,MATCH($B15,'Multi-Year Inputs'!$D$41:$D$44,0),MATCH(AB$7,'Multi-Year Inputs'!$E$4:$AE$4,0)))</f>
        <v>58525589.103563093</v>
      </c>
      <c r="AC15" s="64">
        <f>IF(AC$8=0,0,INDEX('Multi-Year Inputs'!$E$41:$AE$44,MATCH($B15,'Multi-Year Inputs'!$D$41:$D$44,0),MATCH(AC$7,'Multi-Year Inputs'!$E$4:$AE$4,0)))</f>
        <v>58525589.103563093</v>
      </c>
      <c r="AD15" s="64">
        <f>IF(AD$8=0,0,INDEX('Multi-Year Inputs'!$E$41:$AE$44,MATCH($B15,'Multi-Year Inputs'!$D$41:$D$44,0),MATCH(AD$7,'Multi-Year Inputs'!$E$4:$AE$4,0)))</f>
        <v>58525589.103563093</v>
      </c>
      <c r="AE15" s="64">
        <f>IF(AE$8=0,0,INDEX('Multi-Year Inputs'!$E$41:$AE$44,MATCH($B15,'Multi-Year Inputs'!$D$41:$D$44,0),MATCH(AE$7,'Multi-Year Inputs'!$E$4:$AE$4,0)))</f>
        <v>58525589.103563093</v>
      </c>
      <c r="AF15" s="64">
        <f>IF(AF$8=0,0,INDEX('Multi-Year Inputs'!$E$41:$AE$44,MATCH($B15,'Multi-Year Inputs'!$D$41:$D$44,0),MATCH(AF$7,'Multi-Year Inputs'!$E$4:$AE$4,0)))</f>
        <v>58525589.103563093</v>
      </c>
      <c r="AG15" s="64">
        <f>IF(AG$8=0,0,INDEX('Multi-Year Inputs'!$E$41:$AE$44,MATCH($B15,'Multi-Year Inputs'!$D$41:$D$44,0),MATCH(AG$7,'Multi-Year Inputs'!$E$4:$AE$4,0)))</f>
        <v>58525589.103563093</v>
      </c>
      <c r="AH15" s="64"/>
      <c r="AI15" s="64">
        <f>SUM(G15:AG15)</f>
        <v>1580190905.7962031</v>
      </c>
      <c r="AJ15" s="64"/>
      <c r="AM15" s="71">
        <f>IF(AM$8=0,0,INDEX('Multi-Year Inputs'!$E$41:$AE$44,MATCH($B15,'Multi-Year Inputs'!$D$41:$D$44,0),MATCH(AM$7,'Multi-Year Inputs'!$E$4:$AE$4,0)))</f>
        <v>58525589.103563093</v>
      </c>
      <c r="AN15" s="71">
        <f>IF(AN$8=0,0,INDEX('Multi-Year Inputs'!$E$41:$AE$44,MATCH($B15,'Multi-Year Inputs'!$D$41:$D$44,0),MATCH(AN$7,'Multi-Year Inputs'!$E$4:$AE$4,0)))</f>
        <v>58525589.103563093</v>
      </c>
      <c r="AO15" s="71">
        <f>IF(AO$8=0,0,INDEX('Multi-Year Inputs'!$E$41:$AE$44,MATCH($B15,'Multi-Year Inputs'!$D$41:$D$44,0),MATCH(AO$7,'Multi-Year Inputs'!$E$4:$AE$4,0)))</f>
        <v>58525589.103563093</v>
      </c>
      <c r="AP15" s="71">
        <f>IF(AP$8=0,0,INDEX('Multi-Year Inputs'!$E$41:$AE$44,MATCH($B15,'Multi-Year Inputs'!$D$41:$D$44,0),MATCH(AP$7,'Multi-Year Inputs'!$E$4:$AE$4,0)))</f>
        <v>58525589.103563093</v>
      </c>
      <c r="AQ15" s="71">
        <f>IF(AQ$8=0,0,INDEX('Multi-Year Inputs'!$E$41:$AE$44,MATCH($B15,'Multi-Year Inputs'!$D$41:$D$44,0),MATCH(AQ$7,'Multi-Year Inputs'!$E$4:$AE$4,0)))</f>
        <v>58525589.103563093</v>
      </c>
      <c r="AR15" s="71">
        <f>IF(AR$8=0,0,INDEX('Multi-Year Inputs'!$E$41:$AE$44,MATCH($B15,'Multi-Year Inputs'!$D$41:$D$44,0),MATCH(AR$7,'Multi-Year Inputs'!$E$4:$AE$4,0)))</f>
        <v>58525589.103563093</v>
      </c>
      <c r="AS15" s="71">
        <f>IF(AS$8=0,0,INDEX('Multi-Year Inputs'!$E$41:$AE$44,MATCH($B15,'Multi-Year Inputs'!$D$41:$D$44,0),MATCH(AS$7,'Multi-Year Inputs'!$E$4:$AE$4,0)))</f>
        <v>58525589.103563093</v>
      </c>
      <c r="AT15" s="71">
        <f>IF(AT$8=0,0,INDEX('Multi-Year Inputs'!$E$41:$AE$44,MATCH($B15,'Multi-Year Inputs'!$D$41:$D$44,0),MATCH(AT$7,'Multi-Year Inputs'!$E$4:$AE$4,0)))</f>
        <v>58525589.103563093</v>
      </c>
      <c r="AU15" s="71">
        <f>IF(AU$8=0,0,INDEX('Multi-Year Inputs'!$E$41:$AE$44,MATCH($B15,'Multi-Year Inputs'!$D$41:$D$44,0),MATCH(AU$7,'Multi-Year Inputs'!$E$4:$AE$4,0)))</f>
        <v>58525589.103563093</v>
      </c>
      <c r="AV15" s="71">
        <f>IF(AV$8=0,0,INDEX('Multi-Year Inputs'!$E$41:$AE$44,MATCH($B15,'Multi-Year Inputs'!$D$41:$D$44,0),MATCH(AV$7,'Multi-Year Inputs'!$E$4:$AE$4,0)))</f>
        <v>58525589.103563093</v>
      </c>
      <c r="AW15" s="71">
        <f>IF(AW$8=0,0,INDEX('Multi-Year Inputs'!$E$41:$AE$44,MATCH($B15,'Multi-Year Inputs'!$D$41:$D$44,0),MATCH(AW$7,'Multi-Year Inputs'!$E$4:$AE$4,0)))</f>
        <v>58525589.103563093</v>
      </c>
      <c r="AX15" s="71">
        <f>IF(AX$8=0,0,INDEX('Multi-Year Inputs'!$E$41:$AE$44,MATCH($B15,'Multi-Year Inputs'!$D$41:$D$44,0),MATCH(AX$7,'Multi-Year Inputs'!$E$4:$AE$4,0)))</f>
        <v>58525589.103563093</v>
      </c>
      <c r="AY15" s="71">
        <f>IF(AY$8=0,0,INDEX('Multi-Year Inputs'!$E$41:$AE$44,MATCH($B15,'Multi-Year Inputs'!$D$41:$D$44,0),MATCH(AY$7,'Multi-Year Inputs'!$E$4:$AE$4,0)))</f>
        <v>58525589.103563093</v>
      </c>
      <c r="AZ15" s="71">
        <f>IF(AZ$8=0,0,INDEX('Multi-Year Inputs'!$E$41:$AE$44,MATCH($B15,'Multi-Year Inputs'!$D$41:$D$44,0),MATCH(AZ$7,'Multi-Year Inputs'!$E$4:$AE$4,0)))</f>
        <v>58525589.103563093</v>
      </c>
      <c r="BA15" s="71">
        <f>IF(BA$8=0,0,INDEX('Multi-Year Inputs'!$E$41:$AE$44,MATCH($B15,'Multi-Year Inputs'!$D$41:$D$44,0),MATCH(BA$7,'Multi-Year Inputs'!$E$4:$AE$4,0)))</f>
        <v>58525589.103563093</v>
      </c>
      <c r="BB15" s="71">
        <f>IF(BB$8=0,0,INDEX('Multi-Year Inputs'!$E$41:$AE$44,MATCH($B15,'Multi-Year Inputs'!$D$41:$D$44,0),MATCH(BB$7,'Multi-Year Inputs'!$E$4:$AE$4,0)))</f>
        <v>58525589.103563093</v>
      </c>
      <c r="BC15" s="71">
        <f>IF(BC$8=0,0,INDEX('Multi-Year Inputs'!$E$41:$AE$44,MATCH($B15,'Multi-Year Inputs'!$D$41:$D$44,0),MATCH(BC$7,'Multi-Year Inputs'!$E$4:$AE$4,0)))</f>
        <v>58525589.103563093</v>
      </c>
      <c r="BD15" s="71">
        <f>IF(BD$8=0,0,INDEX('Multi-Year Inputs'!$E$41:$AE$44,MATCH($B15,'Multi-Year Inputs'!$D$41:$D$44,0),MATCH(BD$7,'Multi-Year Inputs'!$E$4:$AE$4,0)))</f>
        <v>58525589.103563093</v>
      </c>
      <c r="BE15" s="71">
        <f>IF(BE$8=0,0,INDEX('Multi-Year Inputs'!$E$41:$AE$44,MATCH($B15,'Multi-Year Inputs'!$D$41:$D$44,0),MATCH(BE$7,'Multi-Year Inputs'!$E$4:$AE$4,0)))</f>
        <v>58525589.103563093</v>
      </c>
      <c r="BF15" s="71">
        <f>IF(BF$8=0,0,INDEX('Multi-Year Inputs'!$E$41:$AE$44,MATCH($B15,'Multi-Year Inputs'!$D$41:$D$44,0),MATCH(BF$7,'Multi-Year Inputs'!$E$4:$AE$4,0)))</f>
        <v>58525589.103563093</v>
      </c>
      <c r="BG15" s="71">
        <f>IF(BG$8=0,0,INDEX('Multi-Year Inputs'!$E$41:$AE$44,MATCH($B15,'Multi-Year Inputs'!$D$41:$D$44,0),MATCH(BG$7,'Multi-Year Inputs'!$E$4:$AE$4,0)))</f>
        <v>58525589.103563093</v>
      </c>
      <c r="BH15" s="71">
        <f>IF(BH$8=0,0,INDEX('Multi-Year Inputs'!$E$41:$AE$44,MATCH($B15,'Multi-Year Inputs'!$D$41:$D$44,0),MATCH(BH$7,'Multi-Year Inputs'!$E$4:$AE$4,0)))</f>
        <v>58525589.103563093</v>
      </c>
      <c r="BI15" s="71">
        <f>IF(BI$8=0,0,INDEX('Multi-Year Inputs'!$E$41:$AE$44,MATCH($B15,'Multi-Year Inputs'!$D$41:$D$44,0),MATCH(BI$7,'Multi-Year Inputs'!$E$4:$AE$4,0)))</f>
        <v>58525589.103563093</v>
      </c>
      <c r="BJ15" s="71">
        <f>IF(BJ$8=0,0,INDEX('Multi-Year Inputs'!$E$41:$AE$44,MATCH($B15,'Multi-Year Inputs'!$D$41:$D$44,0),MATCH(BJ$7,'Multi-Year Inputs'!$E$4:$AE$4,0)))</f>
        <v>58525589.103563093</v>
      </c>
      <c r="BK15" s="71">
        <f>IF(BK$8=0,0,INDEX('Multi-Year Inputs'!$E$41:$AE$44,MATCH($B15,'Multi-Year Inputs'!$D$41:$D$44,0),MATCH(BK$7,'Multi-Year Inputs'!$E$4:$AE$4,0)))</f>
        <v>58525589.103563093</v>
      </c>
      <c r="BL15" s="71">
        <f>IF(BL$8=0,0,INDEX('Multi-Year Inputs'!$E$41:$AE$44,MATCH($B15,'Multi-Year Inputs'!$D$41:$D$44,0),MATCH(BL$7,'Multi-Year Inputs'!$E$4:$AE$4,0)))</f>
        <v>58525589.103563093</v>
      </c>
      <c r="BM15" s="71">
        <f>IF(BM$8=0,0,INDEX('Multi-Year Inputs'!$E$41:$AE$44,MATCH($B15,'Multi-Year Inputs'!$D$41:$D$44,0),MATCH(BM$7,'Multi-Year Inputs'!$E$4:$AE$4,0)))</f>
        <v>58525589.103563093</v>
      </c>
      <c r="BN15" s="72"/>
      <c r="BO15" s="72">
        <f>SUM(AM15:BM15)</f>
        <v>1580190905.7962031</v>
      </c>
      <c r="BP15" s="72"/>
      <c r="BS15" s="76" t="s">
        <v>91</v>
      </c>
      <c r="BT15" s="51" t="s">
        <v>17</v>
      </c>
    </row>
    <row r="16" spans="1:72" x14ac:dyDescent="0.25">
      <c r="A16" s="246"/>
      <c r="B16" s="243" t="str">
        <f t="shared" si="4"/>
        <v>Residential</v>
      </c>
      <c r="C16" s="243" t="str">
        <f>C15</f>
        <v>Sales</v>
      </c>
      <c r="D16" s="244" t="s">
        <v>108</v>
      </c>
      <c r="E16" s="85" t="s">
        <v>108</v>
      </c>
      <c r="F16" s="84" t="s">
        <v>195</v>
      </c>
      <c r="G16" s="64">
        <f ca="1">IF($C$4=Lookups!$D$40,SUM(INDIRECT("'Yr1'!"&amp;ADDRESS(ROW(G16),COLUMN(G16))),INDIRECT("'Yr2'!"&amp;ADDRESS(ROW(G16),COLUMN(G16))),INDIRECT("'Yr3'!"&amp;ADDRESS(ROW(G16),COLUMN(G16)))),
IF(G12&gt;0,SUMIFS('EE Inputs'!$I$9:$I$32,'EE Inputs'!$C$9:$C$32,$G$6,'EE Inputs'!$D$9:$D$32,$C$4,'EE Inputs'!$E$9:$E$32,$B16)/SUMIFS('EE Inputs'!$V$9:$V$32,'EE Inputs'!$C$9:$C$32,$G$6,'EE Inputs'!$D$9:$D$32,$C$4,'EE Inputs'!$E$9:$E$32,$B16)*10,0))</f>
        <v>375442.29896984826</v>
      </c>
      <c r="H16" s="64">
        <f ca="1">IF($C$4=Lookups!$D$40,SUM(INDIRECT("'Yr1'!"&amp;ADDRESS(ROW(H16),COLUMN(H16))),INDIRECT("'Yr2'!"&amp;ADDRESS(ROW(H16),COLUMN(H16))),INDIRECT("'Yr3'!"&amp;ADDRESS(ROW(H16),COLUMN(H16)))),
IF(H12&gt;0,SUMIFS('EE Inputs'!$I$9:$I$32,'EE Inputs'!$C$9:$C$32,$G$6,'EE Inputs'!$D$9:$D$32,$C$4,'EE Inputs'!$E$9:$E$32,$B16)/SUMIFS('EE Inputs'!$V$9:$V$32,'EE Inputs'!$C$9:$C$32,$G$6,'EE Inputs'!$D$9:$D$32,$C$4,'EE Inputs'!$E$9:$E$32,$B16)*10,0))</f>
        <v>375442.29896984826</v>
      </c>
      <c r="I16" s="64">
        <f ca="1">IF($C$4=Lookups!$D$40,SUM(INDIRECT("'Yr1'!"&amp;ADDRESS(ROW(I16),COLUMN(I16))),INDIRECT("'Yr2'!"&amp;ADDRESS(ROW(I16),COLUMN(I16))),INDIRECT("'Yr3'!"&amp;ADDRESS(ROW(I16),COLUMN(I16)))),
IF(I12&gt;0,SUMIFS('EE Inputs'!$I$9:$I$32,'EE Inputs'!$C$9:$C$32,$G$6,'EE Inputs'!$D$9:$D$32,$C$4,'EE Inputs'!$E$9:$E$32,$B16)/SUMIFS('EE Inputs'!$V$9:$V$32,'EE Inputs'!$C$9:$C$32,$G$6,'EE Inputs'!$D$9:$D$32,$C$4,'EE Inputs'!$E$9:$E$32,$B16)*10,0))</f>
        <v>375442.29896984826</v>
      </c>
      <c r="J16" s="64">
        <f ca="1">IF($C$4=Lookups!$D$40,SUM(INDIRECT("'Yr1'!"&amp;ADDRESS(ROW(J16),COLUMN(J16))),INDIRECT("'Yr2'!"&amp;ADDRESS(ROW(J16),COLUMN(J16))),INDIRECT("'Yr3'!"&amp;ADDRESS(ROW(J16),COLUMN(J16)))),
IF(J12&gt;0,SUMIFS('EE Inputs'!$I$9:$I$32,'EE Inputs'!$C$9:$C$32,$G$6,'EE Inputs'!$D$9:$D$32,$C$4,'EE Inputs'!$E$9:$E$32,$B16)/SUMIFS('EE Inputs'!$V$9:$V$32,'EE Inputs'!$C$9:$C$32,$G$6,'EE Inputs'!$D$9:$D$32,$C$4,'EE Inputs'!$E$9:$E$32,$B16)*10,0))</f>
        <v>375442.29896984826</v>
      </c>
      <c r="K16" s="64">
        <f ca="1">IF($C$4=Lookups!$D$40,SUM(INDIRECT("'Yr1'!"&amp;ADDRESS(ROW(K16),COLUMN(K16))),INDIRECT("'Yr2'!"&amp;ADDRESS(ROW(K16),COLUMN(K16))),INDIRECT("'Yr3'!"&amp;ADDRESS(ROW(K16),COLUMN(K16)))),
IF(K12&gt;0,SUMIFS('EE Inputs'!$I$9:$I$32,'EE Inputs'!$C$9:$C$32,$G$6,'EE Inputs'!$D$9:$D$32,$C$4,'EE Inputs'!$E$9:$E$32,$B16)/SUMIFS('EE Inputs'!$V$9:$V$32,'EE Inputs'!$C$9:$C$32,$G$6,'EE Inputs'!$D$9:$D$32,$C$4,'EE Inputs'!$E$9:$E$32,$B16)*10,0))</f>
        <v>375442.29896984826</v>
      </c>
      <c r="L16" s="64">
        <f ca="1">IF($C$4=Lookups!$D$40,SUM(INDIRECT("'Yr1'!"&amp;ADDRESS(ROW(L16),COLUMN(L16))),INDIRECT("'Yr2'!"&amp;ADDRESS(ROW(L16),COLUMN(L16))),INDIRECT("'Yr3'!"&amp;ADDRESS(ROW(L16),COLUMN(L16)))),
IF(L12&gt;0,SUMIFS('EE Inputs'!$I$9:$I$32,'EE Inputs'!$C$9:$C$32,$G$6,'EE Inputs'!$D$9:$D$32,$C$4,'EE Inputs'!$E$9:$E$32,$B16)/SUMIFS('EE Inputs'!$V$9:$V$32,'EE Inputs'!$C$9:$C$32,$G$6,'EE Inputs'!$D$9:$D$32,$C$4,'EE Inputs'!$E$9:$E$32,$B16)*10,0))</f>
        <v>375442.29896984826</v>
      </c>
      <c r="M16" s="64">
        <f ca="1">IF($C$4=Lookups!$D$40,SUM(INDIRECT("'Yr1'!"&amp;ADDRESS(ROW(M16),COLUMN(M16))),INDIRECT("'Yr2'!"&amp;ADDRESS(ROW(M16),COLUMN(M16))),INDIRECT("'Yr3'!"&amp;ADDRESS(ROW(M16),COLUMN(M16)))),
IF(M12&gt;0,SUMIFS('EE Inputs'!$I$9:$I$32,'EE Inputs'!$C$9:$C$32,$G$6,'EE Inputs'!$D$9:$D$32,$C$4,'EE Inputs'!$E$9:$E$32,$B16)/SUMIFS('EE Inputs'!$V$9:$V$32,'EE Inputs'!$C$9:$C$32,$G$6,'EE Inputs'!$D$9:$D$32,$C$4,'EE Inputs'!$E$9:$E$32,$B16)*10,0))</f>
        <v>375442.29896984826</v>
      </c>
      <c r="N16" s="64">
        <f ca="1">IF($C$4=Lookups!$D$40,SUM(INDIRECT("'Yr1'!"&amp;ADDRESS(ROW(N16),COLUMN(N16))),INDIRECT("'Yr2'!"&amp;ADDRESS(ROW(N16),COLUMN(N16))),INDIRECT("'Yr3'!"&amp;ADDRESS(ROW(N16),COLUMN(N16)))),
IF(N12&gt;0,SUMIFS('EE Inputs'!$I$9:$I$32,'EE Inputs'!$C$9:$C$32,$G$6,'EE Inputs'!$D$9:$D$32,$C$4,'EE Inputs'!$E$9:$E$32,$B16)/SUMIFS('EE Inputs'!$V$9:$V$32,'EE Inputs'!$C$9:$C$32,$G$6,'EE Inputs'!$D$9:$D$32,$C$4,'EE Inputs'!$E$9:$E$32,$B16)*10,0))</f>
        <v>375442.29896984826</v>
      </c>
      <c r="O16" s="64">
        <f ca="1">IF($C$4=Lookups!$D$40,SUM(INDIRECT("'Yr1'!"&amp;ADDRESS(ROW(O16),COLUMN(O16))),INDIRECT("'Yr2'!"&amp;ADDRESS(ROW(O16),COLUMN(O16))),INDIRECT("'Yr3'!"&amp;ADDRESS(ROW(O16),COLUMN(O16)))),
IF(O12&gt;0,SUMIFS('EE Inputs'!$I$9:$I$32,'EE Inputs'!$C$9:$C$32,$G$6,'EE Inputs'!$D$9:$D$32,$C$4,'EE Inputs'!$E$9:$E$32,$B16)/SUMIFS('EE Inputs'!$V$9:$V$32,'EE Inputs'!$C$9:$C$32,$G$6,'EE Inputs'!$D$9:$D$32,$C$4,'EE Inputs'!$E$9:$E$32,$B16)*10,0))</f>
        <v>375442.29896984826</v>
      </c>
      <c r="P16" s="64">
        <f ca="1">IF($C$4=Lookups!$D$40,SUM(INDIRECT("'Yr1'!"&amp;ADDRESS(ROW(P16),COLUMN(P16))),INDIRECT("'Yr2'!"&amp;ADDRESS(ROW(P16),COLUMN(P16))),INDIRECT("'Yr3'!"&amp;ADDRESS(ROW(P16),COLUMN(P16)))),
IF(P12&gt;0,SUMIFS('EE Inputs'!$I$9:$I$32,'EE Inputs'!$C$9:$C$32,$G$6,'EE Inputs'!$D$9:$D$32,$C$4,'EE Inputs'!$E$9:$E$32,$B16)/SUMIFS('EE Inputs'!$V$9:$V$32,'EE Inputs'!$C$9:$C$32,$G$6,'EE Inputs'!$D$9:$D$32,$C$4,'EE Inputs'!$E$9:$E$32,$B16)*10,0))</f>
        <v>375442.29896984826</v>
      </c>
      <c r="Q16" s="64">
        <f ca="1">IF($C$4=Lookups!$D$40,SUM(INDIRECT("'Yr1'!"&amp;ADDRESS(ROW(Q16),COLUMN(Q16))),INDIRECT("'Yr2'!"&amp;ADDRESS(ROW(Q16),COLUMN(Q16))),INDIRECT("'Yr3'!"&amp;ADDRESS(ROW(Q16),COLUMN(Q16)))),
IF(Q12&gt;0,SUMIFS('EE Inputs'!$I$9:$I$32,'EE Inputs'!$C$9:$C$32,$G$6,'EE Inputs'!$D$9:$D$32,$C$4,'EE Inputs'!$E$9:$E$32,$B16)/SUMIFS('EE Inputs'!$V$9:$V$32,'EE Inputs'!$C$9:$C$32,$G$6,'EE Inputs'!$D$9:$D$32,$C$4,'EE Inputs'!$E$9:$E$32,$B16)*10,0))</f>
        <v>375442.29896984826</v>
      </c>
      <c r="R16" s="64">
        <f ca="1">IF($C$4=Lookups!$D$40,SUM(INDIRECT("'Yr1'!"&amp;ADDRESS(ROW(R16),COLUMN(R16))),INDIRECT("'Yr2'!"&amp;ADDRESS(ROW(R16),COLUMN(R16))),INDIRECT("'Yr3'!"&amp;ADDRESS(ROW(R16),COLUMN(R16)))),
IF(R12&gt;0,SUMIFS('EE Inputs'!$I$9:$I$32,'EE Inputs'!$C$9:$C$32,$G$6,'EE Inputs'!$D$9:$D$32,$C$4,'EE Inputs'!$E$9:$E$32,$B16)/SUMIFS('EE Inputs'!$V$9:$V$32,'EE Inputs'!$C$9:$C$32,$G$6,'EE Inputs'!$D$9:$D$32,$C$4,'EE Inputs'!$E$9:$E$32,$B16)*10,0))</f>
        <v>375442.29896984826</v>
      </c>
      <c r="S16" s="64">
        <f ca="1">IF($C$4=Lookups!$D$40,SUM(INDIRECT("'Yr1'!"&amp;ADDRESS(ROW(S16),COLUMN(S16))),INDIRECT("'Yr2'!"&amp;ADDRESS(ROW(S16),COLUMN(S16))),INDIRECT("'Yr3'!"&amp;ADDRESS(ROW(S16),COLUMN(S16)))),
IF(S12&gt;0,SUMIFS('EE Inputs'!$I$9:$I$32,'EE Inputs'!$C$9:$C$32,$G$6,'EE Inputs'!$D$9:$D$32,$C$4,'EE Inputs'!$E$9:$E$32,$B16)/SUMIFS('EE Inputs'!$V$9:$V$32,'EE Inputs'!$C$9:$C$32,$G$6,'EE Inputs'!$D$9:$D$32,$C$4,'EE Inputs'!$E$9:$E$32,$B16)*10,0))</f>
        <v>375442.29896984826</v>
      </c>
      <c r="T16" s="64">
        <f ca="1">IF($C$4=Lookups!$D$40,SUM(INDIRECT("'Yr1'!"&amp;ADDRESS(ROW(T16),COLUMN(T16))),INDIRECT("'Yr2'!"&amp;ADDRESS(ROW(T16),COLUMN(T16))),INDIRECT("'Yr3'!"&amp;ADDRESS(ROW(T16),COLUMN(T16)))),
IF(T12&gt;0,SUMIFS('EE Inputs'!$I$9:$I$32,'EE Inputs'!$C$9:$C$32,$G$6,'EE Inputs'!$D$9:$D$32,$C$4,'EE Inputs'!$E$9:$E$32,$B16)/SUMIFS('EE Inputs'!$V$9:$V$32,'EE Inputs'!$C$9:$C$32,$G$6,'EE Inputs'!$D$9:$D$32,$C$4,'EE Inputs'!$E$9:$E$32,$B16)*10,0))</f>
        <v>375442.29896984826</v>
      </c>
      <c r="U16" s="64">
        <f ca="1">IF($C$4=Lookups!$D$40,SUM(INDIRECT("'Yr1'!"&amp;ADDRESS(ROW(U16),COLUMN(U16))),INDIRECT("'Yr2'!"&amp;ADDRESS(ROW(U16),COLUMN(U16))),INDIRECT("'Yr3'!"&amp;ADDRESS(ROW(U16),COLUMN(U16)))),
IF(U12&gt;0,SUMIFS('EE Inputs'!$I$9:$I$32,'EE Inputs'!$C$9:$C$32,$G$6,'EE Inputs'!$D$9:$D$32,$C$4,'EE Inputs'!$E$9:$E$32,$B16)/SUMIFS('EE Inputs'!$V$9:$V$32,'EE Inputs'!$C$9:$C$32,$G$6,'EE Inputs'!$D$9:$D$32,$C$4,'EE Inputs'!$E$9:$E$32,$B16)*10,0))</f>
        <v>375442.29896984826</v>
      </c>
      <c r="V16" s="64">
        <f ca="1">IF($C$4=Lookups!$D$40,SUM(INDIRECT("'Yr1'!"&amp;ADDRESS(ROW(V16),COLUMN(V16))),INDIRECT("'Yr2'!"&amp;ADDRESS(ROW(V16),COLUMN(V16))),INDIRECT("'Yr3'!"&amp;ADDRESS(ROW(V16),COLUMN(V16)))),
IF(V12&gt;0,SUMIFS('EE Inputs'!$I$9:$I$32,'EE Inputs'!$C$9:$C$32,$G$6,'EE Inputs'!$D$9:$D$32,$C$4,'EE Inputs'!$E$9:$E$32,$B16)/SUMIFS('EE Inputs'!$V$9:$V$32,'EE Inputs'!$C$9:$C$32,$G$6,'EE Inputs'!$D$9:$D$32,$C$4,'EE Inputs'!$E$9:$E$32,$B16)*10,0))</f>
        <v>0</v>
      </c>
      <c r="W16" s="64">
        <f ca="1">IF($C$4=Lookups!$D$40,SUM(INDIRECT("'Yr1'!"&amp;ADDRESS(ROW(W16),COLUMN(W16))),INDIRECT("'Yr2'!"&amp;ADDRESS(ROW(W16),COLUMN(W16))),INDIRECT("'Yr3'!"&amp;ADDRESS(ROW(W16),COLUMN(W16)))),
IF(W12&gt;0,SUMIFS('EE Inputs'!$I$9:$I$32,'EE Inputs'!$C$9:$C$32,$G$6,'EE Inputs'!$D$9:$D$32,$C$4,'EE Inputs'!$E$9:$E$32,$B16)/SUMIFS('EE Inputs'!$V$9:$V$32,'EE Inputs'!$C$9:$C$32,$G$6,'EE Inputs'!$D$9:$D$32,$C$4,'EE Inputs'!$E$9:$E$32,$B16)*10,0))</f>
        <v>0</v>
      </c>
      <c r="X16" s="64">
        <f ca="1">IF($C$4=Lookups!$D$40,SUM(INDIRECT("'Yr1'!"&amp;ADDRESS(ROW(X16),COLUMN(X16))),INDIRECT("'Yr2'!"&amp;ADDRESS(ROW(X16),COLUMN(X16))),INDIRECT("'Yr3'!"&amp;ADDRESS(ROW(X16),COLUMN(X16)))),
IF(X12&gt;0,SUMIFS('EE Inputs'!$I$9:$I$32,'EE Inputs'!$C$9:$C$32,$G$6,'EE Inputs'!$D$9:$D$32,$C$4,'EE Inputs'!$E$9:$E$32,$B16)/SUMIFS('EE Inputs'!$V$9:$V$32,'EE Inputs'!$C$9:$C$32,$G$6,'EE Inputs'!$D$9:$D$32,$C$4,'EE Inputs'!$E$9:$E$32,$B16)*10,0))</f>
        <v>0</v>
      </c>
      <c r="Y16" s="64">
        <f ca="1">IF($C$4=Lookups!$D$40,SUM(INDIRECT("'Yr1'!"&amp;ADDRESS(ROW(Y16),COLUMN(Y16))),INDIRECT("'Yr2'!"&amp;ADDRESS(ROW(Y16),COLUMN(Y16))),INDIRECT("'Yr3'!"&amp;ADDRESS(ROW(Y16),COLUMN(Y16)))),
IF(Y12&gt;0,SUMIFS('EE Inputs'!$I$9:$I$32,'EE Inputs'!$C$9:$C$32,$G$6,'EE Inputs'!$D$9:$D$32,$C$4,'EE Inputs'!$E$9:$E$32,$B16)/SUMIFS('EE Inputs'!$V$9:$V$32,'EE Inputs'!$C$9:$C$32,$G$6,'EE Inputs'!$D$9:$D$32,$C$4,'EE Inputs'!$E$9:$E$32,$B16)*10,0))</f>
        <v>0</v>
      </c>
      <c r="Z16" s="64">
        <f ca="1">IF($C$4=Lookups!$D$40,SUM(INDIRECT("'Yr1'!"&amp;ADDRESS(ROW(Z16),COLUMN(Z16))),INDIRECT("'Yr2'!"&amp;ADDRESS(ROW(Z16),COLUMN(Z16))),INDIRECT("'Yr3'!"&amp;ADDRESS(ROW(Z16),COLUMN(Z16)))),
IF(Z12&gt;0,SUMIFS('EE Inputs'!$I$9:$I$32,'EE Inputs'!$C$9:$C$32,$G$6,'EE Inputs'!$D$9:$D$32,$C$4,'EE Inputs'!$E$9:$E$32,$B16)/SUMIFS('EE Inputs'!$V$9:$V$32,'EE Inputs'!$C$9:$C$32,$G$6,'EE Inputs'!$D$9:$D$32,$C$4,'EE Inputs'!$E$9:$E$32,$B16)*10,0))</f>
        <v>0</v>
      </c>
      <c r="AA16" s="64">
        <f ca="1">IF($C$4=Lookups!$D$40,SUM(INDIRECT("'Yr1'!"&amp;ADDRESS(ROW(AA16),COLUMN(AA16))),INDIRECT("'Yr2'!"&amp;ADDRESS(ROW(AA16),COLUMN(AA16))),INDIRECT("'Yr3'!"&amp;ADDRESS(ROW(AA16),COLUMN(AA16)))),
IF(AA12&gt;0,SUMIFS('EE Inputs'!$I$9:$I$32,'EE Inputs'!$C$9:$C$32,$G$6,'EE Inputs'!$D$9:$D$32,$C$4,'EE Inputs'!$E$9:$E$32,$B16)/SUMIFS('EE Inputs'!$V$9:$V$32,'EE Inputs'!$C$9:$C$32,$G$6,'EE Inputs'!$D$9:$D$32,$C$4,'EE Inputs'!$E$9:$E$32,$B16)*10,0))</f>
        <v>0</v>
      </c>
      <c r="AB16" s="64">
        <f ca="1">IF($C$4=Lookups!$D$40,SUM(INDIRECT("'Yr1'!"&amp;ADDRESS(ROW(AB16),COLUMN(AB16))),INDIRECT("'Yr2'!"&amp;ADDRESS(ROW(AB16),COLUMN(AB16))),INDIRECT("'Yr3'!"&amp;ADDRESS(ROW(AB16),COLUMN(AB16)))),
IF(AB12&gt;0,SUMIFS('EE Inputs'!$I$9:$I$32,'EE Inputs'!$C$9:$C$32,$G$6,'EE Inputs'!$D$9:$D$32,$C$4,'EE Inputs'!$E$9:$E$32,$B16)/SUMIFS('EE Inputs'!$V$9:$V$32,'EE Inputs'!$C$9:$C$32,$G$6,'EE Inputs'!$D$9:$D$32,$C$4,'EE Inputs'!$E$9:$E$32,$B16)*10,0))</f>
        <v>0</v>
      </c>
      <c r="AC16" s="64">
        <f ca="1">IF($C$4=Lookups!$D$40,SUM(INDIRECT("'Yr1'!"&amp;ADDRESS(ROW(AC16),COLUMN(AC16))),INDIRECT("'Yr2'!"&amp;ADDRESS(ROW(AC16),COLUMN(AC16))),INDIRECT("'Yr3'!"&amp;ADDRESS(ROW(AC16),COLUMN(AC16)))),
IF(AC12&gt;0,SUMIFS('EE Inputs'!$I$9:$I$32,'EE Inputs'!$C$9:$C$32,$G$6,'EE Inputs'!$D$9:$D$32,$C$4,'EE Inputs'!$E$9:$E$32,$B16)/SUMIFS('EE Inputs'!$V$9:$V$32,'EE Inputs'!$C$9:$C$32,$G$6,'EE Inputs'!$D$9:$D$32,$C$4,'EE Inputs'!$E$9:$E$32,$B16)*10,0))</f>
        <v>0</v>
      </c>
      <c r="AD16" s="64">
        <f ca="1">IF($C$4=Lookups!$D$40,SUM(INDIRECT("'Yr1'!"&amp;ADDRESS(ROW(AD16),COLUMN(AD16))),INDIRECT("'Yr2'!"&amp;ADDRESS(ROW(AD16),COLUMN(AD16))),INDIRECT("'Yr3'!"&amp;ADDRESS(ROW(AD16),COLUMN(AD16)))),
IF(AD12&gt;0,SUMIFS('EE Inputs'!$I$9:$I$32,'EE Inputs'!$C$9:$C$32,$G$6,'EE Inputs'!$D$9:$D$32,$C$4,'EE Inputs'!$E$9:$E$32,$B16)/SUMIFS('EE Inputs'!$V$9:$V$32,'EE Inputs'!$C$9:$C$32,$G$6,'EE Inputs'!$D$9:$D$32,$C$4,'EE Inputs'!$E$9:$E$32,$B16)*10,0))</f>
        <v>0</v>
      </c>
      <c r="AE16" s="64">
        <f ca="1">IF($C$4=Lookups!$D$40,SUM(INDIRECT("'Yr1'!"&amp;ADDRESS(ROW(AE16),COLUMN(AE16))),INDIRECT("'Yr2'!"&amp;ADDRESS(ROW(AE16),COLUMN(AE16))),INDIRECT("'Yr3'!"&amp;ADDRESS(ROW(AE16),COLUMN(AE16)))),
IF(AE12&gt;0,SUMIFS('EE Inputs'!$I$9:$I$32,'EE Inputs'!$C$9:$C$32,$G$6,'EE Inputs'!$D$9:$D$32,$C$4,'EE Inputs'!$E$9:$E$32,$B16)/SUMIFS('EE Inputs'!$V$9:$V$32,'EE Inputs'!$C$9:$C$32,$G$6,'EE Inputs'!$D$9:$D$32,$C$4,'EE Inputs'!$E$9:$E$32,$B16)*10,0))</f>
        <v>0</v>
      </c>
      <c r="AF16" s="64">
        <f ca="1">IF($C$4=Lookups!$D$40,SUM(INDIRECT("'Yr1'!"&amp;ADDRESS(ROW(AF16),COLUMN(AF16))),INDIRECT("'Yr2'!"&amp;ADDRESS(ROW(AF16),COLUMN(AF16))),INDIRECT("'Yr3'!"&amp;ADDRESS(ROW(AF16),COLUMN(AF16)))),
IF(AF12&gt;0,SUMIFS('EE Inputs'!$I$9:$I$32,'EE Inputs'!$C$9:$C$32,$G$6,'EE Inputs'!$D$9:$D$32,$C$4,'EE Inputs'!$E$9:$E$32,$B16)/SUMIFS('EE Inputs'!$V$9:$V$32,'EE Inputs'!$C$9:$C$32,$G$6,'EE Inputs'!$D$9:$D$32,$C$4,'EE Inputs'!$E$9:$E$32,$B16)*10,0))</f>
        <v>0</v>
      </c>
      <c r="AG16" s="64">
        <f ca="1">IF($C$4=Lookups!$D$40,SUM(INDIRECT("'Yr1'!"&amp;ADDRESS(ROW(AG16),COLUMN(AG16))),INDIRECT("'Yr2'!"&amp;ADDRESS(ROW(AG16),COLUMN(AG16))),INDIRECT("'Yr3'!"&amp;ADDRESS(ROW(AG16),COLUMN(AG16)))),
IF(AG12&gt;0,SUMIFS('EE Inputs'!$I$9:$I$32,'EE Inputs'!$C$9:$C$32,$G$6,'EE Inputs'!$D$9:$D$32,$C$4,'EE Inputs'!$E$9:$E$32,$B16)/SUMIFS('EE Inputs'!$V$9:$V$32,'EE Inputs'!$C$9:$C$32,$G$6,'EE Inputs'!$D$9:$D$32,$C$4,'EE Inputs'!$E$9:$E$32,$B16)*10,0))</f>
        <v>0</v>
      </c>
      <c r="AH16" s="64"/>
      <c r="AI16" s="64">
        <f ca="1">SUM(G16:AG16)</f>
        <v>5631634.4845477222</v>
      </c>
      <c r="AJ16" s="64"/>
      <c r="AM16" s="71">
        <f ca="1">IF($C$4=Lookups!$D$40,SUM(INDIRECT("'Yr1'!"&amp;ADDRESS(ROW(AM16),COLUMN(AM16))),INDIRECT("'Yr2'!"&amp;ADDRESS(ROW(AM16),COLUMN(AM16))),INDIRECT("'Yr3'!"&amp;ADDRESS(ROW(AM16),COLUMN(AM16)))),
IF(AM12&gt;0,SUMIFS('EE Inputs'!$I$9:$I$32,'EE Inputs'!$C$9:$C$32,$AM$6,'EE Inputs'!$D$9:$D$32,$C$4,'EE Inputs'!$E$9:$E$32,$B16)/SUMIFS('EE Inputs'!$V$9:$V$32,'EE Inputs'!$C$9:$C$32,$AM$6,'EE Inputs'!$D$9:$D$32,$C$4,'EE Inputs'!$E$9:$E$32,$B16)*10,0))</f>
        <v>429076.91310839797</v>
      </c>
      <c r="AN16" s="71">
        <f ca="1">IF($C$4=Lookups!$D$40,SUM(INDIRECT("'Yr1'!"&amp;ADDRESS(ROW(AN16),COLUMN(AN16))),INDIRECT("'Yr2'!"&amp;ADDRESS(ROW(AN16),COLUMN(AN16))),INDIRECT("'Yr3'!"&amp;ADDRESS(ROW(AN16),COLUMN(AN16)))),
IF(AN12&gt;0,SUMIFS('EE Inputs'!$I$9:$I$32,'EE Inputs'!$C$9:$C$32,$AM$6,'EE Inputs'!$D$9:$D$32,$C$4,'EE Inputs'!$E$9:$E$32,$B16)/SUMIFS('EE Inputs'!$V$9:$V$32,'EE Inputs'!$C$9:$C$32,$AM$6,'EE Inputs'!$D$9:$D$32,$C$4,'EE Inputs'!$E$9:$E$32,$B16)*10,0))</f>
        <v>429076.91310839797</v>
      </c>
      <c r="AO16" s="71">
        <f ca="1">IF($C$4=Lookups!$D$40,SUM(INDIRECT("'Yr1'!"&amp;ADDRESS(ROW(AO16),COLUMN(AO16))),INDIRECT("'Yr2'!"&amp;ADDRESS(ROW(AO16),COLUMN(AO16))),INDIRECT("'Yr3'!"&amp;ADDRESS(ROW(AO16),COLUMN(AO16)))),
IF(AO12&gt;0,SUMIFS('EE Inputs'!$I$9:$I$32,'EE Inputs'!$C$9:$C$32,$AM$6,'EE Inputs'!$D$9:$D$32,$C$4,'EE Inputs'!$E$9:$E$32,$B16)/SUMIFS('EE Inputs'!$V$9:$V$32,'EE Inputs'!$C$9:$C$32,$AM$6,'EE Inputs'!$D$9:$D$32,$C$4,'EE Inputs'!$E$9:$E$32,$B16)*10,0))</f>
        <v>429076.91310839797</v>
      </c>
      <c r="AP16" s="71">
        <f ca="1">IF($C$4=Lookups!$D$40,SUM(INDIRECT("'Yr1'!"&amp;ADDRESS(ROW(AP16),COLUMN(AP16))),INDIRECT("'Yr2'!"&amp;ADDRESS(ROW(AP16),COLUMN(AP16))),INDIRECT("'Yr3'!"&amp;ADDRESS(ROW(AP16),COLUMN(AP16)))),
IF(AP12&gt;0,SUMIFS('EE Inputs'!$I$9:$I$32,'EE Inputs'!$C$9:$C$32,$AM$6,'EE Inputs'!$D$9:$D$32,$C$4,'EE Inputs'!$E$9:$E$32,$B16)/SUMIFS('EE Inputs'!$V$9:$V$32,'EE Inputs'!$C$9:$C$32,$AM$6,'EE Inputs'!$D$9:$D$32,$C$4,'EE Inputs'!$E$9:$E$32,$B16)*10,0))</f>
        <v>429076.91310839797</v>
      </c>
      <c r="AQ16" s="71">
        <f ca="1">IF($C$4=Lookups!$D$40,SUM(INDIRECT("'Yr1'!"&amp;ADDRESS(ROW(AQ16),COLUMN(AQ16))),INDIRECT("'Yr2'!"&amp;ADDRESS(ROW(AQ16),COLUMN(AQ16))),INDIRECT("'Yr3'!"&amp;ADDRESS(ROW(AQ16),COLUMN(AQ16)))),
IF(AQ12&gt;0,SUMIFS('EE Inputs'!$I$9:$I$32,'EE Inputs'!$C$9:$C$32,$AM$6,'EE Inputs'!$D$9:$D$32,$C$4,'EE Inputs'!$E$9:$E$32,$B16)/SUMIFS('EE Inputs'!$V$9:$V$32,'EE Inputs'!$C$9:$C$32,$AM$6,'EE Inputs'!$D$9:$D$32,$C$4,'EE Inputs'!$E$9:$E$32,$B16)*10,0))</f>
        <v>429076.91310839797</v>
      </c>
      <c r="AR16" s="71">
        <f ca="1">IF($C$4=Lookups!$D$40,SUM(INDIRECT("'Yr1'!"&amp;ADDRESS(ROW(AR16),COLUMN(AR16))),INDIRECT("'Yr2'!"&amp;ADDRESS(ROW(AR16),COLUMN(AR16))),INDIRECT("'Yr3'!"&amp;ADDRESS(ROW(AR16),COLUMN(AR16)))),
IF(AR12&gt;0,SUMIFS('EE Inputs'!$I$9:$I$32,'EE Inputs'!$C$9:$C$32,$AM$6,'EE Inputs'!$D$9:$D$32,$C$4,'EE Inputs'!$E$9:$E$32,$B16)/SUMIFS('EE Inputs'!$V$9:$V$32,'EE Inputs'!$C$9:$C$32,$AM$6,'EE Inputs'!$D$9:$D$32,$C$4,'EE Inputs'!$E$9:$E$32,$B16)*10,0))</f>
        <v>429076.91310839797</v>
      </c>
      <c r="AS16" s="71">
        <f ca="1">IF($C$4=Lookups!$D$40,SUM(INDIRECT("'Yr1'!"&amp;ADDRESS(ROW(AS16),COLUMN(AS16))),INDIRECT("'Yr2'!"&amp;ADDRESS(ROW(AS16),COLUMN(AS16))),INDIRECT("'Yr3'!"&amp;ADDRESS(ROW(AS16),COLUMN(AS16)))),
IF(AS12&gt;0,SUMIFS('EE Inputs'!$I$9:$I$32,'EE Inputs'!$C$9:$C$32,$AM$6,'EE Inputs'!$D$9:$D$32,$C$4,'EE Inputs'!$E$9:$E$32,$B16)/SUMIFS('EE Inputs'!$V$9:$V$32,'EE Inputs'!$C$9:$C$32,$AM$6,'EE Inputs'!$D$9:$D$32,$C$4,'EE Inputs'!$E$9:$E$32,$B16)*10,0))</f>
        <v>429076.91310839797</v>
      </c>
      <c r="AT16" s="71">
        <f ca="1">IF($C$4=Lookups!$D$40,SUM(INDIRECT("'Yr1'!"&amp;ADDRESS(ROW(AT16),COLUMN(AT16))),INDIRECT("'Yr2'!"&amp;ADDRESS(ROW(AT16),COLUMN(AT16))),INDIRECT("'Yr3'!"&amp;ADDRESS(ROW(AT16),COLUMN(AT16)))),
IF(AT12&gt;0,SUMIFS('EE Inputs'!$I$9:$I$32,'EE Inputs'!$C$9:$C$32,$AM$6,'EE Inputs'!$D$9:$D$32,$C$4,'EE Inputs'!$E$9:$E$32,$B16)/SUMIFS('EE Inputs'!$V$9:$V$32,'EE Inputs'!$C$9:$C$32,$AM$6,'EE Inputs'!$D$9:$D$32,$C$4,'EE Inputs'!$E$9:$E$32,$B16)*10,0))</f>
        <v>429076.91310839797</v>
      </c>
      <c r="AU16" s="71">
        <f ca="1">IF($C$4=Lookups!$D$40,SUM(INDIRECT("'Yr1'!"&amp;ADDRESS(ROW(AU16),COLUMN(AU16))),INDIRECT("'Yr2'!"&amp;ADDRESS(ROW(AU16),COLUMN(AU16))),INDIRECT("'Yr3'!"&amp;ADDRESS(ROW(AU16),COLUMN(AU16)))),
IF(AU12&gt;0,SUMIFS('EE Inputs'!$I$9:$I$32,'EE Inputs'!$C$9:$C$32,$AM$6,'EE Inputs'!$D$9:$D$32,$C$4,'EE Inputs'!$E$9:$E$32,$B16)/SUMIFS('EE Inputs'!$V$9:$V$32,'EE Inputs'!$C$9:$C$32,$AM$6,'EE Inputs'!$D$9:$D$32,$C$4,'EE Inputs'!$E$9:$E$32,$B16)*10,0))</f>
        <v>429076.91310839797</v>
      </c>
      <c r="AV16" s="71">
        <f ca="1">IF($C$4=Lookups!$D$40,SUM(INDIRECT("'Yr1'!"&amp;ADDRESS(ROW(AV16),COLUMN(AV16))),INDIRECT("'Yr2'!"&amp;ADDRESS(ROW(AV16),COLUMN(AV16))),INDIRECT("'Yr3'!"&amp;ADDRESS(ROW(AV16),COLUMN(AV16)))),
IF(AV12&gt;0,SUMIFS('EE Inputs'!$I$9:$I$32,'EE Inputs'!$C$9:$C$32,$AM$6,'EE Inputs'!$D$9:$D$32,$C$4,'EE Inputs'!$E$9:$E$32,$B16)/SUMIFS('EE Inputs'!$V$9:$V$32,'EE Inputs'!$C$9:$C$32,$AM$6,'EE Inputs'!$D$9:$D$32,$C$4,'EE Inputs'!$E$9:$E$32,$B16)*10,0))</f>
        <v>429076.91310839797</v>
      </c>
      <c r="AW16" s="71">
        <f ca="1">IF($C$4=Lookups!$D$40,SUM(INDIRECT("'Yr1'!"&amp;ADDRESS(ROW(AW16),COLUMN(AW16))),INDIRECT("'Yr2'!"&amp;ADDRESS(ROW(AW16),COLUMN(AW16))),INDIRECT("'Yr3'!"&amp;ADDRESS(ROW(AW16),COLUMN(AW16)))),
IF(AW12&gt;0,SUMIFS('EE Inputs'!$I$9:$I$32,'EE Inputs'!$C$9:$C$32,$AM$6,'EE Inputs'!$D$9:$D$32,$C$4,'EE Inputs'!$E$9:$E$32,$B16)/SUMIFS('EE Inputs'!$V$9:$V$32,'EE Inputs'!$C$9:$C$32,$AM$6,'EE Inputs'!$D$9:$D$32,$C$4,'EE Inputs'!$E$9:$E$32,$B16)*10,0))</f>
        <v>429076.91310839797</v>
      </c>
      <c r="AX16" s="71">
        <f ca="1">IF($C$4=Lookups!$D$40,SUM(INDIRECT("'Yr1'!"&amp;ADDRESS(ROW(AX16),COLUMN(AX16))),INDIRECT("'Yr2'!"&amp;ADDRESS(ROW(AX16),COLUMN(AX16))),INDIRECT("'Yr3'!"&amp;ADDRESS(ROW(AX16),COLUMN(AX16)))),
IF(AX12&gt;0,SUMIFS('EE Inputs'!$I$9:$I$32,'EE Inputs'!$C$9:$C$32,$AM$6,'EE Inputs'!$D$9:$D$32,$C$4,'EE Inputs'!$E$9:$E$32,$B16)/SUMIFS('EE Inputs'!$V$9:$V$32,'EE Inputs'!$C$9:$C$32,$AM$6,'EE Inputs'!$D$9:$D$32,$C$4,'EE Inputs'!$E$9:$E$32,$B16)*10,0))</f>
        <v>429076.91310839797</v>
      </c>
      <c r="AY16" s="71">
        <f ca="1">IF($C$4=Lookups!$D$40,SUM(INDIRECT("'Yr1'!"&amp;ADDRESS(ROW(AY16),COLUMN(AY16))),INDIRECT("'Yr2'!"&amp;ADDRESS(ROW(AY16),COLUMN(AY16))),INDIRECT("'Yr3'!"&amp;ADDRESS(ROW(AY16),COLUMN(AY16)))),
IF(AY12&gt;0,SUMIFS('EE Inputs'!$I$9:$I$32,'EE Inputs'!$C$9:$C$32,$AM$6,'EE Inputs'!$D$9:$D$32,$C$4,'EE Inputs'!$E$9:$E$32,$B16)/SUMIFS('EE Inputs'!$V$9:$V$32,'EE Inputs'!$C$9:$C$32,$AM$6,'EE Inputs'!$D$9:$D$32,$C$4,'EE Inputs'!$E$9:$E$32,$B16)*10,0))</f>
        <v>429076.91310839797</v>
      </c>
      <c r="AZ16" s="71">
        <f ca="1">IF($C$4=Lookups!$D$40,SUM(INDIRECT("'Yr1'!"&amp;ADDRESS(ROW(AZ16),COLUMN(AZ16))),INDIRECT("'Yr2'!"&amp;ADDRESS(ROW(AZ16),COLUMN(AZ16))),INDIRECT("'Yr3'!"&amp;ADDRESS(ROW(AZ16),COLUMN(AZ16)))),
IF(AZ12&gt;0,SUMIFS('EE Inputs'!$I$9:$I$32,'EE Inputs'!$C$9:$C$32,$AM$6,'EE Inputs'!$D$9:$D$32,$C$4,'EE Inputs'!$E$9:$E$32,$B16)/SUMIFS('EE Inputs'!$V$9:$V$32,'EE Inputs'!$C$9:$C$32,$AM$6,'EE Inputs'!$D$9:$D$32,$C$4,'EE Inputs'!$E$9:$E$32,$B16)*10,0))</f>
        <v>429076.91310839797</v>
      </c>
      <c r="BA16" s="71">
        <f ca="1">IF($C$4=Lookups!$D$40,SUM(INDIRECT("'Yr1'!"&amp;ADDRESS(ROW(BA16),COLUMN(BA16))),INDIRECT("'Yr2'!"&amp;ADDRESS(ROW(BA16),COLUMN(BA16))),INDIRECT("'Yr3'!"&amp;ADDRESS(ROW(BA16),COLUMN(BA16)))),
IF(BA12&gt;0,SUMIFS('EE Inputs'!$I$9:$I$32,'EE Inputs'!$C$9:$C$32,$AM$6,'EE Inputs'!$D$9:$D$32,$C$4,'EE Inputs'!$E$9:$E$32,$B16)/SUMIFS('EE Inputs'!$V$9:$V$32,'EE Inputs'!$C$9:$C$32,$AM$6,'EE Inputs'!$D$9:$D$32,$C$4,'EE Inputs'!$E$9:$E$32,$B16)*10,0))</f>
        <v>429076.91310839797</v>
      </c>
      <c r="BB16" s="71">
        <f ca="1">IF($C$4=Lookups!$D$40,SUM(INDIRECT("'Yr1'!"&amp;ADDRESS(ROW(BB16),COLUMN(BB16))),INDIRECT("'Yr2'!"&amp;ADDRESS(ROW(BB16),COLUMN(BB16))),INDIRECT("'Yr3'!"&amp;ADDRESS(ROW(BB16),COLUMN(BB16)))),
IF(BB12&gt;0,SUMIFS('EE Inputs'!$I$9:$I$32,'EE Inputs'!$C$9:$C$32,$AM$6,'EE Inputs'!$D$9:$D$32,$C$4,'EE Inputs'!$E$9:$E$32,$B16)/SUMIFS('EE Inputs'!$V$9:$V$32,'EE Inputs'!$C$9:$C$32,$AM$6,'EE Inputs'!$D$9:$D$32,$C$4,'EE Inputs'!$E$9:$E$32,$B16)*10,0))</f>
        <v>0</v>
      </c>
      <c r="BC16" s="71">
        <f ca="1">IF($C$4=Lookups!$D$40,SUM(INDIRECT("'Yr1'!"&amp;ADDRESS(ROW(BC16),COLUMN(BC16))),INDIRECT("'Yr2'!"&amp;ADDRESS(ROW(BC16),COLUMN(BC16))),INDIRECT("'Yr3'!"&amp;ADDRESS(ROW(BC16),COLUMN(BC16)))),
IF(BC12&gt;0,SUMIFS('EE Inputs'!$I$9:$I$32,'EE Inputs'!$C$9:$C$32,$AM$6,'EE Inputs'!$D$9:$D$32,$C$4,'EE Inputs'!$E$9:$E$32,$B16)/SUMIFS('EE Inputs'!$V$9:$V$32,'EE Inputs'!$C$9:$C$32,$AM$6,'EE Inputs'!$D$9:$D$32,$C$4,'EE Inputs'!$E$9:$E$32,$B16)*10,0))</f>
        <v>0</v>
      </c>
      <c r="BD16" s="71">
        <f ca="1">IF($C$4=Lookups!$D$40,SUM(INDIRECT("'Yr1'!"&amp;ADDRESS(ROW(BD16),COLUMN(BD16))),INDIRECT("'Yr2'!"&amp;ADDRESS(ROW(BD16),COLUMN(BD16))),INDIRECT("'Yr3'!"&amp;ADDRESS(ROW(BD16),COLUMN(BD16)))),
IF(BD12&gt;0,SUMIFS('EE Inputs'!$I$9:$I$32,'EE Inputs'!$C$9:$C$32,$AM$6,'EE Inputs'!$D$9:$D$32,$C$4,'EE Inputs'!$E$9:$E$32,$B16)/SUMIFS('EE Inputs'!$V$9:$V$32,'EE Inputs'!$C$9:$C$32,$AM$6,'EE Inputs'!$D$9:$D$32,$C$4,'EE Inputs'!$E$9:$E$32,$B16)*10,0))</f>
        <v>0</v>
      </c>
      <c r="BE16" s="71">
        <f ca="1">IF($C$4=Lookups!$D$40,SUM(INDIRECT("'Yr1'!"&amp;ADDRESS(ROW(BE16),COLUMN(BE16))),INDIRECT("'Yr2'!"&amp;ADDRESS(ROW(BE16),COLUMN(BE16))),INDIRECT("'Yr3'!"&amp;ADDRESS(ROW(BE16),COLUMN(BE16)))),
IF(BE12&gt;0,SUMIFS('EE Inputs'!$I$9:$I$32,'EE Inputs'!$C$9:$C$32,$AM$6,'EE Inputs'!$D$9:$D$32,$C$4,'EE Inputs'!$E$9:$E$32,$B16)/SUMIFS('EE Inputs'!$V$9:$V$32,'EE Inputs'!$C$9:$C$32,$AM$6,'EE Inputs'!$D$9:$D$32,$C$4,'EE Inputs'!$E$9:$E$32,$B16)*10,0))</f>
        <v>0</v>
      </c>
      <c r="BF16" s="71">
        <f ca="1">IF($C$4=Lookups!$D$40,SUM(INDIRECT("'Yr1'!"&amp;ADDRESS(ROW(BF16),COLUMN(BF16))),INDIRECT("'Yr2'!"&amp;ADDRESS(ROW(BF16),COLUMN(BF16))),INDIRECT("'Yr3'!"&amp;ADDRESS(ROW(BF16),COLUMN(BF16)))),
IF(BF12&gt;0,SUMIFS('EE Inputs'!$I$9:$I$32,'EE Inputs'!$C$9:$C$32,$AM$6,'EE Inputs'!$D$9:$D$32,$C$4,'EE Inputs'!$E$9:$E$32,$B16)/SUMIFS('EE Inputs'!$V$9:$V$32,'EE Inputs'!$C$9:$C$32,$AM$6,'EE Inputs'!$D$9:$D$32,$C$4,'EE Inputs'!$E$9:$E$32,$B16)*10,0))</f>
        <v>0</v>
      </c>
      <c r="BG16" s="71">
        <f ca="1">IF($C$4=Lookups!$D$40,SUM(INDIRECT("'Yr1'!"&amp;ADDRESS(ROW(BG16),COLUMN(BG16))),INDIRECT("'Yr2'!"&amp;ADDRESS(ROW(BG16),COLUMN(BG16))),INDIRECT("'Yr3'!"&amp;ADDRESS(ROW(BG16),COLUMN(BG16)))),
IF(BG12&gt;0,SUMIFS('EE Inputs'!$I$9:$I$32,'EE Inputs'!$C$9:$C$32,$AM$6,'EE Inputs'!$D$9:$D$32,$C$4,'EE Inputs'!$E$9:$E$32,$B16)/SUMIFS('EE Inputs'!$V$9:$V$32,'EE Inputs'!$C$9:$C$32,$AM$6,'EE Inputs'!$D$9:$D$32,$C$4,'EE Inputs'!$E$9:$E$32,$B16)*10,0))</f>
        <v>0</v>
      </c>
      <c r="BH16" s="71">
        <f ca="1">IF($C$4=Lookups!$D$40,SUM(INDIRECT("'Yr1'!"&amp;ADDRESS(ROW(BH16),COLUMN(BH16))),INDIRECT("'Yr2'!"&amp;ADDRESS(ROW(BH16),COLUMN(BH16))),INDIRECT("'Yr3'!"&amp;ADDRESS(ROW(BH16),COLUMN(BH16)))),
IF(BH12&gt;0,SUMIFS('EE Inputs'!$I$9:$I$32,'EE Inputs'!$C$9:$C$32,$AM$6,'EE Inputs'!$D$9:$D$32,$C$4,'EE Inputs'!$E$9:$E$32,$B16)/SUMIFS('EE Inputs'!$V$9:$V$32,'EE Inputs'!$C$9:$C$32,$AM$6,'EE Inputs'!$D$9:$D$32,$C$4,'EE Inputs'!$E$9:$E$32,$B16)*10,0))</f>
        <v>0</v>
      </c>
      <c r="BI16" s="71">
        <f ca="1">IF($C$4=Lookups!$D$40,SUM(INDIRECT("'Yr1'!"&amp;ADDRESS(ROW(BI16),COLUMN(BI16))),INDIRECT("'Yr2'!"&amp;ADDRESS(ROW(BI16),COLUMN(BI16))),INDIRECT("'Yr3'!"&amp;ADDRESS(ROW(BI16),COLUMN(BI16)))),
IF(BI12&gt;0,SUMIFS('EE Inputs'!$I$9:$I$32,'EE Inputs'!$C$9:$C$32,$AM$6,'EE Inputs'!$D$9:$D$32,$C$4,'EE Inputs'!$E$9:$E$32,$B16)/SUMIFS('EE Inputs'!$V$9:$V$32,'EE Inputs'!$C$9:$C$32,$AM$6,'EE Inputs'!$D$9:$D$32,$C$4,'EE Inputs'!$E$9:$E$32,$B16)*10,0))</f>
        <v>0</v>
      </c>
      <c r="BJ16" s="71">
        <f ca="1">IF($C$4=Lookups!$D$40,SUM(INDIRECT("'Yr1'!"&amp;ADDRESS(ROW(BJ16),COLUMN(BJ16))),INDIRECT("'Yr2'!"&amp;ADDRESS(ROW(BJ16),COLUMN(BJ16))),INDIRECT("'Yr3'!"&amp;ADDRESS(ROW(BJ16),COLUMN(BJ16)))),
IF(BJ12&gt;0,SUMIFS('EE Inputs'!$I$9:$I$32,'EE Inputs'!$C$9:$C$32,$AM$6,'EE Inputs'!$D$9:$D$32,$C$4,'EE Inputs'!$E$9:$E$32,$B16)/SUMIFS('EE Inputs'!$V$9:$V$32,'EE Inputs'!$C$9:$C$32,$AM$6,'EE Inputs'!$D$9:$D$32,$C$4,'EE Inputs'!$E$9:$E$32,$B16)*10,0))</f>
        <v>0</v>
      </c>
      <c r="BK16" s="71">
        <f ca="1">IF($C$4=Lookups!$D$40,SUM(INDIRECT("'Yr1'!"&amp;ADDRESS(ROW(BK16),COLUMN(BK16))),INDIRECT("'Yr2'!"&amp;ADDRESS(ROW(BK16),COLUMN(BK16))),INDIRECT("'Yr3'!"&amp;ADDRESS(ROW(BK16),COLUMN(BK16)))),
IF(BK12&gt;0,SUMIFS('EE Inputs'!$I$9:$I$32,'EE Inputs'!$C$9:$C$32,$AM$6,'EE Inputs'!$D$9:$D$32,$C$4,'EE Inputs'!$E$9:$E$32,$B16)/SUMIFS('EE Inputs'!$V$9:$V$32,'EE Inputs'!$C$9:$C$32,$AM$6,'EE Inputs'!$D$9:$D$32,$C$4,'EE Inputs'!$E$9:$E$32,$B16)*10,0))</f>
        <v>0</v>
      </c>
      <c r="BL16" s="71">
        <f ca="1">IF($C$4=Lookups!$D$40,SUM(INDIRECT("'Yr1'!"&amp;ADDRESS(ROW(BL16),COLUMN(BL16))),INDIRECT("'Yr2'!"&amp;ADDRESS(ROW(BL16),COLUMN(BL16))),INDIRECT("'Yr3'!"&amp;ADDRESS(ROW(BL16),COLUMN(BL16)))),
IF(BL12&gt;0,SUMIFS('EE Inputs'!$I$9:$I$32,'EE Inputs'!$C$9:$C$32,$AM$6,'EE Inputs'!$D$9:$D$32,$C$4,'EE Inputs'!$E$9:$E$32,$B16)/SUMIFS('EE Inputs'!$V$9:$V$32,'EE Inputs'!$C$9:$C$32,$AM$6,'EE Inputs'!$D$9:$D$32,$C$4,'EE Inputs'!$E$9:$E$32,$B16)*10,0))</f>
        <v>0</v>
      </c>
      <c r="BM16" s="71">
        <f ca="1">IF($C$4=Lookups!$D$40,SUM(INDIRECT("'Yr1'!"&amp;ADDRESS(ROW(BM16),COLUMN(BM16))),INDIRECT("'Yr2'!"&amp;ADDRESS(ROW(BM16),COLUMN(BM16))),INDIRECT("'Yr3'!"&amp;ADDRESS(ROW(BM16),COLUMN(BM16)))),
IF(BM12&gt;0,SUMIFS('EE Inputs'!$I$9:$I$32,'EE Inputs'!$C$9:$C$32,$AM$6,'EE Inputs'!$D$9:$D$32,$C$4,'EE Inputs'!$E$9:$E$32,$B16)/SUMIFS('EE Inputs'!$V$9:$V$32,'EE Inputs'!$C$9:$C$32,$AM$6,'EE Inputs'!$D$9:$D$32,$C$4,'EE Inputs'!$E$9:$E$32,$B16)*10,0))</f>
        <v>0</v>
      </c>
      <c r="BN16" s="71"/>
      <c r="BO16" s="71">
        <f ca="1">SUM(AM16:BM16)</f>
        <v>6436153.6966259722</v>
      </c>
      <c r="BP16" s="71"/>
      <c r="BS16" s="84" t="s">
        <v>92</v>
      </c>
      <c r="BT16" s="51" t="s">
        <v>17</v>
      </c>
    </row>
    <row r="17" spans="1:72" x14ac:dyDescent="0.25">
      <c r="B17" s="243" t="str">
        <f t="shared" si="4"/>
        <v>Residential</v>
      </c>
      <c r="C17" s="243" t="str">
        <f>C16</f>
        <v>Sales</v>
      </c>
      <c r="D17" s="244" t="s">
        <v>109</v>
      </c>
      <c r="E17" s="85" t="s">
        <v>109</v>
      </c>
      <c r="F17" s="84" t="s">
        <v>195</v>
      </c>
      <c r="G17" s="65">
        <f ca="1">G15-G16</f>
        <v>58150146.804593243</v>
      </c>
      <c r="H17" s="65">
        <f t="shared" ref="H17:AG17" ca="1" si="5">H15-H16</f>
        <v>58150146.804593243</v>
      </c>
      <c r="I17" s="65">
        <f t="shared" ca="1" si="5"/>
        <v>58150146.804593243</v>
      </c>
      <c r="J17" s="65">
        <f t="shared" ca="1" si="5"/>
        <v>58150146.804593243</v>
      </c>
      <c r="K17" s="65">
        <f t="shared" ca="1" si="5"/>
        <v>58150146.804593243</v>
      </c>
      <c r="L17" s="65">
        <f t="shared" ca="1" si="5"/>
        <v>58150146.804593243</v>
      </c>
      <c r="M17" s="65">
        <f t="shared" ca="1" si="5"/>
        <v>58150146.804593243</v>
      </c>
      <c r="N17" s="65">
        <f t="shared" ca="1" si="5"/>
        <v>58150146.804593243</v>
      </c>
      <c r="O17" s="65">
        <f t="shared" ca="1" si="5"/>
        <v>58150146.804593243</v>
      </c>
      <c r="P17" s="65">
        <f t="shared" ca="1" si="5"/>
        <v>58150146.804593243</v>
      </c>
      <c r="Q17" s="65">
        <f t="shared" ca="1" si="5"/>
        <v>58150146.804593243</v>
      </c>
      <c r="R17" s="65">
        <f t="shared" ca="1" si="5"/>
        <v>58150146.804593243</v>
      </c>
      <c r="S17" s="65">
        <f t="shared" ca="1" si="5"/>
        <v>58150146.804593243</v>
      </c>
      <c r="T17" s="65">
        <f t="shared" ca="1" si="5"/>
        <v>58150146.804593243</v>
      </c>
      <c r="U17" s="65">
        <f t="shared" ca="1" si="5"/>
        <v>58150146.804593243</v>
      </c>
      <c r="V17" s="65">
        <f t="shared" ca="1" si="5"/>
        <v>58525589.103563093</v>
      </c>
      <c r="W17" s="65">
        <f t="shared" ca="1" si="5"/>
        <v>58525589.103563093</v>
      </c>
      <c r="X17" s="65">
        <f t="shared" ca="1" si="5"/>
        <v>58525589.103563093</v>
      </c>
      <c r="Y17" s="65">
        <f t="shared" ca="1" si="5"/>
        <v>58525589.103563093</v>
      </c>
      <c r="Z17" s="65">
        <f t="shared" ca="1" si="5"/>
        <v>58525589.103563093</v>
      </c>
      <c r="AA17" s="65">
        <f t="shared" ca="1" si="5"/>
        <v>58525589.103563093</v>
      </c>
      <c r="AB17" s="65">
        <f t="shared" ca="1" si="5"/>
        <v>58525589.103563093</v>
      </c>
      <c r="AC17" s="65">
        <f t="shared" ca="1" si="5"/>
        <v>58525589.103563093</v>
      </c>
      <c r="AD17" s="65">
        <f t="shared" ca="1" si="5"/>
        <v>58525589.103563093</v>
      </c>
      <c r="AE17" s="65">
        <f t="shared" ca="1" si="5"/>
        <v>58525589.103563093</v>
      </c>
      <c r="AF17" s="65">
        <f t="shared" ca="1" si="5"/>
        <v>58525589.103563093</v>
      </c>
      <c r="AG17" s="65">
        <f t="shared" ca="1" si="5"/>
        <v>58525589.103563093</v>
      </c>
      <c r="AH17" s="65"/>
      <c r="AI17" s="65">
        <f ca="1">SUM(G17:AG17)</f>
        <v>1574559271.3116555</v>
      </c>
      <c r="AJ17" s="65"/>
      <c r="AM17" s="72">
        <f ca="1">AM15-AM16</f>
        <v>58096512.190454692</v>
      </c>
      <c r="AN17" s="72">
        <f t="shared" ref="AN17:BM17" ca="1" si="6">AN15-AN16</f>
        <v>58096512.190454692</v>
      </c>
      <c r="AO17" s="72">
        <f t="shared" ca="1" si="6"/>
        <v>58096512.190454692</v>
      </c>
      <c r="AP17" s="72">
        <f t="shared" ca="1" si="6"/>
        <v>58096512.190454692</v>
      </c>
      <c r="AQ17" s="72">
        <f t="shared" ca="1" si="6"/>
        <v>58096512.190454692</v>
      </c>
      <c r="AR17" s="72">
        <f t="shared" ca="1" si="6"/>
        <v>58096512.190454692</v>
      </c>
      <c r="AS17" s="72">
        <f t="shared" ca="1" si="6"/>
        <v>58096512.190454692</v>
      </c>
      <c r="AT17" s="72">
        <f t="shared" ca="1" si="6"/>
        <v>58096512.190454692</v>
      </c>
      <c r="AU17" s="72">
        <f t="shared" ca="1" si="6"/>
        <v>58096512.190454692</v>
      </c>
      <c r="AV17" s="72">
        <f t="shared" ca="1" si="6"/>
        <v>58096512.190454692</v>
      </c>
      <c r="AW17" s="72">
        <f t="shared" ca="1" si="6"/>
        <v>58096512.190454692</v>
      </c>
      <c r="AX17" s="72">
        <f t="shared" ca="1" si="6"/>
        <v>58096512.190454692</v>
      </c>
      <c r="AY17" s="72">
        <f t="shared" ca="1" si="6"/>
        <v>58096512.190454692</v>
      </c>
      <c r="AZ17" s="72">
        <f t="shared" ca="1" si="6"/>
        <v>58096512.190454692</v>
      </c>
      <c r="BA17" s="72">
        <f t="shared" ca="1" si="6"/>
        <v>58096512.190454692</v>
      </c>
      <c r="BB17" s="72">
        <f t="shared" ca="1" si="6"/>
        <v>58525589.103563093</v>
      </c>
      <c r="BC17" s="72">
        <f t="shared" ca="1" si="6"/>
        <v>58525589.103563093</v>
      </c>
      <c r="BD17" s="72">
        <f t="shared" ca="1" si="6"/>
        <v>58525589.103563093</v>
      </c>
      <c r="BE17" s="72">
        <f t="shared" ca="1" si="6"/>
        <v>58525589.103563093</v>
      </c>
      <c r="BF17" s="72">
        <f t="shared" ca="1" si="6"/>
        <v>58525589.103563093</v>
      </c>
      <c r="BG17" s="72">
        <f t="shared" ca="1" si="6"/>
        <v>58525589.103563093</v>
      </c>
      <c r="BH17" s="72">
        <f t="shared" ca="1" si="6"/>
        <v>58525589.103563093</v>
      </c>
      <c r="BI17" s="72">
        <f t="shared" ca="1" si="6"/>
        <v>58525589.103563093</v>
      </c>
      <c r="BJ17" s="72">
        <f t="shared" ca="1" si="6"/>
        <v>58525589.103563093</v>
      </c>
      <c r="BK17" s="72">
        <f t="shared" ca="1" si="6"/>
        <v>58525589.103563093</v>
      </c>
      <c r="BL17" s="72">
        <f t="shared" ca="1" si="6"/>
        <v>58525589.103563093</v>
      </c>
      <c r="BM17" s="72">
        <f t="shared" ca="1" si="6"/>
        <v>58525589.103563093</v>
      </c>
      <c r="BN17" s="72"/>
      <c r="BO17" s="72">
        <f ca="1">SUM(AM17:BM17)</f>
        <v>1573754752.0995777</v>
      </c>
      <c r="BP17" s="72"/>
      <c r="BS17" s="84" t="s">
        <v>93</v>
      </c>
      <c r="BT17" s="51" t="s">
        <v>17</v>
      </c>
    </row>
    <row r="18" spans="1:72" s="5" customFormat="1" x14ac:dyDescent="0.25">
      <c r="A18" s="52"/>
      <c r="B18" s="242" t="str">
        <f t="shared" si="4"/>
        <v>Residential</v>
      </c>
      <c r="C18" s="243" t="str">
        <f>C17</f>
        <v>Sales</v>
      </c>
      <c r="D18" s="77" t="s">
        <v>17</v>
      </c>
      <c r="E18" s="76"/>
      <c r="F18" s="76"/>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8"/>
      <c r="AI18" s="235"/>
      <c r="AJ18" s="48"/>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S18" s="76"/>
      <c r="BT18" s="51" t="s">
        <v>17</v>
      </c>
    </row>
    <row r="19" spans="1:72" s="5" customFormat="1" ht="15.75" x14ac:dyDescent="0.25">
      <c r="A19" s="52"/>
      <c r="B19" s="241" t="str">
        <f t="shared" si="4"/>
        <v>Residential</v>
      </c>
      <c r="C19" s="63" t="s">
        <v>124</v>
      </c>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2"/>
      <c r="BO19" s="62"/>
      <c r="BP19" s="62"/>
      <c r="BS19" s="62"/>
      <c r="BT19" s="51" t="s">
        <v>17</v>
      </c>
    </row>
    <row r="20" spans="1:72" x14ac:dyDescent="0.25">
      <c r="B20" s="243" t="str">
        <f t="shared" si="4"/>
        <v>Residential</v>
      </c>
      <c r="C20" s="243" t="str">
        <f t="shared" si="4"/>
        <v>Revenue Requirements</v>
      </c>
      <c r="D20" s="114" t="str">
        <f>"Revenue Requirement before DSM ("&amp;Lookups!$D$22&amp;" Scenario)"</f>
        <v>Revenue Requirement before DSM (No EE Scenario)</v>
      </c>
      <c r="E20" s="84"/>
      <c r="F20" s="84"/>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S20" s="84"/>
      <c r="BT20" s="51" t="s">
        <v>17</v>
      </c>
    </row>
    <row r="21" spans="1:72" x14ac:dyDescent="0.25">
      <c r="B21" s="243" t="str">
        <f t="shared" si="4"/>
        <v>Residential</v>
      </c>
      <c r="C21" s="243" t="str">
        <f t="shared" si="4"/>
        <v>Revenue Requirements</v>
      </c>
      <c r="D21" s="244" t="str">
        <f>D20</f>
        <v>Revenue Requirement before DSM (No EE Scenario)</v>
      </c>
      <c r="E21" s="84" t="s">
        <v>26</v>
      </c>
      <c r="F21" s="84" t="s">
        <v>32</v>
      </c>
      <c r="G21" s="65">
        <f>G38*G15</f>
        <v>32592900.571774282</v>
      </c>
      <c r="H21" s="65">
        <f t="shared" ref="H21:AG21" si="7">H38*H15</f>
        <v>32592900.571774282</v>
      </c>
      <c r="I21" s="65">
        <f t="shared" si="7"/>
        <v>32592900.571774282</v>
      </c>
      <c r="J21" s="65">
        <f t="shared" si="7"/>
        <v>32592900.571774282</v>
      </c>
      <c r="K21" s="65">
        <f t="shared" si="7"/>
        <v>32592900.571774282</v>
      </c>
      <c r="L21" s="65">
        <f t="shared" si="7"/>
        <v>32592900.571774282</v>
      </c>
      <c r="M21" s="65">
        <f t="shared" si="7"/>
        <v>32592900.571774282</v>
      </c>
      <c r="N21" s="65">
        <f t="shared" si="7"/>
        <v>32592900.571774282</v>
      </c>
      <c r="O21" s="65">
        <f t="shared" si="7"/>
        <v>32592900.571774282</v>
      </c>
      <c r="P21" s="65">
        <f t="shared" si="7"/>
        <v>32592900.571774282</v>
      </c>
      <c r="Q21" s="65">
        <f t="shared" si="7"/>
        <v>32592900.571774282</v>
      </c>
      <c r="R21" s="65">
        <f t="shared" si="7"/>
        <v>32592900.571774282</v>
      </c>
      <c r="S21" s="65">
        <f t="shared" si="7"/>
        <v>32592900.571774282</v>
      </c>
      <c r="T21" s="65">
        <f t="shared" si="7"/>
        <v>32592900.571774282</v>
      </c>
      <c r="U21" s="65">
        <f t="shared" si="7"/>
        <v>32592900.571774282</v>
      </c>
      <c r="V21" s="65">
        <f t="shared" si="7"/>
        <v>32592900.571774282</v>
      </c>
      <c r="W21" s="65">
        <f t="shared" si="7"/>
        <v>32592900.571774282</v>
      </c>
      <c r="X21" s="65">
        <f t="shared" si="7"/>
        <v>32592900.571774282</v>
      </c>
      <c r="Y21" s="65">
        <f t="shared" si="7"/>
        <v>32592900.571774282</v>
      </c>
      <c r="Z21" s="65">
        <f t="shared" si="7"/>
        <v>32592900.571774282</v>
      </c>
      <c r="AA21" s="65">
        <f t="shared" si="7"/>
        <v>32592900.571774282</v>
      </c>
      <c r="AB21" s="65">
        <f t="shared" si="7"/>
        <v>32592900.571774282</v>
      </c>
      <c r="AC21" s="65">
        <f t="shared" si="7"/>
        <v>32592900.571774282</v>
      </c>
      <c r="AD21" s="65">
        <f t="shared" si="7"/>
        <v>32592900.571774282</v>
      </c>
      <c r="AE21" s="65">
        <f t="shared" si="7"/>
        <v>32592900.571774282</v>
      </c>
      <c r="AF21" s="65">
        <f t="shared" si="7"/>
        <v>32592900.571774282</v>
      </c>
      <c r="AG21" s="65">
        <f t="shared" si="7"/>
        <v>32592900.571774282</v>
      </c>
      <c r="AH21" s="65"/>
      <c r="AI21" s="65">
        <f>NPV(Lookups!$E$17,G21:AG21)</f>
        <v>727256411.18746567</v>
      </c>
      <c r="AJ21" s="65"/>
      <c r="AM21" s="72">
        <f>AM38*AM15</f>
        <v>32592900.571774282</v>
      </c>
      <c r="AN21" s="72">
        <f t="shared" ref="AN21:BM21" si="8">AN38*AN15</f>
        <v>32592900.571774282</v>
      </c>
      <c r="AO21" s="72">
        <f t="shared" si="8"/>
        <v>32592900.571774282</v>
      </c>
      <c r="AP21" s="72">
        <f t="shared" si="8"/>
        <v>32592900.571774282</v>
      </c>
      <c r="AQ21" s="72">
        <f t="shared" si="8"/>
        <v>32592900.571774282</v>
      </c>
      <c r="AR21" s="72">
        <f t="shared" si="8"/>
        <v>32592900.571774282</v>
      </c>
      <c r="AS21" s="72">
        <f t="shared" si="8"/>
        <v>32592900.571774282</v>
      </c>
      <c r="AT21" s="72">
        <f t="shared" si="8"/>
        <v>32592900.571774282</v>
      </c>
      <c r="AU21" s="72">
        <f t="shared" si="8"/>
        <v>32592900.571774282</v>
      </c>
      <c r="AV21" s="72">
        <f t="shared" si="8"/>
        <v>32592900.571774282</v>
      </c>
      <c r="AW21" s="72">
        <f t="shared" si="8"/>
        <v>32592900.571774282</v>
      </c>
      <c r="AX21" s="72">
        <f t="shared" si="8"/>
        <v>32592900.571774282</v>
      </c>
      <c r="AY21" s="72">
        <f t="shared" si="8"/>
        <v>32592900.571774282</v>
      </c>
      <c r="AZ21" s="72">
        <f t="shared" si="8"/>
        <v>32592900.571774282</v>
      </c>
      <c r="BA21" s="72">
        <f t="shared" si="8"/>
        <v>32592900.571774282</v>
      </c>
      <c r="BB21" s="72">
        <f t="shared" si="8"/>
        <v>32592900.571774282</v>
      </c>
      <c r="BC21" s="72">
        <f t="shared" si="8"/>
        <v>32592900.571774282</v>
      </c>
      <c r="BD21" s="72">
        <f t="shared" si="8"/>
        <v>32592900.571774282</v>
      </c>
      <c r="BE21" s="72">
        <f t="shared" si="8"/>
        <v>32592900.571774282</v>
      </c>
      <c r="BF21" s="72">
        <f t="shared" si="8"/>
        <v>32592900.571774282</v>
      </c>
      <c r="BG21" s="72">
        <f t="shared" si="8"/>
        <v>32592900.571774282</v>
      </c>
      <c r="BH21" s="72">
        <f t="shared" si="8"/>
        <v>32592900.571774282</v>
      </c>
      <c r="BI21" s="72">
        <f t="shared" si="8"/>
        <v>32592900.571774282</v>
      </c>
      <c r="BJ21" s="72">
        <f t="shared" si="8"/>
        <v>32592900.571774282</v>
      </c>
      <c r="BK21" s="72">
        <f t="shared" si="8"/>
        <v>32592900.571774282</v>
      </c>
      <c r="BL21" s="72">
        <f t="shared" si="8"/>
        <v>32592900.571774282</v>
      </c>
      <c r="BM21" s="72">
        <f t="shared" si="8"/>
        <v>32592900.571774282</v>
      </c>
      <c r="BN21" s="72"/>
      <c r="BO21" s="72">
        <f>NPV(Lookups!$E$17,AM21:BM21)</f>
        <v>727256411.18746567</v>
      </c>
      <c r="BP21" s="72"/>
      <c r="BS21" s="84" t="str">
        <f>"No EE Scenario "&amp;E21&amp;" rate multiplied by No EE Scenario sales."</f>
        <v>No EE Scenario Distribution rate multiplied by No EE Scenario sales.</v>
      </c>
      <c r="BT21" s="51" t="s">
        <v>17</v>
      </c>
    </row>
    <row r="22" spans="1:72" x14ac:dyDescent="0.25">
      <c r="B22" s="243" t="str">
        <f t="shared" si="4"/>
        <v>Residential</v>
      </c>
      <c r="C22" s="243" t="str">
        <f t="shared" si="4"/>
        <v>Revenue Requirements</v>
      </c>
      <c r="D22" s="244" t="str">
        <f>D21</f>
        <v>Revenue Requirement before DSM (No EE Scenario)</v>
      </c>
      <c r="E22" s="84" t="s">
        <v>407</v>
      </c>
      <c r="F22" s="84" t="s">
        <v>32</v>
      </c>
      <c r="G22" s="65">
        <f>G39*G15</f>
        <v>-1931344.4404175822</v>
      </c>
      <c r="H22" s="65">
        <f t="shared" ref="H22:AG22" si="9">H39*H15</f>
        <v>-1931344.4404175822</v>
      </c>
      <c r="I22" s="65">
        <f t="shared" si="9"/>
        <v>-1931344.4404175822</v>
      </c>
      <c r="J22" s="65">
        <f t="shared" si="9"/>
        <v>-1931344.4404175822</v>
      </c>
      <c r="K22" s="65">
        <f t="shared" si="9"/>
        <v>-1931344.4404175822</v>
      </c>
      <c r="L22" s="65">
        <f t="shared" si="9"/>
        <v>-1931344.4404175822</v>
      </c>
      <c r="M22" s="65">
        <f t="shared" si="9"/>
        <v>-1931344.4404175822</v>
      </c>
      <c r="N22" s="65">
        <f t="shared" si="9"/>
        <v>-1931344.4404175822</v>
      </c>
      <c r="O22" s="65">
        <f t="shared" si="9"/>
        <v>-1931344.4404175822</v>
      </c>
      <c r="P22" s="65">
        <f t="shared" si="9"/>
        <v>-1931344.4404175822</v>
      </c>
      <c r="Q22" s="65">
        <f t="shared" si="9"/>
        <v>-1931344.4404175822</v>
      </c>
      <c r="R22" s="65">
        <f t="shared" si="9"/>
        <v>-1931344.4404175822</v>
      </c>
      <c r="S22" s="65">
        <f t="shared" si="9"/>
        <v>-1931344.4404175822</v>
      </c>
      <c r="T22" s="65">
        <f t="shared" si="9"/>
        <v>-1931344.4404175822</v>
      </c>
      <c r="U22" s="65">
        <f t="shared" si="9"/>
        <v>-1931344.4404175822</v>
      </c>
      <c r="V22" s="65">
        <f t="shared" si="9"/>
        <v>-1931344.4404175822</v>
      </c>
      <c r="W22" s="65">
        <f t="shared" si="9"/>
        <v>-1931344.4404175822</v>
      </c>
      <c r="X22" s="65">
        <f t="shared" si="9"/>
        <v>-1931344.4404175822</v>
      </c>
      <c r="Y22" s="65">
        <f t="shared" si="9"/>
        <v>-1931344.4404175822</v>
      </c>
      <c r="Z22" s="65">
        <f t="shared" si="9"/>
        <v>-1931344.4404175822</v>
      </c>
      <c r="AA22" s="65">
        <f t="shared" si="9"/>
        <v>-1931344.4404175822</v>
      </c>
      <c r="AB22" s="65">
        <f t="shared" si="9"/>
        <v>-1931344.4404175822</v>
      </c>
      <c r="AC22" s="65">
        <f t="shared" si="9"/>
        <v>-1931344.4404175822</v>
      </c>
      <c r="AD22" s="65">
        <f t="shared" si="9"/>
        <v>-1931344.4404175822</v>
      </c>
      <c r="AE22" s="65">
        <f t="shared" si="9"/>
        <v>-1931344.4404175822</v>
      </c>
      <c r="AF22" s="65">
        <f t="shared" si="9"/>
        <v>-1931344.4404175822</v>
      </c>
      <c r="AG22" s="65">
        <f t="shared" si="9"/>
        <v>-1931344.4404175822</v>
      </c>
      <c r="AH22" s="65"/>
      <c r="AI22" s="65">
        <f>NPV(Lookups!$E$17,G22:AG22)</f>
        <v>-43094741.5499845</v>
      </c>
      <c r="AJ22" s="65"/>
      <c r="AM22" s="72">
        <f>AM39*AM15</f>
        <v>-1931344.4404175822</v>
      </c>
      <c r="AN22" s="72">
        <f t="shared" ref="AN22:BM22" si="10">AN39*AN15</f>
        <v>-1931344.4404175822</v>
      </c>
      <c r="AO22" s="72">
        <f t="shared" si="10"/>
        <v>-1931344.4404175822</v>
      </c>
      <c r="AP22" s="72">
        <f t="shared" si="10"/>
        <v>-1931344.4404175822</v>
      </c>
      <c r="AQ22" s="72">
        <f t="shared" si="10"/>
        <v>-1931344.4404175822</v>
      </c>
      <c r="AR22" s="72">
        <f t="shared" si="10"/>
        <v>-1931344.4404175822</v>
      </c>
      <c r="AS22" s="72">
        <f t="shared" si="10"/>
        <v>-1931344.4404175822</v>
      </c>
      <c r="AT22" s="72">
        <f t="shared" si="10"/>
        <v>-1931344.4404175822</v>
      </c>
      <c r="AU22" s="72">
        <f t="shared" si="10"/>
        <v>-1931344.4404175822</v>
      </c>
      <c r="AV22" s="72">
        <f t="shared" si="10"/>
        <v>-1931344.4404175822</v>
      </c>
      <c r="AW22" s="72">
        <f t="shared" si="10"/>
        <v>-1931344.4404175822</v>
      </c>
      <c r="AX22" s="72">
        <f t="shared" si="10"/>
        <v>-1931344.4404175822</v>
      </c>
      <c r="AY22" s="72">
        <f t="shared" si="10"/>
        <v>-1931344.4404175822</v>
      </c>
      <c r="AZ22" s="72">
        <f t="shared" si="10"/>
        <v>-1931344.4404175822</v>
      </c>
      <c r="BA22" s="72">
        <f t="shared" si="10"/>
        <v>-1931344.4404175822</v>
      </c>
      <c r="BB22" s="72">
        <f t="shared" si="10"/>
        <v>-1931344.4404175822</v>
      </c>
      <c r="BC22" s="72">
        <f t="shared" si="10"/>
        <v>-1931344.4404175822</v>
      </c>
      <c r="BD22" s="72">
        <f t="shared" si="10"/>
        <v>-1931344.4404175822</v>
      </c>
      <c r="BE22" s="72">
        <f t="shared" si="10"/>
        <v>-1931344.4404175822</v>
      </c>
      <c r="BF22" s="72">
        <f t="shared" si="10"/>
        <v>-1931344.4404175822</v>
      </c>
      <c r="BG22" s="72">
        <f t="shared" si="10"/>
        <v>-1931344.4404175822</v>
      </c>
      <c r="BH22" s="72">
        <f t="shared" si="10"/>
        <v>-1931344.4404175822</v>
      </c>
      <c r="BI22" s="72">
        <f t="shared" si="10"/>
        <v>-1931344.4404175822</v>
      </c>
      <c r="BJ22" s="72">
        <f t="shared" si="10"/>
        <v>-1931344.4404175822</v>
      </c>
      <c r="BK22" s="72">
        <f t="shared" si="10"/>
        <v>-1931344.4404175822</v>
      </c>
      <c r="BL22" s="72">
        <f t="shared" si="10"/>
        <v>-1931344.4404175822</v>
      </c>
      <c r="BM22" s="72">
        <f t="shared" si="10"/>
        <v>-1931344.4404175822</v>
      </c>
      <c r="BN22" s="72"/>
      <c r="BO22" s="72">
        <f>NPV(Lookups!$E$17,AM22:BM22)</f>
        <v>-43094741.5499845</v>
      </c>
      <c r="BP22" s="72"/>
      <c r="BS22" s="84" t="str">
        <f>"No EE Scenario "&amp;E22&amp;" rate multiplied by No EE Scenario sales."</f>
        <v>No EE Scenario LDAC, Non-EE rate multiplied by No EE Scenario sales.</v>
      </c>
      <c r="BT22" s="51" t="s">
        <v>17</v>
      </c>
    </row>
    <row r="23" spans="1:72" x14ac:dyDescent="0.25">
      <c r="A23" s="1"/>
      <c r="B23" s="243" t="str">
        <f>B21</f>
        <v>Residential</v>
      </c>
      <c r="C23" s="243" t="str">
        <f>C21</f>
        <v>Revenue Requirements</v>
      </c>
      <c r="D23" s="244" t="str">
        <f>D21</f>
        <v>Revenue Requirement before DSM (No EE Scenario)</v>
      </c>
      <c r="E23" s="84" t="s">
        <v>197</v>
      </c>
      <c r="F23" s="84" t="s">
        <v>32</v>
      </c>
      <c r="G23" s="65">
        <f>G40*G15</f>
        <v>36303422.920940183</v>
      </c>
      <c r="H23" s="65">
        <f t="shared" ref="H23:AG23" si="11">H40*H15</f>
        <v>36303422.920940183</v>
      </c>
      <c r="I23" s="65">
        <f t="shared" si="11"/>
        <v>36303422.920940183</v>
      </c>
      <c r="J23" s="65">
        <f t="shared" si="11"/>
        <v>36303422.920940183</v>
      </c>
      <c r="K23" s="65">
        <f t="shared" si="11"/>
        <v>36303422.920940183</v>
      </c>
      <c r="L23" s="65">
        <f t="shared" si="11"/>
        <v>36303422.920940183</v>
      </c>
      <c r="M23" s="65">
        <f t="shared" si="11"/>
        <v>36303422.920940183</v>
      </c>
      <c r="N23" s="65">
        <f t="shared" si="11"/>
        <v>36303422.920940183</v>
      </c>
      <c r="O23" s="65">
        <f t="shared" si="11"/>
        <v>36303422.920940183</v>
      </c>
      <c r="P23" s="65">
        <f t="shared" si="11"/>
        <v>36303422.920940183</v>
      </c>
      <c r="Q23" s="65">
        <f t="shared" si="11"/>
        <v>36303422.920940183</v>
      </c>
      <c r="R23" s="65">
        <f t="shared" si="11"/>
        <v>36303422.920940183</v>
      </c>
      <c r="S23" s="65">
        <f t="shared" si="11"/>
        <v>36303422.920940183</v>
      </c>
      <c r="T23" s="65">
        <f t="shared" si="11"/>
        <v>36303422.920940183</v>
      </c>
      <c r="U23" s="65">
        <f t="shared" si="11"/>
        <v>36303422.920940183</v>
      </c>
      <c r="V23" s="65">
        <f t="shared" si="11"/>
        <v>36303422.920940183</v>
      </c>
      <c r="W23" s="65">
        <f t="shared" si="11"/>
        <v>36303422.920940183</v>
      </c>
      <c r="X23" s="65">
        <f t="shared" si="11"/>
        <v>36303422.920940183</v>
      </c>
      <c r="Y23" s="65">
        <f t="shared" si="11"/>
        <v>36303422.920940183</v>
      </c>
      <c r="Z23" s="65">
        <f t="shared" si="11"/>
        <v>36303422.920940183</v>
      </c>
      <c r="AA23" s="65">
        <f t="shared" si="11"/>
        <v>36303422.920940183</v>
      </c>
      <c r="AB23" s="65">
        <f t="shared" si="11"/>
        <v>36303422.920940183</v>
      </c>
      <c r="AC23" s="65">
        <f t="shared" si="11"/>
        <v>36303422.920940183</v>
      </c>
      <c r="AD23" s="65">
        <f t="shared" si="11"/>
        <v>36303422.920940183</v>
      </c>
      <c r="AE23" s="65">
        <f t="shared" si="11"/>
        <v>36303422.920940183</v>
      </c>
      <c r="AF23" s="65">
        <f t="shared" si="11"/>
        <v>36303422.920940183</v>
      </c>
      <c r="AG23" s="65">
        <f t="shared" si="11"/>
        <v>36303422.920940183</v>
      </c>
      <c r="AH23" s="65"/>
      <c r="AI23" s="65">
        <f>NPV(Lookups!$E$17,G23:AG23)</f>
        <v>810050551.01379943</v>
      </c>
      <c r="AJ23" s="65"/>
      <c r="AM23" s="72">
        <f>AM40*AM15</f>
        <v>36303422.920940183</v>
      </c>
      <c r="AN23" s="72">
        <f t="shared" ref="AN23:BM23" si="12">AN40*AN15</f>
        <v>36303422.920940183</v>
      </c>
      <c r="AO23" s="72">
        <f t="shared" si="12"/>
        <v>36303422.920940183</v>
      </c>
      <c r="AP23" s="72">
        <f t="shared" si="12"/>
        <v>36303422.920940183</v>
      </c>
      <c r="AQ23" s="72">
        <f t="shared" si="12"/>
        <v>36303422.920940183</v>
      </c>
      <c r="AR23" s="72">
        <f t="shared" si="12"/>
        <v>36303422.920940183</v>
      </c>
      <c r="AS23" s="72">
        <f t="shared" si="12"/>
        <v>36303422.920940183</v>
      </c>
      <c r="AT23" s="72">
        <f t="shared" si="12"/>
        <v>36303422.920940183</v>
      </c>
      <c r="AU23" s="72">
        <f t="shared" si="12"/>
        <v>36303422.920940183</v>
      </c>
      <c r="AV23" s="72">
        <f t="shared" si="12"/>
        <v>36303422.920940183</v>
      </c>
      <c r="AW23" s="72">
        <f t="shared" si="12"/>
        <v>36303422.920940183</v>
      </c>
      <c r="AX23" s="72">
        <f t="shared" si="12"/>
        <v>36303422.920940183</v>
      </c>
      <c r="AY23" s="72">
        <f t="shared" si="12"/>
        <v>36303422.920940183</v>
      </c>
      <c r="AZ23" s="72">
        <f t="shared" si="12"/>
        <v>36303422.920940183</v>
      </c>
      <c r="BA23" s="72">
        <f t="shared" si="12"/>
        <v>36303422.920940183</v>
      </c>
      <c r="BB23" s="72">
        <f t="shared" si="12"/>
        <v>36303422.920940183</v>
      </c>
      <c r="BC23" s="72">
        <f t="shared" si="12"/>
        <v>36303422.920940183</v>
      </c>
      <c r="BD23" s="72">
        <f t="shared" si="12"/>
        <v>36303422.920940183</v>
      </c>
      <c r="BE23" s="72">
        <f t="shared" si="12"/>
        <v>36303422.920940183</v>
      </c>
      <c r="BF23" s="72">
        <f t="shared" si="12"/>
        <v>36303422.920940183</v>
      </c>
      <c r="BG23" s="72">
        <f t="shared" si="12"/>
        <v>36303422.920940183</v>
      </c>
      <c r="BH23" s="72">
        <f t="shared" si="12"/>
        <v>36303422.920940183</v>
      </c>
      <c r="BI23" s="72">
        <f t="shared" si="12"/>
        <v>36303422.920940183</v>
      </c>
      <c r="BJ23" s="72">
        <f t="shared" si="12"/>
        <v>36303422.920940183</v>
      </c>
      <c r="BK23" s="72">
        <f t="shared" si="12"/>
        <v>36303422.920940183</v>
      </c>
      <c r="BL23" s="72">
        <f t="shared" si="12"/>
        <v>36303422.920940183</v>
      </c>
      <c r="BM23" s="72">
        <f t="shared" si="12"/>
        <v>36303422.920940183</v>
      </c>
      <c r="BN23" s="72"/>
      <c r="BO23" s="72">
        <f>NPV(Lookups!$E$17,AM23:BM23)</f>
        <v>810050551.01379943</v>
      </c>
      <c r="BP23" s="72"/>
      <c r="BS23" s="84" t="str">
        <f>"No EE Scenario "&amp;E23&amp;" rate multiplied by No EE Scenario sales."</f>
        <v>No EE Scenario Cost of Gas rate multiplied by No EE Scenario sales.</v>
      </c>
      <c r="BT23" s="51" t="s">
        <v>17</v>
      </c>
    </row>
    <row r="24" spans="1:72" x14ac:dyDescent="0.25">
      <c r="B24" s="243" t="str">
        <f t="shared" si="4"/>
        <v>Residential</v>
      </c>
      <c r="C24" s="243" t="str">
        <f t="shared" si="4"/>
        <v>Revenue Requirements</v>
      </c>
      <c r="D24" s="114" t="s">
        <v>24</v>
      </c>
      <c r="E24" s="84"/>
      <c r="F24" s="84"/>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65"/>
      <c r="AJ24" s="65"/>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S24" s="84"/>
      <c r="BT24" s="51" t="s">
        <v>17</v>
      </c>
    </row>
    <row r="25" spans="1:72" x14ac:dyDescent="0.25">
      <c r="A25" s="246"/>
      <c r="B25" s="243" t="str">
        <f t="shared" si="4"/>
        <v>Residential</v>
      </c>
      <c r="C25" s="243" t="str">
        <f t="shared" si="4"/>
        <v>Revenue Requirements</v>
      </c>
      <c r="D25" s="244" t="str">
        <f>D24</f>
        <v>Avoided Costs</v>
      </c>
      <c r="E25" s="84" t="s">
        <v>45</v>
      </c>
      <c r="F25" s="84" t="s">
        <v>32</v>
      </c>
      <c r="G25" s="65">
        <f ca="1">IF($C$4=Lookups!$D$40,SUM(INDIRECT("'Yr1'!"&amp;ADDRESS(ROW(G25),COLUMN(G25))),INDIRECT("'Yr2'!"&amp;ADDRESS(ROW(G25),COLUMN(G25))),INDIRECT("'Yr3'!"&amp;ADDRESS(ROW(G25),COLUMN(G25)))),
IF(G12=0,0,-PMT(INDEX(Lookups!$E$17:$G$17,MATCH($C$4,Lookups!$E$14:$G$14,0)),G12,SUMIFS('EE Inputs'!$J$9:$J$32,'EE Inputs'!$C$9:$C$32,$G$6,'EE Inputs'!$D$9:$D$32,$C$4,'EE Inputs'!$E$9:$E$32,$B25),0,1)))-G26</f>
        <v>277393.98633103765</v>
      </c>
      <c r="H25" s="65">
        <f ca="1">IF($C$4=Lookups!$D$40,SUM(INDIRECT("'Yr1'!"&amp;ADDRESS(ROW(H25),COLUMN(H25))),INDIRECT("'Yr2'!"&amp;ADDRESS(ROW(H25),COLUMN(H25))),INDIRECT("'Yr3'!"&amp;ADDRESS(ROW(H25),COLUMN(H25)))),
IF(H12=0,0,-PMT(INDEX(Lookups!$E$17:$G$17,MATCH($C$4,Lookups!$E$14:$G$14,0)),H12,SUMIFS('EE Inputs'!$J$9:$J$32,'EE Inputs'!$C$9:$C$32,$G$6,'EE Inputs'!$D$9:$D$32,$C$4,'EE Inputs'!$E$9:$E$32,$B25),0,1)))-H26</f>
        <v>277393.98633103765</v>
      </c>
      <c r="I25" s="65">
        <f ca="1">IF($C$4=Lookups!$D$40,SUM(INDIRECT("'Yr1'!"&amp;ADDRESS(ROW(I25),COLUMN(I25))),INDIRECT("'Yr2'!"&amp;ADDRESS(ROW(I25),COLUMN(I25))),INDIRECT("'Yr3'!"&amp;ADDRESS(ROW(I25),COLUMN(I25)))),
IF(I12=0,0,-PMT(INDEX(Lookups!$E$17:$G$17,MATCH($C$4,Lookups!$E$14:$G$14,0)),I12,SUMIFS('EE Inputs'!$J$9:$J$32,'EE Inputs'!$C$9:$C$32,$G$6,'EE Inputs'!$D$9:$D$32,$C$4,'EE Inputs'!$E$9:$E$32,$B25),0,1)))-I26</f>
        <v>277393.98633103765</v>
      </c>
      <c r="J25" s="65">
        <f ca="1">IF($C$4=Lookups!$D$40,SUM(INDIRECT("'Yr1'!"&amp;ADDRESS(ROW(J25),COLUMN(J25))),INDIRECT("'Yr2'!"&amp;ADDRESS(ROW(J25),COLUMN(J25))),INDIRECT("'Yr3'!"&amp;ADDRESS(ROW(J25),COLUMN(J25)))),
IF(J12=0,0,-PMT(INDEX(Lookups!$E$17:$G$17,MATCH($C$4,Lookups!$E$14:$G$14,0)),J12,SUMIFS('EE Inputs'!$J$9:$J$32,'EE Inputs'!$C$9:$C$32,$G$6,'EE Inputs'!$D$9:$D$32,$C$4,'EE Inputs'!$E$9:$E$32,$B25),0,1)))-J26</f>
        <v>277393.98633103765</v>
      </c>
      <c r="K25" s="65">
        <f ca="1">IF($C$4=Lookups!$D$40,SUM(INDIRECT("'Yr1'!"&amp;ADDRESS(ROW(K25),COLUMN(K25))),INDIRECT("'Yr2'!"&amp;ADDRESS(ROW(K25),COLUMN(K25))),INDIRECT("'Yr3'!"&amp;ADDRESS(ROW(K25),COLUMN(K25)))),
IF(K12=0,0,-PMT(INDEX(Lookups!$E$17:$G$17,MATCH($C$4,Lookups!$E$14:$G$14,0)),K12,SUMIFS('EE Inputs'!$J$9:$J$32,'EE Inputs'!$C$9:$C$32,$G$6,'EE Inputs'!$D$9:$D$32,$C$4,'EE Inputs'!$E$9:$E$32,$B25),0,1)))-K26</f>
        <v>277393.98633103765</v>
      </c>
      <c r="L25" s="65">
        <f ca="1">IF($C$4=Lookups!$D$40,SUM(INDIRECT("'Yr1'!"&amp;ADDRESS(ROW(L25),COLUMN(L25))),INDIRECT("'Yr2'!"&amp;ADDRESS(ROW(L25),COLUMN(L25))),INDIRECT("'Yr3'!"&amp;ADDRESS(ROW(L25),COLUMN(L25)))),
IF(L12=0,0,-PMT(INDEX(Lookups!$E$17:$G$17,MATCH($C$4,Lookups!$E$14:$G$14,0)),L12,SUMIFS('EE Inputs'!$J$9:$J$32,'EE Inputs'!$C$9:$C$32,$G$6,'EE Inputs'!$D$9:$D$32,$C$4,'EE Inputs'!$E$9:$E$32,$B25),0,1)))-L26</f>
        <v>277393.98633103765</v>
      </c>
      <c r="M25" s="65">
        <f ca="1">IF($C$4=Lookups!$D$40,SUM(INDIRECT("'Yr1'!"&amp;ADDRESS(ROW(M25),COLUMN(M25))),INDIRECT("'Yr2'!"&amp;ADDRESS(ROW(M25),COLUMN(M25))),INDIRECT("'Yr3'!"&amp;ADDRESS(ROW(M25),COLUMN(M25)))),
IF(M12=0,0,-PMT(INDEX(Lookups!$E$17:$G$17,MATCH($C$4,Lookups!$E$14:$G$14,0)),M12,SUMIFS('EE Inputs'!$J$9:$J$32,'EE Inputs'!$C$9:$C$32,$G$6,'EE Inputs'!$D$9:$D$32,$C$4,'EE Inputs'!$E$9:$E$32,$B25),0,1)))-M26</f>
        <v>277393.98633103765</v>
      </c>
      <c r="N25" s="65">
        <f ca="1">IF($C$4=Lookups!$D$40,SUM(INDIRECT("'Yr1'!"&amp;ADDRESS(ROW(N25),COLUMN(N25))),INDIRECT("'Yr2'!"&amp;ADDRESS(ROW(N25),COLUMN(N25))),INDIRECT("'Yr3'!"&amp;ADDRESS(ROW(N25),COLUMN(N25)))),
IF(N12=0,0,-PMT(INDEX(Lookups!$E$17:$G$17,MATCH($C$4,Lookups!$E$14:$G$14,0)),N12,SUMIFS('EE Inputs'!$J$9:$J$32,'EE Inputs'!$C$9:$C$32,$G$6,'EE Inputs'!$D$9:$D$32,$C$4,'EE Inputs'!$E$9:$E$32,$B25),0,1)))-N26</f>
        <v>277393.98633103765</v>
      </c>
      <c r="O25" s="65">
        <f ca="1">IF($C$4=Lookups!$D$40,SUM(INDIRECT("'Yr1'!"&amp;ADDRESS(ROW(O25),COLUMN(O25))),INDIRECT("'Yr2'!"&amp;ADDRESS(ROW(O25),COLUMN(O25))),INDIRECT("'Yr3'!"&amp;ADDRESS(ROW(O25),COLUMN(O25)))),
IF(O12=0,0,-PMT(INDEX(Lookups!$E$17:$G$17,MATCH($C$4,Lookups!$E$14:$G$14,0)),O12,SUMIFS('EE Inputs'!$J$9:$J$32,'EE Inputs'!$C$9:$C$32,$G$6,'EE Inputs'!$D$9:$D$32,$C$4,'EE Inputs'!$E$9:$E$32,$B25),0,1)))-O26</f>
        <v>277393.98633103765</v>
      </c>
      <c r="P25" s="65">
        <f ca="1">IF($C$4=Lookups!$D$40,SUM(INDIRECT("'Yr1'!"&amp;ADDRESS(ROW(P25),COLUMN(P25))),INDIRECT("'Yr2'!"&amp;ADDRESS(ROW(P25),COLUMN(P25))),INDIRECT("'Yr3'!"&amp;ADDRESS(ROW(P25),COLUMN(P25)))),
IF(P12=0,0,-PMT(INDEX(Lookups!$E$17:$G$17,MATCH($C$4,Lookups!$E$14:$G$14,0)),P12,SUMIFS('EE Inputs'!$J$9:$J$32,'EE Inputs'!$C$9:$C$32,$G$6,'EE Inputs'!$D$9:$D$32,$C$4,'EE Inputs'!$E$9:$E$32,$B25),0,1)))-P26</f>
        <v>277393.98633103765</v>
      </c>
      <c r="Q25" s="65">
        <f ca="1">IF($C$4=Lookups!$D$40,SUM(INDIRECT("'Yr1'!"&amp;ADDRESS(ROW(Q25),COLUMN(Q25))),INDIRECT("'Yr2'!"&amp;ADDRESS(ROW(Q25),COLUMN(Q25))),INDIRECT("'Yr3'!"&amp;ADDRESS(ROW(Q25),COLUMN(Q25)))),
IF(Q12=0,0,-PMT(INDEX(Lookups!$E$17:$G$17,MATCH($C$4,Lookups!$E$14:$G$14,0)),Q12,SUMIFS('EE Inputs'!$J$9:$J$32,'EE Inputs'!$C$9:$C$32,$G$6,'EE Inputs'!$D$9:$D$32,$C$4,'EE Inputs'!$E$9:$E$32,$B25),0,1)))-Q26</f>
        <v>277393.98633103765</v>
      </c>
      <c r="R25" s="65">
        <f ca="1">IF($C$4=Lookups!$D$40,SUM(INDIRECT("'Yr1'!"&amp;ADDRESS(ROW(R25),COLUMN(R25))),INDIRECT("'Yr2'!"&amp;ADDRESS(ROW(R25),COLUMN(R25))),INDIRECT("'Yr3'!"&amp;ADDRESS(ROW(R25),COLUMN(R25)))),
IF(R12=0,0,-PMT(INDEX(Lookups!$E$17:$G$17,MATCH($C$4,Lookups!$E$14:$G$14,0)),R12,SUMIFS('EE Inputs'!$J$9:$J$32,'EE Inputs'!$C$9:$C$32,$G$6,'EE Inputs'!$D$9:$D$32,$C$4,'EE Inputs'!$E$9:$E$32,$B25),0,1)))-R26</f>
        <v>277393.98633103765</v>
      </c>
      <c r="S25" s="65">
        <f ca="1">IF($C$4=Lookups!$D$40,SUM(INDIRECT("'Yr1'!"&amp;ADDRESS(ROW(S25),COLUMN(S25))),INDIRECT("'Yr2'!"&amp;ADDRESS(ROW(S25),COLUMN(S25))),INDIRECT("'Yr3'!"&amp;ADDRESS(ROW(S25),COLUMN(S25)))),
IF(S12=0,0,-PMT(INDEX(Lookups!$E$17:$G$17,MATCH($C$4,Lookups!$E$14:$G$14,0)),S12,SUMIFS('EE Inputs'!$J$9:$J$32,'EE Inputs'!$C$9:$C$32,$G$6,'EE Inputs'!$D$9:$D$32,$C$4,'EE Inputs'!$E$9:$E$32,$B25),0,1)))-S26</f>
        <v>277393.98633103765</v>
      </c>
      <c r="T25" s="65">
        <f ca="1">IF($C$4=Lookups!$D$40,SUM(INDIRECT("'Yr1'!"&amp;ADDRESS(ROW(T25),COLUMN(T25))),INDIRECT("'Yr2'!"&amp;ADDRESS(ROW(T25),COLUMN(T25))),INDIRECT("'Yr3'!"&amp;ADDRESS(ROW(T25),COLUMN(T25)))),
IF(T12=0,0,-PMT(INDEX(Lookups!$E$17:$G$17,MATCH($C$4,Lookups!$E$14:$G$14,0)),T12,SUMIFS('EE Inputs'!$J$9:$J$32,'EE Inputs'!$C$9:$C$32,$G$6,'EE Inputs'!$D$9:$D$32,$C$4,'EE Inputs'!$E$9:$E$32,$B25),0,1)))-T26</f>
        <v>277393.98633103765</v>
      </c>
      <c r="U25" s="65">
        <f ca="1">IF($C$4=Lookups!$D$40,SUM(INDIRECT("'Yr1'!"&amp;ADDRESS(ROW(U25),COLUMN(U25))),INDIRECT("'Yr2'!"&amp;ADDRESS(ROW(U25),COLUMN(U25))),INDIRECT("'Yr3'!"&amp;ADDRESS(ROW(U25),COLUMN(U25)))),
IF(U12=0,0,-PMT(INDEX(Lookups!$E$17:$G$17,MATCH($C$4,Lookups!$E$14:$G$14,0)),U12,SUMIFS('EE Inputs'!$J$9:$J$32,'EE Inputs'!$C$9:$C$32,$G$6,'EE Inputs'!$D$9:$D$32,$C$4,'EE Inputs'!$E$9:$E$32,$B25),0,1)))-U26</f>
        <v>277393.98633103765</v>
      </c>
      <c r="V25" s="65">
        <f ca="1">IF($C$4=Lookups!$D$40,SUM(INDIRECT("'Yr1'!"&amp;ADDRESS(ROW(V25),COLUMN(V25))),INDIRECT("'Yr2'!"&amp;ADDRESS(ROW(V25),COLUMN(V25))),INDIRECT("'Yr3'!"&amp;ADDRESS(ROW(V25),COLUMN(V25)))),
IF(V12=0,0,-PMT(INDEX(Lookups!$E$17:$G$17,MATCH($C$4,Lookups!$E$14:$G$14,0)),V12,SUMIFS('EE Inputs'!$J$9:$J$32,'EE Inputs'!$C$9:$C$32,$G$6,'EE Inputs'!$D$9:$D$32,$C$4,'EE Inputs'!$E$9:$E$32,$B25),0,1)))-V26</f>
        <v>0</v>
      </c>
      <c r="W25" s="65">
        <f ca="1">IF($C$4=Lookups!$D$40,SUM(INDIRECT("'Yr1'!"&amp;ADDRESS(ROW(W25),COLUMN(W25))),INDIRECT("'Yr2'!"&amp;ADDRESS(ROW(W25),COLUMN(W25))),INDIRECT("'Yr3'!"&amp;ADDRESS(ROW(W25),COLUMN(W25)))),
IF(W12=0,0,-PMT(INDEX(Lookups!$E$17:$G$17,MATCH($C$4,Lookups!$E$14:$G$14,0)),W12,SUMIFS('EE Inputs'!$J$9:$J$32,'EE Inputs'!$C$9:$C$32,$G$6,'EE Inputs'!$D$9:$D$32,$C$4,'EE Inputs'!$E$9:$E$32,$B25),0,1)))-W26</f>
        <v>0</v>
      </c>
      <c r="X25" s="65">
        <f ca="1">IF($C$4=Lookups!$D$40,SUM(INDIRECT("'Yr1'!"&amp;ADDRESS(ROW(X25),COLUMN(X25))),INDIRECT("'Yr2'!"&amp;ADDRESS(ROW(X25),COLUMN(X25))),INDIRECT("'Yr3'!"&amp;ADDRESS(ROW(X25),COLUMN(X25)))),
IF(X12=0,0,-PMT(INDEX(Lookups!$E$17:$G$17,MATCH($C$4,Lookups!$E$14:$G$14,0)),X12,SUMIFS('EE Inputs'!$J$9:$J$32,'EE Inputs'!$C$9:$C$32,$G$6,'EE Inputs'!$D$9:$D$32,$C$4,'EE Inputs'!$E$9:$E$32,$B25),0,1)))-X26</f>
        <v>0</v>
      </c>
      <c r="Y25" s="65">
        <f ca="1">IF($C$4=Lookups!$D$40,SUM(INDIRECT("'Yr1'!"&amp;ADDRESS(ROW(Y25),COLUMN(Y25))),INDIRECT("'Yr2'!"&amp;ADDRESS(ROW(Y25),COLUMN(Y25))),INDIRECT("'Yr3'!"&amp;ADDRESS(ROW(Y25),COLUMN(Y25)))),
IF(Y12=0,0,-PMT(INDEX(Lookups!$E$17:$G$17,MATCH($C$4,Lookups!$E$14:$G$14,0)),Y12,SUMIFS('EE Inputs'!$J$9:$J$32,'EE Inputs'!$C$9:$C$32,$G$6,'EE Inputs'!$D$9:$D$32,$C$4,'EE Inputs'!$E$9:$E$32,$B25),0,1)))-Y26</f>
        <v>0</v>
      </c>
      <c r="Z25" s="65">
        <f ca="1">IF($C$4=Lookups!$D$40,SUM(INDIRECT("'Yr1'!"&amp;ADDRESS(ROW(Z25),COLUMN(Z25))),INDIRECT("'Yr2'!"&amp;ADDRESS(ROW(Z25),COLUMN(Z25))),INDIRECT("'Yr3'!"&amp;ADDRESS(ROW(Z25),COLUMN(Z25)))),
IF(Z12=0,0,-PMT(INDEX(Lookups!$E$17:$G$17,MATCH($C$4,Lookups!$E$14:$G$14,0)),Z12,SUMIFS('EE Inputs'!$J$9:$J$32,'EE Inputs'!$C$9:$C$32,$G$6,'EE Inputs'!$D$9:$D$32,$C$4,'EE Inputs'!$E$9:$E$32,$B25),0,1)))-Z26</f>
        <v>0</v>
      </c>
      <c r="AA25" s="65">
        <f ca="1">IF($C$4=Lookups!$D$40,SUM(INDIRECT("'Yr1'!"&amp;ADDRESS(ROW(AA25),COLUMN(AA25))),INDIRECT("'Yr2'!"&amp;ADDRESS(ROW(AA25),COLUMN(AA25))),INDIRECT("'Yr3'!"&amp;ADDRESS(ROW(AA25),COLUMN(AA25)))),
IF(AA12=0,0,-PMT(INDEX(Lookups!$E$17:$G$17,MATCH($C$4,Lookups!$E$14:$G$14,0)),AA12,SUMIFS('EE Inputs'!$J$9:$J$32,'EE Inputs'!$C$9:$C$32,$G$6,'EE Inputs'!$D$9:$D$32,$C$4,'EE Inputs'!$E$9:$E$32,$B25),0,1)))-AA26</f>
        <v>0</v>
      </c>
      <c r="AB25" s="65">
        <f ca="1">IF($C$4=Lookups!$D$40,SUM(INDIRECT("'Yr1'!"&amp;ADDRESS(ROW(AB25),COLUMN(AB25))),INDIRECT("'Yr2'!"&amp;ADDRESS(ROW(AB25),COLUMN(AB25))),INDIRECT("'Yr3'!"&amp;ADDRESS(ROW(AB25),COLUMN(AB25)))),
IF(AB12=0,0,-PMT(INDEX(Lookups!$E$17:$G$17,MATCH($C$4,Lookups!$E$14:$G$14,0)),AB12,SUMIFS('EE Inputs'!$J$9:$J$32,'EE Inputs'!$C$9:$C$32,$G$6,'EE Inputs'!$D$9:$D$32,$C$4,'EE Inputs'!$E$9:$E$32,$B25),0,1)))-AB26</f>
        <v>0</v>
      </c>
      <c r="AC25" s="65">
        <f ca="1">IF($C$4=Lookups!$D$40,SUM(INDIRECT("'Yr1'!"&amp;ADDRESS(ROW(AC25),COLUMN(AC25))),INDIRECT("'Yr2'!"&amp;ADDRESS(ROW(AC25),COLUMN(AC25))),INDIRECT("'Yr3'!"&amp;ADDRESS(ROW(AC25),COLUMN(AC25)))),
IF(AC12=0,0,-PMT(INDEX(Lookups!$E$17:$G$17,MATCH($C$4,Lookups!$E$14:$G$14,0)),AC12,SUMIFS('EE Inputs'!$J$9:$J$32,'EE Inputs'!$C$9:$C$32,$G$6,'EE Inputs'!$D$9:$D$32,$C$4,'EE Inputs'!$E$9:$E$32,$B25),0,1)))-AC26</f>
        <v>0</v>
      </c>
      <c r="AD25" s="65">
        <f ca="1">IF($C$4=Lookups!$D$40,SUM(INDIRECT("'Yr1'!"&amp;ADDRESS(ROW(AD25),COLUMN(AD25))),INDIRECT("'Yr2'!"&amp;ADDRESS(ROW(AD25),COLUMN(AD25))),INDIRECT("'Yr3'!"&amp;ADDRESS(ROW(AD25),COLUMN(AD25)))),
IF(AD12=0,0,-PMT(INDEX(Lookups!$E$17:$G$17,MATCH($C$4,Lookups!$E$14:$G$14,0)),AD12,SUMIFS('EE Inputs'!$J$9:$J$32,'EE Inputs'!$C$9:$C$32,$G$6,'EE Inputs'!$D$9:$D$32,$C$4,'EE Inputs'!$E$9:$E$32,$B25),0,1)))-AD26</f>
        <v>0</v>
      </c>
      <c r="AE25" s="65">
        <f ca="1">IF($C$4=Lookups!$D$40,SUM(INDIRECT("'Yr1'!"&amp;ADDRESS(ROW(AE25),COLUMN(AE25))),INDIRECT("'Yr2'!"&amp;ADDRESS(ROW(AE25),COLUMN(AE25))),INDIRECT("'Yr3'!"&amp;ADDRESS(ROW(AE25),COLUMN(AE25)))),
IF(AE12=0,0,-PMT(INDEX(Lookups!$E$17:$G$17,MATCH($C$4,Lookups!$E$14:$G$14,0)),AE12,SUMIFS('EE Inputs'!$J$9:$J$32,'EE Inputs'!$C$9:$C$32,$G$6,'EE Inputs'!$D$9:$D$32,$C$4,'EE Inputs'!$E$9:$E$32,$B25),0,1)))-AE26</f>
        <v>0</v>
      </c>
      <c r="AF25" s="65">
        <f ca="1">IF($C$4=Lookups!$D$40,SUM(INDIRECT("'Yr1'!"&amp;ADDRESS(ROW(AF25),COLUMN(AF25))),INDIRECT("'Yr2'!"&amp;ADDRESS(ROW(AF25),COLUMN(AF25))),INDIRECT("'Yr3'!"&amp;ADDRESS(ROW(AF25),COLUMN(AF25)))),
IF(AF12=0,0,-PMT(INDEX(Lookups!$E$17:$G$17,MATCH($C$4,Lookups!$E$14:$G$14,0)),AF12,SUMIFS('EE Inputs'!$J$9:$J$32,'EE Inputs'!$C$9:$C$32,$G$6,'EE Inputs'!$D$9:$D$32,$C$4,'EE Inputs'!$E$9:$E$32,$B25),0,1)))-AF26</f>
        <v>0</v>
      </c>
      <c r="AG25" s="65">
        <f ca="1">IF($C$4=Lookups!$D$40,SUM(INDIRECT("'Yr1'!"&amp;ADDRESS(ROW(AG25),COLUMN(AG25))),INDIRECT("'Yr2'!"&amp;ADDRESS(ROW(AG25),COLUMN(AG25))),INDIRECT("'Yr3'!"&amp;ADDRESS(ROW(AG25),COLUMN(AG25)))),
IF(AG12=0,0,-PMT(INDEX(Lookups!$E$17:$G$17,MATCH($C$4,Lookups!$E$14:$G$14,0)),AG12,SUMIFS('EE Inputs'!$J$9:$J$32,'EE Inputs'!$C$9:$C$32,$G$6,'EE Inputs'!$D$9:$D$32,$C$4,'EE Inputs'!$E$9:$E$32,$B25),0,1)))-AG26</f>
        <v>0</v>
      </c>
      <c r="AH25" s="65"/>
      <c r="AI25" s="65">
        <f ca="1">NPV(Lookups!$E$17,G25:AG25)</f>
        <v>3725551.6991255851</v>
      </c>
      <c r="AJ25" s="65"/>
      <c r="AM25" s="72">
        <f ca="1">IF($C$4=Lookups!$D$40,SUM(INDIRECT("'Yr1'!"&amp;ADDRESS(ROW(AM25),COLUMN(AM25))),INDIRECT("'Yr2'!"&amp;ADDRESS(ROW(AM25),COLUMN(AM25))),INDIRECT("'Yr3'!"&amp;ADDRESS(ROW(AM25),COLUMN(AM25)))),
IF(AM12=0,0,-PMT(INDEX(Lookups!$E$17:$G$17,MATCH($C$4,Lookups!$E$14:$G$14,0)),AM12,SUMIFS('EE Inputs'!$J$9:$J$32,'EE Inputs'!$C$9:$C$32,$AM$6,'EE Inputs'!$D$9:$D$32,$C$4,'EE Inputs'!$E$9:$E$32,$B25),0,1)))-AM26</f>
        <v>317021.6986640431</v>
      </c>
      <c r="AN25" s="72">
        <f ca="1">IF($C$4=Lookups!$D$40,SUM(INDIRECT("'Yr1'!"&amp;ADDRESS(ROW(AN25),COLUMN(AN25))),INDIRECT("'Yr2'!"&amp;ADDRESS(ROW(AN25),COLUMN(AN25))),INDIRECT("'Yr3'!"&amp;ADDRESS(ROW(AN25),COLUMN(AN25)))),
IF(AN12=0,0,-PMT(INDEX(Lookups!$E$17:$G$17,MATCH($C$4,Lookups!$E$14:$G$14,0)),AN12,SUMIFS('EE Inputs'!$J$9:$J$32,'EE Inputs'!$C$9:$C$32,$AM$6,'EE Inputs'!$D$9:$D$32,$C$4,'EE Inputs'!$E$9:$E$32,$B25),0,1)))-AN26</f>
        <v>317021.6986640431</v>
      </c>
      <c r="AO25" s="72">
        <f ca="1">IF($C$4=Lookups!$D$40,SUM(INDIRECT("'Yr1'!"&amp;ADDRESS(ROW(AO25),COLUMN(AO25))),INDIRECT("'Yr2'!"&amp;ADDRESS(ROW(AO25),COLUMN(AO25))),INDIRECT("'Yr3'!"&amp;ADDRESS(ROW(AO25),COLUMN(AO25)))),
IF(AO12=0,0,-PMT(INDEX(Lookups!$E$17:$G$17,MATCH($C$4,Lookups!$E$14:$G$14,0)),AO12,SUMIFS('EE Inputs'!$J$9:$J$32,'EE Inputs'!$C$9:$C$32,$AM$6,'EE Inputs'!$D$9:$D$32,$C$4,'EE Inputs'!$E$9:$E$32,$B25),0,1)))-AO26</f>
        <v>317021.6986640431</v>
      </c>
      <c r="AP25" s="72">
        <f ca="1">IF($C$4=Lookups!$D$40,SUM(INDIRECT("'Yr1'!"&amp;ADDRESS(ROW(AP25),COLUMN(AP25))),INDIRECT("'Yr2'!"&amp;ADDRESS(ROW(AP25),COLUMN(AP25))),INDIRECT("'Yr3'!"&amp;ADDRESS(ROW(AP25),COLUMN(AP25)))),
IF(AP12=0,0,-PMT(INDEX(Lookups!$E$17:$G$17,MATCH($C$4,Lookups!$E$14:$G$14,0)),AP12,SUMIFS('EE Inputs'!$J$9:$J$32,'EE Inputs'!$C$9:$C$32,$AM$6,'EE Inputs'!$D$9:$D$32,$C$4,'EE Inputs'!$E$9:$E$32,$B25),0,1)))-AP26</f>
        <v>317021.6986640431</v>
      </c>
      <c r="AQ25" s="72">
        <f ca="1">IF($C$4=Lookups!$D$40,SUM(INDIRECT("'Yr1'!"&amp;ADDRESS(ROW(AQ25),COLUMN(AQ25))),INDIRECT("'Yr2'!"&amp;ADDRESS(ROW(AQ25),COLUMN(AQ25))),INDIRECT("'Yr3'!"&amp;ADDRESS(ROW(AQ25),COLUMN(AQ25)))),
IF(AQ12=0,0,-PMT(INDEX(Lookups!$E$17:$G$17,MATCH($C$4,Lookups!$E$14:$G$14,0)),AQ12,SUMIFS('EE Inputs'!$J$9:$J$32,'EE Inputs'!$C$9:$C$32,$AM$6,'EE Inputs'!$D$9:$D$32,$C$4,'EE Inputs'!$E$9:$E$32,$B25),0,1)))-AQ26</f>
        <v>317021.6986640431</v>
      </c>
      <c r="AR25" s="72">
        <f ca="1">IF($C$4=Lookups!$D$40,SUM(INDIRECT("'Yr1'!"&amp;ADDRESS(ROW(AR25),COLUMN(AR25))),INDIRECT("'Yr2'!"&amp;ADDRESS(ROW(AR25),COLUMN(AR25))),INDIRECT("'Yr3'!"&amp;ADDRESS(ROW(AR25),COLUMN(AR25)))),
IF(AR12=0,0,-PMT(INDEX(Lookups!$E$17:$G$17,MATCH($C$4,Lookups!$E$14:$G$14,0)),AR12,SUMIFS('EE Inputs'!$J$9:$J$32,'EE Inputs'!$C$9:$C$32,$AM$6,'EE Inputs'!$D$9:$D$32,$C$4,'EE Inputs'!$E$9:$E$32,$B25),0,1)))-AR26</f>
        <v>317021.6986640431</v>
      </c>
      <c r="AS25" s="72">
        <f ca="1">IF($C$4=Lookups!$D$40,SUM(INDIRECT("'Yr1'!"&amp;ADDRESS(ROW(AS25),COLUMN(AS25))),INDIRECT("'Yr2'!"&amp;ADDRESS(ROW(AS25),COLUMN(AS25))),INDIRECT("'Yr3'!"&amp;ADDRESS(ROW(AS25),COLUMN(AS25)))),
IF(AS12=0,0,-PMT(INDEX(Lookups!$E$17:$G$17,MATCH($C$4,Lookups!$E$14:$G$14,0)),AS12,SUMIFS('EE Inputs'!$J$9:$J$32,'EE Inputs'!$C$9:$C$32,$AM$6,'EE Inputs'!$D$9:$D$32,$C$4,'EE Inputs'!$E$9:$E$32,$B25),0,1)))-AS26</f>
        <v>317021.6986640431</v>
      </c>
      <c r="AT25" s="72">
        <f ca="1">IF($C$4=Lookups!$D$40,SUM(INDIRECT("'Yr1'!"&amp;ADDRESS(ROW(AT25),COLUMN(AT25))),INDIRECT("'Yr2'!"&amp;ADDRESS(ROW(AT25),COLUMN(AT25))),INDIRECT("'Yr3'!"&amp;ADDRESS(ROW(AT25),COLUMN(AT25)))),
IF(AT12=0,0,-PMT(INDEX(Lookups!$E$17:$G$17,MATCH($C$4,Lookups!$E$14:$G$14,0)),AT12,SUMIFS('EE Inputs'!$J$9:$J$32,'EE Inputs'!$C$9:$C$32,$AM$6,'EE Inputs'!$D$9:$D$32,$C$4,'EE Inputs'!$E$9:$E$32,$B25),0,1)))-AT26</f>
        <v>317021.6986640431</v>
      </c>
      <c r="AU25" s="72">
        <f ca="1">IF($C$4=Lookups!$D$40,SUM(INDIRECT("'Yr1'!"&amp;ADDRESS(ROW(AU25),COLUMN(AU25))),INDIRECT("'Yr2'!"&amp;ADDRESS(ROW(AU25),COLUMN(AU25))),INDIRECT("'Yr3'!"&amp;ADDRESS(ROW(AU25),COLUMN(AU25)))),
IF(AU12=0,0,-PMT(INDEX(Lookups!$E$17:$G$17,MATCH($C$4,Lookups!$E$14:$G$14,0)),AU12,SUMIFS('EE Inputs'!$J$9:$J$32,'EE Inputs'!$C$9:$C$32,$AM$6,'EE Inputs'!$D$9:$D$32,$C$4,'EE Inputs'!$E$9:$E$32,$B25),0,1)))-AU26</f>
        <v>317021.6986640431</v>
      </c>
      <c r="AV25" s="72">
        <f ca="1">IF($C$4=Lookups!$D$40,SUM(INDIRECT("'Yr1'!"&amp;ADDRESS(ROW(AV25),COLUMN(AV25))),INDIRECT("'Yr2'!"&amp;ADDRESS(ROW(AV25),COLUMN(AV25))),INDIRECT("'Yr3'!"&amp;ADDRESS(ROW(AV25),COLUMN(AV25)))),
IF(AV12=0,0,-PMT(INDEX(Lookups!$E$17:$G$17,MATCH($C$4,Lookups!$E$14:$G$14,0)),AV12,SUMIFS('EE Inputs'!$J$9:$J$32,'EE Inputs'!$C$9:$C$32,$AM$6,'EE Inputs'!$D$9:$D$32,$C$4,'EE Inputs'!$E$9:$E$32,$B25),0,1)))-AV26</f>
        <v>317021.6986640431</v>
      </c>
      <c r="AW25" s="72">
        <f ca="1">IF($C$4=Lookups!$D$40,SUM(INDIRECT("'Yr1'!"&amp;ADDRESS(ROW(AW25),COLUMN(AW25))),INDIRECT("'Yr2'!"&amp;ADDRESS(ROW(AW25),COLUMN(AW25))),INDIRECT("'Yr3'!"&amp;ADDRESS(ROW(AW25),COLUMN(AW25)))),
IF(AW12=0,0,-PMT(INDEX(Lookups!$E$17:$G$17,MATCH($C$4,Lookups!$E$14:$G$14,0)),AW12,SUMIFS('EE Inputs'!$J$9:$J$32,'EE Inputs'!$C$9:$C$32,$AM$6,'EE Inputs'!$D$9:$D$32,$C$4,'EE Inputs'!$E$9:$E$32,$B25),0,1)))-AW26</f>
        <v>317021.6986640431</v>
      </c>
      <c r="AX25" s="72">
        <f ca="1">IF($C$4=Lookups!$D$40,SUM(INDIRECT("'Yr1'!"&amp;ADDRESS(ROW(AX25),COLUMN(AX25))),INDIRECT("'Yr2'!"&amp;ADDRESS(ROW(AX25),COLUMN(AX25))),INDIRECT("'Yr3'!"&amp;ADDRESS(ROW(AX25),COLUMN(AX25)))),
IF(AX12=0,0,-PMT(INDEX(Lookups!$E$17:$G$17,MATCH($C$4,Lookups!$E$14:$G$14,0)),AX12,SUMIFS('EE Inputs'!$J$9:$J$32,'EE Inputs'!$C$9:$C$32,$AM$6,'EE Inputs'!$D$9:$D$32,$C$4,'EE Inputs'!$E$9:$E$32,$B25),0,1)))-AX26</f>
        <v>317021.6986640431</v>
      </c>
      <c r="AY25" s="72">
        <f ca="1">IF($C$4=Lookups!$D$40,SUM(INDIRECT("'Yr1'!"&amp;ADDRESS(ROW(AY25),COLUMN(AY25))),INDIRECT("'Yr2'!"&amp;ADDRESS(ROW(AY25),COLUMN(AY25))),INDIRECT("'Yr3'!"&amp;ADDRESS(ROW(AY25),COLUMN(AY25)))),
IF(AY12=0,0,-PMT(INDEX(Lookups!$E$17:$G$17,MATCH($C$4,Lookups!$E$14:$G$14,0)),AY12,SUMIFS('EE Inputs'!$J$9:$J$32,'EE Inputs'!$C$9:$C$32,$AM$6,'EE Inputs'!$D$9:$D$32,$C$4,'EE Inputs'!$E$9:$E$32,$B25),0,1)))-AY26</f>
        <v>317021.6986640431</v>
      </c>
      <c r="AZ25" s="72">
        <f ca="1">IF($C$4=Lookups!$D$40,SUM(INDIRECT("'Yr1'!"&amp;ADDRESS(ROW(AZ25),COLUMN(AZ25))),INDIRECT("'Yr2'!"&amp;ADDRESS(ROW(AZ25),COLUMN(AZ25))),INDIRECT("'Yr3'!"&amp;ADDRESS(ROW(AZ25),COLUMN(AZ25)))),
IF(AZ12=0,0,-PMT(INDEX(Lookups!$E$17:$G$17,MATCH($C$4,Lookups!$E$14:$G$14,0)),AZ12,SUMIFS('EE Inputs'!$J$9:$J$32,'EE Inputs'!$C$9:$C$32,$AM$6,'EE Inputs'!$D$9:$D$32,$C$4,'EE Inputs'!$E$9:$E$32,$B25),0,1)))-AZ26</f>
        <v>317021.6986640431</v>
      </c>
      <c r="BA25" s="72">
        <f ca="1">IF($C$4=Lookups!$D$40,SUM(INDIRECT("'Yr1'!"&amp;ADDRESS(ROW(BA25),COLUMN(BA25))),INDIRECT("'Yr2'!"&amp;ADDRESS(ROW(BA25),COLUMN(BA25))),INDIRECT("'Yr3'!"&amp;ADDRESS(ROW(BA25),COLUMN(BA25)))),
IF(BA12=0,0,-PMT(INDEX(Lookups!$E$17:$G$17,MATCH($C$4,Lookups!$E$14:$G$14,0)),BA12,SUMIFS('EE Inputs'!$J$9:$J$32,'EE Inputs'!$C$9:$C$32,$AM$6,'EE Inputs'!$D$9:$D$32,$C$4,'EE Inputs'!$E$9:$E$32,$B25),0,1)))-BA26</f>
        <v>317021.6986640431</v>
      </c>
      <c r="BB25" s="72">
        <f ca="1">IF($C$4=Lookups!$D$40,SUM(INDIRECT("'Yr1'!"&amp;ADDRESS(ROW(BB25),COLUMN(BB25))),INDIRECT("'Yr2'!"&amp;ADDRESS(ROW(BB25),COLUMN(BB25))),INDIRECT("'Yr3'!"&amp;ADDRESS(ROW(BB25),COLUMN(BB25)))),
IF(BB12=0,0,-PMT(INDEX(Lookups!$E$17:$G$17,MATCH($C$4,Lookups!$E$14:$G$14,0)),BB12,SUMIFS('EE Inputs'!$J$9:$J$32,'EE Inputs'!$C$9:$C$32,$AM$6,'EE Inputs'!$D$9:$D$32,$C$4,'EE Inputs'!$E$9:$E$32,$B25),0,1)))-BB26</f>
        <v>0</v>
      </c>
      <c r="BC25" s="72">
        <f ca="1">IF($C$4=Lookups!$D$40,SUM(INDIRECT("'Yr1'!"&amp;ADDRESS(ROW(BC25),COLUMN(BC25))),INDIRECT("'Yr2'!"&amp;ADDRESS(ROW(BC25),COLUMN(BC25))),INDIRECT("'Yr3'!"&amp;ADDRESS(ROW(BC25),COLUMN(BC25)))),
IF(BC12=0,0,-PMT(INDEX(Lookups!$E$17:$G$17,MATCH($C$4,Lookups!$E$14:$G$14,0)),BC12,SUMIFS('EE Inputs'!$J$9:$J$32,'EE Inputs'!$C$9:$C$32,$AM$6,'EE Inputs'!$D$9:$D$32,$C$4,'EE Inputs'!$E$9:$E$32,$B25),0,1)))-BC26</f>
        <v>0</v>
      </c>
      <c r="BD25" s="72">
        <f ca="1">IF($C$4=Lookups!$D$40,SUM(INDIRECT("'Yr1'!"&amp;ADDRESS(ROW(BD25),COLUMN(BD25))),INDIRECT("'Yr2'!"&amp;ADDRESS(ROW(BD25),COLUMN(BD25))),INDIRECT("'Yr3'!"&amp;ADDRESS(ROW(BD25),COLUMN(BD25)))),
IF(BD12=0,0,-PMT(INDEX(Lookups!$E$17:$G$17,MATCH($C$4,Lookups!$E$14:$G$14,0)),BD12,SUMIFS('EE Inputs'!$J$9:$J$32,'EE Inputs'!$C$9:$C$32,$AM$6,'EE Inputs'!$D$9:$D$32,$C$4,'EE Inputs'!$E$9:$E$32,$B25),0,1)))-BD26</f>
        <v>0</v>
      </c>
      <c r="BE25" s="72">
        <f ca="1">IF($C$4=Lookups!$D$40,SUM(INDIRECT("'Yr1'!"&amp;ADDRESS(ROW(BE25),COLUMN(BE25))),INDIRECT("'Yr2'!"&amp;ADDRESS(ROW(BE25),COLUMN(BE25))),INDIRECT("'Yr3'!"&amp;ADDRESS(ROW(BE25),COLUMN(BE25)))),
IF(BE12=0,0,-PMT(INDEX(Lookups!$E$17:$G$17,MATCH($C$4,Lookups!$E$14:$G$14,0)),BE12,SUMIFS('EE Inputs'!$J$9:$J$32,'EE Inputs'!$C$9:$C$32,$AM$6,'EE Inputs'!$D$9:$D$32,$C$4,'EE Inputs'!$E$9:$E$32,$B25),0,1)))-BE26</f>
        <v>0</v>
      </c>
      <c r="BF25" s="72">
        <f ca="1">IF($C$4=Lookups!$D$40,SUM(INDIRECT("'Yr1'!"&amp;ADDRESS(ROW(BF25),COLUMN(BF25))),INDIRECT("'Yr2'!"&amp;ADDRESS(ROW(BF25),COLUMN(BF25))),INDIRECT("'Yr3'!"&amp;ADDRESS(ROW(BF25),COLUMN(BF25)))),
IF(BF12=0,0,-PMT(INDEX(Lookups!$E$17:$G$17,MATCH($C$4,Lookups!$E$14:$G$14,0)),BF12,SUMIFS('EE Inputs'!$J$9:$J$32,'EE Inputs'!$C$9:$C$32,$AM$6,'EE Inputs'!$D$9:$D$32,$C$4,'EE Inputs'!$E$9:$E$32,$B25),0,1)))-BF26</f>
        <v>0</v>
      </c>
      <c r="BG25" s="72">
        <f ca="1">IF($C$4=Lookups!$D$40,SUM(INDIRECT("'Yr1'!"&amp;ADDRESS(ROW(BG25),COLUMN(BG25))),INDIRECT("'Yr2'!"&amp;ADDRESS(ROW(BG25),COLUMN(BG25))),INDIRECT("'Yr3'!"&amp;ADDRESS(ROW(BG25),COLUMN(BG25)))),
IF(BG12=0,0,-PMT(INDEX(Lookups!$E$17:$G$17,MATCH($C$4,Lookups!$E$14:$G$14,0)),BG12,SUMIFS('EE Inputs'!$J$9:$J$32,'EE Inputs'!$C$9:$C$32,$AM$6,'EE Inputs'!$D$9:$D$32,$C$4,'EE Inputs'!$E$9:$E$32,$B25),0,1)))-BG26</f>
        <v>0</v>
      </c>
      <c r="BH25" s="72">
        <f ca="1">IF($C$4=Lookups!$D$40,SUM(INDIRECT("'Yr1'!"&amp;ADDRESS(ROW(BH25),COLUMN(BH25))),INDIRECT("'Yr2'!"&amp;ADDRESS(ROW(BH25),COLUMN(BH25))),INDIRECT("'Yr3'!"&amp;ADDRESS(ROW(BH25),COLUMN(BH25)))),
IF(BH12=0,0,-PMT(INDEX(Lookups!$E$17:$G$17,MATCH($C$4,Lookups!$E$14:$G$14,0)),BH12,SUMIFS('EE Inputs'!$J$9:$J$32,'EE Inputs'!$C$9:$C$32,$AM$6,'EE Inputs'!$D$9:$D$32,$C$4,'EE Inputs'!$E$9:$E$32,$B25),0,1)))-BH26</f>
        <v>0</v>
      </c>
      <c r="BI25" s="72">
        <f ca="1">IF($C$4=Lookups!$D$40,SUM(INDIRECT("'Yr1'!"&amp;ADDRESS(ROW(BI25),COLUMN(BI25))),INDIRECT("'Yr2'!"&amp;ADDRESS(ROW(BI25),COLUMN(BI25))),INDIRECT("'Yr3'!"&amp;ADDRESS(ROW(BI25),COLUMN(BI25)))),
IF(BI12=0,0,-PMT(INDEX(Lookups!$E$17:$G$17,MATCH($C$4,Lookups!$E$14:$G$14,0)),BI12,SUMIFS('EE Inputs'!$J$9:$J$32,'EE Inputs'!$C$9:$C$32,$AM$6,'EE Inputs'!$D$9:$D$32,$C$4,'EE Inputs'!$E$9:$E$32,$B25),0,1)))-BI26</f>
        <v>0</v>
      </c>
      <c r="BJ25" s="72">
        <f ca="1">IF($C$4=Lookups!$D$40,SUM(INDIRECT("'Yr1'!"&amp;ADDRESS(ROW(BJ25),COLUMN(BJ25))),INDIRECT("'Yr2'!"&amp;ADDRESS(ROW(BJ25),COLUMN(BJ25))),INDIRECT("'Yr3'!"&amp;ADDRESS(ROW(BJ25),COLUMN(BJ25)))),
IF(BJ12=0,0,-PMT(INDEX(Lookups!$E$17:$G$17,MATCH($C$4,Lookups!$E$14:$G$14,0)),BJ12,SUMIFS('EE Inputs'!$J$9:$J$32,'EE Inputs'!$C$9:$C$32,$AM$6,'EE Inputs'!$D$9:$D$32,$C$4,'EE Inputs'!$E$9:$E$32,$B25),0,1)))-BJ26</f>
        <v>0</v>
      </c>
      <c r="BK25" s="72">
        <f ca="1">IF($C$4=Lookups!$D$40,SUM(INDIRECT("'Yr1'!"&amp;ADDRESS(ROW(BK25),COLUMN(BK25))),INDIRECT("'Yr2'!"&amp;ADDRESS(ROW(BK25),COLUMN(BK25))),INDIRECT("'Yr3'!"&amp;ADDRESS(ROW(BK25),COLUMN(BK25)))),
IF(BK12=0,0,-PMT(INDEX(Lookups!$E$17:$G$17,MATCH($C$4,Lookups!$E$14:$G$14,0)),BK12,SUMIFS('EE Inputs'!$J$9:$J$32,'EE Inputs'!$C$9:$C$32,$AM$6,'EE Inputs'!$D$9:$D$32,$C$4,'EE Inputs'!$E$9:$E$32,$B25),0,1)))-BK26</f>
        <v>0</v>
      </c>
      <c r="BL25" s="72">
        <f ca="1">IF($C$4=Lookups!$D$40,SUM(INDIRECT("'Yr1'!"&amp;ADDRESS(ROW(BL25),COLUMN(BL25))),INDIRECT("'Yr2'!"&amp;ADDRESS(ROW(BL25),COLUMN(BL25))),INDIRECT("'Yr3'!"&amp;ADDRESS(ROW(BL25),COLUMN(BL25)))),
IF(BL12=0,0,-PMT(INDEX(Lookups!$E$17:$G$17,MATCH($C$4,Lookups!$E$14:$G$14,0)),BL12,SUMIFS('EE Inputs'!$J$9:$J$32,'EE Inputs'!$C$9:$C$32,$AM$6,'EE Inputs'!$D$9:$D$32,$C$4,'EE Inputs'!$E$9:$E$32,$B25),0,1)))-BL26</f>
        <v>0</v>
      </c>
      <c r="BM25" s="72">
        <f ca="1">IF($C$4=Lookups!$D$40,SUM(INDIRECT("'Yr1'!"&amp;ADDRESS(ROW(BM25),COLUMN(BM25))),INDIRECT("'Yr2'!"&amp;ADDRESS(ROW(BM25),COLUMN(BM25))),INDIRECT("'Yr3'!"&amp;ADDRESS(ROW(BM25),COLUMN(BM25)))),
IF(BM12=0,0,-PMT(INDEX(Lookups!$E$17:$G$17,MATCH($C$4,Lookups!$E$14:$G$14,0)),BM12,SUMIFS('EE Inputs'!$J$9:$J$32,'EE Inputs'!$C$9:$C$32,$AM$6,'EE Inputs'!$D$9:$D$32,$C$4,'EE Inputs'!$E$9:$E$32,$B25),0,1)))-BM26</f>
        <v>0</v>
      </c>
      <c r="BN25" s="72"/>
      <c r="BO25" s="72">
        <f ca="1">NPV(Lookups!$E$17,AM25:BM25)</f>
        <v>4257773.3704292411</v>
      </c>
      <c r="BP25" s="72"/>
      <c r="BS25" s="84" t="str">
        <f>"Avoided "&amp;E25&amp;" costs, less the retail margin."</f>
        <v>Avoided Gas costs, less the retail margin.</v>
      </c>
      <c r="BT25" s="51" t="s">
        <v>17</v>
      </c>
    </row>
    <row r="26" spans="1:72" x14ac:dyDescent="0.25">
      <c r="A26" s="246"/>
      <c r="B26" s="243" t="str">
        <f t="shared" si="4"/>
        <v>Residential</v>
      </c>
      <c r="C26" s="243" t="str">
        <f t="shared" si="4"/>
        <v>Revenue Requirements</v>
      </c>
      <c r="D26" s="244" t="str">
        <f>D25</f>
        <v>Avoided Costs</v>
      </c>
      <c r="E26" s="84" t="s">
        <v>412</v>
      </c>
      <c r="F26" s="84" t="s">
        <v>32</v>
      </c>
      <c r="G26" s="65">
        <f ca="1">IF($C$4=Lookups!$D$40,SUM(INDIRECT("'Yr1'!"&amp;ADDRESS(ROW(G26),COLUMN(G26))),INDIRECT("'Yr2'!"&amp;ADDRESS(ROW(G26),COLUMN(G26))),INDIRECT("'Yr3'!"&amp;ADDRESS(ROW(G26),COLUMN(G26)))),
IF(G12=0,0,-PMT(INDEX(Lookups!$E$17:$G$17,MATCH($C$4,Lookups!$E$14:$G$14,0)),G12,SUMIFS('EE Inputs'!$W$9:$W$32,'EE Inputs'!$C$9:$C$32,$G$6,'EE Inputs'!$D$9:$D$32,$C$4,'EE Inputs'!$E$9:$E$32,$B26),0,1)))</f>
        <v>17705.999127513041</v>
      </c>
      <c r="H26" s="65">
        <f ca="1">IF($C$4=Lookups!$D$40,SUM(INDIRECT("'Yr1'!"&amp;ADDRESS(ROW(H26),COLUMN(H26))),INDIRECT("'Yr2'!"&amp;ADDRESS(ROW(H26),COLUMN(H26))),INDIRECT("'Yr3'!"&amp;ADDRESS(ROW(H26),COLUMN(H26)))),
IF(H12=0,0,-PMT(INDEX(Lookups!$E$17:$G$17,MATCH($C$4,Lookups!$E$14:$G$14,0)),H12,SUMIFS('EE Inputs'!$W$9:$W$32,'EE Inputs'!$C$9:$C$32,$G$6,'EE Inputs'!$D$9:$D$32,$C$4,'EE Inputs'!$E$9:$E$32,$B26),0,1)))</f>
        <v>17705.999127513041</v>
      </c>
      <c r="I26" s="65">
        <f ca="1">IF($C$4=Lookups!$D$40,SUM(INDIRECT("'Yr1'!"&amp;ADDRESS(ROW(I26),COLUMN(I26))),INDIRECT("'Yr2'!"&amp;ADDRESS(ROW(I26),COLUMN(I26))),INDIRECT("'Yr3'!"&amp;ADDRESS(ROW(I26),COLUMN(I26)))),
IF(I12=0,0,-PMT(INDEX(Lookups!$E$17:$G$17,MATCH($C$4,Lookups!$E$14:$G$14,0)),I12,SUMIFS('EE Inputs'!$W$9:$W$32,'EE Inputs'!$C$9:$C$32,$G$6,'EE Inputs'!$D$9:$D$32,$C$4,'EE Inputs'!$E$9:$E$32,$B26),0,1)))</f>
        <v>17705.999127513041</v>
      </c>
      <c r="J26" s="65">
        <f ca="1">IF($C$4=Lookups!$D$40,SUM(INDIRECT("'Yr1'!"&amp;ADDRESS(ROW(J26),COLUMN(J26))),INDIRECT("'Yr2'!"&amp;ADDRESS(ROW(J26),COLUMN(J26))),INDIRECT("'Yr3'!"&amp;ADDRESS(ROW(J26),COLUMN(J26)))),
IF(J12=0,0,-PMT(INDEX(Lookups!$E$17:$G$17,MATCH($C$4,Lookups!$E$14:$G$14,0)),J12,SUMIFS('EE Inputs'!$W$9:$W$32,'EE Inputs'!$C$9:$C$32,$G$6,'EE Inputs'!$D$9:$D$32,$C$4,'EE Inputs'!$E$9:$E$32,$B26),0,1)))</f>
        <v>17705.999127513041</v>
      </c>
      <c r="K26" s="65">
        <f ca="1">IF($C$4=Lookups!$D$40,SUM(INDIRECT("'Yr1'!"&amp;ADDRESS(ROW(K26),COLUMN(K26))),INDIRECT("'Yr2'!"&amp;ADDRESS(ROW(K26),COLUMN(K26))),INDIRECT("'Yr3'!"&amp;ADDRESS(ROW(K26),COLUMN(K26)))),
IF(K12=0,0,-PMT(INDEX(Lookups!$E$17:$G$17,MATCH($C$4,Lookups!$E$14:$G$14,0)),K12,SUMIFS('EE Inputs'!$W$9:$W$32,'EE Inputs'!$C$9:$C$32,$G$6,'EE Inputs'!$D$9:$D$32,$C$4,'EE Inputs'!$E$9:$E$32,$B26),0,1)))</f>
        <v>17705.999127513041</v>
      </c>
      <c r="L26" s="65">
        <f ca="1">IF($C$4=Lookups!$D$40,SUM(INDIRECT("'Yr1'!"&amp;ADDRESS(ROW(L26),COLUMN(L26))),INDIRECT("'Yr2'!"&amp;ADDRESS(ROW(L26),COLUMN(L26))),INDIRECT("'Yr3'!"&amp;ADDRESS(ROW(L26),COLUMN(L26)))),
IF(L12=0,0,-PMT(INDEX(Lookups!$E$17:$G$17,MATCH($C$4,Lookups!$E$14:$G$14,0)),L12,SUMIFS('EE Inputs'!$W$9:$W$32,'EE Inputs'!$C$9:$C$32,$G$6,'EE Inputs'!$D$9:$D$32,$C$4,'EE Inputs'!$E$9:$E$32,$B26),0,1)))</f>
        <v>17705.999127513041</v>
      </c>
      <c r="M26" s="65">
        <f ca="1">IF($C$4=Lookups!$D$40,SUM(INDIRECT("'Yr1'!"&amp;ADDRESS(ROW(M26),COLUMN(M26))),INDIRECT("'Yr2'!"&amp;ADDRESS(ROW(M26),COLUMN(M26))),INDIRECT("'Yr3'!"&amp;ADDRESS(ROW(M26),COLUMN(M26)))),
IF(M12=0,0,-PMT(INDEX(Lookups!$E$17:$G$17,MATCH($C$4,Lookups!$E$14:$G$14,0)),M12,SUMIFS('EE Inputs'!$W$9:$W$32,'EE Inputs'!$C$9:$C$32,$G$6,'EE Inputs'!$D$9:$D$32,$C$4,'EE Inputs'!$E$9:$E$32,$B26),0,1)))</f>
        <v>17705.999127513041</v>
      </c>
      <c r="N26" s="65">
        <f ca="1">IF($C$4=Lookups!$D$40,SUM(INDIRECT("'Yr1'!"&amp;ADDRESS(ROW(N26),COLUMN(N26))),INDIRECT("'Yr2'!"&amp;ADDRESS(ROW(N26),COLUMN(N26))),INDIRECT("'Yr3'!"&amp;ADDRESS(ROW(N26),COLUMN(N26)))),
IF(N12=0,0,-PMT(INDEX(Lookups!$E$17:$G$17,MATCH($C$4,Lookups!$E$14:$G$14,0)),N12,SUMIFS('EE Inputs'!$W$9:$W$32,'EE Inputs'!$C$9:$C$32,$G$6,'EE Inputs'!$D$9:$D$32,$C$4,'EE Inputs'!$E$9:$E$32,$B26),0,1)))</f>
        <v>17705.999127513041</v>
      </c>
      <c r="O26" s="65">
        <f ca="1">IF($C$4=Lookups!$D$40,SUM(INDIRECT("'Yr1'!"&amp;ADDRESS(ROW(O26),COLUMN(O26))),INDIRECT("'Yr2'!"&amp;ADDRESS(ROW(O26),COLUMN(O26))),INDIRECT("'Yr3'!"&amp;ADDRESS(ROW(O26),COLUMN(O26)))),
IF(O12=0,0,-PMT(INDEX(Lookups!$E$17:$G$17,MATCH($C$4,Lookups!$E$14:$G$14,0)),O12,SUMIFS('EE Inputs'!$W$9:$W$32,'EE Inputs'!$C$9:$C$32,$G$6,'EE Inputs'!$D$9:$D$32,$C$4,'EE Inputs'!$E$9:$E$32,$B26),0,1)))</f>
        <v>17705.999127513041</v>
      </c>
      <c r="P26" s="65">
        <f ca="1">IF($C$4=Lookups!$D$40,SUM(INDIRECT("'Yr1'!"&amp;ADDRESS(ROW(P26),COLUMN(P26))),INDIRECT("'Yr2'!"&amp;ADDRESS(ROW(P26),COLUMN(P26))),INDIRECT("'Yr3'!"&amp;ADDRESS(ROW(P26),COLUMN(P26)))),
IF(P12=0,0,-PMT(INDEX(Lookups!$E$17:$G$17,MATCH($C$4,Lookups!$E$14:$G$14,0)),P12,SUMIFS('EE Inputs'!$W$9:$W$32,'EE Inputs'!$C$9:$C$32,$G$6,'EE Inputs'!$D$9:$D$32,$C$4,'EE Inputs'!$E$9:$E$32,$B26),0,1)))</f>
        <v>17705.999127513041</v>
      </c>
      <c r="Q26" s="65">
        <f ca="1">IF($C$4=Lookups!$D$40,SUM(INDIRECT("'Yr1'!"&amp;ADDRESS(ROW(Q26),COLUMN(Q26))),INDIRECT("'Yr2'!"&amp;ADDRESS(ROW(Q26),COLUMN(Q26))),INDIRECT("'Yr3'!"&amp;ADDRESS(ROW(Q26),COLUMN(Q26)))),
IF(Q12=0,0,-PMT(INDEX(Lookups!$E$17:$G$17,MATCH($C$4,Lookups!$E$14:$G$14,0)),Q12,SUMIFS('EE Inputs'!$W$9:$W$32,'EE Inputs'!$C$9:$C$32,$G$6,'EE Inputs'!$D$9:$D$32,$C$4,'EE Inputs'!$E$9:$E$32,$B26),0,1)))</f>
        <v>17705.999127513041</v>
      </c>
      <c r="R26" s="65">
        <f ca="1">IF($C$4=Lookups!$D$40,SUM(INDIRECT("'Yr1'!"&amp;ADDRESS(ROW(R26),COLUMN(R26))),INDIRECT("'Yr2'!"&amp;ADDRESS(ROW(R26),COLUMN(R26))),INDIRECT("'Yr3'!"&amp;ADDRESS(ROW(R26),COLUMN(R26)))),
IF(R12=0,0,-PMT(INDEX(Lookups!$E$17:$G$17,MATCH($C$4,Lookups!$E$14:$G$14,0)),R12,SUMIFS('EE Inputs'!$W$9:$W$32,'EE Inputs'!$C$9:$C$32,$G$6,'EE Inputs'!$D$9:$D$32,$C$4,'EE Inputs'!$E$9:$E$32,$B26),0,1)))</f>
        <v>17705.999127513041</v>
      </c>
      <c r="S26" s="65">
        <f ca="1">IF($C$4=Lookups!$D$40,SUM(INDIRECT("'Yr1'!"&amp;ADDRESS(ROW(S26),COLUMN(S26))),INDIRECT("'Yr2'!"&amp;ADDRESS(ROW(S26),COLUMN(S26))),INDIRECT("'Yr3'!"&amp;ADDRESS(ROW(S26),COLUMN(S26)))),
IF(S12=0,0,-PMT(INDEX(Lookups!$E$17:$G$17,MATCH($C$4,Lookups!$E$14:$G$14,0)),S12,SUMIFS('EE Inputs'!$W$9:$W$32,'EE Inputs'!$C$9:$C$32,$G$6,'EE Inputs'!$D$9:$D$32,$C$4,'EE Inputs'!$E$9:$E$32,$B26),0,1)))</f>
        <v>17705.999127513041</v>
      </c>
      <c r="T26" s="65">
        <f ca="1">IF($C$4=Lookups!$D$40,SUM(INDIRECT("'Yr1'!"&amp;ADDRESS(ROW(T26),COLUMN(T26))),INDIRECT("'Yr2'!"&amp;ADDRESS(ROW(T26),COLUMN(T26))),INDIRECT("'Yr3'!"&amp;ADDRESS(ROW(T26),COLUMN(T26)))),
IF(T12=0,0,-PMT(INDEX(Lookups!$E$17:$G$17,MATCH($C$4,Lookups!$E$14:$G$14,0)),T12,SUMIFS('EE Inputs'!$W$9:$W$32,'EE Inputs'!$C$9:$C$32,$G$6,'EE Inputs'!$D$9:$D$32,$C$4,'EE Inputs'!$E$9:$E$32,$B26),0,1)))</f>
        <v>17705.999127513041</v>
      </c>
      <c r="U26" s="65">
        <f ca="1">IF($C$4=Lookups!$D$40,SUM(INDIRECT("'Yr1'!"&amp;ADDRESS(ROW(U26),COLUMN(U26))),INDIRECT("'Yr2'!"&amp;ADDRESS(ROW(U26),COLUMN(U26))),INDIRECT("'Yr3'!"&amp;ADDRESS(ROW(U26),COLUMN(U26)))),
IF(U12=0,0,-PMT(INDEX(Lookups!$E$17:$G$17,MATCH($C$4,Lookups!$E$14:$G$14,0)),U12,SUMIFS('EE Inputs'!$W$9:$W$32,'EE Inputs'!$C$9:$C$32,$G$6,'EE Inputs'!$D$9:$D$32,$C$4,'EE Inputs'!$E$9:$E$32,$B26),0,1)))</f>
        <v>17705.999127513041</v>
      </c>
      <c r="V26" s="65">
        <f ca="1">IF($C$4=Lookups!$D$40,SUM(INDIRECT("'Yr1'!"&amp;ADDRESS(ROW(V26),COLUMN(V26))),INDIRECT("'Yr2'!"&amp;ADDRESS(ROW(V26),COLUMN(V26))),INDIRECT("'Yr3'!"&amp;ADDRESS(ROW(V26),COLUMN(V26)))),
IF(V12=0,0,-PMT(INDEX(Lookups!$E$17:$G$17,MATCH($C$4,Lookups!$E$14:$G$14,0)),V12,SUMIFS('EE Inputs'!$W$9:$W$32,'EE Inputs'!$C$9:$C$32,$G$6,'EE Inputs'!$D$9:$D$32,$C$4,'EE Inputs'!$E$9:$E$32,$B26),0,1)))</f>
        <v>0</v>
      </c>
      <c r="W26" s="65">
        <f ca="1">IF($C$4=Lookups!$D$40,SUM(INDIRECT("'Yr1'!"&amp;ADDRESS(ROW(W26),COLUMN(W26))),INDIRECT("'Yr2'!"&amp;ADDRESS(ROW(W26),COLUMN(W26))),INDIRECT("'Yr3'!"&amp;ADDRESS(ROW(W26),COLUMN(W26)))),
IF(W12=0,0,-PMT(INDEX(Lookups!$E$17:$G$17,MATCH($C$4,Lookups!$E$14:$G$14,0)),W12,SUMIFS('EE Inputs'!$W$9:$W$32,'EE Inputs'!$C$9:$C$32,$G$6,'EE Inputs'!$D$9:$D$32,$C$4,'EE Inputs'!$E$9:$E$32,$B26),0,1)))</f>
        <v>0</v>
      </c>
      <c r="X26" s="65">
        <f ca="1">IF($C$4=Lookups!$D$40,SUM(INDIRECT("'Yr1'!"&amp;ADDRESS(ROW(X26),COLUMN(X26))),INDIRECT("'Yr2'!"&amp;ADDRESS(ROW(X26),COLUMN(X26))),INDIRECT("'Yr3'!"&amp;ADDRESS(ROW(X26),COLUMN(X26)))),
IF(X12=0,0,-PMT(INDEX(Lookups!$E$17:$G$17,MATCH($C$4,Lookups!$E$14:$G$14,0)),X12,SUMIFS('EE Inputs'!$W$9:$W$32,'EE Inputs'!$C$9:$C$32,$G$6,'EE Inputs'!$D$9:$D$32,$C$4,'EE Inputs'!$E$9:$E$32,$B26),0,1)))</f>
        <v>0</v>
      </c>
      <c r="Y26" s="65">
        <f ca="1">IF($C$4=Lookups!$D$40,SUM(INDIRECT("'Yr1'!"&amp;ADDRESS(ROW(Y26),COLUMN(Y26))),INDIRECT("'Yr2'!"&amp;ADDRESS(ROW(Y26),COLUMN(Y26))),INDIRECT("'Yr3'!"&amp;ADDRESS(ROW(Y26),COLUMN(Y26)))),
IF(Y12=0,0,-PMT(INDEX(Lookups!$E$17:$G$17,MATCH($C$4,Lookups!$E$14:$G$14,0)),Y12,SUMIFS('EE Inputs'!$W$9:$W$32,'EE Inputs'!$C$9:$C$32,$G$6,'EE Inputs'!$D$9:$D$32,$C$4,'EE Inputs'!$E$9:$E$32,$B26),0,1)))</f>
        <v>0</v>
      </c>
      <c r="Z26" s="65">
        <f ca="1">IF($C$4=Lookups!$D$40,SUM(INDIRECT("'Yr1'!"&amp;ADDRESS(ROW(Z26),COLUMN(Z26))),INDIRECT("'Yr2'!"&amp;ADDRESS(ROW(Z26),COLUMN(Z26))),INDIRECT("'Yr3'!"&amp;ADDRESS(ROW(Z26),COLUMN(Z26)))),
IF(Z12=0,0,-PMT(INDEX(Lookups!$E$17:$G$17,MATCH($C$4,Lookups!$E$14:$G$14,0)),Z12,SUMIFS('EE Inputs'!$W$9:$W$32,'EE Inputs'!$C$9:$C$32,$G$6,'EE Inputs'!$D$9:$D$32,$C$4,'EE Inputs'!$E$9:$E$32,$B26),0,1)))</f>
        <v>0</v>
      </c>
      <c r="AA26" s="65">
        <f ca="1">IF($C$4=Lookups!$D$40,SUM(INDIRECT("'Yr1'!"&amp;ADDRESS(ROW(AA26),COLUMN(AA26))),INDIRECT("'Yr2'!"&amp;ADDRESS(ROW(AA26),COLUMN(AA26))),INDIRECT("'Yr3'!"&amp;ADDRESS(ROW(AA26),COLUMN(AA26)))),
IF(AA12=0,0,-PMT(INDEX(Lookups!$E$17:$G$17,MATCH($C$4,Lookups!$E$14:$G$14,0)),AA12,SUMIFS('EE Inputs'!$W$9:$W$32,'EE Inputs'!$C$9:$C$32,$G$6,'EE Inputs'!$D$9:$D$32,$C$4,'EE Inputs'!$E$9:$E$32,$B26),0,1)))</f>
        <v>0</v>
      </c>
      <c r="AB26" s="65">
        <f ca="1">IF($C$4=Lookups!$D$40,SUM(INDIRECT("'Yr1'!"&amp;ADDRESS(ROW(AB26),COLUMN(AB26))),INDIRECT("'Yr2'!"&amp;ADDRESS(ROW(AB26),COLUMN(AB26))),INDIRECT("'Yr3'!"&amp;ADDRESS(ROW(AB26),COLUMN(AB26)))),
IF(AB12=0,0,-PMT(INDEX(Lookups!$E$17:$G$17,MATCH($C$4,Lookups!$E$14:$G$14,0)),AB12,SUMIFS('EE Inputs'!$W$9:$W$32,'EE Inputs'!$C$9:$C$32,$G$6,'EE Inputs'!$D$9:$D$32,$C$4,'EE Inputs'!$E$9:$E$32,$B26),0,1)))</f>
        <v>0</v>
      </c>
      <c r="AC26" s="65">
        <f ca="1">IF($C$4=Lookups!$D$40,SUM(INDIRECT("'Yr1'!"&amp;ADDRESS(ROW(AC26),COLUMN(AC26))),INDIRECT("'Yr2'!"&amp;ADDRESS(ROW(AC26),COLUMN(AC26))),INDIRECT("'Yr3'!"&amp;ADDRESS(ROW(AC26),COLUMN(AC26)))),
IF(AC12=0,0,-PMT(INDEX(Lookups!$E$17:$G$17,MATCH($C$4,Lookups!$E$14:$G$14,0)),AC12,SUMIFS('EE Inputs'!$W$9:$W$32,'EE Inputs'!$C$9:$C$32,$G$6,'EE Inputs'!$D$9:$D$32,$C$4,'EE Inputs'!$E$9:$E$32,$B26),0,1)))</f>
        <v>0</v>
      </c>
      <c r="AD26" s="65">
        <f ca="1">IF($C$4=Lookups!$D$40,SUM(INDIRECT("'Yr1'!"&amp;ADDRESS(ROW(AD26),COLUMN(AD26))),INDIRECT("'Yr2'!"&amp;ADDRESS(ROW(AD26),COLUMN(AD26))),INDIRECT("'Yr3'!"&amp;ADDRESS(ROW(AD26),COLUMN(AD26)))),
IF(AD12=0,0,-PMT(INDEX(Lookups!$E$17:$G$17,MATCH($C$4,Lookups!$E$14:$G$14,0)),AD12,SUMIFS('EE Inputs'!$W$9:$W$32,'EE Inputs'!$C$9:$C$32,$G$6,'EE Inputs'!$D$9:$D$32,$C$4,'EE Inputs'!$E$9:$E$32,$B26),0,1)))</f>
        <v>0</v>
      </c>
      <c r="AE26" s="65">
        <f ca="1">IF($C$4=Lookups!$D$40,SUM(INDIRECT("'Yr1'!"&amp;ADDRESS(ROW(AE26),COLUMN(AE26))),INDIRECT("'Yr2'!"&amp;ADDRESS(ROW(AE26),COLUMN(AE26))),INDIRECT("'Yr3'!"&amp;ADDRESS(ROW(AE26),COLUMN(AE26)))),
IF(AE12=0,0,-PMT(INDEX(Lookups!$E$17:$G$17,MATCH($C$4,Lookups!$E$14:$G$14,0)),AE12,SUMIFS('EE Inputs'!$W$9:$W$32,'EE Inputs'!$C$9:$C$32,$G$6,'EE Inputs'!$D$9:$D$32,$C$4,'EE Inputs'!$E$9:$E$32,$B26),0,1)))</f>
        <v>0</v>
      </c>
      <c r="AF26" s="65">
        <f ca="1">IF($C$4=Lookups!$D$40,SUM(INDIRECT("'Yr1'!"&amp;ADDRESS(ROW(AF26),COLUMN(AF26))),INDIRECT("'Yr2'!"&amp;ADDRESS(ROW(AF26),COLUMN(AF26))),INDIRECT("'Yr3'!"&amp;ADDRESS(ROW(AF26),COLUMN(AF26)))),
IF(AF12=0,0,-PMT(INDEX(Lookups!$E$17:$G$17,MATCH($C$4,Lookups!$E$14:$G$14,0)),AF12,SUMIFS('EE Inputs'!$W$9:$W$32,'EE Inputs'!$C$9:$C$32,$G$6,'EE Inputs'!$D$9:$D$32,$C$4,'EE Inputs'!$E$9:$E$32,$B26),0,1)))</f>
        <v>0</v>
      </c>
      <c r="AG26" s="65">
        <f ca="1">IF($C$4=Lookups!$D$40,SUM(INDIRECT("'Yr1'!"&amp;ADDRESS(ROW(AG26),COLUMN(AG26))),INDIRECT("'Yr2'!"&amp;ADDRESS(ROW(AG26),COLUMN(AG26))),INDIRECT("'Yr3'!"&amp;ADDRESS(ROW(AG26),COLUMN(AG26)))),
IF(AG12=0,0,-PMT(INDEX(Lookups!$E$17:$G$17,MATCH($C$4,Lookups!$E$14:$G$14,0)),AG12,SUMIFS('EE Inputs'!$W$9:$W$32,'EE Inputs'!$C$9:$C$32,$G$6,'EE Inputs'!$D$9:$D$32,$C$4,'EE Inputs'!$E$9:$E$32,$B26),0,1)))</f>
        <v>0</v>
      </c>
      <c r="AH26" s="65"/>
      <c r="AI26" s="65">
        <f ca="1">NPV(Lookups!$E$17,G26:AG26)</f>
        <v>237801.17228461176</v>
      </c>
      <c r="AJ26" s="65"/>
      <c r="AM26" s="72">
        <f ca="1">IF($C$4=Lookups!$D$40,SUM(INDIRECT("'Yr1'!"&amp;ADDRESS(ROW(AM26),COLUMN(AM26))),INDIRECT("'Yr2'!"&amp;ADDRESS(ROW(AM26),COLUMN(AM26))),INDIRECT("'Yr3'!"&amp;ADDRESS(ROW(AM26),COLUMN(AM26)))),
IF(AM12=0,0,-PMT(INDEX(Lookups!$E$17:$G$17,MATCH($C$4,Lookups!$E$14:$G$14,0)),AM12,SUMIFS('EE Inputs'!$W$9:$W$32,'EE Inputs'!$C$9:$C$32,$AM$6,'EE Inputs'!$D$9:$D$32,$C$4,'EE Inputs'!$E$9:$E$32,$B26),0,1)))</f>
        <v>20235.427574300622</v>
      </c>
      <c r="AN26" s="72">
        <f ca="1">IF($C$4=Lookups!$D$40,SUM(INDIRECT("'Yr1'!"&amp;ADDRESS(ROW(AN26),COLUMN(AN26))),INDIRECT("'Yr2'!"&amp;ADDRESS(ROW(AN26),COLUMN(AN26))),INDIRECT("'Yr3'!"&amp;ADDRESS(ROW(AN26),COLUMN(AN26)))),
IF(AN12=0,0,-PMT(INDEX(Lookups!$E$17:$G$17,MATCH($C$4,Lookups!$E$14:$G$14,0)),AN12,SUMIFS('EE Inputs'!$W$9:$W$32,'EE Inputs'!$C$9:$C$32,$AM$6,'EE Inputs'!$D$9:$D$32,$C$4,'EE Inputs'!$E$9:$E$32,$B26),0,1)))</f>
        <v>20235.427574300622</v>
      </c>
      <c r="AO26" s="72">
        <f ca="1">IF($C$4=Lookups!$D$40,SUM(INDIRECT("'Yr1'!"&amp;ADDRESS(ROW(AO26),COLUMN(AO26))),INDIRECT("'Yr2'!"&amp;ADDRESS(ROW(AO26),COLUMN(AO26))),INDIRECT("'Yr3'!"&amp;ADDRESS(ROW(AO26),COLUMN(AO26)))),
IF(AO12=0,0,-PMT(INDEX(Lookups!$E$17:$G$17,MATCH($C$4,Lookups!$E$14:$G$14,0)),AO12,SUMIFS('EE Inputs'!$W$9:$W$32,'EE Inputs'!$C$9:$C$32,$AM$6,'EE Inputs'!$D$9:$D$32,$C$4,'EE Inputs'!$E$9:$E$32,$B26),0,1)))</f>
        <v>20235.427574300622</v>
      </c>
      <c r="AP26" s="72">
        <f ca="1">IF($C$4=Lookups!$D$40,SUM(INDIRECT("'Yr1'!"&amp;ADDRESS(ROW(AP26),COLUMN(AP26))),INDIRECT("'Yr2'!"&amp;ADDRESS(ROW(AP26),COLUMN(AP26))),INDIRECT("'Yr3'!"&amp;ADDRESS(ROW(AP26),COLUMN(AP26)))),
IF(AP12=0,0,-PMT(INDEX(Lookups!$E$17:$G$17,MATCH($C$4,Lookups!$E$14:$G$14,0)),AP12,SUMIFS('EE Inputs'!$W$9:$W$32,'EE Inputs'!$C$9:$C$32,$AM$6,'EE Inputs'!$D$9:$D$32,$C$4,'EE Inputs'!$E$9:$E$32,$B26),0,1)))</f>
        <v>20235.427574300622</v>
      </c>
      <c r="AQ26" s="72">
        <f ca="1">IF($C$4=Lookups!$D$40,SUM(INDIRECT("'Yr1'!"&amp;ADDRESS(ROW(AQ26),COLUMN(AQ26))),INDIRECT("'Yr2'!"&amp;ADDRESS(ROW(AQ26),COLUMN(AQ26))),INDIRECT("'Yr3'!"&amp;ADDRESS(ROW(AQ26),COLUMN(AQ26)))),
IF(AQ12=0,0,-PMT(INDEX(Lookups!$E$17:$G$17,MATCH($C$4,Lookups!$E$14:$G$14,0)),AQ12,SUMIFS('EE Inputs'!$W$9:$W$32,'EE Inputs'!$C$9:$C$32,$AM$6,'EE Inputs'!$D$9:$D$32,$C$4,'EE Inputs'!$E$9:$E$32,$B26),0,1)))</f>
        <v>20235.427574300622</v>
      </c>
      <c r="AR26" s="72">
        <f ca="1">IF($C$4=Lookups!$D$40,SUM(INDIRECT("'Yr1'!"&amp;ADDRESS(ROW(AR26),COLUMN(AR26))),INDIRECT("'Yr2'!"&amp;ADDRESS(ROW(AR26),COLUMN(AR26))),INDIRECT("'Yr3'!"&amp;ADDRESS(ROW(AR26),COLUMN(AR26)))),
IF(AR12=0,0,-PMT(INDEX(Lookups!$E$17:$G$17,MATCH($C$4,Lookups!$E$14:$G$14,0)),AR12,SUMIFS('EE Inputs'!$W$9:$W$32,'EE Inputs'!$C$9:$C$32,$AM$6,'EE Inputs'!$D$9:$D$32,$C$4,'EE Inputs'!$E$9:$E$32,$B26),0,1)))</f>
        <v>20235.427574300622</v>
      </c>
      <c r="AS26" s="72">
        <f ca="1">IF($C$4=Lookups!$D$40,SUM(INDIRECT("'Yr1'!"&amp;ADDRESS(ROW(AS26),COLUMN(AS26))),INDIRECT("'Yr2'!"&amp;ADDRESS(ROW(AS26),COLUMN(AS26))),INDIRECT("'Yr3'!"&amp;ADDRESS(ROW(AS26),COLUMN(AS26)))),
IF(AS12=0,0,-PMT(INDEX(Lookups!$E$17:$G$17,MATCH($C$4,Lookups!$E$14:$G$14,0)),AS12,SUMIFS('EE Inputs'!$W$9:$W$32,'EE Inputs'!$C$9:$C$32,$AM$6,'EE Inputs'!$D$9:$D$32,$C$4,'EE Inputs'!$E$9:$E$32,$B26),0,1)))</f>
        <v>20235.427574300622</v>
      </c>
      <c r="AT26" s="72">
        <f ca="1">IF($C$4=Lookups!$D$40,SUM(INDIRECT("'Yr1'!"&amp;ADDRESS(ROW(AT26),COLUMN(AT26))),INDIRECT("'Yr2'!"&amp;ADDRESS(ROW(AT26),COLUMN(AT26))),INDIRECT("'Yr3'!"&amp;ADDRESS(ROW(AT26),COLUMN(AT26)))),
IF(AT12=0,0,-PMT(INDEX(Lookups!$E$17:$G$17,MATCH($C$4,Lookups!$E$14:$G$14,0)),AT12,SUMIFS('EE Inputs'!$W$9:$W$32,'EE Inputs'!$C$9:$C$32,$AM$6,'EE Inputs'!$D$9:$D$32,$C$4,'EE Inputs'!$E$9:$E$32,$B26),0,1)))</f>
        <v>20235.427574300622</v>
      </c>
      <c r="AU26" s="72">
        <f ca="1">IF($C$4=Lookups!$D$40,SUM(INDIRECT("'Yr1'!"&amp;ADDRESS(ROW(AU26),COLUMN(AU26))),INDIRECT("'Yr2'!"&amp;ADDRESS(ROW(AU26),COLUMN(AU26))),INDIRECT("'Yr3'!"&amp;ADDRESS(ROW(AU26),COLUMN(AU26)))),
IF(AU12=0,0,-PMT(INDEX(Lookups!$E$17:$G$17,MATCH($C$4,Lookups!$E$14:$G$14,0)),AU12,SUMIFS('EE Inputs'!$W$9:$W$32,'EE Inputs'!$C$9:$C$32,$AM$6,'EE Inputs'!$D$9:$D$32,$C$4,'EE Inputs'!$E$9:$E$32,$B26),0,1)))</f>
        <v>20235.427574300622</v>
      </c>
      <c r="AV26" s="72">
        <f ca="1">IF($C$4=Lookups!$D$40,SUM(INDIRECT("'Yr1'!"&amp;ADDRESS(ROW(AV26),COLUMN(AV26))),INDIRECT("'Yr2'!"&amp;ADDRESS(ROW(AV26),COLUMN(AV26))),INDIRECT("'Yr3'!"&amp;ADDRESS(ROW(AV26),COLUMN(AV26)))),
IF(AV12=0,0,-PMT(INDEX(Lookups!$E$17:$G$17,MATCH($C$4,Lookups!$E$14:$G$14,0)),AV12,SUMIFS('EE Inputs'!$W$9:$W$32,'EE Inputs'!$C$9:$C$32,$AM$6,'EE Inputs'!$D$9:$D$32,$C$4,'EE Inputs'!$E$9:$E$32,$B26),0,1)))</f>
        <v>20235.427574300622</v>
      </c>
      <c r="AW26" s="72">
        <f ca="1">IF($C$4=Lookups!$D$40,SUM(INDIRECT("'Yr1'!"&amp;ADDRESS(ROW(AW26),COLUMN(AW26))),INDIRECT("'Yr2'!"&amp;ADDRESS(ROW(AW26),COLUMN(AW26))),INDIRECT("'Yr3'!"&amp;ADDRESS(ROW(AW26),COLUMN(AW26)))),
IF(AW12=0,0,-PMT(INDEX(Lookups!$E$17:$G$17,MATCH($C$4,Lookups!$E$14:$G$14,0)),AW12,SUMIFS('EE Inputs'!$W$9:$W$32,'EE Inputs'!$C$9:$C$32,$AM$6,'EE Inputs'!$D$9:$D$32,$C$4,'EE Inputs'!$E$9:$E$32,$B26),0,1)))</f>
        <v>20235.427574300622</v>
      </c>
      <c r="AX26" s="72">
        <f ca="1">IF($C$4=Lookups!$D$40,SUM(INDIRECT("'Yr1'!"&amp;ADDRESS(ROW(AX26),COLUMN(AX26))),INDIRECT("'Yr2'!"&amp;ADDRESS(ROW(AX26),COLUMN(AX26))),INDIRECT("'Yr3'!"&amp;ADDRESS(ROW(AX26),COLUMN(AX26)))),
IF(AX12=0,0,-PMT(INDEX(Lookups!$E$17:$G$17,MATCH($C$4,Lookups!$E$14:$G$14,0)),AX12,SUMIFS('EE Inputs'!$W$9:$W$32,'EE Inputs'!$C$9:$C$32,$AM$6,'EE Inputs'!$D$9:$D$32,$C$4,'EE Inputs'!$E$9:$E$32,$B26),0,1)))</f>
        <v>20235.427574300622</v>
      </c>
      <c r="AY26" s="72">
        <f ca="1">IF($C$4=Lookups!$D$40,SUM(INDIRECT("'Yr1'!"&amp;ADDRESS(ROW(AY26),COLUMN(AY26))),INDIRECT("'Yr2'!"&amp;ADDRESS(ROW(AY26),COLUMN(AY26))),INDIRECT("'Yr3'!"&amp;ADDRESS(ROW(AY26),COLUMN(AY26)))),
IF(AY12=0,0,-PMT(INDEX(Lookups!$E$17:$G$17,MATCH($C$4,Lookups!$E$14:$G$14,0)),AY12,SUMIFS('EE Inputs'!$W$9:$W$32,'EE Inputs'!$C$9:$C$32,$AM$6,'EE Inputs'!$D$9:$D$32,$C$4,'EE Inputs'!$E$9:$E$32,$B26),0,1)))</f>
        <v>20235.427574300622</v>
      </c>
      <c r="AZ26" s="72">
        <f ca="1">IF($C$4=Lookups!$D$40,SUM(INDIRECT("'Yr1'!"&amp;ADDRESS(ROW(AZ26),COLUMN(AZ26))),INDIRECT("'Yr2'!"&amp;ADDRESS(ROW(AZ26),COLUMN(AZ26))),INDIRECT("'Yr3'!"&amp;ADDRESS(ROW(AZ26),COLUMN(AZ26)))),
IF(AZ12=0,0,-PMT(INDEX(Lookups!$E$17:$G$17,MATCH($C$4,Lookups!$E$14:$G$14,0)),AZ12,SUMIFS('EE Inputs'!$W$9:$W$32,'EE Inputs'!$C$9:$C$32,$AM$6,'EE Inputs'!$D$9:$D$32,$C$4,'EE Inputs'!$E$9:$E$32,$B26),0,1)))</f>
        <v>20235.427574300622</v>
      </c>
      <c r="BA26" s="72">
        <f ca="1">IF($C$4=Lookups!$D$40,SUM(INDIRECT("'Yr1'!"&amp;ADDRESS(ROW(BA26),COLUMN(BA26))),INDIRECT("'Yr2'!"&amp;ADDRESS(ROW(BA26),COLUMN(BA26))),INDIRECT("'Yr3'!"&amp;ADDRESS(ROW(BA26),COLUMN(BA26)))),
IF(BA12=0,0,-PMT(INDEX(Lookups!$E$17:$G$17,MATCH($C$4,Lookups!$E$14:$G$14,0)),BA12,SUMIFS('EE Inputs'!$W$9:$W$32,'EE Inputs'!$C$9:$C$32,$AM$6,'EE Inputs'!$D$9:$D$32,$C$4,'EE Inputs'!$E$9:$E$32,$B26),0,1)))</f>
        <v>20235.427574300622</v>
      </c>
      <c r="BB26" s="72">
        <f ca="1">IF($C$4=Lookups!$D$40,SUM(INDIRECT("'Yr1'!"&amp;ADDRESS(ROW(BB26),COLUMN(BB26))),INDIRECT("'Yr2'!"&amp;ADDRESS(ROW(BB26),COLUMN(BB26))),INDIRECT("'Yr3'!"&amp;ADDRESS(ROW(BB26),COLUMN(BB26)))),
IF(BB12=0,0,-PMT(INDEX(Lookups!$E$17:$G$17,MATCH($C$4,Lookups!$E$14:$G$14,0)),BB12,SUMIFS('EE Inputs'!$W$9:$W$32,'EE Inputs'!$C$9:$C$32,$AM$6,'EE Inputs'!$D$9:$D$32,$C$4,'EE Inputs'!$E$9:$E$32,$B26),0,1)))</f>
        <v>0</v>
      </c>
      <c r="BC26" s="72">
        <f ca="1">IF($C$4=Lookups!$D$40,SUM(INDIRECT("'Yr1'!"&amp;ADDRESS(ROW(BC26),COLUMN(BC26))),INDIRECT("'Yr2'!"&amp;ADDRESS(ROW(BC26),COLUMN(BC26))),INDIRECT("'Yr3'!"&amp;ADDRESS(ROW(BC26),COLUMN(BC26)))),
IF(BC12=0,0,-PMT(INDEX(Lookups!$E$17:$G$17,MATCH($C$4,Lookups!$E$14:$G$14,0)),BC12,SUMIFS('EE Inputs'!$W$9:$W$32,'EE Inputs'!$C$9:$C$32,$AM$6,'EE Inputs'!$D$9:$D$32,$C$4,'EE Inputs'!$E$9:$E$32,$B26),0,1)))</f>
        <v>0</v>
      </c>
      <c r="BD26" s="72">
        <f ca="1">IF($C$4=Lookups!$D$40,SUM(INDIRECT("'Yr1'!"&amp;ADDRESS(ROW(BD26),COLUMN(BD26))),INDIRECT("'Yr2'!"&amp;ADDRESS(ROW(BD26),COLUMN(BD26))),INDIRECT("'Yr3'!"&amp;ADDRESS(ROW(BD26),COLUMN(BD26)))),
IF(BD12=0,0,-PMT(INDEX(Lookups!$E$17:$G$17,MATCH($C$4,Lookups!$E$14:$G$14,0)),BD12,SUMIFS('EE Inputs'!$W$9:$W$32,'EE Inputs'!$C$9:$C$32,$AM$6,'EE Inputs'!$D$9:$D$32,$C$4,'EE Inputs'!$E$9:$E$32,$B26),0,1)))</f>
        <v>0</v>
      </c>
      <c r="BE26" s="72">
        <f ca="1">IF($C$4=Lookups!$D$40,SUM(INDIRECT("'Yr1'!"&amp;ADDRESS(ROW(BE26),COLUMN(BE26))),INDIRECT("'Yr2'!"&amp;ADDRESS(ROW(BE26),COLUMN(BE26))),INDIRECT("'Yr3'!"&amp;ADDRESS(ROW(BE26),COLUMN(BE26)))),
IF(BE12=0,0,-PMT(INDEX(Lookups!$E$17:$G$17,MATCH($C$4,Lookups!$E$14:$G$14,0)),BE12,SUMIFS('EE Inputs'!$W$9:$W$32,'EE Inputs'!$C$9:$C$32,$AM$6,'EE Inputs'!$D$9:$D$32,$C$4,'EE Inputs'!$E$9:$E$32,$B26),0,1)))</f>
        <v>0</v>
      </c>
      <c r="BF26" s="72">
        <f ca="1">IF($C$4=Lookups!$D$40,SUM(INDIRECT("'Yr1'!"&amp;ADDRESS(ROW(BF26),COLUMN(BF26))),INDIRECT("'Yr2'!"&amp;ADDRESS(ROW(BF26),COLUMN(BF26))),INDIRECT("'Yr3'!"&amp;ADDRESS(ROW(BF26),COLUMN(BF26)))),
IF(BF12=0,0,-PMT(INDEX(Lookups!$E$17:$G$17,MATCH($C$4,Lookups!$E$14:$G$14,0)),BF12,SUMIFS('EE Inputs'!$W$9:$W$32,'EE Inputs'!$C$9:$C$32,$AM$6,'EE Inputs'!$D$9:$D$32,$C$4,'EE Inputs'!$E$9:$E$32,$B26),0,1)))</f>
        <v>0</v>
      </c>
      <c r="BG26" s="72">
        <f ca="1">IF($C$4=Lookups!$D$40,SUM(INDIRECT("'Yr1'!"&amp;ADDRESS(ROW(BG26),COLUMN(BG26))),INDIRECT("'Yr2'!"&amp;ADDRESS(ROW(BG26),COLUMN(BG26))),INDIRECT("'Yr3'!"&amp;ADDRESS(ROW(BG26),COLUMN(BG26)))),
IF(BG12=0,0,-PMT(INDEX(Lookups!$E$17:$G$17,MATCH($C$4,Lookups!$E$14:$G$14,0)),BG12,SUMIFS('EE Inputs'!$W$9:$W$32,'EE Inputs'!$C$9:$C$32,$AM$6,'EE Inputs'!$D$9:$D$32,$C$4,'EE Inputs'!$E$9:$E$32,$B26),0,1)))</f>
        <v>0</v>
      </c>
      <c r="BH26" s="72">
        <f ca="1">IF($C$4=Lookups!$D$40,SUM(INDIRECT("'Yr1'!"&amp;ADDRESS(ROW(BH26),COLUMN(BH26))),INDIRECT("'Yr2'!"&amp;ADDRESS(ROW(BH26),COLUMN(BH26))),INDIRECT("'Yr3'!"&amp;ADDRESS(ROW(BH26),COLUMN(BH26)))),
IF(BH12=0,0,-PMT(INDEX(Lookups!$E$17:$G$17,MATCH($C$4,Lookups!$E$14:$G$14,0)),BH12,SUMIFS('EE Inputs'!$W$9:$W$32,'EE Inputs'!$C$9:$C$32,$AM$6,'EE Inputs'!$D$9:$D$32,$C$4,'EE Inputs'!$E$9:$E$32,$B26),0,1)))</f>
        <v>0</v>
      </c>
      <c r="BI26" s="72">
        <f ca="1">IF($C$4=Lookups!$D$40,SUM(INDIRECT("'Yr1'!"&amp;ADDRESS(ROW(BI26),COLUMN(BI26))),INDIRECT("'Yr2'!"&amp;ADDRESS(ROW(BI26),COLUMN(BI26))),INDIRECT("'Yr3'!"&amp;ADDRESS(ROW(BI26),COLUMN(BI26)))),
IF(BI12=0,0,-PMT(INDEX(Lookups!$E$17:$G$17,MATCH($C$4,Lookups!$E$14:$G$14,0)),BI12,SUMIFS('EE Inputs'!$W$9:$W$32,'EE Inputs'!$C$9:$C$32,$AM$6,'EE Inputs'!$D$9:$D$32,$C$4,'EE Inputs'!$E$9:$E$32,$B26),0,1)))</f>
        <v>0</v>
      </c>
      <c r="BJ26" s="72">
        <f ca="1">IF($C$4=Lookups!$D$40,SUM(INDIRECT("'Yr1'!"&amp;ADDRESS(ROW(BJ26),COLUMN(BJ26))),INDIRECT("'Yr2'!"&amp;ADDRESS(ROW(BJ26),COLUMN(BJ26))),INDIRECT("'Yr3'!"&amp;ADDRESS(ROW(BJ26),COLUMN(BJ26)))),
IF(BJ12=0,0,-PMT(INDEX(Lookups!$E$17:$G$17,MATCH($C$4,Lookups!$E$14:$G$14,0)),BJ12,SUMIFS('EE Inputs'!$W$9:$W$32,'EE Inputs'!$C$9:$C$32,$AM$6,'EE Inputs'!$D$9:$D$32,$C$4,'EE Inputs'!$E$9:$E$32,$B26),0,1)))</f>
        <v>0</v>
      </c>
      <c r="BK26" s="72">
        <f ca="1">IF($C$4=Lookups!$D$40,SUM(INDIRECT("'Yr1'!"&amp;ADDRESS(ROW(BK26),COLUMN(BK26))),INDIRECT("'Yr2'!"&amp;ADDRESS(ROW(BK26),COLUMN(BK26))),INDIRECT("'Yr3'!"&amp;ADDRESS(ROW(BK26),COLUMN(BK26)))),
IF(BK12=0,0,-PMT(INDEX(Lookups!$E$17:$G$17,MATCH($C$4,Lookups!$E$14:$G$14,0)),BK12,SUMIFS('EE Inputs'!$W$9:$W$32,'EE Inputs'!$C$9:$C$32,$AM$6,'EE Inputs'!$D$9:$D$32,$C$4,'EE Inputs'!$E$9:$E$32,$B26),0,1)))</f>
        <v>0</v>
      </c>
      <c r="BL26" s="72">
        <f ca="1">IF($C$4=Lookups!$D$40,SUM(INDIRECT("'Yr1'!"&amp;ADDRESS(ROW(BL26),COLUMN(BL26))),INDIRECT("'Yr2'!"&amp;ADDRESS(ROW(BL26),COLUMN(BL26))),INDIRECT("'Yr3'!"&amp;ADDRESS(ROW(BL26),COLUMN(BL26)))),
IF(BL12=0,0,-PMT(INDEX(Lookups!$E$17:$G$17,MATCH($C$4,Lookups!$E$14:$G$14,0)),BL12,SUMIFS('EE Inputs'!$W$9:$W$32,'EE Inputs'!$C$9:$C$32,$AM$6,'EE Inputs'!$D$9:$D$32,$C$4,'EE Inputs'!$E$9:$E$32,$B26),0,1)))</f>
        <v>0</v>
      </c>
      <c r="BM26" s="72">
        <f ca="1">IF($C$4=Lookups!$D$40,SUM(INDIRECT("'Yr1'!"&amp;ADDRESS(ROW(BM26),COLUMN(BM26))),INDIRECT("'Yr2'!"&amp;ADDRESS(ROW(BM26),COLUMN(BM26))),INDIRECT("'Yr3'!"&amp;ADDRESS(ROW(BM26),COLUMN(BM26)))),
IF(BM12=0,0,-PMT(INDEX(Lookups!$E$17:$G$17,MATCH($C$4,Lookups!$E$14:$G$14,0)),BM12,SUMIFS('EE Inputs'!$W$9:$W$32,'EE Inputs'!$C$9:$C$32,$AM$6,'EE Inputs'!$D$9:$D$32,$C$4,'EE Inputs'!$E$9:$E$32,$B26),0,1)))</f>
        <v>0</v>
      </c>
      <c r="BN26" s="72"/>
      <c r="BO26" s="72">
        <f ca="1">NPV(Lookups!$E$17,AM26:BM26)</f>
        <v>271772.76832527068</v>
      </c>
      <c r="BP26" s="72"/>
      <c r="BS26" s="84" t="s">
        <v>413</v>
      </c>
      <c r="BT26" s="51"/>
    </row>
    <row r="27" spans="1:72" x14ac:dyDescent="0.25">
      <c r="A27" s="246"/>
      <c r="B27" s="243" t="str">
        <f>B25</f>
        <v>Residential</v>
      </c>
      <c r="C27" s="243" t="str">
        <f>C25</f>
        <v>Revenue Requirements</v>
      </c>
      <c r="D27" s="244" t="str">
        <f>D25</f>
        <v>Avoided Costs</v>
      </c>
      <c r="E27" s="86" t="s">
        <v>175</v>
      </c>
      <c r="F27" s="84" t="s">
        <v>32</v>
      </c>
      <c r="G27" s="65">
        <f ca="1">IF($C$4=Lookups!$D$40,SUM(INDIRECT("'Yr1'!"&amp;ADDRESS(ROW(G27),COLUMN(G27))),INDIRECT("'Yr2'!"&amp;ADDRESS(ROW(G27),COLUMN(G27))),INDIRECT("'Yr3'!"&amp;ADDRESS(ROW(G27),COLUMN(G27)))),
IF(G12=0,0,-PMT(INDEX(Lookups!$E$17:$G$17,MATCH($C$4,Lookups!$E$14:$G$14,0)),G12,SUMIFS('EE Inputs'!$K$9:$K$32,'EE Inputs'!$C$9:$C$32,$G$6,'EE Inputs'!$D$9:$D$32,$C$4,'EE Inputs'!$E$9:$E$32,$B27),0,1)))</f>
        <v>11032.285868211145</v>
      </c>
      <c r="H27" s="65">
        <f ca="1">IF($C$4=Lookups!$D$40,SUM(INDIRECT("'Yr1'!"&amp;ADDRESS(ROW(H27),COLUMN(H27))),INDIRECT("'Yr2'!"&amp;ADDRESS(ROW(H27),COLUMN(H27))),INDIRECT("'Yr3'!"&amp;ADDRESS(ROW(H27),COLUMN(H27)))),
IF(H12=0,0,-PMT(INDEX(Lookups!$E$17:$G$17,MATCH($C$4,Lookups!$E$14:$G$14,0)),H12,SUMIFS('EE Inputs'!$K$9:$K$32,'EE Inputs'!$C$9:$C$32,$G$6,'EE Inputs'!$D$9:$D$32,$C$4,'EE Inputs'!$E$9:$E$32,$B27),0,1)))</f>
        <v>11032.285868211145</v>
      </c>
      <c r="I27" s="65">
        <f ca="1">IF($C$4=Lookups!$D$40,SUM(INDIRECT("'Yr1'!"&amp;ADDRESS(ROW(I27),COLUMN(I27))),INDIRECT("'Yr2'!"&amp;ADDRESS(ROW(I27),COLUMN(I27))),INDIRECT("'Yr3'!"&amp;ADDRESS(ROW(I27),COLUMN(I27)))),
IF(I12=0,0,-PMT(INDEX(Lookups!$E$17:$G$17,MATCH($C$4,Lookups!$E$14:$G$14,0)),I12,SUMIFS('EE Inputs'!$K$9:$K$32,'EE Inputs'!$C$9:$C$32,$G$6,'EE Inputs'!$D$9:$D$32,$C$4,'EE Inputs'!$E$9:$E$32,$B27),0,1)))</f>
        <v>11032.285868211145</v>
      </c>
      <c r="J27" s="65">
        <f ca="1">IF($C$4=Lookups!$D$40,SUM(INDIRECT("'Yr1'!"&amp;ADDRESS(ROW(J27),COLUMN(J27))),INDIRECT("'Yr2'!"&amp;ADDRESS(ROW(J27),COLUMN(J27))),INDIRECT("'Yr3'!"&amp;ADDRESS(ROW(J27),COLUMN(J27)))),
IF(J12=0,0,-PMT(INDEX(Lookups!$E$17:$G$17,MATCH($C$4,Lookups!$E$14:$G$14,0)),J12,SUMIFS('EE Inputs'!$K$9:$K$32,'EE Inputs'!$C$9:$C$32,$G$6,'EE Inputs'!$D$9:$D$32,$C$4,'EE Inputs'!$E$9:$E$32,$B27),0,1)))</f>
        <v>11032.285868211145</v>
      </c>
      <c r="K27" s="65">
        <f ca="1">IF($C$4=Lookups!$D$40,SUM(INDIRECT("'Yr1'!"&amp;ADDRESS(ROW(K27),COLUMN(K27))),INDIRECT("'Yr2'!"&amp;ADDRESS(ROW(K27),COLUMN(K27))),INDIRECT("'Yr3'!"&amp;ADDRESS(ROW(K27),COLUMN(K27)))),
IF(K12=0,0,-PMT(INDEX(Lookups!$E$17:$G$17,MATCH($C$4,Lookups!$E$14:$G$14,0)),K12,SUMIFS('EE Inputs'!$K$9:$K$32,'EE Inputs'!$C$9:$C$32,$G$6,'EE Inputs'!$D$9:$D$32,$C$4,'EE Inputs'!$E$9:$E$32,$B27),0,1)))</f>
        <v>11032.285868211145</v>
      </c>
      <c r="L27" s="65">
        <f ca="1">IF($C$4=Lookups!$D$40,SUM(INDIRECT("'Yr1'!"&amp;ADDRESS(ROW(L27),COLUMN(L27))),INDIRECT("'Yr2'!"&amp;ADDRESS(ROW(L27),COLUMN(L27))),INDIRECT("'Yr3'!"&amp;ADDRESS(ROW(L27),COLUMN(L27)))),
IF(L12=0,0,-PMT(INDEX(Lookups!$E$17:$G$17,MATCH($C$4,Lookups!$E$14:$G$14,0)),L12,SUMIFS('EE Inputs'!$K$9:$K$32,'EE Inputs'!$C$9:$C$32,$G$6,'EE Inputs'!$D$9:$D$32,$C$4,'EE Inputs'!$E$9:$E$32,$B27),0,1)))</f>
        <v>11032.285868211145</v>
      </c>
      <c r="M27" s="65">
        <f ca="1">IF($C$4=Lookups!$D$40,SUM(INDIRECT("'Yr1'!"&amp;ADDRESS(ROW(M27),COLUMN(M27))),INDIRECT("'Yr2'!"&amp;ADDRESS(ROW(M27),COLUMN(M27))),INDIRECT("'Yr3'!"&amp;ADDRESS(ROW(M27),COLUMN(M27)))),
IF(M12=0,0,-PMT(INDEX(Lookups!$E$17:$G$17,MATCH($C$4,Lookups!$E$14:$G$14,0)),M12,SUMIFS('EE Inputs'!$K$9:$K$32,'EE Inputs'!$C$9:$C$32,$G$6,'EE Inputs'!$D$9:$D$32,$C$4,'EE Inputs'!$E$9:$E$32,$B27),0,1)))</f>
        <v>11032.285868211145</v>
      </c>
      <c r="N27" s="65">
        <f ca="1">IF($C$4=Lookups!$D$40,SUM(INDIRECT("'Yr1'!"&amp;ADDRESS(ROW(N27),COLUMN(N27))),INDIRECT("'Yr2'!"&amp;ADDRESS(ROW(N27),COLUMN(N27))),INDIRECT("'Yr3'!"&amp;ADDRESS(ROW(N27),COLUMN(N27)))),
IF(N12=0,0,-PMT(INDEX(Lookups!$E$17:$G$17,MATCH($C$4,Lookups!$E$14:$G$14,0)),N12,SUMIFS('EE Inputs'!$K$9:$K$32,'EE Inputs'!$C$9:$C$32,$G$6,'EE Inputs'!$D$9:$D$32,$C$4,'EE Inputs'!$E$9:$E$32,$B27),0,1)))</f>
        <v>11032.285868211145</v>
      </c>
      <c r="O27" s="65">
        <f ca="1">IF($C$4=Lookups!$D$40,SUM(INDIRECT("'Yr1'!"&amp;ADDRESS(ROW(O27),COLUMN(O27))),INDIRECT("'Yr2'!"&amp;ADDRESS(ROW(O27),COLUMN(O27))),INDIRECT("'Yr3'!"&amp;ADDRESS(ROW(O27),COLUMN(O27)))),
IF(O12=0,0,-PMT(INDEX(Lookups!$E$17:$G$17,MATCH($C$4,Lookups!$E$14:$G$14,0)),O12,SUMIFS('EE Inputs'!$K$9:$K$32,'EE Inputs'!$C$9:$C$32,$G$6,'EE Inputs'!$D$9:$D$32,$C$4,'EE Inputs'!$E$9:$E$32,$B27),0,1)))</f>
        <v>11032.285868211145</v>
      </c>
      <c r="P27" s="65">
        <f ca="1">IF($C$4=Lookups!$D$40,SUM(INDIRECT("'Yr1'!"&amp;ADDRESS(ROW(P27),COLUMN(P27))),INDIRECT("'Yr2'!"&amp;ADDRESS(ROW(P27),COLUMN(P27))),INDIRECT("'Yr3'!"&amp;ADDRESS(ROW(P27),COLUMN(P27)))),
IF(P12=0,0,-PMT(INDEX(Lookups!$E$17:$G$17,MATCH($C$4,Lookups!$E$14:$G$14,0)),P12,SUMIFS('EE Inputs'!$K$9:$K$32,'EE Inputs'!$C$9:$C$32,$G$6,'EE Inputs'!$D$9:$D$32,$C$4,'EE Inputs'!$E$9:$E$32,$B27),0,1)))</f>
        <v>11032.285868211145</v>
      </c>
      <c r="Q27" s="65">
        <f ca="1">IF($C$4=Lookups!$D$40,SUM(INDIRECT("'Yr1'!"&amp;ADDRESS(ROW(Q27),COLUMN(Q27))),INDIRECT("'Yr2'!"&amp;ADDRESS(ROW(Q27),COLUMN(Q27))),INDIRECT("'Yr3'!"&amp;ADDRESS(ROW(Q27),COLUMN(Q27)))),
IF(Q12=0,0,-PMT(INDEX(Lookups!$E$17:$G$17,MATCH($C$4,Lookups!$E$14:$G$14,0)),Q12,SUMIFS('EE Inputs'!$K$9:$K$32,'EE Inputs'!$C$9:$C$32,$G$6,'EE Inputs'!$D$9:$D$32,$C$4,'EE Inputs'!$E$9:$E$32,$B27),0,1)))</f>
        <v>11032.285868211145</v>
      </c>
      <c r="R27" s="65">
        <f ca="1">IF($C$4=Lookups!$D$40,SUM(INDIRECT("'Yr1'!"&amp;ADDRESS(ROW(R27),COLUMN(R27))),INDIRECT("'Yr2'!"&amp;ADDRESS(ROW(R27),COLUMN(R27))),INDIRECT("'Yr3'!"&amp;ADDRESS(ROW(R27),COLUMN(R27)))),
IF(R12=0,0,-PMT(INDEX(Lookups!$E$17:$G$17,MATCH($C$4,Lookups!$E$14:$G$14,0)),R12,SUMIFS('EE Inputs'!$K$9:$K$32,'EE Inputs'!$C$9:$C$32,$G$6,'EE Inputs'!$D$9:$D$32,$C$4,'EE Inputs'!$E$9:$E$32,$B27),0,1)))</f>
        <v>11032.285868211145</v>
      </c>
      <c r="S27" s="65">
        <f ca="1">IF($C$4=Lookups!$D$40,SUM(INDIRECT("'Yr1'!"&amp;ADDRESS(ROW(S27),COLUMN(S27))),INDIRECT("'Yr2'!"&amp;ADDRESS(ROW(S27),COLUMN(S27))),INDIRECT("'Yr3'!"&amp;ADDRESS(ROW(S27),COLUMN(S27)))),
IF(S12=0,0,-PMT(INDEX(Lookups!$E$17:$G$17,MATCH($C$4,Lookups!$E$14:$G$14,0)),S12,SUMIFS('EE Inputs'!$K$9:$K$32,'EE Inputs'!$C$9:$C$32,$G$6,'EE Inputs'!$D$9:$D$32,$C$4,'EE Inputs'!$E$9:$E$32,$B27),0,1)))</f>
        <v>11032.285868211145</v>
      </c>
      <c r="T27" s="65">
        <f ca="1">IF($C$4=Lookups!$D$40,SUM(INDIRECT("'Yr1'!"&amp;ADDRESS(ROW(T27),COLUMN(T27))),INDIRECT("'Yr2'!"&amp;ADDRESS(ROW(T27),COLUMN(T27))),INDIRECT("'Yr3'!"&amp;ADDRESS(ROW(T27),COLUMN(T27)))),
IF(T12=0,0,-PMT(INDEX(Lookups!$E$17:$G$17,MATCH($C$4,Lookups!$E$14:$G$14,0)),T12,SUMIFS('EE Inputs'!$K$9:$K$32,'EE Inputs'!$C$9:$C$32,$G$6,'EE Inputs'!$D$9:$D$32,$C$4,'EE Inputs'!$E$9:$E$32,$B27),0,1)))</f>
        <v>11032.285868211145</v>
      </c>
      <c r="U27" s="65">
        <f ca="1">IF($C$4=Lookups!$D$40,SUM(INDIRECT("'Yr1'!"&amp;ADDRESS(ROW(U27),COLUMN(U27))),INDIRECT("'Yr2'!"&amp;ADDRESS(ROW(U27),COLUMN(U27))),INDIRECT("'Yr3'!"&amp;ADDRESS(ROW(U27),COLUMN(U27)))),
IF(U12=0,0,-PMT(INDEX(Lookups!$E$17:$G$17,MATCH($C$4,Lookups!$E$14:$G$14,0)),U12,SUMIFS('EE Inputs'!$K$9:$K$32,'EE Inputs'!$C$9:$C$32,$G$6,'EE Inputs'!$D$9:$D$32,$C$4,'EE Inputs'!$E$9:$E$32,$B27),0,1)))</f>
        <v>11032.285868211145</v>
      </c>
      <c r="V27" s="65">
        <f ca="1">IF($C$4=Lookups!$D$40,SUM(INDIRECT("'Yr1'!"&amp;ADDRESS(ROW(V27),COLUMN(V27))),INDIRECT("'Yr2'!"&amp;ADDRESS(ROW(V27),COLUMN(V27))),INDIRECT("'Yr3'!"&amp;ADDRESS(ROW(V27),COLUMN(V27)))),
IF(V12=0,0,-PMT(INDEX(Lookups!$E$17:$G$17,MATCH($C$4,Lookups!$E$14:$G$14,0)),V12,SUMIFS('EE Inputs'!$K$9:$K$32,'EE Inputs'!$C$9:$C$32,$G$6,'EE Inputs'!$D$9:$D$32,$C$4,'EE Inputs'!$E$9:$E$32,$B27),0,1)))</f>
        <v>0</v>
      </c>
      <c r="W27" s="65">
        <f ca="1">IF($C$4=Lookups!$D$40,SUM(INDIRECT("'Yr1'!"&amp;ADDRESS(ROW(W27),COLUMN(W27))),INDIRECT("'Yr2'!"&amp;ADDRESS(ROW(W27),COLUMN(W27))),INDIRECT("'Yr3'!"&amp;ADDRESS(ROW(W27),COLUMN(W27)))),
IF(W12=0,0,-PMT(INDEX(Lookups!$E$17:$G$17,MATCH($C$4,Lookups!$E$14:$G$14,0)),W12,SUMIFS('EE Inputs'!$K$9:$K$32,'EE Inputs'!$C$9:$C$32,$G$6,'EE Inputs'!$D$9:$D$32,$C$4,'EE Inputs'!$E$9:$E$32,$B27),0,1)))</f>
        <v>0</v>
      </c>
      <c r="X27" s="65">
        <f ca="1">IF($C$4=Lookups!$D$40,SUM(INDIRECT("'Yr1'!"&amp;ADDRESS(ROW(X27),COLUMN(X27))),INDIRECT("'Yr2'!"&amp;ADDRESS(ROW(X27),COLUMN(X27))),INDIRECT("'Yr3'!"&amp;ADDRESS(ROW(X27),COLUMN(X27)))),
IF(X12=0,0,-PMT(INDEX(Lookups!$E$17:$G$17,MATCH($C$4,Lookups!$E$14:$G$14,0)),X12,SUMIFS('EE Inputs'!$K$9:$K$32,'EE Inputs'!$C$9:$C$32,$G$6,'EE Inputs'!$D$9:$D$32,$C$4,'EE Inputs'!$E$9:$E$32,$B27),0,1)))</f>
        <v>0</v>
      </c>
      <c r="Y27" s="65">
        <f ca="1">IF($C$4=Lookups!$D$40,SUM(INDIRECT("'Yr1'!"&amp;ADDRESS(ROW(Y27),COLUMN(Y27))),INDIRECT("'Yr2'!"&amp;ADDRESS(ROW(Y27),COLUMN(Y27))),INDIRECT("'Yr3'!"&amp;ADDRESS(ROW(Y27),COLUMN(Y27)))),
IF(Y12=0,0,-PMT(INDEX(Lookups!$E$17:$G$17,MATCH($C$4,Lookups!$E$14:$G$14,0)),Y12,SUMIFS('EE Inputs'!$K$9:$K$32,'EE Inputs'!$C$9:$C$32,$G$6,'EE Inputs'!$D$9:$D$32,$C$4,'EE Inputs'!$E$9:$E$32,$B27),0,1)))</f>
        <v>0</v>
      </c>
      <c r="Z27" s="65">
        <f ca="1">IF($C$4=Lookups!$D$40,SUM(INDIRECT("'Yr1'!"&amp;ADDRESS(ROW(Z27),COLUMN(Z27))),INDIRECT("'Yr2'!"&amp;ADDRESS(ROW(Z27),COLUMN(Z27))),INDIRECT("'Yr3'!"&amp;ADDRESS(ROW(Z27),COLUMN(Z27)))),
IF(Z12=0,0,-PMT(INDEX(Lookups!$E$17:$G$17,MATCH($C$4,Lookups!$E$14:$G$14,0)),Z12,SUMIFS('EE Inputs'!$K$9:$K$32,'EE Inputs'!$C$9:$C$32,$G$6,'EE Inputs'!$D$9:$D$32,$C$4,'EE Inputs'!$E$9:$E$32,$B27),0,1)))</f>
        <v>0</v>
      </c>
      <c r="AA27" s="65">
        <f ca="1">IF($C$4=Lookups!$D$40,SUM(INDIRECT("'Yr1'!"&amp;ADDRESS(ROW(AA27),COLUMN(AA27))),INDIRECT("'Yr2'!"&amp;ADDRESS(ROW(AA27),COLUMN(AA27))),INDIRECT("'Yr3'!"&amp;ADDRESS(ROW(AA27),COLUMN(AA27)))),
IF(AA12=0,0,-PMT(INDEX(Lookups!$E$17:$G$17,MATCH($C$4,Lookups!$E$14:$G$14,0)),AA12,SUMIFS('EE Inputs'!$K$9:$K$32,'EE Inputs'!$C$9:$C$32,$G$6,'EE Inputs'!$D$9:$D$32,$C$4,'EE Inputs'!$E$9:$E$32,$B27),0,1)))</f>
        <v>0</v>
      </c>
      <c r="AB27" s="65">
        <f ca="1">IF($C$4=Lookups!$D$40,SUM(INDIRECT("'Yr1'!"&amp;ADDRESS(ROW(AB27),COLUMN(AB27))),INDIRECT("'Yr2'!"&amp;ADDRESS(ROW(AB27),COLUMN(AB27))),INDIRECT("'Yr3'!"&amp;ADDRESS(ROW(AB27),COLUMN(AB27)))),
IF(AB12=0,0,-PMT(INDEX(Lookups!$E$17:$G$17,MATCH($C$4,Lookups!$E$14:$G$14,0)),AB12,SUMIFS('EE Inputs'!$K$9:$K$32,'EE Inputs'!$C$9:$C$32,$G$6,'EE Inputs'!$D$9:$D$32,$C$4,'EE Inputs'!$E$9:$E$32,$B27),0,1)))</f>
        <v>0</v>
      </c>
      <c r="AC27" s="65">
        <f ca="1">IF($C$4=Lookups!$D$40,SUM(INDIRECT("'Yr1'!"&amp;ADDRESS(ROW(AC27),COLUMN(AC27))),INDIRECT("'Yr2'!"&amp;ADDRESS(ROW(AC27),COLUMN(AC27))),INDIRECT("'Yr3'!"&amp;ADDRESS(ROW(AC27),COLUMN(AC27)))),
IF(AC12=0,0,-PMT(INDEX(Lookups!$E$17:$G$17,MATCH($C$4,Lookups!$E$14:$G$14,0)),AC12,SUMIFS('EE Inputs'!$K$9:$K$32,'EE Inputs'!$C$9:$C$32,$G$6,'EE Inputs'!$D$9:$D$32,$C$4,'EE Inputs'!$E$9:$E$32,$B27),0,1)))</f>
        <v>0</v>
      </c>
      <c r="AD27" s="65">
        <f ca="1">IF($C$4=Lookups!$D$40,SUM(INDIRECT("'Yr1'!"&amp;ADDRESS(ROW(AD27),COLUMN(AD27))),INDIRECT("'Yr2'!"&amp;ADDRESS(ROW(AD27),COLUMN(AD27))),INDIRECT("'Yr3'!"&amp;ADDRESS(ROW(AD27),COLUMN(AD27)))),
IF(AD12=0,0,-PMT(INDEX(Lookups!$E$17:$G$17,MATCH($C$4,Lookups!$E$14:$G$14,0)),AD12,SUMIFS('EE Inputs'!$K$9:$K$32,'EE Inputs'!$C$9:$C$32,$G$6,'EE Inputs'!$D$9:$D$32,$C$4,'EE Inputs'!$E$9:$E$32,$B27),0,1)))</f>
        <v>0</v>
      </c>
      <c r="AE27" s="65">
        <f ca="1">IF($C$4=Lookups!$D$40,SUM(INDIRECT("'Yr1'!"&amp;ADDRESS(ROW(AE27),COLUMN(AE27))),INDIRECT("'Yr2'!"&amp;ADDRESS(ROW(AE27),COLUMN(AE27))),INDIRECT("'Yr3'!"&amp;ADDRESS(ROW(AE27),COLUMN(AE27)))),
IF(AE12=0,0,-PMT(INDEX(Lookups!$E$17:$G$17,MATCH($C$4,Lookups!$E$14:$G$14,0)),AE12,SUMIFS('EE Inputs'!$K$9:$K$32,'EE Inputs'!$C$9:$C$32,$G$6,'EE Inputs'!$D$9:$D$32,$C$4,'EE Inputs'!$E$9:$E$32,$B27),0,1)))</f>
        <v>0</v>
      </c>
      <c r="AF27" s="65">
        <f ca="1">IF($C$4=Lookups!$D$40,SUM(INDIRECT("'Yr1'!"&amp;ADDRESS(ROW(AF27),COLUMN(AF27))),INDIRECT("'Yr2'!"&amp;ADDRESS(ROW(AF27),COLUMN(AF27))),INDIRECT("'Yr3'!"&amp;ADDRESS(ROW(AF27),COLUMN(AF27)))),
IF(AF12=0,0,-PMT(INDEX(Lookups!$E$17:$G$17,MATCH($C$4,Lookups!$E$14:$G$14,0)),AF12,SUMIFS('EE Inputs'!$K$9:$K$32,'EE Inputs'!$C$9:$C$32,$G$6,'EE Inputs'!$D$9:$D$32,$C$4,'EE Inputs'!$E$9:$E$32,$B27),0,1)))</f>
        <v>0</v>
      </c>
      <c r="AG27" s="65">
        <f ca="1">IF($C$4=Lookups!$D$40,SUM(INDIRECT("'Yr1'!"&amp;ADDRESS(ROW(AG27),COLUMN(AG27))),INDIRECT("'Yr2'!"&amp;ADDRESS(ROW(AG27),COLUMN(AG27))),INDIRECT("'Yr3'!"&amp;ADDRESS(ROW(AG27),COLUMN(AG27)))),
IF(AG12=0,0,-PMT(INDEX(Lookups!$E$17:$G$17,MATCH($C$4,Lookups!$E$14:$G$14,0)),AG12,SUMIFS('EE Inputs'!$K$9:$K$32,'EE Inputs'!$C$9:$C$32,$G$6,'EE Inputs'!$D$9:$D$32,$C$4,'EE Inputs'!$E$9:$E$32,$B27),0,1)))</f>
        <v>0</v>
      </c>
      <c r="AH27" s="65"/>
      <c r="AI27" s="65">
        <f ca="1">NPV(Lookups!$E$17,G27:AG27)</f>
        <v>148169.58328903175</v>
      </c>
      <c r="AJ27" s="65"/>
      <c r="AM27" s="72">
        <f ca="1">IF($C$4=Lookups!$D$40,SUM(INDIRECT("'Yr1'!"&amp;ADDRESS(ROW(AM27),COLUMN(AM27))),INDIRECT("'Yr2'!"&amp;ADDRESS(ROW(AM27),COLUMN(AM27))),INDIRECT("'Yr3'!"&amp;ADDRESS(ROW(AM27),COLUMN(AM27)))),
IF(AM12=0,0,-PMT(INDEX(Lookups!$E$17:$G$17,MATCH($C$4,Lookups!$E$14:$G$14,0)),AM12,SUMIFS('EE Inputs'!$K$9:$K$32,'EE Inputs'!$C$9:$C$32,$AM$6,'EE Inputs'!$D$9:$D$32,$C$4,'EE Inputs'!$E$9:$E$32,$B27),0,1)))</f>
        <v>12608.326706527025</v>
      </c>
      <c r="AN27" s="72">
        <f ca="1">IF($C$4=Lookups!$D$40,SUM(INDIRECT("'Yr1'!"&amp;ADDRESS(ROW(AN27),COLUMN(AN27))),INDIRECT("'Yr2'!"&amp;ADDRESS(ROW(AN27),COLUMN(AN27))),INDIRECT("'Yr3'!"&amp;ADDRESS(ROW(AN27),COLUMN(AN27)))),
IF(AN12=0,0,-PMT(INDEX(Lookups!$E$17:$G$17,MATCH($C$4,Lookups!$E$14:$G$14,0)),AN12,SUMIFS('EE Inputs'!$K$9:$K$32,'EE Inputs'!$C$9:$C$32,$AM$6,'EE Inputs'!$D$9:$D$32,$C$4,'EE Inputs'!$E$9:$E$32,$B27),0,1)))</f>
        <v>12608.326706527025</v>
      </c>
      <c r="AO27" s="72">
        <f ca="1">IF($C$4=Lookups!$D$40,SUM(INDIRECT("'Yr1'!"&amp;ADDRESS(ROW(AO27),COLUMN(AO27))),INDIRECT("'Yr2'!"&amp;ADDRESS(ROW(AO27),COLUMN(AO27))),INDIRECT("'Yr3'!"&amp;ADDRESS(ROW(AO27),COLUMN(AO27)))),
IF(AO12=0,0,-PMT(INDEX(Lookups!$E$17:$G$17,MATCH($C$4,Lookups!$E$14:$G$14,0)),AO12,SUMIFS('EE Inputs'!$K$9:$K$32,'EE Inputs'!$C$9:$C$32,$AM$6,'EE Inputs'!$D$9:$D$32,$C$4,'EE Inputs'!$E$9:$E$32,$B27),0,1)))</f>
        <v>12608.326706527025</v>
      </c>
      <c r="AP27" s="72">
        <f ca="1">IF($C$4=Lookups!$D$40,SUM(INDIRECT("'Yr1'!"&amp;ADDRESS(ROW(AP27),COLUMN(AP27))),INDIRECT("'Yr2'!"&amp;ADDRESS(ROW(AP27),COLUMN(AP27))),INDIRECT("'Yr3'!"&amp;ADDRESS(ROW(AP27),COLUMN(AP27)))),
IF(AP12=0,0,-PMT(INDEX(Lookups!$E$17:$G$17,MATCH($C$4,Lookups!$E$14:$G$14,0)),AP12,SUMIFS('EE Inputs'!$K$9:$K$32,'EE Inputs'!$C$9:$C$32,$AM$6,'EE Inputs'!$D$9:$D$32,$C$4,'EE Inputs'!$E$9:$E$32,$B27),0,1)))</f>
        <v>12608.326706527025</v>
      </c>
      <c r="AQ27" s="72">
        <f ca="1">IF($C$4=Lookups!$D$40,SUM(INDIRECT("'Yr1'!"&amp;ADDRESS(ROW(AQ27),COLUMN(AQ27))),INDIRECT("'Yr2'!"&amp;ADDRESS(ROW(AQ27),COLUMN(AQ27))),INDIRECT("'Yr3'!"&amp;ADDRESS(ROW(AQ27),COLUMN(AQ27)))),
IF(AQ12=0,0,-PMT(INDEX(Lookups!$E$17:$G$17,MATCH($C$4,Lookups!$E$14:$G$14,0)),AQ12,SUMIFS('EE Inputs'!$K$9:$K$32,'EE Inputs'!$C$9:$C$32,$AM$6,'EE Inputs'!$D$9:$D$32,$C$4,'EE Inputs'!$E$9:$E$32,$B27),0,1)))</f>
        <v>12608.326706527025</v>
      </c>
      <c r="AR27" s="72">
        <f ca="1">IF($C$4=Lookups!$D$40,SUM(INDIRECT("'Yr1'!"&amp;ADDRESS(ROW(AR27),COLUMN(AR27))),INDIRECT("'Yr2'!"&amp;ADDRESS(ROW(AR27),COLUMN(AR27))),INDIRECT("'Yr3'!"&amp;ADDRESS(ROW(AR27),COLUMN(AR27)))),
IF(AR12=0,0,-PMT(INDEX(Lookups!$E$17:$G$17,MATCH($C$4,Lookups!$E$14:$G$14,0)),AR12,SUMIFS('EE Inputs'!$K$9:$K$32,'EE Inputs'!$C$9:$C$32,$AM$6,'EE Inputs'!$D$9:$D$32,$C$4,'EE Inputs'!$E$9:$E$32,$B27),0,1)))</f>
        <v>12608.326706527025</v>
      </c>
      <c r="AS27" s="72">
        <f ca="1">IF($C$4=Lookups!$D$40,SUM(INDIRECT("'Yr1'!"&amp;ADDRESS(ROW(AS27),COLUMN(AS27))),INDIRECT("'Yr2'!"&amp;ADDRESS(ROW(AS27),COLUMN(AS27))),INDIRECT("'Yr3'!"&amp;ADDRESS(ROW(AS27),COLUMN(AS27)))),
IF(AS12=0,0,-PMT(INDEX(Lookups!$E$17:$G$17,MATCH($C$4,Lookups!$E$14:$G$14,0)),AS12,SUMIFS('EE Inputs'!$K$9:$K$32,'EE Inputs'!$C$9:$C$32,$AM$6,'EE Inputs'!$D$9:$D$32,$C$4,'EE Inputs'!$E$9:$E$32,$B27),0,1)))</f>
        <v>12608.326706527025</v>
      </c>
      <c r="AT27" s="72">
        <f ca="1">IF($C$4=Lookups!$D$40,SUM(INDIRECT("'Yr1'!"&amp;ADDRESS(ROW(AT27),COLUMN(AT27))),INDIRECT("'Yr2'!"&amp;ADDRESS(ROW(AT27),COLUMN(AT27))),INDIRECT("'Yr3'!"&amp;ADDRESS(ROW(AT27),COLUMN(AT27)))),
IF(AT12=0,0,-PMT(INDEX(Lookups!$E$17:$G$17,MATCH($C$4,Lookups!$E$14:$G$14,0)),AT12,SUMIFS('EE Inputs'!$K$9:$K$32,'EE Inputs'!$C$9:$C$32,$AM$6,'EE Inputs'!$D$9:$D$32,$C$4,'EE Inputs'!$E$9:$E$32,$B27),0,1)))</f>
        <v>12608.326706527025</v>
      </c>
      <c r="AU27" s="72">
        <f ca="1">IF($C$4=Lookups!$D$40,SUM(INDIRECT("'Yr1'!"&amp;ADDRESS(ROW(AU27),COLUMN(AU27))),INDIRECT("'Yr2'!"&amp;ADDRESS(ROW(AU27),COLUMN(AU27))),INDIRECT("'Yr3'!"&amp;ADDRESS(ROW(AU27),COLUMN(AU27)))),
IF(AU12=0,0,-PMT(INDEX(Lookups!$E$17:$G$17,MATCH($C$4,Lookups!$E$14:$G$14,0)),AU12,SUMIFS('EE Inputs'!$K$9:$K$32,'EE Inputs'!$C$9:$C$32,$AM$6,'EE Inputs'!$D$9:$D$32,$C$4,'EE Inputs'!$E$9:$E$32,$B27),0,1)))</f>
        <v>12608.326706527025</v>
      </c>
      <c r="AV27" s="72">
        <f ca="1">IF($C$4=Lookups!$D$40,SUM(INDIRECT("'Yr1'!"&amp;ADDRESS(ROW(AV27),COLUMN(AV27))),INDIRECT("'Yr2'!"&amp;ADDRESS(ROW(AV27),COLUMN(AV27))),INDIRECT("'Yr3'!"&amp;ADDRESS(ROW(AV27),COLUMN(AV27)))),
IF(AV12=0,0,-PMT(INDEX(Lookups!$E$17:$G$17,MATCH($C$4,Lookups!$E$14:$G$14,0)),AV12,SUMIFS('EE Inputs'!$K$9:$K$32,'EE Inputs'!$C$9:$C$32,$AM$6,'EE Inputs'!$D$9:$D$32,$C$4,'EE Inputs'!$E$9:$E$32,$B27),0,1)))</f>
        <v>12608.326706527025</v>
      </c>
      <c r="AW27" s="72">
        <f ca="1">IF($C$4=Lookups!$D$40,SUM(INDIRECT("'Yr1'!"&amp;ADDRESS(ROW(AW27),COLUMN(AW27))),INDIRECT("'Yr2'!"&amp;ADDRESS(ROW(AW27),COLUMN(AW27))),INDIRECT("'Yr3'!"&amp;ADDRESS(ROW(AW27),COLUMN(AW27)))),
IF(AW12=0,0,-PMT(INDEX(Lookups!$E$17:$G$17,MATCH($C$4,Lookups!$E$14:$G$14,0)),AW12,SUMIFS('EE Inputs'!$K$9:$K$32,'EE Inputs'!$C$9:$C$32,$AM$6,'EE Inputs'!$D$9:$D$32,$C$4,'EE Inputs'!$E$9:$E$32,$B27),0,1)))</f>
        <v>12608.326706527025</v>
      </c>
      <c r="AX27" s="72">
        <f ca="1">IF($C$4=Lookups!$D$40,SUM(INDIRECT("'Yr1'!"&amp;ADDRESS(ROW(AX27),COLUMN(AX27))),INDIRECT("'Yr2'!"&amp;ADDRESS(ROW(AX27),COLUMN(AX27))),INDIRECT("'Yr3'!"&amp;ADDRESS(ROW(AX27),COLUMN(AX27)))),
IF(AX12=0,0,-PMT(INDEX(Lookups!$E$17:$G$17,MATCH($C$4,Lookups!$E$14:$G$14,0)),AX12,SUMIFS('EE Inputs'!$K$9:$K$32,'EE Inputs'!$C$9:$C$32,$AM$6,'EE Inputs'!$D$9:$D$32,$C$4,'EE Inputs'!$E$9:$E$32,$B27),0,1)))</f>
        <v>12608.326706527025</v>
      </c>
      <c r="AY27" s="72">
        <f ca="1">IF($C$4=Lookups!$D$40,SUM(INDIRECT("'Yr1'!"&amp;ADDRESS(ROW(AY27),COLUMN(AY27))),INDIRECT("'Yr2'!"&amp;ADDRESS(ROW(AY27),COLUMN(AY27))),INDIRECT("'Yr3'!"&amp;ADDRESS(ROW(AY27),COLUMN(AY27)))),
IF(AY12=0,0,-PMT(INDEX(Lookups!$E$17:$G$17,MATCH($C$4,Lookups!$E$14:$G$14,0)),AY12,SUMIFS('EE Inputs'!$K$9:$K$32,'EE Inputs'!$C$9:$C$32,$AM$6,'EE Inputs'!$D$9:$D$32,$C$4,'EE Inputs'!$E$9:$E$32,$B27),0,1)))</f>
        <v>12608.326706527025</v>
      </c>
      <c r="AZ27" s="72">
        <f ca="1">IF($C$4=Lookups!$D$40,SUM(INDIRECT("'Yr1'!"&amp;ADDRESS(ROW(AZ27),COLUMN(AZ27))),INDIRECT("'Yr2'!"&amp;ADDRESS(ROW(AZ27),COLUMN(AZ27))),INDIRECT("'Yr3'!"&amp;ADDRESS(ROW(AZ27),COLUMN(AZ27)))),
IF(AZ12=0,0,-PMT(INDEX(Lookups!$E$17:$G$17,MATCH($C$4,Lookups!$E$14:$G$14,0)),AZ12,SUMIFS('EE Inputs'!$K$9:$K$32,'EE Inputs'!$C$9:$C$32,$AM$6,'EE Inputs'!$D$9:$D$32,$C$4,'EE Inputs'!$E$9:$E$32,$B27),0,1)))</f>
        <v>12608.326706527025</v>
      </c>
      <c r="BA27" s="72">
        <f ca="1">IF($C$4=Lookups!$D$40,SUM(INDIRECT("'Yr1'!"&amp;ADDRESS(ROW(BA27),COLUMN(BA27))),INDIRECT("'Yr2'!"&amp;ADDRESS(ROW(BA27),COLUMN(BA27))),INDIRECT("'Yr3'!"&amp;ADDRESS(ROW(BA27),COLUMN(BA27)))),
IF(BA12=0,0,-PMT(INDEX(Lookups!$E$17:$G$17,MATCH($C$4,Lookups!$E$14:$G$14,0)),BA12,SUMIFS('EE Inputs'!$K$9:$K$32,'EE Inputs'!$C$9:$C$32,$AM$6,'EE Inputs'!$D$9:$D$32,$C$4,'EE Inputs'!$E$9:$E$32,$B27),0,1)))</f>
        <v>12608.326706527025</v>
      </c>
      <c r="BB27" s="72">
        <f ca="1">IF($C$4=Lookups!$D$40,SUM(INDIRECT("'Yr1'!"&amp;ADDRESS(ROW(BB27),COLUMN(BB27))),INDIRECT("'Yr2'!"&amp;ADDRESS(ROW(BB27),COLUMN(BB27))),INDIRECT("'Yr3'!"&amp;ADDRESS(ROW(BB27),COLUMN(BB27)))),
IF(BB12=0,0,-PMT(INDEX(Lookups!$E$17:$G$17,MATCH($C$4,Lookups!$E$14:$G$14,0)),BB12,SUMIFS('EE Inputs'!$K$9:$K$32,'EE Inputs'!$C$9:$C$32,$AM$6,'EE Inputs'!$D$9:$D$32,$C$4,'EE Inputs'!$E$9:$E$32,$B27),0,1)))</f>
        <v>0</v>
      </c>
      <c r="BC27" s="72">
        <f ca="1">IF($C$4=Lookups!$D$40,SUM(INDIRECT("'Yr1'!"&amp;ADDRESS(ROW(BC27),COLUMN(BC27))),INDIRECT("'Yr2'!"&amp;ADDRESS(ROW(BC27),COLUMN(BC27))),INDIRECT("'Yr3'!"&amp;ADDRESS(ROW(BC27),COLUMN(BC27)))),
IF(BC12=0,0,-PMT(INDEX(Lookups!$E$17:$G$17,MATCH($C$4,Lookups!$E$14:$G$14,0)),BC12,SUMIFS('EE Inputs'!$K$9:$K$32,'EE Inputs'!$C$9:$C$32,$AM$6,'EE Inputs'!$D$9:$D$32,$C$4,'EE Inputs'!$E$9:$E$32,$B27),0,1)))</f>
        <v>0</v>
      </c>
      <c r="BD27" s="72">
        <f ca="1">IF($C$4=Lookups!$D$40,SUM(INDIRECT("'Yr1'!"&amp;ADDRESS(ROW(BD27),COLUMN(BD27))),INDIRECT("'Yr2'!"&amp;ADDRESS(ROW(BD27),COLUMN(BD27))),INDIRECT("'Yr3'!"&amp;ADDRESS(ROW(BD27),COLUMN(BD27)))),
IF(BD12=0,0,-PMT(INDEX(Lookups!$E$17:$G$17,MATCH($C$4,Lookups!$E$14:$G$14,0)),BD12,SUMIFS('EE Inputs'!$K$9:$K$32,'EE Inputs'!$C$9:$C$32,$AM$6,'EE Inputs'!$D$9:$D$32,$C$4,'EE Inputs'!$E$9:$E$32,$B27),0,1)))</f>
        <v>0</v>
      </c>
      <c r="BE27" s="72">
        <f ca="1">IF($C$4=Lookups!$D$40,SUM(INDIRECT("'Yr1'!"&amp;ADDRESS(ROW(BE27),COLUMN(BE27))),INDIRECT("'Yr2'!"&amp;ADDRESS(ROW(BE27),COLUMN(BE27))),INDIRECT("'Yr3'!"&amp;ADDRESS(ROW(BE27),COLUMN(BE27)))),
IF(BE12=0,0,-PMT(INDEX(Lookups!$E$17:$G$17,MATCH($C$4,Lookups!$E$14:$G$14,0)),BE12,SUMIFS('EE Inputs'!$K$9:$K$32,'EE Inputs'!$C$9:$C$32,$AM$6,'EE Inputs'!$D$9:$D$32,$C$4,'EE Inputs'!$E$9:$E$32,$B27),0,1)))</f>
        <v>0</v>
      </c>
      <c r="BF27" s="72">
        <f ca="1">IF($C$4=Lookups!$D$40,SUM(INDIRECT("'Yr1'!"&amp;ADDRESS(ROW(BF27),COLUMN(BF27))),INDIRECT("'Yr2'!"&amp;ADDRESS(ROW(BF27),COLUMN(BF27))),INDIRECT("'Yr3'!"&amp;ADDRESS(ROW(BF27),COLUMN(BF27)))),
IF(BF12=0,0,-PMT(INDEX(Lookups!$E$17:$G$17,MATCH($C$4,Lookups!$E$14:$G$14,0)),BF12,SUMIFS('EE Inputs'!$K$9:$K$32,'EE Inputs'!$C$9:$C$32,$AM$6,'EE Inputs'!$D$9:$D$32,$C$4,'EE Inputs'!$E$9:$E$32,$B27),0,1)))</f>
        <v>0</v>
      </c>
      <c r="BG27" s="72">
        <f ca="1">IF($C$4=Lookups!$D$40,SUM(INDIRECT("'Yr1'!"&amp;ADDRESS(ROW(BG27),COLUMN(BG27))),INDIRECT("'Yr2'!"&amp;ADDRESS(ROW(BG27),COLUMN(BG27))),INDIRECT("'Yr3'!"&amp;ADDRESS(ROW(BG27),COLUMN(BG27)))),
IF(BG12=0,0,-PMT(INDEX(Lookups!$E$17:$G$17,MATCH($C$4,Lookups!$E$14:$G$14,0)),BG12,SUMIFS('EE Inputs'!$K$9:$K$32,'EE Inputs'!$C$9:$C$32,$AM$6,'EE Inputs'!$D$9:$D$32,$C$4,'EE Inputs'!$E$9:$E$32,$B27),0,1)))</f>
        <v>0</v>
      </c>
      <c r="BH27" s="72">
        <f ca="1">IF($C$4=Lookups!$D$40,SUM(INDIRECT("'Yr1'!"&amp;ADDRESS(ROW(BH27),COLUMN(BH27))),INDIRECT("'Yr2'!"&amp;ADDRESS(ROW(BH27),COLUMN(BH27))),INDIRECT("'Yr3'!"&amp;ADDRESS(ROW(BH27),COLUMN(BH27)))),
IF(BH12=0,0,-PMT(INDEX(Lookups!$E$17:$G$17,MATCH($C$4,Lookups!$E$14:$G$14,0)),BH12,SUMIFS('EE Inputs'!$K$9:$K$32,'EE Inputs'!$C$9:$C$32,$AM$6,'EE Inputs'!$D$9:$D$32,$C$4,'EE Inputs'!$E$9:$E$32,$B27),0,1)))</f>
        <v>0</v>
      </c>
      <c r="BI27" s="72">
        <f ca="1">IF($C$4=Lookups!$D$40,SUM(INDIRECT("'Yr1'!"&amp;ADDRESS(ROW(BI27),COLUMN(BI27))),INDIRECT("'Yr2'!"&amp;ADDRESS(ROW(BI27),COLUMN(BI27))),INDIRECT("'Yr3'!"&amp;ADDRESS(ROW(BI27),COLUMN(BI27)))),
IF(BI12=0,0,-PMT(INDEX(Lookups!$E$17:$G$17,MATCH($C$4,Lookups!$E$14:$G$14,0)),BI12,SUMIFS('EE Inputs'!$K$9:$K$32,'EE Inputs'!$C$9:$C$32,$AM$6,'EE Inputs'!$D$9:$D$32,$C$4,'EE Inputs'!$E$9:$E$32,$B27),0,1)))</f>
        <v>0</v>
      </c>
      <c r="BJ27" s="72">
        <f ca="1">IF($C$4=Lookups!$D$40,SUM(INDIRECT("'Yr1'!"&amp;ADDRESS(ROW(BJ27),COLUMN(BJ27))),INDIRECT("'Yr2'!"&amp;ADDRESS(ROW(BJ27),COLUMN(BJ27))),INDIRECT("'Yr3'!"&amp;ADDRESS(ROW(BJ27),COLUMN(BJ27)))),
IF(BJ12=0,0,-PMT(INDEX(Lookups!$E$17:$G$17,MATCH($C$4,Lookups!$E$14:$G$14,0)),BJ12,SUMIFS('EE Inputs'!$K$9:$K$32,'EE Inputs'!$C$9:$C$32,$AM$6,'EE Inputs'!$D$9:$D$32,$C$4,'EE Inputs'!$E$9:$E$32,$B27),0,1)))</f>
        <v>0</v>
      </c>
      <c r="BK27" s="72">
        <f ca="1">IF($C$4=Lookups!$D$40,SUM(INDIRECT("'Yr1'!"&amp;ADDRESS(ROW(BK27),COLUMN(BK27))),INDIRECT("'Yr2'!"&amp;ADDRESS(ROW(BK27),COLUMN(BK27))),INDIRECT("'Yr3'!"&amp;ADDRESS(ROW(BK27),COLUMN(BK27)))),
IF(BK12=0,0,-PMT(INDEX(Lookups!$E$17:$G$17,MATCH($C$4,Lookups!$E$14:$G$14,0)),BK12,SUMIFS('EE Inputs'!$K$9:$K$32,'EE Inputs'!$C$9:$C$32,$AM$6,'EE Inputs'!$D$9:$D$32,$C$4,'EE Inputs'!$E$9:$E$32,$B27),0,1)))</f>
        <v>0</v>
      </c>
      <c r="BL27" s="72">
        <f ca="1">IF($C$4=Lookups!$D$40,SUM(INDIRECT("'Yr1'!"&amp;ADDRESS(ROW(BL27),COLUMN(BL27))),INDIRECT("'Yr2'!"&amp;ADDRESS(ROW(BL27),COLUMN(BL27))),INDIRECT("'Yr3'!"&amp;ADDRESS(ROW(BL27),COLUMN(BL27)))),
IF(BL12=0,0,-PMT(INDEX(Lookups!$E$17:$G$17,MATCH($C$4,Lookups!$E$14:$G$14,0)),BL12,SUMIFS('EE Inputs'!$K$9:$K$32,'EE Inputs'!$C$9:$C$32,$AM$6,'EE Inputs'!$D$9:$D$32,$C$4,'EE Inputs'!$E$9:$E$32,$B27),0,1)))</f>
        <v>0</v>
      </c>
      <c r="BM27" s="72">
        <f ca="1">IF($C$4=Lookups!$D$40,SUM(INDIRECT("'Yr1'!"&amp;ADDRESS(ROW(BM27),COLUMN(BM27))),INDIRECT("'Yr2'!"&amp;ADDRESS(ROW(BM27),COLUMN(BM27))),INDIRECT("'Yr3'!"&amp;ADDRESS(ROW(BM27),COLUMN(BM27)))),
IF(BM12=0,0,-PMT(INDEX(Lookups!$E$17:$G$17,MATCH($C$4,Lookups!$E$14:$G$14,0)),BM12,SUMIFS('EE Inputs'!$K$9:$K$32,'EE Inputs'!$C$9:$C$32,$AM$6,'EE Inputs'!$D$9:$D$32,$C$4,'EE Inputs'!$E$9:$E$32,$B27),0,1)))</f>
        <v>0</v>
      </c>
      <c r="BN27" s="72"/>
      <c r="BO27" s="72">
        <f ca="1">NPV(Lookups!$E$17,AM27:BM27)</f>
        <v>169336.66661603629</v>
      </c>
      <c r="BP27" s="72"/>
      <c r="BS27" s="84" t="str">
        <f>"Avoided "&amp;E27&amp;" costs."</f>
        <v>Avoided Gas DRIPE costs.</v>
      </c>
      <c r="BT27" s="51" t="s">
        <v>17</v>
      </c>
    </row>
    <row r="28" spans="1:72" x14ac:dyDescent="0.25">
      <c r="B28" s="243" t="str">
        <f t="shared" ref="B28:C39" si="13">B27</f>
        <v>Residential</v>
      </c>
      <c r="C28" s="243" t="str">
        <f t="shared" si="13"/>
        <v>Revenue Requirements</v>
      </c>
      <c r="D28" s="114" t="s">
        <v>165</v>
      </c>
      <c r="E28" s="84"/>
      <c r="F28" s="84"/>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65"/>
      <c r="AJ28" s="65"/>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S28" s="84"/>
      <c r="BT28" s="51" t="s">
        <v>17</v>
      </c>
    </row>
    <row r="29" spans="1:72" x14ac:dyDescent="0.25">
      <c r="A29" s="476"/>
      <c r="B29" s="243" t="str">
        <f t="shared" si="13"/>
        <v>Residential</v>
      </c>
      <c r="C29" s="243" t="str">
        <f t="shared" si="13"/>
        <v>Revenue Requirements</v>
      </c>
      <c r="D29" s="244" t="str">
        <f>D28</f>
        <v>Increased Costs and Cost Shifting</v>
      </c>
      <c r="E29" s="84" t="s">
        <v>406</v>
      </c>
      <c r="F29" s="84" t="s">
        <v>32</v>
      </c>
      <c r="G29" s="64">
        <f ca="1">IF($C$4=Lookups!$D$40,SUM(INDIRECT("'Yr1'!"&amp;ADDRESS(ROW(G29),COLUMN(G29))),INDIRECT("'Yr2'!"&amp;ADDRESS(ROW(G29),COLUMN(G29))),INDIRECT("'Yr3'!"&amp;ADDRESS(ROW(G29),COLUMN(G29)))),
IF($C$4=G$7,G49*G17,0))</f>
        <v>3761523.4813367617</v>
      </c>
      <c r="H29" s="64">
        <f ca="1">IF($C$4=Lookups!$D$40,SUM(INDIRECT("'Yr1'!"&amp;ADDRESS(ROW(H29),COLUMN(H29))),INDIRECT("'Yr2'!"&amp;ADDRESS(ROW(H29),COLUMN(H29))),INDIRECT("'Yr3'!"&amp;ADDRESS(ROW(H29),COLUMN(H29)))),
IF($C$4=H$7,H49*H17,0))</f>
        <v>0</v>
      </c>
      <c r="I29" s="64">
        <f ca="1">IF($C$4=Lookups!$D$40,SUM(INDIRECT("'Yr1'!"&amp;ADDRESS(ROW(I29),COLUMN(I29))),INDIRECT("'Yr2'!"&amp;ADDRESS(ROW(I29),COLUMN(I29))),INDIRECT("'Yr3'!"&amp;ADDRESS(ROW(I29),COLUMN(I29)))),
IF($C$4=I$7,I49*I17,0))</f>
        <v>0</v>
      </c>
      <c r="J29" s="64">
        <f ca="1">IF($C$4=Lookups!$D$40,SUM(INDIRECT("'Yr1'!"&amp;ADDRESS(ROW(J29),COLUMN(J29))),INDIRECT("'Yr2'!"&amp;ADDRESS(ROW(J29),COLUMN(J29))),INDIRECT("'Yr3'!"&amp;ADDRESS(ROW(J29),COLUMN(J29)))),
IF($C$4=J$7,J49*J17,0))</f>
        <v>0</v>
      </c>
      <c r="K29" s="64">
        <f ca="1">IF($C$4=Lookups!$D$40,SUM(INDIRECT("'Yr1'!"&amp;ADDRESS(ROW(K29),COLUMN(K29))),INDIRECT("'Yr2'!"&amp;ADDRESS(ROW(K29),COLUMN(K29))),INDIRECT("'Yr3'!"&amp;ADDRESS(ROW(K29),COLUMN(K29)))),
IF($C$4=K$7,K49*K17,0))</f>
        <v>0</v>
      </c>
      <c r="L29" s="64">
        <f ca="1">IF($C$4=Lookups!$D$40,SUM(INDIRECT("'Yr1'!"&amp;ADDRESS(ROW(L29),COLUMN(L29))),INDIRECT("'Yr2'!"&amp;ADDRESS(ROW(L29),COLUMN(L29))),INDIRECT("'Yr3'!"&amp;ADDRESS(ROW(L29),COLUMN(L29)))),
IF($C$4=L$7,L49*L17,0))</f>
        <v>0</v>
      </c>
      <c r="M29" s="64">
        <f ca="1">IF($C$4=Lookups!$D$40,SUM(INDIRECT("'Yr1'!"&amp;ADDRESS(ROW(M29),COLUMN(M29))),INDIRECT("'Yr2'!"&amp;ADDRESS(ROW(M29),COLUMN(M29))),INDIRECT("'Yr3'!"&amp;ADDRESS(ROW(M29),COLUMN(M29)))),
IF($C$4=M$7,M49*M17,0))</f>
        <v>0</v>
      </c>
      <c r="N29" s="64">
        <f ca="1">IF($C$4=Lookups!$D$40,SUM(INDIRECT("'Yr1'!"&amp;ADDRESS(ROW(N29),COLUMN(N29))),INDIRECT("'Yr2'!"&amp;ADDRESS(ROW(N29),COLUMN(N29))),INDIRECT("'Yr3'!"&amp;ADDRESS(ROW(N29),COLUMN(N29)))),
IF($C$4=N$7,N49*N17,0))</f>
        <v>0</v>
      </c>
      <c r="O29" s="64">
        <f ca="1">IF($C$4=Lookups!$D$40,SUM(INDIRECT("'Yr1'!"&amp;ADDRESS(ROW(O29),COLUMN(O29))),INDIRECT("'Yr2'!"&amp;ADDRESS(ROW(O29),COLUMN(O29))),INDIRECT("'Yr3'!"&amp;ADDRESS(ROW(O29),COLUMN(O29)))),
IF($C$4=O$7,O49*O17,0))</f>
        <v>0</v>
      </c>
      <c r="P29" s="64">
        <f ca="1">IF($C$4=Lookups!$D$40,SUM(INDIRECT("'Yr1'!"&amp;ADDRESS(ROW(P29),COLUMN(P29))),INDIRECT("'Yr2'!"&amp;ADDRESS(ROW(P29),COLUMN(P29))),INDIRECT("'Yr3'!"&amp;ADDRESS(ROW(P29),COLUMN(P29)))),
IF($C$4=P$7,P49*P17,0))</f>
        <v>0</v>
      </c>
      <c r="Q29" s="64">
        <f ca="1">IF($C$4=Lookups!$D$40,SUM(INDIRECT("'Yr1'!"&amp;ADDRESS(ROW(Q29),COLUMN(Q29))),INDIRECT("'Yr2'!"&amp;ADDRESS(ROW(Q29),COLUMN(Q29))),INDIRECT("'Yr3'!"&amp;ADDRESS(ROW(Q29),COLUMN(Q29)))),
IF($C$4=Q$7,Q49*Q17,0))</f>
        <v>0</v>
      </c>
      <c r="R29" s="64">
        <f ca="1">IF($C$4=Lookups!$D$40,SUM(INDIRECT("'Yr1'!"&amp;ADDRESS(ROW(R29),COLUMN(R29))),INDIRECT("'Yr2'!"&amp;ADDRESS(ROW(R29),COLUMN(R29))),INDIRECT("'Yr3'!"&amp;ADDRESS(ROW(R29),COLUMN(R29)))),
IF($C$4=R$7,R49*R17,0))</f>
        <v>0</v>
      </c>
      <c r="S29" s="64">
        <f ca="1">IF($C$4=Lookups!$D$40,SUM(INDIRECT("'Yr1'!"&amp;ADDRESS(ROW(S29),COLUMN(S29))),INDIRECT("'Yr2'!"&amp;ADDRESS(ROW(S29),COLUMN(S29))),INDIRECT("'Yr3'!"&amp;ADDRESS(ROW(S29),COLUMN(S29)))),
IF($C$4=S$7,S49*S17,0))</f>
        <v>0</v>
      </c>
      <c r="T29" s="64">
        <f ca="1">IF($C$4=Lookups!$D$40,SUM(INDIRECT("'Yr1'!"&amp;ADDRESS(ROW(T29),COLUMN(T29))),INDIRECT("'Yr2'!"&amp;ADDRESS(ROW(T29),COLUMN(T29))),INDIRECT("'Yr3'!"&amp;ADDRESS(ROW(T29),COLUMN(T29)))),
IF($C$4=T$7,T49*T17,0))</f>
        <v>0</v>
      </c>
      <c r="U29" s="64">
        <f ca="1">IF($C$4=Lookups!$D$40,SUM(INDIRECT("'Yr1'!"&amp;ADDRESS(ROW(U29),COLUMN(U29))),INDIRECT("'Yr2'!"&amp;ADDRESS(ROW(U29),COLUMN(U29))),INDIRECT("'Yr3'!"&amp;ADDRESS(ROW(U29),COLUMN(U29)))),
IF($C$4=U$7,U49*U17,0))</f>
        <v>0</v>
      </c>
      <c r="V29" s="64">
        <f ca="1">IF($C$4=Lookups!$D$40,SUM(INDIRECT("'Yr1'!"&amp;ADDRESS(ROW(V29),COLUMN(V29))),INDIRECT("'Yr2'!"&amp;ADDRESS(ROW(V29),COLUMN(V29))),INDIRECT("'Yr3'!"&amp;ADDRESS(ROW(V29),COLUMN(V29)))),
IF($C$4=V$7,V49*V17,0))</f>
        <v>0</v>
      </c>
      <c r="W29" s="64">
        <f ca="1">IF($C$4=Lookups!$D$40,SUM(INDIRECT("'Yr1'!"&amp;ADDRESS(ROW(W29),COLUMN(W29))),INDIRECT("'Yr2'!"&amp;ADDRESS(ROW(W29),COLUMN(W29))),INDIRECT("'Yr3'!"&amp;ADDRESS(ROW(W29),COLUMN(W29)))),
IF($C$4=W$7,W49*W17,0))</f>
        <v>0</v>
      </c>
      <c r="X29" s="64">
        <f ca="1">IF($C$4=Lookups!$D$40,SUM(INDIRECT("'Yr1'!"&amp;ADDRESS(ROW(X29),COLUMN(X29))),INDIRECT("'Yr2'!"&amp;ADDRESS(ROW(X29),COLUMN(X29))),INDIRECT("'Yr3'!"&amp;ADDRESS(ROW(X29),COLUMN(X29)))),
IF($C$4=X$7,X49*X17,0))</f>
        <v>0</v>
      </c>
      <c r="Y29" s="64">
        <f ca="1">IF($C$4=Lookups!$D$40,SUM(INDIRECT("'Yr1'!"&amp;ADDRESS(ROW(Y29),COLUMN(Y29))),INDIRECT("'Yr2'!"&amp;ADDRESS(ROW(Y29),COLUMN(Y29))),INDIRECT("'Yr3'!"&amp;ADDRESS(ROW(Y29),COLUMN(Y29)))),
IF($C$4=Y$7,Y49*Y17,0))</f>
        <v>0</v>
      </c>
      <c r="Z29" s="64">
        <f ca="1">IF($C$4=Lookups!$D$40,SUM(INDIRECT("'Yr1'!"&amp;ADDRESS(ROW(Z29),COLUMN(Z29))),INDIRECT("'Yr2'!"&amp;ADDRESS(ROW(Z29),COLUMN(Z29))),INDIRECT("'Yr3'!"&amp;ADDRESS(ROW(Z29),COLUMN(Z29)))),
IF($C$4=Z$7,Z49*Z17,0))</f>
        <v>0</v>
      </c>
      <c r="AA29" s="64">
        <f ca="1">IF($C$4=Lookups!$D$40,SUM(INDIRECT("'Yr1'!"&amp;ADDRESS(ROW(AA29),COLUMN(AA29))),INDIRECT("'Yr2'!"&amp;ADDRESS(ROW(AA29),COLUMN(AA29))),INDIRECT("'Yr3'!"&amp;ADDRESS(ROW(AA29),COLUMN(AA29)))),
IF($C$4=AA$7,AA49*AA17,0))</f>
        <v>0</v>
      </c>
      <c r="AB29" s="64">
        <f ca="1">IF($C$4=Lookups!$D$40,SUM(INDIRECT("'Yr1'!"&amp;ADDRESS(ROW(AB29),COLUMN(AB29))),INDIRECT("'Yr2'!"&amp;ADDRESS(ROW(AB29),COLUMN(AB29))),INDIRECT("'Yr3'!"&amp;ADDRESS(ROW(AB29),COLUMN(AB29)))),
IF($C$4=AB$7,AB49*AB17,0))</f>
        <v>0</v>
      </c>
      <c r="AC29" s="64">
        <f ca="1">IF($C$4=Lookups!$D$40,SUM(INDIRECT("'Yr1'!"&amp;ADDRESS(ROW(AC29),COLUMN(AC29))),INDIRECT("'Yr2'!"&amp;ADDRESS(ROW(AC29),COLUMN(AC29))),INDIRECT("'Yr3'!"&amp;ADDRESS(ROW(AC29),COLUMN(AC29)))),
IF($C$4=AC$7,AC49*AC17,0))</f>
        <v>0</v>
      </c>
      <c r="AD29" s="64">
        <f ca="1">IF($C$4=Lookups!$D$40,SUM(INDIRECT("'Yr1'!"&amp;ADDRESS(ROW(AD29),COLUMN(AD29))),INDIRECT("'Yr2'!"&amp;ADDRESS(ROW(AD29),COLUMN(AD29))),INDIRECT("'Yr3'!"&amp;ADDRESS(ROW(AD29),COLUMN(AD29)))),
IF($C$4=AD$7,AD49*AD17,0))</f>
        <v>0</v>
      </c>
      <c r="AE29" s="64">
        <f ca="1">IF($C$4=Lookups!$D$40,SUM(INDIRECT("'Yr1'!"&amp;ADDRESS(ROW(AE29),COLUMN(AE29))),INDIRECT("'Yr2'!"&amp;ADDRESS(ROW(AE29),COLUMN(AE29))),INDIRECT("'Yr3'!"&amp;ADDRESS(ROW(AE29),COLUMN(AE29)))),
IF($C$4=AE$7,AE49*AE17,0))</f>
        <v>0</v>
      </c>
      <c r="AF29" s="64">
        <f ca="1">IF($C$4=Lookups!$D$40,SUM(INDIRECT("'Yr1'!"&amp;ADDRESS(ROW(AF29),COLUMN(AF29))),INDIRECT("'Yr2'!"&amp;ADDRESS(ROW(AF29),COLUMN(AF29))),INDIRECT("'Yr3'!"&amp;ADDRESS(ROW(AF29),COLUMN(AF29)))),
IF($C$4=AF$7,AF49*AF17,0))</f>
        <v>0</v>
      </c>
      <c r="AG29" s="64">
        <f ca="1">IF($C$4=Lookups!$D$40,SUM(INDIRECT("'Yr1'!"&amp;ADDRESS(ROW(AG29),COLUMN(AG29))),INDIRECT("'Yr2'!"&amp;ADDRESS(ROW(AG29),COLUMN(AG29))),INDIRECT("'Yr3'!"&amp;ADDRESS(ROW(AG29),COLUMN(AG29)))),
IF($C$4=AG$7,AG49*AG17,0))</f>
        <v>0</v>
      </c>
      <c r="AH29" s="49"/>
      <c r="AI29" s="65">
        <f ca="1">NPV(Lookups!$E$17,G29:AG29)</f>
        <v>3709062.5243089171</v>
      </c>
      <c r="AJ29" s="65"/>
      <c r="AM29" s="71">
        <f ca="1">IF($C$4=Lookups!$D$40,SUM(INDIRECT("'Yr1'!"&amp;ADDRESS(ROW(AM29),COLUMN(AM29))),INDIRECT("'Yr2'!"&amp;ADDRESS(ROW(AM29),COLUMN(AM29))),INDIRECT("'Yr3'!"&amp;ADDRESS(ROW(AM29),COLUMN(AM29)))),
IF($C$4=AM$7,AM49*AM17,0))</f>
        <v>4509664.8616729081</v>
      </c>
      <c r="AN29" s="71">
        <f ca="1">IF($C$4=Lookups!$D$40,SUM(INDIRECT("'Yr1'!"&amp;ADDRESS(ROW(AN29),COLUMN(AN29))),INDIRECT("'Yr2'!"&amp;ADDRESS(ROW(AN29),COLUMN(AN29))),INDIRECT("'Yr3'!"&amp;ADDRESS(ROW(AN29),COLUMN(AN29)))),
IF($C$4=AN$7,AN49*AN17,0))</f>
        <v>0</v>
      </c>
      <c r="AO29" s="71">
        <f ca="1">IF($C$4=Lookups!$D$40,SUM(INDIRECT("'Yr1'!"&amp;ADDRESS(ROW(AO29),COLUMN(AO29))),INDIRECT("'Yr2'!"&amp;ADDRESS(ROW(AO29),COLUMN(AO29))),INDIRECT("'Yr3'!"&amp;ADDRESS(ROW(AO29),COLUMN(AO29)))),
IF($C$4=AO$7,AO49*AO17,0))</f>
        <v>0</v>
      </c>
      <c r="AP29" s="71">
        <f ca="1">IF($C$4=Lookups!$D$40,SUM(INDIRECT("'Yr1'!"&amp;ADDRESS(ROW(AP29),COLUMN(AP29))),INDIRECT("'Yr2'!"&amp;ADDRESS(ROW(AP29),COLUMN(AP29))),INDIRECT("'Yr3'!"&amp;ADDRESS(ROW(AP29),COLUMN(AP29)))),
IF($C$4=AP$7,AP49*AP17,0))</f>
        <v>0</v>
      </c>
      <c r="AQ29" s="71">
        <f ca="1">IF($C$4=Lookups!$D$40,SUM(INDIRECT("'Yr1'!"&amp;ADDRESS(ROW(AQ29),COLUMN(AQ29))),INDIRECT("'Yr2'!"&amp;ADDRESS(ROW(AQ29),COLUMN(AQ29))),INDIRECT("'Yr3'!"&amp;ADDRESS(ROW(AQ29),COLUMN(AQ29)))),
IF($C$4=AQ$7,AQ49*AQ17,0))</f>
        <v>0</v>
      </c>
      <c r="AR29" s="71">
        <f ca="1">IF($C$4=Lookups!$D$40,SUM(INDIRECT("'Yr1'!"&amp;ADDRESS(ROW(AR29),COLUMN(AR29))),INDIRECT("'Yr2'!"&amp;ADDRESS(ROW(AR29),COLUMN(AR29))),INDIRECT("'Yr3'!"&amp;ADDRESS(ROW(AR29),COLUMN(AR29)))),
IF($C$4=AR$7,AR49*AR17,0))</f>
        <v>0</v>
      </c>
      <c r="AS29" s="71">
        <f ca="1">IF($C$4=Lookups!$D$40,SUM(INDIRECT("'Yr1'!"&amp;ADDRESS(ROW(AS29),COLUMN(AS29))),INDIRECT("'Yr2'!"&amp;ADDRESS(ROW(AS29),COLUMN(AS29))),INDIRECT("'Yr3'!"&amp;ADDRESS(ROW(AS29),COLUMN(AS29)))),
IF($C$4=AS$7,AS49*AS17,0))</f>
        <v>0</v>
      </c>
      <c r="AT29" s="71">
        <f ca="1">IF($C$4=Lookups!$D$40,SUM(INDIRECT("'Yr1'!"&amp;ADDRESS(ROW(AT29),COLUMN(AT29))),INDIRECT("'Yr2'!"&amp;ADDRESS(ROW(AT29),COLUMN(AT29))),INDIRECT("'Yr3'!"&amp;ADDRESS(ROW(AT29),COLUMN(AT29)))),
IF($C$4=AT$7,AT49*AT17,0))</f>
        <v>0</v>
      </c>
      <c r="AU29" s="71">
        <f ca="1">IF($C$4=Lookups!$D$40,SUM(INDIRECT("'Yr1'!"&amp;ADDRESS(ROW(AU29),COLUMN(AU29))),INDIRECT("'Yr2'!"&amp;ADDRESS(ROW(AU29),COLUMN(AU29))),INDIRECT("'Yr3'!"&amp;ADDRESS(ROW(AU29),COLUMN(AU29)))),
IF($C$4=AU$7,AU49*AU17,0))</f>
        <v>0</v>
      </c>
      <c r="AV29" s="71">
        <f ca="1">IF($C$4=Lookups!$D$40,SUM(INDIRECT("'Yr1'!"&amp;ADDRESS(ROW(AV29),COLUMN(AV29))),INDIRECT("'Yr2'!"&amp;ADDRESS(ROW(AV29),COLUMN(AV29))),INDIRECT("'Yr3'!"&amp;ADDRESS(ROW(AV29),COLUMN(AV29)))),
IF($C$4=AV$7,AV49*AV17,0))</f>
        <v>0</v>
      </c>
      <c r="AW29" s="71">
        <f ca="1">IF($C$4=Lookups!$D$40,SUM(INDIRECT("'Yr1'!"&amp;ADDRESS(ROW(AW29),COLUMN(AW29))),INDIRECT("'Yr2'!"&amp;ADDRESS(ROW(AW29),COLUMN(AW29))),INDIRECT("'Yr3'!"&amp;ADDRESS(ROW(AW29),COLUMN(AW29)))),
IF($C$4=AW$7,AW49*AW17,0))</f>
        <v>0</v>
      </c>
      <c r="AX29" s="71">
        <f ca="1">IF($C$4=Lookups!$D$40,SUM(INDIRECT("'Yr1'!"&amp;ADDRESS(ROW(AX29),COLUMN(AX29))),INDIRECT("'Yr2'!"&amp;ADDRESS(ROW(AX29),COLUMN(AX29))),INDIRECT("'Yr3'!"&amp;ADDRESS(ROW(AX29),COLUMN(AX29)))),
IF($C$4=AX$7,AX49*AX17,0))</f>
        <v>0</v>
      </c>
      <c r="AY29" s="71">
        <f ca="1">IF($C$4=Lookups!$D$40,SUM(INDIRECT("'Yr1'!"&amp;ADDRESS(ROW(AY29),COLUMN(AY29))),INDIRECT("'Yr2'!"&amp;ADDRESS(ROW(AY29),COLUMN(AY29))),INDIRECT("'Yr3'!"&amp;ADDRESS(ROW(AY29),COLUMN(AY29)))),
IF($C$4=AY$7,AY49*AY17,0))</f>
        <v>0</v>
      </c>
      <c r="AZ29" s="71">
        <f ca="1">IF($C$4=Lookups!$D$40,SUM(INDIRECT("'Yr1'!"&amp;ADDRESS(ROW(AZ29),COLUMN(AZ29))),INDIRECT("'Yr2'!"&amp;ADDRESS(ROW(AZ29),COLUMN(AZ29))),INDIRECT("'Yr3'!"&amp;ADDRESS(ROW(AZ29),COLUMN(AZ29)))),
IF($C$4=AZ$7,AZ49*AZ17,0))</f>
        <v>0</v>
      </c>
      <c r="BA29" s="71">
        <f ca="1">IF($C$4=Lookups!$D$40,SUM(INDIRECT("'Yr1'!"&amp;ADDRESS(ROW(BA29),COLUMN(BA29))),INDIRECT("'Yr2'!"&amp;ADDRESS(ROW(BA29),COLUMN(BA29))),INDIRECT("'Yr3'!"&amp;ADDRESS(ROW(BA29),COLUMN(BA29)))),
IF($C$4=BA$7,BA49*BA17,0))</f>
        <v>0</v>
      </c>
      <c r="BB29" s="71">
        <f ca="1">IF($C$4=Lookups!$D$40,SUM(INDIRECT("'Yr1'!"&amp;ADDRESS(ROW(BB29),COLUMN(BB29))),INDIRECT("'Yr2'!"&amp;ADDRESS(ROW(BB29),COLUMN(BB29))),INDIRECT("'Yr3'!"&amp;ADDRESS(ROW(BB29),COLUMN(BB29)))),
IF($C$4=BB$7,BB49*BB17,0))</f>
        <v>0</v>
      </c>
      <c r="BC29" s="71">
        <f ca="1">IF($C$4=Lookups!$D$40,SUM(INDIRECT("'Yr1'!"&amp;ADDRESS(ROW(BC29),COLUMN(BC29))),INDIRECT("'Yr2'!"&amp;ADDRESS(ROW(BC29),COLUMN(BC29))),INDIRECT("'Yr3'!"&amp;ADDRESS(ROW(BC29),COLUMN(BC29)))),
IF($C$4=BC$7,BC49*BC17,0))</f>
        <v>0</v>
      </c>
      <c r="BD29" s="71">
        <f ca="1">IF($C$4=Lookups!$D$40,SUM(INDIRECT("'Yr1'!"&amp;ADDRESS(ROW(BD29),COLUMN(BD29))),INDIRECT("'Yr2'!"&amp;ADDRESS(ROW(BD29),COLUMN(BD29))),INDIRECT("'Yr3'!"&amp;ADDRESS(ROW(BD29),COLUMN(BD29)))),
IF($C$4=BD$7,BD49*BD17,0))</f>
        <v>0</v>
      </c>
      <c r="BE29" s="71">
        <f ca="1">IF($C$4=Lookups!$D$40,SUM(INDIRECT("'Yr1'!"&amp;ADDRESS(ROW(BE29),COLUMN(BE29))),INDIRECT("'Yr2'!"&amp;ADDRESS(ROW(BE29),COLUMN(BE29))),INDIRECT("'Yr3'!"&amp;ADDRESS(ROW(BE29),COLUMN(BE29)))),
IF($C$4=BE$7,BE49*BE17,0))</f>
        <v>0</v>
      </c>
      <c r="BF29" s="71">
        <f ca="1">IF($C$4=Lookups!$D$40,SUM(INDIRECT("'Yr1'!"&amp;ADDRESS(ROW(BF29),COLUMN(BF29))),INDIRECT("'Yr2'!"&amp;ADDRESS(ROW(BF29),COLUMN(BF29))),INDIRECT("'Yr3'!"&amp;ADDRESS(ROW(BF29),COLUMN(BF29)))),
IF($C$4=BF$7,BF49*BF17,0))</f>
        <v>0</v>
      </c>
      <c r="BG29" s="71">
        <f ca="1">IF($C$4=Lookups!$D$40,SUM(INDIRECT("'Yr1'!"&amp;ADDRESS(ROW(BG29),COLUMN(BG29))),INDIRECT("'Yr2'!"&amp;ADDRESS(ROW(BG29),COLUMN(BG29))),INDIRECT("'Yr3'!"&amp;ADDRESS(ROW(BG29),COLUMN(BG29)))),
IF($C$4=BG$7,BG49*BG17,0))</f>
        <v>0</v>
      </c>
      <c r="BH29" s="71">
        <f ca="1">IF($C$4=Lookups!$D$40,SUM(INDIRECT("'Yr1'!"&amp;ADDRESS(ROW(BH29),COLUMN(BH29))),INDIRECT("'Yr2'!"&amp;ADDRESS(ROW(BH29),COLUMN(BH29))),INDIRECT("'Yr3'!"&amp;ADDRESS(ROW(BH29),COLUMN(BH29)))),
IF($C$4=BH$7,BH49*BH17,0))</f>
        <v>0</v>
      </c>
      <c r="BI29" s="71">
        <f ca="1">IF($C$4=Lookups!$D$40,SUM(INDIRECT("'Yr1'!"&amp;ADDRESS(ROW(BI29),COLUMN(BI29))),INDIRECT("'Yr2'!"&amp;ADDRESS(ROW(BI29),COLUMN(BI29))),INDIRECT("'Yr3'!"&amp;ADDRESS(ROW(BI29),COLUMN(BI29)))),
IF($C$4=BI$7,BI49*BI17,0))</f>
        <v>0</v>
      </c>
      <c r="BJ29" s="71">
        <f ca="1">IF($C$4=Lookups!$D$40,SUM(INDIRECT("'Yr1'!"&amp;ADDRESS(ROW(BJ29),COLUMN(BJ29))),INDIRECT("'Yr2'!"&amp;ADDRESS(ROW(BJ29),COLUMN(BJ29))),INDIRECT("'Yr3'!"&amp;ADDRESS(ROW(BJ29),COLUMN(BJ29)))),
IF($C$4=BJ$7,BJ49*BJ17,0))</f>
        <v>0</v>
      </c>
      <c r="BK29" s="71">
        <f ca="1">IF($C$4=Lookups!$D$40,SUM(INDIRECT("'Yr1'!"&amp;ADDRESS(ROW(BK29),COLUMN(BK29))),INDIRECT("'Yr2'!"&amp;ADDRESS(ROW(BK29),COLUMN(BK29))),INDIRECT("'Yr3'!"&amp;ADDRESS(ROW(BK29),COLUMN(BK29)))),
IF($C$4=BK$7,BK49*BK17,0))</f>
        <v>0</v>
      </c>
      <c r="BL29" s="71">
        <f ca="1">IF($C$4=Lookups!$D$40,SUM(INDIRECT("'Yr1'!"&amp;ADDRESS(ROW(BL29),COLUMN(BL29))),INDIRECT("'Yr2'!"&amp;ADDRESS(ROW(BL29),COLUMN(BL29))),INDIRECT("'Yr3'!"&amp;ADDRESS(ROW(BL29),COLUMN(BL29)))),
IF($C$4=BL$7,BL49*BL17,0))</f>
        <v>0</v>
      </c>
      <c r="BM29" s="71">
        <f ca="1">IF($C$4=Lookups!$D$40,SUM(INDIRECT("'Yr1'!"&amp;ADDRESS(ROW(BM29),COLUMN(BM29))),INDIRECT("'Yr2'!"&amp;ADDRESS(ROW(BM29),COLUMN(BM29))),INDIRECT("'Yr3'!"&amp;ADDRESS(ROW(BM29),COLUMN(BM29)))),
IF($C$4=BM$7,BM49*BM17,0))</f>
        <v>0</v>
      </c>
      <c r="BN29" s="71"/>
      <c r="BO29" s="71">
        <f ca="1">NPV(Lookups!$E$17,AM29:BM29)</f>
        <v>4446769.7778878333</v>
      </c>
      <c r="BP29" s="72"/>
      <c r="BS29" s="84" t="str">
        <f>E29&amp;" rate multiplied by After DSM sales."</f>
        <v>LDAC, EE Only rate multiplied by After DSM sales.</v>
      </c>
      <c r="BT29" s="51" t="s">
        <v>17</v>
      </c>
    </row>
    <row r="30" spans="1:72" x14ac:dyDescent="0.25">
      <c r="A30" s="476"/>
      <c r="B30" s="243" t="str">
        <f t="shared" si="13"/>
        <v>Residential</v>
      </c>
      <c r="C30" s="243" t="str">
        <f t="shared" si="13"/>
        <v>Revenue Requirements</v>
      </c>
      <c r="D30" s="244" t="str">
        <f>D29</f>
        <v>Increased Costs and Cost Shifting</v>
      </c>
      <c r="E30" s="86" t="s">
        <v>198</v>
      </c>
      <c r="F30" s="84" t="s">
        <v>32</v>
      </c>
      <c r="G30" s="64">
        <f ca="1">IF($C$4=Lookups!$D$40,SUM(INDIRECT("'Yr1'!"&amp;ADDRESS(ROW(G30),COLUMN(G30))),INDIRECT("'Yr2'!"&amp;ADDRESS(ROW(G30),COLUMN(G30))),INDIRECT("'Yr3'!"&amp;ADDRESS(ROW(G30),COLUMN(G30)))),
G50*G17)</f>
        <v>208970.23211681191</v>
      </c>
      <c r="H30" s="64">
        <f ca="1">IF($C$4=Lookups!$D$40,SUM(INDIRECT("'Yr1'!"&amp;ADDRESS(ROW(H30),COLUMN(H30))),INDIRECT("'Yr2'!"&amp;ADDRESS(ROW(H30),COLUMN(H30))),INDIRECT("'Yr3'!"&amp;ADDRESS(ROW(H30),COLUMN(H30)))),
H50*H17)</f>
        <v>208970.23211681191</v>
      </c>
      <c r="I30" s="64">
        <f ca="1">IF($C$4=Lookups!$D$40,SUM(INDIRECT("'Yr1'!"&amp;ADDRESS(ROW(I30),COLUMN(I30))),INDIRECT("'Yr2'!"&amp;ADDRESS(ROW(I30),COLUMN(I30))),INDIRECT("'Yr3'!"&amp;ADDRESS(ROW(I30),COLUMN(I30)))),
I50*I17)</f>
        <v>208970.23211681191</v>
      </c>
      <c r="J30" s="64">
        <f ca="1">IF($C$4=Lookups!$D$40,SUM(INDIRECT("'Yr1'!"&amp;ADDRESS(ROW(J30),COLUMN(J30))),INDIRECT("'Yr2'!"&amp;ADDRESS(ROW(J30),COLUMN(J30))),INDIRECT("'Yr3'!"&amp;ADDRESS(ROW(J30),COLUMN(J30)))),
J50*J17)</f>
        <v>208970.23211681191</v>
      </c>
      <c r="K30" s="64">
        <f ca="1">IF($C$4=Lookups!$D$40,SUM(INDIRECT("'Yr1'!"&amp;ADDRESS(ROW(K30),COLUMN(K30))),INDIRECT("'Yr2'!"&amp;ADDRESS(ROW(K30),COLUMN(K30))),INDIRECT("'Yr3'!"&amp;ADDRESS(ROW(K30),COLUMN(K30)))),
K50*K17)</f>
        <v>208970.23211681191</v>
      </c>
      <c r="L30" s="64">
        <f ca="1">IF($C$4=Lookups!$D$40,SUM(INDIRECT("'Yr1'!"&amp;ADDRESS(ROW(L30),COLUMN(L30))),INDIRECT("'Yr2'!"&amp;ADDRESS(ROW(L30),COLUMN(L30))),INDIRECT("'Yr3'!"&amp;ADDRESS(ROW(L30),COLUMN(L30)))),
L50*L17)</f>
        <v>208970.23211681191</v>
      </c>
      <c r="M30" s="64">
        <f ca="1">IF($C$4=Lookups!$D$40,SUM(INDIRECT("'Yr1'!"&amp;ADDRESS(ROW(M30),COLUMN(M30))),INDIRECT("'Yr2'!"&amp;ADDRESS(ROW(M30),COLUMN(M30))),INDIRECT("'Yr3'!"&amp;ADDRESS(ROW(M30),COLUMN(M30)))),
M50*M17)</f>
        <v>208970.23211681191</v>
      </c>
      <c r="N30" s="64">
        <f ca="1">IF($C$4=Lookups!$D$40,SUM(INDIRECT("'Yr1'!"&amp;ADDRESS(ROW(N30),COLUMN(N30))),INDIRECT("'Yr2'!"&amp;ADDRESS(ROW(N30),COLUMN(N30))),INDIRECT("'Yr3'!"&amp;ADDRESS(ROW(N30),COLUMN(N30)))),
N50*N17)</f>
        <v>208970.23211681191</v>
      </c>
      <c r="O30" s="64">
        <f ca="1">IF($C$4=Lookups!$D$40,SUM(INDIRECT("'Yr1'!"&amp;ADDRESS(ROW(O30),COLUMN(O30))),INDIRECT("'Yr2'!"&amp;ADDRESS(ROW(O30),COLUMN(O30))),INDIRECT("'Yr3'!"&amp;ADDRESS(ROW(O30),COLUMN(O30)))),
O50*O17)</f>
        <v>208970.23211681191</v>
      </c>
      <c r="P30" s="64">
        <f ca="1">IF($C$4=Lookups!$D$40,SUM(INDIRECT("'Yr1'!"&amp;ADDRESS(ROW(P30),COLUMN(P30))),INDIRECT("'Yr2'!"&amp;ADDRESS(ROW(P30),COLUMN(P30))),INDIRECT("'Yr3'!"&amp;ADDRESS(ROW(P30),COLUMN(P30)))),
P50*P17)</f>
        <v>208970.23211681191</v>
      </c>
      <c r="Q30" s="64">
        <f ca="1">IF($C$4=Lookups!$D$40,SUM(INDIRECT("'Yr1'!"&amp;ADDRESS(ROW(Q30),COLUMN(Q30))),INDIRECT("'Yr2'!"&amp;ADDRESS(ROW(Q30),COLUMN(Q30))),INDIRECT("'Yr3'!"&amp;ADDRESS(ROW(Q30),COLUMN(Q30)))),
Q50*Q17)</f>
        <v>208970.23211681191</v>
      </c>
      <c r="R30" s="64">
        <f ca="1">IF($C$4=Lookups!$D$40,SUM(INDIRECT("'Yr1'!"&amp;ADDRESS(ROW(R30),COLUMN(R30))),INDIRECT("'Yr2'!"&amp;ADDRESS(ROW(R30),COLUMN(R30))),INDIRECT("'Yr3'!"&amp;ADDRESS(ROW(R30),COLUMN(R30)))),
R50*R17)</f>
        <v>208970.23211681191</v>
      </c>
      <c r="S30" s="64">
        <f ca="1">IF($C$4=Lookups!$D$40,SUM(INDIRECT("'Yr1'!"&amp;ADDRESS(ROW(S30),COLUMN(S30))),INDIRECT("'Yr2'!"&amp;ADDRESS(ROW(S30),COLUMN(S30))),INDIRECT("'Yr3'!"&amp;ADDRESS(ROW(S30),COLUMN(S30)))),
S50*S17)</f>
        <v>208970.23211681191</v>
      </c>
      <c r="T30" s="64">
        <f ca="1">IF($C$4=Lookups!$D$40,SUM(INDIRECT("'Yr1'!"&amp;ADDRESS(ROW(T30),COLUMN(T30))),INDIRECT("'Yr2'!"&amp;ADDRESS(ROW(T30),COLUMN(T30))),INDIRECT("'Yr3'!"&amp;ADDRESS(ROW(T30),COLUMN(T30)))),
T50*T17)</f>
        <v>208970.23211681191</v>
      </c>
      <c r="U30" s="64">
        <f ca="1">IF($C$4=Lookups!$D$40,SUM(INDIRECT("'Yr1'!"&amp;ADDRESS(ROW(U30),COLUMN(U30))),INDIRECT("'Yr2'!"&amp;ADDRESS(ROW(U30),COLUMN(U30))),INDIRECT("'Yr3'!"&amp;ADDRESS(ROW(U30),COLUMN(U30)))),
U50*U17)</f>
        <v>208970.23211681191</v>
      </c>
      <c r="V30" s="64">
        <f ca="1">IF($C$4=Lookups!$D$40,SUM(INDIRECT("'Yr1'!"&amp;ADDRESS(ROW(V30),COLUMN(V30))),INDIRECT("'Yr2'!"&amp;ADDRESS(ROW(V30),COLUMN(V30))),INDIRECT("'Yr3'!"&amp;ADDRESS(ROW(V30),COLUMN(V30)))),
V50*V17)</f>
        <v>0</v>
      </c>
      <c r="W30" s="64">
        <f ca="1">IF($C$4=Lookups!$D$40,SUM(INDIRECT("'Yr1'!"&amp;ADDRESS(ROW(W30),COLUMN(W30))),INDIRECT("'Yr2'!"&amp;ADDRESS(ROW(W30),COLUMN(W30))),INDIRECT("'Yr3'!"&amp;ADDRESS(ROW(W30),COLUMN(W30)))),
W50*W17)</f>
        <v>0</v>
      </c>
      <c r="X30" s="64">
        <f ca="1">IF($C$4=Lookups!$D$40,SUM(INDIRECT("'Yr1'!"&amp;ADDRESS(ROW(X30),COLUMN(X30))),INDIRECT("'Yr2'!"&amp;ADDRESS(ROW(X30),COLUMN(X30))),INDIRECT("'Yr3'!"&amp;ADDRESS(ROW(X30),COLUMN(X30)))),
X50*X17)</f>
        <v>0</v>
      </c>
      <c r="Y30" s="64">
        <f ca="1">IF($C$4=Lookups!$D$40,SUM(INDIRECT("'Yr1'!"&amp;ADDRESS(ROW(Y30),COLUMN(Y30))),INDIRECT("'Yr2'!"&amp;ADDRESS(ROW(Y30),COLUMN(Y30))),INDIRECT("'Yr3'!"&amp;ADDRESS(ROW(Y30),COLUMN(Y30)))),
Y50*Y17)</f>
        <v>0</v>
      </c>
      <c r="Z30" s="64">
        <f ca="1">IF($C$4=Lookups!$D$40,SUM(INDIRECT("'Yr1'!"&amp;ADDRESS(ROW(Z30),COLUMN(Z30))),INDIRECT("'Yr2'!"&amp;ADDRESS(ROW(Z30),COLUMN(Z30))),INDIRECT("'Yr3'!"&amp;ADDRESS(ROW(Z30),COLUMN(Z30)))),
Z50*Z17)</f>
        <v>0</v>
      </c>
      <c r="AA30" s="64">
        <f ca="1">IF($C$4=Lookups!$D$40,SUM(INDIRECT("'Yr1'!"&amp;ADDRESS(ROW(AA30),COLUMN(AA30))),INDIRECT("'Yr2'!"&amp;ADDRESS(ROW(AA30),COLUMN(AA30))),INDIRECT("'Yr3'!"&amp;ADDRESS(ROW(AA30),COLUMN(AA30)))),
AA50*AA17)</f>
        <v>0</v>
      </c>
      <c r="AB30" s="64">
        <f ca="1">IF($C$4=Lookups!$D$40,SUM(INDIRECT("'Yr1'!"&amp;ADDRESS(ROW(AB30),COLUMN(AB30))),INDIRECT("'Yr2'!"&amp;ADDRESS(ROW(AB30),COLUMN(AB30))),INDIRECT("'Yr3'!"&amp;ADDRESS(ROW(AB30),COLUMN(AB30)))),
AB50*AB17)</f>
        <v>0</v>
      </c>
      <c r="AC30" s="64">
        <f ca="1">IF($C$4=Lookups!$D$40,SUM(INDIRECT("'Yr1'!"&amp;ADDRESS(ROW(AC30),COLUMN(AC30))),INDIRECT("'Yr2'!"&amp;ADDRESS(ROW(AC30),COLUMN(AC30))),INDIRECT("'Yr3'!"&amp;ADDRESS(ROW(AC30),COLUMN(AC30)))),
AC50*AC17)</f>
        <v>0</v>
      </c>
      <c r="AD30" s="64">
        <f ca="1">IF($C$4=Lookups!$D$40,SUM(INDIRECT("'Yr1'!"&amp;ADDRESS(ROW(AD30),COLUMN(AD30))),INDIRECT("'Yr2'!"&amp;ADDRESS(ROW(AD30),COLUMN(AD30))),INDIRECT("'Yr3'!"&amp;ADDRESS(ROW(AD30),COLUMN(AD30)))),
AD50*AD17)</f>
        <v>0</v>
      </c>
      <c r="AE30" s="64">
        <f ca="1">IF($C$4=Lookups!$D$40,SUM(INDIRECT("'Yr1'!"&amp;ADDRESS(ROW(AE30),COLUMN(AE30))),INDIRECT("'Yr2'!"&amp;ADDRESS(ROW(AE30),COLUMN(AE30))),INDIRECT("'Yr3'!"&amp;ADDRESS(ROW(AE30),COLUMN(AE30)))),
AE50*AE17)</f>
        <v>0</v>
      </c>
      <c r="AF30" s="64">
        <f ca="1">IF($C$4=Lookups!$D$40,SUM(INDIRECT("'Yr1'!"&amp;ADDRESS(ROW(AF30),COLUMN(AF30))),INDIRECT("'Yr2'!"&amp;ADDRESS(ROW(AF30),COLUMN(AF30))),INDIRECT("'Yr3'!"&amp;ADDRESS(ROW(AF30),COLUMN(AF30)))),
AF50*AF17)</f>
        <v>0</v>
      </c>
      <c r="AG30" s="64">
        <f ca="1">IF($C$4=Lookups!$D$40,SUM(INDIRECT("'Yr1'!"&amp;ADDRESS(ROW(AG30),COLUMN(AG30))),INDIRECT("'Yr2'!"&amp;ADDRESS(ROW(AG30),COLUMN(AG30))),INDIRECT("'Yr3'!"&amp;ADDRESS(ROW(AG30),COLUMN(AG30)))),
AG50*AG17)</f>
        <v>0</v>
      </c>
      <c r="AH30" s="49"/>
      <c r="AI30" s="65">
        <f ca="1">NPV(Lookups!$E$17,G30:AG30)</f>
        <v>2806583.5659478637</v>
      </c>
      <c r="AJ30" s="65"/>
      <c r="AM30" s="71">
        <f ca="1">IF($C$4=Lookups!$D$40,SUM(INDIRECT("'Yr1'!"&amp;ADDRESS(ROW(AM30),COLUMN(AM30))),INDIRECT("'Yr2'!"&amp;ADDRESS(ROW(AM30),COLUMN(AM30))),INDIRECT("'Yr3'!"&amp;ADDRESS(ROW(AM30),COLUMN(AM30)))),
AM50*AM17)</f>
        <v>238804.57806337738</v>
      </c>
      <c r="AN30" s="71">
        <f ca="1">IF($C$4=Lookups!$D$40,SUM(INDIRECT("'Yr1'!"&amp;ADDRESS(ROW(AN30),COLUMN(AN30))),INDIRECT("'Yr2'!"&amp;ADDRESS(ROW(AN30),COLUMN(AN30))),INDIRECT("'Yr3'!"&amp;ADDRESS(ROW(AN30),COLUMN(AN30)))),
AN50*AN17)</f>
        <v>238804.57806337738</v>
      </c>
      <c r="AO30" s="71">
        <f ca="1">IF($C$4=Lookups!$D$40,SUM(INDIRECT("'Yr1'!"&amp;ADDRESS(ROW(AO30),COLUMN(AO30))),INDIRECT("'Yr2'!"&amp;ADDRESS(ROW(AO30),COLUMN(AO30))),INDIRECT("'Yr3'!"&amp;ADDRESS(ROW(AO30),COLUMN(AO30)))),
AO50*AO17)</f>
        <v>238804.57806337738</v>
      </c>
      <c r="AP30" s="71">
        <f ca="1">IF($C$4=Lookups!$D$40,SUM(INDIRECT("'Yr1'!"&amp;ADDRESS(ROW(AP30),COLUMN(AP30))),INDIRECT("'Yr2'!"&amp;ADDRESS(ROW(AP30),COLUMN(AP30))),INDIRECT("'Yr3'!"&amp;ADDRESS(ROW(AP30),COLUMN(AP30)))),
AP50*AP17)</f>
        <v>238804.57806337738</v>
      </c>
      <c r="AQ30" s="71">
        <f ca="1">IF($C$4=Lookups!$D$40,SUM(INDIRECT("'Yr1'!"&amp;ADDRESS(ROW(AQ30),COLUMN(AQ30))),INDIRECT("'Yr2'!"&amp;ADDRESS(ROW(AQ30),COLUMN(AQ30))),INDIRECT("'Yr3'!"&amp;ADDRESS(ROW(AQ30),COLUMN(AQ30)))),
AQ50*AQ17)</f>
        <v>238804.57806337738</v>
      </c>
      <c r="AR30" s="71">
        <f ca="1">IF($C$4=Lookups!$D$40,SUM(INDIRECT("'Yr1'!"&amp;ADDRESS(ROW(AR30),COLUMN(AR30))),INDIRECT("'Yr2'!"&amp;ADDRESS(ROW(AR30),COLUMN(AR30))),INDIRECT("'Yr3'!"&amp;ADDRESS(ROW(AR30),COLUMN(AR30)))),
AR50*AR17)</f>
        <v>238804.57806337738</v>
      </c>
      <c r="AS30" s="71">
        <f ca="1">IF($C$4=Lookups!$D$40,SUM(INDIRECT("'Yr1'!"&amp;ADDRESS(ROW(AS30),COLUMN(AS30))),INDIRECT("'Yr2'!"&amp;ADDRESS(ROW(AS30),COLUMN(AS30))),INDIRECT("'Yr3'!"&amp;ADDRESS(ROW(AS30),COLUMN(AS30)))),
AS50*AS17)</f>
        <v>238804.57806337738</v>
      </c>
      <c r="AT30" s="71">
        <f ca="1">IF($C$4=Lookups!$D$40,SUM(INDIRECT("'Yr1'!"&amp;ADDRESS(ROW(AT30),COLUMN(AT30))),INDIRECT("'Yr2'!"&amp;ADDRESS(ROW(AT30),COLUMN(AT30))),INDIRECT("'Yr3'!"&amp;ADDRESS(ROW(AT30),COLUMN(AT30)))),
AT50*AT17)</f>
        <v>238804.57806337738</v>
      </c>
      <c r="AU30" s="71">
        <f ca="1">IF($C$4=Lookups!$D$40,SUM(INDIRECT("'Yr1'!"&amp;ADDRESS(ROW(AU30),COLUMN(AU30))),INDIRECT("'Yr2'!"&amp;ADDRESS(ROW(AU30),COLUMN(AU30))),INDIRECT("'Yr3'!"&amp;ADDRESS(ROW(AU30),COLUMN(AU30)))),
AU50*AU17)</f>
        <v>238804.57806337738</v>
      </c>
      <c r="AV30" s="71">
        <f ca="1">IF($C$4=Lookups!$D$40,SUM(INDIRECT("'Yr1'!"&amp;ADDRESS(ROW(AV30),COLUMN(AV30))),INDIRECT("'Yr2'!"&amp;ADDRESS(ROW(AV30),COLUMN(AV30))),INDIRECT("'Yr3'!"&amp;ADDRESS(ROW(AV30),COLUMN(AV30)))),
AV50*AV17)</f>
        <v>238804.57806337738</v>
      </c>
      <c r="AW30" s="71">
        <f ca="1">IF($C$4=Lookups!$D$40,SUM(INDIRECT("'Yr1'!"&amp;ADDRESS(ROW(AW30),COLUMN(AW30))),INDIRECT("'Yr2'!"&amp;ADDRESS(ROW(AW30),COLUMN(AW30))),INDIRECT("'Yr3'!"&amp;ADDRESS(ROW(AW30),COLUMN(AW30)))),
AW50*AW17)</f>
        <v>238804.57806337738</v>
      </c>
      <c r="AX30" s="71">
        <f ca="1">IF($C$4=Lookups!$D$40,SUM(INDIRECT("'Yr1'!"&amp;ADDRESS(ROW(AX30),COLUMN(AX30))),INDIRECT("'Yr2'!"&amp;ADDRESS(ROW(AX30),COLUMN(AX30))),INDIRECT("'Yr3'!"&amp;ADDRESS(ROW(AX30),COLUMN(AX30)))),
AX50*AX17)</f>
        <v>238804.57806337738</v>
      </c>
      <c r="AY30" s="71">
        <f ca="1">IF($C$4=Lookups!$D$40,SUM(INDIRECT("'Yr1'!"&amp;ADDRESS(ROW(AY30),COLUMN(AY30))),INDIRECT("'Yr2'!"&amp;ADDRESS(ROW(AY30),COLUMN(AY30))),INDIRECT("'Yr3'!"&amp;ADDRESS(ROW(AY30),COLUMN(AY30)))),
AY50*AY17)</f>
        <v>238804.57806337738</v>
      </c>
      <c r="AZ30" s="71">
        <f ca="1">IF($C$4=Lookups!$D$40,SUM(INDIRECT("'Yr1'!"&amp;ADDRESS(ROW(AZ30),COLUMN(AZ30))),INDIRECT("'Yr2'!"&amp;ADDRESS(ROW(AZ30),COLUMN(AZ30))),INDIRECT("'Yr3'!"&amp;ADDRESS(ROW(AZ30),COLUMN(AZ30)))),
AZ50*AZ17)</f>
        <v>238804.57806337738</v>
      </c>
      <c r="BA30" s="71">
        <f ca="1">IF($C$4=Lookups!$D$40,SUM(INDIRECT("'Yr1'!"&amp;ADDRESS(ROW(BA30),COLUMN(BA30))),INDIRECT("'Yr2'!"&amp;ADDRESS(ROW(BA30),COLUMN(BA30))),INDIRECT("'Yr3'!"&amp;ADDRESS(ROW(BA30),COLUMN(BA30)))),
BA50*BA17)</f>
        <v>238804.57806337738</v>
      </c>
      <c r="BB30" s="71">
        <f ca="1">IF($C$4=Lookups!$D$40,SUM(INDIRECT("'Yr1'!"&amp;ADDRESS(ROW(BB30),COLUMN(BB30))),INDIRECT("'Yr2'!"&amp;ADDRESS(ROW(BB30),COLUMN(BB30))),INDIRECT("'Yr3'!"&amp;ADDRESS(ROW(BB30),COLUMN(BB30)))),
BB50*BB17)</f>
        <v>0</v>
      </c>
      <c r="BC30" s="71">
        <f ca="1">IF($C$4=Lookups!$D$40,SUM(INDIRECT("'Yr1'!"&amp;ADDRESS(ROW(BC30),COLUMN(BC30))),INDIRECT("'Yr2'!"&amp;ADDRESS(ROW(BC30),COLUMN(BC30))),INDIRECT("'Yr3'!"&amp;ADDRESS(ROW(BC30),COLUMN(BC30)))),
BC50*BC17)</f>
        <v>0</v>
      </c>
      <c r="BD30" s="71">
        <f ca="1">IF($C$4=Lookups!$D$40,SUM(INDIRECT("'Yr1'!"&amp;ADDRESS(ROW(BD30),COLUMN(BD30))),INDIRECT("'Yr2'!"&amp;ADDRESS(ROW(BD30),COLUMN(BD30))),INDIRECT("'Yr3'!"&amp;ADDRESS(ROW(BD30),COLUMN(BD30)))),
BD50*BD17)</f>
        <v>0</v>
      </c>
      <c r="BE30" s="71">
        <f ca="1">IF($C$4=Lookups!$D$40,SUM(INDIRECT("'Yr1'!"&amp;ADDRESS(ROW(BE30),COLUMN(BE30))),INDIRECT("'Yr2'!"&amp;ADDRESS(ROW(BE30),COLUMN(BE30))),INDIRECT("'Yr3'!"&amp;ADDRESS(ROW(BE30),COLUMN(BE30)))),
BE50*BE17)</f>
        <v>0</v>
      </c>
      <c r="BF30" s="71">
        <f ca="1">IF($C$4=Lookups!$D$40,SUM(INDIRECT("'Yr1'!"&amp;ADDRESS(ROW(BF30),COLUMN(BF30))),INDIRECT("'Yr2'!"&amp;ADDRESS(ROW(BF30),COLUMN(BF30))),INDIRECT("'Yr3'!"&amp;ADDRESS(ROW(BF30),COLUMN(BF30)))),
BF50*BF17)</f>
        <v>0</v>
      </c>
      <c r="BG30" s="71">
        <f ca="1">IF($C$4=Lookups!$D$40,SUM(INDIRECT("'Yr1'!"&amp;ADDRESS(ROW(BG30),COLUMN(BG30))),INDIRECT("'Yr2'!"&amp;ADDRESS(ROW(BG30),COLUMN(BG30))),INDIRECT("'Yr3'!"&amp;ADDRESS(ROW(BG30),COLUMN(BG30)))),
BG50*BG17)</f>
        <v>0</v>
      </c>
      <c r="BH30" s="71">
        <f ca="1">IF($C$4=Lookups!$D$40,SUM(INDIRECT("'Yr1'!"&amp;ADDRESS(ROW(BH30),COLUMN(BH30))),INDIRECT("'Yr2'!"&amp;ADDRESS(ROW(BH30),COLUMN(BH30))),INDIRECT("'Yr3'!"&amp;ADDRESS(ROW(BH30),COLUMN(BH30)))),
BH50*BH17)</f>
        <v>0</v>
      </c>
      <c r="BI30" s="71">
        <f ca="1">IF($C$4=Lookups!$D$40,SUM(INDIRECT("'Yr1'!"&amp;ADDRESS(ROW(BI30),COLUMN(BI30))),INDIRECT("'Yr2'!"&amp;ADDRESS(ROW(BI30),COLUMN(BI30))),INDIRECT("'Yr3'!"&amp;ADDRESS(ROW(BI30),COLUMN(BI30)))),
BI50*BI17)</f>
        <v>0</v>
      </c>
      <c r="BJ30" s="71">
        <f ca="1">IF($C$4=Lookups!$D$40,SUM(INDIRECT("'Yr1'!"&amp;ADDRESS(ROW(BJ30),COLUMN(BJ30))),INDIRECT("'Yr2'!"&amp;ADDRESS(ROW(BJ30),COLUMN(BJ30))),INDIRECT("'Yr3'!"&amp;ADDRESS(ROW(BJ30),COLUMN(BJ30)))),
BJ50*BJ17)</f>
        <v>0</v>
      </c>
      <c r="BK30" s="71">
        <f ca="1">IF($C$4=Lookups!$D$40,SUM(INDIRECT("'Yr1'!"&amp;ADDRESS(ROW(BK30),COLUMN(BK30))),INDIRECT("'Yr2'!"&amp;ADDRESS(ROW(BK30),COLUMN(BK30))),INDIRECT("'Yr3'!"&amp;ADDRESS(ROW(BK30),COLUMN(BK30)))),
BK50*BK17)</f>
        <v>0</v>
      </c>
      <c r="BL30" s="71">
        <f ca="1">IF($C$4=Lookups!$D$40,SUM(INDIRECT("'Yr1'!"&amp;ADDRESS(ROW(BL30),COLUMN(BL30))),INDIRECT("'Yr2'!"&amp;ADDRESS(ROW(BL30),COLUMN(BL30))),INDIRECT("'Yr3'!"&amp;ADDRESS(ROW(BL30),COLUMN(BL30)))),
BL50*BL17)</f>
        <v>0</v>
      </c>
      <c r="BM30" s="71">
        <f ca="1">IF($C$4=Lookups!$D$40,SUM(INDIRECT("'Yr1'!"&amp;ADDRESS(ROW(BM30),COLUMN(BM30))),INDIRECT("'Yr2'!"&amp;ADDRESS(ROW(BM30),COLUMN(BM30))),INDIRECT("'Yr3'!"&amp;ADDRESS(ROW(BM30),COLUMN(BM30)))),
BM50*BM17)</f>
        <v>0</v>
      </c>
      <c r="BN30" s="71"/>
      <c r="BO30" s="71">
        <f ca="1">NPV(Lookups!$E$17,AM30:BM30)</f>
        <v>3207275.0146113667</v>
      </c>
      <c r="BP30" s="72"/>
      <c r="BS30" s="84" t="str">
        <f>E30&amp;" rate multiplied by After DSM sales."</f>
        <v>Distribution Lost Revenue rate multiplied by After DSM sales.</v>
      </c>
      <c r="BT30" s="51" t="s">
        <v>17</v>
      </c>
    </row>
    <row r="31" spans="1:72" x14ac:dyDescent="0.25">
      <c r="B31" s="243" t="str">
        <f>B29</f>
        <v>Residential</v>
      </c>
      <c r="C31" s="243" t="str">
        <f>C29</f>
        <v>Revenue Requirements</v>
      </c>
      <c r="D31" s="114" t="s">
        <v>125</v>
      </c>
      <c r="E31" s="84"/>
      <c r="F31" s="84"/>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65"/>
      <c r="AJ31" s="65"/>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S31" s="84"/>
      <c r="BT31" s="51" t="s">
        <v>17</v>
      </c>
    </row>
    <row r="32" spans="1:72" x14ac:dyDescent="0.25">
      <c r="A32" s="1"/>
      <c r="B32" s="243" t="str">
        <f t="shared" si="13"/>
        <v>Residential</v>
      </c>
      <c r="C32" s="243" t="str">
        <f t="shared" si="13"/>
        <v>Revenue Requirements</v>
      </c>
      <c r="D32" s="244" t="str">
        <f>D31</f>
        <v>Revenue Requirement after DSM Scenario</v>
      </c>
      <c r="E32" s="84" t="s">
        <v>26</v>
      </c>
      <c r="F32" s="84" t="s">
        <v>32</v>
      </c>
      <c r="G32" s="64">
        <f ca="1">G21-G26</f>
        <v>32575194.572646767</v>
      </c>
      <c r="H32" s="64">
        <f t="shared" ref="H32:AG32" ca="1" si="14">H21-H26</f>
        <v>32575194.572646767</v>
      </c>
      <c r="I32" s="64">
        <f t="shared" ca="1" si="14"/>
        <v>32575194.572646767</v>
      </c>
      <c r="J32" s="64">
        <f t="shared" ca="1" si="14"/>
        <v>32575194.572646767</v>
      </c>
      <c r="K32" s="64">
        <f t="shared" ca="1" si="14"/>
        <v>32575194.572646767</v>
      </c>
      <c r="L32" s="64">
        <f t="shared" ca="1" si="14"/>
        <v>32575194.572646767</v>
      </c>
      <c r="M32" s="64">
        <f t="shared" ca="1" si="14"/>
        <v>32575194.572646767</v>
      </c>
      <c r="N32" s="64">
        <f t="shared" ca="1" si="14"/>
        <v>32575194.572646767</v>
      </c>
      <c r="O32" s="64">
        <f t="shared" ca="1" si="14"/>
        <v>32575194.572646767</v>
      </c>
      <c r="P32" s="64">
        <f t="shared" ca="1" si="14"/>
        <v>32575194.572646767</v>
      </c>
      <c r="Q32" s="64">
        <f t="shared" ca="1" si="14"/>
        <v>32575194.572646767</v>
      </c>
      <c r="R32" s="64">
        <f t="shared" ca="1" si="14"/>
        <v>32575194.572646767</v>
      </c>
      <c r="S32" s="64">
        <f t="shared" ca="1" si="14"/>
        <v>32575194.572646767</v>
      </c>
      <c r="T32" s="64">
        <f t="shared" ca="1" si="14"/>
        <v>32575194.572646767</v>
      </c>
      <c r="U32" s="64">
        <f t="shared" ca="1" si="14"/>
        <v>32575194.572646767</v>
      </c>
      <c r="V32" s="64">
        <f t="shared" ca="1" si="14"/>
        <v>32592900.571774282</v>
      </c>
      <c r="W32" s="64">
        <f t="shared" ca="1" si="14"/>
        <v>32592900.571774282</v>
      </c>
      <c r="X32" s="64">
        <f t="shared" ca="1" si="14"/>
        <v>32592900.571774282</v>
      </c>
      <c r="Y32" s="64">
        <f t="shared" ca="1" si="14"/>
        <v>32592900.571774282</v>
      </c>
      <c r="Z32" s="64">
        <f t="shared" ca="1" si="14"/>
        <v>32592900.571774282</v>
      </c>
      <c r="AA32" s="64">
        <f t="shared" ca="1" si="14"/>
        <v>32592900.571774282</v>
      </c>
      <c r="AB32" s="64">
        <f t="shared" ca="1" si="14"/>
        <v>32592900.571774282</v>
      </c>
      <c r="AC32" s="64">
        <f t="shared" ca="1" si="14"/>
        <v>32592900.571774282</v>
      </c>
      <c r="AD32" s="64">
        <f t="shared" ca="1" si="14"/>
        <v>32592900.571774282</v>
      </c>
      <c r="AE32" s="64">
        <f t="shared" ca="1" si="14"/>
        <v>32592900.571774282</v>
      </c>
      <c r="AF32" s="64">
        <f t="shared" ca="1" si="14"/>
        <v>32592900.571774282</v>
      </c>
      <c r="AG32" s="64">
        <f t="shared" ca="1" si="14"/>
        <v>32592900.571774282</v>
      </c>
      <c r="AH32" s="64"/>
      <c r="AI32" s="65">
        <f ca="1">NPV(Lookups!$E$17,G32:AG32)</f>
        <v>727018610.01518095</v>
      </c>
      <c r="AJ32" s="65"/>
      <c r="AM32" s="71">
        <f ca="1">AM21-AM26</f>
        <v>32572665.144199982</v>
      </c>
      <c r="AN32" s="71">
        <f t="shared" ref="AN32:BM32" ca="1" si="15">AN21-AN26</f>
        <v>32572665.144199982</v>
      </c>
      <c r="AO32" s="71">
        <f t="shared" ca="1" si="15"/>
        <v>32572665.144199982</v>
      </c>
      <c r="AP32" s="71">
        <f t="shared" ca="1" si="15"/>
        <v>32572665.144199982</v>
      </c>
      <c r="AQ32" s="71">
        <f t="shared" ca="1" si="15"/>
        <v>32572665.144199982</v>
      </c>
      <c r="AR32" s="71">
        <f t="shared" ca="1" si="15"/>
        <v>32572665.144199982</v>
      </c>
      <c r="AS32" s="71">
        <f t="shared" ca="1" si="15"/>
        <v>32572665.144199982</v>
      </c>
      <c r="AT32" s="71">
        <f t="shared" ca="1" si="15"/>
        <v>32572665.144199982</v>
      </c>
      <c r="AU32" s="71">
        <f t="shared" ca="1" si="15"/>
        <v>32572665.144199982</v>
      </c>
      <c r="AV32" s="71">
        <f t="shared" ca="1" si="15"/>
        <v>32572665.144199982</v>
      </c>
      <c r="AW32" s="71">
        <f t="shared" ca="1" si="15"/>
        <v>32572665.144199982</v>
      </c>
      <c r="AX32" s="71">
        <f t="shared" ca="1" si="15"/>
        <v>32572665.144199982</v>
      </c>
      <c r="AY32" s="71">
        <f t="shared" ca="1" si="15"/>
        <v>32572665.144199982</v>
      </c>
      <c r="AZ32" s="71">
        <f t="shared" ca="1" si="15"/>
        <v>32572665.144199982</v>
      </c>
      <c r="BA32" s="71">
        <f t="shared" ca="1" si="15"/>
        <v>32572665.144199982</v>
      </c>
      <c r="BB32" s="71">
        <f t="shared" ca="1" si="15"/>
        <v>32592900.571774282</v>
      </c>
      <c r="BC32" s="71">
        <f t="shared" ca="1" si="15"/>
        <v>32592900.571774282</v>
      </c>
      <c r="BD32" s="71">
        <f t="shared" ca="1" si="15"/>
        <v>32592900.571774282</v>
      </c>
      <c r="BE32" s="71">
        <f t="shared" ca="1" si="15"/>
        <v>32592900.571774282</v>
      </c>
      <c r="BF32" s="71">
        <f t="shared" ca="1" si="15"/>
        <v>32592900.571774282</v>
      </c>
      <c r="BG32" s="71">
        <f t="shared" ca="1" si="15"/>
        <v>32592900.571774282</v>
      </c>
      <c r="BH32" s="71">
        <f t="shared" ca="1" si="15"/>
        <v>32592900.571774282</v>
      </c>
      <c r="BI32" s="71">
        <f t="shared" ca="1" si="15"/>
        <v>32592900.571774282</v>
      </c>
      <c r="BJ32" s="71">
        <f t="shared" ca="1" si="15"/>
        <v>32592900.571774282</v>
      </c>
      <c r="BK32" s="71">
        <f t="shared" ca="1" si="15"/>
        <v>32592900.571774282</v>
      </c>
      <c r="BL32" s="71">
        <f t="shared" ca="1" si="15"/>
        <v>32592900.571774282</v>
      </c>
      <c r="BM32" s="71">
        <f t="shared" ca="1" si="15"/>
        <v>32592900.571774282</v>
      </c>
      <c r="BN32" s="71"/>
      <c r="BO32" s="71">
        <f ca="1">NPV(Lookups!$E$17,AM32:BM32)</f>
        <v>726984638.41914034</v>
      </c>
      <c r="BP32" s="71"/>
      <c r="BS32" s="84" t="s">
        <v>229</v>
      </c>
      <c r="BT32" s="51" t="s">
        <v>17</v>
      </c>
    </row>
    <row r="33" spans="1:72" x14ac:dyDescent="0.25">
      <c r="A33" s="1"/>
      <c r="B33" s="243" t="str">
        <f t="shared" si="13"/>
        <v>Residential</v>
      </c>
      <c r="C33" s="243" t="str">
        <f t="shared" si="13"/>
        <v>Revenue Requirements</v>
      </c>
      <c r="D33" s="244" t="str">
        <f>D32</f>
        <v>Revenue Requirement after DSM Scenario</v>
      </c>
      <c r="E33" s="84" t="s">
        <v>407</v>
      </c>
      <c r="F33" s="84" t="s">
        <v>32</v>
      </c>
      <c r="G33" s="64">
        <f>G22</f>
        <v>-1931344.4404175822</v>
      </c>
      <c r="H33" s="64">
        <f t="shared" ref="H33:AG33" si="16">H22</f>
        <v>-1931344.4404175822</v>
      </c>
      <c r="I33" s="64">
        <f t="shared" si="16"/>
        <v>-1931344.4404175822</v>
      </c>
      <c r="J33" s="64">
        <f t="shared" si="16"/>
        <v>-1931344.4404175822</v>
      </c>
      <c r="K33" s="64">
        <f t="shared" si="16"/>
        <v>-1931344.4404175822</v>
      </c>
      <c r="L33" s="64">
        <f t="shared" si="16"/>
        <v>-1931344.4404175822</v>
      </c>
      <c r="M33" s="64">
        <f t="shared" si="16"/>
        <v>-1931344.4404175822</v>
      </c>
      <c r="N33" s="64">
        <f t="shared" si="16"/>
        <v>-1931344.4404175822</v>
      </c>
      <c r="O33" s="64">
        <f t="shared" si="16"/>
        <v>-1931344.4404175822</v>
      </c>
      <c r="P33" s="64">
        <f t="shared" si="16"/>
        <v>-1931344.4404175822</v>
      </c>
      <c r="Q33" s="64">
        <f t="shared" si="16"/>
        <v>-1931344.4404175822</v>
      </c>
      <c r="R33" s="64">
        <f t="shared" si="16"/>
        <v>-1931344.4404175822</v>
      </c>
      <c r="S33" s="64">
        <f t="shared" si="16"/>
        <v>-1931344.4404175822</v>
      </c>
      <c r="T33" s="64">
        <f t="shared" si="16"/>
        <v>-1931344.4404175822</v>
      </c>
      <c r="U33" s="64">
        <f t="shared" si="16"/>
        <v>-1931344.4404175822</v>
      </c>
      <c r="V33" s="64">
        <f t="shared" si="16"/>
        <v>-1931344.4404175822</v>
      </c>
      <c r="W33" s="64">
        <f t="shared" si="16"/>
        <v>-1931344.4404175822</v>
      </c>
      <c r="X33" s="64">
        <f t="shared" si="16"/>
        <v>-1931344.4404175822</v>
      </c>
      <c r="Y33" s="64">
        <f t="shared" si="16"/>
        <v>-1931344.4404175822</v>
      </c>
      <c r="Z33" s="64">
        <f t="shared" si="16"/>
        <v>-1931344.4404175822</v>
      </c>
      <c r="AA33" s="64">
        <f t="shared" si="16"/>
        <v>-1931344.4404175822</v>
      </c>
      <c r="AB33" s="64">
        <f t="shared" si="16"/>
        <v>-1931344.4404175822</v>
      </c>
      <c r="AC33" s="64">
        <f t="shared" si="16"/>
        <v>-1931344.4404175822</v>
      </c>
      <c r="AD33" s="64">
        <f t="shared" si="16"/>
        <v>-1931344.4404175822</v>
      </c>
      <c r="AE33" s="64">
        <f t="shared" si="16"/>
        <v>-1931344.4404175822</v>
      </c>
      <c r="AF33" s="64">
        <f t="shared" si="16"/>
        <v>-1931344.4404175822</v>
      </c>
      <c r="AG33" s="64">
        <f t="shared" si="16"/>
        <v>-1931344.4404175822</v>
      </c>
      <c r="AH33" s="64"/>
      <c r="AI33" s="65">
        <f>NPV(Lookups!$E$17,G33:AG33)</f>
        <v>-43094741.5499845</v>
      </c>
      <c r="AJ33" s="65"/>
      <c r="AM33" s="71">
        <f>AM22</f>
        <v>-1931344.4404175822</v>
      </c>
      <c r="AN33" s="71">
        <f t="shared" ref="AN33:BM33" si="17">AN22</f>
        <v>-1931344.4404175822</v>
      </c>
      <c r="AO33" s="71">
        <f t="shared" si="17"/>
        <v>-1931344.4404175822</v>
      </c>
      <c r="AP33" s="71">
        <f t="shared" si="17"/>
        <v>-1931344.4404175822</v>
      </c>
      <c r="AQ33" s="71">
        <f t="shared" si="17"/>
        <v>-1931344.4404175822</v>
      </c>
      <c r="AR33" s="71">
        <f t="shared" si="17"/>
        <v>-1931344.4404175822</v>
      </c>
      <c r="AS33" s="71">
        <f t="shared" si="17"/>
        <v>-1931344.4404175822</v>
      </c>
      <c r="AT33" s="71">
        <f t="shared" si="17"/>
        <v>-1931344.4404175822</v>
      </c>
      <c r="AU33" s="71">
        <f t="shared" si="17"/>
        <v>-1931344.4404175822</v>
      </c>
      <c r="AV33" s="71">
        <f t="shared" si="17"/>
        <v>-1931344.4404175822</v>
      </c>
      <c r="AW33" s="71">
        <f t="shared" si="17"/>
        <v>-1931344.4404175822</v>
      </c>
      <c r="AX33" s="71">
        <f t="shared" si="17"/>
        <v>-1931344.4404175822</v>
      </c>
      <c r="AY33" s="71">
        <f t="shared" si="17"/>
        <v>-1931344.4404175822</v>
      </c>
      <c r="AZ33" s="71">
        <f t="shared" si="17"/>
        <v>-1931344.4404175822</v>
      </c>
      <c r="BA33" s="71">
        <f t="shared" si="17"/>
        <v>-1931344.4404175822</v>
      </c>
      <c r="BB33" s="71">
        <f t="shared" si="17"/>
        <v>-1931344.4404175822</v>
      </c>
      <c r="BC33" s="71">
        <f t="shared" si="17"/>
        <v>-1931344.4404175822</v>
      </c>
      <c r="BD33" s="71">
        <f t="shared" si="17"/>
        <v>-1931344.4404175822</v>
      </c>
      <c r="BE33" s="71">
        <f t="shared" si="17"/>
        <v>-1931344.4404175822</v>
      </c>
      <c r="BF33" s="71">
        <f t="shared" si="17"/>
        <v>-1931344.4404175822</v>
      </c>
      <c r="BG33" s="71">
        <f t="shared" si="17"/>
        <v>-1931344.4404175822</v>
      </c>
      <c r="BH33" s="71">
        <f t="shared" si="17"/>
        <v>-1931344.4404175822</v>
      </c>
      <c r="BI33" s="71">
        <f t="shared" si="17"/>
        <v>-1931344.4404175822</v>
      </c>
      <c r="BJ33" s="71">
        <f t="shared" si="17"/>
        <v>-1931344.4404175822</v>
      </c>
      <c r="BK33" s="71">
        <f t="shared" si="17"/>
        <v>-1931344.4404175822</v>
      </c>
      <c r="BL33" s="71">
        <f t="shared" si="17"/>
        <v>-1931344.4404175822</v>
      </c>
      <c r="BM33" s="71">
        <f t="shared" si="17"/>
        <v>-1931344.4404175822</v>
      </c>
      <c r="BN33" s="71"/>
      <c r="BO33" s="71">
        <f>NPV(Lookups!$E$17,AM33:BM33)</f>
        <v>-43094741.5499845</v>
      </c>
      <c r="BP33" s="71"/>
      <c r="BS33" s="84" t="s">
        <v>230</v>
      </c>
      <c r="BT33" s="51" t="s">
        <v>17</v>
      </c>
    </row>
    <row r="34" spans="1:72" x14ac:dyDescent="0.25">
      <c r="A34" s="1"/>
      <c r="B34" s="243" t="str">
        <f>B32</f>
        <v>Residential</v>
      </c>
      <c r="C34" s="243" t="str">
        <f>C32</f>
        <v>Revenue Requirements</v>
      </c>
      <c r="D34" s="244" t="str">
        <f>D32</f>
        <v>Revenue Requirement after DSM Scenario</v>
      </c>
      <c r="E34" s="84" t="s">
        <v>197</v>
      </c>
      <c r="F34" s="84" t="s">
        <v>32</v>
      </c>
      <c r="G34" s="64">
        <f ca="1">G23-G25-G27</f>
        <v>36014996.648740932</v>
      </c>
      <c r="H34" s="64">
        <f t="shared" ref="H34:AG34" ca="1" si="18">H23-H25-H27</f>
        <v>36014996.648740932</v>
      </c>
      <c r="I34" s="64">
        <f t="shared" ca="1" si="18"/>
        <v>36014996.648740932</v>
      </c>
      <c r="J34" s="64">
        <f t="shared" ca="1" si="18"/>
        <v>36014996.648740932</v>
      </c>
      <c r="K34" s="64">
        <f t="shared" ca="1" si="18"/>
        <v>36014996.648740932</v>
      </c>
      <c r="L34" s="64">
        <f t="shared" ca="1" si="18"/>
        <v>36014996.648740932</v>
      </c>
      <c r="M34" s="64">
        <f t="shared" ca="1" si="18"/>
        <v>36014996.648740932</v>
      </c>
      <c r="N34" s="64">
        <f t="shared" ca="1" si="18"/>
        <v>36014996.648740932</v>
      </c>
      <c r="O34" s="64">
        <f t="shared" ca="1" si="18"/>
        <v>36014996.648740932</v>
      </c>
      <c r="P34" s="64">
        <f t="shared" ca="1" si="18"/>
        <v>36014996.648740932</v>
      </c>
      <c r="Q34" s="64">
        <f t="shared" ca="1" si="18"/>
        <v>36014996.648740932</v>
      </c>
      <c r="R34" s="64">
        <f t="shared" ca="1" si="18"/>
        <v>36014996.648740932</v>
      </c>
      <c r="S34" s="64">
        <f t="shared" ca="1" si="18"/>
        <v>36014996.648740932</v>
      </c>
      <c r="T34" s="64">
        <f t="shared" ca="1" si="18"/>
        <v>36014996.648740932</v>
      </c>
      <c r="U34" s="64">
        <f t="shared" ca="1" si="18"/>
        <v>36014996.648740932</v>
      </c>
      <c r="V34" s="64">
        <f t="shared" ca="1" si="18"/>
        <v>36303422.920940183</v>
      </c>
      <c r="W34" s="64">
        <f t="shared" ca="1" si="18"/>
        <v>36303422.920940183</v>
      </c>
      <c r="X34" s="64">
        <f t="shared" ca="1" si="18"/>
        <v>36303422.920940183</v>
      </c>
      <c r="Y34" s="64">
        <f t="shared" ca="1" si="18"/>
        <v>36303422.920940183</v>
      </c>
      <c r="Z34" s="64">
        <f t="shared" ca="1" si="18"/>
        <v>36303422.920940183</v>
      </c>
      <c r="AA34" s="64">
        <f t="shared" ca="1" si="18"/>
        <v>36303422.920940183</v>
      </c>
      <c r="AB34" s="64">
        <f t="shared" ca="1" si="18"/>
        <v>36303422.920940183</v>
      </c>
      <c r="AC34" s="64">
        <f t="shared" ca="1" si="18"/>
        <v>36303422.920940183</v>
      </c>
      <c r="AD34" s="64">
        <f t="shared" ca="1" si="18"/>
        <v>36303422.920940183</v>
      </c>
      <c r="AE34" s="64">
        <f t="shared" ca="1" si="18"/>
        <v>36303422.920940183</v>
      </c>
      <c r="AF34" s="64">
        <f t="shared" ca="1" si="18"/>
        <v>36303422.920940183</v>
      </c>
      <c r="AG34" s="64">
        <f t="shared" ca="1" si="18"/>
        <v>36303422.920940183</v>
      </c>
      <c r="AH34" s="64"/>
      <c r="AI34" s="65">
        <f ca="1">NPV(Lookups!$E$17,G34:AG34)</f>
        <v>806176829.73138487</v>
      </c>
      <c r="AJ34" s="65"/>
      <c r="AM34" s="71">
        <f ca="1">AM23-AM25-AM27</f>
        <v>35973792.895569608</v>
      </c>
      <c r="AN34" s="71">
        <f t="shared" ref="AN34:BM34" ca="1" si="19">AN23-AN25-AN27</f>
        <v>35973792.895569608</v>
      </c>
      <c r="AO34" s="71">
        <f t="shared" ca="1" si="19"/>
        <v>35973792.895569608</v>
      </c>
      <c r="AP34" s="71">
        <f t="shared" ca="1" si="19"/>
        <v>35973792.895569608</v>
      </c>
      <c r="AQ34" s="71">
        <f t="shared" ca="1" si="19"/>
        <v>35973792.895569608</v>
      </c>
      <c r="AR34" s="71">
        <f t="shared" ca="1" si="19"/>
        <v>35973792.895569608</v>
      </c>
      <c r="AS34" s="71">
        <f t="shared" ca="1" si="19"/>
        <v>35973792.895569608</v>
      </c>
      <c r="AT34" s="71">
        <f t="shared" ca="1" si="19"/>
        <v>35973792.895569608</v>
      </c>
      <c r="AU34" s="71">
        <f t="shared" ca="1" si="19"/>
        <v>35973792.895569608</v>
      </c>
      <c r="AV34" s="71">
        <f t="shared" ca="1" si="19"/>
        <v>35973792.895569608</v>
      </c>
      <c r="AW34" s="71">
        <f t="shared" ca="1" si="19"/>
        <v>35973792.895569608</v>
      </c>
      <c r="AX34" s="71">
        <f t="shared" ca="1" si="19"/>
        <v>35973792.895569608</v>
      </c>
      <c r="AY34" s="71">
        <f t="shared" ca="1" si="19"/>
        <v>35973792.895569608</v>
      </c>
      <c r="AZ34" s="71">
        <f t="shared" ca="1" si="19"/>
        <v>35973792.895569608</v>
      </c>
      <c r="BA34" s="71">
        <f t="shared" ca="1" si="19"/>
        <v>35973792.895569608</v>
      </c>
      <c r="BB34" s="71">
        <f t="shared" ca="1" si="19"/>
        <v>36303422.920940183</v>
      </c>
      <c r="BC34" s="71">
        <f t="shared" ca="1" si="19"/>
        <v>36303422.920940183</v>
      </c>
      <c r="BD34" s="71">
        <f t="shared" ca="1" si="19"/>
        <v>36303422.920940183</v>
      </c>
      <c r="BE34" s="71">
        <f t="shared" ca="1" si="19"/>
        <v>36303422.920940183</v>
      </c>
      <c r="BF34" s="71">
        <f t="shared" ca="1" si="19"/>
        <v>36303422.920940183</v>
      </c>
      <c r="BG34" s="71">
        <f t="shared" ca="1" si="19"/>
        <v>36303422.920940183</v>
      </c>
      <c r="BH34" s="71">
        <f t="shared" ca="1" si="19"/>
        <v>36303422.920940183</v>
      </c>
      <c r="BI34" s="71">
        <f t="shared" ca="1" si="19"/>
        <v>36303422.920940183</v>
      </c>
      <c r="BJ34" s="71">
        <f t="shared" ca="1" si="19"/>
        <v>36303422.920940183</v>
      </c>
      <c r="BK34" s="71">
        <f t="shared" ca="1" si="19"/>
        <v>36303422.920940183</v>
      </c>
      <c r="BL34" s="71">
        <f t="shared" ca="1" si="19"/>
        <v>36303422.920940183</v>
      </c>
      <c r="BM34" s="71">
        <f t="shared" ca="1" si="19"/>
        <v>36303422.920940183</v>
      </c>
      <c r="BN34" s="71"/>
      <c r="BO34" s="71">
        <f ca="1">NPV(Lookups!$E$17,AM34:BM34)</f>
        <v>805623440.97675419</v>
      </c>
      <c r="BP34" s="71"/>
      <c r="BS34" s="84" t="s">
        <v>231</v>
      </c>
      <c r="BT34" s="51" t="s">
        <v>17</v>
      </c>
    </row>
    <row r="35" spans="1:72" x14ac:dyDescent="0.25">
      <c r="B35" s="243" t="str">
        <f t="shared" si="13"/>
        <v>Residential</v>
      </c>
      <c r="C35" s="243" t="str">
        <f t="shared" si="13"/>
        <v>Revenue Requirements</v>
      </c>
      <c r="D35" s="244"/>
      <c r="E35" s="84" t="s">
        <v>17</v>
      </c>
      <c r="F35" s="84"/>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S35" s="84"/>
      <c r="BT35" s="51" t="s">
        <v>17</v>
      </c>
    </row>
    <row r="36" spans="1:72" s="5" customFormat="1" ht="15.75" x14ac:dyDescent="0.25">
      <c r="A36" s="52"/>
      <c r="B36" s="241" t="str">
        <f t="shared" si="13"/>
        <v>Residential</v>
      </c>
      <c r="C36" s="63" t="s">
        <v>30</v>
      </c>
      <c r="D36" s="61"/>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2"/>
      <c r="BO36" s="62"/>
      <c r="BP36" s="62"/>
      <c r="BS36" s="62"/>
      <c r="BT36" s="51" t="s">
        <v>17</v>
      </c>
    </row>
    <row r="37" spans="1:72" x14ac:dyDescent="0.25">
      <c r="B37" s="243" t="str">
        <f t="shared" si="13"/>
        <v>Residential</v>
      </c>
      <c r="C37" s="243" t="str">
        <f t="shared" si="13"/>
        <v>Rates</v>
      </c>
      <c r="D37" s="114" t="str">
        <f>"Rates before DSM ("&amp;Lookups!$D$22&amp;" Scenario)"</f>
        <v>Rates before DSM (No EE Scenario)</v>
      </c>
      <c r="E37" s="84"/>
      <c r="F37" s="84"/>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S37" s="84"/>
      <c r="BT37" s="51" t="s">
        <v>17</v>
      </c>
    </row>
    <row r="38" spans="1:72" x14ac:dyDescent="0.25">
      <c r="B38" s="243" t="str">
        <f t="shared" si="13"/>
        <v>Residential</v>
      </c>
      <c r="C38" s="243" t="str">
        <f t="shared" si="13"/>
        <v>Rates</v>
      </c>
      <c r="D38" s="244" t="str">
        <f>D37</f>
        <v>Rates before DSM (No EE Scenario)</v>
      </c>
      <c r="E38" s="84" t="s">
        <v>26</v>
      </c>
      <c r="F38" s="84" t="s">
        <v>182</v>
      </c>
      <c r="G38" s="506">
        <f>IF(G$8=0,0,INDEX('R&amp;B Inputs'!$I$78:$V$78,MATCH($B38,'R&amp;B Inputs'!$I$4:$V$4,0))*(1+INDEX('R&amp;B Inputs'!$I$48:$V$48,MATCH($B38,'R&amp;B Inputs'!$I$4:$V$4,0)))^(G$7-Year1))</f>
        <v>0.55689999999999995</v>
      </c>
      <c r="H38" s="506">
        <f>IF(H$8=0,0,INDEX('R&amp;B Inputs'!$I$78:$V$78,MATCH($B38,'R&amp;B Inputs'!$I$4:$V$4,0))*(1+INDEX('R&amp;B Inputs'!$I$48:$V$48,MATCH($B38,'R&amp;B Inputs'!$I$4:$V$4,0)))^(H$7-Year1))</f>
        <v>0.55689999999999995</v>
      </c>
      <c r="I38" s="506">
        <f>IF(I$8=0,0,INDEX('R&amp;B Inputs'!$I$78:$V$78,MATCH($B38,'R&amp;B Inputs'!$I$4:$V$4,0))*(1+INDEX('R&amp;B Inputs'!$I$48:$V$48,MATCH($B38,'R&amp;B Inputs'!$I$4:$V$4,0)))^(I$7-Year1))</f>
        <v>0.55689999999999995</v>
      </c>
      <c r="J38" s="506">
        <f>IF(J$8=0,0,INDEX('R&amp;B Inputs'!$I$78:$V$78,MATCH($B38,'R&amp;B Inputs'!$I$4:$V$4,0))*(1+INDEX('R&amp;B Inputs'!$I$48:$V$48,MATCH($B38,'R&amp;B Inputs'!$I$4:$V$4,0)))^(J$7-Year1))</f>
        <v>0.55689999999999995</v>
      </c>
      <c r="K38" s="506">
        <f>IF(K$8=0,0,INDEX('R&amp;B Inputs'!$I$78:$V$78,MATCH($B38,'R&amp;B Inputs'!$I$4:$V$4,0))*(1+INDEX('R&amp;B Inputs'!$I$48:$V$48,MATCH($B38,'R&amp;B Inputs'!$I$4:$V$4,0)))^(K$7-Year1))</f>
        <v>0.55689999999999995</v>
      </c>
      <c r="L38" s="506">
        <f>IF(L$8=0,0,INDEX('R&amp;B Inputs'!$I$78:$V$78,MATCH($B38,'R&amp;B Inputs'!$I$4:$V$4,0))*(1+INDEX('R&amp;B Inputs'!$I$48:$V$48,MATCH($B38,'R&amp;B Inputs'!$I$4:$V$4,0)))^(L$7-Year1))</f>
        <v>0.55689999999999995</v>
      </c>
      <c r="M38" s="506">
        <f>IF(M$8=0,0,INDEX('R&amp;B Inputs'!$I$78:$V$78,MATCH($B38,'R&amp;B Inputs'!$I$4:$V$4,0))*(1+INDEX('R&amp;B Inputs'!$I$48:$V$48,MATCH($B38,'R&amp;B Inputs'!$I$4:$V$4,0)))^(M$7-Year1))</f>
        <v>0.55689999999999995</v>
      </c>
      <c r="N38" s="506">
        <f>IF(N$8=0,0,INDEX('R&amp;B Inputs'!$I$78:$V$78,MATCH($B38,'R&amp;B Inputs'!$I$4:$V$4,0))*(1+INDEX('R&amp;B Inputs'!$I$48:$V$48,MATCH($B38,'R&amp;B Inputs'!$I$4:$V$4,0)))^(N$7-Year1))</f>
        <v>0.55689999999999995</v>
      </c>
      <c r="O38" s="506">
        <f>IF(O$8=0,0,INDEX('R&amp;B Inputs'!$I$78:$V$78,MATCH($B38,'R&amp;B Inputs'!$I$4:$V$4,0))*(1+INDEX('R&amp;B Inputs'!$I$48:$V$48,MATCH($B38,'R&amp;B Inputs'!$I$4:$V$4,0)))^(O$7-Year1))</f>
        <v>0.55689999999999995</v>
      </c>
      <c r="P38" s="506">
        <f>IF(P$8=0,0,INDEX('R&amp;B Inputs'!$I$78:$V$78,MATCH($B38,'R&amp;B Inputs'!$I$4:$V$4,0))*(1+INDEX('R&amp;B Inputs'!$I$48:$V$48,MATCH($B38,'R&amp;B Inputs'!$I$4:$V$4,0)))^(P$7-Year1))</f>
        <v>0.55689999999999995</v>
      </c>
      <c r="Q38" s="506">
        <f>IF(Q$8=0,0,INDEX('R&amp;B Inputs'!$I$78:$V$78,MATCH($B38,'R&amp;B Inputs'!$I$4:$V$4,0))*(1+INDEX('R&amp;B Inputs'!$I$48:$V$48,MATCH($B38,'R&amp;B Inputs'!$I$4:$V$4,0)))^(Q$7-Year1))</f>
        <v>0.55689999999999995</v>
      </c>
      <c r="R38" s="506">
        <f>IF(R$8=0,0,INDEX('R&amp;B Inputs'!$I$78:$V$78,MATCH($B38,'R&amp;B Inputs'!$I$4:$V$4,0))*(1+INDEX('R&amp;B Inputs'!$I$48:$V$48,MATCH($B38,'R&amp;B Inputs'!$I$4:$V$4,0)))^(R$7-Year1))</f>
        <v>0.55689999999999995</v>
      </c>
      <c r="S38" s="506">
        <f>IF(S$8=0,0,INDEX('R&amp;B Inputs'!$I$78:$V$78,MATCH($B38,'R&amp;B Inputs'!$I$4:$V$4,0))*(1+INDEX('R&amp;B Inputs'!$I$48:$V$48,MATCH($B38,'R&amp;B Inputs'!$I$4:$V$4,0)))^(S$7-Year1))</f>
        <v>0.55689999999999995</v>
      </c>
      <c r="T38" s="506">
        <f>IF(T$8=0,0,INDEX('R&amp;B Inputs'!$I$78:$V$78,MATCH($B38,'R&amp;B Inputs'!$I$4:$V$4,0))*(1+INDEX('R&amp;B Inputs'!$I$48:$V$48,MATCH($B38,'R&amp;B Inputs'!$I$4:$V$4,0)))^(T$7-Year1))</f>
        <v>0.55689999999999995</v>
      </c>
      <c r="U38" s="506">
        <f>IF(U$8=0,0,INDEX('R&amp;B Inputs'!$I$78:$V$78,MATCH($B38,'R&amp;B Inputs'!$I$4:$V$4,0))*(1+INDEX('R&amp;B Inputs'!$I$48:$V$48,MATCH($B38,'R&amp;B Inputs'!$I$4:$V$4,0)))^(U$7-Year1))</f>
        <v>0.55689999999999995</v>
      </c>
      <c r="V38" s="506">
        <f>IF(V$8=0,0,INDEX('R&amp;B Inputs'!$I$78:$V$78,MATCH($B38,'R&amp;B Inputs'!$I$4:$V$4,0))*(1+INDEX('R&amp;B Inputs'!$I$48:$V$48,MATCH($B38,'R&amp;B Inputs'!$I$4:$V$4,0)))^(V$7-Year1))</f>
        <v>0.55689999999999995</v>
      </c>
      <c r="W38" s="506">
        <f>IF(W$8=0,0,INDEX('R&amp;B Inputs'!$I$78:$V$78,MATCH($B38,'R&amp;B Inputs'!$I$4:$V$4,0))*(1+INDEX('R&amp;B Inputs'!$I$48:$V$48,MATCH($B38,'R&amp;B Inputs'!$I$4:$V$4,0)))^(W$7-Year1))</f>
        <v>0.55689999999999995</v>
      </c>
      <c r="X38" s="506">
        <f>IF(X$8=0,0,INDEX('R&amp;B Inputs'!$I$78:$V$78,MATCH($B38,'R&amp;B Inputs'!$I$4:$V$4,0))*(1+INDEX('R&amp;B Inputs'!$I$48:$V$48,MATCH($B38,'R&amp;B Inputs'!$I$4:$V$4,0)))^(X$7-Year1))</f>
        <v>0.55689999999999995</v>
      </c>
      <c r="Y38" s="506">
        <f>IF(Y$8=0,0,INDEX('R&amp;B Inputs'!$I$78:$V$78,MATCH($B38,'R&amp;B Inputs'!$I$4:$V$4,0))*(1+INDEX('R&amp;B Inputs'!$I$48:$V$48,MATCH($B38,'R&amp;B Inputs'!$I$4:$V$4,0)))^(Y$7-Year1))</f>
        <v>0.55689999999999995</v>
      </c>
      <c r="Z38" s="506">
        <f>IF(Z$8=0,0,INDEX('R&amp;B Inputs'!$I$78:$V$78,MATCH($B38,'R&amp;B Inputs'!$I$4:$V$4,0))*(1+INDEX('R&amp;B Inputs'!$I$48:$V$48,MATCH($B38,'R&amp;B Inputs'!$I$4:$V$4,0)))^(Z$7-Year1))</f>
        <v>0.55689999999999995</v>
      </c>
      <c r="AA38" s="506">
        <f>IF(AA$8=0,0,INDEX('R&amp;B Inputs'!$I$78:$V$78,MATCH($B38,'R&amp;B Inputs'!$I$4:$V$4,0))*(1+INDEX('R&amp;B Inputs'!$I$48:$V$48,MATCH($B38,'R&amp;B Inputs'!$I$4:$V$4,0)))^(AA$7-Year1))</f>
        <v>0.55689999999999995</v>
      </c>
      <c r="AB38" s="506">
        <f>IF(AB$8=0,0,INDEX('R&amp;B Inputs'!$I$78:$V$78,MATCH($B38,'R&amp;B Inputs'!$I$4:$V$4,0))*(1+INDEX('R&amp;B Inputs'!$I$48:$V$48,MATCH($B38,'R&amp;B Inputs'!$I$4:$V$4,0)))^(AB$7-Year1))</f>
        <v>0.55689999999999995</v>
      </c>
      <c r="AC38" s="506">
        <f>IF(AC$8=0,0,INDEX('R&amp;B Inputs'!$I$78:$V$78,MATCH($B38,'R&amp;B Inputs'!$I$4:$V$4,0))*(1+INDEX('R&amp;B Inputs'!$I$48:$V$48,MATCH($B38,'R&amp;B Inputs'!$I$4:$V$4,0)))^(AC$7-Year1))</f>
        <v>0.55689999999999995</v>
      </c>
      <c r="AD38" s="506">
        <f>IF(AD$8=0,0,INDEX('R&amp;B Inputs'!$I$78:$V$78,MATCH($B38,'R&amp;B Inputs'!$I$4:$V$4,0))*(1+INDEX('R&amp;B Inputs'!$I$48:$V$48,MATCH($B38,'R&amp;B Inputs'!$I$4:$V$4,0)))^(AD$7-Year1))</f>
        <v>0.55689999999999995</v>
      </c>
      <c r="AE38" s="506">
        <f>IF(AE$8=0,0,INDEX('R&amp;B Inputs'!$I$78:$V$78,MATCH($B38,'R&amp;B Inputs'!$I$4:$V$4,0))*(1+INDEX('R&amp;B Inputs'!$I$48:$V$48,MATCH($B38,'R&amp;B Inputs'!$I$4:$V$4,0)))^(AE$7-Year1))</f>
        <v>0.55689999999999995</v>
      </c>
      <c r="AF38" s="506">
        <f>IF(AF$8=0,0,INDEX('R&amp;B Inputs'!$I$78:$V$78,MATCH($B38,'R&amp;B Inputs'!$I$4:$V$4,0))*(1+INDEX('R&amp;B Inputs'!$I$48:$V$48,MATCH($B38,'R&amp;B Inputs'!$I$4:$V$4,0)))^(AF$7-Year1))</f>
        <v>0.55689999999999995</v>
      </c>
      <c r="AG38" s="506">
        <f>IF(AG$8=0,0,INDEX('R&amp;B Inputs'!$I$78:$V$78,MATCH($B38,'R&amp;B Inputs'!$I$4:$V$4,0))*(1+INDEX('R&amp;B Inputs'!$I$48:$V$48,MATCH($B38,'R&amp;B Inputs'!$I$4:$V$4,0)))^(AG$7-Year1))</f>
        <v>0.55689999999999995</v>
      </c>
      <c r="AH38" s="506"/>
      <c r="AI38" s="506"/>
      <c r="AJ38" s="506">
        <f>IF($C$4=Year1,-PMT(Lookups!$E$17,25,NPV(Lookups!$E$17,G38:AE38),0,1),IF($C$4=Year2,-PMT(Lookups!$F$17,25,NPV(Lookups!$F$17,H38:AF38),0,1),IF($C$4=Year3,-PMT(Lookups!$G$17,25,NPV(Lookups!$G$17,I38:AG38),0,1),-PMT(Lookups!$G$17,27,NPV(Lookups!$G$17,G38:AG38),0,1))))</f>
        <v>0.5491330653753026</v>
      </c>
      <c r="AK38" s="507"/>
      <c r="AL38" s="507"/>
      <c r="AM38" s="508">
        <f>IF(AM$8=0,0,INDEX('R&amp;B Inputs'!$I$78:$V$78,MATCH($B38,'R&amp;B Inputs'!$I$4:$V$4,0))*(1+INDEX('R&amp;B Inputs'!$I$48:$V$48,MATCH($B38,'R&amp;B Inputs'!$I$4:$V$4,0)))^(AM$7-Year1))</f>
        <v>0.55689999999999995</v>
      </c>
      <c r="AN38" s="508">
        <f>IF(AN$8=0,0,INDEX('R&amp;B Inputs'!$I$78:$V$78,MATCH($B38,'R&amp;B Inputs'!$I$4:$V$4,0))*(1+INDEX('R&amp;B Inputs'!$I$48:$V$48,MATCH($B38,'R&amp;B Inputs'!$I$4:$V$4,0)))^(AN$7-Year1))</f>
        <v>0.55689999999999995</v>
      </c>
      <c r="AO38" s="508">
        <f>IF(AO$8=0,0,INDEX('R&amp;B Inputs'!$I$78:$V$78,MATCH($B38,'R&amp;B Inputs'!$I$4:$V$4,0))*(1+INDEX('R&amp;B Inputs'!$I$48:$V$48,MATCH($B38,'R&amp;B Inputs'!$I$4:$V$4,0)))^(AO$7-Year1))</f>
        <v>0.55689999999999995</v>
      </c>
      <c r="AP38" s="508">
        <f>IF(AP$8=0,0,INDEX('R&amp;B Inputs'!$I$78:$V$78,MATCH($B38,'R&amp;B Inputs'!$I$4:$V$4,0))*(1+INDEX('R&amp;B Inputs'!$I$48:$V$48,MATCH($B38,'R&amp;B Inputs'!$I$4:$V$4,0)))^(AP$7-Year1))</f>
        <v>0.55689999999999995</v>
      </c>
      <c r="AQ38" s="508">
        <f>IF(AQ$8=0,0,INDEX('R&amp;B Inputs'!$I$78:$V$78,MATCH($B38,'R&amp;B Inputs'!$I$4:$V$4,0))*(1+INDEX('R&amp;B Inputs'!$I$48:$V$48,MATCH($B38,'R&amp;B Inputs'!$I$4:$V$4,0)))^(AQ$7-Year1))</f>
        <v>0.55689999999999995</v>
      </c>
      <c r="AR38" s="508">
        <f>IF(AR$8=0,0,INDEX('R&amp;B Inputs'!$I$78:$V$78,MATCH($B38,'R&amp;B Inputs'!$I$4:$V$4,0))*(1+INDEX('R&amp;B Inputs'!$I$48:$V$48,MATCH($B38,'R&amp;B Inputs'!$I$4:$V$4,0)))^(AR$7-Year1))</f>
        <v>0.55689999999999995</v>
      </c>
      <c r="AS38" s="508">
        <f>IF(AS$8=0,0,INDEX('R&amp;B Inputs'!$I$78:$V$78,MATCH($B38,'R&amp;B Inputs'!$I$4:$V$4,0))*(1+INDEX('R&amp;B Inputs'!$I$48:$V$48,MATCH($B38,'R&amp;B Inputs'!$I$4:$V$4,0)))^(AS$7-Year1))</f>
        <v>0.55689999999999995</v>
      </c>
      <c r="AT38" s="508">
        <f>IF(AT$8=0,0,INDEX('R&amp;B Inputs'!$I$78:$V$78,MATCH($B38,'R&amp;B Inputs'!$I$4:$V$4,0))*(1+INDEX('R&amp;B Inputs'!$I$48:$V$48,MATCH($B38,'R&amp;B Inputs'!$I$4:$V$4,0)))^(AT$7-Year1))</f>
        <v>0.55689999999999995</v>
      </c>
      <c r="AU38" s="508">
        <f>IF(AU$8=0,0,INDEX('R&amp;B Inputs'!$I$78:$V$78,MATCH($B38,'R&amp;B Inputs'!$I$4:$V$4,0))*(1+INDEX('R&amp;B Inputs'!$I$48:$V$48,MATCH($B38,'R&amp;B Inputs'!$I$4:$V$4,0)))^(AU$7-Year1))</f>
        <v>0.55689999999999995</v>
      </c>
      <c r="AV38" s="508">
        <f>IF(AV$8=0,0,INDEX('R&amp;B Inputs'!$I$78:$V$78,MATCH($B38,'R&amp;B Inputs'!$I$4:$V$4,0))*(1+INDEX('R&amp;B Inputs'!$I$48:$V$48,MATCH($B38,'R&amp;B Inputs'!$I$4:$V$4,0)))^(AV$7-Year1))</f>
        <v>0.55689999999999995</v>
      </c>
      <c r="AW38" s="508">
        <f>IF(AW$8=0,0,INDEX('R&amp;B Inputs'!$I$78:$V$78,MATCH($B38,'R&amp;B Inputs'!$I$4:$V$4,0))*(1+INDEX('R&amp;B Inputs'!$I$48:$V$48,MATCH($B38,'R&amp;B Inputs'!$I$4:$V$4,0)))^(AW$7-Year1))</f>
        <v>0.55689999999999995</v>
      </c>
      <c r="AX38" s="508">
        <f>IF(AX$8=0,0,INDEX('R&amp;B Inputs'!$I$78:$V$78,MATCH($B38,'R&amp;B Inputs'!$I$4:$V$4,0))*(1+INDEX('R&amp;B Inputs'!$I$48:$V$48,MATCH($B38,'R&amp;B Inputs'!$I$4:$V$4,0)))^(AX$7-Year1))</f>
        <v>0.55689999999999995</v>
      </c>
      <c r="AY38" s="508">
        <f>IF(AY$8=0,0,INDEX('R&amp;B Inputs'!$I$78:$V$78,MATCH($B38,'R&amp;B Inputs'!$I$4:$V$4,0))*(1+INDEX('R&amp;B Inputs'!$I$48:$V$48,MATCH($B38,'R&amp;B Inputs'!$I$4:$V$4,0)))^(AY$7-Year1))</f>
        <v>0.55689999999999995</v>
      </c>
      <c r="AZ38" s="508">
        <f>IF(AZ$8=0,0,INDEX('R&amp;B Inputs'!$I$78:$V$78,MATCH($B38,'R&amp;B Inputs'!$I$4:$V$4,0))*(1+INDEX('R&amp;B Inputs'!$I$48:$V$48,MATCH($B38,'R&amp;B Inputs'!$I$4:$V$4,0)))^(AZ$7-Year1))</f>
        <v>0.55689999999999995</v>
      </c>
      <c r="BA38" s="508">
        <f>IF(BA$8=0,0,INDEX('R&amp;B Inputs'!$I$78:$V$78,MATCH($B38,'R&amp;B Inputs'!$I$4:$V$4,0))*(1+INDEX('R&amp;B Inputs'!$I$48:$V$48,MATCH($B38,'R&amp;B Inputs'!$I$4:$V$4,0)))^(BA$7-Year1))</f>
        <v>0.55689999999999995</v>
      </c>
      <c r="BB38" s="508">
        <f>IF(BB$8=0,0,INDEX('R&amp;B Inputs'!$I$78:$V$78,MATCH($B38,'R&amp;B Inputs'!$I$4:$V$4,0))*(1+INDEX('R&amp;B Inputs'!$I$48:$V$48,MATCH($B38,'R&amp;B Inputs'!$I$4:$V$4,0)))^(BB$7-Year1))</f>
        <v>0.55689999999999995</v>
      </c>
      <c r="BC38" s="508">
        <f>IF(BC$8=0,0,INDEX('R&amp;B Inputs'!$I$78:$V$78,MATCH($B38,'R&amp;B Inputs'!$I$4:$V$4,0))*(1+INDEX('R&amp;B Inputs'!$I$48:$V$48,MATCH($B38,'R&amp;B Inputs'!$I$4:$V$4,0)))^(BC$7-Year1))</f>
        <v>0.55689999999999995</v>
      </c>
      <c r="BD38" s="508">
        <f>IF(BD$8=0,0,INDEX('R&amp;B Inputs'!$I$78:$V$78,MATCH($B38,'R&amp;B Inputs'!$I$4:$V$4,0))*(1+INDEX('R&amp;B Inputs'!$I$48:$V$48,MATCH($B38,'R&amp;B Inputs'!$I$4:$V$4,0)))^(BD$7-Year1))</f>
        <v>0.55689999999999995</v>
      </c>
      <c r="BE38" s="508">
        <f>IF(BE$8=0,0,INDEX('R&amp;B Inputs'!$I$78:$V$78,MATCH($B38,'R&amp;B Inputs'!$I$4:$V$4,0))*(1+INDEX('R&amp;B Inputs'!$I$48:$V$48,MATCH($B38,'R&amp;B Inputs'!$I$4:$V$4,0)))^(BE$7-Year1))</f>
        <v>0.55689999999999995</v>
      </c>
      <c r="BF38" s="508">
        <f>IF(BF$8=0,0,INDEX('R&amp;B Inputs'!$I$78:$V$78,MATCH($B38,'R&amp;B Inputs'!$I$4:$V$4,0))*(1+INDEX('R&amp;B Inputs'!$I$48:$V$48,MATCH($B38,'R&amp;B Inputs'!$I$4:$V$4,0)))^(BF$7-Year1))</f>
        <v>0.55689999999999995</v>
      </c>
      <c r="BG38" s="508">
        <f>IF(BG$8=0,0,INDEX('R&amp;B Inputs'!$I$78:$V$78,MATCH($B38,'R&amp;B Inputs'!$I$4:$V$4,0))*(1+INDEX('R&amp;B Inputs'!$I$48:$V$48,MATCH($B38,'R&amp;B Inputs'!$I$4:$V$4,0)))^(BG$7-Year1))</f>
        <v>0.55689999999999995</v>
      </c>
      <c r="BH38" s="508">
        <f>IF(BH$8=0,0,INDEX('R&amp;B Inputs'!$I$78:$V$78,MATCH($B38,'R&amp;B Inputs'!$I$4:$V$4,0))*(1+INDEX('R&amp;B Inputs'!$I$48:$V$48,MATCH($B38,'R&amp;B Inputs'!$I$4:$V$4,0)))^(BH$7-Year1))</f>
        <v>0.55689999999999995</v>
      </c>
      <c r="BI38" s="508">
        <f>IF(BI$8=0,0,INDEX('R&amp;B Inputs'!$I$78:$V$78,MATCH($B38,'R&amp;B Inputs'!$I$4:$V$4,0))*(1+INDEX('R&amp;B Inputs'!$I$48:$V$48,MATCH($B38,'R&amp;B Inputs'!$I$4:$V$4,0)))^(BI$7-Year1))</f>
        <v>0.55689999999999995</v>
      </c>
      <c r="BJ38" s="508">
        <f>IF(BJ$8=0,0,INDEX('R&amp;B Inputs'!$I$78:$V$78,MATCH($B38,'R&amp;B Inputs'!$I$4:$V$4,0))*(1+INDEX('R&amp;B Inputs'!$I$48:$V$48,MATCH($B38,'R&amp;B Inputs'!$I$4:$V$4,0)))^(BJ$7-Year1))</f>
        <v>0.55689999999999995</v>
      </c>
      <c r="BK38" s="508">
        <f>IF(BK$8=0,0,INDEX('R&amp;B Inputs'!$I$78:$V$78,MATCH($B38,'R&amp;B Inputs'!$I$4:$V$4,0))*(1+INDEX('R&amp;B Inputs'!$I$48:$V$48,MATCH($B38,'R&amp;B Inputs'!$I$4:$V$4,0)))^(BK$7-Year1))</f>
        <v>0.55689999999999995</v>
      </c>
      <c r="BL38" s="508">
        <f>IF(BL$8=0,0,INDEX('R&amp;B Inputs'!$I$78:$V$78,MATCH($B38,'R&amp;B Inputs'!$I$4:$V$4,0))*(1+INDEX('R&amp;B Inputs'!$I$48:$V$48,MATCH($B38,'R&amp;B Inputs'!$I$4:$V$4,0)))^(BL$7-Year1))</f>
        <v>0.55689999999999995</v>
      </c>
      <c r="BM38" s="508">
        <f>IF(BM$8=0,0,INDEX('R&amp;B Inputs'!$I$78:$V$78,MATCH($B38,'R&amp;B Inputs'!$I$4:$V$4,0))*(1+INDEX('R&amp;B Inputs'!$I$48:$V$48,MATCH($B38,'R&amp;B Inputs'!$I$4:$V$4,0)))^(BM$7-Year1))</f>
        <v>0.55689999999999995</v>
      </c>
      <c r="BN38" s="508"/>
      <c r="BO38" s="508"/>
      <c r="BP38" s="508">
        <f>IF($C$4=Year1,-PMT(Lookups!$E$17,25,NPV(Lookups!$E$17,AM38:BK38),0,1),IF($C$4=Year2,-PMT(Lookups!$F$17,25,NPV(Lookups!$F$17,AN38:BL38),0,1),IF($C$4=Year3,-PMT(Lookups!$G$17,25,NPV(Lookups!$G$17,AO38:BM38),0,1),-PMT(Lookups!$G$17,27,NPV(Lookups!$G$17,AM38:BM38),0,1))))</f>
        <v>0.5491330653753026</v>
      </c>
      <c r="BS38" s="76" t="str">
        <f t="shared" ref="BS38:BS40" si="20">E38&amp;" charge from the R&amp;B Inputs tab, escalated annually by the growth rate included on the R&amp;B Inputs tab."</f>
        <v>Distribution charge from the R&amp;B Inputs tab, escalated annually by the growth rate included on the R&amp;B Inputs tab.</v>
      </c>
      <c r="BT38" s="51" t="s">
        <v>17</v>
      </c>
    </row>
    <row r="39" spans="1:72" x14ac:dyDescent="0.25">
      <c r="B39" s="243" t="str">
        <f t="shared" si="13"/>
        <v>Residential</v>
      </c>
      <c r="C39" s="243" t="str">
        <f t="shared" si="13"/>
        <v>Rates</v>
      </c>
      <c r="D39" s="244" t="str">
        <f>D38</f>
        <v>Rates before DSM (No EE Scenario)</v>
      </c>
      <c r="E39" s="84" t="s">
        <v>407</v>
      </c>
      <c r="F39" s="84" t="s">
        <v>182</v>
      </c>
      <c r="G39" s="506">
        <f>IF(G$8=0,0,INDEX('R&amp;B Inputs'!$I$82:$V$82,MATCH($B39,'R&amp;B Inputs'!$I$4:$V$4,0))*(1+INDEX('R&amp;B Inputs'!$I$62:$V$62,MATCH($B39,'R&amp;B Inputs'!$I$4:$V$4,0)))^(G$7-Year1))</f>
        <v>-3.3000000000000002E-2</v>
      </c>
      <c r="H39" s="506">
        <f>IF(H$8=0,0,INDEX('R&amp;B Inputs'!$I$82:$V$82,MATCH($B39,'R&amp;B Inputs'!$I$4:$V$4,0))*(1+INDEX('R&amp;B Inputs'!$I$62:$V$62,MATCH($B39,'R&amp;B Inputs'!$I$4:$V$4,0)))^(H$7-Year1))</f>
        <v>-3.3000000000000002E-2</v>
      </c>
      <c r="I39" s="506">
        <f>IF(I$8=0,0,INDEX('R&amp;B Inputs'!$I$82:$V$82,MATCH($B39,'R&amp;B Inputs'!$I$4:$V$4,0))*(1+INDEX('R&amp;B Inputs'!$I$62:$V$62,MATCH($B39,'R&amp;B Inputs'!$I$4:$V$4,0)))^(I$7-Year1))</f>
        <v>-3.3000000000000002E-2</v>
      </c>
      <c r="J39" s="506">
        <f>IF(J$8=0,0,INDEX('R&amp;B Inputs'!$I$82:$V$82,MATCH($B39,'R&amp;B Inputs'!$I$4:$V$4,0))*(1+INDEX('R&amp;B Inputs'!$I$62:$V$62,MATCH($B39,'R&amp;B Inputs'!$I$4:$V$4,0)))^(J$7-Year1))</f>
        <v>-3.3000000000000002E-2</v>
      </c>
      <c r="K39" s="506">
        <f>IF(K$8=0,0,INDEX('R&amp;B Inputs'!$I$82:$V$82,MATCH($B39,'R&amp;B Inputs'!$I$4:$V$4,0))*(1+INDEX('R&amp;B Inputs'!$I$62:$V$62,MATCH($B39,'R&amp;B Inputs'!$I$4:$V$4,0)))^(K$7-Year1))</f>
        <v>-3.3000000000000002E-2</v>
      </c>
      <c r="L39" s="506">
        <f>IF(L$8=0,0,INDEX('R&amp;B Inputs'!$I$82:$V$82,MATCH($B39,'R&amp;B Inputs'!$I$4:$V$4,0))*(1+INDEX('R&amp;B Inputs'!$I$62:$V$62,MATCH($B39,'R&amp;B Inputs'!$I$4:$V$4,0)))^(L$7-Year1))</f>
        <v>-3.3000000000000002E-2</v>
      </c>
      <c r="M39" s="506">
        <f>IF(M$8=0,0,INDEX('R&amp;B Inputs'!$I$82:$V$82,MATCH($B39,'R&amp;B Inputs'!$I$4:$V$4,0))*(1+INDEX('R&amp;B Inputs'!$I$62:$V$62,MATCH($B39,'R&amp;B Inputs'!$I$4:$V$4,0)))^(M$7-Year1))</f>
        <v>-3.3000000000000002E-2</v>
      </c>
      <c r="N39" s="506">
        <f>IF(N$8=0,0,INDEX('R&amp;B Inputs'!$I$82:$V$82,MATCH($B39,'R&amp;B Inputs'!$I$4:$V$4,0))*(1+INDEX('R&amp;B Inputs'!$I$62:$V$62,MATCH($B39,'R&amp;B Inputs'!$I$4:$V$4,0)))^(N$7-Year1))</f>
        <v>-3.3000000000000002E-2</v>
      </c>
      <c r="O39" s="506">
        <f>IF(O$8=0,0,INDEX('R&amp;B Inputs'!$I$82:$V$82,MATCH($B39,'R&amp;B Inputs'!$I$4:$V$4,0))*(1+INDEX('R&amp;B Inputs'!$I$62:$V$62,MATCH($B39,'R&amp;B Inputs'!$I$4:$V$4,0)))^(O$7-Year1))</f>
        <v>-3.3000000000000002E-2</v>
      </c>
      <c r="P39" s="506">
        <f>IF(P$8=0,0,INDEX('R&amp;B Inputs'!$I$82:$V$82,MATCH($B39,'R&amp;B Inputs'!$I$4:$V$4,0))*(1+INDEX('R&amp;B Inputs'!$I$62:$V$62,MATCH($B39,'R&amp;B Inputs'!$I$4:$V$4,0)))^(P$7-Year1))</f>
        <v>-3.3000000000000002E-2</v>
      </c>
      <c r="Q39" s="506">
        <f>IF(Q$8=0,0,INDEX('R&amp;B Inputs'!$I$82:$V$82,MATCH($B39,'R&amp;B Inputs'!$I$4:$V$4,0))*(1+INDEX('R&amp;B Inputs'!$I$62:$V$62,MATCH($B39,'R&amp;B Inputs'!$I$4:$V$4,0)))^(Q$7-Year1))</f>
        <v>-3.3000000000000002E-2</v>
      </c>
      <c r="R39" s="506">
        <f>IF(R$8=0,0,INDEX('R&amp;B Inputs'!$I$82:$V$82,MATCH($B39,'R&amp;B Inputs'!$I$4:$V$4,0))*(1+INDEX('R&amp;B Inputs'!$I$62:$V$62,MATCH($B39,'R&amp;B Inputs'!$I$4:$V$4,0)))^(R$7-Year1))</f>
        <v>-3.3000000000000002E-2</v>
      </c>
      <c r="S39" s="506">
        <f>IF(S$8=0,0,INDEX('R&amp;B Inputs'!$I$82:$V$82,MATCH($B39,'R&amp;B Inputs'!$I$4:$V$4,0))*(1+INDEX('R&amp;B Inputs'!$I$62:$V$62,MATCH($B39,'R&amp;B Inputs'!$I$4:$V$4,0)))^(S$7-Year1))</f>
        <v>-3.3000000000000002E-2</v>
      </c>
      <c r="T39" s="506">
        <f>IF(T$8=0,0,INDEX('R&amp;B Inputs'!$I$82:$V$82,MATCH($B39,'R&amp;B Inputs'!$I$4:$V$4,0))*(1+INDEX('R&amp;B Inputs'!$I$62:$V$62,MATCH($B39,'R&amp;B Inputs'!$I$4:$V$4,0)))^(T$7-Year1))</f>
        <v>-3.3000000000000002E-2</v>
      </c>
      <c r="U39" s="506">
        <f>IF(U$8=0,0,INDEX('R&amp;B Inputs'!$I$82:$V$82,MATCH($B39,'R&amp;B Inputs'!$I$4:$V$4,0))*(1+INDEX('R&amp;B Inputs'!$I$62:$V$62,MATCH($B39,'R&amp;B Inputs'!$I$4:$V$4,0)))^(U$7-Year1))</f>
        <v>-3.3000000000000002E-2</v>
      </c>
      <c r="V39" s="506">
        <f>IF(V$8=0,0,INDEX('R&amp;B Inputs'!$I$82:$V$82,MATCH($B39,'R&amp;B Inputs'!$I$4:$V$4,0))*(1+INDEX('R&amp;B Inputs'!$I$62:$V$62,MATCH($B39,'R&amp;B Inputs'!$I$4:$V$4,0)))^(V$7-Year1))</f>
        <v>-3.3000000000000002E-2</v>
      </c>
      <c r="W39" s="506">
        <f>IF(W$8=0,0,INDEX('R&amp;B Inputs'!$I$82:$V$82,MATCH($B39,'R&amp;B Inputs'!$I$4:$V$4,0))*(1+INDEX('R&amp;B Inputs'!$I$62:$V$62,MATCH($B39,'R&amp;B Inputs'!$I$4:$V$4,0)))^(W$7-Year1))</f>
        <v>-3.3000000000000002E-2</v>
      </c>
      <c r="X39" s="506">
        <f>IF(X$8=0,0,INDEX('R&amp;B Inputs'!$I$82:$V$82,MATCH($B39,'R&amp;B Inputs'!$I$4:$V$4,0))*(1+INDEX('R&amp;B Inputs'!$I$62:$V$62,MATCH($B39,'R&amp;B Inputs'!$I$4:$V$4,0)))^(X$7-Year1))</f>
        <v>-3.3000000000000002E-2</v>
      </c>
      <c r="Y39" s="506">
        <f>IF(Y$8=0,0,INDEX('R&amp;B Inputs'!$I$82:$V$82,MATCH($B39,'R&amp;B Inputs'!$I$4:$V$4,0))*(1+INDEX('R&amp;B Inputs'!$I$62:$V$62,MATCH($B39,'R&amp;B Inputs'!$I$4:$V$4,0)))^(Y$7-Year1))</f>
        <v>-3.3000000000000002E-2</v>
      </c>
      <c r="Z39" s="506">
        <f>IF(Z$8=0,0,INDEX('R&amp;B Inputs'!$I$82:$V$82,MATCH($B39,'R&amp;B Inputs'!$I$4:$V$4,0))*(1+INDEX('R&amp;B Inputs'!$I$62:$V$62,MATCH($B39,'R&amp;B Inputs'!$I$4:$V$4,0)))^(Z$7-Year1))</f>
        <v>-3.3000000000000002E-2</v>
      </c>
      <c r="AA39" s="506">
        <f>IF(AA$8=0,0,INDEX('R&amp;B Inputs'!$I$82:$V$82,MATCH($B39,'R&amp;B Inputs'!$I$4:$V$4,0))*(1+INDEX('R&amp;B Inputs'!$I$62:$V$62,MATCH($B39,'R&amp;B Inputs'!$I$4:$V$4,0)))^(AA$7-Year1))</f>
        <v>-3.3000000000000002E-2</v>
      </c>
      <c r="AB39" s="506">
        <f>IF(AB$8=0,0,INDEX('R&amp;B Inputs'!$I$82:$V$82,MATCH($B39,'R&amp;B Inputs'!$I$4:$V$4,0))*(1+INDEX('R&amp;B Inputs'!$I$62:$V$62,MATCH($B39,'R&amp;B Inputs'!$I$4:$V$4,0)))^(AB$7-Year1))</f>
        <v>-3.3000000000000002E-2</v>
      </c>
      <c r="AC39" s="506">
        <f>IF(AC$8=0,0,INDEX('R&amp;B Inputs'!$I$82:$V$82,MATCH($B39,'R&amp;B Inputs'!$I$4:$V$4,0))*(1+INDEX('R&amp;B Inputs'!$I$62:$V$62,MATCH($B39,'R&amp;B Inputs'!$I$4:$V$4,0)))^(AC$7-Year1))</f>
        <v>-3.3000000000000002E-2</v>
      </c>
      <c r="AD39" s="506">
        <f>IF(AD$8=0,0,INDEX('R&amp;B Inputs'!$I$82:$V$82,MATCH($B39,'R&amp;B Inputs'!$I$4:$V$4,0))*(1+INDEX('R&amp;B Inputs'!$I$62:$V$62,MATCH($B39,'R&amp;B Inputs'!$I$4:$V$4,0)))^(AD$7-Year1))</f>
        <v>-3.3000000000000002E-2</v>
      </c>
      <c r="AE39" s="506">
        <f>IF(AE$8=0,0,INDEX('R&amp;B Inputs'!$I$82:$V$82,MATCH($B39,'R&amp;B Inputs'!$I$4:$V$4,0))*(1+INDEX('R&amp;B Inputs'!$I$62:$V$62,MATCH($B39,'R&amp;B Inputs'!$I$4:$V$4,0)))^(AE$7-Year1))</f>
        <v>-3.3000000000000002E-2</v>
      </c>
      <c r="AF39" s="506">
        <f>IF(AF$8=0,0,INDEX('R&amp;B Inputs'!$I$82:$V$82,MATCH($B39,'R&amp;B Inputs'!$I$4:$V$4,0))*(1+INDEX('R&amp;B Inputs'!$I$62:$V$62,MATCH($B39,'R&amp;B Inputs'!$I$4:$V$4,0)))^(AF$7-Year1))</f>
        <v>-3.3000000000000002E-2</v>
      </c>
      <c r="AG39" s="506">
        <f>IF(AG$8=0,0,INDEX('R&amp;B Inputs'!$I$82:$V$82,MATCH($B39,'R&amp;B Inputs'!$I$4:$V$4,0))*(1+INDEX('R&amp;B Inputs'!$I$62:$V$62,MATCH($B39,'R&amp;B Inputs'!$I$4:$V$4,0)))^(AG$7-Year1))</f>
        <v>-3.3000000000000002E-2</v>
      </c>
      <c r="AH39" s="506"/>
      <c r="AI39" s="506"/>
      <c r="AJ39" s="506">
        <f>IF($C$4=Year1,-PMT(Lookups!$E$17,25,NPV(Lookups!$E$17,G39:AE39),0,1),IF($C$4=Year2,-PMT(Lookups!$F$17,25,NPV(Lookups!$F$17,H39:AF39),0,1),IF($C$4=Year3,-PMT(Lookups!$G$17,25,NPV(Lookups!$G$17,I39:AG39),0,1),-PMT(Lookups!$G$17,27,NPV(Lookups!$G$17,G39:AG39),0,1))))</f>
        <v>-3.2539757869249397E-2</v>
      </c>
      <c r="AK39" s="507"/>
      <c r="AL39" s="507"/>
      <c r="AM39" s="508">
        <f>IF(AM$8=0,0,INDEX('R&amp;B Inputs'!$I$82:$V$82,MATCH($B39,'R&amp;B Inputs'!$I$4:$V$4,0))*(1+INDEX('R&amp;B Inputs'!$I$62:$V$62,MATCH($B39,'R&amp;B Inputs'!$I$4:$V$4,0)))^(AM$7-Year1))</f>
        <v>-3.3000000000000002E-2</v>
      </c>
      <c r="AN39" s="508">
        <f>IF(AN$8=0,0,INDEX('R&amp;B Inputs'!$I$82:$V$82,MATCH($B39,'R&amp;B Inputs'!$I$4:$V$4,0))*(1+INDEX('R&amp;B Inputs'!$I$62:$V$62,MATCH($B39,'R&amp;B Inputs'!$I$4:$V$4,0)))^(AN$7-Year1))</f>
        <v>-3.3000000000000002E-2</v>
      </c>
      <c r="AO39" s="508">
        <f>IF(AO$8=0,0,INDEX('R&amp;B Inputs'!$I$82:$V$82,MATCH($B39,'R&amp;B Inputs'!$I$4:$V$4,0))*(1+INDEX('R&amp;B Inputs'!$I$62:$V$62,MATCH($B39,'R&amp;B Inputs'!$I$4:$V$4,0)))^(AO$7-Year1))</f>
        <v>-3.3000000000000002E-2</v>
      </c>
      <c r="AP39" s="508">
        <f>IF(AP$8=0,0,INDEX('R&amp;B Inputs'!$I$82:$V$82,MATCH($B39,'R&amp;B Inputs'!$I$4:$V$4,0))*(1+INDEX('R&amp;B Inputs'!$I$62:$V$62,MATCH($B39,'R&amp;B Inputs'!$I$4:$V$4,0)))^(AP$7-Year1))</f>
        <v>-3.3000000000000002E-2</v>
      </c>
      <c r="AQ39" s="508">
        <f>IF(AQ$8=0,0,INDEX('R&amp;B Inputs'!$I$82:$V$82,MATCH($B39,'R&amp;B Inputs'!$I$4:$V$4,0))*(1+INDEX('R&amp;B Inputs'!$I$62:$V$62,MATCH($B39,'R&amp;B Inputs'!$I$4:$V$4,0)))^(AQ$7-Year1))</f>
        <v>-3.3000000000000002E-2</v>
      </c>
      <c r="AR39" s="508">
        <f>IF(AR$8=0,0,INDEX('R&amp;B Inputs'!$I$82:$V$82,MATCH($B39,'R&amp;B Inputs'!$I$4:$V$4,0))*(1+INDEX('R&amp;B Inputs'!$I$62:$V$62,MATCH($B39,'R&amp;B Inputs'!$I$4:$V$4,0)))^(AR$7-Year1))</f>
        <v>-3.3000000000000002E-2</v>
      </c>
      <c r="AS39" s="508">
        <f>IF(AS$8=0,0,INDEX('R&amp;B Inputs'!$I$82:$V$82,MATCH($B39,'R&amp;B Inputs'!$I$4:$V$4,0))*(1+INDEX('R&amp;B Inputs'!$I$62:$V$62,MATCH($B39,'R&amp;B Inputs'!$I$4:$V$4,0)))^(AS$7-Year1))</f>
        <v>-3.3000000000000002E-2</v>
      </c>
      <c r="AT39" s="508">
        <f>IF(AT$8=0,0,INDEX('R&amp;B Inputs'!$I$82:$V$82,MATCH($B39,'R&amp;B Inputs'!$I$4:$V$4,0))*(1+INDEX('R&amp;B Inputs'!$I$62:$V$62,MATCH($B39,'R&amp;B Inputs'!$I$4:$V$4,0)))^(AT$7-Year1))</f>
        <v>-3.3000000000000002E-2</v>
      </c>
      <c r="AU39" s="508">
        <f>IF(AU$8=0,0,INDEX('R&amp;B Inputs'!$I$82:$V$82,MATCH($B39,'R&amp;B Inputs'!$I$4:$V$4,0))*(1+INDEX('R&amp;B Inputs'!$I$62:$V$62,MATCH($B39,'R&amp;B Inputs'!$I$4:$V$4,0)))^(AU$7-Year1))</f>
        <v>-3.3000000000000002E-2</v>
      </c>
      <c r="AV39" s="508">
        <f>IF(AV$8=0,0,INDEX('R&amp;B Inputs'!$I$82:$V$82,MATCH($B39,'R&amp;B Inputs'!$I$4:$V$4,0))*(1+INDEX('R&amp;B Inputs'!$I$62:$V$62,MATCH($B39,'R&amp;B Inputs'!$I$4:$V$4,0)))^(AV$7-Year1))</f>
        <v>-3.3000000000000002E-2</v>
      </c>
      <c r="AW39" s="508">
        <f>IF(AW$8=0,0,INDEX('R&amp;B Inputs'!$I$82:$V$82,MATCH($B39,'R&amp;B Inputs'!$I$4:$V$4,0))*(1+INDEX('R&amp;B Inputs'!$I$62:$V$62,MATCH($B39,'R&amp;B Inputs'!$I$4:$V$4,0)))^(AW$7-Year1))</f>
        <v>-3.3000000000000002E-2</v>
      </c>
      <c r="AX39" s="508">
        <f>IF(AX$8=0,0,INDEX('R&amp;B Inputs'!$I$82:$V$82,MATCH($B39,'R&amp;B Inputs'!$I$4:$V$4,0))*(1+INDEX('R&amp;B Inputs'!$I$62:$V$62,MATCH($B39,'R&amp;B Inputs'!$I$4:$V$4,0)))^(AX$7-Year1))</f>
        <v>-3.3000000000000002E-2</v>
      </c>
      <c r="AY39" s="508">
        <f>IF(AY$8=0,0,INDEX('R&amp;B Inputs'!$I$82:$V$82,MATCH($B39,'R&amp;B Inputs'!$I$4:$V$4,0))*(1+INDEX('R&amp;B Inputs'!$I$62:$V$62,MATCH($B39,'R&amp;B Inputs'!$I$4:$V$4,0)))^(AY$7-Year1))</f>
        <v>-3.3000000000000002E-2</v>
      </c>
      <c r="AZ39" s="508">
        <f>IF(AZ$8=0,0,INDEX('R&amp;B Inputs'!$I$82:$V$82,MATCH($B39,'R&amp;B Inputs'!$I$4:$V$4,0))*(1+INDEX('R&amp;B Inputs'!$I$62:$V$62,MATCH($B39,'R&amp;B Inputs'!$I$4:$V$4,0)))^(AZ$7-Year1))</f>
        <v>-3.3000000000000002E-2</v>
      </c>
      <c r="BA39" s="508">
        <f>IF(BA$8=0,0,INDEX('R&amp;B Inputs'!$I$82:$V$82,MATCH($B39,'R&amp;B Inputs'!$I$4:$V$4,0))*(1+INDEX('R&amp;B Inputs'!$I$62:$V$62,MATCH($B39,'R&amp;B Inputs'!$I$4:$V$4,0)))^(BA$7-Year1))</f>
        <v>-3.3000000000000002E-2</v>
      </c>
      <c r="BB39" s="508">
        <f>IF(BB$8=0,0,INDEX('R&amp;B Inputs'!$I$82:$V$82,MATCH($B39,'R&amp;B Inputs'!$I$4:$V$4,0))*(1+INDEX('R&amp;B Inputs'!$I$62:$V$62,MATCH($B39,'R&amp;B Inputs'!$I$4:$V$4,0)))^(BB$7-Year1))</f>
        <v>-3.3000000000000002E-2</v>
      </c>
      <c r="BC39" s="508">
        <f>IF(BC$8=0,0,INDEX('R&amp;B Inputs'!$I$82:$V$82,MATCH($B39,'R&amp;B Inputs'!$I$4:$V$4,0))*(1+INDEX('R&amp;B Inputs'!$I$62:$V$62,MATCH($B39,'R&amp;B Inputs'!$I$4:$V$4,0)))^(BC$7-Year1))</f>
        <v>-3.3000000000000002E-2</v>
      </c>
      <c r="BD39" s="508">
        <f>IF(BD$8=0,0,INDEX('R&amp;B Inputs'!$I$82:$V$82,MATCH($B39,'R&amp;B Inputs'!$I$4:$V$4,0))*(1+INDEX('R&amp;B Inputs'!$I$62:$V$62,MATCH($B39,'R&amp;B Inputs'!$I$4:$V$4,0)))^(BD$7-Year1))</f>
        <v>-3.3000000000000002E-2</v>
      </c>
      <c r="BE39" s="508">
        <f>IF(BE$8=0,0,INDEX('R&amp;B Inputs'!$I$82:$V$82,MATCH($B39,'R&amp;B Inputs'!$I$4:$V$4,0))*(1+INDEX('R&amp;B Inputs'!$I$62:$V$62,MATCH($B39,'R&amp;B Inputs'!$I$4:$V$4,0)))^(BE$7-Year1))</f>
        <v>-3.3000000000000002E-2</v>
      </c>
      <c r="BF39" s="508">
        <f>IF(BF$8=0,0,INDEX('R&amp;B Inputs'!$I$82:$V$82,MATCH($B39,'R&amp;B Inputs'!$I$4:$V$4,0))*(1+INDEX('R&amp;B Inputs'!$I$62:$V$62,MATCH($B39,'R&amp;B Inputs'!$I$4:$V$4,0)))^(BF$7-Year1))</f>
        <v>-3.3000000000000002E-2</v>
      </c>
      <c r="BG39" s="508">
        <f>IF(BG$8=0,0,INDEX('R&amp;B Inputs'!$I$82:$V$82,MATCH($B39,'R&amp;B Inputs'!$I$4:$V$4,0))*(1+INDEX('R&amp;B Inputs'!$I$62:$V$62,MATCH($B39,'R&amp;B Inputs'!$I$4:$V$4,0)))^(BG$7-Year1))</f>
        <v>-3.3000000000000002E-2</v>
      </c>
      <c r="BH39" s="508">
        <f>IF(BH$8=0,0,INDEX('R&amp;B Inputs'!$I$82:$V$82,MATCH($B39,'R&amp;B Inputs'!$I$4:$V$4,0))*(1+INDEX('R&amp;B Inputs'!$I$62:$V$62,MATCH($B39,'R&amp;B Inputs'!$I$4:$V$4,0)))^(BH$7-Year1))</f>
        <v>-3.3000000000000002E-2</v>
      </c>
      <c r="BI39" s="508">
        <f>IF(BI$8=0,0,INDEX('R&amp;B Inputs'!$I$82:$V$82,MATCH($B39,'R&amp;B Inputs'!$I$4:$V$4,0))*(1+INDEX('R&amp;B Inputs'!$I$62:$V$62,MATCH($B39,'R&amp;B Inputs'!$I$4:$V$4,0)))^(BI$7-Year1))</f>
        <v>-3.3000000000000002E-2</v>
      </c>
      <c r="BJ39" s="508">
        <f>IF(BJ$8=0,0,INDEX('R&amp;B Inputs'!$I$82:$V$82,MATCH($B39,'R&amp;B Inputs'!$I$4:$V$4,0))*(1+INDEX('R&amp;B Inputs'!$I$62:$V$62,MATCH($B39,'R&amp;B Inputs'!$I$4:$V$4,0)))^(BJ$7-Year1))</f>
        <v>-3.3000000000000002E-2</v>
      </c>
      <c r="BK39" s="508">
        <f>IF(BK$8=0,0,INDEX('R&amp;B Inputs'!$I$82:$V$82,MATCH($B39,'R&amp;B Inputs'!$I$4:$V$4,0))*(1+INDEX('R&amp;B Inputs'!$I$62:$V$62,MATCH($B39,'R&amp;B Inputs'!$I$4:$V$4,0)))^(BK$7-Year1))</f>
        <v>-3.3000000000000002E-2</v>
      </c>
      <c r="BL39" s="508">
        <f>IF(BL$8=0,0,INDEX('R&amp;B Inputs'!$I$82:$V$82,MATCH($B39,'R&amp;B Inputs'!$I$4:$V$4,0))*(1+INDEX('R&amp;B Inputs'!$I$62:$V$62,MATCH($B39,'R&amp;B Inputs'!$I$4:$V$4,0)))^(BL$7-Year1))</f>
        <v>-3.3000000000000002E-2</v>
      </c>
      <c r="BM39" s="508">
        <f>IF(BM$8=0,0,INDEX('R&amp;B Inputs'!$I$82:$V$82,MATCH($B39,'R&amp;B Inputs'!$I$4:$V$4,0))*(1+INDEX('R&amp;B Inputs'!$I$62:$V$62,MATCH($B39,'R&amp;B Inputs'!$I$4:$V$4,0)))^(BM$7-Year1))</f>
        <v>-3.3000000000000002E-2</v>
      </c>
      <c r="BN39" s="508"/>
      <c r="BO39" s="508"/>
      <c r="BP39" s="508">
        <f>IF($C$4=Year1,-PMT(Lookups!$E$17,25,NPV(Lookups!$E$17,AM39:BK39),0,1),IF($C$4=Year2,-PMT(Lookups!$F$17,25,NPV(Lookups!$F$17,AN39:BL39),0,1),IF($C$4=Year3,-PMT(Lookups!$G$17,25,NPV(Lookups!$G$17,AO39:BM39),0,1),-PMT(Lookups!$G$17,27,NPV(Lookups!$G$17,AM39:BM39),0,1))))</f>
        <v>-3.2539757869249397E-2</v>
      </c>
      <c r="BS39" s="76" t="str">
        <f t="shared" si="20"/>
        <v>LDAC, Non-EE charge from the R&amp;B Inputs tab, escalated annually by the growth rate included on the R&amp;B Inputs tab.</v>
      </c>
      <c r="BT39" s="51" t="s">
        <v>17</v>
      </c>
    </row>
    <row r="40" spans="1:72" x14ac:dyDescent="0.25">
      <c r="B40" s="243" t="str">
        <f>B38</f>
        <v>Residential</v>
      </c>
      <c r="C40" s="243" t="str">
        <f>C38</f>
        <v>Rates</v>
      </c>
      <c r="D40" s="244" t="str">
        <f>D38</f>
        <v>Rates before DSM (No EE Scenario)</v>
      </c>
      <c r="E40" s="84" t="s">
        <v>197</v>
      </c>
      <c r="F40" s="84" t="s">
        <v>182</v>
      </c>
      <c r="G40" s="506">
        <f>IF(G$8=0,0,INDEX('R&amp;B Inputs'!$I$86:$V$86,MATCH($B40,'R&amp;B Inputs'!$I$4:$V$4,0))*(1+INDEX('R&amp;B Inputs'!$I$66:$V$66,MATCH($B40,'R&amp;B Inputs'!$I$4:$V$4,0)))^(G$7-Year1))</f>
        <v>0.62029999999999996</v>
      </c>
      <c r="H40" s="506">
        <f>IF(H$8=0,0,INDEX('R&amp;B Inputs'!$I$86:$V$86,MATCH($B40,'R&amp;B Inputs'!$I$4:$V$4,0))*(1+INDEX('R&amp;B Inputs'!$I$66:$V$66,MATCH($B40,'R&amp;B Inputs'!$I$4:$V$4,0)))^(H$7-Year1))</f>
        <v>0.62029999999999996</v>
      </c>
      <c r="I40" s="506">
        <f>IF(I$8=0,0,INDEX('R&amp;B Inputs'!$I$86:$V$86,MATCH($B40,'R&amp;B Inputs'!$I$4:$V$4,0))*(1+INDEX('R&amp;B Inputs'!$I$66:$V$66,MATCH($B40,'R&amp;B Inputs'!$I$4:$V$4,0)))^(I$7-Year1))</f>
        <v>0.62029999999999996</v>
      </c>
      <c r="J40" s="506">
        <f>IF(J$8=0,0,INDEX('R&amp;B Inputs'!$I$86:$V$86,MATCH($B40,'R&amp;B Inputs'!$I$4:$V$4,0))*(1+INDEX('R&amp;B Inputs'!$I$66:$V$66,MATCH($B40,'R&amp;B Inputs'!$I$4:$V$4,0)))^(J$7-Year1))</f>
        <v>0.62029999999999996</v>
      </c>
      <c r="K40" s="506">
        <f>IF(K$8=0,0,INDEX('R&amp;B Inputs'!$I$86:$V$86,MATCH($B40,'R&amp;B Inputs'!$I$4:$V$4,0))*(1+INDEX('R&amp;B Inputs'!$I$66:$V$66,MATCH($B40,'R&amp;B Inputs'!$I$4:$V$4,0)))^(K$7-Year1))</f>
        <v>0.62029999999999996</v>
      </c>
      <c r="L40" s="506">
        <f>IF(L$8=0,0,INDEX('R&amp;B Inputs'!$I$86:$V$86,MATCH($B40,'R&amp;B Inputs'!$I$4:$V$4,0))*(1+INDEX('R&amp;B Inputs'!$I$66:$V$66,MATCH($B40,'R&amp;B Inputs'!$I$4:$V$4,0)))^(L$7-Year1))</f>
        <v>0.62029999999999996</v>
      </c>
      <c r="M40" s="506">
        <f>IF(M$8=0,0,INDEX('R&amp;B Inputs'!$I$86:$V$86,MATCH($B40,'R&amp;B Inputs'!$I$4:$V$4,0))*(1+INDEX('R&amp;B Inputs'!$I$66:$V$66,MATCH($B40,'R&amp;B Inputs'!$I$4:$V$4,0)))^(M$7-Year1))</f>
        <v>0.62029999999999996</v>
      </c>
      <c r="N40" s="506">
        <f>IF(N$8=0,0,INDEX('R&amp;B Inputs'!$I$86:$V$86,MATCH($B40,'R&amp;B Inputs'!$I$4:$V$4,0))*(1+INDEX('R&amp;B Inputs'!$I$66:$V$66,MATCH($B40,'R&amp;B Inputs'!$I$4:$V$4,0)))^(N$7-Year1))</f>
        <v>0.62029999999999996</v>
      </c>
      <c r="O40" s="506">
        <f>IF(O$8=0,0,INDEX('R&amp;B Inputs'!$I$86:$V$86,MATCH($B40,'R&amp;B Inputs'!$I$4:$V$4,0))*(1+INDEX('R&amp;B Inputs'!$I$66:$V$66,MATCH($B40,'R&amp;B Inputs'!$I$4:$V$4,0)))^(O$7-Year1))</f>
        <v>0.62029999999999996</v>
      </c>
      <c r="P40" s="506">
        <f>IF(P$8=0,0,INDEX('R&amp;B Inputs'!$I$86:$V$86,MATCH($B40,'R&amp;B Inputs'!$I$4:$V$4,0))*(1+INDEX('R&amp;B Inputs'!$I$66:$V$66,MATCH($B40,'R&amp;B Inputs'!$I$4:$V$4,0)))^(P$7-Year1))</f>
        <v>0.62029999999999996</v>
      </c>
      <c r="Q40" s="506">
        <f>IF(Q$8=0,0,INDEX('R&amp;B Inputs'!$I$86:$V$86,MATCH($B40,'R&amp;B Inputs'!$I$4:$V$4,0))*(1+INDEX('R&amp;B Inputs'!$I$66:$V$66,MATCH($B40,'R&amp;B Inputs'!$I$4:$V$4,0)))^(Q$7-Year1))</f>
        <v>0.62029999999999996</v>
      </c>
      <c r="R40" s="506">
        <f>IF(R$8=0,0,INDEX('R&amp;B Inputs'!$I$86:$V$86,MATCH($B40,'R&amp;B Inputs'!$I$4:$V$4,0))*(1+INDEX('R&amp;B Inputs'!$I$66:$V$66,MATCH($B40,'R&amp;B Inputs'!$I$4:$V$4,0)))^(R$7-Year1))</f>
        <v>0.62029999999999996</v>
      </c>
      <c r="S40" s="506">
        <f>IF(S$8=0,0,INDEX('R&amp;B Inputs'!$I$86:$V$86,MATCH($B40,'R&amp;B Inputs'!$I$4:$V$4,0))*(1+INDEX('R&amp;B Inputs'!$I$66:$V$66,MATCH($B40,'R&amp;B Inputs'!$I$4:$V$4,0)))^(S$7-Year1))</f>
        <v>0.62029999999999996</v>
      </c>
      <c r="T40" s="506">
        <f>IF(T$8=0,0,INDEX('R&amp;B Inputs'!$I$86:$V$86,MATCH($B40,'R&amp;B Inputs'!$I$4:$V$4,0))*(1+INDEX('R&amp;B Inputs'!$I$66:$V$66,MATCH($B40,'R&amp;B Inputs'!$I$4:$V$4,0)))^(T$7-Year1))</f>
        <v>0.62029999999999996</v>
      </c>
      <c r="U40" s="506">
        <f>IF(U$8=0,0,INDEX('R&amp;B Inputs'!$I$86:$V$86,MATCH($B40,'R&amp;B Inputs'!$I$4:$V$4,0))*(1+INDEX('R&amp;B Inputs'!$I$66:$V$66,MATCH($B40,'R&amp;B Inputs'!$I$4:$V$4,0)))^(U$7-Year1))</f>
        <v>0.62029999999999996</v>
      </c>
      <c r="V40" s="506">
        <f>IF(V$8=0,0,INDEX('R&amp;B Inputs'!$I$86:$V$86,MATCH($B40,'R&amp;B Inputs'!$I$4:$V$4,0))*(1+INDEX('R&amp;B Inputs'!$I$66:$V$66,MATCH($B40,'R&amp;B Inputs'!$I$4:$V$4,0)))^(V$7-Year1))</f>
        <v>0.62029999999999996</v>
      </c>
      <c r="W40" s="506">
        <f>IF(W$8=0,0,INDEX('R&amp;B Inputs'!$I$86:$V$86,MATCH($B40,'R&amp;B Inputs'!$I$4:$V$4,0))*(1+INDEX('R&amp;B Inputs'!$I$66:$V$66,MATCH($B40,'R&amp;B Inputs'!$I$4:$V$4,0)))^(W$7-Year1))</f>
        <v>0.62029999999999996</v>
      </c>
      <c r="X40" s="506">
        <f>IF(X$8=0,0,INDEX('R&amp;B Inputs'!$I$86:$V$86,MATCH($B40,'R&amp;B Inputs'!$I$4:$V$4,0))*(1+INDEX('R&amp;B Inputs'!$I$66:$V$66,MATCH($B40,'R&amp;B Inputs'!$I$4:$V$4,0)))^(X$7-Year1))</f>
        <v>0.62029999999999996</v>
      </c>
      <c r="Y40" s="506">
        <f>IF(Y$8=0,0,INDEX('R&amp;B Inputs'!$I$86:$V$86,MATCH($B40,'R&amp;B Inputs'!$I$4:$V$4,0))*(1+INDEX('R&amp;B Inputs'!$I$66:$V$66,MATCH($B40,'R&amp;B Inputs'!$I$4:$V$4,0)))^(Y$7-Year1))</f>
        <v>0.62029999999999996</v>
      </c>
      <c r="Z40" s="506">
        <f>IF(Z$8=0,0,INDEX('R&amp;B Inputs'!$I$86:$V$86,MATCH($B40,'R&amp;B Inputs'!$I$4:$V$4,0))*(1+INDEX('R&amp;B Inputs'!$I$66:$V$66,MATCH($B40,'R&amp;B Inputs'!$I$4:$V$4,0)))^(Z$7-Year1))</f>
        <v>0.62029999999999996</v>
      </c>
      <c r="AA40" s="506">
        <f>IF(AA$8=0,0,INDEX('R&amp;B Inputs'!$I$86:$V$86,MATCH($B40,'R&amp;B Inputs'!$I$4:$V$4,0))*(1+INDEX('R&amp;B Inputs'!$I$66:$V$66,MATCH($B40,'R&amp;B Inputs'!$I$4:$V$4,0)))^(AA$7-Year1))</f>
        <v>0.62029999999999996</v>
      </c>
      <c r="AB40" s="506">
        <f>IF(AB$8=0,0,INDEX('R&amp;B Inputs'!$I$86:$V$86,MATCH($B40,'R&amp;B Inputs'!$I$4:$V$4,0))*(1+INDEX('R&amp;B Inputs'!$I$66:$V$66,MATCH($B40,'R&amp;B Inputs'!$I$4:$V$4,0)))^(AB$7-Year1))</f>
        <v>0.62029999999999996</v>
      </c>
      <c r="AC40" s="506">
        <f>IF(AC$8=0,0,INDEX('R&amp;B Inputs'!$I$86:$V$86,MATCH($B40,'R&amp;B Inputs'!$I$4:$V$4,0))*(1+INDEX('R&amp;B Inputs'!$I$66:$V$66,MATCH($B40,'R&amp;B Inputs'!$I$4:$V$4,0)))^(AC$7-Year1))</f>
        <v>0.62029999999999996</v>
      </c>
      <c r="AD40" s="506">
        <f>IF(AD$8=0,0,INDEX('R&amp;B Inputs'!$I$86:$V$86,MATCH($B40,'R&amp;B Inputs'!$I$4:$V$4,0))*(1+INDEX('R&amp;B Inputs'!$I$66:$V$66,MATCH($B40,'R&amp;B Inputs'!$I$4:$V$4,0)))^(AD$7-Year1))</f>
        <v>0.62029999999999996</v>
      </c>
      <c r="AE40" s="506">
        <f>IF(AE$8=0,0,INDEX('R&amp;B Inputs'!$I$86:$V$86,MATCH($B40,'R&amp;B Inputs'!$I$4:$V$4,0))*(1+INDEX('R&amp;B Inputs'!$I$66:$V$66,MATCH($B40,'R&amp;B Inputs'!$I$4:$V$4,0)))^(AE$7-Year1))</f>
        <v>0.62029999999999996</v>
      </c>
      <c r="AF40" s="506">
        <f>IF(AF$8=0,0,INDEX('R&amp;B Inputs'!$I$86:$V$86,MATCH($B40,'R&amp;B Inputs'!$I$4:$V$4,0))*(1+INDEX('R&amp;B Inputs'!$I$66:$V$66,MATCH($B40,'R&amp;B Inputs'!$I$4:$V$4,0)))^(AF$7-Year1))</f>
        <v>0.62029999999999996</v>
      </c>
      <c r="AG40" s="506">
        <f>IF(AG$8=0,0,INDEX('R&amp;B Inputs'!$I$86:$V$86,MATCH($B40,'R&amp;B Inputs'!$I$4:$V$4,0))*(1+INDEX('R&amp;B Inputs'!$I$66:$V$66,MATCH($B40,'R&amp;B Inputs'!$I$4:$V$4,0)))^(AG$7-Year1))</f>
        <v>0.62029999999999996</v>
      </c>
      <c r="AH40" s="506"/>
      <c r="AI40" s="506"/>
      <c r="AJ40" s="506">
        <f>IF($C$4=Year1,-PMT(Lookups!$E$17,25,NPV(Lookups!$E$17,G40:AE40),0,1),IF($C$4=Year2,-PMT(Lookups!$F$17,25,NPV(Lookups!$F$17,H40:AF40),0,1),IF($C$4=Year3,-PMT(Lookups!$G$17,25,NPV(Lookups!$G$17,I40:AG40),0,1),-PMT(Lookups!$G$17,27,NPV(Lookups!$G$17,G40:AG40),0,1))))</f>
        <v>0.61164884261501185</v>
      </c>
      <c r="AK40" s="507"/>
      <c r="AL40" s="507"/>
      <c r="AM40" s="508">
        <f>IF(AM$8=0,0,INDEX('R&amp;B Inputs'!$I$86:$V$86,MATCH($B40,'R&amp;B Inputs'!$I$4:$V$4,0))*(1+INDEX('R&amp;B Inputs'!$I$66:$V$66,MATCH($B40,'R&amp;B Inputs'!$I$4:$V$4,0)))^(AM$7-Year1))</f>
        <v>0.62029999999999996</v>
      </c>
      <c r="AN40" s="508">
        <f>IF(AN$8=0,0,INDEX('R&amp;B Inputs'!$I$86:$V$86,MATCH($B40,'R&amp;B Inputs'!$I$4:$V$4,0))*(1+INDEX('R&amp;B Inputs'!$I$66:$V$66,MATCH($B40,'R&amp;B Inputs'!$I$4:$V$4,0)))^(AN$7-Year1))</f>
        <v>0.62029999999999996</v>
      </c>
      <c r="AO40" s="508">
        <f>IF(AO$8=0,0,INDEX('R&amp;B Inputs'!$I$86:$V$86,MATCH($B40,'R&amp;B Inputs'!$I$4:$V$4,0))*(1+INDEX('R&amp;B Inputs'!$I$66:$V$66,MATCH($B40,'R&amp;B Inputs'!$I$4:$V$4,0)))^(AO$7-Year1))</f>
        <v>0.62029999999999996</v>
      </c>
      <c r="AP40" s="508">
        <f>IF(AP$8=0,0,INDEX('R&amp;B Inputs'!$I$86:$V$86,MATCH($B40,'R&amp;B Inputs'!$I$4:$V$4,0))*(1+INDEX('R&amp;B Inputs'!$I$66:$V$66,MATCH($B40,'R&amp;B Inputs'!$I$4:$V$4,0)))^(AP$7-Year1))</f>
        <v>0.62029999999999996</v>
      </c>
      <c r="AQ40" s="508">
        <f>IF(AQ$8=0,0,INDEX('R&amp;B Inputs'!$I$86:$V$86,MATCH($B40,'R&amp;B Inputs'!$I$4:$V$4,0))*(1+INDEX('R&amp;B Inputs'!$I$66:$V$66,MATCH($B40,'R&amp;B Inputs'!$I$4:$V$4,0)))^(AQ$7-Year1))</f>
        <v>0.62029999999999996</v>
      </c>
      <c r="AR40" s="508">
        <f>IF(AR$8=0,0,INDEX('R&amp;B Inputs'!$I$86:$V$86,MATCH($B40,'R&amp;B Inputs'!$I$4:$V$4,0))*(1+INDEX('R&amp;B Inputs'!$I$66:$V$66,MATCH($B40,'R&amp;B Inputs'!$I$4:$V$4,0)))^(AR$7-Year1))</f>
        <v>0.62029999999999996</v>
      </c>
      <c r="AS40" s="508">
        <f>IF(AS$8=0,0,INDEX('R&amp;B Inputs'!$I$86:$V$86,MATCH($B40,'R&amp;B Inputs'!$I$4:$V$4,0))*(1+INDEX('R&amp;B Inputs'!$I$66:$V$66,MATCH($B40,'R&amp;B Inputs'!$I$4:$V$4,0)))^(AS$7-Year1))</f>
        <v>0.62029999999999996</v>
      </c>
      <c r="AT40" s="508">
        <f>IF(AT$8=0,0,INDEX('R&amp;B Inputs'!$I$86:$V$86,MATCH($B40,'R&amp;B Inputs'!$I$4:$V$4,0))*(1+INDEX('R&amp;B Inputs'!$I$66:$V$66,MATCH($B40,'R&amp;B Inputs'!$I$4:$V$4,0)))^(AT$7-Year1))</f>
        <v>0.62029999999999996</v>
      </c>
      <c r="AU40" s="508">
        <f>IF(AU$8=0,0,INDEX('R&amp;B Inputs'!$I$86:$V$86,MATCH($B40,'R&amp;B Inputs'!$I$4:$V$4,0))*(1+INDEX('R&amp;B Inputs'!$I$66:$V$66,MATCH($B40,'R&amp;B Inputs'!$I$4:$V$4,0)))^(AU$7-Year1))</f>
        <v>0.62029999999999996</v>
      </c>
      <c r="AV40" s="508">
        <f>IF(AV$8=0,0,INDEX('R&amp;B Inputs'!$I$86:$V$86,MATCH($B40,'R&amp;B Inputs'!$I$4:$V$4,0))*(1+INDEX('R&amp;B Inputs'!$I$66:$V$66,MATCH($B40,'R&amp;B Inputs'!$I$4:$V$4,0)))^(AV$7-Year1))</f>
        <v>0.62029999999999996</v>
      </c>
      <c r="AW40" s="508">
        <f>IF(AW$8=0,0,INDEX('R&amp;B Inputs'!$I$86:$V$86,MATCH($B40,'R&amp;B Inputs'!$I$4:$V$4,0))*(1+INDEX('R&amp;B Inputs'!$I$66:$V$66,MATCH($B40,'R&amp;B Inputs'!$I$4:$V$4,0)))^(AW$7-Year1))</f>
        <v>0.62029999999999996</v>
      </c>
      <c r="AX40" s="508">
        <f>IF(AX$8=0,0,INDEX('R&amp;B Inputs'!$I$86:$V$86,MATCH($B40,'R&amp;B Inputs'!$I$4:$V$4,0))*(1+INDEX('R&amp;B Inputs'!$I$66:$V$66,MATCH($B40,'R&amp;B Inputs'!$I$4:$V$4,0)))^(AX$7-Year1))</f>
        <v>0.62029999999999996</v>
      </c>
      <c r="AY40" s="508">
        <f>IF(AY$8=0,0,INDEX('R&amp;B Inputs'!$I$86:$V$86,MATCH($B40,'R&amp;B Inputs'!$I$4:$V$4,0))*(1+INDEX('R&amp;B Inputs'!$I$66:$V$66,MATCH($B40,'R&amp;B Inputs'!$I$4:$V$4,0)))^(AY$7-Year1))</f>
        <v>0.62029999999999996</v>
      </c>
      <c r="AZ40" s="508">
        <f>IF(AZ$8=0,0,INDEX('R&amp;B Inputs'!$I$86:$V$86,MATCH($B40,'R&amp;B Inputs'!$I$4:$V$4,0))*(1+INDEX('R&amp;B Inputs'!$I$66:$V$66,MATCH($B40,'R&amp;B Inputs'!$I$4:$V$4,0)))^(AZ$7-Year1))</f>
        <v>0.62029999999999996</v>
      </c>
      <c r="BA40" s="508">
        <f>IF(BA$8=0,0,INDEX('R&amp;B Inputs'!$I$86:$V$86,MATCH($B40,'R&amp;B Inputs'!$I$4:$V$4,0))*(1+INDEX('R&amp;B Inputs'!$I$66:$V$66,MATCH($B40,'R&amp;B Inputs'!$I$4:$V$4,0)))^(BA$7-Year1))</f>
        <v>0.62029999999999996</v>
      </c>
      <c r="BB40" s="508">
        <f>IF(BB$8=0,0,INDEX('R&amp;B Inputs'!$I$86:$V$86,MATCH($B40,'R&amp;B Inputs'!$I$4:$V$4,0))*(1+INDEX('R&amp;B Inputs'!$I$66:$V$66,MATCH($B40,'R&amp;B Inputs'!$I$4:$V$4,0)))^(BB$7-Year1))</f>
        <v>0.62029999999999996</v>
      </c>
      <c r="BC40" s="508">
        <f>IF(BC$8=0,0,INDEX('R&amp;B Inputs'!$I$86:$V$86,MATCH($B40,'R&amp;B Inputs'!$I$4:$V$4,0))*(1+INDEX('R&amp;B Inputs'!$I$66:$V$66,MATCH($B40,'R&amp;B Inputs'!$I$4:$V$4,0)))^(BC$7-Year1))</f>
        <v>0.62029999999999996</v>
      </c>
      <c r="BD40" s="508">
        <f>IF(BD$8=0,0,INDEX('R&amp;B Inputs'!$I$86:$V$86,MATCH($B40,'R&amp;B Inputs'!$I$4:$V$4,0))*(1+INDEX('R&amp;B Inputs'!$I$66:$V$66,MATCH($B40,'R&amp;B Inputs'!$I$4:$V$4,0)))^(BD$7-Year1))</f>
        <v>0.62029999999999996</v>
      </c>
      <c r="BE40" s="508">
        <f>IF(BE$8=0,0,INDEX('R&amp;B Inputs'!$I$86:$V$86,MATCH($B40,'R&amp;B Inputs'!$I$4:$V$4,0))*(1+INDEX('R&amp;B Inputs'!$I$66:$V$66,MATCH($B40,'R&amp;B Inputs'!$I$4:$V$4,0)))^(BE$7-Year1))</f>
        <v>0.62029999999999996</v>
      </c>
      <c r="BF40" s="508">
        <f>IF(BF$8=0,0,INDEX('R&amp;B Inputs'!$I$86:$V$86,MATCH($B40,'R&amp;B Inputs'!$I$4:$V$4,0))*(1+INDEX('R&amp;B Inputs'!$I$66:$V$66,MATCH($B40,'R&amp;B Inputs'!$I$4:$V$4,0)))^(BF$7-Year1))</f>
        <v>0.62029999999999996</v>
      </c>
      <c r="BG40" s="508">
        <f>IF(BG$8=0,0,INDEX('R&amp;B Inputs'!$I$86:$V$86,MATCH($B40,'R&amp;B Inputs'!$I$4:$V$4,0))*(1+INDEX('R&amp;B Inputs'!$I$66:$V$66,MATCH($B40,'R&amp;B Inputs'!$I$4:$V$4,0)))^(BG$7-Year1))</f>
        <v>0.62029999999999996</v>
      </c>
      <c r="BH40" s="508">
        <f>IF(BH$8=0,0,INDEX('R&amp;B Inputs'!$I$86:$V$86,MATCH($B40,'R&amp;B Inputs'!$I$4:$V$4,0))*(1+INDEX('R&amp;B Inputs'!$I$66:$V$66,MATCH($B40,'R&amp;B Inputs'!$I$4:$V$4,0)))^(BH$7-Year1))</f>
        <v>0.62029999999999996</v>
      </c>
      <c r="BI40" s="508">
        <f>IF(BI$8=0,0,INDEX('R&amp;B Inputs'!$I$86:$V$86,MATCH($B40,'R&amp;B Inputs'!$I$4:$V$4,0))*(1+INDEX('R&amp;B Inputs'!$I$66:$V$66,MATCH($B40,'R&amp;B Inputs'!$I$4:$V$4,0)))^(BI$7-Year1))</f>
        <v>0.62029999999999996</v>
      </c>
      <c r="BJ40" s="508">
        <f>IF(BJ$8=0,0,INDEX('R&amp;B Inputs'!$I$86:$V$86,MATCH($B40,'R&amp;B Inputs'!$I$4:$V$4,0))*(1+INDEX('R&amp;B Inputs'!$I$66:$V$66,MATCH($B40,'R&amp;B Inputs'!$I$4:$V$4,0)))^(BJ$7-Year1))</f>
        <v>0.62029999999999996</v>
      </c>
      <c r="BK40" s="508">
        <f>IF(BK$8=0,0,INDEX('R&amp;B Inputs'!$I$86:$V$86,MATCH($B40,'R&amp;B Inputs'!$I$4:$V$4,0))*(1+INDEX('R&amp;B Inputs'!$I$66:$V$66,MATCH($B40,'R&amp;B Inputs'!$I$4:$V$4,0)))^(BK$7-Year1))</f>
        <v>0.62029999999999996</v>
      </c>
      <c r="BL40" s="508">
        <f>IF(BL$8=0,0,INDEX('R&amp;B Inputs'!$I$86:$V$86,MATCH($B40,'R&amp;B Inputs'!$I$4:$V$4,0))*(1+INDEX('R&amp;B Inputs'!$I$66:$V$66,MATCH($B40,'R&amp;B Inputs'!$I$4:$V$4,0)))^(BL$7-Year1))</f>
        <v>0.62029999999999996</v>
      </c>
      <c r="BM40" s="508">
        <f>IF(BM$8=0,0,INDEX('R&amp;B Inputs'!$I$86:$V$86,MATCH($B40,'R&amp;B Inputs'!$I$4:$V$4,0))*(1+INDEX('R&amp;B Inputs'!$I$66:$V$66,MATCH($B40,'R&amp;B Inputs'!$I$4:$V$4,0)))^(BM$7-Year1))</f>
        <v>0.62029999999999996</v>
      </c>
      <c r="BN40" s="508"/>
      <c r="BO40" s="508"/>
      <c r="BP40" s="508">
        <f>IF($C$4=Year1,-PMT(Lookups!$E$17,25,NPV(Lookups!$E$17,AM40:BK40),0,1),IF($C$4=Year2,-PMT(Lookups!$F$17,25,NPV(Lookups!$F$17,AN40:BL40),0,1),IF($C$4=Year3,-PMT(Lookups!$G$17,25,NPV(Lookups!$G$17,AO40:BM40),0,1),-PMT(Lookups!$G$17,27,NPV(Lookups!$G$17,AM40:BM40),0,1))))</f>
        <v>0.61164884261501185</v>
      </c>
      <c r="BS40" s="76" t="str">
        <f t="shared" si="20"/>
        <v>Cost of Gas charge from the R&amp;B Inputs tab, escalated annually by the growth rate included on the R&amp;B Inputs tab.</v>
      </c>
      <c r="BT40" s="51" t="s">
        <v>17</v>
      </c>
    </row>
    <row r="41" spans="1:72" x14ac:dyDescent="0.25">
      <c r="B41" s="243" t="str">
        <f>B42</f>
        <v>Residential</v>
      </c>
      <c r="C41" s="243" t="str">
        <f>C42</f>
        <v>Rates</v>
      </c>
      <c r="D41" s="244" t="str">
        <f>D42</f>
        <v>Rates before DSM (No EE Scenario)</v>
      </c>
      <c r="E41" s="86" t="s">
        <v>75</v>
      </c>
      <c r="F41" s="84" t="s">
        <v>182</v>
      </c>
      <c r="G41" s="506">
        <f>IF(G$8=0,0,INDEX('R&amp;B Inputs'!$H$73:$U$73,MATCH($B40,'R&amp;B Inputs'!$H$4:$U$4,0))*(1+INDEX('R&amp;B Inputs'!$H$46:$U$46,MATCH($B40,'R&amp;B Inputs'!$H$4:$U$4,0)))^(G$7-Year1))</f>
        <v>0.2233803664496018</v>
      </c>
      <c r="H41" s="506">
        <f>IF(H$8=0,0,INDEX('R&amp;B Inputs'!$H$73:$U$73,MATCH($B40,'R&amp;B Inputs'!$H$4:$U$4,0))*(1+INDEX('R&amp;B Inputs'!$H$46:$U$46,MATCH($B40,'R&amp;B Inputs'!$H$4:$U$4,0)))^(H$7-Year1))</f>
        <v>0.2233803664496018</v>
      </c>
      <c r="I41" s="506">
        <f>IF(I$8=0,0,INDEX('R&amp;B Inputs'!$H$73:$U$73,MATCH($B40,'R&amp;B Inputs'!$H$4:$U$4,0))*(1+INDEX('R&amp;B Inputs'!$H$46:$U$46,MATCH($B40,'R&amp;B Inputs'!$H$4:$U$4,0)))^(I$7-Year1))</f>
        <v>0.2233803664496018</v>
      </c>
      <c r="J41" s="506">
        <f>IF(J$8=0,0,INDEX('R&amp;B Inputs'!$H$73:$U$73,MATCH($B40,'R&amp;B Inputs'!$H$4:$U$4,0))*(1+INDEX('R&amp;B Inputs'!$H$46:$U$46,MATCH($B40,'R&amp;B Inputs'!$H$4:$U$4,0)))^(J$7-Year1))</f>
        <v>0.2233803664496018</v>
      </c>
      <c r="K41" s="506">
        <f>IF(K$8=0,0,INDEX('R&amp;B Inputs'!$H$73:$U$73,MATCH($B40,'R&amp;B Inputs'!$H$4:$U$4,0))*(1+INDEX('R&amp;B Inputs'!$H$46:$U$46,MATCH($B40,'R&amp;B Inputs'!$H$4:$U$4,0)))^(K$7-Year1))</f>
        <v>0.2233803664496018</v>
      </c>
      <c r="L41" s="506">
        <f>IF(L$8=0,0,INDEX('R&amp;B Inputs'!$H$73:$U$73,MATCH($B40,'R&amp;B Inputs'!$H$4:$U$4,0))*(1+INDEX('R&amp;B Inputs'!$H$46:$U$46,MATCH($B40,'R&amp;B Inputs'!$H$4:$U$4,0)))^(L$7-Year1))</f>
        <v>0.2233803664496018</v>
      </c>
      <c r="M41" s="506">
        <f>IF(M$8=0,0,INDEX('R&amp;B Inputs'!$H$73:$U$73,MATCH($B40,'R&amp;B Inputs'!$H$4:$U$4,0))*(1+INDEX('R&amp;B Inputs'!$H$46:$U$46,MATCH($B40,'R&amp;B Inputs'!$H$4:$U$4,0)))^(M$7-Year1))</f>
        <v>0.2233803664496018</v>
      </c>
      <c r="N41" s="506">
        <f>IF(N$8=0,0,INDEX('R&amp;B Inputs'!$H$73:$U$73,MATCH($B40,'R&amp;B Inputs'!$H$4:$U$4,0))*(1+INDEX('R&amp;B Inputs'!$H$46:$U$46,MATCH($B40,'R&amp;B Inputs'!$H$4:$U$4,0)))^(N$7-Year1))</f>
        <v>0.2233803664496018</v>
      </c>
      <c r="O41" s="506">
        <f>IF(O$8=0,0,INDEX('R&amp;B Inputs'!$H$73:$U$73,MATCH($B40,'R&amp;B Inputs'!$H$4:$U$4,0))*(1+INDEX('R&amp;B Inputs'!$H$46:$U$46,MATCH($B40,'R&amp;B Inputs'!$H$4:$U$4,0)))^(O$7-Year1))</f>
        <v>0.2233803664496018</v>
      </c>
      <c r="P41" s="506">
        <f>IF(P$8=0,0,INDEX('R&amp;B Inputs'!$H$73:$U$73,MATCH($B40,'R&amp;B Inputs'!$H$4:$U$4,0))*(1+INDEX('R&amp;B Inputs'!$H$46:$U$46,MATCH($B40,'R&amp;B Inputs'!$H$4:$U$4,0)))^(P$7-Year1))</f>
        <v>0.2233803664496018</v>
      </c>
      <c r="Q41" s="506">
        <f>IF(Q$8=0,0,INDEX('R&amp;B Inputs'!$H$73:$U$73,MATCH($B40,'R&amp;B Inputs'!$H$4:$U$4,0))*(1+INDEX('R&amp;B Inputs'!$H$46:$U$46,MATCH($B40,'R&amp;B Inputs'!$H$4:$U$4,0)))^(Q$7-Year1))</f>
        <v>0.2233803664496018</v>
      </c>
      <c r="R41" s="506">
        <f>IF(R$8=0,0,INDEX('R&amp;B Inputs'!$H$73:$U$73,MATCH($B40,'R&amp;B Inputs'!$H$4:$U$4,0))*(1+INDEX('R&amp;B Inputs'!$H$46:$U$46,MATCH($B40,'R&amp;B Inputs'!$H$4:$U$4,0)))^(R$7-Year1))</f>
        <v>0.2233803664496018</v>
      </c>
      <c r="S41" s="506">
        <f>IF(S$8=0,0,INDEX('R&amp;B Inputs'!$H$73:$U$73,MATCH($B40,'R&amp;B Inputs'!$H$4:$U$4,0))*(1+INDEX('R&amp;B Inputs'!$H$46:$U$46,MATCH($B40,'R&amp;B Inputs'!$H$4:$U$4,0)))^(S$7-Year1))</f>
        <v>0.2233803664496018</v>
      </c>
      <c r="T41" s="506">
        <f>IF(T$8=0,0,INDEX('R&amp;B Inputs'!$H$73:$U$73,MATCH($B40,'R&amp;B Inputs'!$H$4:$U$4,0))*(1+INDEX('R&amp;B Inputs'!$H$46:$U$46,MATCH($B40,'R&amp;B Inputs'!$H$4:$U$4,0)))^(T$7-Year1))</f>
        <v>0.2233803664496018</v>
      </c>
      <c r="U41" s="506">
        <f>IF(U$8=0,0,INDEX('R&amp;B Inputs'!$H$73:$U$73,MATCH($B40,'R&amp;B Inputs'!$H$4:$U$4,0))*(1+INDEX('R&amp;B Inputs'!$H$46:$U$46,MATCH($B40,'R&amp;B Inputs'!$H$4:$U$4,0)))^(U$7-Year1))</f>
        <v>0.2233803664496018</v>
      </c>
      <c r="V41" s="506">
        <f>IF(V$8=0,0,INDEX('R&amp;B Inputs'!$H$73:$U$73,MATCH($B40,'R&amp;B Inputs'!$H$4:$U$4,0))*(1+INDEX('R&amp;B Inputs'!$H$46:$U$46,MATCH($B40,'R&amp;B Inputs'!$H$4:$U$4,0)))^(V$7-Year1))</f>
        <v>0.2233803664496018</v>
      </c>
      <c r="W41" s="506">
        <f>IF(W$8=0,0,INDEX('R&amp;B Inputs'!$H$73:$U$73,MATCH($B40,'R&amp;B Inputs'!$H$4:$U$4,0))*(1+INDEX('R&amp;B Inputs'!$H$46:$U$46,MATCH($B40,'R&amp;B Inputs'!$H$4:$U$4,0)))^(W$7-Year1))</f>
        <v>0.2233803664496018</v>
      </c>
      <c r="X41" s="506">
        <f>IF(X$8=0,0,INDEX('R&amp;B Inputs'!$H$73:$U$73,MATCH($B40,'R&amp;B Inputs'!$H$4:$U$4,0))*(1+INDEX('R&amp;B Inputs'!$H$46:$U$46,MATCH($B40,'R&amp;B Inputs'!$H$4:$U$4,0)))^(X$7-Year1))</f>
        <v>0.2233803664496018</v>
      </c>
      <c r="Y41" s="506">
        <f>IF(Y$8=0,0,INDEX('R&amp;B Inputs'!$H$73:$U$73,MATCH($B40,'R&amp;B Inputs'!$H$4:$U$4,0))*(1+INDEX('R&amp;B Inputs'!$H$46:$U$46,MATCH($B40,'R&amp;B Inputs'!$H$4:$U$4,0)))^(Y$7-Year1))</f>
        <v>0.2233803664496018</v>
      </c>
      <c r="Z41" s="506">
        <f>IF(Z$8=0,0,INDEX('R&amp;B Inputs'!$H$73:$U$73,MATCH($B40,'R&amp;B Inputs'!$H$4:$U$4,0))*(1+INDEX('R&amp;B Inputs'!$H$46:$U$46,MATCH($B40,'R&amp;B Inputs'!$H$4:$U$4,0)))^(Z$7-Year1))</f>
        <v>0.2233803664496018</v>
      </c>
      <c r="AA41" s="506">
        <f>IF(AA$8=0,0,INDEX('R&amp;B Inputs'!$H$73:$U$73,MATCH($B40,'R&amp;B Inputs'!$H$4:$U$4,0))*(1+INDEX('R&amp;B Inputs'!$H$46:$U$46,MATCH($B40,'R&amp;B Inputs'!$H$4:$U$4,0)))^(AA$7-Year1))</f>
        <v>0.2233803664496018</v>
      </c>
      <c r="AB41" s="506">
        <f>IF(AB$8=0,0,INDEX('R&amp;B Inputs'!$H$73:$U$73,MATCH($B40,'R&amp;B Inputs'!$H$4:$U$4,0))*(1+INDEX('R&amp;B Inputs'!$H$46:$U$46,MATCH($B40,'R&amp;B Inputs'!$H$4:$U$4,0)))^(AB$7-Year1))</f>
        <v>0.2233803664496018</v>
      </c>
      <c r="AC41" s="506">
        <f>IF(AC$8=0,0,INDEX('R&amp;B Inputs'!$H$73:$U$73,MATCH($B40,'R&amp;B Inputs'!$H$4:$U$4,0))*(1+INDEX('R&amp;B Inputs'!$H$46:$U$46,MATCH($B40,'R&amp;B Inputs'!$H$4:$U$4,0)))^(AC$7-Year1))</f>
        <v>0.2233803664496018</v>
      </c>
      <c r="AD41" s="506">
        <f>IF(AD$8=0,0,INDEX('R&amp;B Inputs'!$H$73:$U$73,MATCH($B40,'R&amp;B Inputs'!$H$4:$U$4,0))*(1+INDEX('R&amp;B Inputs'!$H$46:$U$46,MATCH($B40,'R&amp;B Inputs'!$H$4:$U$4,0)))^(AD$7-Year1))</f>
        <v>0.2233803664496018</v>
      </c>
      <c r="AE41" s="506">
        <f>IF(AE$8=0,0,INDEX('R&amp;B Inputs'!$H$73:$U$73,MATCH($B40,'R&amp;B Inputs'!$H$4:$U$4,0))*(1+INDEX('R&amp;B Inputs'!$H$46:$U$46,MATCH($B40,'R&amp;B Inputs'!$H$4:$U$4,0)))^(AE$7-Year1))</f>
        <v>0.2233803664496018</v>
      </c>
      <c r="AF41" s="506">
        <f>IF(AF$8=0,0,INDEX('R&amp;B Inputs'!$H$73:$U$73,MATCH($B40,'R&amp;B Inputs'!$H$4:$U$4,0))*(1+INDEX('R&amp;B Inputs'!$H$46:$U$46,MATCH($B40,'R&amp;B Inputs'!$H$4:$U$4,0)))^(AF$7-Year1))</f>
        <v>0.2233803664496018</v>
      </c>
      <c r="AG41" s="506">
        <f>IF(AG$8=0,0,INDEX('R&amp;B Inputs'!$H$73:$U$73,MATCH($B40,'R&amp;B Inputs'!$H$4:$U$4,0))*(1+INDEX('R&amp;B Inputs'!$H$46:$U$46,MATCH($B40,'R&amp;B Inputs'!$H$4:$U$4,0)))^(AG$7-Year1))</f>
        <v>0.2233803664496018</v>
      </c>
      <c r="AH41" s="506"/>
      <c r="AI41" s="506"/>
      <c r="AJ41" s="506">
        <f>IF($C$4=Year1,-PMT(Lookups!$E$17,25,NPV(Lookups!$E$17,G41:AE41),0,1),IF($C$4=Year2,-PMT(Lookups!$F$17,25,NPV(Lookups!$F$17,H41:AF41),0,1),IF($C$4=Year3,-PMT(Lookups!$G$17,25,NPV(Lookups!$G$17,I41:AG41),0,1),-PMT(Lookups!$G$17,27,NPV(Lookups!$G$17,G41:AG41),0,1))))</f>
        <v>0.22026494051558318</v>
      </c>
      <c r="AK41" s="507"/>
      <c r="AL41" s="507"/>
      <c r="AM41" s="508">
        <f>IF(AM$8=0,0,INDEX('R&amp;B Inputs'!$H$73:$U$73,MATCH($B40,'R&amp;B Inputs'!$H$4:$U$4,0))*(1+INDEX('R&amp;B Inputs'!$H$46:$U$46,MATCH($B40,'R&amp;B Inputs'!$H$4:$U$4,0)))^(AM$7-Year1))</f>
        <v>0.2233803664496018</v>
      </c>
      <c r="AN41" s="508">
        <f>IF(AN$8=0,0,INDEX('R&amp;B Inputs'!$H$73:$U$73,MATCH($B40,'R&amp;B Inputs'!$H$4:$U$4,0))*(1+INDEX('R&amp;B Inputs'!$H$46:$U$46,MATCH($B40,'R&amp;B Inputs'!$H$4:$U$4,0)))^(AN$7-Year1))</f>
        <v>0.2233803664496018</v>
      </c>
      <c r="AO41" s="508">
        <f>IF(AO$8=0,0,INDEX('R&amp;B Inputs'!$H$73:$U$73,MATCH($B40,'R&amp;B Inputs'!$H$4:$U$4,0))*(1+INDEX('R&amp;B Inputs'!$H$46:$U$46,MATCH($B40,'R&amp;B Inputs'!$H$4:$U$4,0)))^(AO$7-Year1))</f>
        <v>0.2233803664496018</v>
      </c>
      <c r="AP41" s="508">
        <f>IF(AP$8=0,0,INDEX('R&amp;B Inputs'!$H$73:$U$73,MATCH($B40,'R&amp;B Inputs'!$H$4:$U$4,0))*(1+INDEX('R&amp;B Inputs'!$H$46:$U$46,MATCH($B40,'R&amp;B Inputs'!$H$4:$U$4,0)))^(AP$7-Year1))</f>
        <v>0.2233803664496018</v>
      </c>
      <c r="AQ41" s="508">
        <f>IF(AQ$8=0,0,INDEX('R&amp;B Inputs'!$H$73:$U$73,MATCH($B40,'R&amp;B Inputs'!$H$4:$U$4,0))*(1+INDEX('R&amp;B Inputs'!$H$46:$U$46,MATCH($B40,'R&amp;B Inputs'!$H$4:$U$4,0)))^(AQ$7-Year1))</f>
        <v>0.2233803664496018</v>
      </c>
      <c r="AR41" s="508">
        <f>IF(AR$8=0,0,INDEX('R&amp;B Inputs'!$H$73:$U$73,MATCH($B40,'R&amp;B Inputs'!$H$4:$U$4,0))*(1+INDEX('R&amp;B Inputs'!$H$46:$U$46,MATCH($B40,'R&amp;B Inputs'!$H$4:$U$4,0)))^(AR$7-Year1))</f>
        <v>0.2233803664496018</v>
      </c>
      <c r="AS41" s="508">
        <f>IF(AS$8=0,0,INDEX('R&amp;B Inputs'!$H$73:$U$73,MATCH($B40,'R&amp;B Inputs'!$H$4:$U$4,0))*(1+INDEX('R&amp;B Inputs'!$H$46:$U$46,MATCH($B40,'R&amp;B Inputs'!$H$4:$U$4,0)))^(AS$7-Year1))</f>
        <v>0.2233803664496018</v>
      </c>
      <c r="AT41" s="508">
        <f>IF(AT$8=0,0,INDEX('R&amp;B Inputs'!$H$73:$U$73,MATCH($B40,'R&amp;B Inputs'!$H$4:$U$4,0))*(1+INDEX('R&amp;B Inputs'!$H$46:$U$46,MATCH($B40,'R&amp;B Inputs'!$H$4:$U$4,0)))^(AT$7-Year1))</f>
        <v>0.2233803664496018</v>
      </c>
      <c r="AU41" s="508">
        <f>IF(AU$8=0,0,INDEX('R&amp;B Inputs'!$H$73:$U$73,MATCH($B40,'R&amp;B Inputs'!$H$4:$U$4,0))*(1+INDEX('R&amp;B Inputs'!$H$46:$U$46,MATCH($B40,'R&amp;B Inputs'!$H$4:$U$4,0)))^(AU$7-Year1))</f>
        <v>0.2233803664496018</v>
      </c>
      <c r="AV41" s="508">
        <f>IF(AV$8=0,0,INDEX('R&amp;B Inputs'!$H$73:$U$73,MATCH($B40,'R&amp;B Inputs'!$H$4:$U$4,0))*(1+INDEX('R&amp;B Inputs'!$H$46:$U$46,MATCH($B40,'R&amp;B Inputs'!$H$4:$U$4,0)))^(AV$7-Year1))</f>
        <v>0.2233803664496018</v>
      </c>
      <c r="AW41" s="508">
        <f>IF(AW$8=0,0,INDEX('R&amp;B Inputs'!$H$73:$U$73,MATCH($B40,'R&amp;B Inputs'!$H$4:$U$4,0))*(1+INDEX('R&amp;B Inputs'!$H$46:$U$46,MATCH($B40,'R&amp;B Inputs'!$H$4:$U$4,0)))^(AW$7-Year1))</f>
        <v>0.2233803664496018</v>
      </c>
      <c r="AX41" s="508">
        <f>IF(AX$8=0,0,INDEX('R&amp;B Inputs'!$H$73:$U$73,MATCH($B40,'R&amp;B Inputs'!$H$4:$U$4,0))*(1+INDEX('R&amp;B Inputs'!$H$46:$U$46,MATCH($B40,'R&amp;B Inputs'!$H$4:$U$4,0)))^(AX$7-Year1))</f>
        <v>0.2233803664496018</v>
      </c>
      <c r="AY41" s="508">
        <f>IF(AY$8=0,0,INDEX('R&amp;B Inputs'!$H$73:$U$73,MATCH($B40,'R&amp;B Inputs'!$H$4:$U$4,0))*(1+INDEX('R&amp;B Inputs'!$H$46:$U$46,MATCH($B40,'R&amp;B Inputs'!$H$4:$U$4,0)))^(AY$7-Year1))</f>
        <v>0.2233803664496018</v>
      </c>
      <c r="AZ41" s="508">
        <f>IF(AZ$8=0,0,INDEX('R&amp;B Inputs'!$H$73:$U$73,MATCH($B40,'R&amp;B Inputs'!$H$4:$U$4,0))*(1+INDEX('R&amp;B Inputs'!$H$46:$U$46,MATCH($B40,'R&amp;B Inputs'!$H$4:$U$4,0)))^(AZ$7-Year1))</f>
        <v>0.2233803664496018</v>
      </c>
      <c r="BA41" s="508">
        <f>IF(BA$8=0,0,INDEX('R&amp;B Inputs'!$H$73:$U$73,MATCH($B40,'R&amp;B Inputs'!$H$4:$U$4,0))*(1+INDEX('R&amp;B Inputs'!$H$46:$U$46,MATCH($B40,'R&amp;B Inputs'!$H$4:$U$4,0)))^(BA$7-Year1))</f>
        <v>0.2233803664496018</v>
      </c>
      <c r="BB41" s="508">
        <f>IF(BB$8=0,0,INDEX('R&amp;B Inputs'!$H$73:$U$73,MATCH($B40,'R&amp;B Inputs'!$H$4:$U$4,0))*(1+INDEX('R&amp;B Inputs'!$H$46:$U$46,MATCH($B40,'R&amp;B Inputs'!$H$4:$U$4,0)))^(BB$7-Year1))</f>
        <v>0.2233803664496018</v>
      </c>
      <c r="BC41" s="508">
        <f>IF(BC$8=0,0,INDEX('R&amp;B Inputs'!$H$73:$U$73,MATCH($B40,'R&amp;B Inputs'!$H$4:$U$4,0))*(1+INDEX('R&amp;B Inputs'!$H$46:$U$46,MATCH($B40,'R&amp;B Inputs'!$H$4:$U$4,0)))^(BC$7-Year1))</f>
        <v>0.2233803664496018</v>
      </c>
      <c r="BD41" s="508">
        <f>IF(BD$8=0,0,INDEX('R&amp;B Inputs'!$H$73:$U$73,MATCH($B40,'R&amp;B Inputs'!$H$4:$U$4,0))*(1+INDEX('R&amp;B Inputs'!$H$46:$U$46,MATCH($B40,'R&amp;B Inputs'!$H$4:$U$4,0)))^(BD$7-Year1))</f>
        <v>0.2233803664496018</v>
      </c>
      <c r="BE41" s="508">
        <f>IF(BE$8=0,0,INDEX('R&amp;B Inputs'!$H$73:$U$73,MATCH($B40,'R&amp;B Inputs'!$H$4:$U$4,0))*(1+INDEX('R&amp;B Inputs'!$H$46:$U$46,MATCH($B40,'R&amp;B Inputs'!$H$4:$U$4,0)))^(BE$7-Year1))</f>
        <v>0.2233803664496018</v>
      </c>
      <c r="BF41" s="508">
        <f>IF(BF$8=0,0,INDEX('R&amp;B Inputs'!$H$73:$U$73,MATCH($B40,'R&amp;B Inputs'!$H$4:$U$4,0))*(1+INDEX('R&amp;B Inputs'!$H$46:$U$46,MATCH($B40,'R&amp;B Inputs'!$H$4:$U$4,0)))^(BF$7-Year1))</f>
        <v>0.2233803664496018</v>
      </c>
      <c r="BG41" s="508">
        <f>IF(BG$8=0,0,INDEX('R&amp;B Inputs'!$H$73:$U$73,MATCH($B40,'R&amp;B Inputs'!$H$4:$U$4,0))*(1+INDEX('R&amp;B Inputs'!$H$46:$U$46,MATCH($B40,'R&amp;B Inputs'!$H$4:$U$4,0)))^(BG$7-Year1))</f>
        <v>0.2233803664496018</v>
      </c>
      <c r="BH41" s="508">
        <f>IF(BH$8=0,0,INDEX('R&amp;B Inputs'!$H$73:$U$73,MATCH($B40,'R&amp;B Inputs'!$H$4:$U$4,0))*(1+INDEX('R&amp;B Inputs'!$H$46:$U$46,MATCH($B40,'R&amp;B Inputs'!$H$4:$U$4,0)))^(BH$7-Year1))</f>
        <v>0.2233803664496018</v>
      </c>
      <c r="BI41" s="508">
        <f>IF(BI$8=0,0,INDEX('R&amp;B Inputs'!$H$73:$U$73,MATCH($B40,'R&amp;B Inputs'!$H$4:$U$4,0))*(1+INDEX('R&amp;B Inputs'!$H$46:$U$46,MATCH($B40,'R&amp;B Inputs'!$H$4:$U$4,0)))^(BI$7-Year1))</f>
        <v>0.2233803664496018</v>
      </c>
      <c r="BJ41" s="508">
        <f>IF(BJ$8=0,0,INDEX('R&amp;B Inputs'!$H$73:$U$73,MATCH($B40,'R&amp;B Inputs'!$H$4:$U$4,0))*(1+INDEX('R&amp;B Inputs'!$H$46:$U$46,MATCH($B40,'R&amp;B Inputs'!$H$4:$U$4,0)))^(BJ$7-Year1))</f>
        <v>0.2233803664496018</v>
      </c>
      <c r="BK41" s="508">
        <f>IF(BK$8=0,0,INDEX('R&amp;B Inputs'!$H$73:$U$73,MATCH($B40,'R&amp;B Inputs'!$H$4:$U$4,0))*(1+INDEX('R&amp;B Inputs'!$H$46:$U$46,MATCH($B40,'R&amp;B Inputs'!$H$4:$U$4,0)))^(BK$7-Year1))</f>
        <v>0.2233803664496018</v>
      </c>
      <c r="BL41" s="508">
        <f>IF(BL$8=0,0,INDEX('R&amp;B Inputs'!$H$73:$U$73,MATCH($B40,'R&amp;B Inputs'!$H$4:$U$4,0))*(1+INDEX('R&amp;B Inputs'!$H$46:$U$46,MATCH($B40,'R&amp;B Inputs'!$H$4:$U$4,0)))^(BL$7-Year1))</f>
        <v>0.2233803664496018</v>
      </c>
      <c r="BM41" s="508">
        <f>IF(BM$8=0,0,INDEX('R&amp;B Inputs'!$H$73:$U$73,MATCH($B40,'R&amp;B Inputs'!$H$4:$U$4,0))*(1+INDEX('R&amp;B Inputs'!$H$46:$U$46,MATCH($B40,'R&amp;B Inputs'!$H$4:$U$4,0)))^(BM$7-Year1))</f>
        <v>0.2233803664496018</v>
      </c>
      <c r="BN41" s="508"/>
      <c r="BO41" s="508"/>
      <c r="BP41" s="508">
        <f>IF($C$4=Year1,-PMT(Lookups!$E$17,25,NPV(Lookups!$E$17,AM41:BK41),0,1),IF($C$4=Year2,-PMT(Lookups!$F$17,25,NPV(Lookups!$F$17,AN41:BL41),0,1),IF($C$4=Year3,-PMT(Lookups!$G$17,25,NPV(Lookups!$G$17,AO41:BM41),0,1),-PMT(Lookups!$G$17,27,NPV(Lookups!$G$17,AM41:BM41),0,1))))</f>
        <v>0.22026494051558318</v>
      </c>
      <c r="BS41" s="84" t="str">
        <f>E41&amp;" charge from the R&amp;B Inputs tab, escalated annually by the growth rate included on the R&amp;B Inputs tab."</f>
        <v>Customer Charge charge from the R&amp;B Inputs tab, escalated annually by the growth rate included on the R&amp;B Inputs tab.</v>
      </c>
      <c r="BT41" s="51" t="s">
        <v>17</v>
      </c>
    </row>
    <row r="42" spans="1:72" x14ac:dyDescent="0.25">
      <c r="B42" s="243" t="str">
        <f>B40</f>
        <v>Residential</v>
      </c>
      <c r="C42" s="243" t="str">
        <f>C40</f>
        <v>Rates</v>
      </c>
      <c r="D42" s="244" t="str">
        <f>D40</f>
        <v>Rates before DSM (No EE Scenario)</v>
      </c>
      <c r="E42" s="84" t="s">
        <v>76</v>
      </c>
      <c r="F42" s="84" t="s">
        <v>182</v>
      </c>
      <c r="G42" s="506">
        <f>SUM(G38:G41)</f>
        <v>1.3675803664496016</v>
      </c>
      <c r="H42" s="506">
        <f>SUM(H38:H41)</f>
        <v>1.3675803664496016</v>
      </c>
      <c r="I42" s="506">
        <f t="shared" ref="I42:AG42" si="21">SUM(I38:I41)</f>
        <v>1.3675803664496016</v>
      </c>
      <c r="J42" s="506">
        <f t="shared" si="21"/>
        <v>1.3675803664496016</v>
      </c>
      <c r="K42" s="506">
        <f t="shared" si="21"/>
        <v>1.3675803664496016</v>
      </c>
      <c r="L42" s="506">
        <f t="shared" si="21"/>
        <v>1.3675803664496016</v>
      </c>
      <c r="M42" s="506">
        <f t="shared" si="21"/>
        <v>1.3675803664496016</v>
      </c>
      <c r="N42" s="506">
        <f t="shared" si="21"/>
        <v>1.3675803664496016</v>
      </c>
      <c r="O42" s="506">
        <f t="shared" si="21"/>
        <v>1.3675803664496016</v>
      </c>
      <c r="P42" s="506">
        <f t="shared" si="21"/>
        <v>1.3675803664496016</v>
      </c>
      <c r="Q42" s="506">
        <f t="shared" si="21"/>
        <v>1.3675803664496016</v>
      </c>
      <c r="R42" s="506">
        <f t="shared" si="21"/>
        <v>1.3675803664496016</v>
      </c>
      <c r="S42" s="506">
        <f t="shared" si="21"/>
        <v>1.3675803664496016</v>
      </c>
      <c r="T42" s="506">
        <f t="shared" si="21"/>
        <v>1.3675803664496016</v>
      </c>
      <c r="U42" s="506">
        <f t="shared" si="21"/>
        <v>1.3675803664496016</v>
      </c>
      <c r="V42" s="506">
        <f t="shared" si="21"/>
        <v>1.3675803664496016</v>
      </c>
      <c r="W42" s="506">
        <f t="shared" si="21"/>
        <v>1.3675803664496016</v>
      </c>
      <c r="X42" s="506">
        <f t="shared" si="21"/>
        <v>1.3675803664496016</v>
      </c>
      <c r="Y42" s="506">
        <f t="shared" si="21"/>
        <v>1.3675803664496016</v>
      </c>
      <c r="Z42" s="506">
        <f t="shared" si="21"/>
        <v>1.3675803664496016</v>
      </c>
      <c r="AA42" s="506">
        <f t="shared" si="21"/>
        <v>1.3675803664496016</v>
      </c>
      <c r="AB42" s="506">
        <f t="shared" si="21"/>
        <v>1.3675803664496016</v>
      </c>
      <c r="AC42" s="506">
        <f t="shared" si="21"/>
        <v>1.3675803664496016</v>
      </c>
      <c r="AD42" s="506">
        <f t="shared" si="21"/>
        <v>1.3675803664496016</v>
      </c>
      <c r="AE42" s="506">
        <f t="shared" si="21"/>
        <v>1.3675803664496016</v>
      </c>
      <c r="AF42" s="506">
        <f t="shared" si="21"/>
        <v>1.3675803664496016</v>
      </c>
      <c r="AG42" s="506">
        <f t="shared" si="21"/>
        <v>1.3675803664496016</v>
      </c>
      <c r="AH42" s="506"/>
      <c r="AI42" s="506"/>
      <c r="AJ42" s="506">
        <f>IF($C$4=Year1,-PMT(Lookups!$E$17,25,NPV(Lookups!$E$17,G42:AE42),0,1),IF($C$4=Year2,-PMT(Lookups!$F$17,25,NPV(Lookups!$F$17,H42:AF42),0,1),IF($C$4=Year3,-PMT(Lookups!$G$17,25,NPV(Lookups!$G$17,I42:AG42),0,1),-PMT(Lookups!$G$17,27,NPV(Lookups!$G$17,G42:AG42),0,1))))</f>
        <v>1.3485070906366481</v>
      </c>
      <c r="AK42" s="507"/>
      <c r="AL42" s="507"/>
      <c r="AM42" s="508">
        <f>SUM(AM38:AM41)</f>
        <v>1.3675803664496016</v>
      </c>
      <c r="AN42" s="508">
        <f>SUM(AN38:AN41)</f>
        <v>1.3675803664496016</v>
      </c>
      <c r="AO42" s="508">
        <f t="shared" ref="AO42:BM42" si="22">SUM(AO38:AO41)</f>
        <v>1.3675803664496016</v>
      </c>
      <c r="AP42" s="508">
        <f t="shared" si="22"/>
        <v>1.3675803664496016</v>
      </c>
      <c r="AQ42" s="508">
        <f t="shared" si="22"/>
        <v>1.3675803664496016</v>
      </c>
      <c r="AR42" s="508">
        <f t="shared" si="22"/>
        <v>1.3675803664496016</v>
      </c>
      <c r="AS42" s="508">
        <f t="shared" si="22"/>
        <v>1.3675803664496016</v>
      </c>
      <c r="AT42" s="508">
        <f t="shared" si="22"/>
        <v>1.3675803664496016</v>
      </c>
      <c r="AU42" s="508">
        <f t="shared" si="22"/>
        <v>1.3675803664496016</v>
      </c>
      <c r="AV42" s="508">
        <f t="shared" si="22"/>
        <v>1.3675803664496016</v>
      </c>
      <c r="AW42" s="508">
        <f t="shared" si="22"/>
        <v>1.3675803664496016</v>
      </c>
      <c r="AX42" s="508">
        <f t="shared" si="22"/>
        <v>1.3675803664496016</v>
      </c>
      <c r="AY42" s="508">
        <f t="shared" si="22"/>
        <v>1.3675803664496016</v>
      </c>
      <c r="AZ42" s="508">
        <f t="shared" si="22"/>
        <v>1.3675803664496016</v>
      </c>
      <c r="BA42" s="508">
        <f t="shared" si="22"/>
        <v>1.3675803664496016</v>
      </c>
      <c r="BB42" s="508">
        <f t="shared" si="22"/>
        <v>1.3675803664496016</v>
      </c>
      <c r="BC42" s="508">
        <f t="shared" si="22"/>
        <v>1.3675803664496016</v>
      </c>
      <c r="BD42" s="508">
        <f t="shared" si="22"/>
        <v>1.3675803664496016</v>
      </c>
      <c r="BE42" s="508">
        <f t="shared" si="22"/>
        <v>1.3675803664496016</v>
      </c>
      <c r="BF42" s="508">
        <f t="shared" si="22"/>
        <v>1.3675803664496016</v>
      </c>
      <c r="BG42" s="508">
        <f t="shared" si="22"/>
        <v>1.3675803664496016</v>
      </c>
      <c r="BH42" s="508">
        <f t="shared" si="22"/>
        <v>1.3675803664496016</v>
      </c>
      <c r="BI42" s="508">
        <f t="shared" si="22"/>
        <v>1.3675803664496016</v>
      </c>
      <c r="BJ42" s="508">
        <f t="shared" si="22"/>
        <v>1.3675803664496016</v>
      </c>
      <c r="BK42" s="508">
        <f t="shared" si="22"/>
        <v>1.3675803664496016</v>
      </c>
      <c r="BL42" s="508">
        <f t="shared" si="22"/>
        <v>1.3675803664496016</v>
      </c>
      <c r="BM42" s="508">
        <f t="shared" si="22"/>
        <v>1.3675803664496016</v>
      </c>
      <c r="BN42" s="508"/>
      <c r="BO42" s="508"/>
      <c r="BP42" s="508">
        <f>IF($C$4=Year1,-PMT(Lookups!$E$17,25,NPV(Lookups!$E$17,AM42:BK42),0,1),IF($C$4=Year2,-PMT(Lookups!$F$17,25,NPV(Lookups!$F$17,AN42:BL42),0,1),IF($C$4=Year3,-PMT(Lookups!$G$17,25,NPV(Lookups!$G$17,AO42:BM42),0,1),-PMT(Lookups!$G$17,27,NPV(Lookups!$G$17,AM42:BM42),0,1))))</f>
        <v>1.3485070906366481</v>
      </c>
      <c r="BS42" s="84" t="s">
        <v>94</v>
      </c>
      <c r="BT42" s="51" t="s">
        <v>17</v>
      </c>
    </row>
    <row r="43" spans="1:72" x14ac:dyDescent="0.25">
      <c r="B43" s="243" t="str">
        <f>B41</f>
        <v>Residential</v>
      </c>
      <c r="C43" s="243" t="str">
        <f>C41</f>
        <v>Rates</v>
      </c>
      <c r="D43" s="114" t="s">
        <v>24</v>
      </c>
      <c r="E43" s="86"/>
      <c r="F43" s="8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506"/>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S43" s="84"/>
      <c r="BT43" s="51" t="s">
        <v>17</v>
      </c>
    </row>
    <row r="44" spans="1:72" x14ac:dyDescent="0.25">
      <c r="B44" s="243" t="str">
        <f t="shared" ref="B44:D59" si="23">B43</f>
        <v>Residential</v>
      </c>
      <c r="C44" s="243" t="str">
        <f t="shared" si="23"/>
        <v>Rates</v>
      </c>
      <c r="D44" s="244" t="str">
        <f t="shared" si="23"/>
        <v>Avoided Costs</v>
      </c>
      <c r="E44" s="84" t="s">
        <v>45</v>
      </c>
      <c r="F44" s="84" t="s">
        <v>182</v>
      </c>
      <c r="G44" s="506">
        <f ca="1">IFERROR(-G25/G17,0)</f>
        <v>-4.7703058646298459E-3</v>
      </c>
      <c r="H44" s="506">
        <f t="shared" ref="H44:AG44" ca="1" si="24">IFERROR(-H25/H17,0)</f>
        <v>-4.7703058646298459E-3</v>
      </c>
      <c r="I44" s="506">
        <f t="shared" ca="1" si="24"/>
        <v>-4.7703058646298459E-3</v>
      </c>
      <c r="J44" s="506">
        <f t="shared" ca="1" si="24"/>
        <v>-4.7703058646298459E-3</v>
      </c>
      <c r="K44" s="506">
        <f t="shared" ca="1" si="24"/>
        <v>-4.7703058646298459E-3</v>
      </c>
      <c r="L44" s="506">
        <f t="shared" ca="1" si="24"/>
        <v>-4.7703058646298459E-3</v>
      </c>
      <c r="M44" s="506">
        <f t="shared" ca="1" si="24"/>
        <v>-4.7703058646298459E-3</v>
      </c>
      <c r="N44" s="506">
        <f t="shared" ca="1" si="24"/>
        <v>-4.7703058646298459E-3</v>
      </c>
      <c r="O44" s="506">
        <f t="shared" ca="1" si="24"/>
        <v>-4.7703058646298459E-3</v>
      </c>
      <c r="P44" s="506">
        <f t="shared" ca="1" si="24"/>
        <v>-4.7703058646298459E-3</v>
      </c>
      <c r="Q44" s="506">
        <f t="shared" ca="1" si="24"/>
        <v>-4.7703058646298459E-3</v>
      </c>
      <c r="R44" s="506">
        <f t="shared" ca="1" si="24"/>
        <v>-4.7703058646298459E-3</v>
      </c>
      <c r="S44" s="506">
        <f t="shared" ca="1" si="24"/>
        <v>-4.7703058646298459E-3</v>
      </c>
      <c r="T44" s="506">
        <f t="shared" ca="1" si="24"/>
        <v>-4.7703058646298459E-3</v>
      </c>
      <c r="U44" s="506">
        <f t="shared" ca="1" si="24"/>
        <v>-4.7703058646298459E-3</v>
      </c>
      <c r="V44" s="506">
        <f t="shared" ca="1" si="24"/>
        <v>0</v>
      </c>
      <c r="W44" s="506">
        <f t="shared" ca="1" si="24"/>
        <v>0</v>
      </c>
      <c r="X44" s="506">
        <f t="shared" ca="1" si="24"/>
        <v>0</v>
      </c>
      <c r="Y44" s="506">
        <f t="shared" ca="1" si="24"/>
        <v>0</v>
      </c>
      <c r="Z44" s="506">
        <f t="shared" ca="1" si="24"/>
        <v>0</v>
      </c>
      <c r="AA44" s="506">
        <f t="shared" ca="1" si="24"/>
        <v>0</v>
      </c>
      <c r="AB44" s="506">
        <f t="shared" ca="1" si="24"/>
        <v>0</v>
      </c>
      <c r="AC44" s="506">
        <f t="shared" ca="1" si="24"/>
        <v>0</v>
      </c>
      <c r="AD44" s="506">
        <f t="shared" ca="1" si="24"/>
        <v>0</v>
      </c>
      <c r="AE44" s="506">
        <f t="shared" ca="1" si="24"/>
        <v>0</v>
      </c>
      <c r="AF44" s="506">
        <f t="shared" ca="1" si="24"/>
        <v>0</v>
      </c>
      <c r="AG44" s="506">
        <f t="shared" ca="1" si="24"/>
        <v>0</v>
      </c>
      <c r="AH44" s="506"/>
      <c r="AI44" s="506"/>
      <c r="AJ44" s="506">
        <f ca="1">IF($C$4=Year1,-PMT(Lookups!$E$17,25,NPV(Lookups!$E$17,G44:AE44),0,1),IF($C$4=Year2,-PMT(Lookups!$F$17,25,NPV(Lookups!$F$17,H44:AF44),0,1),IF($C$4=Year3,-PMT(Lookups!$G$17,25,NPV(Lookups!$G$17,I44:AG44),0,1),-PMT(Lookups!$G$17,27,NPV(Lookups!$G$17,G44:AG44),0,1))))</f>
        <v>-3.0176589071344443E-3</v>
      </c>
      <c r="AK44" s="507"/>
      <c r="AL44" s="507"/>
      <c r="AM44" s="508">
        <f ca="1">IFERROR(-AM25/AM17,0)</f>
        <v>-5.4568112045137547E-3</v>
      </c>
      <c r="AN44" s="508">
        <f t="shared" ref="AN44:BM44" ca="1" si="25">IFERROR(-AN25/AN17,0)</f>
        <v>-5.4568112045137547E-3</v>
      </c>
      <c r="AO44" s="508">
        <f t="shared" ca="1" si="25"/>
        <v>-5.4568112045137547E-3</v>
      </c>
      <c r="AP44" s="508">
        <f t="shared" ca="1" si="25"/>
        <v>-5.4568112045137547E-3</v>
      </c>
      <c r="AQ44" s="508">
        <f t="shared" ca="1" si="25"/>
        <v>-5.4568112045137547E-3</v>
      </c>
      <c r="AR44" s="508">
        <f t="shared" ca="1" si="25"/>
        <v>-5.4568112045137547E-3</v>
      </c>
      <c r="AS44" s="508">
        <f t="shared" ca="1" si="25"/>
        <v>-5.4568112045137547E-3</v>
      </c>
      <c r="AT44" s="508">
        <f t="shared" ca="1" si="25"/>
        <v>-5.4568112045137547E-3</v>
      </c>
      <c r="AU44" s="508">
        <f t="shared" ca="1" si="25"/>
        <v>-5.4568112045137547E-3</v>
      </c>
      <c r="AV44" s="508">
        <f t="shared" ca="1" si="25"/>
        <v>-5.4568112045137547E-3</v>
      </c>
      <c r="AW44" s="508">
        <f t="shared" ca="1" si="25"/>
        <v>-5.4568112045137547E-3</v>
      </c>
      <c r="AX44" s="508">
        <f t="shared" ca="1" si="25"/>
        <v>-5.4568112045137547E-3</v>
      </c>
      <c r="AY44" s="508">
        <f t="shared" ca="1" si="25"/>
        <v>-5.4568112045137547E-3</v>
      </c>
      <c r="AZ44" s="508">
        <f t="shared" ca="1" si="25"/>
        <v>-5.4568112045137547E-3</v>
      </c>
      <c r="BA44" s="508">
        <f t="shared" ca="1" si="25"/>
        <v>-5.4568112045137547E-3</v>
      </c>
      <c r="BB44" s="508">
        <f t="shared" ca="1" si="25"/>
        <v>0</v>
      </c>
      <c r="BC44" s="508">
        <f t="shared" ca="1" si="25"/>
        <v>0</v>
      </c>
      <c r="BD44" s="508">
        <f t="shared" ca="1" si="25"/>
        <v>0</v>
      </c>
      <c r="BE44" s="508">
        <f t="shared" ca="1" si="25"/>
        <v>0</v>
      </c>
      <c r="BF44" s="508">
        <f t="shared" ca="1" si="25"/>
        <v>0</v>
      </c>
      <c r="BG44" s="508">
        <f t="shared" ca="1" si="25"/>
        <v>0</v>
      </c>
      <c r="BH44" s="508">
        <f t="shared" ca="1" si="25"/>
        <v>0</v>
      </c>
      <c r="BI44" s="508">
        <f t="shared" ca="1" si="25"/>
        <v>0</v>
      </c>
      <c r="BJ44" s="508">
        <f t="shared" ca="1" si="25"/>
        <v>0</v>
      </c>
      <c r="BK44" s="508">
        <f t="shared" ca="1" si="25"/>
        <v>0</v>
      </c>
      <c r="BL44" s="508">
        <f t="shared" ca="1" si="25"/>
        <v>0</v>
      </c>
      <c r="BM44" s="508">
        <f t="shared" ca="1" si="25"/>
        <v>0</v>
      </c>
      <c r="BN44" s="508"/>
      <c r="BO44" s="508"/>
      <c r="BP44" s="508">
        <f ca="1">IF($C$4=Year1,-PMT(Lookups!$E$17,25,NPV(Lookups!$E$17,AM44:BK44),0,1),IF($C$4=Year2,-PMT(Lookups!$F$17,25,NPV(Lookups!$F$17,AN44:BL44),0,1),IF($C$4=Year3,-PMT(Lookups!$G$17,25,NPV(Lookups!$G$17,AO44:BM44),0,1),-PMT(Lookups!$G$17,27,NPV(Lookups!$G$17,AM44:BM44),0,1))))</f>
        <v>-3.4519369204284167E-3</v>
      </c>
      <c r="BS44" s="84" t="str">
        <f t="shared" ref="BS44:BS46" si="26">"Avoided "&amp;E44&amp;" avoided costs divided by After Scenario sales."</f>
        <v>Avoided Gas avoided costs divided by After Scenario sales.</v>
      </c>
      <c r="BT44" s="51" t="s">
        <v>17</v>
      </c>
    </row>
    <row r="45" spans="1:72" x14ac:dyDescent="0.25">
      <c r="B45" s="243" t="str">
        <f t="shared" si="23"/>
        <v>Residential</v>
      </c>
      <c r="C45" s="243" t="str">
        <f t="shared" si="23"/>
        <v>Rates</v>
      </c>
      <c r="D45" s="244" t="str">
        <f t="shared" si="23"/>
        <v>Avoided Costs</v>
      </c>
      <c r="E45" s="86" t="s">
        <v>412</v>
      </c>
      <c r="F45" s="84" t="s">
        <v>182</v>
      </c>
      <c r="G45" s="506">
        <f ca="1">IFERROR(-G26/G17,0)</f>
        <v>-3.0448760838062847E-4</v>
      </c>
      <c r="H45" s="506">
        <f t="shared" ref="H45:AG45" ca="1" si="27">IFERROR(-H26/H17,0)</f>
        <v>-3.0448760838062847E-4</v>
      </c>
      <c r="I45" s="506">
        <f t="shared" ca="1" si="27"/>
        <v>-3.0448760838062847E-4</v>
      </c>
      <c r="J45" s="506">
        <f t="shared" ca="1" si="27"/>
        <v>-3.0448760838062847E-4</v>
      </c>
      <c r="K45" s="506">
        <f t="shared" ca="1" si="27"/>
        <v>-3.0448760838062847E-4</v>
      </c>
      <c r="L45" s="506">
        <f t="shared" ca="1" si="27"/>
        <v>-3.0448760838062847E-4</v>
      </c>
      <c r="M45" s="506">
        <f t="shared" ca="1" si="27"/>
        <v>-3.0448760838062847E-4</v>
      </c>
      <c r="N45" s="506">
        <f t="shared" ca="1" si="27"/>
        <v>-3.0448760838062847E-4</v>
      </c>
      <c r="O45" s="506">
        <f t="shared" ca="1" si="27"/>
        <v>-3.0448760838062847E-4</v>
      </c>
      <c r="P45" s="506">
        <f t="shared" ca="1" si="27"/>
        <v>-3.0448760838062847E-4</v>
      </c>
      <c r="Q45" s="506">
        <f t="shared" ca="1" si="27"/>
        <v>-3.0448760838062847E-4</v>
      </c>
      <c r="R45" s="506">
        <f t="shared" ca="1" si="27"/>
        <v>-3.0448760838062847E-4</v>
      </c>
      <c r="S45" s="506">
        <f t="shared" ca="1" si="27"/>
        <v>-3.0448760838062847E-4</v>
      </c>
      <c r="T45" s="506">
        <f t="shared" ca="1" si="27"/>
        <v>-3.0448760838062847E-4</v>
      </c>
      <c r="U45" s="506">
        <f t="shared" ca="1" si="27"/>
        <v>-3.0448760838062847E-4</v>
      </c>
      <c r="V45" s="506">
        <f t="shared" ca="1" si="27"/>
        <v>0</v>
      </c>
      <c r="W45" s="506">
        <f t="shared" ca="1" si="27"/>
        <v>0</v>
      </c>
      <c r="X45" s="506">
        <f t="shared" ca="1" si="27"/>
        <v>0</v>
      </c>
      <c r="Y45" s="506">
        <f t="shared" ca="1" si="27"/>
        <v>0</v>
      </c>
      <c r="Z45" s="506">
        <f t="shared" ca="1" si="27"/>
        <v>0</v>
      </c>
      <c r="AA45" s="506">
        <f t="shared" ca="1" si="27"/>
        <v>0</v>
      </c>
      <c r="AB45" s="506">
        <f t="shared" ca="1" si="27"/>
        <v>0</v>
      </c>
      <c r="AC45" s="506">
        <f t="shared" ca="1" si="27"/>
        <v>0</v>
      </c>
      <c r="AD45" s="506">
        <f t="shared" ca="1" si="27"/>
        <v>0</v>
      </c>
      <c r="AE45" s="506">
        <f t="shared" ca="1" si="27"/>
        <v>0</v>
      </c>
      <c r="AF45" s="506">
        <f t="shared" ca="1" si="27"/>
        <v>0</v>
      </c>
      <c r="AG45" s="506">
        <f t="shared" ca="1" si="27"/>
        <v>0</v>
      </c>
      <c r="AH45" s="506"/>
      <c r="AI45" s="506"/>
      <c r="AJ45" s="506">
        <f ca="1">IF($C$4=Year1,-PMT(Lookups!$E$17,25,NPV(Lookups!$E$17,G45:AE45),0,1),IF($C$4=Year2,-PMT(Lookups!$F$17,25,NPV(Lookups!$F$17,H45:AF45),0,1),IF($C$4=Year3,-PMT(Lookups!$G$17,25,NPV(Lookups!$G$17,I45:AG45),0,1),-PMT(Lookups!$G$17,27,NPV(Lookups!$G$17,G45:AG45),0,1))))</f>
        <v>-1.9261652598730487E-4</v>
      </c>
      <c r="AK45" s="507"/>
      <c r="AL45" s="507"/>
      <c r="AM45" s="508">
        <f ca="1">IFERROR(-AM26/AM17,0)</f>
        <v>-3.4830709816045238E-4</v>
      </c>
      <c r="AN45" s="508">
        <f t="shared" ref="AN45:BM45" ca="1" si="28">IFERROR(-AN26/AN17,0)</f>
        <v>-3.4830709816045238E-4</v>
      </c>
      <c r="AO45" s="508">
        <f t="shared" ca="1" si="28"/>
        <v>-3.4830709816045238E-4</v>
      </c>
      <c r="AP45" s="508">
        <f t="shared" ca="1" si="28"/>
        <v>-3.4830709816045238E-4</v>
      </c>
      <c r="AQ45" s="508">
        <f t="shared" ca="1" si="28"/>
        <v>-3.4830709816045238E-4</v>
      </c>
      <c r="AR45" s="508">
        <f t="shared" ca="1" si="28"/>
        <v>-3.4830709816045238E-4</v>
      </c>
      <c r="AS45" s="508">
        <f t="shared" ca="1" si="28"/>
        <v>-3.4830709816045238E-4</v>
      </c>
      <c r="AT45" s="508">
        <f t="shared" ca="1" si="28"/>
        <v>-3.4830709816045238E-4</v>
      </c>
      <c r="AU45" s="508">
        <f t="shared" ca="1" si="28"/>
        <v>-3.4830709816045238E-4</v>
      </c>
      <c r="AV45" s="508">
        <f t="shared" ca="1" si="28"/>
        <v>-3.4830709816045238E-4</v>
      </c>
      <c r="AW45" s="508">
        <f t="shared" ca="1" si="28"/>
        <v>-3.4830709816045238E-4</v>
      </c>
      <c r="AX45" s="508">
        <f t="shared" ca="1" si="28"/>
        <v>-3.4830709816045238E-4</v>
      </c>
      <c r="AY45" s="508">
        <f t="shared" ca="1" si="28"/>
        <v>-3.4830709816045238E-4</v>
      </c>
      <c r="AZ45" s="508">
        <f t="shared" ca="1" si="28"/>
        <v>-3.4830709816045238E-4</v>
      </c>
      <c r="BA45" s="508">
        <f t="shared" ca="1" si="28"/>
        <v>-3.4830709816045238E-4</v>
      </c>
      <c r="BB45" s="508">
        <f t="shared" ca="1" si="28"/>
        <v>0</v>
      </c>
      <c r="BC45" s="508">
        <f t="shared" ca="1" si="28"/>
        <v>0</v>
      </c>
      <c r="BD45" s="508">
        <f t="shared" ca="1" si="28"/>
        <v>0</v>
      </c>
      <c r="BE45" s="508">
        <f t="shared" ca="1" si="28"/>
        <v>0</v>
      </c>
      <c r="BF45" s="508">
        <f t="shared" ca="1" si="28"/>
        <v>0</v>
      </c>
      <c r="BG45" s="508">
        <f t="shared" ca="1" si="28"/>
        <v>0</v>
      </c>
      <c r="BH45" s="508">
        <f t="shared" ca="1" si="28"/>
        <v>0</v>
      </c>
      <c r="BI45" s="508">
        <f t="shared" ca="1" si="28"/>
        <v>0</v>
      </c>
      <c r="BJ45" s="508">
        <f t="shared" ca="1" si="28"/>
        <v>0</v>
      </c>
      <c r="BK45" s="508">
        <f t="shared" ca="1" si="28"/>
        <v>0</v>
      </c>
      <c r="BL45" s="508">
        <f t="shared" ca="1" si="28"/>
        <v>0</v>
      </c>
      <c r="BM45" s="508">
        <f t="shared" ca="1" si="28"/>
        <v>0</v>
      </c>
      <c r="BN45" s="508"/>
      <c r="BO45" s="508"/>
      <c r="BP45" s="508">
        <f ca="1">IF($C$4=Year1,-PMT(Lookups!$E$17,25,NPV(Lookups!$E$17,AM45:BK45),0,1),IF($C$4=Year2,-PMT(Lookups!$F$17,25,NPV(Lookups!$F$17,AN45:BL45),0,1),IF($C$4=Year3,-PMT(Lookups!$G$17,25,NPV(Lookups!$G$17,AO45:BM45),0,1),-PMT(Lookups!$G$17,27,NPV(Lookups!$G$17,AM45:BM45),0,1))))</f>
        <v>-2.2033639917628186E-4</v>
      </c>
      <c r="BS45" s="84" t="str">
        <f t="shared" si="26"/>
        <v>Avoided Gas, Retail Margin avoided costs divided by After Scenario sales.</v>
      </c>
      <c r="BT45" s="51"/>
    </row>
    <row r="46" spans="1:72" x14ac:dyDescent="0.25">
      <c r="B46" s="243" t="str">
        <f>B44</f>
        <v>Residential</v>
      </c>
      <c r="C46" s="243" t="str">
        <f>C44</f>
        <v>Rates</v>
      </c>
      <c r="D46" s="244" t="str">
        <f>D44</f>
        <v>Avoided Costs</v>
      </c>
      <c r="E46" s="86" t="s">
        <v>175</v>
      </c>
      <c r="F46" s="84" t="s">
        <v>182</v>
      </c>
      <c r="G46" s="506">
        <f ca="1">IFERROR(-G27/G17,0)</f>
        <v>-1.8972068815722599E-4</v>
      </c>
      <c r="H46" s="506">
        <f t="shared" ref="H46:AG46" ca="1" si="29">IFERROR(-H27/H17,0)</f>
        <v>-1.8972068815722599E-4</v>
      </c>
      <c r="I46" s="506">
        <f t="shared" ca="1" si="29"/>
        <v>-1.8972068815722599E-4</v>
      </c>
      <c r="J46" s="506">
        <f t="shared" ca="1" si="29"/>
        <v>-1.8972068815722599E-4</v>
      </c>
      <c r="K46" s="506">
        <f t="shared" ca="1" si="29"/>
        <v>-1.8972068815722599E-4</v>
      </c>
      <c r="L46" s="506">
        <f t="shared" ca="1" si="29"/>
        <v>-1.8972068815722599E-4</v>
      </c>
      <c r="M46" s="506">
        <f t="shared" ca="1" si="29"/>
        <v>-1.8972068815722599E-4</v>
      </c>
      <c r="N46" s="506">
        <f t="shared" ca="1" si="29"/>
        <v>-1.8972068815722599E-4</v>
      </c>
      <c r="O46" s="506">
        <f t="shared" ca="1" si="29"/>
        <v>-1.8972068815722599E-4</v>
      </c>
      <c r="P46" s="506">
        <f t="shared" ca="1" si="29"/>
        <v>-1.8972068815722599E-4</v>
      </c>
      <c r="Q46" s="506">
        <f t="shared" ca="1" si="29"/>
        <v>-1.8972068815722599E-4</v>
      </c>
      <c r="R46" s="506">
        <f t="shared" ca="1" si="29"/>
        <v>-1.8972068815722599E-4</v>
      </c>
      <c r="S46" s="506">
        <f t="shared" ca="1" si="29"/>
        <v>-1.8972068815722599E-4</v>
      </c>
      <c r="T46" s="506">
        <f t="shared" ca="1" si="29"/>
        <v>-1.8972068815722599E-4</v>
      </c>
      <c r="U46" s="506">
        <f t="shared" ca="1" si="29"/>
        <v>-1.8972068815722599E-4</v>
      </c>
      <c r="V46" s="506">
        <f t="shared" ca="1" si="29"/>
        <v>0</v>
      </c>
      <c r="W46" s="506">
        <f t="shared" ca="1" si="29"/>
        <v>0</v>
      </c>
      <c r="X46" s="506">
        <f t="shared" ca="1" si="29"/>
        <v>0</v>
      </c>
      <c r="Y46" s="506">
        <f t="shared" ca="1" si="29"/>
        <v>0</v>
      </c>
      <c r="Z46" s="506">
        <f t="shared" ca="1" si="29"/>
        <v>0</v>
      </c>
      <c r="AA46" s="506">
        <f t="shared" ca="1" si="29"/>
        <v>0</v>
      </c>
      <c r="AB46" s="506">
        <f t="shared" ca="1" si="29"/>
        <v>0</v>
      </c>
      <c r="AC46" s="506">
        <f t="shared" ca="1" si="29"/>
        <v>0</v>
      </c>
      <c r="AD46" s="506">
        <f t="shared" ca="1" si="29"/>
        <v>0</v>
      </c>
      <c r="AE46" s="506">
        <f t="shared" ca="1" si="29"/>
        <v>0</v>
      </c>
      <c r="AF46" s="506">
        <f t="shared" ca="1" si="29"/>
        <v>0</v>
      </c>
      <c r="AG46" s="506">
        <f t="shared" ca="1" si="29"/>
        <v>0</v>
      </c>
      <c r="AH46" s="506"/>
      <c r="AI46" s="506"/>
      <c r="AJ46" s="506">
        <f ca="1">IF($C$4=Year1,-PMT(Lookups!$E$17,25,NPV(Lookups!$E$17,G46:AE46),0,1),IF($C$4=Year2,-PMT(Lookups!$F$17,25,NPV(Lookups!$F$17,H46:AF46),0,1),IF($C$4=Year3,-PMT(Lookups!$G$17,25,NPV(Lookups!$G$17,I46:AG46),0,1),-PMT(Lookups!$G$17,27,NPV(Lookups!$G$17,G46:AG46),0,1))))</f>
        <v>-1.200158523859672E-4</v>
      </c>
      <c r="AK46" s="507"/>
      <c r="AL46" s="507"/>
      <c r="AM46" s="508">
        <f ca="1">IFERROR(-AM27/AM17,0)</f>
        <v>-2.1702381487538909E-4</v>
      </c>
      <c r="AN46" s="508">
        <f t="shared" ref="AN46:BM46" ca="1" si="30">IFERROR(-AN27/AN17,0)</f>
        <v>-2.1702381487538909E-4</v>
      </c>
      <c r="AO46" s="508">
        <f t="shared" ca="1" si="30"/>
        <v>-2.1702381487538909E-4</v>
      </c>
      <c r="AP46" s="508">
        <f t="shared" ca="1" si="30"/>
        <v>-2.1702381487538909E-4</v>
      </c>
      <c r="AQ46" s="508">
        <f t="shared" ca="1" si="30"/>
        <v>-2.1702381487538909E-4</v>
      </c>
      <c r="AR46" s="508">
        <f t="shared" ca="1" si="30"/>
        <v>-2.1702381487538909E-4</v>
      </c>
      <c r="AS46" s="508">
        <f t="shared" ca="1" si="30"/>
        <v>-2.1702381487538909E-4</v>
      </c>
      <c r="AT46" s="508">
        <f t="shared" ca="1" si="30"/>
        <v>-2.1702381487538909E-4</v>
      </c>
      <c r="AU46" s="508">
        <f t="shared" ca="1" si="30"/>
        <v>-2.1702381487538909E-4</v>
      </c>
      <c r="AV46" s="508">
        <f t="shared" ca="1" si="30"/>
        <v>-2.1702381487538909E-4</v>
      </c>
      <c r="AW46" s="508">
        <f t="shared" ca="1" si="30"/>
        <v>-2.1702381487538909E-4</v>
      </c>
      <c r="AX46" s="508">
        <f t="shared" ca="1" si="30"/>
        <v>-2.1702381487538909E-4</v>
      </c>
      <c r="AY46" s="508">
        <f t="shared" ca="1" si="30"/>
        <v>-2.1702381487538909E-4</v>
      </c>
      <c r="AZ46" s="508">
        <f t="shared" ca="1" si="30"/>
        <v>-2.1702381487538909E-4</v>
      </c>
      <c r="BA46" s="508">
        <f t="shared" ca="1" si="30"/>
        <v>-2.1702381487538909E-4</v>
      </c>
      <c r="BB46" s="508">
        <f t="shared" ca="1" si="30"/>
        <v>0</v>
      </c>
      <c r="BC46" s="508">
        <f t="shared" ca="1" si="30"/>
        <v>0</v>
      </c>
      <c r="BD46" s="508">
        <f t="shared" ca="1" si="30"/>
        <v>0</v>
      </c>
      <c r="BE46" s="508">
        <f t="shared" ca="1" si="30"/>
        <v>0</v>
      </c>
      <c r="BF46" s="508">
        <f t="shared" ca="1" si="30"/>
        <v>0</v>
      </c>
      <c r="BG46" s="508">
        <f t="shared" ca="1" si="30"/>
        <v>0</v>
      </c>
      <c r="BH46" s="508">
        <f t="shared" ca="1" si="30"/>
        <v>0</v>
      </c>
      <c r="BI46" s="508">
        <f t="shared" ca="1" si="30"/>
        <v>0</v>
      </c>
      <c r="BJ46" s="508">
        <f t="shared" ca="1" si="30"/>
        <v>0</v>
      </c>
      <c r="BK46" s="508">
        <f t="shared" ca="1" si="30"/>
        <v>0</v>
      </c>
      <c r="BL46" s="508">
        <f t="shared" ca="1" si="30"/>
        <v>0</v>
      </c>
      <c r="BM46" s="508">
        <f t="shared" ca="1" si="30"/>
        <v>0</v>
      </c>
      <c r="BN46" s="508"/>
      <c r="BO46" s="508"/>
      <c r="BP46" s="508">
        <f ca="1">IF($C$4=Year1,-PMT(Lookups!$E$17,25,NPV(Lookups!$E$17,AM46:BK46),0,1),IF($C$4=Year2,-PMT(Lookups!$F$17,25,NPV(Lookups!$F$17,AN46:BL46),0,1),IF($C$4=Year3,-PMT(Lookups!$G$17,25,NPV(Lookups!$G$17,AO46:BM46),0,1),-PMT(Lookups!$G$17,27,NPV(Lookups!$G$17,AM46:BM46),0,1))))</f>
        <v>-1.3728760096389165E-4</v>
      </c>
      <c r="BS46" s="84" t="str">
        <f t="shared" si="26"/>
        <v>Avoided Gas DRIPE avoided costs divided by After Scenario sales.</v>
      </c>
      <c r="BT46" s="51" t="s">
        <v>17</v>
      </c>
    </row>
    <row r="47" spans="1:72" x14ac:dyDescent="0.25">
      <c r="B47" s="243" t="str">
        <f t="shared" si="23"/>
        <v>Residential</v>
      </c>
      <c r="C47" s="243" t="str">
        <f t="shared" si="23"/>
        <v>Rates</v>
      </c>
      <c r="D47" s="244" t="str">
        <f t="shared" si="23"/>
        <v>Avoided Costs</v>
      </c>
      <c r="E47" s="86" t="s">
        <v>76</v>
      </c>
      <c r="F47" s="84" t="s">
        <v>182</v>
      </c>
      <c r="G47" s="506">
        <f ca="1">SUM(G44:G46)</f>
        <v>-5.2645141611677004E-3</v>
      </c>
      <c r="H47" s="506">
        <f ca="1">SUM(H44:H46)</f>
        <v>-5.2645141611677004E-3</v>
      </c>
      <c r="I47" s="506">
        <f t="shared" ref="I47:AG47" ca="1" si="31">SUM(I44:I46)</f>
        <v>-5.2645141611677004E-3</v>
      </c>
      <c r="J47" s="506">
        <f t="shared" ca="1" si="31"/>
        <v>-5.2645141611677004E-3</v>
      </c>
      <c r="K47" s="506">
        <f t="shared" ca="1" si="31"/>
        <v>-5.2645141611677004E-3</v>
      </c>
      <c r="L47" s="506">
        <f t="shared" ca="1" si="31"/>
        <v>-5.2645141611677004E-3</v>
      </c>
      <c r="M47" s="506">
        <f t="shared" ca="1" si="31"/>
        <v>-5.2645141611677004E-3</v>
      </c>
      <c r="N47" s="506">
        <f t="shared" ca="1" si="31"/>
        <v>-5.2645141611677004E-3</v>
      </c>
      <c r="O47" s="506">
        <f t="shared" ca="1" si="31"/>
        <v>-5.2645141611677004E-3</v>
      </c>
      <c r="P47" s="506">
        <f t="shared" ca="1" si="31"/>
        <v>-5.2645141611677004E-3</v>
      </c>
      <c r="Q47" s="506">
        <f t="shared" ca="1" si="31"/>
        <v>-5.2645141611677004E-3</v>
      </c>
      <c r="R47" s="506">
        <f t="shared" ca="1" si="31"/>
        <v>-5.2645141611677004E-3</v>
      </c>
      <c r="S47" s="506">
        <f t="shared" ca="1" si="31"/>
        <v>-5.2645141611677004E-3</v>
      </c>
      <c r="T47" s="506">
        <f t="shared" ca="1" si="31"/>
        <v>-5.2645141611677004E-3</v>
      </c>
      <c r="U47" s="506">
        <f t="shared" ca="1" si="31"/>
        <v>-5.2645141611677004E-3</v>
      </c>
      <c r="V47" s="506">
        <f t="shared" ca="1" si="31"/>
        <v>0</v>
      </c>
      <c r="W47" s="506">
        <f t="shared" ca="1" si="31"/>
        <v>0</v>
      </c>
      <c r="X47" s="506">
        <f t="shared" ca="1" si="31"/>
        <v>0</v>
      </c>
      <c r="Y47" s="506">
        <f t="shared" ca="1" si="31"/>
        <v>0</v>
      </c>
      <c r="Z47" s="506">
        <f t="shared" ca="1" si="31"/>
        <v>0</v>
      </c>
      <c r="AA47" s="506">
        <f t="shared" ca="1" si="31"/>
        <v>0</v>
      </c>
      <c r="AB47" s="506">
        <f t="shared" ca="1" si="31"/>
        <v>0</v>
      </c>
      <c r="AC47" s="506">
        <f t="shared" ca="1" si="31"/>
        <v>0</v>
      </c>
      <c r="AD47" s="506">
        <f t="shared" ca="1" si="31"/>
        <v>0</v>
      </c>
      <c r="AE47" s="506">
        <f t="shared" ca="1" si="31"/>
        <v>0</v>
      </c>
      <c r="AF47" s="506">
        <f t="shared" ca="1" si="31"/>
        <v>0</v>
      </c>
      <c r="AG47" s="506">
        <f t="shared" ca="1" si="31"/>
        <v>0</v>
      </c>
      <c r="AH47" s="506"/>
      <c r="AI47" s="506"/>
      <c r="AJ47" s="506">
        <f ca="1">IF($C$4=Year1,-PMT(Lookups!$E$17,25,NPV(Lookups!$E$17,G47:AE47),0,1),IF($C$4=Year2,-PMT(Lookups!$F$17,25,NPV(Lookups!$F$17,H47:AF47),0,1),IF($C$4=Year3,-PMT(Lookups!$G$17,25,NPV(Lookups!$G$17,I47:AG47),0,1),-PMT(Lookups!$G$17,27,NPV(Lookups!$G$17,G47:AG47),0,1))))</f>
        <v>-3.3302912855077151E-3</v>
      </c>
      <c r="AK47" s="507"/>
      <c r="AL47" s="507"/>
      <c r="AM47" s="508">
        <f ca="1">SUM(AM44:AM46)</f>
        <v>-6.0221421175495954E-3</v>
      </c>
      <c r="AN47" s="508">
        <f t="shared" ref="AN47:BM47" ca="1" si="32">SUM(AN44:AN46)</f>
        <v>-6.0221421175495954E-3</v>
      </c>
      <c r="AO47" s="508">
        <f t="shared" ca="1" si="32"/>
        <v>-6.0221421175495954E-3</v>
      </c>
      <c r="AP47" s="508">
        <f t="shared" ca="1" si="32"/>
        <v>-6.0221421175495954E-3</v>
      </c>
      <c r="AQ47" s="508">
        <f t="shared" ca="1" si="32"/>
        <v>-6.0221421175495954E-3</v>
      </c>
      <c r="AR47" s="508">
        <f t="shared" ca="1" si="32"/>
        <v>-6.0221421175495954E-3</v>
      </c>
      <c r="AS47" s="508">
        <f t="shared" ca="1" si="32"/>
        <v>-6.0221421175495954E-3</v>
      </c>
      <c r="AT47" s="508">
        <f t="shared" ca="1" si="32"/>
        <v>-6.0221421175495954E-3</v>
      </c>
      <c r="AU47" s="508">
        <f t="shared" ca="1" si="32"/>
        <v>-6.0221421175495954E-3</v>
      </c>
      <c r="AV47" s="508">
        <f t="shared" ca="1" si="32"/>
        <v>-6.0221421175495954E-3</v>
      </c>
      <c r="AW47" s="508">
        <f t="shared" ca="1" si="32"/>
        <v>-6.0221421175495954E-3</v>
      </c>
      <c r="AX47" s="508">
        <f t="shared" ca="1" si="32"/>
        <v>-6.0221421175495954E-3</v>
      </c>
      <c r="AY47" s="508">
        <f t="shared" ca="1" si="32"/>
        <v>-6.0221421175495954E-3</v>
      </c>
      <c r="AZ47" s="508">
        <f t="shared" ca="1" si="32"/>
        <v>-6.0221421175495954E-3</v>
      </c>
      <c r="BA47" s="508">
        <f t="shared" ca="1" si="32"/>
        <v>-6.0221421175495954E-3</v>
      </c>
      <c r="BB47" s="508">
        <f t="shared" ca="1" si="32"/>
        <v>0</v>
      </c>
      <c r="BC47" s="508">
        <f t="shared" ca="1" si="32"/>
        <v>0</v>
      </c>
      <c r="BD47" s="508">
        <f t="shared" ca="1" si="32"/>
        <v>0</v>
      </c>
      <c r="BE47" s="508">
        <f t="shared" ca="1" si="32"/>
        <v>0</v>
      </c>
      <c r="BF47" s="508">
        <f t="shared" ca="1" si="32"/>
        <v>0</v>
      </c>
      <c r="BG47" s="508">
        <f t="shared" ca="1" si="32"/>
        <v>0</v>
      </c>
      <c r="BH47" s="508">
        <f t="shared" ca="1" si="32"/>
        <v>0</v>
      </c>
      <c r="BI47" s="508">
        <f t="shared" ca="1" si="32"/>
        <v>0</v>
      </c>
      <c r="BJ47" s="508">
        <f t="shared" ca="1" si="32"/>
        <v>0</v>
      </c>
      <c r="BK47" s="508">
        <f t="shared" ca="1" si="32"/>
        <v>0</v>
      </c>
      <c r="BL47" s="508">
        <f t="shared" ca="1" si="32"/>
        <v>0</v>
      </c>
      <c r="BM47" s="508">
        <f t="shared" ca="1" si="32"/>
        <v>0</v>
      </c>
      <c r="BN47" s="508"/>
      <c r="BO47" s="508"/>
      <c r="BP47" s="508">
        <f ca="1">IF($C$4=Year1,-PMT(Lookups!$E$17,25,NPV(Lookups!$E$17,AM47:BK47),0,1),IF($C$4=Year2,-PMT(Lookups!$F$17,25,NPV(Lookups!$F$17,AN47:BL47),0,1),IF($C$4=Year3,-PMT(Lookups!$G$17,25,NPV(Lookups!$G$17,AO47:BM47),0,1),-PMT(Lookups!$G$17,27,NPV(Lookups!$G$17,AM47:BM47),0,1))))</f>
        <v>-3.8095609205685897E-3</v>
      </c>
      <c r="BS47" s="84" t="s">
        <v>232</v>
      </c>
      <c r="BT47" s="51" t="s">
        <v>17</v>
      </c>
    </row>
    <row r="48" spans="1:72" x14ac:dyDescent="0.25">
      <c r="B48" s="243" t="str">
        <f t="shared" si="23"/>
        <v>Residential</v>
      </c>
      <c r="C48" s="243" t="str">
        <f t="shared" si="23"/>
        <v>Rates</v>
      </c>
      <c r="D48" s="114" t="s">
        <v>165</v>
      </c>
      <c r="E48" s="86"/>
      <c r="F48" s="86"/>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506"/>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S48" s="84"/>
      <c r="BT48" s="51" t="s">
        <v>17</v>
      </c>
    </row>
    <row r="49" spans="1:72" x14ac:dyDescent="0.25">
      <c r="A49" s="246"/>
      <c r="B49" s="243" t="str">
        <f t="shared" si="23"/>
        <v>Residential</v>
      </c>
      <c r="C49" s="243" t="str">
        <f t="shared" si="23"/>
        <v>Rates</v>
      </c>
      <c r="D49" s="244" t="str">
        <f t="shared" si="23"/>
        <v>Increased Costs and Cost Shifting</v>
      </c>
      <c r="E49" s="84" t="s">
        <v>406</v>
      </c>
      <c r="F49" s="84" t="s">
        <v>182</v>
      </c>
      <c r="G49" s="509">
        <f ca="1">IF($C$4=Lookups!$D$40,SUM(INDIRECT("'Yr1'!"&amp;ADDRESS(ROW(G49),COLUMN(G49))),INDIRECT("'Yr2'!"&amp;ADDRESS(ROW(G49),COLUMN(G49))),INDIRECT("'Yr3'!"&amp;ADDRESS(ROW(G49),COLUMN(G49)))),
IF($C$4=G$7,SUMIFS('EE Inputs'!$L$9:$L$32,'EE Inputs'!$C$9:$C$32,$G$6,'EE Inputs'!$D$9:$D$32,$C$4,'EE Inputs'!$E$9:$E$32,$B49),0))</f>
        <v>6.4686396991858353E-2</v>
      </c>
      <c r="H49" s="509">
        <f ca="1">IF($C$4=Lookups!$D$40,SUM(INDIRECT("'Yr1'!"&amp;ADDRESS(ROW(H49),COLUMN(H49))),INDIRECT("'Yr2'!"&amp;ADDRESS(ROW(H49),COLUMN(H49))),INDIRECT("'Yr3'!"&amp;ADDRESS(ROW(H49),COLUMN(H49)))),
IF($C$4=H$7,SUMIFS('EE Inputs'!$L$9:$L$32,'EE Inputs'!$C$9:$C$32,$G$6,'EE Inputs'!$D$9:$D$32,$C$4,'EE Inputs'!$E$9:$E$32,$B49),0))</f>
        <v>0</v>
      </c>
      <c r="I49" s="509">
        <f ca="1">IF($C$4=Lookups!$D$40,SUM(INDIRECT("'Yr1'!"&amp;ADDRESS(ROW(I49),COLUMN(I49))),INDIRECT("'Yr2'!"&amp;ADDRESS(ROW(I49),COLUMN(I49))),INDIRECT("'Yr3'!"&amp;ADDRESS(ROW(I49),COLUMN(I49)))),
IF($C$4=I$7,SUMIFS('EE Inputs'!$L$9:$L$32,'EE Inputs'!$C$9:$C$32,$G$6,'EE Inputs'!$D$9:$D$32,$C$4,'EE Inputs'!$E$9:$E$32,$B49),0))</f>
        <v>0</v>
      </c>
      <c r="J49" s="509">
        <f ca="1">IF($C$4=Lookups!$D$40,SUM(INDIRECT("'Yr1'!"&amp;ADDRESS(ROW(J49),COLUMN(J49))),INDIRECT("'Yr2'!"&amp;ADDRESS(ROW(J49),COLUMN(J49))),INDIRECT("'Yr3'!"&amp;ADDRESS(ROW(J49),COLUMN(J49)))),
IF($C$4=J$7,SUMIFS('EE Inputs'!$L$9:$L$32,'EE Inputs'!$C$9:$C$32,$G$6,'EE Inputs'!$D$9:$D$32,$C$4,'EE Inputs'!$E$9:$E$32,$B49),0))</f>
        <v>0</v>
      </c>
      <c r="K49" s="509">
        <f ca="1">IF($C$4=Lookups!$D$40,SUM(INDIRECT("'Yr1'!"&amp;ADDRESS(ROW(K49),COLUMN(K49))),INDIRECT("'Yr2'!"&amp;ADDRESS(ROW(K49),COLUMN(K49))),INDIRECT("'Yr3'!"&amp;ADDRESS(ROW(K49),COLUMN(K49)))),
IF($C$4=K$7,SUMIFS('EE Inputs'!$L$9:$L$32,'EE Inputs'!$C$9:$C$32,$G$6,'EE Inputs'!$D$9:$D$32,$C$4,'EE Inputs'!$E$9:$E$32,$B49),0))</f>
        <v>0</v>
      </c>
      <c r="L49" s="509">
        <f ca="1">IF($C$4=Lookups!$D$40,SUM(INDIRECT("'Yr1'!"&amp;ADDRESS(ROW(L49),COLUMN(L49))),INDIRECT("'Yr2'!"&amp;ADDRESS(ROW(L49),COLUMN(L49))),INDIRECT("'Yr3'!"&amp;ADDRESS(ROW(L49),COLUMN(L49)))),
IF($C$4=L$7,SUMIFS('EE Inputs'!$L$9:$L$32,'EE Inputs'!$C$9:$C$32,$G$6,'EE Inputs'!$D$9:$D$32,$C$4,'EE Inputs'!$E$9:$E$32,$B49),0))</f>
        <v>0</v>
      </c>
      <c r="M49" s="509">
        <f ca="1">IF($C$4=Lookups!$D$40,SUM(INDIRECT("'Yr1'!"&amp;ADDRESS(ROW(M49),COLUMN(M49))),INDIRECT("'Yr2'!"&amp;ADDRESS(ROW(M49),COLUMN(M49))),INDIRECT("'Yr3'!"&amp;ADDRESS(ROW(M49),COLUMN(M49)))),
IF($C$4=M$7,SUMIFS('EE Inputs'!$L$9:$L$32,'EE Inputs'!$C$9:$C$32,$G$6,'EE Inputs'!$D$9:$D$32,$C$4,'EE Inputs'!$E$9:$E$32,$B49),0))</f>
        <v>0</v>
      </c>
      <c r="N49" s="509">
        <f ca="1">IF($C$4=Lookups!$D$40,SUM(INDIRECT("'Yr1'!"&amp;ADDRESS(ROW(N49),COLUMN(N49))),INDIRECT("'Yr2'!"&amp;ADDRESS(ROW(N49),COLUMN(N49))),INDIRECT("'Yr3'!"&amp;ADDRESS(ROW(N49),COLUMN(N49)))),
IF($C$4=N$7,SUMIFS('EE Inputs'!$L$9:$L$32,'EE Inputs'!$C$9:$C$32,$G$6,'EE Inputs'!$D$9:$D$32,$C$4,'EE Inputs'!$E$9:$E$32,$B49),0))</f>
        <v>0</v>
      </c>
      <c r="O49" s="509">
        <f ca="1">IF($C$4=Lookups!$D$40,SUM(INDIRECT("'Yr1'!"&amp;ADDRESS(ROW(O49),COLUMN(O49))),INDIRECT("'Yr2'!"&amp;ADDRESS(ROW(O49),COLUMN(O49))),INDIRECT("'Yr3'!"&amp;ADDRESS(ROW(O49),COLUMN(O49)))),
IF($C$4=O$7,SUMIFS('EE Inputs'!$L$9:$L$32,'EE Inputs'!$C$9:$C$32,$G$6,'EE Inputs'!$D$9:$D$32,$C$4,'EE Inputs'!$E$9:$E$32,$B49),0))</f>
        <v>0</v>
      </c>
      <c r="P49" s="509">
        <f ca="1">IF($C$4=Lookups!$D$40,SUM(INDIRECT("'Yr1'!"&amp;ADDRESS(ROW(P49),COLUMN(P49))),INDIRECT("'Yr2'!"&amp;ADDRESS(ROW(P49),COLUMN(P49))),INDIRECT("'Yr3'!"&amp;ADDRESS(ROW(P49),COLUMN(P49)))),
IF($C$4=P$7,SUMIFS('EE Inputs'!$L$9:$L$32,'EE Inputs'!$C$9:$C$32,$G$6,'EE Inputs'!$D$9:$D$32,$C$4,'EE Inputs'!$E$9:$E$32,$B49),0))</f>
        <v>0</v>
      </c>
      <c r="Q49" s="509">
        <f ca="1">IF($C$4=Lookups!$D$40,SUM(INDIRECT("'Yr1'!"&amp;ADDRESS(ROW(Q49),COLUMN(Q49))),INDIRECT("'Yr2'!"&amp;ADDRESS(ROW(Q49),COLUMN(Q49))),INDIRECT("'Yr3'!"&amp;ADDRESS(ROW(Q49),COLUMN(Q49)))),
IF($C$4=Q$7,SUMIFS('EE Inputs'!$L$9:$L$32,'EE Inputs'!$C$9:$C$32,$G$6,'EE Inputs'!$D$9:$D$32,$C$4,'EE Inputs'!$E$9:$E$32,$B49),0))</f>
        <v>0</v>
      </c>
      <c r="R49" s="509">
        <f ca="1">IF($C$4=Lookups!$D$40,SUM(INDIRECT("'Yr1'!"&amp;ADDRESS(ROW(R49),COLUMN(R49))),INDIRECT("'Yr2'!"&amp;ADDRESS(ROW(R49),COLUMN(R49))),INDIRECT("'Yr3'!"&amp;ADDRESS(ROW(R49),COLUMN(R49)))),
IF($C$4=R$7,SUMIFS('EE Inputs'!$L$9:$L$32,'EE Inputs'!$C$9:$C$32,$G$6,'EE Inputs'!$D$9:$D$32,$C$4,'EE Inputs'!$E$9:$E$32,$B49),0))</f>
        <v>0</v>
      </c>
      <c r="S49" s="509">
        <f ca="1">IF($C$4=Lookups!$D$40,SUM(INDIRECT("'Yr1'!"&amp;ADDRESS(ROW(S49),COLUMN(S49))),INDIRECT("'Yr2'!"&amp;ADDRESS(ROW(S49),COLUMN(S49))),INDIRECT("'Yr3'!"&amp;ADDRESS(ROW(S49),COLUMN(S49)))),
IF($C$4=S$7,SUMIFS('EE Inputs'!$L$9:$L$32,'EE Inputs'!$C$9:$C$32,$G$6,'EE Inputs'!$D$9:$D$32,$C$4,'EE Inputs'!$E$9:$E$32,$B49),0))</f>
        <v>0</v>
      </c>
      <c r="T49" s="509">
        <f ca="1">IF($C$4=Lookups!$D$40,SUM(INDIRECT("'Yr1'!"&amp;ADDRESS(ROW(T49),COLUMN(T49))),INDIRECT("'Yr2'!"&amp;ADDRESS(ROW(T49),COLUMN(T49))),INDIRECT("'Yr3'!"&amp;ADDRESS(ROW(T49),COLUMN(T49)))),
IF($C$4=T$7,SUMIFS('EE Inputs'!$L$9:$L$32,'EE Inputs'!$C$9:$C$32,$G$6,'EE Inputs'!$D$9:$D$32,$C$4,'EE Inputs'!$E$9:$E$32,$B49),0))</f>
        <v>0</v>
      </c>
      <c r="U49" s="509">
        <f ca="1">IF($C$4=Lookups!$D$40,SUM(INDIRECT("'Yr1'!"&amp;ADDRESS(ROW(U49),COLUMN(U49))),INDIRECT("'Yr2'!"&amp;ADDRESS(ROW(U49),COLUMN(U49))),INDIRECT("'Yr3'!"&amp;ADDRESS(ROW(U49),COLUMN(U49)))),
IF($C$4=U$7,SUMIFS('EE Inputs'!$L$9:$L$32,'EE Inputs'!$C$9:$C$32,$G$6,'EE Inputs'!$D$9:$D$32,$C$4,'EE Inputs'!$E$9:$E$32,$B49),0))</f>
        <v>0</v>
      </c>
      <c r="V49" s="509">
        <f ca="1">IF($C$4=Lookups!$D$40,SUM(INDIRECT("'Yr1'!"&amp;ADDRESS(ROW(V49),COLUMN(V49))),INDIRECT("'Yr2'!"&amp;ADDRESS(ROW(V49),COLUMN(V49))),INDIRECT("'Yr3'!"&amp;ADDRESS(ROW(V49),COLUMN(V49)))),
IF($C$4=V$7,SUMIFS('EE Inputs'!$L$9:$L$32,'EE Inputs'!$C$9:$C$32,$G$6,'EE Inputs'!$D$9:$D$32,$C$4,'EE Inputs'!$E$9:$E$32,$B49),0))</f>
        <v>0</v>
      </c>
      <c r="W49" s="509">
        <f ca="1">IF($C$4=Lookups!$D$40,SUM(INDIRECT("'Yr1'!"&amp;ADDRESS(ROW(W49),COLUMN(W49))),INDIRECT("'Yr2'!"&amp;ADDRESS(ROW(W49),COLUMN(W49))),INDIRECT("'Yr3'!"&amp;ADDRESS(ROW(W49),COLUMN(W49)))),
IF($C$4=W$7,SUMIFS('EE Inputs'!$L$9:$L$32,'EE Inputs'!$C$9:$C$32,$G$6,'EE Inputs'!$D$9:$D$32,$C$4,'EE Inputs'!$E$9:$E$32,$B49),0))</f>
        <v>0</v>
      </c>
      <c r="X49" s="509">
        <f ca="1">IF($C$4=Lookups!$D$40,SUM(INDIRECT("'Yr1'!"&amp;ADDRESS(ROW(X49),COLUMN(X49))),INDIRECT("'Yr2'!"&amp;ADDRESS(ROW(X49),COLUMN(X49))),INDIRECT("'Yr3'!"&amp;ADDRESS(ROW(X49),COLUMN(X49)))),
IF($C$4=X$7,SUMIFS('EE Inputs'!$L$9:$L$32,'EE Inputs'!$C$9:$C$32,$G$6,'EE Inputs'!$D$9:$D$32,$C$4,'EE Inputs'!$E$9:$E$32,$B49),0))</f>
        <v>0</v>
      </c>
      <c r="Y49" s="509">
        <f ca="1">IF($C$4=Lookups!$D$40,SUM(INDIRECT("'Yr1'!"&amp;ADDRESS(ROW(Y49),COLUMN(Y49))),INDIRECT("'Yr2'!"&amp;ADDRESS(ROW(Y49),COLUMN(Y49))),INDIRECT("'Yr3'!"&amp;ADDRESS(ROW(Y49),COLUMN(Y49)))),
IF($C$4=Y$7,SUMIFS('EE Inputs'!$L$9:$L$32,'EE Inputs'!$C$9:$C$32,$G$6,'EE Inputs'!$D$9:$D$32,$C$4,'EE Inputs'!$E$9:$E$32,$B49),0))</f>
        <v>0</v>
      </c>
      <c r="Z49" s="509">
        <f ca="1">IF($C$4=Lookups!$D$40,SUM(INDIRECT("'Yr1'!"&amp;ADDRESS(ROW(Z49),COLUMN(Z49))),INDIRECT("'Yr2'!"&amp;ADDRESS(ROW(Z49),COLUMN(Z49))),INDIRECT("'Yr3'!"&amp;ADDRESS(ROW(Z49),COLUMN(Z49)))),
IF($C$4=Z$7,SUMIFS('EE Inputs'!$L$9:$L$32,'EE Inputs'!$C$9:$C$32,$G$6,'EE Inputs'!$D$9:$D$32,$C$4,'EE Inputs'!$E$9:$E$32,$B49),0))</f>
        <v>0</v>
      </c>
      <c r="AA49" s="509">
        <f ca="1">IF($C$4=Lookups!$D$40,SUM(INDIRECT("'Yr1'!"&amp;ADDRESS(ROW(AA49),COLUMN(AA49))),INDIRECT("'Yr2'!"&amp;ADDRESS(ROW(AA49),COLUMN(AA49))),INDIRECT("'Yr3'!"&amp;ADDRESS(ROW(AA49),COLUMN(AA49)))),
IF($C$4=AA$7,SUMIFS('EE Inputs'!$L$9:$L$32,'EE Inputs'!$C$9:$C$32,$G$6,'EE Inputs'!$D$9:$D$32,$C$4,'EE Inputs'!$E$9:$E$32,$B49),0))</f>
        <v>0</v>
      </c>
      <c r="AB49" s="509">
        <f ca="1">IF($C$4=Lookups!$D$40,SUM(INDIRECT("'Yr1'!"&amp;ADDRESS(ROW(AB49),COLUMN(AB49))),INDIRECT("'Yr2'!"&amp;ADDRESS(ROW(AB49),COLUMN(AB49))),INDIRECT("'Yr3'!"&amp;ADDRESS(ROW(AB49),COLUMN(AB49)))),
IF($C$4=AB$7,SUMIFS('EE Inputs'!$L$9:$L$32,'EE Inputs'!$C$9:$C$32,$G$6,'EE Inputs'!$D$9:$D$32,$C$4,'EE Inputs'!$E$9:$E$32,$B49),0))</f>
        <v>0</v>
      </c>
      <c r="AC49" s="509">
        <f ca="1">IF($C$4=Lookups!$D$40,SUM(INDIRECT("'Yr1'!"&amp;ADDRESS(ROW(AC49),COLUMN(AC49))),INDIRECT("'Yr2'!"&amp;ADDRESS(ROW(AC49),COLUMN(AC49))),INDIRECT("'Yr3'!"&amp;ADDRESS(ROW(AC49),COLUMN(AC49)))),
IF($C$4=AC$7,SUMIFS('EE Inputs'!$L$9:$L$32,'EE Inputs'!$C$9:$C$32,$G$6,'EE Inputs'!$D$9:$D$32,$C$4,'EE Inputs'!$E$9:$E$32,$B49),0))</f>
        <v>0</v>
      </c>
      <c r="AD49" s="509">
        <f ca="1">IF($C$4=Lookups!$D$40,SUM(INDIRECT("'Yr1'!"&amp;ADDRESS(ROW(AD49),COLUMN(AD49))),INDIRECT("'Yr2'!"&amp;ADDRESS(ROW(AD49),COLUMN(AD49))),INDIRECT("'Yr3'!"&amp;ADDRESS(ROW(AD49),COLUMN(AD49)))),
IF($C$4=AD$7,SUMIFS('EE Inputs'!$L$9:$L$32,'EE Inputs'!$C$9:$C$32,$G$6,'EE Inputs'!$D$9:$D$32,$C$4,'EE Inputs'!$E$9:$E$32,$B49),0))</f>
        <v>0</v>
      </c>
      <c r="AE49" s="509">
        <f ca="1">IF($C$4=Lookups!$D$40,SUM(INDIRECT("'Yr1'!"&amp;ADDRESS(ROW(AE49),COLUMN(AE49))),INDIRECT("'Yr2'!"&amp;ADDRESS(ROW(AE49),COLUMN(AE49))),INDIRECT("'Yr3'!"&amp;ADDRESS(ROW(AE49),COLUMN(AE49)))),
IF($C$4=AE$7,SUMIFS('EE Inputs'!$L$9:$L$32,'EE Inputs'!$C$9:$C$32,$G$6,'EE Inputs'!$D$9:$D$32,$C$4,'EE Inputs'!$E$9:$E$32,$B49),0))</f>
        <v>0</v>
      </c>
      <c r="AF49" s="509">
        <f ca="1">IF($C$4=Lookups!$D$40,SUM(INDIRECT("'Yr1'!"&amp;ADDRESS(ROW(AF49),COLUMN(AF49))),INDIRECT("'Yr2'!"&amp;ADDRESS(ROW(AF49),COLUMN(AF49))),INDIRECT("'Yr3'!"&amp;ADDRESS(ROW(AF49),COLUMN(AF49)))),
IF($C$4=AF$7,SUMIFS('EE Inputs'!$L$9:$L$32,'EE Inputs'!$C$9:$C$32,$G$6,'EE Inputs'!$D$9:$D$32,$C$4,'EE Inputs'!$E$9:$E$32,$B49),0))</f>
        <v>0</v>
      </c>
      <c r="AG49" s="509">
        <f ca="1">IF($C$4=Lookups!$D$40,SUM(INDIRECT("'Yr1'!"&amp;ADDRESS(ROW(AG49),COLUMN(AG49))),INDIRECT("'Yr2'!"&amp;ADDRESS(ROW(AG49),COLUMN(AG49))),INDIRECT("'Yr3'!"&amp;ADDRESS(ROW(AG49),COLUMN(AG49)))),
IF($C$4=AG$7,SUMIFS('EE Inputs'!$L$9:$L$32,'EE Inputs'!$C$9:$C$32,$G$6,'EE Inputs'!$D$9:$D$32,$C$4,'EE Inputs'!$E$9:$E$32,$B49),0))</f>
        <v>0</v>
      </c>
      <c r="AH49" s="509"/>
      <c r="AI49" s="509"/>
      <c r="AJ49" s="506">
        <f ca="1">IF($C$4=Year1,-PMT(Lookups!$E$17,25,NPV(Lookups!$E$17,G49:AE49),0,1),IF($C$4=Year2,-PMT(Lookups!$F$17,25,NPV(Lookups!$F$17,H49:AF49),0,1),IF($C$4=Year3,-PMT(Lookups!$G$17,25,NPV(Lookups!$G$17,I49:AG49),0,1),-PMT(Lookups!$G$17,27,NPV(Lookups!$G$17,G49:AG49),0,1))))</f>
        <v>3.0043028435832405E-3</v>
      </c>
      <c r="AK49" s="507"/>
      <c r="AL49" s="507"/>
      <c r="AM49" s="508">
        <f ca="1">IF($C$4=Lookups!$D$40,SUM(INDIRECT("'Yr1'!"&amp;ADDRESS(ROW(AM49),COLUMN(AM49))),INDIRECT("'Yr2'!"&amp;ADDRESS(ROW(AM49),COLUMN(AM49))),INDIRECT("'Yr3'!"&amp;ADDRESS(ROW(AM49),COLUMN(AM49)))),
IF($C$4=AM$7,SUMIFS('EE Inputs'!$L$9:$L$32,'EE Inputs'!$C$9:$C$32,$AM$6,'EE Inputs'!$D$9:$D$32,$C$4,'EE Inputs'!$E$9:$E$32,$B49),0))</f>
        <v>7.7623676390230018E-2</v>
      </c>
      <c r="AN49" s="508">
        <f ca="1">IF($C$4=Lookups!$D$40,SUM(INDIRECT("'Yr1'!"&amp;ADDRESS(ROW(AN49),COLUMN(AN49))),INDIRECT("'Yr2'!"&amp;ADDRESS(ROW(AN49),COLUMN(AN49))),INDIRECT("'Yr3'!"&amp;ADDRESS(ROW(AN49),COLUMN(AN49)))),
IF($C$4=AN$7,SUMIFS('EE Inputs'!$L$9:$L$32,'EE Inputs'!$C$9:$C$32,$AM$6,'EE Inputs'!$D$9:$D$32,$C$4,'EE Inputs'!$E$9:$E$32,$B49),0))</f>
        <v>0</v>
      </c>
      <c r="AO49" s="508">
        <f ca="1">IF($C$4=Lookups!$D$40,SUM(INDIRECT("'Yr1'!"&amp;ADDRESS(ROW(AO49),COLUMN(AO49))),INDIRECT("'Yr2'!"&amp;ADDRESS(ROW(AO49),COLUMN(AO49))),INDIRECT("'Yr3'!"&amp;ADDRESS(ROW(AO49),COLUMN(AO49)))),
IF($C$4=AO$7,SUMIFS('EE Inputs'!$L$9:$L$32,'EE Inputs'!$C$9:$C$32,$AM$6,'EE Inputs'!$D$9:$D$32,$C$4,'EE Inputs'!$E$9:$E$32,$B49),0))</f>
        <v>0</v>
      </c>
      <c r="AP49" s="508">
        <f ca="1">IF($C$4=Lookups!$D$40,SUM(INDIRECT("'Yr1'!"&amp;ADDRESS(ROW(AP49),COLUMN(AP49))),INDIRECT("'Yr2'!"&amp;ADDRESS(ROW(AP49),COLUMN(AP49))),INDIRECT("'Yr3'!"&amp;ADDRESS(ROW(AP49),COLUMN(AP49)))),
IF($C$4=AP$7,SUMIFS('EE Inputs'!$L$9:$L$32,'EE Inputs'!$C$9:$C$32,$AM$6,'EE Inputs'!$D$9:$D$32,$C$4,'EE Inputs'!$E$9:$E$32,$B49),0))</f>
        <v>0</v>
      </c>
      <c r="AQ49" s="508">
        <f ca="1">IF($C$4=Lookups!$D$40,SUM(INDIRECT("'Yr1'!"&amp;ADDRESS(ROW(AQ49),COLUMN(AQ49))),INDIRECT("'Yr2'!"&amp;ADDRESS(ROW(AQ49),COLUMN(AQ49))),INDIRECT("'Yr3'!"&amp;ADDRESS(ROW(AQ49),COLUMN(AQ49)))),
IF($C$4=AQ$7,SUMIFS('EE Inputs'!$L$9:$L$32,'EE Inputs'!$C$9:$C$32,$AM$6,'EE Inputs'!$D$9:$D$32,$C$4,'EE Inputs'!$E$9:$E$32,$B49),0))</f>
        <v>0</v>
      </c>
      <c r="AR49" s="508">
        <f ca="1">IF($C$4=Lookups!$D$40,SUM(INDIRECT("'Yr1'!"&amp;ADDRESS(ROW(AR49),COLUMN(AR49))),INDIRECT("'Yr2'!"&amp;ADDRESS(ROW(AR49),COLUMN(AR49))),INDIRECT("'Yr3'!"&amp;ADDRESS(ROW(AR49),COLUMN(AR49)))),
IF($C$4=AR$7,SUMIFS('EE Inputs'!$L$9:$L$32,'EE Inputs'!$C$9:$C$32,$AM$6,'EE Inputs'!$D$9:$D$32,$C$4,'EE Inputs'!$E$9:$E$32,$B49),0))</f>
        <v>0</v>
      </c>
      <c r="AS49" s="508">
        <f ca="1">IF($C$4=Lookups!$D$40,SUM(INDIRECT("'Yr1'!"&amp;ADDRESS(ROW(AS49),COLUMN(AS49))),INDIRECT("'Yr2'!"&amp;ADDRESS(ROW(AS49),COLUMN(AS49))),INDIRECT("'Yr3'!"&amp;ADDRESS(ROW(AS49),COLUMN(AS49)))),
IF($C$4=AS$7,SUMIFS('EE Inputs'!$L$9:$L$32,'EE Inputs'!$C$9:$C$32,$AM$6,'EE Inputs'!$D$9:$D$32,$C$4,'EE Inputs'!$E$9:$E$32,$B49),0))</f>
        <v>0</v>
      </c>
      <c r="AT49" s="508">
        <f ca="1">IF($C$4=Lookups!$D$40,SUM(INDIRECT("'Yr1'!"&amp;ADDRESS(ROW(AT49),COLUMN(AT49))),INDIRECT("'Yr2'!"&amp;ADDRESS(ROW(AT49),COLUMN(AT49))),INDIRECT("'Yr3'!"&amp;ADDRESS(ROW(AT49),COLUMN(AT49)))),
IF($C$4=AT$7,SUMIFS('EE Inputs'!$L$9:$L$32,'EE Inputs'!$C$9:$C$32,$AM$6,'EE Inputs'!$D$9:$D$32,$C$4,'EE Inputs'!$E$9:$E$32,$B49),0))</f>
        <v>0</v>
      </c>
      <c r="AU49" s="508">
        <f ca="1">IF($C$4=Lookups!$D$40,SUM(INDIRECT("'Yr1'!"&amp;ADDRESS(ROW(AU49),COLUMN(AU49))),INDIRECT("'Yr2'!"&amp;ADDRESS(ROW(AU49),COLUMN(AU49))),INDIRECT("'Yr3'!"&amp;ADDRESS(ROW(AU49),COLUMN(AU49)))),
IF($C$4=AU$7,SUMIFS('EE Inputs'!$L$9:$L$32,'EE Inputs'!$C$9:$C$32,$AM$6,'EE Inputs'!$D$9:$D$32,$C$4,'EE Inputs'!$E$9:$E$32,$B49),0))</f>
        <v>0</v>
      </c>
      <c r="AV49" s="508">
        <f ca="1">IF($C$4=Lookups!$D$40,SUM(INDIRECT("'Yr1'!"&amp;ADDRESS(ROW(AV49),COLUMN(AV49))),INDIRECT("'Yr2'!"&amp;ADDRESS(ROW(AV49),COLUMN(AV49))),INDIRECT("'Yr3'!"&amp;ADDRESS(ROW(AV49),COLUMN(AV49)))),
IF($C$4=AV$7,SUMIFS('EE Inputs'!$L$9:$L$32,'EE Inputs'!$C$9:$C$32,$AM$6,'EE Inputs'!$D$9:$D$32,$C$4,'EE Inputs'!$E$9:$E$32,$B49),0))</f>
        <v>0</v>
      </c>
      <c r="AW49" s="508">
        <f ca="1">IF($C$4=Lookups!$D$40,SUM(INDIRECT("'Yr1'!"&amp;ADDRESS(ROW(AW49),COLUMN(AW49))),INDIRECT("'Yr2'!"&amp;ADDRESS(ROW(AW49),COLUMN(AW49))),INDIRECT("'Yr3'!"&amp;ADDRESS(ROW(AW49),COLUMN(AW49)))),
IF($C$4=AW$7,SUMIFS('EE Inputs'!$L$9:$L$32,'EE Inputs'!$C$9:$C$32,$AM$6,'EE Inputs'!$D$9:$D$32,$C$4,'EE Inputs'!$E$9:$E$32,$B49),0))</f>
        <v>0</v>
      </c>
      <c r="AX49" s="508">
        <f ca="1">IF($C$4=Lookups!$D$40,SUM(INDIRECT("'Yr1'!"&amp;ADDRESS(ROW(AX49),COLUMN(AX49))),INDIRECT("'Yr2'!"&amp;ADDRESS(ROW(AX49),COLUMN(AX49))),INDIRECT("'Yr3'!"&amp;ADDRESS(ROW(AX49),COLUMN(AX49)))),
IF($C$4=AX$7,SUMIFS('EE Inputs'!$L$9:$L$32,'EE Inputs'!$C$9:$C$32,$AM$6,'EE Inputs'!$D$9:$D$32,$C$4,'EE Inputs'!$E$9:$E$32,$B49),0))</f>
        <v>0</v>
      </c>
      <c r="AY49" s="508">
        <f ca="1">IF($C$4=Lookups!$D$40,SUM(INDIRECT("'Yr1'!"&amp;ADDRESS(ROW(AY49),COLUMN(AY49))),INDIRECT("'Yr2'!"&amp;ADDRESS(ROW(AY49),COLUMN(AY49))),INDIRECT("'Yr3'!"&amp;ADDRESS(ROW(AY49),COLUMN(AY49)))),
IF($C$4=AY$7,SUMIFS('EE Inputs'!$L$9:$L$32,'EE Inputs'!$C$9:$C$32,$AM$6,'EE Inputs'!$D$9:$D$32,$C$4,'EE Inputs'!$E$9:$E$32,$B49),0))</f>
        <v>0</v>
      </c>
      <c r="AZ49" s="508">
        <f ca="1">IF($C$4=Lookups!$D$40,SUM(INDIRECT("'Yr1'!"&amp;ADDRESS(ROW(AZ49),COLUMN(AZ49))),INDIRECT("'Yr2'!"&amp;ADDRESS(ROW(AZ49),COLUMN(AZ49))),INDIRECT("'Yr3'!"&amp;ADDRESS(ROW(AZ49),COLUMN(AZ49)))),
IF($C$4=AZ$7,SUMIFS('EE Inputs'!$L$9:$L$32,'EE Inputs'!$C$9:$C$32,$AM$6,'EE Inputs'!$D$9:$D$32,$C$4,'EE Inputs'!$E$9:$E$32,$B49),0))</f>
        <v>0</v>
      </c>
      <c r="BA49" s="508">
        <f ca="1">IF($C$4=Lookups!$D$40,SUM(INDIRECT("'Yr1'!"&amp;ADDRESS(ROW(BA49),COLUMN(BA49))),INDIRECT("'Yr2'!"&amp;ADDRESS(ROW(BA49),COLUMN(BA49))),INDIRECT("'Yr3'!"&amp;ADDRESS(ROW(BA49),COLUMN(BA49)))),
IF($C$4=BA$7,SUMIFS('EE Inputs'!$L$9:$L$32,'EE Inputs'!$C$9:$C$32,$AM$6,'EE Inputs'!$D$9:$D$32,$C$4,'EE Inputs'!$E$9:$E$32,$B49),0))</f>
        <v>0</v>
      </c>
      <c r="BB49" s="508">
        <f ca="1">IF($C$4=Lookups!$D$40,SUM(INDIRECT("'Yr1'!"&amp;ADDRESS(ROW(BB49),COLUMN(BB49))),INDIRECT("'Yr2'!"&amp;ADDRESS(ROW(BB49),COLUMN(BB49))),INDIRECT("'Yr3'!"&amp;ADDRESS(ROW(BB49),COLUMN(BB49)))),
IF($C$4=BB$7,SUMIFS('EE Inputs'!$L$9:$L$32,'EE Inputs'!$C$9:$C$32,$AM$6,'EE Inputs'!$D$9:$D$32,$C$4,'EE Inputs'!$E$9:$E$32,$B49),0))</f>
        <v>0</v>
      </c>
      <c r="BC49" s="508">
        <f ca="1">IF($C$4=Lookups!$D$40,SUM(INDIRECT("'Yr1'!"&amp;ADDRESS(ROW(BC49),COLUMN(BC49))),INDIRECT("'Yr2'!"&amp;ADDRESS(ROW(BC49),COLUMN(BC49))),INDIRECT("'Yr3'!"&amp;ADDRESS(ROW(BC49),COLUMN(BC49)))),
IF($C$4=BC$7,SUMIFS('EE Inputs'!$L$9:$L$32,'EE Inputs'!$C$9:$C$32,$AM$6,'EE Inputs'!$D$9:$D$32,$C$4,'EE Inputs'!$E$9:$E$32,$B49),0))</f>
        <v>0</v>
      </c>
      <c r="BD49" s="508">
        <f ca="1">IF($C$4=Lookups!$D$40,SUM(INDIRECT("'Yr1'!"&amp;ADDRESS(ROW(BD49),COLUMN(BD49))),INDIRECT("'Yr2'!"&amp;ADDRESS(ROW(BD49),COLUMN(BD49))),INDIRECT("'Yr3'!"&amp;ADDRESS(ROW(BD49),COLUMN(BD49)))),
IF($C$4=BD$7,SUMIFS('EE Inputs'!$L$9:$L$32,'EE Inputs'!$C$9:$C$32,$AM$6,'EE Inputs'!$D$9:$D$32,$C$4,'EE Inputs'!$E$9:$E$32,$B49),0))</f>
        <v>0</v>
      </c>
      <c r="BE49" s="508">
        <f ca="1">IF($C$4=Lookups!$D$40,SUM(INDIRECT("'Yr1'!"&amp;ADDRESS(ROW(BE49),COLUMN(BE49))),INDIRECT("'Yr2'!"&amp;ADDRESS(ROW(BE49),COLUMN(BE49))),INDIRECT("'Yr3'!"&amp;ADDRESS(ROW(BE49),COLUMN(BE49)))),
IF($C$4=BE$7,SUMIFS('EE Inputs'!$L$9:$L$32,'EE Inputs'!$C$9:$C$32,$AM$6,'EE Inputs'!$D$9:$D$32,$C$4,'EE Inputs'!$E$9:$E$32,$B49),0))</f>
        <v>0</v>
      </c>
      <c r="BF49" s="508">
        <f ca="1">IF($C$4=Lookups!$D$40,SUM(INDIRECT("'Yr1'!"&amp;ADDRESS(ROW(BF49),COLUMN(BF49))),INDIRECT("'Yr2'!"&amp;ADDRESS(ROW(BF49),COLUMN(BF49))),INDIRECT("'Yr3'!"&amp;ADDRESS(ROW(BF49),COLUMN(BF49)))),
IF($C$4=BF$7,SUMIFS('EE Inputs'!$L$9:$L$32,'EE Inputs'!$C$9:$C$32,$AM$6,'EE Inputs'!$D$9:$D$32,$C$4,'EE Inputs'!$E$9:$E$32,$B49),0))</f>
        <v>0</v>
      </c>
      <c r="BG49" s="508">
        <f ca="1">IF($C$4=Lookups!$D$40,SUM(INDIRECT("'Yr1'!"&amp;ADDRESS(ROW(BG49),COLUMN(BG49))),INDIRECT("'Yr2'!"&amp;ADDRESS(ROW(BG49),COLUMN(BG49))),INDIRECT("'Yr3'!"&amp;ADDRESS(ROW(BG49),COLUMN(BG49)))),
IF($C$4=BG$7,SUMIFS('EE Inputs'!$L$9:$L$32,'EE Inputs'!$C$9:$C$32,$AM$6,'EE Inputs'!$D$9:$D$32,$C$4,'EE Inputs'!$E$9:$E$32,$B49),0))</f>
        <v>0</v>
      </c>
      <c r="BH49" s="508">
        <f ca="1">IF($C$4=Lookups!$D$40,SUM(INDIRECT("'Yr1'!"&amp;ADDRESS(ROW(BH49),COLUMN(BH49))),INDIRECT("'Yr2'!"&amp;ADDRESS(ROW(BH49),COLUMN(BH49))),INDIRECT("'Yr3'!"&amp;ADDRESS(ROW(BH49),COLUMN(BH49)))),
IF($C$4=BH$7,SUMIFS('EE Inputs'!$L$9:$L$32,'EE Inputs'!$C$9:$C$32,$AM$6,'EE Inputs'!$D$9:$D$32,$C$4,'EE Inputs'!$E$9:$E$32,$B49),0))</f>
        <v>0</v>
      </c>
      <c r="BI49" s="508">
        <f ca="1">IF($C$4=Lookups!$D$40,SUM(INDIRECT("'Yr1'!"&amp;ADDRESS(ROW(BI49),COLUMN(BI49))),INDIRECT("'Yr2'!"&amp;ADDRESS(ROW(BI49),COLUMN(BI49))),INDIRECT("'Yr3'!"&amp;ADDRESS(ROW(BI49),COLUMN(BI49)))),
IF($C$4=BI$7,SUMIFS('EE Inputs'!$L$9:$L$32,'EE Inputs'!$C$9:$C$32,$AM$6,'EE Inputs'!$D$9:$D$32,$C$4,'EE Inputs'!$E$9:$E$32,$B49),0))</f>
        <v>0</v>
      </c>
      <c r="BJ49" s="508">
        <f ca="1">IF($C$4=Lookups!$D$40,SUM(INDIRECT("'Yr1'!"&amp;ADDRESS(ROW(BJ49),COLUMN(BJ49))),INDIRECT("'Yr2'!"&amp;ADDRESS(ROW(BJ49),COLUMN(BJ49))),INDIRECT("'Yr3'!"&amp;ADDRESS(ROW(BJ49),COLUMN(BJ49)))),
IF($C$4=BJ$7,SUMIFS('EE Inputs'!$L$9:$L$32,'EE Inputs'!$C$9:$C$32,$AM$6,'EE Inputs'!$D$9:$D$32,$C$4,'EE Inputs'!$E$9:$E$32,$B49),0))</f>
        <v>0</v>
      </c>
      <c r="BK49" s="508">
        <f ca="1">IF($C$4=Lookups!$D$40,SUM(INDIRECT("'Yr1'!"&amp;ADDRESS(ROW(BK49),COLUMN(BK49))),INDIRECT("'Yr2'!"&amp;ADDRESS(ROW(BK49),COLUMN(BK49))),INDIRECT("'Yr3'!"&amp;ADDRESS(ROW(BK49),COLUMN(BK49)))),
IF($C$4=BK$7,SUMIFS('EE Inputs'!$L$9:$L$32,'EE Inputs'!$C$9:$C$32,$AM$6,'EE Inputs'!$D$9:$D$32,$C$4,'EE Inputs'!$E$9:$E$32,$B49),0))</f>
        <v>0</v>
      </c>
      <c r="BL49" s="508">
        <f ca="1">IF($C$4=Lookups!$D$40,SUM(INDIRECT("'Yr1'!"&amp;ADDRESS(ROW(BL49),COLUMN(BL49))),INDIRECT("'Yr2'!"&amp;ADDRESS(ROW(BL49),COLUMN(BL49))),INDIRECT("'Yr3'!"&amp;ADDRESS(ROW(BL49),COLUMN(BL49)))),
IF($C$4=BL$7,SUMIFS('EE Inputs'!$L$9:$L$32,'EE Inputs'!$C$9:$C$32,$AM$6,'EE Inputs'!$D$9:$D$32,$C$4,'EE Inputs'!$E$9:$E$32,$B49),0))</f>
        <v>0</v>
      </c>
      <c r="BM49" s="508">
        <f ca="1">IF($C$4=Lookups!$D$40,SUM(INDIRECT("'Yr1'!"&amp;ADDRESS(ROW(BM49),COLUMN(BM49))),INDIRECT("'Yr2'!"&amp;ADDRESS(ROW(BM49),COLUMN(BM49))),INDIRECT("'Yr3'!"&amp;ADDRESS(ROW(BM49),COLUMN(BM49)))),
IF($C$4=BM$7,SUMIFS('EE Inputs'!$L$9:$L$32,'EE Inputs'!$C$9:$C$32,$AM$6,'EE Inputs'!$D$9:$D$32,$C$4,'EE Inputs'!$E$9:$E$32,$B49),0))</f>
        <v>0</v>
      </c>
      <c r="BN49" s="508"/>
      <c r="BO49" s="508"/>
      <c r="BP49" s="508">
        <f ca="1">IF($C$4=Year1,-PMT(Lookups!$E$17,25,NPV(Lookups!$E$17,AM49:BK49),0,1),IF($C$4=Year2,-PMT(Lookups!$F$17,25,NPV(Lookups!$F$17,AN49:BL49),0,1),IF($C$4=Year3,-PMT(Lookups!$G$17,25,NPV(Lookups!$G$17,AO49:BM49),0,1),-PMT(Lookups!$G$17,27,NPV(Lookups!$G$17,AM49:BM49),0,1))))</f>
        <v>3.605163412299888E-3</v>
      </c>
      <c r="BS49" s="86" t="s">
        <v>402</v>
      </c>
      <c r="BT49" s="51" t="s">
        <v>17</v>
      </c>
    </row>
    <row r="50" spans="1:72" x14ac:dyDescent="0.25">
      <c r="A50" s="246"/>
      <c r="B50" s="243" t="str">
        <f t="shared" si="23"/>
        <v>Residential</v>
      </c>
      <c r="C50" s="243" t="str">
        <f t="shared" si="23"/>
        <v>Rates</v>
      </c>
      <c r="D50" s="244" t="str">
        <f t="shared" si="23"/>
        <v>Increased Costs and Cost Shifting</v>
      </c>
      <c r="E50" s="86" t="s">
        <v>198</v>
      </c>
      <c r="F50" s="84" t="s">
        <v>182</v>
      </c>
      <c r="G50" s="506">
        <f ca="1">IFERROR((G32/G17)-(G32/G15),0)</f>
        <v>3.593632064576413E-3</v>
      </c>
      <c r="H50" s="506">
        <f ca="1">IFERROR((H32/H17)-(H32/H15),0)</f>
        <v>3.593632064576413E-3</v>
      </c>
      <c r="I50" s="506">
        <f t="shared" ref="I50:AG50" ca="1" si="33">IFERROR((I32/I17)-(I32/I15),0)</f>
        <v>3.593632064576413E-3</v>
      </c>
      <c r="J50" s="506">
        <f t="shared" ca="1" si="33"/>
        <v>3.593632064576413E-3</v>
      </c>
      <c r="K50" s="506">
        <f t="shared" ca="1" si="33"/>
        <v>3.593632064576413E-3</v>
      </c>
      <c r="L50" s="506">
        <f t="shared" ca="1" si="33"/>
        <v>3.593632064576413E-3</v>
      </c>
      <c r="M50" s="506">
        <f t="shared" ca="1" si="33"/>
        <v>3.593632064576413E-3</v>
      </c>
      <c r="N50" s="506">
        <f t="shared" ca="1" si="33"/>
        <v>3.593632064576413E-3</v>
      </c>
      <c r="O50" s="506">
        <f t="shared" ca="1" si="33"/>
        <v>3.593632064576413E-3</v>
      </c>
      <c r="P50" s="506">
        <f t="shared" ca="1" si="33"/>
        <v>3.593632064576413E-3</v>
      </c>
      <c r="Q50" s="506">
        <f t="shared" ca="1" si="33"/>
        <v>3.593632064576413E-3</v>
      </c>
      <c r="R50" s="506">
        <f t="shared" ca="1" si="33"/>
        <v>3.593632064576413E-3</v>
      </c>
      <c r="S50" s="506">
        <f t="shared" ca="1" si="33"/>
        <v>3.593632064576413E-3</v>
      </c>
      <c r="T50" s="506">
        <f t="shared" ca="1" si="33"/>
        <v>3.593632064576413E-3</v>
      </c>
      <c r="U50" s="506">
        <f t="shared" ca="1" si="33"/>
        <v>3.593632064576413E-3</v>
      </c>
      <c r="V50" s="506">
        <f t="shared" ca="1" si="33"/>
        <v>0</v>
      </c>
      <c r="W50" s="506">
        <f t="shared" ca="1" si="33"/>
        <v>0</v>
      </c>
      <c r="X50" s="506">
        <f t="shared" ca="1" si="33"/>
        <v>0</v>
      </c>
      <c r="Y50" s="506">
        <f t="shared" ca="1" si="33"/>
        <v>0</v>
      </c>
      <c r="Z50" s="506">
        <f t="shared" ca="1" si="33"/>
        <v>0</v>
      </c>
      <c r="AA50" s="506">
        <f t="shared" ca="1" si="33"/>
        <v>0</v>
      </c>
      <c r="AB50" s="506">
        <f t="shared" ca="1" si="33"/>
        <v>0</v>
      </c>
      <c r="AC50" s="506">
        <f t="shared" ca="1" si="33"/>
        <v>0</v>
      </c>
      <c r="AD50" s="506">
        <f t="shared" ca="1" si="33"/>
        <v>0</v>
      </c>
      <c r="AE50" s="506">
        <f t="shared" ca="1" si="33"/>
        <v>0</v>
      </c>
      <c r="AF50" s="506">
        <f t="shared" ca="1" si="33"/>
        <v>0</v>
      </c>
      <c r="AG50" s="506">
        <f t="shared" ca="1" si="33"/>
        <v>0</v>
      </c>
      <c r="AH50" s="506"/>
      <c r="AI50" s="506"/>
      <c r="AJ50" s="506">
        <f ca="1">IF($C$4=Year1,-PMT(Lookups!$E$17,25,NPV(Lookups!$E$17,G50:AE50),0,1),IF($C$4=Year2,-PMT(Lookups!$F$17,25,NPV(Lookups!$F$17,H50:AF50),0,1),IF($C$4=Year3,-PMT(Lookups!$G$17,25,NPV(Lookups!$G$17,I50:AG50),0,1),-PMT(Lookups!$G$17,27,NPV(Lookups!$G$17,G50:AG50),0,1))))</f>
        <v>2.2733040849728459E-3</v>
      </c>
      <c r="AK50" s="507"/>
      <c r="AL50" s="507"/>
      <c r="AM50" s="508">
        <f ca="1">IFERROR((AM32/AM17)-(AM32/AM15),0)</f>
        <v>4.1104804584570775E-3</v>
      </c>
      <c r="AN50" s="508">
        <f t="shared" ref="AN50:BM50" ca="1" si="34">IFERROR((AN32/AN17)-(AN32/AN15),0)</f>
        <v>4.1104804584570775E-3</v>
      </c>
      <c r="AO50" s="508">
        <f t="shared" ca="1" si="34"/>
        <v>4.1104804584570775E-3</v>
      </c>
      <c r="AP50" s="508">
        <f t="shared" ca="1" si="34"/>
        <v>4.1104804584570775E-3</v>
      </c>
      <c r="AQ50" s="508">
        <f t="shared" ca="1" si="34"/>
        <v>4.1104804584570775E-3</v>
      </c>
      <c r="AR50" s="508">
        <f t="shared" ca="1" si="34"/>
        <v>4.1104804584570775E-3</v>
      </c>
      <c r="AS50" s="508">
        <f t="shared" ca="1" si="34"/>
        <v>4.1104804584570775E-3</v>
      </c>
      <c r="AT50" s="508">
        <f t="shared" ca="1" si="34"/>
        <v>4.1104804584570775E-3</v>
      </c>
      <c r="AU50" s="508">
        <f t="shared" ca="1" si="34"/>
        <v>4.1104804584570775E-3</v>
      </c>
      <c r="AV50" s="508">
        <f t="shared" ca="1" si="34"/>
        <v>4.1104804584570775E-3</v>
      </c>
      <c r="AW50" s="508">
        <f t="shared" ca="1" si="34"/>
        <v>4.1104804584570775E-3</v>
      </c>
      <c r="AX50" s="508">
        <f t="shared" ca="1" si="34"/>
        <v>4.1104804584570775E-3</v>
      </c>
      <c r="AY50" s="508">
        <f t="shared" ca="1" si="34"/>
        <v>4.1104804584570775E-3</v>
      </c>
      <c r="AZ50" s="508">
        <f t="shared" ca="1" si="34"/>
        <v>4.1104804584570775E-3</v>
      </c>
      <c r="BA50" s="508">
        <f t="shared" ca="1" si="34"/>
        <v>4.1104804584570775E-3</v>
      </c>
      <c r="BB50" s="508">
        <f t="shared" ca="1" si="34"/>
        <v>0</v>
      </c>
      <c r="BC50" s="508">
        <f t="shared" ca="1" si="34"/>
        <v>0</v>
      </c>
      <c r="BD50" s="508">
        <f t="shared" ca="1" si="34"/>
        <v>0</v>
      </c>
      <c r="BE50" s="508">
        <f t="shared" ca="1" si="34"/>
        <v>0</v>
      </c>
      <c r="BF50" s="508">
        <f t="shared" ca="1" si="34"/>
        <v>0</v>
      </c>
      <c r="BG50" s="508">
        <f t="shared" ca="1" si="34"/>
        <v>0</v>
      </c>
      <c r="BH50" s="508">
        <f t="shared" ca="1" si="34"/>
        <v>0</v>
      </c>
      <c r="BI50" s="508">
        <f t="shared" ca="1" si="34"/>
        <v>0</v>
      </c>
      <c r="BJ50" s="508">
        <f t="shared" ca="1" si="34"/>
        <v>0</v>
      </c>
      <c r="BK50" s="508">
        <f t="shared" ca="1" si="34"/>
        <v>0</v>
      </c>
      <c r="BL50" s="508">
        <f t="shared" ca="1" si="34"/>
        <v>0</v>
      </c>
      <c r="BM50" s="508">
        <f t="shared" ca="1" si="34"/>
        <v>0</v>
      </c>
      <c r="BN50" s="508"/>
      <c r="BO50" s="508"/>
      <c r="BP50" s="508">
        <f ca="1">IF($C$4=Year1,-PMT(Lookups!$E$17,25,NPV(Lookups!$E$17,AM50:BK50),0,1),IF($C$4=Year2,-PMT(Lookups!$F$17,25,NPV(Lookups!$F$17,AN50:BL50),0,1),IF($C$4=Year3,-PMT(Lookups!$G$17,25,NPV(Lookups!$G$17,AO50:BM50),0,1),-PMT(Lookups!$G$17,27,NPV(Lookups!$G$17,AM50:BM50),0,1))))</f>
        <v>2.6002584153013357E-3</v>
      </c>
      <c r="BS50" s="84" t="s">
        <v>103</v>
      </c>
      <c r="BT50" s="51" t="s">
        <v>17</v>
      </c>
    </row>
    <row r="51" spans="1:72" x14ac:dyDescent="0.25">
      <c r="B51" s="243" t="str">
        <f t="shared" si="23"/>
        <v>Residential</v>
      </c>
      <c r="C51" s="243" t="str">
        <f t="shared" si="23"/>
        <v>Rates</v>
      </c>
      <c r="D51" s="114" t="s">
        <v>110</v>
      </c>
      <c r="E51" s="86"/>
      <c r="F51" s="86"/>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49"/>
      <c r="AI51" s="238"/>
      <c r="AJ51" s="506"/>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S51" s="84"/>
      <c r="BT51" s="51" t="s">
        <v>17</v>
      </c>
    </row>
    <row r="52" spans="1:72" x14ac:dyDescent="0.25">
      <c r="B52" s="243" t="str">
        <f t="shared" si="23"/>
        <v>Residential</v>
      </c>
      <c r="C52" s="243" t="str">
        <f t="shared" si="23"/>
        <v>Rates</v>
      </c>
      <c r="D52" s="244" t="str">
        <f>D51</f>
        <v>Rates after DSM Scenario</v>
      </c>
      <c r="E52" s="86" t="s">
        <v>26</v>
      </c>
      <c r="F52" s="84" t="s">
        <v>182</v>
      </c>
      <c r="G52" s="506">
        <f ca="1">IFERROR(G32/G17,0)</f>
        <v>0.56019109774755849</v>
      </c>
      <c r="H52" s="506">
        <f t="shared" ref="H52:AG52" ca="1" si="35">IFERROR(H32/H17,0)</f>
        <v>0.56019109774755849</v>
      </c>
      <c r="I52" s="506">
        <f t="shared" ca="1" si="35"/>
        <v>0.56019109774755849</v>
      </c>
      <c r="J52" s="506">
        <f t="shared" ca="1" si="35"/>
        <v>0.56019109774755849</v>
      </c>
      <c r="K52" s="506">
        <f t="shared" ca="1" si="35"/>
        <v>0.56019109774755849</v>
      </c>
      <c r="L52" s="506">
        <f t="shared" ca="1" si="35"/>
        <v>0.56019109774755849</v>
      </c>
      <c r="M52" s="506">
        <f t="shared" ca="1" si="35"/>
        <v>0.56019109774755849</v>
      </c>
      <c r="N52" s="506">
        <f t="shared" ca="1" si="35"/>
        <v>0.56019109774755849</v>
      </c>
      <c r="O52" s="506">
        <f t="shared" ca="1" si="35"/>
        <v>0.56019109774755849</v>
      </c>
      <c r="P52" s="506">
        <f t="shared" ca="1" si="35"/>
        <v>0.56019109774755849</v>
      </c>
      <c r="Q52" s="506">
        <f t="shared" ca="1" si="35"/>
        <v>0.56019109774755849</v>
      </c>
      <c r="R52" s="506">
        <f t="shared" ca="1" si="35"/>
        <v>0.56019109774755849</v>
      </c>
      <c r="S52" s="506">
        <f t="shared" ca="1" si="35"/>
        <v>0.56019109774755849</v>
      </c>
      <c r="T52" s="506">
        <f t="shared" ca="1" si="35"/>
        <v>0.56019109774755849</v>
      </c>
      <c r="U52" s="506">
        <f t="shared" ca="1" si="35"/>
        <v>0.56019109774755849</v>
      </c>
      <c r="V52" s="506">
        <f t="shared" ca="1" si="35"/>
        <v>0.55689999999999995</v>
      </c>
      <c r="W52" s="506">
        <f t="shared" ca="1" si="35"/>
        <v>0.55689999999999995</v>
      </c>
      <c r="X52" s="506">
        <f t="shared" ca="1" si="35"/>
        <v>0.55689999999999995</v>
      </c>
      <c r="Y52" s="506">
        <f t="shared" ca="1" si="35"/>
        <v>0.55689999999999995</v>
      </c>
      <c r="Z52" s="506">
        <f t="shared" ca="1" si="35"/>
        <v>0.55689999999999995</v>
      </c>
      <c r="AA52" s="506">
        <f t="shared" ca="1" si="35"/>
        <v>0.55689999999999995</v>
      </c>
      <c r="AB52" s="506">
        <f t="shared" ca="1" si="35"/>
        <v>0.55689999999999995</v>
      </c>
      <c r="AC52" s="506">
        <f t="shared" ca="1" si="35"/>
        <v>0.55689999999999995</v>
      </c>
      <c r="AD52" s="506">
        <f t="shared" ca="1" si="35"/>
        <v>0.55689999999999995</v>
      </c>
      <c r="AE52" s="506">
        <f t="shared" ca="1" si="35"/>
        <v>0.55689999999999995</v>
      </c>
      <c r="AF52" s="506">
        <f t="shared" ca="1" si="35"/>
        <v>0.55689999999999995</v>
      </c>
      <c r="AG52" s="506">
        <f t="shared" ca="1" si="35"/>
        <v>0.55689999999999995</v>
      </c>
      <c r="AH52" s="509"/>
      <c r="AI52" s="506"/>
      <c r="AJ52" s="506">
        <f ca="1">IF($C$4=Year1,-PMT(Lookups!$E$17,25,NPV(Lookups!$E$17,G52:AE52),0,1),IF($C$4=Year2,-PMT(Lookups!$F$17,25,NPV(Lookups!$F$17,H52:AF52),0,1),IF($C$4=Year3,-PMT(Lookups!$G$17,25,NPV(Lookups!$G$17,I52:AG52),0,1),-PMT(Lookups!$G$17,27,NPV(Lookups!$G$17,G52:AG52),0,1))))</f>
        <v>0.55121498857142459</v>
      </c>
      <c r="AK52" s="507"/>
      <c r="AL52" s="507"/>
      <c r="AM52" s="508">
        <f ca="1">IFERROR(AM32/AM17,0)</f>
        <v>0.56066472695329372</v>
      </c>
      <c r="AN52" s="508">
        <f t="shared" ref="AN52:BM52" ca="1" si="36">IFERROR(AN32/AN17,0)</f>
        <v>0.56066472695329372</v>
      </c>
      <c r="AO52" s="508">
        <f t="shared" ca="1" si="36"/>
        <v>0.56066472695329372</v>
      </c>
      <c r="AP52" s="508">
        <f t="shared" ca="1" si="36"/>
        <v>0.56066472695329372</v>
      </c>
      <c r="AQ52" s="508">
        <f t="shared" ca="1" si="36"/>
        <v>0.56066472695329372</v>
      </c>
      <c r="AR52" s="508">
        <f t="shared" ca="1" si="36"/>
        <v>0.56066472695329372</v>
      </c>
      <c r="AS52" s="508">
        <f t="shared" ca="1" si="36"/>
        <v>0.56066472695329372</v>
      </c>
      <c r="AT52" s="508">
        <f t="shared" ca="1" si="36"/>
        <v>0.56066472695329372</v>
      </c>
      <c r="AU52" s="508">
        <f t="shared" ca="1" si="36"/>
        <v>0.56066472695329372</v>
      </c>
      <c r="AV52" s="508">
        <f t="shared" ca="1" si="36"/>
        <v>0.56066472695329372</v>
      </c>
      <c r="AW52" s="508">
        <f t="shared" ca="1" si="36"/>
        <v>0.56066472695329372</v>
      </c>
      <c r="AX52" s="508">
        <f t="shared" ca="1" si="36"/>
        <v>0.56066472695329372</v>
      </c>
      <c r="AY52" s="508">
        <f t="shared" ca="1" si="36"/>
        <v>0.56066472695329372</v>
      </c>
      <c r="AZ52" s="508">
        <f t="shared" ca="1" si="36"/>
        <v>0.56066472695329372</v>
      </c>
      <c r="BA52" s="508">
        <f t="shared" ca="1" si="36"/>
        <v>0.56066472695329372</v>
      </c>
      <c r="BB52" s="508">
        <f t="shared" ca="1" si="36"/>
        <v>0.55689999999999995</v>
      </c>
      <c r="BC52" s="508">
        <f t="shared" ca="1" si="36"/>
        <v>0.55689999999999995</v>
      </c>
      <c r="BD52" s="508">
        <f t="shared" ca="1" si="36"/>
        <v>0.55689999999999995</v>
      </c>
      <c r="BE52" s="508">
        <f t="shared" ca="1" si="36"/>
        <v>0.55689999999999995</v>
      </c>
      <c r="BF52" s="508">
        <f t="shared" ca="1" si="36"/>
        <v>0.55689999999999995</v>
      </c>
      <c r="BG52" s="508">
        <f t="shared" ca="1" si="36"/>
        <v>0.55689999999999995</v>
      </c>
      <c r="BH52" s="508">
        <f t="shared" ca="1" si="36"/>
        <v>0.55689999999999995</v>
      </c>
      <c r="BI52" s="508">
        <f t="shared" ca="1" si="36"/>
        <v>0.55689999999999995</v>
      </c>
      <c r="BJ52" s="508">
        <f t="shared" ca="1" si="36"/>
        <v>0.55689999999999995</v>
      </c>
      <c r="BK52" s="508">
        <f t="shared" ca="1" si="36"/>
        <v>0.55689999999999995</v>
      </c>
      <c r="BL52" s="508">
        <f t="shared" ca="1" si="36"/>
        <v>0.55689999999999995</v>
      </c>
      <c r="BM52" s="508">
        <f t="shared" ca="1" si="36"/>
        <v>0.55689999999999995</v>
      </c>
      <c r="BN52" s="508"/>
      <c r="BO52" s="508"/>
      <c r="BP52" s="508">
        <f ca="1">IF($C$4=Year1,-PMT(Lookups!$E$17,25,NPV(Lookups!$E$17,AM52:BK52),0,1),IF($C$4=Year2,-PMT(Lookups!$F$17,25,NPV(Lookups!$F$17,AN52:BL52),0,1),IF($C$4=Year3,-PMT(Lookups!$G$17,25,NPV(Lookups!$G$17,AO52:BM52),0,1),-PMT(Lookups!$G$17,27,NPV(Lookups!$G$17,AM52:BM52),0,1))))</f>
        <v>0.55151460277477438</v>
      </c>
      <c r="BS52" s="84" t="s">
        <v>238</v>
      </c>
      <c r="BT52" s="51" t="s">
        <v>17</v>
      </c>
    </row>
    <row r="53" spans="1:72" x14ac:dyDescent="0.25">
      <c r="B53" s="243" t="str">
        <f t="shared" si="23"/>
        <v>Residential</v>
      </c>
      <c r="C53" s="243" t="str">
        <f t="shared" si="23"/>
        <v>Rates</v>
      </c>
      <c r="D53" s="244" t="str">
        <f>D52</f>
        <v>Rates after DSM Scenario</v>
      </c>
      <c r="E53" s="84" t="s">
        <v>407</v>
      </c>
      <c r="F53" s="84" t="s">
        <v>182</v>
      </c>
      <c r="G53" s="506">
        <f ca="1">IFERROR(G33/G17,0)</f>
        <v>-3.3213062159716276E-2</v>
      </c>
      <c r="H53" s="506">
        <f t="shared" ref="H53:AG53" ca="1" si="37">IFERROR(H33/H17,0)</f>
        <v>-3.3213062159716276E-2</v>
      </c>
      <c r="I53" s="506">
        <f t="shared" ca="1" si="37"/>
        <v>-3.3213062159716276E-2</v>
      </c>
      <c r="J53" s="506">
        <f t="shared" ca="1" si="37"/>
        <v>-3.3213062159716276E-2</v>
      </c>
      <c r="K53" s="506">
        <f t="shared" ca="1" si="37"/>
        <v>-3.3213062159716276E-2</v>
      </c>
      <c r="L53" s="506">
        <f t="shared" ca="1" si="37"/>
        <v>-3.3213062159716276E-2</v>
      </c>
      <c r="M53" s="506">
        <f t="shared" ca="1" si="37"/>
        <v>-3.3213062159716276E-2</v>
      </c>
      <c r="N53" s="506">
        <f t="shared" ca="1" si="37"/>
        <v>-3.3213062159716276E-2</v>
      </c>
      <c r="O53" s="506">
        <f t="shared" ca="1" si="37"/>
        <v>-3.3213062159716276E-2</v>
      </c>
      <c r="P53" s="506">
        <f t="shared" ca="1" si="37"/>
        <v>-3.3213062159716276E-2</v>
      </c>
      <c r="Q53" s="506">
        <f t="shared" ca="1" si="37"/>
        <v>-3.3213062159716276E-2</v>
      </c>
      <c r="R53" s="506">
        <f t="shared" ca="1" si="37"/>
        <v>-3.3213062159716276E-2</v>
      </c>
      <c r="S53" s="506">
        <f t="shared" ca="1" si="37"/>
        <v>-3.3213062159716276E-2</v>
      </c>
      <c r="T53" s="506">
        <f t="shared" ca="1" si="37"/>
        <v>-3.3213062159716276E-2</v>
      </c>
      <c r="U53" s="506">
        <f t="shared" ca="1" si="37"/>
        <v>-3.3213062159716276E-2</v>
      </c>
      <c r="V53" s="506">
        <f t="shared" ca="1" si="37"/>
        <v>-3.3000000000000002E-2</v>
      </c>
      <c r="W53" s="506">
        <f t="shared" ca="1" si="37"/>
        <v>-3.3000000000000002E-2</v>
      </c>
      <c r="X53" s="506">
        <f t="shared" ca="1" si="37"/>
        <v>-3.3000000000000002E-2</v>
      </c>
      <c r="Y53" s="506">
        <f t="shared" ca="1" si="37"/>
        <v>-3.3000000000000002E-2</v>
      </c>
      <c r="Z53" s="506">
        <f t="shared" ca="1" si="37"/>
        <v>-3.3000000000000002E-2</v>
      </c>
      <c r="AA53" s="506">
        <f t="shared" ca="1" si="37"/>
        <v>-3.3000000000000002E-2</v>
      </c>
      <c r="AB53" s="506">
        <f t="shared" ca="1" si="37"/>
        <v>-3.3000000000000002E-2</v>
      </c>
      <c r="AC53" s="506">
        <f t="shared" ca="1" si="37"/>
        <v>-3.3000000000000002E-2</v>
      </c>
      <c r="AD53" s="506">
        <f t="shared" ca="1" si="37"/>
        <v>-3.3000000000000002E-2</v>
      </c>
      <c r="AE53" s="506">
        <f t="shared" ca="1" si="37"/>
        <v>-3.3000000000000002E-2</v>
      </c>
      <c r="AF53" s="506">
        <f t="shared" ca="1" si="37"/>
        <v>-3.3000000000000002E-2</v>
      </c>
      <c r="AG53" s="506">
        <f t="shared" ca="1" si="37"/>
        <v>-3.3000000000000002E-2</v>
      </c>
      <c r="AH53" s="509"/>
      <c r="AI53" s="506"/>
      <c r="AJ53" s="506">
        <f ca="1">IF($C$4=Year1,-PMT(Lookups!$E$17,25,NPV(Lookups!$E$17,G53:AE53),0,1),IF($C$4=Year2,-PMT(Lookups!$F$17,25,NPV(Lookups!$F$17,H53:AF53),0,1),IF($C$4=Year3,-PMT(Lookups!$G$17,25,NPV(Lookups!$G$17,I53:AG53),0,1),-PMT(Lookups!$G$17,27,NPV(Lookups!$G$17,G53:AG53),0,1))))</f>
        <v>-3.2674539357541013E-2</v>
      </c>
      <c r="AK53" s="507"/>
      <c r="AL53" s="507"/>
      <c r="AM53" s="508">
        <f ca="1">IFERROR(AM33/AM17,0)</f>
        <v>-3.3243724409585187E-2</v>
      </c>
      <c r="AN53" s="508">
        <f t="shared" ref="AN53:BM53" ca="1" si="38">IFERROR(AN33/AN17,0)</f>
        <v>-3.3243724409585187E-2</v>
      </c>
      <c r="AO53" s="508">
        <f t="shared" ca="1" si="38"/>
        <v>-3.3243724409585187E-2</v>
      </c>
      <c r="AP53" s="508">
        <f t="shared" ca="1" si="38"/>
        <v>-3.3243724409585187E-2</v>
      </c>
      <c r="AQ53" s="508">
        <f t="shared" ca="1" si="38"/>
        <v>-3.3243724409585187E-2</v>
      </c>
      <c r="AR53" s="508">
        <f t="shared" ca="1" si="38"/>
        <v>-3.3243724409585187E-2</v>
      </c>
      <c r="AS53" s="508">
        <f t="shared" ca="1" si="38"/>
        <v>-3.3243724409585187E-2</v>
      </c>
      <c r="AT53" s="508">
        <f t="shared" ca="1" si="38"/>
        <v>-3.3243724409585187E-2</v>
      </c>
      <c r="AU53" s="508">
        <f t="shared" ca="1" si="38"/>
        <v>-3.3243724409585187E-2</v>
      </c>
      <c r="AV53" s="508">
        <f t="shared" ca="1" si="38"/>
        <v>-3.3243724409585187E-2</v>
      </c>
      <c r="AW53" s="508">
        <f t="shared" ca="1" si="38"/>
        <v>-3.3243724409585187E-2</v>
      </c>
      <c r="AX53" s="508">
        <f t="shared" ca="1" si="38"/>
        <v>-3.3243724409585187E-2</v>
      </c>
      <c r="AY53" s="508">
        <f t="shared" ca="1" si="38"/>
        <v>-3.3243724409585187E-2</v>
      </c>
      <c r="AZ53" s="508">
        <f t="shared" ca="1" si="38"/>
        <v>-3.3243724409585187E-2</v>
      </c>
      <c r="BA53" s="508">
        <f t="shared" ca="1" si="38"/>
        <v>-3.3243724409585187E-2</v>
      </c>
      <c r="BB53" s="508">
        <f t="shared" ca="1" si="38"/>
        <v>-3.3000000000000002E-2</v>
      </c>
      <c r="BC53" s="508">
        <f t="shared" ca="1" si="38"/>
        <v>-3.3000000000000002E-2</v>
      </c>
      <c r="BD53" s="508">
        <f t="shared" ca="1" si="38"/>
        <v>-3.3000000000000002E-2</v>
      </c>
      <c r="BE53" s="508">
        <f t="shared" ca="1" si="38"/>
        <v>-3.3000000000000002E-2</v>
      </c>
      <c r="BF53" s="508">
        <f t="shared" ca="1" si="38"/>
        <v>-3.3000000000000002E-2</v>
      </c>
      <c r="BG53" s="508">
        <f t="shared" ca="1" si="38"/>
        <v>-3.3000000000000002E-2</v>
      </c>
      <c r="BH53" s="508">
        <f t="shared" ca="1" si="38"/>
        <v>-3.3000000000000002E-2</v>
      </c>
      <c r="BI53" s="508">
        <f t="shared" ca="1" si="38"/>
        <v>-3.3000000000000002E-2</v>
      </c>
      <c r="BJ53" s="508">
        <f t="shared" ca="1" si="38"/>
        <v>-3.3000000000000002E-2</v>
      </c>
      <c r="BK53" s="508">
        <f t="shared" ca="1" si="38"/>
        <v>-3.3000000000000002E-2</v>
      </c>
      <c r="BL53" s="508">
        <f t="shared" ca="1" si="38"/>
        <v>-3.3000000000000002E-2</v>
      </c>
      <c r="BM53" s="508">
        <f t="shared" ca="1" si="38"/>
        <v>-3.3000000000000002E-2</v>
      </c>
      <c r="BN53" s="508"/>
      <c r="BO53" s="508"/>
      <c r="BP53" s="508">
        <f ca="1">IF($C$4=Year1,-PMT(Lookups!$E$17,25,NPV(Lookups!$E$17,AM53:BK53),0,1),IF($C$4=Year2,-PMT(Lookups!$F$17,25,NPV(Lookups!$F$17,AN53:BL53),0,1),IF($C$4=Year3,-PMT(Lookups!$G$17,25,NPV(Lookups!$G$17,AO53:BM53),0,1),-PMT(Lookups!$G$17,27,NPV(Lookups!$G$17,AM53:BM53),0,1))))</f>
        <v>-3.2693936061663445E-2</v>
      </c>
      <c r="BS53" s="84" t="s">
        <v>237</v>
      </c>
      <c r="BT53" s="51" t="s">
        <v>17</v>
      </c>
    </row>
    <row r="54" spans="1:72" x14ac:dyDescent="0.25">
      <c r="B54" s="243" t="str">
        <f t="shared" si="23"/>
        <v>Residential</v>
      </c>
      <c r="C54" s="243" t="str">
        <f t="shared" si="23"/>
        <v>Rates</v>
      </c>
      <c r="D54" s="244" t="str">
        <f t="shared" si="23"/>
        <v>Rates after DSM Scenario</v>
      </c>
      <c r="E54" s="84" t="s">
        <v>197</v>
      </c>
      <c r="F54" s="84" t="s">
        <v>182</v>
      </c>
      <c r="G54" s="506">
        <f ca="1">IFERROR(G40+G46,0)</f>
        <v>0.6201102793118427</v>
      </c>
      <c r="H54" s="506">
        <f t="shared" ref="H54:AG54" ca="1" si="39">IFERROR(H40+H46,0)</f>
        <v>0.6201102793118427</v>
      </c>
      <c r="I54" s="506">
        <f t="shared" ca="1" si="39"/>
        <v>0.6201102793118427</v>
      </c>
      <c r="J54" s="506">
        <f t="shared" ca="1" si="39"/>
        <v>0.6201102793118427</v>
      </c>
      <c r="K54" s="506">
        <f t="shared" ca="1" si="39"/>
        <v>0.6201102793118427</v>
      </c>
      <c r="L54" s="506">
        <f t="shared" ca="1" si="39"/>
        <v>0.6201102793118427</v>
      </c>
      <c r="M54" s="506">
        <f t="shared" ca="1" si="39"/>
        <v>0.6201102793118427</v>
      </c>
      <c r="N54" s="506">
        <f t="shared" ca="1" si="39"/>
        <v>0.6201102793118427</v>
      </c>
      <c r="O54" s="506">
        <f t="shared" ca="1" si="39"/>
        <v>0.6201102793118427</v>
      </c>
      <c r="P54" s="506">
        <f t="shared" ca="1" si="39"/>
        <v>0.6201102793118427</v>
      </c>
      <c r="Q54" s="506">
        <f t="shared" ca="1" si="39"/>
        <v>0.6201102793118427</v>
      </c>
      <c r="R54" s="506">
        <f t="shared" ca="1" si="39"/>
        <v>0.6201102793118427</v>
      </c>
      <c r="S54" s="506">
        <f t="shared" ca="1" si="39"/>
        <v>0.6201102793118427</v>
      </c>
      <c r="T54" s="506">
        <f t="shared" ca="1" si="39"/>
        <v>0.6201102793118427</v>
      </c>
      <c r="U54" s="506">
        <f t="shared" ca="1" si="39"/>
        <v>0.6201102793118427</v>
      </c>
      <c r="V54" s="506">
        <f t="shared" ca="1" si="39"/>
        <v>0.62029999999999996</v>
      </c>
      <c r="W54" s="506">
        <f t="shared" ca="1" si="39"/>
        <v>0.62029999999999996</v>
      </c>
      <c r="X54" s="506">
        <f t="shared" ca="1" si="39"/>
        <v>0.62029999999999996</v>
      </c>
      <c r="Y54" s="506">
        <f t="shared" ca="1" si="39"/>
        <v>0.62029999999999996</v>
      </c>
      <c r="Z54" s="506">
        <f t="shared" ca="1" si="39"/>
        <v>0.62029999999999996</v>
      </c>
      <c r="AA54" s="506">
        <f t="shared" ca="1" si="39"/>
        <v>0.62029999999999996</v>
      </c>
      <c r="AB54" s="506">
        <f t="shared" ca="1" si="39"/>
        <v>0.62029999999999996</v>
      </c>
      <c r="AC54" s="506">
        <f t="shared" ca="1" si="39"/>
        <v>0.62029999999999996</v>
      </c>
      <c r="AD54" s="506">
        <f t="shared" ca="1" si="39"/>
        <v>0.62029999999999996</v>
      </c>
      <c r="AE54" s="506">
        <f t="shared" ca="1" si="39"/>
        <v>0.62029999999999996</v>
      </c>
      <c r="AF54" s="506">
        <f t="shared" ca="1" si="39"/>
        <v>0.62029999999999996</v>
      </c>
      <c r="AG54" s="506">
        <f t="shared" ca="1" si="39"/>
        <v>0.62029999999999996</v>
      </c>
      <c r="AH54" s="509"/>
      <c r="AI54" s="506"/>
      <c r="AJ54" s="506">
        <f ca="1">IF($C$4=Year1,-PMT(Lookups!$E$17,25,NPV(Lookups!$E$17,G54:AE54),0,1),IF($C$4=Year2,-PMT(Lookups!$F$17,25,NPV(Lookups!$F$17,H54:AF54),0,1),IF($C$4=Year3,-PMT(Lookups!$G$17,25,NPV(Lookups!$G$17,I54:AG54),0,1),-PMT(Lookups!$G$17,27,NPV(Lookups!$G$17,G54:AG54),0,1))))</f>
        <v>0.61152882676262588</v>
      </c>
      <c r="AK54" s="507"/>
      <c r="AL54" s="507"/>
      <c r="AM54" s="508">
        <f ca="1">IFERROR(AM40+AM46,0)</f>
        <v>0.62008297618512453</v>
      </c>
      <c r="AN54" s="508">
        <f t="shared" ref="AN54:BM54" ca="1" si="40">IFERROR(AN40+AN46,0)</f>
        <v>0.62008297618512453</v>
      </c>
      <c r="AO54" s="508">
        <f t="shared" ca="1" si="40"/>
        <v>0.62008297618512453</v>
      </c>
      <c r="AP54" s="508">
        <f t="shared" ca="1" si="40"/>
        <v>0.62008297618512453</v>
      </c>
      <c r="AQ54" s="508">
        <f t="shared" ca="1" si="40"/>
        <v>0.62008297618512453</v>
      </c>
      <c r="AR54" s="508">
        <f t="shared" ca="1" si="40"/>
        <v>0.62008297618512453</v>
      </c>
      <c r="AS54" s="508">
        <f t="shared" ca="1" si="40"/>
        <v>0.62008297618512453</v>
      </c>
      <c r="AT54" s="508">
        <f t="shared" ca="1" si="40"/>
        <v>0.62008297618512453</v>
      </c>
      <c r="AU54" s="508">
        <f t="shared" ca="1" si="40"/>
        <v>0.62008297618512453</v>
      </c>
      <c r="AV54" s="508">
        <f t="shared" ca="1" si="40"/>
        <v>0.62008297618512453</v>
      </c>
      <c r="AW54" s="508">
        <f t="shared" ca="1" si="40"/>
        <v>0.62008297618512453</v>
      </c>
      <c r="AX54" s="508">
        <f t="shared" ca="1" si="40"/>
        <v>0.62008297618512453</v>
      </c>
      <c r="AY54" s="508">
        <f t="shared" ca="1" si="40"/>
        <v>0.62008297618512453</v>
      </c>
      <c r="AZ54" s="508">
        <f t="shared" ca="1" si="40"/>
        <v>0.62008297618512453</v>
      </c>
      <c r="BA54" s="508">
        <f t="shared" ca="1" si="40"/>
        <v>0.62008297618512453</v>
      </c>
      <c r="BB54" s="508">
        <f t="shared" ca="1" si="40"/>
        <v>0.62029999999999996</v>
      </c>
      <c r="BC54" s="508">
        <f t="shared" ca="1" si="40"/>
        <v>0.62029999999999996</v>
      </c>
      <c r="BD54" s="508">
        <f t="shared" ca="1" si="40"/>
        <v>0.62029999999999996</v>
      </c>
      <c r="BE54" s="508">
        <f t="shared" ca="1" si="40"/>
        <v>0.62029999999999996</v>
      </c>
      <c r="BF54" s="508">
        <f t="shared" ca="1" si="40"/>
        <v>0.62029999999999996</v>
      </c>
      <c r="BG54" s="508">
        <f t="shared" ca="1" si="40"/>
        <v>0.62029999999999996</v>
      </c>
      <c r="BH54" s="508">
        <f t="shared" ca="1" si="40"/>
        <v>0.62029999999999996</v>
      </c>
      <c r="BI54" s="508">
        <f t="shared" ca="1" si="40"/>
        <v>0.62029999999999996</v>
      </c>
      <c r="BJ54" s="508">
        <f t="shared" ca="1" si="40"/>
        <v>0.62029999999999996</v>
      </c>
      <c r="BK54" s="508">
        <f t="shared" ca="1" si="40"/>
        <v>0.62029999999999996</v>
      </c>
      <c r="BL54" s="508">
        <f t="shared" ca="1" si="40"/>
        <v>0.62029999999999996</v>
      </c>
      <c r="BM54" s="508">
        <f t="shared" ca="1" si="40"/>
        <v>0.62029999999999996</v>
      </c>
      <c r="BN54" s="508"/>
      <c r="BO54" s="508"/>
      <c r="BP54" s="508">
        <f ca="1">IF($C$4=Year1,-PMT(Lookups!$E$17,25,NPV(Lookups!$E$17,AM54:BK54),0,1),IF($C$4=Year2,-PMT(Lookups!$F$17,25,NPV(Lookups!$F$17,AN54:BL54),0,1),IF($C$4=Year3,-PMT(Lookups!$G$17,25,NPV(Lookups!$G$17,AO54:BM54),0,1),-PMT(Lookups!$G$17,27,NPV(Lookups!$G$17,AM54:BM54),0,1))))</f>
        <v>0.61151155501404808</v>
      </c>
      <c r="BS54" s="86" t="s">
        <v>236</v>
      </c>
      <c r="BT54" s="51" t="s">
        <v>17</v>
      </c>
    </row>
    <row r="55" spans="1:72" x14ac:dyDescent="0.25">
      <c r="B55" s="243" t="str">
        <f t="shared" si="23"/>
        <v>Residential</v>
      </c>
      <c r="C55" s="243" t="str">
        <f t="shared" si="23"/>
        <v>Rates</v>
      </c>
      <c r="D55" s="244" t="str">
        <f t="shared" si="23"/>
        <v>Rates after DSM Scenario</v>
      </c>
      <c r="E55" s="84" t="s">
        <v>406</v>
      </c>
      <c r="F55" s="84" t="s">
        <v>182</v>
      </c>
      <c r="G55" s="509">
        <f ca="1">G49</f>
        <v>6.4686396991858353E-2</v>
      </c>
      <c r="H55" s="509">
        <f t="shared" ref="H55:AG55" ca="1" si="41">H49</f>
        <v>0</v>
      </c>
      <c r="I55" s="509">
        <f t="shared" ca="1" si="41"/>
        <v>0</v>
      </c>
      <c r="J55" s="509">
        <f t="shared" ca="1" si="41"/>
        <v>0</v>
      </c>
      <c r="K55" s="509">
        <f t="shared" ca="1" si="41"/>
        <v>0</v>
      </c>
      <c r="L55" s="509">
        <f t="shared" ca="1" si="41"/>
        <v>0</v>
      </c>
      <c r="M55" s="509">
        <f t="shared" ca="1" si="41"/>
        <v>0</v>
      </c>
      <c r="N55" s="509">
        <f t="shared" ca="1" si="41"/>
        <v>0</v>
      </c>
      <c r="O55" s="509">
        <f t="shared" ca="1" si="41"/>
        <v>0</v>
      </c>
      <c r="P55" s="509">
        <f t="shared" ca="1" si="41"/>
        <v>0</v>
      </c>
      <c r="Q55" s="509">
        <f t="shared" ca="1" si="41"/>
        <v>0</v>
      </c>
      <c r="R55" s="509">
        <f t="shared" ca="1" si="41"/>
        <v>0</v>
      </c>
      <c r="S55" s="509">
        <f t="shared" ca="1" si="41"/>
        <v>0</v>
      </c>
      <c r="T55" s="509">
        <f t="shared" ca="1" si="41"/>
        <v>0</v>
      </c>
      <c r="U55" s="509">
        <f t="shared" ca="1" si="41"/>
        <v>0</v>
      </c>
      <c r="V55" s="509">
        <f t="shared" ca="1" si="41"/>
        <v>0</v>
      </c>
      <c r="W55" s="509">
        <f t="shared" ca="1" si="41"/>
        <v>0</v>
      </c>
      <c r="X55" s="509">
        <f t="shared" ca="1" si="41"/>
        <v>0</v>
      </c>
      <c r="Y55" s="509">
        <f t="shared" ca="1" si="41"/>
        <v>0</v>
      </c>
      <c r="Z55" s="509">
        <f t="shared" ca="1" si="41"/>
        <v>0</v>
      </c>
      <c r="AA55" s="509">
        <f t="shared" ca="1" si="41"/>
        <v>0</v>
      </c>
      <c r="AB55" s="509">
        <f t="shared" ca="1" si="41"/>
        <v>0</v>
      </c>
      <c r="AC55" s="509">
        <f t="shared" ca="1" si="41"/>
        <v>0</v>
      </c>
      <c r="AD55" s="509">
        <f t="shared" ca="1" si="41"/>
        <v>0</v>
      </c>
      <c r="AE55" s="509">
        <f t="shared" ca="1" si="41"/>
        <v>0</v>
      </c>
      <c r="AF55" s="509">
        <f t="shared" ca="1" si="41"/>
        <v>0</v>
      </c>
      <c r="AG55" s="509">
        <f t="shared" ca="1" si="41"/>
        <v>0</v>
      </c>
      <c r="AH55" s="509"/>
      <c r="AI55" s="509"/>
      <c r="AJ55" s="506">
        <f ca="1">IF($C$4=Year1,-PMT(Lookups!$E$17,25,NPV(Lookups!$E$17,G55:AE55),0,1),IF($C$4=Year2,-PMT(Lookups!$F$17,25,NPV(Lookups!$F$17,H55:AF55),0,1),IF($C$4=Year3,-PMT(Lookups!$G$17,25,NPV(Lookups!$G$17,I55:AG55),0,1),-PMT(Lookups!$G$17,27,NPV(Lookups!$G$17,G55:AG55),0,1))))</f>
        <v>3.0043028435832405E-3</v>
      </c>
      <c r="AK55" s="507"/>
      <c r="AL55" s="507"/>
      <c r="AM55" s="508">
        <f ca="1">AM49</f>
        <v>7.7623676390230018E-2</v>
      </c>
      <c r="AN55" s="508">
        <f t="shared" ref="AN55:BM55" ca="1" si="42">AN49</f>
        <v>0</v>
      </c>
      <c r="AO55" s="508">
        <f t="shared" ca="1" si="42"/>
        <v>0</v>
      </c>
      <c r="AP55" s="508">
        <f t="shared" ca="1" si="42"/>
        <v>0</v>
      </c>
      <c r="AQ55" s="508">
        <f t="shared" ca="1" si="42"/>
        <v>0</v>
      </c>
      <c r="AR55" s="508">
        <f t="shared" ca="1" si="42"/>
        <v>0</v>
      </c>
      <c r="AS55" s="508">
        <f t="shared" ca="1" si="42"/>
        <v>0</v>
      </c>
      <c r="AT55" s="508">
        <f t="shared" ca="1" si="42"/>
        <v>0</v>
      </c>
      <c r="AU55" s="508">
        <f t="shared" ca="1" si="42"/>
        <v>0</v>
      </c>
      <c r="AV55" s="508">
        <f t="shared" ca="1" si="42"/>
        <v>0</v>
      </c>
      <c r="AW55" s="508">
        <f t="shared" ca="1" si="42"/>
        <v>0</v>
      </c>
      <c r="AX55" s="508">
        <f t="shared" ca="1" si="42"/>
        <v>0</v>
      </c>
      <c r="AY55" s="508">
        <f t="shared" ca="1" si="42"/>
        <v>0</v>
      </c>
      <c r="AZ55" s="508">
        <f t="shared" ca="1" si="42"/>
        <v>0</v>
      </c>
      <c r="BA55" s="508">
        <f t="shared" ca="1" si="42"/>
        <v>0</v>
      </c>
      <c r="BB55" s="508">
        <f t="shared" ca="1" si="42"/>
        <v>0</v>
      </c>
      <c r="BC55" s="508">
        <f t="shared" ca="1" si="42"/>
        <v>0</v>
      </c>
      <c r="BD55" s="508">
        <f t="shared" ca="1" si="42"/>
        <v>0</v>
      </c>
      <c r="BE55" s="508">
        <f t="shared" ca="1" si="42"/>
        <v>0</v>
      </c>
      <c r="BF55" s="508">
        <f t="shared" ca="1" si="42"/>
        <v>0</v>
      </c>
      <c r="BG55" s="508">
        <f t="shared" ca="1" si="42"/>
        <v>0</v>
      </c>
      <c r="BH55" s="508">
        <f t="shared" ca="1" si="42"/>
        <v>0</v>
      </c>
      <c r="BI55" s="508">
        <f t="shared" ca="1" si="42"/>
        <v>0</v>
      </c>
      <c r="BJ55" s="508">
        <f t="shared" ca="1" si="42"/>
        <v>0</v>
      </c>
      <c r="BK55" s="508">
        <f t="shared" ca="1" si="42"/>
        <v>0</v>
      </c>
      <c r="BL55" s="508">
        <f t="shared" ca="1" si="42"/>
        <v>0</v>
      </c>
      <c r="BM55" s="508">
        <f t="shared" ca="1" si="42"/>
        <v>0</v>
      </c>
      <c r="BN55" s="508"/>
      <c r="BO55" s="508"/>
      <c r="BP55" s="508">
        <f ca="1">IF($C$4=Year1,-PMT(Lookups!$E$17,25,NPV(Lookups!$E$17,AM55:BK55),0,1),IF($C$4=Year2,-PMT(Lookups!$F$17,25,NPV(Lookups!$F$17,AN55:BL55),0,1),IF($C$4=Year3,-PMT(Lookups!$G$17,25,NPV(Lookups!$G$17,AO55:BM55),0,1),-PMT(Lookups!$G$17,27,NPV(Lookups!$G$17,AM55:BM55),0,1))))</f>
        <v>3.605163412299888E-3</v>
      </c>
      <c r="BS55" s="84" t="s">
        <v>403</v>
      </c>
      <c r="BT55" s="51" t="s">
        <v>17</v>
      </c>
    </row>
    <row r="56" spans="1:72" x14ac:dyDescent="0.25">
      <c r="B56" s="243" t="str">
        <f>B57</f>
        <v>Residential</v>
      </c>
      <c r="C56" s="243" t="str">
        <f>C57</f>
        <v>Rates</v>
      </c>
      <c r="D56" s="244" t="str">
        <f>D57</f>
        <v>Rates after DSM Scenario</v>
      </c>
      <c r="E56" s="86" t="s">
        <v>75</v>
      </c>
      <c r="F56" s="84" t="s">
        <v>182</v>
      </c>
      <c r="G56" s="506">
        <f>G41</f>
        <v>0.2233803664496018</v>
      </c>
      <c r="H56" s="506">
        <f>H41</f>
        <v>0.2233803664496018</v>
      </c>
      <c r="I56" s="506">
        <f t="shared" ref="I56:AG56" si="43">I41</f>
        <v>0.2233803664496018</v>
      </c>
      <c r="J56" s="506">
        <f t="shared" si="43"/>
        <v>0.2233803664496018</v>
      </c>
      <c r="K56" s="506">
        <f t="shared" si="43"/>
        <v>0.2233803664496018</v>
      </c>
      <c r="L56" s="506">
        <f t="shared" si="43"/>
        <v>0.2233803664496018</v>
      </c>
      <c r="M56" s="506">
        <f t="shared" si="43"/>
        <v>0.2233803664496018</v>
      </c>
      <c r="N56" s="506">
        <f t="shared" si="43"/>
        <v>0.2233803664496018</v>
      </c>
      <c r="O56" s="506">
        <f t="shared" si="43"/>
        <v>0.2233803664496018</v>
      </c>
      <c r="P56" s="506">
        <f t="shared" si="43"/>
        <v>0.2233803664496018</v>
      </c>
      <c r="Q56" s="506">
        <f t="shared" si="43"/>
        <v>0.2233803664496018</v>
      </c>
      <c r="R56" s="506">
        <f t="shared" si="43"/>
        <v>0.2233803664496018</v>
      </c>
      <c r="S56" s="506">
        <f t="shared" si="43"/>
        <v>0.2233803664496018</v>
      </c>
      <c r="T56" s="506">
        <f t="shared" si="43"/>
        <v>0.2233803664496018</v>
      </c>
      <c r="U56" s="506">
        <f t="shared" si="43"/>
        <v>0.2233803664496018</v>
      </c>
      <c r="V56" s="506">
        <f t="shared" si="43"/>
        <v>0.2233803664496018</v>
      </c>
      <c r="W56" s="506">
        <f t="shared" si="43"/>
        <v>0.2233803664496018</v>
      </c>
      <c r="X56" s="506">
        <f t="shared" si="43"/>
        <v>0.2233803664496018</v>
      </c>
      <c r="Y56" s="506">
        <f t="shared" si="43"/>
        <v>0.2233803664496018</v>
      </c>
      <c r="Z56" s="506">
        <f t="shared" si="43"/>
        <v>0.2233803664496018</v>
      </c>
      <c r="AA56" s="506">
        <f t="shared" si="43"/>
        <v>0.2233803664496018</v>
      </c>
      <c r="AB56" s="506">
        <f t="shared" si="43"/>
        <v>0.2233803664496018</v>
      </c>
      <c r="AC56" s="506">
        <f t="shared" si="43"/>
        <v>0.2233803664496018</v>
      </c>
      <c r="AD56" s="506">
        <f t="shared" si="43"/>
        <v>0.2233803664496018</v>
      </c>
      <c r="AE56" s="506">
        <f t="shared" si="43"/>
        <v>0.2233803664496018</v>
      </c>
      <c r="AF56" s="506">
        <f t="shared" si="43"/>
        <v>0.2233803664496018</v>
      </c>
      <c r="AG56" s="506">
        <f t="shared" si="43"/>
        <v>0.2233803664496018</v>
      </c>
      <c r="AH56" s="506"/>
      <c r="AI56" s="506"/>
      <c r="AJ56" s="506">
        <f>IF($C$4=Year1,-PMT(Lookups!$E$17,25,NPV(Lookups!$E$17,G56:AE56),0,1),IF($C$4=Year2,-PMT(Lookups!$F$17,25,NPV(Lookups!$F$17,H56:AF56),0,1),IF($C$4=Year3,-PMT(Lookups!$G$17,25,NPV(Lookups!$G$17,I56:AG56),0,1),-PMT(Lookups!$G$17,27,NPV(Lookups!$G$17,G56:AG56),0,1))))</f>
        <v>0.22026494051558318</v>
      </c>
      <c r="AK56" s="507"/>
      <c r="AL56" s="507"/>
      <c r="AM56" s="508">
        <f>AM41</f>
        <v>0.2233803664496018</v>
      </c>
      <c r="AN56" s="508">
        <f t="shared" ref="AN56:BM56" si="44">AN41</f>
        <v>0.2233803664496018</v>
      </c>
      <c r="AO56" s="508">
        <f t="shared" si="44"/>
        <v>0.2233803664496018</v>
      </c>
      <c r="AP56" s="508">
        <f t="shared" si="44"/>
        <v>0.2233803664496018</v>
      </c>
      <c r="AQ56" s="508">
        <f t="shared" si="44"/>
        <v>0.2233803664496018</v>
      </c>
      <c r="AR56" s="508">
        <f t="shared" si="44"/>
        <v>0.2233803664496018</v>
      </c>
      <c r="AS56" s="508">
        <f t="shared" si="44"/>
        <v>0.2233803664496018</v>
      </c>
      <c r="AT56" s="508">
        <f t="shared" si="44"/>
        <v>0.2233803664496018</v>
      </c>
      <c r="AU56" s="508">
        <f t="shared" si="44"/>
        <v>0.2233803664496018</v>
      </c>
      <c r="AV56" s="508">
        <f t="shared" si="44"/>
        <v>0.2233803664496018</v>
      </c>
      <c r="AW56" s="508">
        <f t="shared" si="44"/>
        <v>0.2233803664496018</v>
      </c>
      <c r="AX56" s="508">
        <f t="shared" si="44"/>
        <v>0.2233803664496018</v>
      </c>
      <c r="AY56" s="508">
        <f t="shared" si="44"/>
        <v>0.2233803664496018</v>
      </c>
      <c r="AZ56" s="508">
        <f t="shared" si="44"/>
        <v>0.2233803664496018</v>
      </c>
      <c r="BA56" s="508">
        <f t="shared" si="44"/>
        <v>0.2233803664496018</v>
      </c>
      <c r="BB56" s="508">
        <f t="shared" si="44"/>
        <v>0.2233803664496018</v>
      </c>
      <c r="BC56" s="508">
        <f t="shared" si="44"/>
        <v>0.2233803664496018</v>
      </c>
      <c r="BD56" s="508">
        <f t="shared" si="44"/>
        <v>0.2233803664496018</v>
      </c>
      <c r="BE56" s="508">
        <f t="shared" si="44"/>
        <v>0.2233803664496018</v>
      </c>
      <c r="BF56" s="508">
        <f t="shared" si="44"/>
        <v>0.2233803664496018</v>
      </c>
      <c r="BG56" s="508">
        <f t="shared" si="44"/>
        <v>0.2233803664496018</v>
      </c>
      <c r="BH56" s="508">
        <f t="shared" si="44"/>
        <v>0.2233803664496018</v>
      </c>
      <c r="BI56" s="508">
        <f t="shared" si="44"/>
        <v>0.2233803664496018</v>
      </c>
      <c r="BJ56" s="508">
        <f t="shared" si="44"/>
        <v>0.2233803664496018</v>
      </c>
      <c r="BK56" s="508">
        <f t="shared" si="44"/>
        <v>0.2233803664496018</v>
      </c>
      <c r="BL56" s="508">
        <f t="shared" si="44"/>
        <v>0.2233803664496018</v>
      </c>
      <c r="BM56" s="508">
        <f t="shared" si="44"/>
        <v>0.2233803664496018</v>
      </c>
      <c r="BN56" s="508"/>
      <c r="BO56" s="508"/>
      <c r="BP56" s="508">
        <f>IF($C$4=Year1,-PMT(Lookups!$E$17,25,NPV(Lookups!$E$17,AM56:BK56),0,1),IF($C$4=Year2,-PMT(Lookups!$F$17,25,NPV(Lookups!$F$17,AN56:BL56),0,1),IF($C$4=Year3,-PMT(Lookups!$G$17,25,NPV(Lookups!$G$17,AO56:BM56),0,1),-PMT(Lookups!$G$17,27,NPV(Lookups!$G$17,AM56:BM56),0,1))))</f>
        <v>0.22026494051558318</v>
      </c>
      <c r="BS56" s="84" t="s">
        <v>171</v>
      </c>
      <c r="BT56" s="51" t="s">
        <v>17</v>
      </c>
    </row>
    <row r="57" spans="1:72" x14ac:dyDescent="0.25">
      <c r="B57" s="243" t="str">
        <f>B55</f>
        <v>Residential</v>
      </c>
      <c r="C57" s="243" t="str">
        <f>C55</f>
        <v>Rates</v>
      </c>
      <c r="D57" s="244" t="str">
        <f>D55</f>
        <v>Rates after DSM Scenario</v>
      </c>
      <c r="E57" s="84" t="s">
        <v>76</v>
      </c>
      <c r="F57" s="84" t="s">
        <v>182</v>
      </c>
      <c r="G57" s="506">
        <f ca="1">SUM(G52:G56)</f>
        <v>1.4351550783411451</v>
      </c>
      <c r="H57" s="506">
        <f ca="1">SUM(H52:H56)</f>
        <v>1.3704686813492866</v>
      </c>
      <c r="I57" s="506">
        <f t="shared" ref="I57:AG57" ca="1" si="45">SUM(I52:I56)</f>
        <v>1.3704686813492866</v>
      </c>
      <c r="J57" s="506">
        <f t="shared" ca="1" si="45"/>
        <v>1.3704686813492866</v>
      </c>
      <c r="K57" s="506">
        <f t="shared" ca="1" si="45"/>
        <v>1.3704686813492866</v>
      </c>
      <c r="L57" s="506">
        <f t="shared" ca="1" si="45"/>
        <v>1.3704686813492866</v>
      </c>
      <c r="M57" s="506">
        <f t="shared" ca="1" si="45"/>
        <v>1.3704686813492866</v>
      </c>
      <c r="N57" s="506">
        <f t="shared" ca="1" si="45"/>
        <v>1.3704686813492866</v>
      </c>
      <c r="O57" s="506">
        <f t="shared" ca="1" si="45"/>
        <v>1.3704686813492866</v>
      </c>
      <c r="P57" s="506">
        <f t="shared" ca="1" si="45"/>
        <v>1.3704686813492866</v>
      </c>
      <c r="Q57" s="506">
        <f t="shared" ca="1" si="45"/>
        <v>1.3704686813492866</v>
      </c>
      <c r="R57" s="506">
        <f t="shared" ca="1" si="45"/>
        <v>1.3704686813492866</v>
      </c>
      <c r="S57" s="506">
        <f t="shared" ca="1" si="45"/>
        <v>1.3704686813492866</v>
      </c>
      <c r="T57" s="506">
        <f t="shared" ca="1" si="45"/>
        <v>1.3704686813492866</v>
      </c>
      <c r="U57" s="506">
        <f t="shared" ca="1" si="45"/>
        <v>1.3704686813492866</v>
      </c>
      <c r="V57" s="506">
        <f t="shared" ca="1" si="45"/>
        <v>1.3675803664496016</v>
      </c>
      <c r="W57" s="506">
        <f t="shared" ca="1" si="45"/>
        <v>1.3675803664496016</v>
      </c>
      <c r="X57" s="506">
        <f t="shared" ca="1" si="45"/>
        <v>1.3675803664496016</v>
      </c>
      <c r="Y57" s="506">
        <f t="shared" ca="1" si="45"/>
        <v>1.3675803664496016</v>
      </c>
      <c r="Z57" s="506">
        <f t="shared" ca="1" si="45"/>
        <v>1.3675803664496016</v>
      </c>
      <c r="AA57" s="506">
        <f t="shared" ca="1" si="45"/>
        <v>1.3675803664496016</v>
      </c>
      <c r="AB57" s="506">
        <f t="shared" ca="1" si="45"/>
        <v>1.3675803664496016</v>
      </c>
      <c r="AC57" s="506">
        <f t="shared" ca="1" si="45"/>
        <v>1.3675803664496016</v>
      </c>
      <c r="AD57" s="506">
        <f t="shared" ca="1" si="45"/>
        <v>1.3675803664496016</v>
      </c>
      <c r="AE57" s="506">
        <f t="shared" ca="1" si="45"/>
        <v>1.3675803664496016</v>
      </c>
      <c r="AF57" s="506">
        <f t="shared" ca="1" si="45"/>
        <v>1.3675803664496016</v>
      </c>
      <c r="AG57" s="506">
        <f t="shared" ca="1" si="45"/>
        <v>1.3675803664496016</v>
      </c>
      <c r="AH57" s="506"/>
      <c r="AI57" s="506"/>
      <c r="AJ57" s="506">
        <f ca="1">IF($C$4=Year1,-PMT(Lookups!$E$17,25,NPV(Lookups!$E$17,G57:AE57),0,1),IF($C$4=Year2,-PMT(Lookups!$F$17,25,NPV(Lookups!$F$17,H57:AF57),0,1),IF($C$4=Year3,-PMT(Lookups!$G$17,25,NPV(Lookups!$G$17,I57:AG57),0,1),-PMT(Lookups!$G$17,27,NPV(Lookups!$G$17,G57:AG57),0,1))))</f>
        <v>1.3533385193356759</v>
      </c>
      <c r="AK57" s="507"/>
      <c r="AL57" s="507"/>
      <c r="AM57" s="508">
        <f ca="1">SUM(AM52:AM56)</f>
        <v>1.448508021568665</v>
      </c>
      <c r="AN57" s="508">
        <f ca="1">SUM(AN52:AN56)</f>
        <v>1.3708843451784349</v>
      </c>
      <c r="AO57" s="508">
        <f t="shared" ref="AO57:BM57" ca="1" si="46">SUM(AO52:AO56)</f>
        <v>1.3708843451784349</v>
      </c>
      <c r="AP57" s="508">
        <f t="shared" ca="1" si="46"/>
        <v>1.3708843451784349</v>
      </c>
      <c r="AQ57" s="508">
        <f t="shared" ca="1" si="46"/>
        <v>1.3708843451784349</v>
      </c>
      <c r="AR57" s="508">
        <f t="shared" ca="1" si="46"/>
        <v>1.3708843451784349</v>
      </c>
      <c r="AS57" s="508">
        <f t="shared" ca="1" si="46"/>
        <v>1.3708843451784349</v>
      </c>
      <c r="AT57" s="508">
        <f t="shared" ca="1" si="46"/>
        <v>1.3708843451784349</v>
      </c>
      <c r="AU57" s="508">
        <f t="shared" ca="1" si="46"/>
        <v>1.3708843451784349</v>
      </c>
      <c r="AV57" s="508">
        <f t="shared" ca="1" si="46"/>
        <v>1.3708843451784349</v>
      </c>
      <c r="AW57" s="508">
        <f t="shared" ca="1" si="46"/>
        <v>1.3708843451784349</v>
      </c>
      <c r="AX57" s="508">
        <f t="shared" ca="1" si="46"/>
        <v>1.3708843451784349</v>
      </c>
      <c r="AY57" s="508">
        <f t="shared" ca="1" si="46"/>
        <v>1.3708843451784349</v>
      </c>
      <c r="AZ57" s="508">
        <f t="shared" ca="1" si="46"/>
        <v>1.3708843451784349</v>
      </c>
      <c r="BA57" s="508">
        <f t="shared" ca="1" si="46"/>
        <v>1.3708843451784349</v>
      </c>
      <c r="BB57" s="508">
        <f t="shared" ca="1" si="46"/>
        <v>1.3675803664496016</v>
      </c>
      <c r="BC57" s="508">
        <f t="shared" ca="1" si="46"/>
        <v>1.3675803664496016</v>
      </c>
      <c r="BD57" s="508">
        <f t="shared" ca="1" si="46"/>
        <v>1.3675803664496016</v>
      </c>
      <c r="BE57" s="508">
        <f t="shared" ca="1" si="46"/>
        <v>1.3675803664496016</v>
      </c>
      <c r="BF57" s="508">
        <f t="shared" ca="1" si="46"/>
        <v>1.3675803664496016</v>
      </c>
      <c r="BG57" s="508">
        <f t="shared" ca="1" si="46"/>
        <v>1.3675803664496016</v>
      </c>
      <c r="BH57" s="508">
        <f t="shared" ca="1" si="46"/>
        <v>1.3675803664496016</v>
      </c>
      <c r="BI57" s="508">
        <f t="shared" ca="1" si="46"/>
        <v>1.3675803664496016</v>
      </c>
      <c r="BJ57" s="508">
        <f t="shared" ca="1" si="46"/>
        <v>1.3675803664496016</v>
      </c>
      <c r="BK57" s="508">
        <f t="shared" ca="1" si="46"/>
        <v>1.3675803664496016</v>
      </c>
      <c r="BL57" s="508">
        <f t="shared" ca="1" si="46"/>
        <v>1.3675803664496016</v>
      </c>
      <c r="BM57" s="508">
        <f t="shared" ca="1" si="46"/>
        <v>1.3675803664496016</v>
      </c>
      <c r="BN57" s="508"/>
      <c r="BO57" s="508"/>
      <c r="BP57" s="508">
        <f ca="1">IF($C$4=Year1,-PMT(Lookups!$E$17,25,NPV(Lookups!$E$17,AM57:BK57),0,1),IF($C$4=Year2,-PMT(Lookups!$F$17,25,NPV(Lookups!$F$17,AN57:BL57),0,1),IF($C$4=Year3,-PMT(Lookups!$G$17,25,NPV(Lookups!$G$17,AO57:BM57),0,1),-PMT(Lookups!$G$17,27,NPV(Lookups!$G$17,AM57:BM57),0,1))))</f>
        <v>1.3542023256550422</v>
      </c>
      <c r="BS57" s="84" t="s">
        <v>235</v>
      </c>
      <c r="BT57" s="51" t="s">
        <v>17</v>
      </c>
    </row>
    <row r="58" spans="1:72" x14ac:dyDescent="0.25">
      <c r="B58" s="243" t="str">
        <f>B56</f>
        <v>Residential</v>
      </c>
      <c r="C58" s="243" t="str">
        <f>C56</f>
        <v>Rates</v>
      </c>
      <c r="D58" s="114" t="s">
        <v>114</v>
      </c>
      <c r="E58" s="84"/>
      <c r="F58" s="84"/>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49"/>
      <c r="AI58" s="109"/>
      <c r="AJ58" s="506"/>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S58" s="84"/>
      <c r="BT58" s="51" t="s">
        <v>17</v>
      </c>
    </row>
    <row r="59" spans="1:72" x14ac:dyDescent="0.25">
      <c r="B59" s="243" t="str">
        <f t="shared" si="23"/>
        <v>Residential</v>
      </c>
      <c r="C59" s="243" t="str">
        <f t="shared" si="23"/>
        <v>Rates</v>
      </c>
      <c r="D59" s="244" t="str">
        <f t="shared" si="23"/>
        <v>Change in Rates after DSM Scenario</v>
      </c>
      <c r="E59" s="84" t="s">
        <v>76</v>
      </c>
      <c r="F59" s="84" t="s">
        <v>182</v>
      </c>
      <c r="G59" s="510">
        <f ca="1">G57-G42</f>
        <v>6.7574711891543515E-2</v>
      </c>
      <c r="H59" s="510">
        <f ca="1">H57-H42</f>
        <v>2.8883148996849961E-3</v>
      </c>
      <c r="I59" s="510">
        <f t="shared" ref="I59:AG59" ca="1" si="47">I57-I42</f>
        <v>2.8883148996849961E-3</v>
      </c>
      <c r="J59" s="510">
        <f t="shared" ca="1" si="47"/>
        <v>2.8883148996849961E-3</v>
      </c>
      <c r="K59" s="510">
        <f t="shared" ca="1" si="47"/>
        <v>2.8883148996849961E-3</v>
      </c>
      <c r="L59" s="510">
        <f t="shared" ca="1" si="47"/>
        <v>2.8883148996849961E-3</v>
      </c>
      <c r="M59" s="510">
        <f t="shared" ca="1" si="47"/>
        <v>2.8883148996849961E-3</v>
      </c>
      <c r="N59" s="510">
        <f t="shared" ca="1" si="47"/>
        <v>2.8883148996849961E-3</v>
      </c>
      <c r="O59" s="510">
        <f t="shared" ca="1" si="47"/>
        <v>2.8883148996849961E-3</v>
      </c>
      <c r="P59" s="510">
        <f t="shared" ca="1" si="47"/>
        <v>2.8883148996849961E-3</v>
      </c>
      <c r="Q59" s="510">
        <f t="shared" ca="1" si="47"/>
        <v>2.8883148996849961E-3</v>
      </c>
      <c r="R59" s="510">
        <f t="shared" ca="1" si="47"/>
        <v>2.8883148996849961E-3</v>
      </c>
      <c r="S59" s="510">
        <f t="shared" ca="1" si="47"/>
        <v>2.8883148996849961E-3</v>
      </c>
      <c r="T59" s="510">
        <f t="shared" ca="1" si="47"/>
        <v>2.8883148996849961E-3</v>
      </c>
      <c r="U59" s="510">
        <f t="shared" ca="1" si="47"/>
        <v>2.8883148996849961E-3</v>
      </c>
      <c r="V59" s="510">
        <f t="shared" ca="1" si="47"/>
        <v>0</v>
      </c>
      <c r="W59" s="510">
        <f t="shared" ca="1" si="47"/>
        <v>0</v>
      </c>
      <c r="X59" s="510">
        <f t="shared" ca="1" si="47"/>
        <v>0</v>
      </c>
      <c r="Y59" s="510">
        <f t="shared" ca="1" si="47"/>
        <v>0</v>
      </c>
      <c r="Z59" s="510">
        <f t="shared" ca="1" si="47"/>
        <v>0</v>
      </c>
      <c r="AA59" s="510">
        <f t="shared" ca="1" si="47"/>
        <v>0</v>
      </c>
      <c r="AB59" s="510">
        <f t="shared" ca="1" si="47"/>
        <v>0</v>
      </c>
      <c r="AC59" s="510">
        <f t="shared" ca="1" si="47"/>
        <v>0</v>
      </c>
      <c r="AD59" s="510">
        <f t="shared" ca="1" si="47"/>
        <v>0</v>
      </c>
      <c r="AE59" s="510">
        <f t="shared" ca="1" si="47"/>
        <v>0</v>
      </c>
      <c r="AF59" s="510">
        <f t="shared" ca="1" si="47"/>
        <v>0</v>
      </c>
      <c r="AG59" s="510">
        <f t="shared" ca="1" si="47"/>
        <v>0</v>
      </c>
      <c r="AH59" s="510"/>
      <c r="AI59" s="510"/>
      <c r="AJ59" s="506">
        <f ca="1">IF($C$4=Year1,-PMT(Lookups!$E$17,25,NPV(Lookups!$E$17,G59:AE59),0,1),IF($C$4=Year2,-PMT(Lookups!$F$17,25,NPV(Lookups!$F$17,H59:AF59),0,1),IF($C$4=Year3,-PMT(Lookups!$G$17,25,NPV(Lookups!$G$17,I59:AG59),0,1),-PMT(Lookups!$G$17,27,NPV(Lookups!$G$17,G59:AG59),0,1))))</f>
        <v>4.8314286990277146E-3</v>
      </c>
      <c r="AK59" s="507"/>
      <c r="AL59" s="507"/>
      <c r="AM59" s="508">
        <f ca="1">AM57-AM42</f>
        <v>8.0927655119063413E-2</v>
      </c>
      <c r="AN59" s="508">
        <f ca="1">AN57-AN42</f>
        <v>3.3039787288333677E-3</v>
      </c>
      <c r="AO59" s="508">
        <f t="shared" ref="AO59:BM59" ca="1" si="48">AO57-AO42</f>
        <v>3.3039787288333677E-3</v>
      </c>
      <c r="AP59" s="508">
        <f t="shared" ca="1" si="48"/>
        <v>3.3039787288333677E-3</v>
      </c>
      <c r="AQ59" s="508">
        <f t="shared" ca="1" si="48"/>
        <v>3.3039787288333677E-3</v>
      </c>
      <c r="AR59" s="508">
        <f t="shared" ca="1" si="48"/>
        <v>3.3039787288333677E-3</v>
      </c>
      <c r="AS59" s="508">
        <f t="shared" ca="1" si="48"/>
        <v>3.3039787288333677E-3</v>
      </c>
      <c r="AT59" s="508">
        <f t="shared" ca="1" si="48"/>
        <v>3.3039787288333677E-3</v>
      </c>
      <c r="AU59" s="508">
        <f t="shared" ca="1" si="48"/>
        <v>3.3039787288333677E-3</v>
      </c>
      <c r="AV59" s="508">
        <f t="shared" ca="1" si="48"/>
        <v>3.3039787288333677E-3</v>
      </c>
      <c r="AW59" s="508">
        <f t="shared" ca="1" si="48"/>
        <v>3.3039787288333677E-3</v>
      </c>
      <c r="AX59" s="508">
        <f t="shared" ca="1" si="48"/>
        <v>3.3039787288333677E-3</v>
      </c>
      <c r="AY59" s="508">
        <f t="shared" ca="1" si="48"/>
        <v>3.3039787288333677E-3</v>
      </c>
      <c r="AZ59" s="508">
        <f t="shared" ca="1" si="48"/>
        <v>3.3039787288333677E-3</v>
      </c>
      <c r="BA59" s="508">
        <f t="shared" ca="1" si="48"/>
        <v>3.3039787288333677E-3</v>
      </c>
      <c r="BB59" s="508">
        <f t="shared" ca="1" si="48"/>
        <v>0</v>
      </c>
      <c r="BC59" s="508">
        <f t="shared" ca="1" si="48"/>
        <v>0</v>
      </c>
      <c r="BD59" s="508">
        <f t="shared" ca="1" si="48"/>
        <v>0</v>
      </c>
      <c r="BE59" s="508">
        <f t="shared" ca="1" si="48"/>
        <v>0</v>
      </c>
      <c r="BF59" s="508">
        <f t="shared" ca="1" si="48"/>
        <v>0</v>
      </c>
      <c r="BG59" s="508">
        <f t="shared" ca="1" si="48"/>
        <v>0</v>
      </c>
      <c r="BH59" s="508">
        <f t="shared" ca="1" si="48"/>
        <v>0</v>
      </c>
      <c r="BI59" s="508">
        <f t="shared" ca="1" si="48"/>
        <v>0</v>
      </c>
      <c r="BJ59" s="508">
        <f t="shared" ca="1" si="48"/>
        <v>0</v>
      </c>
      <c r="BK59" s="508">
        <f t="shared" ca="1" si="48"/>
        <v>0</v>
      </c>
      <c r="BL59" s="508">
        <f t="shared" ca="1" si="48"/>
        <v>0</v>
      </c>
      <c r="BM59" s="508">
        <f t="shared" ca="1" si="48"/>
        <v>0</v>
      </c>
      <c r="BN59" s="508"/>
      <c r="BO59" s="508"/>
      <c r="BP59" s="508">
        <f ca="1">IF($C$4=Year1,-PMT(Lookups!$E$17,25,NPV(Lookups!$E$17,AM59:BK59),0,1),IF($C$4=Year2,-PMT(Lookups!$F$17,25,NPV(Lookups!$F$17,AN59:BL59),0,1),IF($C$4=Year3,-PMT(Lookups!$G$17,25,NPV(Lookups!$G$17,AO59:BM59),0,1),-PMT(Lookups!$G$17,27,NPV(Lookups!$G$17,AM59:BM59),0,1))))</f>
        <v>5.6952350183939347E-3</v>
      </c>
      <c r="BS59" s="84" t="s">
        <v>233</v>
      </c>
      <c r="BT59" s="51" t="s">
        <v>17</v>
      </c>
    </row>
    <row r="60" spans="1:72" x14ac:dyDescent="0.25">
      <c r="B60" s="243" t="str">
        <f t="shared" ref="B60:D75" si="49">B59</f>
        <v>Residential</v>
      </c>
      <c r="C60" s="243" t="str">
        <f t="shared" si="49"/>
        <v>Rates</v>
      </c>
      <c r="D60" s="244" t="str">
        <f t="shared" si="49"/>
        <v>Change in Rates after DSM Scenario</v>
      </c>
      <c r="E60" s="84" t="s">
        <v>76</v>
      </c>
      <c r="F60" s="84" t="s">
        <v>16</v>
      </c>
      <c r="G60" s="224">
        <f ca="1">IFERROR(G57/G42-1,0)</f>
        <v>4.9411876295778701E-2</v>
      </c>
      <c r="H60" s="224">
        <f ca="1">IFERROR(H57/H42-1,0)</f>
        <v>2.1119891529177703E-3</v>
      </c>
      <c r="I60" s="224">
        <f t="shared" ref="I60:AF60" ca="1" si="50">IFERROR(I57/I42-1,0)</f>
        <v>2.1119891529177703E-3</v>
      </c>
      <c r="J60" s="224">
        <f t="shared" ca="1" si="50"/>
        <v>2.1119891529177703E-3</v>
      </c>
      <c r="K60" s="224">
        <f t="shared" ca="1" si="50"/>
        <v>2.1119891529177703E-3</v>
      </c>
      <c r="L60" s="224">
        <f t="shared" ca="1" si="50"/>
        <v>2.1119891529177703E-3</v>
      </c>
      <c r="M60" s="224">
        <f t="shared" ca="1" si="50"/>
        <v>2.1119891529177703E-3</v>
      </c>
      <c r="N60" s="224">
        <f t="shared" ca="1" si="50"/>
        <v>2.1119891529177703E-3</v>
      </c>
      <c r="O60" s="224">
        <f t="shared" ca="1" si="50"/>
        <v>2.1119891529177703E-3</v>
      </c>
      <c r="P60" s="224">
        <f t="shared" ca="1" si="50"/>
        <v>2.1119891529177703E-3</v>
      </c>
      <c r="Q60" s="224">
        <f t="shared" ca="1" si="50"/>
        <v>2.1119891529177703E-3</v>
      </c>
      <c r="R60" s="224">
        <f t="shared" ca="1" si="50"/>
        <v>2.1119891529177703E-3</v>
      </c>
      <c r="S60" s="224">
        <f t="shared" ca="1" si="50"/>
        <v>2.1119891529177703E-3</v>
      </c>
      <c r="T60" s="224">
        <f t="shared" ca="1" si="50"/>
        <v>2.1119891529177703E-3</v>
      </c>
      <c r="U60" s="224">
        <f t="shared" ca="1" si="50"/>
        <v>2.1119891529177703E-3</v>
      </c>
      <c r="V60" s="224">
        <f t="shared" ca="1" si="50"/>
        <v>0</v>
      </c>
      <c r="W60" s="224">
        <f t="shared" ca="1" si="50"/>
        <v>0</v>
      </c>
      <c r="X60" s="224">
        <f t="shared" ca="1" si="50"/>
        <v>0</v>
      </c>
      <c r="Y60" s="224">
        <f t="shared" ca="1" si="50"/>
        <v>0</v>
      </c>
      <c r="Z60" s="224">
        <f t="shared" ca="1" si="50"/>
        <v>0</v>
      </c>
      <c r="AA60" s="224">
        <f t="shared" ca="1" si="50"/>
        <v>0</v>
      </c>
      <c r="AB60" s="224">
        <f t="shared" ca="1" si="50"/>
        <v>0</v>
      </c>
      <c r="AC60" s="224">
        <f t="shared" ca="1" si="50"/>
        <v>0</v>
      </c>
      <c r="AD60" s="224">
        <f t="shared" ca="1" si="50"/>
        <v>0</v>
      </c>
      <c r="AE60" s="224">
        <f t="shared" ca="1" si="50"/>
        <v>0</v>
      </c>
      <c r="AF60" s="224">
        <f t="shared" ca="1" si="50"/>
        <v>0</v>
      </c>
      <c r="AG60" s="224">
        <f ca="1">IFERROR(AG57/AG42-1,0)</f>
        <v>0</v>
      </c>
      <c r="AH60" s="224"/>
      <c r="AI60" s="224"/>
      <c r="AJ60" s="224">
        <f ca="1">IFERROR(AJ57/AJ42-1,0)</f>
        <v>3.5827981421638899E-3</v>
      </c>
      <c r="AK60" s="212"/>
      <c r="AL60" s="212"/>
      <c r="AM60" s="504">
        <f ca="1">IFERROR(AM57/AM42-1,0)</f>
        <v>5.9175794786496594E-2</v>
      </c>
      <c r="AN60" s="504">
        <f t="shared" ref="AN60:BM60" ca="1" si="51">IFERROR(AN57/AN42-1,0)</f>
        <v>2.4159302150636996E-3</v>
      </c>
      <c r="AO60" s="504">
        <f t="shared" ca="1" si="51"/>
        <v>2.4159302150636996E-3</v>
      </c>
      <c r="AP60" s="504">
        <f t="shared" ca="1" si="51"/>
        <v>2.4159302150636996E-3</v>
      </c>
      <c r="AQ60" s="504">
        <f t="shared" ca="1" si="51"/>
        <v>2.4159302150636996E-3</v>
      </c>
      <c r="AR60" s="504">
        <f t="shared" ca="1" si="51"/>
        <v>2.4159302150636996E-3</v>
      </c>
      <c r="AS60" s="504">
        <f t="shared" ca="1" si="51"/>
        <v>2.4159302150636996E-3</v>
      </c>
      <c r="AT60" s="504">
        <f t="shared" ca="1" si="51"/>
        <v>2.4159302150636996E-3</v>
      </c>
      <c r="AU60" s="504">
        <f t="shared" ca="1" si="51"/>
        <v>2.4159302150636996E-3</v>
      </c>
      <c r="AV60" s="504">
        <f t="shared" ca="1" si="51"/>
        <v>2.4159302150636996E-3</v>
      </c>
      <c r="AW60" s="504">
        <f t="shared" ca="1" si="51"/>
        <v>2.4159302150636996E-3</v>
      </c>
      <c r="AX60" s="504">
        <f t="shared" ca="1" si="51"/>
        <v>2.4159302150636996E-3</v>
      </c>
      <c r="AY60" s="504">
        <f t="shared" ca="1" si="51"/>
        <v>2.4159302150636996E-3</v>
      </c>
      <c r="AZ60" s="504">
        <f t="shared" ca="1" si="51"/>
        <v>2.4159302150636996E-3</v>
      </c>
      <c r="BA60" s="504">
        <f t="shared" ca="1" si="51"/>
        <v>2.4159302150636996E-3</v>
      </c>
      <c r="BB60" s="504">
        <f t="shared" ca="1" si="51"/>
        <v>0</v>
      </c>
      <c r="BC60" s="504">
        <f t="shared" ca="1" si="51"/>
        <v>0</v>
      </c>
      <c r="BD60" s="504">
        <f t="shared" ca="1" si="51"/>
        <v>0</v>
      </c>
      <c r="BE60" s="504">
        <f t="shared" ca="1" si="51"/>
        <v>0</v>
      </c>
      <c r="BF60" s="504">
        <f t="shared" ca="1" si="51"/>
        <v>0</v>
      </c>
      <c r="BG60" s="504">
        <f t="shared" ca="1" si="51"/>
        <v>0</v>
      </c>
      <c r="BH60" s="504">
        <f t="shared" ca="1" si="51"/>
        <v>0</v>
      </c>
      <c r="BI60" s="504">
        <f t="shared" ca="1" si="51"/>
        <v>0</v>
      </c>
      <c r="BJ60" s="504">
        <f t="shared" ca="1" si="51"/>
        <v>0</v>
      </c>
      <c r="BK60" s="504">
        <f t="shared" ca="1" si="51"/>
        <v>0</v>
      </c>
      <c r="BL60" s="504">
        <f t="shared" ca="1" si="51"/>
        <v>0</v>
      </c>
      <c r="BM60" s="504">
        <f t="shared" ca="1" si="51"/>
        <v>0</v>
      </c>
      <c r="BN60" s="504"/>
      <c r="BO60" s="504"/>
      <c r="BP60" s="504">
        <f ca="1">IFERROR(BP57/BP42-1,0)</f>
        <v>4.223363049359552E-3</v>
      </c>
      <c r="BS60" s="84" t="s">
        <v>234</v>
      </c>
      <c r="BT60" s="51" t="s">
        <v>17</v>
      </c>
    </row>
    <row r="61" spans="1:72" x14ac:dyDescent="0.25">
      <c r="B61" s="243" t="str">
        <f t="shared" si="49"/>
        <v>Residential</v>
      </c>
      <c r="C61" s="243" t="str">
        <f t="shared" si="49"/>
        <v>Rates</v>
      </c>
      <c r="D61" s="85"/>
      <c r="E61" s="84" t="s">
        <v>17</v>
      </c>
      <c r="F61" s="84"/>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S61" s="84"/>
      <c r="BT61" s="51" t="s">
        <v>17</v>
      </c>
    </row>
    <row r="62" spans="1:72" s="5" customFormat="1" ht="15.75" x14ac:dyDescent="0.25">
      <c r="A62" s="52"/>
      <c r="B62" s="241" t="str">
        <f t="shared" si="49"/>
        <v>Residential</v>
      </c>
      <c r="C62" s="63" t="s">
        <v>51</v>
      </c>
      <c r="D62" s="61"/>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2"/>
      <c r="BO62" s="62"/>
      <c r="BP62" s="62"/>
      <c r="BS62" s="62"/>
      <c r="BT62" s="51" t="s">
        <v>17</v>
      </c>
    </row>
    <row r="63" spans="1:72" x14ac:dyDescent="0.25">
      <c r="B63" s="243" t="str">
        <f t="shared" si="49"/>
        <v>Residential</v>
      </c>
      <c r="C63" s="243" t="str">
        <f>C62</f>
        <v>Bills</v>
      </c>
      <c r="D63" s="114" t="str">
        <f>"Bills before DSM ("&amp;Lookups!$D$22&amp;" Scenario, Non-Participant)"</f>
        <v>Bills before DSM (No EE Scenario, Non-Participant)</v>
      </c>
      <c r="E63" s="86"/>
      <c r="F63" s="84"/>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S63" s="84"/>
      <c r="BT63" s="51" t="s">
        <v>17</v>
      </c>
    </row>
    <row r="64" spans="1:72" x14ac:dyDescent="0.25">
      <c r="B64" s="243" t="str">
        <f t="shared" si="49"/>
        <v>Residential</v>
      </c>
      <c r="C64" s="243" t="str">
        <f t="shared" si="49"/>
        <v>Bills</v>
      </c>
      <c r="D64" s="244" t="str">
        <f>D63</f>
        <v>Bills before DSM (No EE Scenario, Non-Participant)</v>
      </c>
      <c r="E64" s="86" t="s">
        <v>75</v>
      </c>
      <c r="F64" s="84" t="s">
        <v>31</v>
      </c>
      <c r="G64" s="659">
        <f>IF(G$8=0,0,INDEX('R&amp;B Inputs'!$H$45:$U$45,MATCH($B64,'R&amp;B Inputs'!$H$4:$U$4,0))*(1+INDEX('R&amp;B Inputs'!$H$46:$U$46,MATCH($B64,'R&amp;B Inputs'!$H$4:$U$4,0)))^(G$7-Year1)*12)</f>
        <v>182.39999999999998</v>
      </c>
      <c r="H64" s="659">
        <f>IF(H$8=0,0,INDEX('R&amp;B Inputs'!$H$45:$U$45,MATCH($B64,'R&amp;B Inputs'!$H$4:$U$4,0))*(1+INDEX('R&amp;B Inputs'!$H$46:$U$46,MATCH($B64,'R&amp;B Inputs'!$H$4:$U$4,0)))^(H$7-Year1)*12)</f>
        <v>182.39999999999998</v>
      </c>
      <c r="I64" s="659">
        <f>IF(I$8=0,0,INDEX('R&amp;B Inputs'!$H$45:$U$45,MATCH($B64,'R&amp;B Inputs'!$H$4:$U$4,0))*(1+INDEX('R&amp;B Inputs'!$H$46:$U$46,MATCH($B64,'R&amp;B Inputs'!$H$4:$U$4,0)))^(I$7-Year1)*12)</f>
        <v>182.39999999999998</v>
      </c>
      <c r="J64" s="659">
        <f>IF(J$8=0,0,INDEX('R&amp;B Inputs'!$H$45:$U$45,MATCH($B64,'R&amp;B Inputs'!$H$4:$U$4,0))*(1+INDEX('R&amp;B Inputs'!$H$46:$U$46,MATCH($B64,'R&amp;B Inputs'!$H$4:$U$4,0)))^(J$7-Year1)*12)</f>
        <v>182.39999999999998</v>
      </c>
      <c r="K64" s="659">
        <f>IF(K$8=0,0,INDEX('R&amp;B Inputs'!$H$45:$U$45,MATCH($B64,'R&amp;B Inputs'!$H$4:$U$4,0))*(1+INDEX('R&amp;B Inputs'!$H$46:$U$46,MATCH($B64,'R&amp;B Inputs'!$H$4:$U$4,0)))^(K$7-Year1)*12)</f>
        <v>182.39999999999998</v>
      </c>
      <c r="L64" s="659">
        <f>IF(L$8=0,0,INDEX('R&amp;B Inputs'!$H$45:$U$45,MATCH($B64,'R&amp;B Inputs'!$H$4:$U$4,0))*(1+INDEX('R&amp;B Inputs'!$H$46:$U$46,MATCH($B64,'R&amp;B Inputs'!$H$4:$U$4,0)))^(L$7-Year1)*12)</f>
        <v>182.39999999999998</v>
      </c>
      <c r="M64" s="659">
        <f>IF(M$8=0,0,INDEX('R&amp;B Inputs'!$H$45:$U$45,MATCH($B64,'R&amp;B Inputs'!$H$4:$U$4,0))*(1+INDEX('R&amp;B Inputs'!$H$46:$U$46,MATCH($B64,'R&amp;B Inputs'!$H$4:$U$4,0)))^(M$7-Year1)*12)</f>
        <v>182.39999999999998</v>
      </c>
      <c r="N64" s="659">
        <f>IF(N$8=0,0,INDEX('R&amp;B Inputs'!$H$45:$U$45,MATCH($B64,'R&amp;B Inputs'!$H$4:$U$4,0))*(1+INDEX('R&amp;B Inputs'!$H$46:$U$46,MATCH($B64,'R&amp;B Inputs'!$H$4:$U$4,0)))^(N$7-Year1)*12)</f>
        <v>182.39999999999998</v>
      </c>
      <c r="O64" s="659">
        <f>IF(O$8=0,0,INDEX('R&amp;B Inputs'!$H$45:$U$45,MATCH($B64,'R&amp;B Inputs'!$H$4:$U$4,0))*(1+INDEX('R&amp;B Inputs'!$H$46:$U$46,MATCH($B64,'R&amp;B Inputs'!$H$4:$U$4,0)))^(O$7-Year1)*12)</f>
        <v>182.39999999999998</v>
      </c>
      <c r="P64" s="659">
        <f>IF(P$8=0,0,INDEX('R&amp;B Inputs'!$H$45:$U$45,MATCH($B64,'R&amp;B Inputs'!$H$4:$U$4,0))*(1+INDEX('R&amp;B Inputs'!$H$46:$U$46,MATCH($B64,'R&amp;B Inputs'!$H$4:$U$4,0)))^(P$7-Year1)*12)</f>
        <v>182.39999999999998</v>
      </c>
      <c r="Q64" s="659">
        <f>IF(Q$8=0,0,INDEX('R&amp;B Inputs'!$H$45:$U$45,MATCH($B64,'R&amp;B Inputs'!$H$4:$U$4,0))*(1+INDEX('R&amp;B Inputs'!$H$46:$U$46,MATCH($B64,'R&amp;B Inputs'!$H$4:$U$4,0)))^(Q$7-Year1)*12)</f>
        <v>182.39999999999998</v>
      </c>
      <c r="R64" s="659">
        <f>IF(R$8=0,0,INDEX('R&amp;B Inputs'!$H$45:$U$45,MATCH($B64,'R&amp;B Inputs'!$H$4:$U$4,0))*(1+INDEX('R&amp;B Inputs'!$H$46:$U$46,MATCH($B64,'R&amp;B Inputs'!$H$4:$U$4,0)))^(R$7-Year1)*12)</f>
        <v>182.39999999999998</v>
      </c>
      <c r="S64" s="659">
        <f>IF(S$8=0,0,INDEX('R&amp;B Inputs'!$H$45:$U$45,MATCH($B64,'R&amp;B Inputs'!$H$4:$U$4,0))*(1+INDEX('R&amp;B Inputs'!$H$46:$U$46,MATCH($B64,'R&amp;B Inputs'!$H$4:$U$4,0)))^(S$7-Year1)*12)</f>
        <v>182.39999999999998</v>
      </c>
      <c r="T64" s="659">
        <f>IF(T$8=0,0,INDEX('R&amp;B Inputs'!$H$45:$U$45,MATCH($B64,'R&amp;B Inputs'!$H$4:$U$4,0))*(1+INDEX('R&amp;B Inputs'!$H$46:$U$46,MATCH($B64,'R&amp;B Inputs'!$H$4:$U$4,0)))^(T$7-Year1)*12)</f>
        <v>182.39999999999998</v>
      </c>
      <c r="U64" s="659">
        <f>IF(U$8=0,0,INDEX('R&amp;B Inputs'!$H$45:$U$45,MATCH($B64,'R&amp;B Inputs'!$H$4:$U$4,0))*(1+INDEX('R&amp;B Inputs'!$H$46:$U$46,MATCH($B64,'R&amp;B Inputs'!$H$4:$U$4,0)))^(U$7-Year1)*12)</f>
        <v>182.39999999999998</v>
      </c>
      <c r="V64" s="659">
        <f>IF(V$8=0,0,INDEX('R&amp;B Inputs'!$H$45:$U$45,MATCH($B64,'R&amp;B Inputs'!$H$4:$U$4,0))*(1+INDEX('R&amp;B Inputs'!$H$46:$U$46,MATCH($B64,'R&amp;B Inputs'!$H$4:$U$4,0)))^(V$7-Year1)*12)</f>
        <v>182.39999999999998</v>
      </c>
      <c r="W64" s="659">
        <f>IF(W$8=0,0,INDEX('R&amp;B Inputs'!$H$45:$U$45,MATCH($B64,'R&amp;B Inputs'!$H$4:$U$4,0))*(1+INDEX('R&amp;B Inputs'!$H$46:$U$46,MATCH($B64,'R&amp;B Inputs'!$H$4:$U$4,0)))^(W$7-Year1)*12)</f>
        <v>182.39999999999998</v>
      </c>
      <c r="X64" s="659">
        <f>IF(X$8=0,0,INDEX('R&amp;B Inputs'!$H$45:$U$45,MATCH($B64,'R&amp;B Inputs'!$H$4:$U$4,0))*(1+INDEX('R&amp;B Inputs'!$H$46:$U$46,MATCH($B64,'R&amp;B Inputs'!$H$4:$U$4,0)))^(X$7-Year1)*12)</f>
        <v>182.39999999999998</v>
      </c>
      <c r="Y64" s="659">
        <f>IF(Y$8=0,0,INDEX('R&amp;B Inputs'!$H$45:$U$45,MATCH($B64,'R&amp;B Inputs'!$H$4:$U$4,0))*(1+INDEX('R&amp;B Inputs'!$H$46:$U$46,MATCH($B64,'R&amp;B Inputs'!$H$4:$U$4,0)))^(Y$7-Year1)*12)</f>
        <v>182.39999999999998</v>
      </c>
      <c r="Z64" s="659">
        <f>IF(Z$8=0,0,INDEX('R&amp;B Inputs'!$H$45:$U$45,MATCH($B64,'R&amp;B Inputs'!$H$4:$U$4,0))*(1+INDEX('R&amp;B Inputs'!$H$46:$U$46,MATCH($B64,'R&amp;B Inputs'!$H$4:$U$4,0)))^(Z$7-Year1)*12)</f>
        <v>182.39999999999998</v>
      </c>
      <c r="AA64" s="659">
        <f>IF(AA$8=0,0,INDEX('R&amp;B Inputs'!$H$45:$U$45,MATCH($B64,'R&amp;B Inputs'!$H$4:$U$4,0))*(1+INDEX('R&amp;B Inputs'!$H$46:$U$46,MATCH($B64,'R&amp;B Inputs'!$H$4:$U$4,0)))^(AA$7-Year1)*12)</f>
        <v>182.39999999999998</v>
      </c>
      <c r="AB64" s="659">
        <f>IF(AB$8=0,0,INDEX('R&amp;B Inputs'!$H$45:$U$45,MATCH($B64,'R&amp;B Inputs'!$H$4:$U$4,0))*(1+INDEX('R&amp;B Inputs'!$H$46:$U$46,MATCH($B64,'R&amp;B Inputs'!$H$4:$U$4,0)))^(AB$7-Year1)*12)</f>
        <v>182.39999999999998</v>
      </c>
      <c r="AC64" s="659">
        <f>IF(AC$8=0,0,INDEX('R&amp;B Inputs'!$H$45:$U$45,MATCH($B64,'R&amp;B Inputs'!$H$4:$U$4,0))*(1+INDEX('R&amp;B Inputs'!$H$46:$U$46,MATCH($B64,'R&amp;B Inputs'!$H$4:$U$4,0)))^(AC$7-Year1)*12)</f>
        <v>182.39999999999998</v>
      </c>
      <c r="AD64" s="659">
        <f>IF(AD$8=0,0,INDEX('R&amp;B Inputs'!$H$45:$U$45,MATCH($B64,'R&amp;B Inputs'!$H$4:$U$4,0))*(1+INDEX('R&amp;B Inputs'!$H$46:$U$46,MATCH($B64,'R&amp;B Inputs'!$H$4:$U$4,0)))^(AD$7-Year1)*12)</f>
        <v>182.39999999999998</v>
      </c>
      <c r="AE64" s="659">
        <f>IF(AE$8=0,0,INDEX('R&amp;B Inputs'!$H$45:$U$45,MATCH($B64,'R&amp;B Inputs'!$H$4:$U$4,0))*(1+INDEX('R&amp;B Inputs'!$H$46:$U$46,MATCH($B64,'R&amp;B Inputs'!$H$4:$U$4,0)))^(AE$7-Year1)*12)</f>
        <v>182.39999999999998</v>
      </c>
      <c r="AF64" s="659">
        <f>IF(AF$8=0,0,INDEX('R&amp;B Inputs'!$H$45:$U$45,MATCH($B64,'R&amp;B Inputs'!$H$4:$U$4,0))*(1+INDEX('R&amp;B Inputs'!$H$46:$U$46,MATCH($B64,'R&amp;B Inputs'!$H$4:$U$4,0)))^(AF$7-Year1)*12)</f>
        <v>182.39999999999998</v>
      </c>
      <c r="AG64" s="659">
        <f>IF(AG$8=0,0,INDEX('R&amp;B Inputs'!$H$45:$U$45,MATCH($B64,'R&amp;B Inputs'!$H$4:$U$4,0))*(1+INDEX('R&amp;B Inputs'!$H$46:$U$46,MATCH($B64,'R&amp;B Inputs'!$H$4:$U$4,0)))^(AG$7-Year1)*12)</f>
        <v>182.39999999999998</v>
      </c>
      <c r="AH64" s="49"/>
      <c r="AI64" s="49"/>
      <c r="AJ64" s="720">
        <f>IF($C$4=Year1,-PMT(Lookups!$E$17,25,NPV(Lookups!$E$17,G64:AE64),0,1),IF($C$4=Year2,-PMT(Lookups!$F$17,25,NPV(Lookups!$F$17,H64:AF64),0,1),IF($C$4=Year3,-PMT(Lookups!$G$17,25,NPV(Lookups!$G$17,I64:AG64),0,1),-PMT(Lookups!$G$17,27,NPV(Lookups!$G$17,G64:AG64),0,1))))</f>
        <v>179.85611622276028</v>
      </c>
      <c r="AM64" s="705">
        <f>IF(AM$8=0,0,INDEX('R&amp;B Inputs'!$H$45:$U$45,MATCH($B64,'R&amp;B Inputs'!$H$4:$U$4,0))*(1+INDEX('R&amp;B Inputs'!$H$46:$U$46,MATCH($B64,'R&amp;B Inputs'!$H$4:$U$4,0)))^(AM$7-Year1)*12)</f>
        <v>182.39999999999998</v>
      </c>
      <c r="AN64" s="705">
        <f>IF(AN$8=0,0,INDEX('R&amp;B Inputs'!$H$45:$U$45,MATCH($B64,'R&amp;B Inputs'!$H$4:$U$4,0))*(1+INDEX('R&amp;B Inputs'!$H$46:$U$46,MATCH($B64,'R&amp;B Inputs'!$H$4:$U$4,0)))^(AN$7-Year1)*12)</f>
        <v>182.39999999999998</v>
      </c>
      <c r="AO64" s="705">
        <f>IF(AO$8=0,0,INDEX('R&amp;B Inputs'!$H$45:$U$45,MATCH($B64,'R&amp;B Inputs'!$H$4:$U$4,0))*(1+INDEX('R&amp;B Inputs'!$H$46:$U$46,MATCH($B64,'R&amp;B Inputs'!$H$4:$U$4,0)))^(AO$7-Year1)*12)</f>
        <v>182.39999999999998</v>
      </c>
      <c r="AP64" s="705">
        <f>IF(AP$8=0,0,INDEX('R&amp;B Inputs'!$H$45:$U$45,MATCH($B64,'R&amp;B Inputs'!$H$4:$U$4,0))*(1+INDEX('R&amp;B Inputs'!$H$46:$U$46,MATCH($B64,'R&amp;B Inputs'!$H$4:$U$4,0)))^(AP$7-Year1)*12)</f>
        <v>182.39999999999998</v>
      </c>
      <c r="AQ64" s="705">
        <f>IF(AQ$8=0,0,INDEX('R&amp;B Inputs'!$H$45:$U$45,MATCH($B64,'R&amp;B Inputs'!$H$4:$U$4,0))*(1+INDEX('R&amp;B Inputs'!$H$46:$U$46,MATCH($B64,'R&amp;B Inputs'!$H$4:$U$4,0)))^(AQ$7-Year1)*12)</f>
        <v>182.39999999999998</v>
      </c>
      <c r="AR64" s="705">
        <f>IF(AR$8=0,0,INDEX('R&amp;B Inputs'!$H$45:$U$45,MATCH($B64,'R&amp;B Inputs'!$H$4:$U$4,0))*(1+INDEX('R&amp;B Inputs'!$H$46:$U$46,MATCH($B64,'R&amp;B Inputs'!$H$4:$U$4,0)))^(AR$7-Year1)*12)</f>
        <v>182.39999999999998</v>
      </c>
      <c r="AS64" s="705">
        <f>IF(AS$8=0,0,INDEX('R&amp;B Inputs'!$H$45:$U$45,MATCH($B64,'R&amp;B Inputs'!$H$4:$U$4,0))*(1+INDEX('R&amp;B Inputs'!$H$46:$U$46,MATCH($B64,'R&amp;B Inputs'!$H$4:$U$4,0)))^(AS$7-Year1)*12)</f>
        <v>182.39999999999998</v>
      </c>
      <c r="AT64" s="705">
        <f>IF(AT$8=0,0,INDEX('R&amp;B Inputs'!$H$45:$U$45,MATCH($B64,'R&amp;B Inputs'!$H$4:$U$4,0))*(1+INDEX('R&amp;B Inputs'!$H$46:$U$46,MATCH($B64,'R&amp;B Inputs'!$H$4:$U$4,0)))^(AT$7-Year1)*12)</f>
        <v>182.39999999999998</v>
      </c>
      <c r="AU64" s="705">
        <f>IF(AU$8=0,0,INDEX('R&amp;B Inputs'!$H$45:$U$45,MATCH($B64,'R&amp;B Inputs'!$H$4:$U$4,0))*(1+INDEX('R&amp;B Inputs'!$H$46:$U$46,MATCH($B64,'R&amp;B Inputs'!$H$4:$U$4,0)))^(AU$7-Year1)*12)</f>
        <v>182.39999999999998</v>
      </c>
      <c r="AV64" s="705">
        <f>IF(AV$8=0,0,INDEX('R&amp;B Inputs'!$H$45:$U$45,MATCH($B64,'R&amp;B Inputs'!$H$4:$U$4,0))*(1+INDEX('R&amp;B Inputs'!$H$46:$U$46,MATCH($B64,'R&amp;B Inputs'!$H$4:$U$4,0)))^(AV$7-Year1)*12)</f>
        <v>182.39999999999998</v>
      </c>
      <c r="AW64" s="705">
        <f>IF(AW$8=0,0,INDEX('R&amp;B Inputs'!$H$45:$U$45,MATCH($B64,'R&amp;B Inputs'!$H$4:$U$4,0))*(1+INDEX('R&amp;B Inputs'!$H$46:$U$46,MATCH($B64,'R&amp;B Inputs'!$H$4:$U$4,0)))^(AW$7-Year1)*12)</f>
        <v>182.39999999999998</v>
      </c>
      <c r="AX64" s="705">
        <f>IF(AX$8=0,0,INDEX('R&amp;B Inputs'!$H$45:$U$45,MATCH($B64,'R&amp;B Inputs'!$H$4:$U$4,0))*(1+INDEX('R&amp;B Inputs'!$H$46:$U$46,MATCH($B64,'R&amp;B Inputs'!$H$4:$U$4,0)))^(AX$7-Year1)*12)</f>
        <v>182.39999999999998</v>
      </c>
      <c r="AY64" s="705">
        <f>IF(AY$8=0,0,INDEX('R&amp;B Inputs'!$H$45:$U$45,MATCH($B64,'R&amp;B Inputs'!$H$4:$U$4,0))*(1+INDEX('R&amp;B Inputs'!$H$46:$U$46,MATCH($B64,'R&amp;B Inputs'!$H$4:$U$4,0)))^(AY$7-Year1)*12)</f>
        <v>182.39999999999998</v>
      </c>
      <c r="AZ64" s="705">
        <f>IF(AZ$8=0,0,INDEX('R&amp;B Inputs'!$H$45:$U$45,MATCH($B64,'R&amp;B Inputs'!$H$4:$U$4,0))*(1+INDEX('R&amp;B Inputs'!$H$46:$U$46,MATCH($B64,'R&amp;B Inputs'!$H$4:$U$4,0)))^(AZ$7-Year1)*12)</f>
        <v>182.39999999999998</v>
      </c>
      <c r="BA64" s="705">
        <f>IF(BA$8=0,0,INDEX('R&amp;B Inputs'!$H$45:$U$45,MATCH($B64,'R&amp;B Inputs'!$H$4:$U$4,0))*(1+INDEX('R&amp;B Inputs'!$H$46:$U$46,MATCH($B64,'R&amp;B Inputs'!$H$4:$U$4,0)))^(BA$7-Year1)*12)</f>
        <v>182.39999999999998</v>
      </c>
      <c r="BB64" s="705">
        <f>IF(BB$8=0,0,INDEX('R&amp;B Inputs'!$H$45:$U$45,MATCH($B64,'R&amp;B Inputs'!$H$4:$U$4,0))*(1+INDEX('R&amp;B Inputs'!$H$46:$U$46,MATCH($B64,'R&amp;B Inputs'!$H$4:$U$4,0)))^(BB$7-Year1)*12)</f>
        <v>182.39999999999998</v>
      </c>
      <c r="BC64" s="705">
        <f>IF(BC$8=0,0,INDEX('R&amp;B Inputs'!$H$45:$U$45,MATCH($B64,'R&amp;B Inputs'!$H$4:$U$4,0))*(1+INDEX('R&amp;B Inputs'!$H$46:$U$46,MATCH($B64,'R&amp;B Inputs'!$H$4:$U$4,0)))^(BC$7-Year1)*12)</f>
        <v>182.39999999999998</v>
      </c>
      <c r="BD64" s="705">
        <f>IF(BD$8=0,0,INDEX('R&amp;B Inputs'!$H$45:$U$45,MATCH($B64,'R&amp;B Inputs'!$H$4:$U$4,0))*(1+INDEX('R&amp;B Inputs'!$H$46:$U$46,MATCH($B64,'R&amp;B Inputs'!$H$4:$U$4,0)))^(BD$7-Year1)*12)</f>
        <v>182.39999999999998</v>
      </c>
      <c r="BE64" s="705">
        <f>IF(BE$8=0,0,INDEX('R&amp;B Inputs'!$H$45:$U$45,MATCH($B64,'R&amp;B Inputs'!$H$4:$U$4,0))*(1+INDEX('R&amp;B Inputs'!$H$46:$U$46,MATCH($B64,'R&amp;B Inputs'!$H$4:$U$4,0)))^(BE$7-Year1)*12)</f>
        <v>182.39999999999998</v>
      </c>
      <c r="BF64" s="705">
        <f>IF(BF$8=0,0,INDEX('R&amp;B Inputs'!$H$45:$U$45,MATCH($B64,'R&amp;B Inputs'!$H$4:$U$4,0))*(1+INDEX('R&amp;B Inputs'!$H$46:$U$46,MATCH($B64,'R&amp;B Inputs'!$H$4:$U$4,0)))^(BF$7-Year1)*12)</f>
        <v>182.39999999999998</v>
      </c>
      <c r="BG64" s="705">
        <f>IF(BG$8=0,0,INDEX('R&amp;B Inputs'!$H$45:$U$45,MATCH($B64,'R&amp;B Inputs'!$H$4:$U$4,0))*(1+INDEX('R&amp;B Inputs'!$H$46:$U$46,MATCH($B64,'R&amp;B Inputs'!$H$4:$U$4,0)))^(BG$7-Year1)*12)</f>
        <v>182.39999999999998</v>
      </c>
      <c r="BH64" s="705">
        <f>IF(BH$8=0,0,INDEX('R&amp;B Inputs'!$H$45:$U$45,MATCH($B64,'R&amp;B Inputs'!$H$4:$U$4,0))*(1+INDEX('R&amp;B Inputs'!$H$46:$U$46,MATCH($B64,'R&amp;B Inputs'!$H$4:$U$4,0)))^(BH$7-Year1)*12)</f>
        <v>182.39999999999998</v>
      </c>
      <c r="BI64" s="705">
        <f>IF(BI$8=0,0,INDEX('R&amp;B Inputs'!$H$45:$U$45,MATCH($B64,'R&amp;B Inputs'!$H$4:$U$4,0))*(1+INDEX('R&amp;B Inputs'!$H$46:$U$46,MATCH($B64,'R&amp;B Inputs'!$H$4:$U$4,0)))^(BI$7-Year1)*12)</f>
        <v>182.39999999999998</v>
      </c>
      <c r="BJ64" s="705">
        <f>IF(BJ$8=0,0,INDEX('R&amp;B Inputs'!$H$45:$U$45,MATCH($B64,'R&amp;B Inputs'!$H$4:$U$4,0))*(1+INDEX('R&amp;B Inputs'!$H$46:$U$46,MATCH($B64,'R&amp;B Inputs'!$H$4:$U$4,0)))^(BJ$7-Year1)*12)</f>
        <v>182.39999999999998</v>
      </c>
      <c r="BK64" s="705">
        <f>IF(BK$8=0,0,INDEX('R&amp;B Inputs'!$H$45:$U$45,MATCH($B64,'R&amp;B Inputs'!$H$4:$U$4,0))*(1+INDEX('R&amp;B Inputs'!$H$46:$U$46,MATCH($B64,'R&amp;B Inputs'!$H$4:$U$4,0)))^(BK$7-Year1)*12)</f>
        <v>182.39999999999998</v>
      </c>
      <c r="BL64" s="705">
        <f>IF(BL$8=0,0,INDEX('R&amp;B Inputs'!$H$45:$U$45,MATCH($B64,'R&amp;B Inputs'!$H$4:$U$4,0))*(1+INDEX('R&amp;B Inputs'!$H$46:$U$46,MATCH($B64,'R&amp;B Inputs'!$H$4:$U$4,0)))^(BL$7-Year1)*12)</f>
        <v>182.39999999999998</v>
      </c>
      <c r="BM64" s="705">
        <f>IF(BM$8=0,0,INDEX('R&amp;B Inputs'!$H$45:$U$45,MATCH($B64,'R&amp;B Inputs'!$H$4:$U$4,0))*(1+INDEX('R&amp;B Inputs'!$H$46:$U$46,MATCH($B64,'R&amp;B Inputs'!$H$4:$U$4,0)))^(BM$7-Year1)*12)</f>
        <v>182.39999999999998</v>
      </c>
      <c r="BN64" s="74"/>
      <c r="BO64" s="74"/>
      <c r="BP64" s="149">
        <f>IF($C$4=Year1,-PMT(Lookups!$E$17,25,NPV(Lookups!$E$17,AM64:BK64),0,1),IF($C$4=Year2,-PMT(Lookups!$F$17,25,NPV(Lookups!$F$17,AN64:BL64),0,1),IF($C$4=Year3,-PMT(Lookups!$G$17,25,NPV(Lookups!$G$17,AO64:BM64),0,1),-PMT(Lookups!$G$17,27,NPV(Lookups!$G$17,AM64:BM64),0,1))))</f>
        <v>179.85611622276028</v>
      </c>
      <c r="BS64" s="84" t="str">
        <f t="shared" ref="BS64" si="52">E64&amp;" charge from the R&amp;B Inputs tab, escalated annually by the growth rate included on the R&amp;B Inputs tab."</f>
        <v>Customer Charge charge from the R&amp;B Inputs tab, escalated annually by the growth rate included on the R&amp;B Inputs tab.</v>
      </c>
      <c r="BT64" s="51" t="s">
        <v>17</v>
      </c>
    </row>
    <row r="65" spans="1:72" x14ac:dyDescent="0.25">
      <c r="B65" s="243" t="str">
        <f t="shared" si="49"/>
        <v>Residential</v>
      </c>
      <c r="C65" s="243" t="str">
        <f t="shared" si="49"/>
        <v>Bills</v>
      </c>
      <c r="D65" s="244" t="str">
        <f>D64</f>
        <v>Bills before DSM (No EE Scenario, Non-Participant)</v>
      </c>
      <c r="E65" s="84" t="s">
        <v>309</v>
      </c>
      <c r="F65" s="84" t="s">
        <v>195</v>
      </c>
      <c r="G65" s="64">
        <f>IF(G$8=0,0,INDEX('R&amp;B Inputs'!$I$27:$V$27,MATCH($B65,'R&amp;B Inputs'!$I$4:$V$4,0))+INDEX('R&amp;B Inputs'!$I$28:$V$28,MATCH($B65,'R&amp;B Inputs'!$I$4:$V$4,0)))</f>
        <v>666</v>
      </c>
      <c r="H65" s="64">
        <f>IF(H$8=0,0,INDEX('R&amp;B Inputs'!$I$27:$V$27,MATCH($B65,'R&amp;B Inputs'!$I$4:$V$4,0))+INDEX('R&amp;B Inputs'!$I$28:$V$28,MATCH($B65,'R&amp;B Inputs'!$I$4:$V$4,0)))</f>
        <v>666</v>
      </c>
      <c r="I65" s="64">
        <f>IF(I$8=0,0,INDEX('R&amp;B Inputs'!$I$27:$V$27,MATCH($B65,'R&amp;B Inputs'!$I$4:$V$4,0))+INDEX('R&amp;B Inputs'!$I$28:$V$28,MATCH($B65,'R&amp;B Inputs'!$I$4:$V$4,0)))</f>
        <v>666</v>
      </c>
      <c r="J65" s="64">
        <f>IF(J$8=0,0,INDEX('R&amp;B Inputs'!$I$27:$V$27,MATCH($B65,'R&amp;B Inputs'!$I$4:$V$4,0))+INDEX('R&amp;B Inputs'!$I$28:$V$28,MATCH($B65,'R&amp;B Inputs'!$I$4:$V$4,0)))</f>
        <v>666</v>
      </c>
      <c r="K65" s="64">
        <f>IF(K$8=0,0,INDEX('R&amp;B Inputs'!$I$27:$V$27,MATCH($B65,'R&amp;B Inputs'!$I$4:$V$4,0))+INDEX('R&amp;B Inputs'!$I$28:$V$28,MATCH($B65,'R&amp;B Inputs'!$I$4:$V$4,0)))</f>
        <v>666</v>
      </c>
      <c r="L65" s="64">
        <f>IF(L$8=0,0,INDEX('R&amp;B Inputs'!$I$27:$V$27,MATCH($B65,'R&amp;B Inputs'!$I$4:$V$4,0))+INDEX('R&amp;B Inputs'!$I$28:$V$28,MATCH($B65,'R&amp;B Inputs'!$I$4:$V$4,0)))</f>
        <v>666</v>
      </c>
      <c r="M65" s="64">
        <f>IF(M$8=0,0,INDEX('R&amp;B Inputs'!$I$27:$V$27,MATCH($B65,'R&amp;B Inputs'!$I$4:$V$4,0))+INDEX('R&amp;B Inputs'!$I$28:$V$28,MATCH($B65,'R&amp;B Inputs'!$I$4:$V$4,0)))</f>
        <v>666</v>
      </c>
      <c r="N65" s="64">
        <f>IF(N$8=0,0,INDEX('R&amp;B Inputs'!$I$27:$V$27,MATCH($B65,'R&amp;B Inputs'!$I$4:$V$4,0))+INDEX('R&amp;B Inputs'!$I$28:$V$28,MATCH($B65,'R&amp;B Inputs'!$I$4:$V$4,0)))</f>
        <v>666</v>
      </c>
      <c r="O65" s="64">
        <f>IF(O$8=0,0,INDEX('R&amp;B Inputs'!$I$27:$V$27,MATCH($B65,'R&amp;B Inputs'!$I$4:$V$4,0))+INDEX('R&amp;B Inputs'!$I$28:$V$28,MATCH($B65,'R&amp;B Inputs'!$I$4:$V$4,0)))</f>
        <v>666</v>
      </c>
      <c r="P65" s="64">
        <f>IF(P$8=0,0,INDEX('R&amp;B Inputs'!$I$27:$V$27,MATCH($B65,'R&amp;B Inputs'!$I$4:$V$4,0))+INDEX('R&amp;B Inputs'!$I$28:$V$28,MATCH($B65,'R&amp;B Inputs'!$I$4:$V$4,0)))</f>
        <v>666</v>
      </c>
      <c r="Q65" s="64">
        <f>IF(Q$8=0,0,INDEX('R&amp;B Inputs'!$I$27:$V$27,MATCH($B65,'R&amp;B Inputs'!$I$4:$V$4,0))+INDEX('R&amp;B Inputs'!$I$28:$V$28,MATCH($B65,'R&amp;B Inputs'!$I$4:$V$4,0)))</f>
        <v>666</v>
      </c>
      <c r="R65" s="64">
        <f>IF(R$8=0,0,INDEX('R&amp;B Inputs'!$I$27:$V$27,MATCH($B65,'R&amp;B Inputs'!$I$4:$V$4,0))+INDEX('R&amp;B Inputs'!$I$28:$V$28,MATCH($B65,'R&amp;B Inputs'!$I$4:$V$4,0)))</f>
        <v>666</v>
      </c>
      <c r="S65" s="64">
        <f>IF(S$8=0,0,INDEX('R&amp;B Inputs'!$I$27:$V$27,MATCH($B65,'R&amp;B Inputs'!$I$4:$V$4,0))+INDEX('R&amp;B Inputs'!$I$28:$V$28,MATCH($B65,'R&amp;B Inputs'!$I$4:$V$4,0)))</f>
        <v>666</v>
      </c>
      <c r="T65" s="64">
        <f>IF(T$8=0,0,INDEX('R&amp;B Inputs'!$I$27:$V$27,MATCH($B65,'R&amp;B Inputs'!$I$4:$V$4,0))+INDEX('R&amp;B Inputs'!$I$28:$V$28,MATCH($B65,'R&amp;B Inputs'!$I$4:$V$4,0)))</f>
        <v>666</v>
      </c>
      <c r="U65" s="64">
        <f>IF(U$8=0,0,INDEX('R&amp;B Inputs'!$I$27:$V$27,MATCH($B65,'R&amp;B Inputs'!$I$4:$V$4,0))+INDEX('R&amp;B Inputs'!$I$28:$V$28,MATCH($B65,'R&amp;B Inputs'!$I$4:$V$4,0)))</f>
        <v>666</v>
      </c>
      <c r="V65" s="64">
        <f>IF(V$8=0,0,INDEX('R&amp;B Inputs'!$I$27:$V$27,MATCH($B65,'R&amp;B Inputs'!$I$4:$V$4,0))+INDEX('R&amp;B Inputs'!$I$28:$V$28,MATCH($B65,'R&amp;B Inputs'!$I$4:$V$4,0)))</f>
        <v>666</v>
      </c>
      <c r="W65" s="64">
        <f>IF(W$8=0,0,INDEX('R&amp;B Inputs'!$I$27:$V$27,MATCH($B65,'R&amp;B Inputs'!$I$4:$V$4,0))+INDEX('R&amp;B Inputs'!$I$28:$V$28,MATCH($B65,'R&amp;B Inputs'!$I$4:$V$4,0)))</f>
        <v>666</v>
      </c>
      <c r="X65" s="64">
        <f>IF(X$8=0,0,INDEX('R&amp;B Inputs'!$I$27:$V$27,MATCH($B65,'R&amp;B Inputs'!$I$4:$V$4,0))+INDEX('R&amp;B Inputs'!$I$28:$V$28,MATCH($B65,'R&amp;B Inputs'!$I$4:$V$4,0)))</f>
        <v>666</v>
      </c>
      <c r="Y65" s="64">
        <f>IF(Y$8=0,0,INDEX('R&amp;B Inputs'!$I$27:$V$27,MATCH($B65,'R&amp;B Inputs'!$I$4:$V$4,0))+INDEX('R&amp;B Inputs'!$I$28:$V$28,MATCH($B65,'R&amp;B Inputs'!$I$4:$V$4,0)))</f>
        <v>666</v>
      </c>
      <c r="Z65" s="64">
        <f>IF(Z$8=0,0,INDEX('R&amp;B Inputs'!$I$27:$V$27,MATCH($B65,'R&amp;B Inputs'!$I$4:$V$4,0))+INDEX('R&amp;B Inputs'!$I$28:$V$28,MATCH($B65,'R&amp;B Inputs'!$I$4:$V$4,0)))</f>
        <v>666</v>
      </c>
      <c r="AA65" s="64">
        <f>IF(AA$8=0,0,INDEX('R&amp;B Inputs'!$I$27:$V$27,MATCH($B65,'R&amp;B Inputs'!$I$4:$V$4,0))+INDEX('R&amp;B Inputs'!$I$28:$V$28,MATCH($B65,'R&amp;B Inputs'!$I$4:$V$4,0)))</f>
        <v>666</v>
      </c>
      <c r="AB65" s="64">
        <f>IF(AB$8=0,0,INDEX('R&amp;B Inputs'!$I$27:$V$27,MATCH($B65,'R&amp;B Inputs'!$I$4:$V$4,0))+INDEX('R&amp;B Inputs'!$I$28:$V$28,MATCH($B65,'R&amp;B Inputs'!$I$4:$V$4,0)))</f>
        <v>666</v>
      </c>
      <c r="AC65" s="64">
        <f>IF(AC$8=0,0,INDEX('R&amp;B Inputs'!$I$27:$V$27,MATCH($B65,'R&amp;B Inputs'!$I$4:$V$4,0))+INDEX('R&amp;B Inputs'!$I$28:$V$28,MATCH($B65,'R&amp;B Inputs'!$I$4:$V$4,0)))</f>
        <v>666</v>
      </c>
      <c r="AD65" s="64">
        <f>IF(AD$8=0,0,INDEX('R&amp;B Inputs'!$I$27:$V$27,MATCH($B65,'R&amp;B Inputs'!$I$4:$V$4,0))+INDEX('R&amp;B Inputs'!$I$28:$V$28,MATCH($B65,'R&amp;B Inputs'!$I$4:$V$4,0)))</f>
        <v>666</v>
      </c>
      <c r="AE65" s="64">
        <f>IF(AE$8=0,0,INDEX('R&amp;B Inputs'!$I$27:$V$27,MATCH($B65,'R&amp;B Inputs'!$I$4:$V$4,0))+INDEX('R&amp;B Inputs'!$I$28:$V$28,MATCH($B65,'R&amp;B Inputs'!$I$4:$V$4,0)))</f>
        <v>666</v>
      </c>
      <c r="AF65" s="64">
        <f>IF(AF$8=0,0,INDEX('R&amp;B Inputs'!$I$27:$V$27,MATCH($B65,'R&amp;B Inputs'!$I$4:$V$4,0))+INDEX('R&amp;B Inputs'!$I$28:$V$28,MATCH($B65,'R&amp;B Inputs'!$I$4:$V$4,0)))</f>
        <v>666</v>
      </c>
      <c r="AG65" s="64">
        <f>IF(AG$8=0,0,INDEX('R&amp;B Inputs'!$I$27:$V$27,MATCH($B65,'R&amp;B Inputs'!$I$4:$V$4,0))+INDEX('R&amp;B Inputs'!$I$28:$V$28,MATCH($B65,'R&amp;B Inputs'!$I$4:$V$4,0)))</f>
        <v>666</v>
      </c>
      <c r="AH65" s="64"/>
      <c r="AI65" s="64"/>
      <c r="AJ65" s="720"/>
      <c r="AM65" s="71">
        <f>IF(AM$8=0,0,INDEX('R&amp;B Inputs'!$I$27:$V$27,MATCH($B65,'R&amp;B Inputs'!$I$4:$V$4,0))+INDEX('R&amp;B Inputs'!$I$28:$V$28,MATCH($B65,'R&amp;B Inputs'!$I$4:$V$4,0)))</f>
        <v>666</v>
      </c>
      <c r="AN65" s="71">
        <f>IF(AN$8=0,0,INDEX('R&amp;B Inputs'!$I$27:$V$27,MATCH($B65,'R&amp;B Inputs'!$I$4:$V$4,0))+INDEX('R&amp;B Inputs'!$I$28:$V$28,MATCH($B65,'R&amp;B Inputs'!$I$4:$V$4,0)))</f>
        <v>666</v>
      </c>
      <c r="AO65" s="71">
        <f>IF(AO$8=0,0,INDEX('R&amp;B Inputs'!$I$27:$V$27,MATCH($B65,'R&amp;B Inputs'!$I$4:$V$4,0))+INDEX('R&amp;B Inputs'!$I$28:$V$28,MATCH($B65,'R&amp;B Inputs'!$I$4:$V$4,0)))</f>
        <v>666</v>
      </c>
      <c r="AP65" s="71">
        <f>IF(AP$8=0,0,INDEX('R&amp;B Inputs'!$I$27:$V$27,MATCH($B65,'R&amp;B Inputs'!$I$4:$V$4,0))+INDEX('R&amp;B Inputs'!$I$28:$V$28,MATCH($B65,'R&amp;B Inputs'!$I$4:$V$4,0)))</f>
        <v>666</v>
      </c>
      <c r="AQ65" s="71">
        <f>IF(AQ$8=0,0,INDEX('R&amp;B Inputs'!$I$27:$V$27,MATCH($B65,'R&amp;B Inputs'!$I$4:$V$4,0))+INDEX('R&amp;B Inputs'!$I$28:$V$28,MATCH($B65,'R&amp;B Inputs'!$I$4:$V$4,0)))</f>
        <v>666</v>
      </c>
      <c r="AR65" s="71">
        <f>IF(AR$8=0,0,INDEX('R&amp;B Inputs'!$I$27:$V$27,MATCH($B65,'R&amp;B Inputs'!$I$4:$V$4,0))+INDEX('R&amp;B Inputs'!$I$28:$V$28,MATCH($B65,'R&amp;B Inputs'!$I$4:$V$4,0)))</f>
        <v>666</v>
      </c>
      <c r="AS65" s="71">
        <f>IF(AS$8=0,0,INDEX('R&amp;B Inputs'!$I$27:$V$27,MATCH($B65,'R&amp;B Inputs'!$I$4:$V$4,0))+INDEX('R&amp;B Inputs'!$I$28:$V$28,MATCH($B65,'R&amp;B Inputs'!$I$4:$V$4,0)))</f>
        <v>666</v>
      </c>
      <c r="AT65" s="71">
        <f>IF(AT$8=0,0,INDEX('R&amp;B Inputs'!$I$27:$V$27,MATCH($B65,'R&amp;B Inputs'!$I$4:$V$4,0))+INDEX('R&amp;B Inputs'!$I$28:$V$28,MATCH($B65,'R&amp;B Inputs'!$I$4:$V$4,0)))</f>
        <v>666</v>
      </c>
      <c r="AU65" s="71">
        <f>IF(AU$8=0,0,INDEX('R&amp;B Inputs'!$I$27:$V$27,MATCH($B65,'R&amp;B Inputs'!$I$4:$V$4,0))+INDEX('R&amp;B Inputs'!$I$28:$V$28,MATCH($B65,'R&amp;B Inputs'!$I$4:$V$4,0)))</f>
        <v>666</v>
      </c>
      <c r="AV65" s="71">
        <f>IF(AV$8=0,0,INDEX('R&amp;B Inputs'!$I$27:$V$27,MATCH($B65,'R&amp;B Inputs'!$I$4:$V$4,0))+INDEX('R&amp;B Inputs'!$I$28:$V$28,MATCH($B65,'R&amp;B Inputs'!$I$4:$V$4,0)))</f>
        <v>666</v>
      </c>
      <c r="AW65" s="71">
        <f>IF(AW$8=0,0,INDEX('R&amp;B Inputs'!$I$27:$V$27,MATCH($B65,'R&amp;B Inputs'!$I$4:$V$4,0))+INDEX('R&amp;B Inputs'!$I$28:$V$28,MATCH($B65,'R&amp;B Inputs'!$I$4:$V$4,0)))</f>
        <v>666</v>
      </c>
      <c r="AX65" s="71">
        <f>IF(AX$8=0,0,INDEX('R&amp;B Inputs'!$I$27:$V$27,MATCH($B65,'R&amp;B Inputs'!$I$4:$V$4,0))+INDEX('R&amp;B Inputs'!$I$28:$V$28,MATCH($B65,'R&amp;B Inputs'!$I$4:$V$4,0)))</f>
        <v>666</v>
      </c>
      <c r="AY65" s="71">
        <f>IF(AY$8=0,0,INDEX('R&amp;B Inputs'!$I$27:$V$27,MATCH($B65,'R&amp;B Inputs'!$I$4:$V$4,0))+INDEX('R&amp;B Inputs'!$I$28:$V$28,MATCH($B65,'R&amp;B Inputs'!$I$4:$V$4,0)))</f>
        <v>666</v>
      </c>
      <c r="AZ65" s="71">
        <f>IF(AZ$8=0,0,INDEX('R&amp;B Inputs'!$I$27:$V$27,MATCH($B65,'R&amp;B Inputs'!$I$4:$V$4,0))+INDEX('R&amp;B Inputs'!$I$28:$V$28,MATCH($B65,'R&amp;B Inputs'!$I$4:$V$4,0)))</f>
        <v>666</v>
      </c>
      <c r="BA65" s="71">
        <f>IF(BA$8=0,0,INDEX('R&amp;B Inputs'!$I$27:$V$27,MATCH($B65,'R&amp;B Inputs'!$I$4:$V$4,0))+INDEX('R&amp;B Inputs'!$I$28:$V$28,MATCH($B65,'R&amp;B Inputs'!$I$4:$V$4,0)))</f>
        <v>666</v>
      </c>
      <c r="BB65" s="71">
        <f>IF(BB$8=0,0,INDEX('R&amp;B Inputs'!$I$27:$V$27,MATCH($B65,'R&amp;B Inputs'!$I$4:$V$4,0))+INDEX('R&amp;B Inputs'!$I$28:$V$28,MATCH($B65,'R&amp;B Inputs'!$I$4:$V$4,0)))</f>
        <v>666</v>
      </c>
      <c r="BC65" s="71">
        <f>IF(BC$8=0,0,INDEX('R&amp;B Inputs'!$I$27:$V$27,MATCH($B65,'R&amp;B Inputs'!$I$4:$V$4,0))+INDEX('R&amp;B Inputs'!$I$28:$V$28,MATCH($B65,'R&amp;B Inputs'!$I$4:$V$4,0)))</f>
        <v>666</v>
      </c>
      <c r="BD65" s="71">
        <f>IF(BD$8=0,0,INDEX('R&amp;B Inputs'!$I$27:$V$27,MATCH($B65,'R&amp;B Inputs'!$I$4:$V$4,0))+INDEX('R&amp;B Inputs'!$I$28:$V$28,MATCH($B65,'R&amp;B Inputs'!$I$4:$V$4,0)))</f>
        <v>666</v>
      </c>
      <c r="BE65" s="71">
        <f>IF(BE$8=0,0,INDEX('R&amp;B Inputs'!$I$27:$V$27,MATCH($B65,'R&amp;B Inputs'!$I$4:$V$4,0))+INDEX('R&amp;B Inputs'!$I$28:$V$28,MATCH($B65,'R&amp;B Inputs'!$I$4:$V$4,0)))</f>
        <v>666</v>
      </c>
      <c r="BF65" s="71">
        <f>IF(BF$8=0,0,INDEX('R&amp;B Inputs'!$I$27:$V$27,MATCH($B65,'R&amp;B Inputs'!$I$4:$V$4,0))+INDEX('R&amp;B Inputs'!$I$28:$V$28,MATCH($B65,'R&amp;B Inputs'!$I$4:$V$4,0)))</f>
        <v>666</v>
      </c>
      <c r="BG65" s="71">
        <f>IF(BG$8=0,0,INDEX('R&amp;B Inputs'!$I$27:$V$27,MATCH($B65,'R&amp;B Inputs'!$I$4:$V$4,0))+INDEX('R&amp;B Inputs'!$I$28:$V$28,MATCH($B65,'R&amp;B Inputs'!$I$4:$V$4,0)))</f>
        <v>666</v>
      </c>
      <c r="BH65" s="71">
        <f>IF(BH$8=0,0,INDEX('R&amp;B Inputs'!$I$27:$V$27,MATCH($B65,'R&amp;B Inputs'!$I$4:$V$4,0))+INDEX('R&amp;B Inputs'!$I$28:$V$28,MATCH($B65,'R&amp;B Inputs'!$I$4:$V$4,0)))</f>
        <v>666</v>
      </c>
      <c r="BI65" s="71">
        <f>IF(BI$8=0,0,INDEX('R&amp;B Inputs'!$I$27:$V$27,MATCH($B65,'R&amp;B Inputs'!$I$4:$V$4,0))+INDEX('R&amp;B Inputs'!$I$28:$V$28,MATCH($B65,'R&amp;B Inputs'!$I$4:$V$4,0)))</f>
        <v>666</v>
      </c>
      <c r="BJ65" s="71">
        <f>IF(BJ$8=0,0,INDEX('R&amp;B Inputs'!$I$27:$V$27,MATCH($B65,'R&amp;B Inputs'!$I$4:$V$4,0))+INDEX('R&amp;B Inputs'!$I$28:$V$28,MATCH($B65,'R&amp;B Inputs'!$I$4:$V$4,0)))</f>
        <v>666</v>
      </c>
      <c r="BK65" s="71">
        <f>IF(BK$8=0,0,INDEX('R&amp;B Inputs'!$I$27:$V$27,MATCH($B65,'R&amp;B Inputs'!$I$4:$V$4,0))+INDEX('R&amp;B Inputs'!$I$28:$V$28,MATCH($B65,'R&amp;B Inputs'!$I$4:$V$4,0)))</f>
        <v>666</v>
      </c>
      <c r="BL65" s="71">
        <f>IF(BL$8=0,0,INDEX('R&amp;B Inputs'!$I$27:$V$27,MATCH($B65,'R&amp;B Inputs'!$I$4:$V$4,0))+INDEX('R&amp;B Inputs'!$I$28:$V$28,MATCH($B65,'R&amp;B Inputs'!$I$4:$V$4,0)))</f>
        <v>666</v>
      </c>
      <c r="BM65" s="71">
        <f>IF(BM$8=0,0,INDEX('R&amp;B Inputs'!$I$27:$V$27,MATCH($B65,'R&amp;B Inputs'!$I$4:$V$4,0))+INDEX('R&amp;B Inputs'!$I$28:$V$28,MATCH($B65,'R&amp;B Inputs'!$I$4:$V$4,0)))</f>
        <v>666</v>
      </c>
      <c r="BN65" s="71"/>
      <c r="BO65" s="71"/>
      <c r="BP65" s="149"/>
      <c r="BS65" s="76" t="s">
        <v>96</v>
      </c>
      <c r="BT65" s="51" t="s">
        <v>17</v>
      </c>
    </row>
    <row r="66" spans="1:72" x14ac:dyDescent="0.25">
      <c r="B66" s="243" t="str">
        <f t="shared" si="49"/>
        <v>Residential</v>
      </c>
      <c r="C66" s="243" t="str">
        <f t="shared" si="49"/>
        <v>Bills</v>
      </c>
      <c r="D66" s="244" t="str">
        <f>D65</f>
        <v>Bills before DSM (No EE Scenario, Non-Participant)</v>
      </c>
      <c r="E66" s="84" t="s">
        <v>77</v>
      </c>
      <c r="F66" s="84" t="s">
        <v>32</v>
      </c>
      <c r="G66" s="103">
        <f>G64+G65*(G42-G41)</f>
        <v>944.43719999999973</v>
      </c>
      <c r="H66" s="103">
        <f>H64+H65*(H42-H41)</f>
        <v>944.43719999999973</v>
      </c>
      <c r="I66" s="103">
        <f t="shared" ref="I66:AG66" si="53">I64+I65*(I42-I41)</f>
        <v>944.43719999999973</v>
      </c>
      <c r="J66" s="103">
        <f t="shared" si="53"/>
        <v>944.43719999999973</v>
      </c>
      <c r="K66" s="103">
        <f t="shared" si="53"/>
        <v>944.43719999999973</v>
      </c>
      <c r="L66" s="103">
        <f t="shared" si="53"/>
        <v>944.43719999999973</v>
      </c>
      <c r="M66" s="103">
        <f t="shared" si="53"/>
        <v>944.43719999999973</v>
      </c>
      <c r="N66" s="103">
        <f t="shared" si="53"/>
        <v>944.43719999999973</v>
      </c>
      <c r="O66" s="103">
        <f t="shared" si="53"/>
        <v>944.43719999999973</v>
      </c>
      <c r="P66" s="103">
        <f t="shared" si="53"/>
        <v>944.43719999999973</v>
      </c>
      <c r="Q66" s="103">
        <f t="shared" si="53"/>
        <v>944.43719999999973</v>
      </c>
      <c r="R66" s="103">
        <f t="shared" si="53"/>
        <v>944.43719999999973</v>
      </c>
      <c r="S66" s="103">
        <f t="shared" si="53"/>
        <v>944.43719999999973</v>
      </c>
      <c r="T66" s="103">
        <f t="shared" si="53"/>
        <v>944.43719999999973</v>
      </c>
      <c r="U66" s="103">
        <f t="shared" si="53"/>
        <v>944.43719999999973</v>
      </c>
      <c r="V66" s="103">
        <f t="shared" si="53"/>
        <v>944.43719999999973</v>
      </c>
      <c r="W66" s="103">
        <f t="shared" si="53"/>
        <v>944.43719999999973</v>
      </c>
      <c r="X66" s="103">
        <f t="shared" si="53"/>
        <v>944.43719999999973</v>
      </c>
      <c r="Y66" s="103">
        <f t="shared" si="53"/>
        <v>944.43719999999973</v>
      </c>
      <c r="Z66" s="103">
        <f t="shared" si="53"/>
        <v>944.43719999999973</v>
      </c>
      <c r="AA66" s="103">
        <f t="shared" si="53"/>
        <v>944.43719999999973</v>
      </c>
      <c r="AB66" s="103">
        <f t="shared" si="53"/>
        <v>944.43719999999973</v>
      </c>
      <c r="AC66" s="103">
        <f t="shared" si="53"/>
        <v>944.43719999999973</v>
      </c>
      <c r="AD66" s="103">
        <f t="shared" si="53"/>
        <v>944.43719999999973</v>
      </c>
      <c r="AE66" s="103">
        <f t="shared" si="53"/>
        <v>944.43719999999973</v>
      </c>
      <c r="AF66" s="103">
        <f t="shared" si="53"/>
        <v>944.43719999999973</v>
      </c>
      <c r="AG66" s="103">
        <f t="shared" si="53"/>
        <v>944.43719999999973</v>
      </c>
      <c r="AH66" s="103"/>
      <c r="AI66" s="103"/>
      <c r="AJ66" s="720">
        <f>IF($C$4=Year1,-PMT(Lookups!$E$17,25,NPV(Lookups!$E$17,G66:AE66),0,1),IF($C$4=Year2,-PMT(Lookups!$F$17,25,NPV(Lookups!$F$17,H66:AF66),0,1),IF($C$4=Year3,-PMT(Lookups!$G$17,25,NPV(Lookups!$G$17,I66:AG66),0,1),-PMT(Lookups!$G$17,27,NPV(Lookups!$G$17,G66:AG66),0,1))))</f>
        <v>931.26538820338953</v>
      </c>
      <c r="AM66" s="149">
        <f>AM64+AM65*(AM42-AM41)</f>
        <v>944.43719999999973</v>
      </c>
      <c r="AN66" s="149">
        <f>AN64+AN65*(AN42-AN41)</f>
        <v>944.43719999999973</v>
      </c>
      <c r="AO66" s="149">
        <f t="shared" ref="AO66:BM66" si="54">AO64+AO65*(AO42-AO41)</f>
        <v>944.43719999999973</v>
      </c>
      <c r="AP66" s="149">
        <f t="shared" si="54"/>
        <v>944.43719999999973</v>
      </c>
      <c r="AQ66" s="149">
        <f t="shared" si="54"/>
        <v>944.43719999999973</v>
      </c>
      <c r="AR66" s="149">
        <f t="shared" si="54"/>
        <v>944.43719999999973</v>
      </c>
      <c r="AS66" s="149">
        <f t="shared" si="54"/>
        <v>944.43719999999973</v>
      </c>
      <c r="AT66" s="149">
        <f t="shared" si="54"/>
        <v>944.43719999999973</v>
      </c>
      <c r="AU66" s="149">
        <f t="shared" si="54"/>
        <v>944.43719999999973</v>
      </c>
      <c r="AV66" s="149">
        <f t="shared" si="54"/>
        <v>944.43719999999973</v>
      </c>
      <c r="AW66" s="149">
        <f t="shared" si="54"/>
        <v>944.43719999999973</v>
      </c>
      <c r="AX66" s="149">
        <f t="shared" si="54"/>
        <v>944.43719999999973</v>
      </c>
      <c r="AY66" s="149">
        <f t="shared" si="54"/>
        <v>944.43719999999973</v>
      </c>
      <c r="AZ66" s="149">
        <f t="shared" si="54"/>
        <v>944.43719999999973</v>
      </c>
      <c r="BA66" s="149">
        <f t="shared" si="54"/>
        <v>944.43719999999973</v>
      </c>
      <c r="BB66" s="149">
        <f t="shared" si="54"/>
        <v>944.43719999999973</v>
      </c>
      <c r="BC66" s="149">
        <f t="shared" si="54"/>
        <v>944.43719999999973</v>
      </c>
      <c r="BD66" s="149">
        <f t="shared" si="54"/>
        <v>944.43719999999973</v>
      </c>
      <c r="BE66" s="149">
        <f t="shared" si="54"/>
        <v>944.43719999999973</v>
      </c>
      <c r="BF66" s="149">
        <f t="shared" si="54"/>
        <v>944.43719999999973</v>
      </c>
      <c r="BG66" s="149">
        <f t="shared" si="54"/>
        <v>944.43719999999973</v>
      </c>
      <c r="BH66" s="149">
        <f t="shared" si="54"/>
        <v>944.43719999999973</v>
      </c>
      <c r="BI66" s="149">
        <f t="shared" si="54"/>
        <v>944.43719999999973</v>
      </c>
      <c r="BJ66" s="149">
        <f t="shared" si="54"/>
        <v>944.43719999999973</v>
      </c>
      <c r="BK66" s="149">
        <f t="shared" si="54"/>
        <v>944.43719999999973</v>
      </c>
      <c r="BL66" s="149">
        <f t="shared" si="54"/>
        <v>944.43719999999973</v>
      </c>
      <c r="BM66" s="149">
        <f t="shared" si="54"/>
        <v>944.43719999999973</v>
      </c>
      <c r="BN66" s="149"/>
      <c r="BO66" s="149"/>
      <c r="BP66" s="149">
        <f>IF($C$4=Year1,-PMT(Lookups!$E$17,25,NPV(Lookups!$E$17,AM66:BK66),0,1),IF($C$4=Year2,-PMT(Lookups!$F$17,25,NPV(Lookups!$F$17,AN66:BL66),0,1),IF($C$4=Year3,-PMT(Lookups!$G$17,25,NPV(Lookups!$G$17,AO66:BM66),0,1),-PMT(Lookups!$G$17,27,NPV(Lookups!$G$17,AM66:BM66),0,1))))</f>
        <v>931.26538820338953</v>
      </c>
      <c r="BS66" s="84" t="s">
        <v>97</v>
      </c>
      <c r="BT66" s="51" t="s">
        <v>17</v>
      </c>
    </row>
    <row r="67" spans="1:72" x14ac:dyDescent="0.25">
      <c r="B67" s="243" t="str">
        <f t="shared" si="49"/>
        <v>Residential</v>
      </c>
      <c r="C67" s="243" t="str">
        <f t="shared" si="49"/>
        <v>Bills</v>
      </c>
      <c r="D67" s="114" t="s">
        <v>347</v>
      </c>
      <c r="E67" s="84"/>
      <c r="F67" s="84"/>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720"/>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S67" s="84"/>
      <c r="BT67" s="51" t="s">
        <v>17</v>
      </c>
    </row>
    <row r="68" spans="1:72" x14ac:dyDescent="0.25">
      <c r="B68" s="243" t="str">
        <f t="shared" si="49"/>
        <v>Residential</v>
      </c>
      <c r="C68" s="243" t="str">
        <f t="shared" si="49"/>
        <v>Bills</v>
      </c>
      <c r="D68" s="244" t="str">
        <f>D67</f>
        <v>Annual Savings from DSM Scenario</v>
      </c>
      <c r="E68" s="84" t="s">
        <v>78</v>
      </c>
      <c r="F68" s="84" t="s">
        <v>195</v>
      </c>
      <c r="G68" s="65">
        <f t="shared" ref="G68:AG68" ca="1" si="55">IFERROR(G16/G11,0)</f>
        <v>5.2381416880609697</v>
      </c>
      <c r="H68" s="65">
        <f t="shared" ca="1" si="55"/>
        <v>5.2381416880609697</v>
      </c>
      <c r="I68" s="65">
        <f t="shared" ca="1" si="55"/>
        <v>5.2381416880609697</v>
      </c>
      <c r="J68" s="65">
        <f t="shared" ca="1" si="55"/>
        <v>5.2381416880609697</v>
      </c>
      <c r="K68" s="65">
        <f t="shared" ca="1" si="55"/>
        <v>5.2381416880609697</v>
      </c>
      <c r="L68" s="65">
        <f t="shared" ca="1" si="55"/>
        <v>5.2381416880609697</v>
      </c>
      <c r="M68" s="65">
        <f t="shared" ca="1" si="55"/>
        <v>5.2381416880609697</v>
      </c>
      <c r="N68" s="65">
        <f t="shared" ca="1" si="55"/>
        <v>5.2381416880609697</v>
      </c>
      <c r="O68" s="65">
        <f t="shared" ca="1" si="55"/>
        <v>5.2381416880609697</v>
      </c>
      <c r="P68" s="65">
        <f t="shared" ca="1" si="55"/>
        <v>5.2381416880609697</v>
      </c>
      <c r="Q68" s="65">
        <f t="shared" ca="1" si="55"/>
        <v>5.2381416880609697</v>
      </c>
      <c r="R68" s="65">
        <f t="shared" ca="1" si="55"/>
        <v>5.2381416880609697</v>
      </c>
      <c r="S68" s="65">
        <f t="shared" ca="1" si="55"/>
        <v>5.2381416880609697</v>
      </c>
      <c r="T68" s="65">
        <f t="shared" ca="1" si="55"/>
        <v>5.2381416880609697</v>
      </c>
      <c r="U68" s="65">
        <f t="shared" ca="1" si="55"/>
        <v>5.2381416880609697</v>
      </c>
      <c r="V68" s="65">
        <f t="shared" ca="1" si="55"/>
        <v>0</v>
      </c>
      <c r="W68" s="65">
        <f t="shared" ca="1" si="55"/>
        <v>0</v>
      </c>
      <c r="X68" s="65">
        <f t="shared" ca="1" si="55"/>
        <v>0</v>
      </c>
      <c r="Y68" s="65">
        <f t="shared" ca="1" si="55"/>
        <v>0</v>
      </c>
      <c r="Z68" s="65">
        <f t="shared" ca="1" si="55"/>
        <v>0</v>
      </c>
      <c r="AA68" s="65">
        <f t="shared" ca="1" si="55"/>
        <v>0</v>
      </c>
      <c r="AB68" s="65">
        <f t="shared" ca="1" si="55"/>
        <v>0</v>
      </c>
      <c r="AC68" s="65">
        <f t="shared" ca="1" si="55"/>
        <v>0</v>
      </c>
      <c r="AD68" s="65">
        <f t="shared" ca="1" si="55"/>
        <v>0</v>
      </c>
      <c r="AE68" s="65">
        <f t="shared" ca="1" si="55"/>
        <v>0</v>
      </c>
      <c r="AF68" s="65">
        <f t="shared" ca="1" si="55"/>
        <v>0</v>
      </c>
      <c r="AG68" s="65">
        <f t="shared" ca="1" si="55"/>
        <v>0</v>
      </c>
      <c r="AH68" s="65"/>
      <c r="AI68" s="65"/>
      <c r="AJ68" s="720"/>
      <c r="AM68" s="645">
        <f ca="1">IFERROR(AM16/AM11,0)</f>
        <v>5.9864476434982512</v>
      </c>
      <c r="AN68" s="645">
        <f t="shared" ref="AN68:BM68" ca="1" si="56">IFERROR(AN16/AN11,0)</f>
        <v>5.9864476434982512</v>
      </c>
      <c r="AO68" s="645">
        <f t="shared" ca="1" si="56"/>
        <v>5.9864476434982512</v>
      </c>
      <c r="AP68" s="645">
        <f t="shared" ca="1" si="56"/>
        <v>5.9864476434982512</v>
      </c>
      <c r="AQ68" s="645">
        <f t="shared" ca="1" si="56"/>
        <v>5.9864476434982512</v>
      </c>
      <c r="AR68" s="645">
        <f t="shared" ca="1" si="56"/>
        <v>5.9864476434982512</v>
      </c>
      <c r="AS68" s="645">
        <f t="shared" ca="1" si="56"/>
        <v>5.9864476434982512</v>
      </c>
      <c r="AT68" s="645">
        <f t="shared" ca="1" si="56"/>
        <v>5.9864476434982512</v>
      </c>
      <c r="AU68" s="645">
        <f t="shared" ca="1" si="56"/>
        <v>5.9864476434982512</v>
      </c>
      <c r="AV68" s="645">
        <f t="shared" ca="1" si="56"/>
        <v>5.9864476434982512</v>
      </c>
      <c r="AW68" s="645">
        <f t="shared" ca="1" si="56"/>
        <v>5.9864476434982512</v>
      </c>
      <c r="AX68" s="645">
        <f t="shared" ca="1" si="56"/>
        <v>5.9864476434982512</v>
      </c>
      <c r="AY68" s="645">
        <f t="shared" ca="1" si="56"/>
        <v>5.9864476434982512</v>
      </c>
      <c r="AZ68" s="645">
        <f t="shared" ca="1" si="56"/>
        <v>5.9864476434982512</v>
      </c>
      <c r="BA68" s="645">
        <f t="shared" ca="1" si="56"/>
        <v>5.9864476434982512</v>
      </c>
      <c r="BB68" s="645">
        <f t="shared" ca="1" si="56"/>
        <v>0</v>
      </c>
      <c r="BC68" s="645">
        <f t="shared" ca="1" si="56"/>
        <v>0</v>
      </c>
      <c r="BD68" s="645">
        <f t="shared" ca="1" si="56"/>
        <v>0</v>
      </c>
      <c r="BE68" s="645">
        <f t="shared" ca="1" si="56"/>
        <v>0</v>
      </c>
      <c r="BF68" s="645">
        <f t="shared" ca="1" si="56"/>
        <v>0</v>
      </c>
      <c r="BG68" s="645">
        <f t="shared" ca="1" si="56"/>
        <v>0</v>
      </c>
      <c r="BH68" s="645">
        <f t="shared" ca="1" si="56"/>
        <v>0</v>
      </c>
      <c r="BI68" s="645">
        <f t="shared" ca="1" si="56"/>
        <v>0</v>
      </c>
      <c r="BJ68" s="645">
        <f t="shared" ca="1" si="56"/>
        <v>0</v>
      </c>
      <c r="BK68" s="645">
        <f t="shared" ca="1" si="56"/>
        <v>0</v>
      </c>
      <c r="BL68" s="645">
        <f t="shared" ca="1" si="56"/>
        <v>0</v>
      </c>
      <c r="BM68" s="645">
        <f t="shared" ca="1" si="56"/>
        <v>0</v>
      </c>
      <c r="BN68" s="71"/>
      <c r="BO68" s="71"/>
      <c r="BP68" s="71"/>
      <c r="BS68" s="84" t="s">
        <v>104</v>
      </c>
      <c r="BT68" s="51" t="s">
        <v>17</v>
      </c>
    </row>
    <row r="69" spans="1:72" x14ac:dyDescent="0.25">
      <c r="A69" s="246"/>
      <c r="B69" s="243" t="str">
        <f t="shared" si="49"/>
        <v>Residential</v>
      </c>
      <c r="C69" s="243" t="str">
        <f t="shared" si="49"/>
        <v>Bills</v>
      </c>
      <c r="D69" s="244" t="str">
        <f>D68</f>
        <v>Annual Savings from DSM Scenario</v>
      </c>
      <c r="E69" s="84" t="str">
        <f>'EE Inputs'!$N$15&amp;" Participant"</f>
        <v>Low Savings Participant</v>
      </c>
      <c r="F69" s="84" t="s">
        <v>195</v>
      </c>
      <c r="G69" s="64" cm="1">
        <f t="array" aca="1" ref="G69" ca="1">IF($C$4=Lookups!$D$40,INDIRECT("'Yr1'!"&amp;ADDRESS(ROW(G69),COLUMN(G69))),
IF(G12=0,0,SUMIFS('EE Inputs'!$S$9:$S$32,'EE Inputs'!$C$9:$C$32,$G$6,'EE Inputs'!$D$9:$D$32,$C$4,'EE Inputs'!$E$9:$E$32,$B69)))</f>
        <v>6.66</v>
      </c>
      <c r="H69" s="64" cm="1">
        <f t="array" aca="1" ref="H69" ca="1">IF($C$4=Lookups!$D$40,INDIRECT("'Yr1'!"&amp;ADDRESS(ROW(H69),COLUMN(H69))),
IF(H12=0,0,SUMIFS('EE Inputs'!$S$9:$S$32,'EE Inputs'!$C$9:$C$32,$G$6,'EE Inputs'!$D$9:$D$32,$C$4,'EE Inputs'!$E$9:$E$32,$B69)))</f>
        <v>6.66</v>
      </c>
      <c r="I69" s="64" cm="1">
        <f t="array" aca="1" ref="I69" ca="1">IF($C$4=Lookups!$D$40,INDIRECT("'Yr1'!"&amp;ADDRESS(ROW(I69),COLUMN(I69))),
IF(I12=0,0,SUMIFS('EE Inputs'!$S$9:$S$32,'EE Inputs'!$C$9:$C$32,$G$6,'EE Inputs'!$D$9:$D$32,$C$4,'EE Inputs'!$E$9:$E$32,$B69)))</f>
        <v>6.66</v>
      </c>
      <c r="J69" s="64" cm="1">
        <f t="array" aca="1" ref="J69" ca="1">IF($C$4=Lookups!$D$40,INDIRECT("'Yr1'!"&amp;ADDRESS(ROW(J69),COLUMN(J69))),
IF(J12=0,0,SUMIFS('EE Inputs'!$S$9:$S$32,'EE Inputs'!$C$9:$C$32,$G$6,'EE Inputs'!$D$9:$D$32,$C$4,'EE Inputs'!$E$9:$E$32,$B69)))</f>
        <v>6.66</v>
      </c>
      <c r="K69" s="64" cm="1">
        <f t="array" aca="1" ref="K69" ca="1">IF($C$4=Lookups!$D$40,INDIRECT("'Yr1'!"&amp;ADDRESS(ROW(K69),COLUMN(K69))),
IF(K12=0,0,SUMIFS('EE Inputs'!$S$9:$S$32,'EE Inputs'!$C$9:$C$32,$G$6,'EE Inputs'!$D$9:$D$32,$C$4,'EE Inputs'!$E$9:$E$32,$B69)))</f>
        <v>6.66</v>
      </c>
      <c r="L69" s="64" cm="1">
        <f t="array" aca="1" ref="L69" ca="1">IF($C$4=Lookups!$D$40,INDIRECT("'Yr1'!"&amp;ADDRESS(ROW(L69),COLUMN(L69))),
IF(L12=0,0,SUMIFS('EE Inputs'!$S$9:$S$32,'EE Inputs'!$C$9:$C$32,$G$6,'EE Inputs'!$D$9:$D$32,$C$4,'EE Inputs'!$E$9:$E$32,$B69)))</f>
        <v>6.66</v>
      </c>
      <c r="M69" s="64" cm="1">
        <f t="array" aca="1" ref="M69" ca="1">IF($C$4=Lookups!$D$40,INDIRECT("'Yr1'!"&amp;ADDRESS(ROW(M69),COLUMN(M69))),
IF(M12=0,0,SUMIFS('EE Inputs'!$S$9:$S$32,'EE Inputs'!$C$9:$C$32,$G$6,'EE Inputs'!$D$9:$D$32,$C$4,'EE Inputs'!$E$9:$E$32,$B69)))</f>
        <v>6.66</v>
      </c>
      <c r="N69" s="64" cm="1">
        <f t="array" aca="1" ref="N69" ca="1">IF($C$4=Lookups!$D$40,INDIRECT("'Yr1'!"&amp;ADDRESS(ROW(N69),COLUMN(N69))),
IF(N12=0,0,SUMIFS('EE Inputs'!$S$9:$S$32,'EE Inputs'!$C$9:$C$32,$G$6,'EE Inputs'!$D$9:$D$32,$C$4,'EE Inputs'!$E$9:$E$32,$B69)))</f>
        <v>6.66</v>
      </c>
      <c r="O69" s="64" cm="1">
        <f t="array" aca="1" ref="O69" ca="1">IF($C$4=Lookups!$D$40,INDIRECT("'Yr1'!"&amp;ADDRESS(ROW(O69),COLUMN(O69))),
IF(O12=0,0,SUMIFS('EE Inputs'!$S$9:$S$32,'EE Inputs'!$C$9:$C$32,$G$6,'EE Inputs'!$D$9:$D$32,$C$4,'EE Inputs'!$E$9:$E$32,$B69)))</f>
        <v>6.66</v>
      </c>
      <c r="P69" s="64" cm="1">
        <f t="array" aca="1" ref="P69" ca="1">IF($C$4=Lookups!$D$40,INDIRECT("'Yr1'!"&amp;ADDRESS(ROW(P69),COLUMN(P69))),
IF(P12=0,0,SUMIFS('EE Inputs'!$S$9:$S$32,'EE Inputs'!$C$9:$C$32,$G$6,'EE Inputs'!$D$9:$D$32,$C$4,'EE Inputs'!$E$9:$E$32,$B69)))</f>
        <v>6.66</v>
      </c>
      <c r="Q69" s="64" cm="1">
        <f t="array" aca="1" ref="Q69" ca="1">IF($C$4=Lookups!$D$40,INDIRECT("'Yr1'!"&amp;ADDRESS(ROW(Q69),COLUMN(Q69))),
IF(Q12=0,0,SUMIFS('EE Inputs'!$S$9:$S$32,'EE Inputs'!$C$9:$C$32,$G$6,'EE Inputs'!$D$9:$D$32,$C$4,'EE Inputs'!$E$9:$E$32,$B69)))</f>
        <v>6.66</v>
      </c>
      <c r="R69" s="64" cm="1">
        <f t="array" aca="1" ref="R69" ca="1">IF($C$4=Lookups!$D$40,INDIRECT("'Yr1'!"&amp;ADDRESS(ROW(R69),COLUMN(R69))),
IF(R12=0,0,SUMIFS('EE Inputs'!$S$9:$S$32,'EE Inputs'!$C$9:$C$32,$G$6,'EE Inputs'!$D$9:$D$32,$C$4,'EE Inputs'!$E$9:$E$32,$B69)))</f>
        <v>6.66</v>
      </c>
      <c r="S69" s="64" cm="1">
        <f t="array" aca="1" ref="S69" ca="1">IF($C$4=Lookups!$D$40,INDIRECT("'Yr1'!"&amp;ADDRESS(ROW(S69),COLUMN(S69))),
IF(S12=0,0,SUMIFS('EE Inputs'!$S$9:$S$32,'EE Inputs'!$C$9:$C$32,$G$6,'EE Inputs'!$D$9:$D$32,$C$4,'EE Inputs'!$E$9:$E$32,$B69)))</f>
        <v>6.66</v>
      </c>
      <c r="T69" s="64" cm="1">
        <f t="array" aca="1" ref="T69" ca="1">IF($C$4=Lookups!$D$40,INDIRECT("'Yr1'!"&amp;ADDRESS(ROW(T69),COLUMN(T69))),
IF(T12=0,0,SUMIFS('EE Inputs'!$S$9:$S$32,'EE Inputs'!$C$9:$C$32,$G$6,'EE Inputs'!$D$9:$D$32,$C$4,'EE Inputs'!$E$9:$E$32,$B69)))</f>
        <v>6.66</v>
      </c>
      <c r="U69" s="64" cm="1">
        <f t="array" aca="1" ref="U69" ca="1">IF($C$4=Lookups!$D$40,INDIRECT("'Yr1'!"&amp;ADDRESS(ROW(U69),COLUMN(U69))),
IF(U12=0,0,SUMIFS('EE Inputs'!$S$9:$S$32,'EE Inputs'!$C$9:$C$32,$G$6,'EE Inputs'!$D$9:$D$32,$C$4,'EE Inputs'!$E$9:$E$32,$B69)))</f>
        <v>6.66</v>
      </c>
      <c r="V69" s="64" cm="1">
        <f t="array" aca="1" ref="V69" ca="1">IF($C$4=Lookups!$D$40,INDIRECT("'Yr1'!"&amp;ADDRESS(ROW(V69),COLUMN(V69))),
IF(V12=0,0,SUMIFS('EE Inputs'!$S$9:$S$32,'EE Inputs'!$C$9:$C$32,$G$6,'EE Inputs'!$D$9:$D$32,$C$4,'EE Inputs'!$E$9:$E$32,$B69)))</f>
        <v>0</v>
      </c>
      <c r="W69" s="64" cm="1">
        <f t="array" aca="1" ref="W69" ca="1">IF($C$4=Lookups!$D$40,INDIRECT("'Yr1'!"&amp;ADDRESS(ROW(W69),COLUMN(W69))),
IF(W12=0,0,SUMIFS('EE Inputs'!$S$9:$S$32,'EE Inputs'!$C$9:$C$32,$G$6,'EE Inputs'!$D$9:$D$32,$C$4,'EE Inputs'!$E$9:$E$32,$B69)))</f>
        <v>0</v>
      </c>
      <c r="X69" s="64" cm="1">
        <f t="array" aca="1" ref="X69" ca="1">IF($C$4=Lookups!$D$40,INDIRECT("'Yr1'!"&amp;ADDRESS(ROW(X69),COLUMN(X69))),
IF(X12=0,0,SUMIFS('EE Inputs'!$S$9:$S$32,'EE Inputs'!$C$9:$C$32,$G$6,'EE Inputs'!$D$9:$D$32,$C$4,'EE Inputs'!$E$9:$E$32,$B69)))</f>
        <v>0</v>
      </c>
      <c r="Y69" s="64" cm="1">
        <f t="array" aca="1" ref="Y69" ca="1">IF($C$4=Lookups!$D$40,INDIRECT("'Yr1'!"&amp;ADDRESS(ROW(Y69),COLUMN(Y69))),
IF(Y12=0,0,SUMIFS('EE Inputs'!$S$9:$S$32,'EE Inputs'!$C$9:$C$32,$G$6,'EE Inputs'!$D$9:$D$32,$C$4,'EE Inputs'!$E$9:$E$32,$B69)))</f>
        <v>0</v>
      </c>
      <c r="Z69" s="64" cm="1">
        <f t="array" aca="1" ref="Z69" ca="1">IF($C$4=Lookups!$D$40,INDIRECT("'Yr1'!"&amp;ADDRESS(ROW(Z69),COLUMN(Z69))),
IF(Z12=0,0,SUMIFS('EE Inputs'!$S$9:$S$32,'EE Inputs'!$C$9:$C$32,$G$6,'EE Inputs'!$D$9:$D$32,$C$4,'EE Inputs'!$E$9:$E$32,$B69)))</f>
        <v>0</v>
      </c>
      <c r="AA69" s="64" cm="1">
        <f t="array" aca="1" ref="AA69" ca="1">IF($C$4=Lookups!$D$40,INDIRECT("'Yr1'!"&amp;ADDRESS(ROW(AA69),COLUMN(AA69))),
IF(AA12=0,0,SUMIFS('EE Inputs'!$S$9:$S$32,'EE Inputs'!$C$9:$C$32,$G$6,'EE Inputs'!$D$9:$D$32,$C$4,'EE Inputs'!$E$9:$E$32,$B69)))</f>
        <v>0</v>
      </c>
      <c r="AB69" s="64" cm="1">
        <f t="array" aca="1" ref="AB69" ca="1">IF($C$4=Lookups!$D$40,INDIRECT("'Yr1'!"&amp;ADDRESS(ROW(AB69),COLUMN(AB69))),
IF(AB12=0,0,SUMIFS('EE Inputs'!$S$9:$S$32,'EE Inputs'!$C$9:$C$32,$G$6,'EE Inputs'!$D$9:$D$32,$C$4,'EE Inputs'!$E$9:$E$32,$B69)))</f>
        <v>0</v>
      </c>
      <c r="AC69" s="64" cm="1">
        <f t="array" aca="1" ref="AC69" ca="1">IF($C$4=Lookups!$D$40,INDIRECT("'Yr1'!"&amp;ADDRESS(ROW(AC69),COLUMN(AC69))),
IF(AC12=0,0,SUMIFS('EE Inputs'!$S$9:$S$32,'EE Inputs'!$C$9:$C$32,$G$6,'EE Inputs'!$D$9:$D$32,$C$4,'EE Inputs'!$E$9:$E$32,$B69)))</f>
        <v>0</v>
      </c>
      <c r="AD69" s="64" cm="1">
        <f t="array" aca="1" ref="AD69" ca="1">IF($C$4=Lookups!$D$40,INDIRECT("'Yr1'!"&amp;ADDRESS(ROW(AD69),COLUMN(AD69))),
IF(AD12=0,0,SUMIFS('EE Inputs'!$S$9:$S$32,'EE Inputs'!$C$9:$C$32,$G$6,'EE Inputs'!$D$9:$D$32,$C$4,'EE Inputs'!$E$9:$E$32,$B69)))</f>
        <v>0</v>
      </c>
      <c r="AE69" s="64" cm="1">
        <f t="array" aca="1" ref="AE69" ca="1">IF($C$4=Lookups!$D$40,INDIRECT("'Yr1'!"&amp;ADDRESS(ROW(AE69),COLUMN(AE69))),
IF(AE12=0,0,SUMIFS('EE Inputs'!$S$9:$S$32,'EE Inputs'!$C$9:$C$32,$G$6,'EE Inputs'!$D$9:$D$32,$C$4,'EE Inputs'!$E$9:$E$32,$B69)))</f>
        <v>0</v>
      </c>
      <c r="AF69" s="64" cm="1">
        <f t="array" aca="1" ref="AF69" ca="1">IF($C$4=Lookups!$D$40,INDIRECT("'Yr1'!"&amp;ADDRESS(ROW(AF69),COLUMN(AF69))),
IF(AF12=0,0,SUMIFS('EE Inputs'!$S$9:$S$32,'EE Inputs'!$C$9:$C$32,$G$6,'EE Inputs'!$D$9:$D$32,$C$4,'EE Inputs'!$E$9:$E$32,$B69)))</f>
        <v>0</v>
      </c>
      <c r="AG69" s="64" cm="1">
        <f t="array" aca="1" ref="AG69" ca="1">IF($C$4=Lookups!$D$40,INDIRECT("'Yr1'!"&amp;ADDRESS(ROW(AG69),COLUMN(AG69))),
IF(AG12=0,0,SUMIFS('EE Inputs'!$S$9:$S$32,'EE Inputs'!$C$9:$C$32,$G$6,'EE Inputs'!$D$9:$D$32,$C$4,'EE Inputs'!$E$9:$E$32,$B69)))</f>
        <v>0</v>
      </c>
      <c r="AH69" s="64"/>
      <c r="AI69" s="64"/>
      <c r="AJ69" s="720"/>
      <c r="AM69" s="645" cm="1">
        <f t="array" aca="1" ref="AM69" ca="1">IF($C$4=Lookups!$D$40,INDIRECT("'Yr1'!"&amp;ADDRESS(ROW(AM69),COLUMN(AM69))),
IF(AM12=0,0,SUMIFS('EE Inputs'!$S$9:$S$32,'EE Inputs'!$C$9:$C$32,$AM$6,'EE Inputs'!$D$9:$D$32,$C$4,'EE Inputs'!$E$9:$E$32,$B69)))</f>
        <v>7.992</v>
      </c>
      <c r="AN69" s="645" cm="1">
        <f t="array" aca="1" ref="AN69" ca="1">IF($C$4=Lookups!$D$40,INDIRECT("'Yr1'!"&amp;ADDRESS(ROW(AN69),COLUMN(AN69))),
IF(AN12=0,0,SUMIFS('EE Inputs'!$S$9:$S$32,'EE Inputs'!$C$9:$C$32,$AM$6,'EE Inputs'!$D$9:$D$32,$C$4,'EE Inputs'!$E$9:$E$32,$B69)))</f>
        <v>7.992</v>
      </c>
      <c r="AO69" s="645" cm="1">
        <f t="array" aca="1" ref="AO69" ca="1">IF($C$4=Lookups!$D$40,INDIRECT("'Yr1'!"&amp;ADDRESS(ROW(AO69),COLUMN(AO69))),
IF(AO12=0,0,SUMIFS('EE Inputs'!$S$9:$S$32,'EE Inputs'!$C$9:$C$32,$AM$6,'EE Inputs'!$D$9:$D$32,$C$4,'EE Inputs'!$E$9:$E$32,$B69)))</f>
        <v>7.992</v>
      </c>
      <c r="AP69" s="645" cm="1">
        <f t="array" aca="1" ref="AP69" ca="1">IF($C$4=Lookups!$D$40,INDIRECT("'Yr1'!"&amp;ADDRESS(ROW(AP69),COLUMN(AP69))),
IF(AP12=0,0,SUMIFS('EE Inputs'!$S$9:$S$32,'EE Inputs'!$C$9:$C$32,$AM$6,'EE Inputs'!$D$9:$D$32,$C$4,'EE Inputs'!$E$9:$E$32,$B69)))</f>
        <v>7.992</v>
      </c>
      <c r="AQ69" s="645" cm="1">
        <f t="array" aca="1" ref="AQ69" ca="1">IF($C$4=Lookups!$D$40,INDIRECT("'Yr1'!"&amp;ADDRESS(ROW(AQ69),COLUMN(AQ69))),
IF(AQ12=0,0,SUMIFS('EE Inputs'!$S$9:$S$32,'EE Inputs'!$C$9:$C$32,$AM$6,'EE Inputs'!$D$9:$D$32,$C$4,'EE Inputs'!$E$9:$E$32,$B69)))</f>
        <v>7.992</v>
      </c>
      <c r="AR69" s="645" cm="1">
        <f t="array" aca="1" ref="AR69" ca="1">IF($C$4=Lookups!$D$40,INDIRECT("'Yr1'!"&amp;ADDRESS(ROW(AR69),COLUMN(AR69))),
IF(AR12=0,0,SUMIFS('EE Inputs'!$S$9:$S$32,'EE Inputs'!$C$9:$C$32,$AM$6,'EE Inputs'!$D$9:$D$32,$C$4,'EE Inputs'!$E$9:$E$32,$B69)))</f>
        <v>7.992</v>
      </c>
      <c r="AS69" s="645" cm="1">
        <f t="array" aca="1" ref="AS69" ca="1">IF($C$4=Lookups!$D$40,INDIRECT("'Yr1'!"&amp;ADDRESS(ROW(AS69),COLUMN(AS69))),
IF(AS12=0,0,SUMIFS('EE Inputs'!$S$9:$S$32,'EE Inputs'!$C$9:$C$32,$AM$6,'EE Inputs'!$D$9:$D$32,$C$4,'EE Inputs'!$E$9:$E$32,$B69)))</f>
        <v>7.992</v>
      </c>
      <c r="AT69" s="645" cm="1">
        <f t="array" aca="1" ref="AT69" ca="1">IF($C$4=Lookups!$D$40,INDIRECT("'Yr1'!"&amp;ADDRESS(ROW(AT69),COLUMN(AT69))),
IF(AT12=0,0,SUMIFS('EE Inputs'!$S$9:$S$32,'EE Inputs'!$C$9:$C$32,$AM$6,'EE Inputs'!$D$9:$D$32,$C$4,'EE Inputs'!$E$9:$E$32,$B69)))</f>
        <v>7.992</v>
      </c>
      <c r="AU69" s="645" cm="1">
        <f t="array" aca="1" ref="AU69" ca="1">IF($C$4=Lookups!$D$40,INDIRECT("'Yr1'!"&amp;ADDRESS(ROW(AU69),COLUMN(AU69))),
IF(AU12=0,0,SUMIFS('EE Inputs'!$S$9:$S$32,'EE Inputs'!$C$9:$C$32,$AM$6,'EE Inputs'!$D$9:$D$32,$C$4,'EE Inputs'!$E$9:$E$32,$B69)))</f>
        <v>7.992</v>
      </c>
      <c r="AV69" s="645" cm="1">
        <f t="array" aca="1" ref="AV69" ca="1">IF($C$4=Lookups!$D$40,INDIRECT("'Yr1'!"&amp;ADDRESS(ROW(AV69),COLUMN(AV69))),
IF(AV12=0,0,SUMIFS('EE Inputs'!$S$9:$S$32,'EE Inputs'!$C$9:$C$32,$AM$6,'EE Inputs'!$D$9:$D$32,$C$4,'EE Inputs'!$E$9:$E$32,$B69)))</f>
        <v>7.992</v>
      </c>
      <c r="AW69" s="645" cm="1">
        <f t="array" aca="1" ref="AW69" ca="1">IF($C$4=Lookups!$D$40,INDIRECT("'Yr1'!"&amp;ADDRESS(ROW(AW69),COLUMN(AW69))),
IF(AW12=0,0,SUMIFS('EE Inputs'!$S$9:$S$32,'EE Inputs'!$C$9:$C$32,$AM$6,'EE Inputs'!$D$9:$D$32,$C$4,'EE Inputs'!$E$9:$E$32,$B69)))</f>
        <v>7.992</v>
      </c>
      <c r="AX69" s="645" cm="1">
        <f t="array" aca="1" ref="AX69" ca="1">IF($C$4=Lookups!$D$40,INDIRECT("'Yr1'!"&amp;ADDRESS(ROW(AX69),COLUMN(AX69))),
IF(AX12=0,0,SUMIFS('EE Inputs'!$S$9:$S$32,'EE Inputs'!$C$9:$C$32,$AM$6,'EE Inputs'!$D$9:$D$32,$C$4,'EE Inputs'!$E$9:$E$32,$B69)))</f>
        <v>7.992</v>
      </c>
      <c r="AY69" s="645" cm="1">
        <f t="array" aca="1" ref="AY69" ca="1">IF($C$4=Lookups!$D$40,INDIRECT("'Yr1'!"&amp;ADDRESS(ROW(AY69),COLUMN(AY69))),
IF(AY12=0,0,SUMIFS('EE Inputs'!$S$9:$S$32,'EE Inputs'!$C$9:$C$32,$AM$6,'EE Inputs'!$D$9:$D$32,$C$4,'EE Inputs'!$E$9:$E$32,$B69)))</f>
        <v>7.992</v>
      </c>
      <c r="AZ69" s="645" cm="1">
        <f t="array" aca="1" ref="AZ69" ca="1">IF($C$4=Lookups!$D$40,INDIRECT("'Yr1'!"&amp;ADDRESS(ROW(AZ69),COLUMN(AZ69))),
IF(AZ12=0,0,SUMIFS('EE Inputs'!$S$9:$S$32,'EE Inputs'!$C$9:$C$32,$AM$6,'EE Inputs'!$D$9:$D$32,$C$4,'EE Inputs'!$E$9:$E$32,$B69)))</f>
        <v>7.992</v>
      </c>
      <c r="BA69" s="645" cm="1">
        <f t="array" aca="1" ref="BA69" ca="1">IF($C$4=Lookups!$D$40,INDIRECT("'Yr1'!"&amp;ADDRESS(ROW(BA69),COLUMN(BA69))),
IF(BA12=0,0,SUMIFS('EE Inputs'!$S$9:$S$32,'EE Inputs'!$C$9:$C$32,$AM$6,'EE Inputs'!$D$9:$D$32,$C$4,'EE Inputs'!$E$9:$E$32,$B69)))</f>
        <v>7.992</v>
      </c>
      <c r="BB69" s="645" cm="1">
        <f t="array" aca="1" ref="BB69" ca="1">IF($C$4=Lookups!$D$40,INDIRECT("'Yr1'!"&amp;ADDRESS(ROW(BB69),COLUMN(BB69))),
IF(BB12=0,0,SUMIFS('EE Inputs'!$S$9:$S$32,'EE Inputs'!$C$9:$C$32,$AM$6,'EE Inputs'!$D$9:$D$32,$C$4,'EE Inputs'!$E$9:$E$32,$B69)))</f>
        <v>0</v>
      </c>
      <c r="BC69" s="645" cm="1">
        <f t="array" aca="1" ref="BC69" ca="1">IF($C$4=Lookups!$D$40,INDIRECT("'Yr1'!"&amp;ADDRESS(ROW(BC69),COLUMN(BC69))),
IF(BC12=0,0,SUMIFS('EE Inputs'!$S$9:$S$32,'EE Inputs'!$C$9:$C$32,$AM$6,'EE Inputs'!$D$9:$D$32,$C$4,'EE Inputs'!$E$9:$E$32,$B69)))</f>
        <v>0</v>
      </c>
      <c r="BD69" s="645" cm="1">
        <f t="array" aca="1" ref="BD69" ca="1">IF($C$4=Lookups!$D$40,INDIRECT("'Yr1'!"&amp;ADDRESS(ROW(BD69),COLUMN(BD69))),
IF(BD12=0,0,SUMIFS('EE Inputs'!$S$9:$S$32,'EE Inputs'!$C$9:$C$32,$AM$6,'EE Inputs'!$D$9:$D$32,$C$4,'EE Inputs'!$E$9:$E$32,$B69)))</f>
        <v>0</v>
      </c>
      <c r="BE69" s="645" cm="1">
        <f t="array" aca="1" ref="BE69" ca="1">IF($C$4=Lookups!$D$40,INDIRECT("'Yr1'!"&amp;ADDRESS(ROW(BE69),COLUMN(BE69))),
IF(BE12=0,0,SUMIFS('EE Inputs'!$S$9:$S$32,'EE Inputs'!$C$9:$C$32,$AM$6,'EE Inputs'!$D$9:$D$32,$C$4,'EE Inputs'!$E$9:$E$32,$B69)))</f>
        <v>0</v>
      </c>
      <c r="BF69" s="645" cm="1">
        <f t="array" aca="1" ref="BF69" ca="1">IF($C$4=Lookups!$D$40,INDIRECT("'Yr1'!"&amp;ADDRESS(ROW(BF69),COLUMN(BF69))),
IF(BF12=0,0,SUMIFS('EE Inputs'!$S$9:$S$32,'EE Inputs'!$C$9:$C$32,$AM$6,'EE Inputs'!$D$9:$D$32,$C$4,'EE Inputs'!$E$9:$E$32,$B69)))</f>
        <v>0</v>
      </c>
      <c r="BG69" s="645" cm="1">
        <f t="array" aca="1" ref="BG69" ca="1">IF($C$4=Lookups!$D$40,INDIRECT("'Yr1'!"&amp;ADDRESS(ROW(BG69),COLUMN(BG69))),
IF(BG12=0,0,SUMIFS('EE Inputs'!$S$9:$S$32,'EE Inputs'!$C$9:$C$32,$AM$6,'EE Inputs'!$D$9:$D$32,$C$4,'EE Inputs'!$E$9:$E$32,$B69)))</f>
        <v>0</v>
      </c>
      <c r="BH69" s="645" cm="1">
        <f t="array" aca="1" ref="BH69" ca="1">IF($C$4=Lookups!$D$40,INDIRECT("'Yr1'!"&amp;ADDRESS(ROW(BH69),COLUMN(BH69))),
IF(BH12=0,0,SUMIFS('EE Inputs'!$S$9:$S$32,'EE Inputs'!$C$9:$C$32,$AM$6,'EE Inputs'!$D$9:$D$32,$C$4,'EE Inputs'!$E$9:$E$32,$B69)))</f>
        <v>0</v>
      </c>
      <c r="BI69" s="645" cm="1">
        <f t="array" aca="1" ref="BI69" ca="1">IF($C$4=Lookups!$D$40,INDIRECT("'Yr1'!"&amp;ADDRESS(ROW(BI69),COLUMN(BI69))),
IF(BI12=0,0,SUMIFS('EE Inputs'!$S$9:$S$32,'EE Inputs'!$C$9:$C$32,$AM$6,'EE Inputs'!$D$9:$D$32,$C$4,'EE Inputs'!$E$9:$E$32,$B69)))</f>
        <v>0</v>
      </c>
      <c r="BJ69" s="645" cm="1">
        <f t="array" aca="1" ref="BJ69" ca="1">IF($C$4=Lookups!$D$40,INDIRECT("'Yr1'!"&amp;ADDRESS(ROW(BJ69),COLUMN(BJ69))),
IF(BJ12=0,0,SUMIFS('EE Inputs'!$S$9:$S$32,'EE Inputs'!$C$9:$C$32,$AM$6,'EE Inputs'!$D$9:$D$32,$C$4,'EE Inputs'!$E$9:$E$32,$B69)))</f>
        <v>0</v>
      </c>
      <c r="BK69" s="645" cm="1">
        <f t="array" aca="1" ref="BK69" ca="1">IF($C$4=Lookups!$D$40,INDIRECT("'Yr1'!"&amp;ADDRESS(ROW(BK69),COLUMN(BK69))),
IF(BK12=0,0,SUMIFS('EE Inputs'!$S$9:$S$32,'EE Inputs'!$C$9:$C$32,$AM$6,'EE Inputs'!$D$9:$D$32,$C$4,'EE Inputs'!$E$9:$E$32,$B69)))</f>
        <v>0</v>
      </c>
      <c r="BL69" s="645" cm="1">
        <f t="array" aca="1" ref="BL69" ca="1">IF($C$4=Lookups!$D$40,INDIRECT("'Yr1'!"&amp;ADDRESS(ROW(BL69),COLUMN(BL69))),
IF(BL12=0,0,SUMIFS('EE Inputs'!$S$9:$S$32,'EE Inputs'!$C$9:$C$32,$AM$6,'EE Inputs'!$D$9:$D$32,$C$4,'EE Inputs'!$E$9:$E$32,$B69)))</f>
        <v>0</v>
      </c>
      <c r="BM69" s="645" cm="1">
        <f t="array" aca="1" ref="BM69" ca="1">IF($C$4=Lookups!$D$40,INDIRECT("'Yr1'!"&amp;ADDRESS(ROW(BM69),COLUMN(BM69))),
IF(BM12=0,0,SUMIFS('EE Inputs'!$S$9:$S$32,'EE Inputs'!$C$9:$C$32,$AM$6,'EE Inputs'!$D$9:$D$32,$C$4,'EE Inputs'!$E$9:$E$32,$B69)))</f>
        <v>0</v>
      </c>
      <c r="BN69" s="71"/>
      <c r="BO69" s="71"/>
      <c r="BP69" s="71"/>
      <c r="BS69" s="76" t="s">
        <v>96</v>
      </c>
      <c r="BT69" s="51" t="s">
        <v>17</v>
      </c>
    </row>
    <row r="70" spans="1:72" x14ac:dyDescent="0.25">
      <c r="A70" s="246"/>
      <c r="B70" s="243" t="str">
        <f t="shared" si="49"/>
        <v>Residential</v>
      </c>
      <c r="C70" s="243" t="str">
        <f t="shared" si="49"/>
        <v>Bills</v>
      </c>
      <c r="D70" s="244" t="str">
        <f t="shared" si="49"/>
        <v>Annual Savings from DSM Scenario</v>
      </c>
      <c r="E70" s="84" t="str">
        <f>'EE Inputs'!$N$16&amp;" Participant"</f>
        <v>High Savings Participant</v>
      </c>
      <c r="F70" s="84" t="s">
        <v>195</v>
      </c>
      <c r="G70" s="704" cm="1">
        <f t="array" aca="1" ref="G70" ca="1">IF($C$4=Lookups!$D$40,INDIRECT("'Yr1'!"&amp;ADDRESS(ROW(G70),COLUMN(G70))),
IF(G12=0,0,SUMIFS('EE Inputs'!$T$9:$T$32,'EE Inputs'!$C$9:$C$32,$G$6,'EE Inputs'!$D$9:$D$32,$C$4,'EE Inputs'!$E$9:$E$32,$B70)))</f>
        <v>46.620000000000005</v>
      </c>
      <c r="H70" s="704" cm="1">
        <f t="array" aca="1" ref="H70" ca="1">IF($C$4=Lookups!$D$40,INDIRECT("'Yr1'!"&amp;ADDRESS(ROW(H70),COLUMN(H70))),
IF(H12=0,0,SUMIFS('EE Inputs'!$T$9:$T$32,'EE Inputs'!$C$9:$C$32,$G$6,'EE Inputs'!$D$9:$D$32,$C$4,'EE Inputs'!$E$9:$E$32,$B70)))</f>
        <v>46.620000000000005</v>
      </c>
      <c r="I70" s="704" cm="1">
        <f t="array" aca="1" ref="I70" ca="1">IF($C$4=Lookups!$D$40,INDIRECT("'Yr1'!"&amp;ADDRESS(ROW(I70),COLUMN(I70))),
IF(I12=0,0,SUMIFS('EE Inputs'!$T$9:$T$32,'EE Inputs'!$C$9:$C$32,$G$6,'EE Inputs'!$D$9:$D$32,$C$4,'EE Inputs'!$E$9:$E$32,$B70)))</f>
        <v>46.620000000000005</v>
      </c>
      <c r="J70" s="704" cm="1">
        <f t="array" aca="1" ref="J70" ca="1">IF($C$4=Lookups!$D$40,INDIRECT("'Yr1'!"&amp;ADDRESS(ROW(J70),COLUMN(J70))),
IF(J12=0,0,SUMIFS('EE Inputs'!$T$9:$T$32,'EE Inputs'!$C$9:$C$32,$G$6,'EE Inputs'!$D$9:$D$32,$C$4,'EE Inputs'!$E$9:$E$32,$B70)))</f>
        <v>46.620000000000005</v>
      </c>
      <c r="K70" s="704" cm="1">
        <f t="array" aca="1" ref="K70" ca="1">IF($C$4=Lookups!$D$40,INDIRECT("'Yr1'!"&amp;ADDRESS(ROW(K70),COLUMN(K70))),
IF(K12=0,0,SUMIFS('EE Inputs'!$T$9:$T$32,'EE Inputs'!$C$9:$C$32,$G$6,'EE Inputs'!$D$9:$D$32,$C$4,'EE Inputs'!$E$9:$E$32,$B70)))</f>
        <v>46.620000000000005</v>
      </c>
      <c r="L70" s="704" cm="1">
        <f t="array" aca="1" ref="L70" ca="1">IF($C$4=Lookups!$D$40,INDIRECT("'Yr1'!"&amp;ADDRESS(ROW(L70),COLUMN(L70))),
IF(L12=0,0,SUMIFS('EE Inputs'!$T$9:$T$32,'EE Inputs'!$C$9:$C$32,$G$6,'EE Inputs'!$D$9:$D$32,$C$4,'EE Inputs'!$E$9:$E$32,$B70)))</f>
        <v>46.620000000000005</v>
      </c>
      <c r="M70" s="704" cm="1">
        <f t="array" aca="1" ref="M70" ca="1">IF($C$4=Lookups!$D$40,INDIRECT("'Yr1'!"&amp;ADDRESS(ROW(M70),COLUMN(M70))),
IF(M12=0,0,SUMIFS('EE Inputs'!$T$9:$T$32,'EE Inputs'!$C$9:$C$32,$G$6,'EE Inputs'!$D$9:$D$32,$C$4,'EE Inputs'!$E$9:$E$32,$B70)))</f>
        <v>46.620000000000005</v>
      </c>
      <c r="N70" s="704" cm="1">
        <f t="array" aca="1" ref="N70" ca="1">IF($C$4=Lookups!$D$40,INDIRECT("'Yr1'!"&amp;ADDRESS(ROW(N70),COLUMN(N70))),
IF(N12=0,0,SUMIFS('EE Inputs'!$T$9:$T$32,'EE Inputs'!$C$9:$C$32,$G$6,'EE Inputs'!$D$9:$D$32,$C$4,'EE Inputs'!$E$9:$E$32,$B70)))</f>
        <v>46.620000000000005</v>
      </c>
      <c r="O70" s="704" cm="1">
        <f t="array" aca="1" ref="O70" ca="1">IF($C$4=Lookups!$D$40,INDIRECT("'Yr1'!"&amp;ADDRESS(ROW(O70),COLUMN(O70))),
IF(O12=0,0,SUMIFS('EE Inputs'!$T$9:$T$32,'EE Inputs'!$C$9:$C$32,$G$6,'EE Inputs'!$D$9:$D$32,$C$4,'EE Inputs'!$E$9:$E$32,$B70)))</f>
        <v>46.620000000000005</v>
      </c>
      <c r="P70" s="704" cm="1">
        <f t="array" aca="1" ref="P70" ca="1">IF($C$4=Lookups!$D$40,INDIRECT("'Yr1'!"&amp;ADDRESS(ROW(P70),COLUMN(P70))),
IF(P12=0,0,SUMIFS('EE Inputs'!$T$9:$T$32,'EE Inputs'!$C$9:$C$32,$G$6,'EE Inputs'!$D$9:$D$32,$C$4,'EE Inputs'!$E$9:$E$32,$B70)))</f>
        <v>46.620000000000005</v>
      </c>
      <c r="Q70" s="704" cm="1">
        <f t="array" aca="1" ref="Q70" ca="1">IF($C$4=Lookups!$D$40,INDIRECT("'Yr1'!"&amp;ADDRESS(ROW(Q70),COLUMN(Q70))),
IF(Q12=0,0,SUMIFS('EE Inputs'!$T$9:$T$32,'EE Inputs'!$C$9:$C$32,$G$6,'EE Inputs'!$D$9:$D$32,$C$4,'EE Inputs'!$E$9:$E$32,$B70)))</f>
        <v>46.620000000000005</v>
      </c>
      <c r="R70" s="704" cm="1">
        <f t="array" aca="1" ref="R70" ca="1">IF($C$4=Lookups!$D$40,INDIRECT("'Yr1'!"&amp;ADDRESS(ROW(R70),COLUMN(R70))),
IF(R12=0,0,SUMIFS('EE Inputs'!$T$9:$T$32,'EE Inputs'!$C$9:$C$32,$G$6,'EE Inputs'!$D$9:$D$32,$C$4,'EE Inputs'!$E$9:$E$32,$B70)))</f>
        <v>46.620000000000005</v>
      </c>
      <c r="S70" s="704" cm="1">
        <f t="array" aca="1" ref="S70" ca="1">IF($C$4=Lookups!$D$40,INDIRECT("'Yr1'!"&amp;ADDRESS(ROW(S70),COLUMN(S70))),
IF(S12=0,0,SUMIFS('EE Inputs'!$T$9:$T$32,'EE Inputs'!$C$9:$C$32,$G$6,'EE Inputs'!$D$9:$D$32,$C$4,'EE Inputs'!$E$9:$E$32,$B70)))</f>
        <v>46.620000000000005</v>
      </c>
      <c r="T70" s="704" cm="1">
        <f t="array" aca="1" ref="T70" ca="1">IF($C$4=Lookups!$D$40,INDIRECT("'Yr1'!"&amp;ADDRESS(ROW(T70),COLUMN(T70))),
IF(T12=0,0,SUMIFS('EE Inputs'!$T$9:$T$32,'EE Inputs'!$C$9:$C$32,$G$6,'EE Inputs'!$D$9:$D$32,$C$4,'EE Inputs'!$E$9:$E$32,$B70)))</f>
        <v>46.620000000000005</v>
      </c>
      <c r="U70" s="704" cm="1">
        <f t="array" aca="1" ref="U70" ca="1">IF($C$4=Lookups!$D$40,INDIRECT("'Yr1'!"&amp;ADDRESS(ROW(U70),COLUMN(U70))),
IF(U12=0,0,SUMIFS('EE Inputs'!$T$9:$T$32,'EE Inputs'!$C$9:$C$32,$G$6,'EE Inputs'!$D$9:$D$32,$C$4,'EE Inputs'!$E$9:$E$32,$B70)))</f>
        <v>46.620000000000005</v>
      </c>
      <c r="V70" s="704" cm="1">
        <f t="array" aca="1" ref="V70" ca="1">IF($C$4=Lookups!$D$40,INDIRECT("'Yr1'!"&amp;ADDRESS(ROW(V70),COLUMN(V70))),
IF(V12=0,0,SUMIFS('EE Inputs'!$T$9:$T$32,'EE Inputs'!$C$9:$C$32,$G$6,'EE Inputs'!$D$9:$D$32,$C$4,'EE Inputs'!$E$9:$E$32,$B70)))</f>
        <v>0</v>
      </c>
      <c r="W70" s="704" cm="1">
        <f t="array" aca="1" ref="W70" ca="1">IF($C$4=Lookups!$D$40,INDIRECT("'Yr1'!"&amp;ADDRESS(ROW(W70),COLUMN(W70))),
IF(W12=0,0,SUMIFS('EE Inputs'!$T$9:$T$32,'EE Inputs'!$C$9:$C$32,$G$6,'EE Inputs'!$D$9:$D$32,$C$4,'EE Inputs'!$E$9:$E$32,$B70)))</f>
        <v>0</v>
      </c>
      <c r="X70" s="704" cm="1">
        <f t="array" aca="1" ref="X70" ca="1">IF($C$4=Lookups!$D$40,INDIRECT("'Yr1'!"&amp;ADDRESS(ROW(X70),COLUMN(X70))),
IF(X12=0,0,SUMIFS('EE Inputs'!$T$9:$T$32,'EE Inputs'!$C$9:$C$32,$G$6,'EE Inputs'!$D$9:$D$32,$C$4,'EE Inputs'!$E$9:$E$32,$B70)))</f>
        <v>0</v>
      </c>
      <c r="Y70" s="704" cm="1">
        <f t="array" aca="1" ref="Y70" ca="1">IF($C$4=Lookups!$D$40,INDIRECT("'Yr1'!"&amp;ADDRESS(ROW(Y70),COLUMN(Y70))),
IF(Y12=0,0,SUMIFS('EE Inputs'!$T$9:$T$32,'EE Inputs'!$C$9:$C$32,$G$6,'EE Inputs'!$D$9:$D$32,$C$4,'EE Inputs'!$E$9:$E$32,$B70)))</f>
        <v>0</v>
      </c>
      <c r="Z70" s="704" cm="1">
        <f t="array" aca="1" ref="Z70" ca="1">IF($C$4=Lookups!$D$40,INDIRECT("'Yr1'!"&amp;ADDRESS(ROW(Z70),COLUMN(Z70))),
IF(Z12=0,0,SUMIFS('EE Inputs'!$T$9:$T$32,'EE Inputs'!$C$9:$C$32,$G$6,'EE Inputs'!$D$9:$D$32,$C$4,'EE Inputs'!$E$9:$E$32,$B70)))</f>
        <v>0</v>
      </c>
      <c r="AA70" s="704" cm="1">
        <f t="array" aca="1" ref="AA70" ca="1">IF($C$4=Lookups!$D$40,INDIRECT("'Yr1'!"&amp;ADDRESS(ROW(AA70),COLUMN(AA70))),
IF(AA12=0,0,SUMIFS('EE Inputs'!$T$9:$T$32,'EE Inputs'!$C$9:$C$32,$G$6,'EE Inputs'!$D$9:$D$32,$C$4,'EE Inputs'!$E$9:$E$32,$B70)))</f>
        <v>0</v>
      </c>
      <c r="AB70" s="704" cm="1">
        <f t="array" aca="1" ref="AB70" ca="1">IF($C$4=Lookups!$D$40,INDIRECT("'Yr1'!"&amp;ADDRESS(ROW(AB70),COLUMN(AB70))),
IF(AB12=0,0,SUMIFS('EE Inputs'!$T$9:$T$32,'EE Inputs'!$C$9:$C$32,$G$6,'EE Inputs'!$D$9:$D$32,$C$4,'EE Inputs'!$E$9:$E$32,$B70)))</f>
        <v>0</v>
      </c>
      <c r="AC70" s="704" cm="1">
        <f t="array" aca="1" ref="AC70" ca="1">IF($C$4=Lookups!$D$40,INDIRECT("'Yr1'!"&amp;ADDRESS(ROW(AC70),COLUMN(AC70))),
IF(AC12=0,0,SUMIFS('EE Inputs'!$T$9:$T$32,'EE Inputs'!$C$9:$C$32,$G$6,'EE Inputs'!$D$9:$D$32,$C$4,'EE Inputs'!$E$9:$E$32,$B70)))</f>
        <v>0</v>
      </c>
      <c r="AD70" s="704" cm="1">
        <f t="array" aca="1" ref="AD70" ca="1">IF($C$4=Lookups!$D$40,INDIRECT("'Yr1'!"&amp;ADDRESS(ROW(AD70),COLUMN(AD70))),
IF(AD12=0,0,SUMIFS('EE Inputs'!$T$9:$T$32,'EE Inputs'!$C$9:$C$32,$G$6,'EE Inputs'!$D$9:$D$32,$C$4,'EE Inputs'!$E$9:$E$32,$B70)))</f>
        <v>0</v>
      </c>
      <c r="AE70" s="704" cm="1">
        <f t="array" aca="1" ref="AE70" ca="1">IF($C$4=Lookups!$D$40,INDIRECT("'Yr1'!"&amp;ADDRESS(ROW(AE70),COLUMN(AE70))),
IF(AE12=0,0,SUMIFS('EE Inputs'!$T$9:$T$32,'EE Inputs'!$C$9:$C$32,$G$6,'EE Inputs'!$D$9:$D$32,$C$4,'EE Inputs'!$E$9:$E$32,$B70)))</f>
        <v>0</v>
      </c>
      <c r="AF70" s="704" cm="1">
        <f t="array" aca="1" ref="AF70" ca="1">IF($C$4=Lookups!$D$40,INDIRECT("'Yr1'!"&amp;ADDRESS(ROW(AF70),COLUMN(AF70))),
IF(AF12=0,0,SUMIFS('EE Inputs'!$T$9:$T$32,'EE Inputs'!$C$9:$C$32,$G$6,'EE Inputs'!$D$9:$D$32,$C$4,'EE Inputs'!$E$9:$E$32,$B70)))</f>
        <v>0</v>
      </c>
      <c r="AG70" s="704" cm="1">
        <f t="array" aca="1" ref="AG70" ca="1">IF($C$4=Lookups!$D$40,INDIRECT("'Yr1'!"&amp;ADDRESS(ROW(AG70),COLUMN(AG70))),
IF(AG12=0,0,SUMIFS('EE Inputs'!$T$9:$T$32,'EE Inputs'!$C$9:$C$32,$G$6,'EE Inputs'!$D$9:$D$32,$C$4,'EE Inputs'!$E$9:$E$32,$B70)))</f>
        <v>0</v>
      </c>
      <c r="AH70" s="64"/>
      <c r="AI70" s="64"/>
      <c r="AJ70" s="720"/>
      <c r="AM70" s="645" cm="1">
        <f t="array" aca="1" ref="AM70" ca="1">IF($C$4=Lookups!$D$40,INDIRECT("'Yr1'!"&amp;ADDRESS(ROW(AM70),COLUMN(AM70))),
IF(AM12=0,0,SUMIFS('EE Inputs'!$T$9:$T$32,'EE Inputs'!$C$9:$C$32,$AM$6,'EE Inputs'!$D$9:$D$32,$C$4,'EE Inputs'!$E$9:$E$32,$B70)))</f>
        <v>55.944000000000003</v>
      </c>
      <c r="AN70" s="645" cm="1">
        <f t="array" aca="1" ref="AN70" ca="1">IF($C$4=Lookups!$D$40,INDIRECT("'Yr1'!"&amp;ADDRESS(ROW(AN70),COLUMN(AN70))),
IF(AN12=0,0,SUMIFS('EE Inputs'!$T$9:$T$32,'EE Inputs'!$C$9:$C$32,$AM$6,'EE Inputs'!$D$9:$D$32,$C$4,'EE Inputs'!$E$9:$E$32,$B70)))</f>
        <v>55.944000000000003</v>
      </c>
      <c r="AO70" s="645" cm="1">
        <f t="array" aca="1" ref="AO70" ca="1">IF($C$4=Lookups!$D$40,INDIRECT("'Yr1'!"&amp;ADDRESS(ROW(AO70),COLUMN(AO70))),
IF(AO12=0,0,SUMIFS('EE Inputs'!$T$9:$T$32,'EE Inputs'!$C$9:$C$32,$AM$6,'EE Inputs'!$D$9:$D$32,$C$4,'EE Inputs'!$E$9:$E$32,$B70)))</f>
        <v>55.944000000000003</v>
      </c>
      <c r="AP70" s="645" cm="1">
        <f t="array" aca="1" ref="AP70" ca="1">IF($C$4=Lookups!$D$40,INDIRECT("'Yr1'!"&amp;ADDRESS(ROW(AP70),COLUMN(AP70))),
IF(AP12=0,0,SUMIFS('EE Inputs'!$T$9:$T$32,'EE Inputs'!$C$9:$C$32,$AM$6,'EE Inputs'!$D$9:$D$32,$C$4,'EE Inputs'!$E$9:$E$32,$B70)))</f>
        <v>55.944000000000003</v>
      </c>
      <c r="AQ70" s="645" cm="1">
        <f t="array" aca="1" ref="AQ70" ca="1">IF($C$4=Lookups!$D$40,INDIRECT("'Yr1'!"&amp;ADDRESS(ROW(AQ70),COLUMN(AQ70))),
IF(AQ12=0,0,SUMIFS('EE Inputs'!$T$9:$T$32,'EE Inputs'!$C$9:$C$32,$AM$6,'EE Inputs'!$D$9:$D$32,$C$4,'EE Inputs'!$E$9:$E$32,$B70)))</f>
        <v>55.944000000000003</v>
      </c>
      <c r="AR70" s="645" cm="1">
        <f t="array" aca="1" ref="AR70" ca="1">IF($C$4=Lookups!$D$40,INDIRECT("'Yr1'!"&amp;ADDRESS(ROW(AR70),COLUMN(AR70))),
IF(AR12=0,0,SUMIFS('EE Inputs'!$T$9:$T$32,'EE Inputs'!$C$9:$C$32,$AM$6,'EE Inputs'!$D$9:$D$32,$C$4,'EE Inputs'!$E$9:$E$32,$B70)))</f>
        <v>55.944000000000003</v>
      </c>
      <c r="AS70" s="645" cm="1">
        <f t="array" aca="1" ref="AS70" ca="1">IF($C$4=Lookups!$D$40,INDIRECT("'Yr1'!"&amp;ADDRESS(ROW(AS70),COLUMN(AS70))),
IF(AS12=0,0,SUMIFS('EE Inputs'!$T$9:$T$32,'EE Inputs'!$C$9:$C$32,$AM$6,'EE Inputs'!$D$9:$D$32,$C$4,'EE Inputs'!$E$9:$E$32,$B70)))</f>
        <v>55.944000000000003</v>
      </c>
      <c r="AT70" s="645" cm="1">
        <f t="array" aca="1" ref="AT70" ca="1">IF($C$4=Lookups!$D$40,INDIRECT("'Yr1'!"&amp;ADDRESS(ROW(AT70),COLUMN(AT70))),
IF(AT12=0,0,SUMIFS('EE Inputs'!$T$9:$T$32,'EE Inputs'!$C$9:$C$32,$AM$6,'EE Inputs'!$D$9:$D$32,$C$4,'EE Inputs'!$E$9:$E$32,$B70)))</f>
        <v>55.944000000000003</v>
      </c>
      <c r="AU70" s="645" cm="1">
        <f t="array" aca="1" ref="AU70" ca="1">IF($C$4=Lookups!$D$40,INDIRECT("'Yr1'!"&amp;ADDRESS(ROW(AU70),COLUMN(AU70))),
IF(AU12=0,0,SUMIFS('EE Inputs'!$T$9:$T$32,'EE Inputs'!$C$9:$C$32,$AM$6,'EE Inputs'!$D$9:$D$32,$C$4,'EE Inputs'!$E$9:$E$32,$B70)))</f>
        <v>55.944000000000003</v>
      </c>
      <c r="AV70" s="645" cm="1">
        <f t="array" aca="1" ref="AV70" ca="1">IF($C$4=Lookups!$D$40,INDIRECT("'Yr1'!"&amp;ADDRESS(ROW(AV70),COLUMN(AV70))),
IF(AV12=0,0,SUMIFS('EE Inputs'!$T$9:$T$32,'EE Inputs'!$C$9:$C$32,$AM$6,'EE Inputs'!$D$9:$D$32,$C$4,'EE Inputs'!$E$9:$E$32,$B70)))</f>
        <v>55.944000000000003</v>
      </c>
      <c r="AW70" s="645" cm="1">
        <f t="array" aca="1" ref="AW70" ca="1">IF($C$4=Lookups!$D$40,INDIRECT("'Yr1'!"&amp;ADDRESS(ROW(AW70),COLUMN(AW70))),
IF(AW12=0,0,SUMIFS('EE Inputs'!$T$9:$T$32,'EE Inputs'!$C$9:$C$32,$AM$6,'EE Inputs'!$D$9:$D$32,$C$4,'EE Inputs'!$E$9:$E$32,$B70)))</f>
        <v>55.944000000000003</v>
      </c>
      <c r="AX70" s="645" cm="1">
        <f t="array" aca="1" ref="AX70" ca="1">IF($C$4=Lookups!$D$40,INDIRECT("'Yr1'!"&amp;ADDRESS(ROW(AX70),COLUMN(AX70))),
IF(AX12=0,0,SUMIFS('EE Inputs'!$T$9:$T$32,'EE Inputs'!$C$9:$C$32,$AM$6,'EE Inputs'!$D$9:$D$32,$C$4,'EE Inputs'!$E$9:$E$32,$B70)))</f>
        <v>55.944000000000003</v>
      </c>
      <c r="AY70" s="645" cm="1">
        <f t="array" aca="1" ref="AY70" ca="1">IF($C$4=Lookups!$D$40,INDIRECT("'Yr1'!"&amp;ADDRESS(ROW(AY70),COLUMN(AY70))),
IF(AY12=0,0,SUMIFS('EE Inputs'!$T$9:$T$32,'EE Inputs'!$C$9:$C$32,$AM$6,'EE Inputs'!$D$9:$D$32,$C$4,'EE Inputs'!$E$9:$E$32,$B70)))</f>
        <v>55.944000000000003</v>
      </c>
      <c r="AZ70" s="645" cm="1">
        <f t="array" aca="1" ref="AZ70" ca="1">IF($C$4=Lookups!$D$40,INDIRECT("'Yr1'!"&amp;ADDRESS(ROW(AZ70),COLUMN(AZ70))),
IF(AZ12=0,0,SUMIFS('EE Inputs'!$T$9:$T$32,'EE Inputs'!$C$9:$C$32,$AM$6,'EE Inputs'!$D$9:$D$32,$C$4,'EE Inputs'!$E$9:$E$32,$B70)))</f>
        <v>55.944000000000003</v>
      </c>
      <c r="BA70" s="645" cm="1">
        <f t="array" aca="1" ref="BA70" ca="1">IF($C$4=Lookups!$D$40,INDIRECT("'Yr1'!"&amp;ADDRESS(ROW(BA70),COLUMN(BA70))),
IF(BA12=0,0,SUMIFS('EE Inputs'!$T$9:$T$32,'EE Inputs'!$C$9:$C$32,$AM$6,'EE Inputs'!$D$9:$D$32,$C$4,'EE Inputs'!$E$9:$E$32,$B70)))</f>
        <v>55.944000000000003</v>
      </c>
      <c r="BB70" s="645" cm="1">
        <f t="array" aca="1" ref="BB70" ca="1">IF($C$4=Lookups!$D$40,INDIRECT("'Yr1'!"&amp;ADDRESS(ROW(BB70),COLUMN(BB70))),
IF(BB12=0,0,SUMIFS('EE Inputs'!$T$9:$T$32,'EE Inputs'!$C$9:$C$32,$AM$6,'EE Inputs'!$D$9:$D$32,$C$4,'EE Inputs'!$E$9:$E$32,$B70)))</f>
        <v>0</v>
      </c>
      <c r="BC70" s="645" cm="1">
        <f t="array" aca="1" ref="BC70" ca="1">IF($C$4=Lookups!$D$40,INDIRECT("'Yr1'!"&amp;ADDRESS(ROW(BC70),COLUMN(BC70))),
IF(BC12=0,0,SUMIFS('EE Inputs'!$T$9:$T$32,'EE Inputs'!$C$9:$C$32,$AM$6,'EE Inputs'!$D$9:$D$32,$C$4,'EE Inputs'!$E$9:$E$32,$B70)))</f>
        <v>0</v>
      </c>
      <c r="BD70" s="645" cm="1">
        <f t="array" aca="1" ref="BD70" ca="1">IF($C$4=Lookups!$D$40,INDIRECT("'Yr1'!"&amp;ADDRESS(ROW(BD70),COLUMN(BD70))),
IF(BD12=0,0,SUMIFS('EE Inputs'!$T$9:$T$32,'EE Inputs'!$C$9:$C$32,$AM$6,'EE Inputs'!$D$9:$D$32,$C$4,'EE Inputs'!$E$9:$E$32,$B70)))</f>
        <v>0</v>
      </c>
      <c r="BE70" s="645" cm="1">
        <f t="array" aca="1" ref="BE70" ca="1">IF($C$4=Lookups!$D$40,INDIRECT("'Yr1'!"&amp;ADDRESS(ROW(BE70),COLUMN(BE70))),
IF(BE12=0,0,SUMIFS('EE Inputs'!$T$9:$T$32,'EE Inputs'!$C$9:$C$32,$AM$6,'EE Inputs'!$D$9:$D$32,$C$4,'EE Inputs'!$E$9:$E$32,$B70)))</f>
        <v>0</v>
      </c>
      <c r="BF70" s="645" cm="1">
        <f t="array" aca="1" ref="BF70" ca="1">IF($C$4=Lookups!$D$40,INDIRECT("'Yr1'!"&amp;ADDRESS(ROW(BF70),COLUMN(BF70))),
IF(BF12=0,0,SUMIFS('EE Inputs'!$T$9:$T$32,'EE Inputs'!$C$9:$C$32,$AM$6,'EE Inputs'!$D$9:$D$32,$C$4,'EE Inputs'!$E$9:$E$32,$B70)))</f>
        <v>0</v>
      </c>
      <c r="BG70" s="645" cm="1">
        <f t="array" aca="1" ref="BG70" ca="1">IF($C$4=Lookups!$D$40,INDIRECT("'Yr1'!"&amp;ADDRESS(ROW(BG70),COLUMN(BG70))),
IF(BG12=0,0,SUMIFS('EE Inputs'!$T$9:$T$32,'EE Inputs'!$C$9:$C$32,$AM$6,'EE Inputs'!$D$9:$D$32,$C$4,'EE Inputs'!$E$9:$E$32,$B70)))</f>
        <v>0</v>
      </c>
      <c r="BH70" s="645" cm="1">
        <f t="array" aca="1" ref="BH70" ca="1">IF($C$4=Lookups!$D$40,INDIRECT("'Yr1'!"&amp;ADDRESS(ROW(BH70),COLUMN(BH70))),
IF(BH12=0,0,SUMIFS('EE Inputs'!$T$9:$T$32,'EE Inputs'!$C$9:$C$32,$AM$6,'EE Inputs'!$D$9:$D$32,$C$4,'EE Inputs'!$E$9:$E$32,$B70)))</f>
        <v>0</v>
      </c>
      <c r="BI70" s="645" cm="1">
        <f t="array" aca="1" ref="BI70" ca="1">IF($C$4=Lookups!$D$40,INDIRECT("'Yr1'!"&amp;ADDRESS(ROW(BI70),COLUMN(BI70))),
IF(BI12=0,0,SUMIFS('EE Inputs'!$T$9:$T$32,'EE Inputs'!$C$9:$C$32,$AM$6,'EE Inputs'!$D$9:$D$32,$C$4,'EE Inputs'!$E$9:$E$32,$B70)))</f>
        <v>0</v>
      </c>
      <c r="BJ70" s="645" cm="1">
        <f t="array" aca="1" ref="BJ70" ca="1">IF($C$4=Lookups!$D$40,INDIRECT("'Yr1'!"&amp;ADDRESS(ROW(BJ70),COLUMN(BJ70))),
IF(BJ12=0,0,SUMIFS('EE Inputs'!$T$9:$T$32,'EE Inputs'!$C$9:$C$32,$AM$6,'EE Inputs'!$D$9:$D$32,$C$4,'EE Inputs'!$E$9:$E$32,$B70)))</f>
        <v>0</v>
      </c>
      <c r="BK70" s="645" cm="1">
        <f t="array" aca="1" ref="BK70" ca="1">IF($C$4=Lookups!$D$40,INDIRECT("'Yr1'!"&amp;ADDRESS(ROW(BK70),COLUMN(BK70))),
IF(BK12=0,0,SUMIFS('EE Inputs'!$T$9:$T$32,'EE Inputs'!$C$9:$C$32,$AM$6,'EE Inputs'!$D$9:$D$32,$C$4,'EE Inputs'!$E$9:$E$32,$B70)))</f>
        <v>0</v>
      </c>
      <c r="BL70" s="645" cm="1">
        <f t="array" aca="1" ref="BL70" ca="1">IF($C$4=Lookups!$D$40,INDIRECT("'Yr1'!"&amp;ADDRESS(ROW(BL70),COLUMN(BL70))),
IF(BL12=0,0,SUMIFS('EE Inputs'!$T$9:$T$32,'EE Inputs'!$C$9:$C$32,$AM$6,'EE Inputs'!$D$9:$D$32,$C$4,'EE Inputs'!$E$9:$E$32,$B70)))</f>
        <v>0</v>
      </c>
      <c r="BM70" s="645" cm="1">
        <f t="array" aca="1" ref="BM70" ca="1">IF($C$4=Lookups!$D$40,INDIRECT("'Yr1'!"&amp;ADDRESS(ROW(BM70),COLUMN(BM70))),
IF(BM12=0,0,SUMIFS('EE Inputs'!$T$9:$T$32,'EE Inputs'!$C$9:$C$32,$AM$6,'EE Inputs'!$D$9:$D$32,$C$4,'EE Inputs'!$E$9:$E$32,$B70)))</f>
        <v>0</v>
      </c>
      <c r="BN70" s="71"/>
      <c r="BO70" s="71"/>
      <c r="BP70" s="71"/>
      <c r="BS70" s="76" t="s">
        <v>96</v>
      </c>
      <c r="BT70" s="51" t="s">
        <v>17</v>
      </c>
    </row>
    <row r="71" spans="1:72" x14ac:dyDescent="0.25">
      <c r="B71" s="243" t="str">
        <f t="shared" si="49"/>
        <v>Residential</v>
      </c>
      <c r="C71" s="243" t="str">
        <f t="shared" si="49"/>
        <v>Bills</v>
      </c>
      <c r="D71" s="114" t="s">
        <v>111</v>
      </c>
      <c r="E71" s="84"/>
      <c r="F71" s="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49"/>
      <c r="AI71" s="184"/>
      <c r="AJ71" s="720"/>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S71" s="84"/>
      <c r="BT71" s="51" t="s">
        <v>17</v>
      </c>
    </row>
    <row r="72" spans="1:72" x14ac:dyDescent="0.25">
      <c r="B72" s="243" t="str">
        <f t="shared" si="49"/>
        <v>Residential</v>
      </c>
      <c r="C72" s="243" t="str">
        <f t="shared" si="49"/>
        <v>Bills</v>
      </c>
      <c r="D72" s="244" t="str">
        <f t="shared" si="49"/>
        <v>Bills after DSM Scenario</v>
      </c>
      <c r="E72" s="84" t="s">
        <v>348</v>
      </c>
      <c r="F72" s="84" t="s">
        <v>32</v>
      </c>
      <c r="G72" s="103">
        <f ca="1">G64+G65*(G57-G56)</f>
        <v>989.44195811976772</v>
      </c>
      <c r="H72" s="103">
        <f ca="1">H64+H65*(H57-H56)</f>
        <v>946.36081772318994</v>
      </c>
      <c r="I72" s="103">
        <f t="shared" ref="I72:AG72" ca="1" si="57">I64+I65*(I57-I56)</f>
        <v>946.36081772318994</v>
      </c>
      <c r="J72" s="103">
        <f t="shared" ca="1" si="57"/>
        <v>946.36081772318994</v>
      </c>
      <c r="K72" s="103">
        <f t="shared" ca="1" si="57"/>
        <v>946.36081772318994</v>
      </c>
      <c r="L72" s="103">
        <f t="shared" ca="1" si="57"/>
        <v>946.36081772318994</v>
      </c>
      <c r="M72" s="103">
        <f t="shared" ca="1" si="57"/>
        <v>946.36081772318994</v>
      </c>
      <c r="N72" s="103">
        <f t="shared" ca="1" si="57"/>
        <v>946.36081772318994</v>
      </c>
      <c r="O72" s="103">
        <f t="shared" ca="1" si="57"/>
        <v>946.36081772318994</v>
      </c>
      <c r="P72" s="103">
        <f t="shared" ca="1" si="57"/>
        <v>946.36081772318994</v>
      </c>
      <c r="Q72" s="103">
        <f t="shared" ca="1" si="57"/>
        <v>946.36081772318994</v>
      </c>
      <c r="R72" s="103">
        <f t="shared" ca="1" si="57"/>
        <v>946.36081772318994</v>
      </c>
      <c r="S72" s="103">
        <f t="shared" ca="1" si="57"/>
        <v>946.36081772318994</v>
      </c>
      <c r="T72" s="103">
        <f t="shared" ca="1" si="57"/>
        <v>946.36081772318994</v>
      </c>
      <c r="U72" s="103">
        <f t="shared" ca="1" si="57"/>
        <v>946.36081772318994</v>
      </c>
      <c r="V72" s="103">
        <f t="shared" ca="1" si="57"/>
        <v>944.43719999999973</v>
      </c>
      <c r="W72" s="103">
        <f t="shared" ca="1" si="57"/>
        <v>944.43719999999973</v>
      </c>
      <c r="X72" s="103">
        <f t="shared" ca="1" si="57"/>
        <v>944.43719999999973</v>
      </c>
      <c r="Y72" s="103">
        <f t="shared" ca="1" si="57"/>
        <v>944.43719999999973</v>
      </c>
      <c r="Z72" s="103">
        <f t="shared" ca="1" si="57"/>
        <v>944.43719999999973</v>
      </c>
      <c r="AA72" s="103">
        <f t="shared" ca="1" si="57"/>
        <v>944.43719999999973</v>
      </c>
      <c r="AB72" s="103">
        <f t="shared" ca="1" si="57"/>
        <v>944.43719999999973</v>
      </c>
      <c r="AC72" s="103">
        <f t="shared" ca="1" si="57"/>
        <v>944.43719999999973</v>
      </c>
      <c r="AD72" s="103">
        <f t="shared" ca="1" si="57"/>
        <v>944.43719999999973</v>
      </c>
      <c r="AE72" s="103">
        <f t="shared" ca="1" si="57"/>
        <v>944.43719999999973</v>
      </c>
      <c r="AF72" s="103">
        <f t="shared" ca="1" si="57"/>
        <v>944.43719999999973</v>
      </c>
      <c r="AG72" s="103">
        <f t="shared" ca="1" si="57"/>
        <v>944.43719999999973</v>
      </c>
      <c r="AH72" s="103"/>
      <c r="AI72" s="103"/>
      <c r="AJ72" s="720">
        <f ca="1">IF($C$4=Year1,-PMT(Lookups!$E$17,25,NPV(Lookups!$E$17,G72:AE72),0,1),IF($C$4=Year2,-PMT(Lookups!$F$17,25,NPV(Lookups!$F$17,H72:AF72),0,1),IF($C$4=Year3,-PMT(Lookups!$G$17,25,NPV(Lookups!$G$17,I72:AG72),0,1),-PMT(Lookups!$G$17,27,NPV(Lookups!$G$17,G72:AG72),0,1))))</f>
        <v>934.48311971694216</v>
      </c>
      <c r="AM72" s="149">
        <f ca="1">AM64+AM65*(AM57-AM56)</f>
        <v>998.33501830929595</v>
      </c>
      <c r="AN72" s="149">
        <f ca="1">AN64+AN65*(AN57-AN56)</f>
        <v>946.63764983340275</v>
      </c>
      <c r="AO72" s="149">
        <f t="shared" ref="AO72:BM72" ca="1" si="58">AO64+AO65*(AO57-AO56)</f>
        <v>946.63764983340275</v>
      </c>
      <c r="AP72" s="149">
        <f t="shared" ca="1" si="58"/>
        <v>946.63764983340275</v>
      </c>
      <c r="AQ72" s="149">
        <f t="shared" ca="1" si="58"/>
        <v>946.63764983340275</v>
      </c>
      <c r="AR72" s="149">
        <f t="shared" ca="1" si="58"/>
        <v>946.63764983340275</v>
      </c>
      <c r="AS72" s="149">
        <f t="shared" ca="1" si="58"/>
        <v>946.63764983340275</v>
      </c>
      <c r="AT72" s="149">
        <f t="shared" ca="1" si="58"/>
        <v>946.63764983340275</v>
      </c>
      <c r="AU72" s="149">
        <f t="shared" ca="1" si="58"/>
        <v>946.63764983340275</v>
      </c>
      <c r="AV72" s="149">
        <f t="shared" ca="1" si="58"/>
        <v>946.63764983340275</v>
      </c>
      <c r="AW72" s="149">
        <f t="shared" ca="1" si="58"/>
        <v>946.63764983340275</v>
      </c>
      <c r="AX72" s="149">
        <f t="shared" ca="1" si="58"/>
        <v>946.63764983340275</v>
      </c>
      <c r="AY72" s="149">
        <f t="shared" ca="1" si="58"/>
        <v>946.63764983340275</v>
      </c>
      <c r="AZ72" s="149">
        <f t="shared" ca="1" si="58"/>
        <v>946.63764983340275</v>
      </c>
      <c r="BA72" s="149">
        <f t="shared" ca="1" si="58"/>
        <v>946.63764983340275</v>
      </c>
      <c r="BB72" s="149">
        <f t="shared" ca="1" si="58"/>
        <v>944.43719999999973</v>
      </c>
      <c r="BC72" s="149">
        <f t="shared" ca="1" si="58"/>
        <v>944.43719999999973</v>
      </c>
      <c r="BD72" s="149">
        <f t="shared" ca="1" si="58"/>
        <v>944.43719999999973</v>
      </c>
      <c r="BE72" s="149">
        <f t="shared" ca="1" si="58"/>
        <v>944.43719999999973</v>
      </c>
      <c r="BF72" s="149">
        <f t="shared" ca="1" si="58"/>
        <v>944.43719999999973</v>
      </c>
      <c r="BG72" s="149">
        <f t="shared" ca="1" si="58"/>
        <v>944.43719999999973</v>
      </c>
      <c r="BH72" s="149">
        <f t="shared" ca="1" si="58"/>
        <v>944.43719999999973</v>
      </c>
      <c r="BI72" s="149">
        <f t="shared" ca="1" si="58"/>
        <v>944.43719999999973</v>
      </c>
      <c r="BJ72" s="149">
        <f t="shared" ca="1" si="58"/>
        <v>944.43719999999973</v>
      </c>
      <c r="BK72" s="149">
        <f t="shared" ca="1" si="58"/>
        <v>944.43719999999973</v>
      </c>
      <c r="BL72" s="149">
        <f t="shared" ca="1" si="58"/>
        <v>944.43719999999973</v>
      </c>
      <c r="BM72" s="149">
        <f t="shared" ca="1" si="58"/>
        <v>944.43719999999973</v>
      </c>
      <c r="BN72" s="149"/>
      <c r="BO72" s="149"/>
      <c r="BP72" s="149">
        <f ca="1">IF($C$4=Year1,-PMT(Lookups!$E$17,25,NPV(Lookups!$E$17,AM72:BK72),0,1),IF($C$4=Year2,-PMT(Lookups!$F$17,25,NPV(Lookups!$F$17,AN72:BL72),0,1),IF($C$4=Year3,-PMT(Lookups!$G$17,25,NPV(Lookups!$G$17,AO72:BM72),0,1),-PMT(Lookups!$G$17,27,NPV(Lookups!$G$17,AM72:BM72),0,1))))</f>
        <v>935.05841472563975</v>
      </c>
      <c r="BS72" s="84" t="s">
        <v>239</v>
      </c>
      <c r="BT72" s="51" t="s">
        <v>17</v>
      </c>
    </row>
    <row r="73" spans="1:72" x14ac:dyDescent="0.25">
      <c r="B73" s="243" t="str">
        <f t="shared" si="49"/>
        <v>Residential</v>
      </c>
      <c r="C73" s="243" t="str">
        <f t="shared" si="49"/>
        <v>Bills</v>
      </c>
      <c r="D73" s="244" t="str">
        <f t="shared" si="49"/>
        <v>Bills after DSM Scenario</v>
      </c>
      <c r="E73" s="84" t="s">
        <v>349</v>
      </c>
      <c r="F73" s="84" t="s">
        <v>32</v>
      </c>
      <c r="G73" s="103">
        <f ca="1">G64+(G65-G68)*(G57-G56)</f>
        <v>983.09451048487051</v>
      </c>
      <c r="H73" s="103">
        <f ca="1">H64+(H65-H68)*(H57-H56)</f>
        <v>940.3522066010263</v>
      </c>
      <c r="I73" s="103">
        <f t="shared" ref="I73:AG73" ca="1" si="59">I64+(I65-I68)*(I57-I56)</f>
        <v>940.3522066010263</v>
      </c>
      <c r="J73" s="103">
        <f t="shared" ca="1" si="59"/>
        <v>940.3522066010263</v>
      </c>
      <c r="K73" s="103">
        <f t="shared" ca="1" si="59"/>
        <v>940.3522066010263</v>
      </c>
      <c r="L73" s="103">
        <f t="shared" ca="1" si="59"/>
        <v>940.3522066010263</v>
      </c>
      <c r="M73" s="103">
        <f t="shared" ca="1" si="59"/>
        <v>940.3522066010263</v>
      </c>
      <c r="N73" s="103">
        <f t="shared" ca="1" si="59"/>
        <v>940.3522066010263</v>
      </c>
      <c r="O73" s="103">
        <f t="shared" ca="1" si="59"/>
        <v>940.3522066010263</v>
      </c>
      <c r="P73" s="103">
        <f t="shared" ca="1" si="59"/>
        <v>940.3522066010263</v>
      </c>
      <c r="Q73" s="103">
        <f t="shared" ca="1" si="59"/>
        <v>940.3522066010263</v>
      </c>
      <c r="R73" s="103">
        <f t="shared" ca="1" si="59"/>
        <v>940.3522066010263</v>
      </c>
      <c r="S73" s="103">
        <f t="shared" ca="1" si="59"/>
        <v>940.3522066010263</v>
      </c>
      <c r="T73" s="103">
        <f t="shared" ca="1" si="59"/>
        <v>940.3522066010263</v>
      </c>
      <c r="U73" s="103">
        <f t="shared" ca="1" si="59"/>
        <v>940.3522066010263</v>
      </c>
      <c r="V73" s="103">
        <f t="shared" ca="1" si="59"/>
        <v>944.43719999999973</v>
      </c>
      <c r="W73" s="103">
        <f t="shared" ca="1" si="59"/>
        <v>944.43719999999973</v>
      </c>
      <c r="X73" s="103">
        <f t="shared" ca="1" si="59"/>
        <v>944.43719999999973</v>
      </c>
      <c r="Y73" s="103">
        <f t="shared" ca="1" si="59"/>
        <v>944.43719999999973</v>
      </c>
      <c r="Z73" s="103">
        <f t="shared" ca="1" si="59"/>
        <v>944.43719999999973</v>
      </c>
      <c r="AA73" s="103">
        <f t="shared" ca="1" si="59"/>
        <v>944.43719999999973</v>
      </c>
      <c r="AB73" s="103">
        <f t="shared" ca="1" si="59"/>
        <v>944.43719999999973</v>
      </c>
      <c r="AC73" s="103">
        <f t="shared" ca="1" si="59"/>
        <v>944.43719999999973</v>
      </c>
      <c r="AD73" s="103">
        <f t="shared" ca="1" si="59"/>
        <v>944.43719999999973</v>
      </c>
      <c r="AE73" s="103">
        <f t="shared" ca="1" si="59"/>
        <v>944.43719999999973</v>
      </c>
      <c r="AF73" s="103">
        <f t="shared" ca="1" si="59"/>
        <v>944.43719999999973</v>
      </c>
      <c r="AG73" s="103">
        <f t="shared" ca="1" si="59"/>
        <v>944.43719999999973</v>
      </c>
      <c r="AH73" s="103"/>
      <c r="AI73" s="103"/>
      <c r="AJ73" s="720">
        <f ca="1">IF($C$4=Year1,-PMT(Lookups!$E$17,25,NPV(Lookups!$E$17,G73:AE73),0,1),IF($C$4=Year2,-PMT(Lookups!$F$17,25,NPV(Lookups!$F$17,H73:AF73),0,1),IF($C$4=Year3,-PMT(Lookups!$G$17,25,NPV(Lookups!$G$17,I73:AG73),0,1),-PMT(Lookups!$G$17,27,NPV(Lookups!$G$17,G73:AG73),0,1))))</f>
        <v>930.6663814363186</v>
      </c>
      <c r="AM73" s="149">
        <f ca="1">AM64+(AM65-AM68)*(AM57-AM56)</f>
        <v>991.00085574532397</v>
      </c>
      <c r="AN73" s="149">
        <f ca="1">AN64+(AN65-AN68)*(AN57-AN56)</f>
        <v>939.76817734403676</v>
      </c>
      <c r="AO73" s="149">
        <f t="shared" ref="AO73:BM73" ca="1" si="60">AO64+(AO65-AO68)*(AO57-AO56)</f>
        <v>939.76817734403676</v>
      </c>
      <c r="AP73" s="149">
        <f t="shared" ca="1" si="60"/>
        <v>939.76817734403676</v>
      </c>
      <c r="AQ73" s="149">
        <f t="shared" ca="1" si="60"/>
        <v>939.76817734403676</v>
      </c>
      <c r="AR73" s="149">
        <f t="shared" ca="1" si="60"/>
        <v>939.76817734403676</v>
      </c>
      <c r="AS73" s="149">
        <f t="shared" ca="1" si="60"/>
        <v>939.76817734403676</v>
      </c>
      <c r="AT73" s="149">
        <f t="shared" ca="1" si="60"/>
        <v>939.76817734403676</v>
      </c>
      <c r="AU73" s="149">
        <f t="shared" ca="1" si="60"/>
        <v>939.76817734403676</v>
      </c>
      <c r="AV73" s="149">
        <f t="shared" ca="1" si="60"/>
        <v>939.76817734403676</v>
      </c>
      <c r="AW73" s="149">
        <f t="shared" ca="1" si="60"/>
        <v>939.76817734403676</v>
      </c>
      <c r="AX73" s="149">
        <f t="shared" ca="1" si="60"/>
        <v>939.76817734403676</v>
      </c>
      <c r="AY73" s="149">
        <f t="shared" ca="1" si="60"/>
        <v>939.76817734403676</v>
      </c>
      <c r="AZ73" s="149">
        <f t="shared" ca="1" si="60"/>
        <v>939.76817734403676</v>
      </c>
      <c r="BA73" s="149">
        <f t="shared" ca="1" si="60"/>
        <v>939.76817734403676</v>
      </c>
      <c r="BB73" s="149">
        <f t="shared" ca="1" si="60"/>
        <v>944.43719999999973</v>
      </c>
      <c r="BC73" s="149">
        <f t="shared" ca="1" si="60"/>
        <v>944.43719999999973</v>
      </c>
      <c r="BD73" s="149">
        <f t="shared" ca="1" si="60"/>
        <v>944.43719999999973</v>
      </c>
      <c r="BE73" s="149">
        <f t="shared" ca="1" si="60"/>
        <v>944.43719999999973</v>
      </c>
      <c r="BF73" s="149">
        <f t="shared" ca="1" si="60"/>
        <v>944.43719999999973</v>
      </c>
      <c r="BG73" s="149">
        <f t="shared" ca="1" si="60"/>
        <v>944.43719999999973</v>
      </c>
      <c r="BH73" s="149">
        <f t="shared" ca="1" si="60"/>
        <v>944.43719999999973</v>
      </c>
      <c r="BI73" s="149">
        <f t="shared" ca="1" si="60"/>
        <v>944.43719999999973</v>
      </c>
      <c r="BJ73" s="149">
        <f t="shared" ca="1" si="60"/>
        <v>944.43719999999973</v>
      </c>
      <c r="BK73" s="149">
        <f t="shared" ca="1" si="60"/>
        <v>944.43719999999973</v>
      </c>
      <c r="BL73" s="149">
        <f t="shared" ca="1" si="60"/>
        <v>944.43719999999973</v>
      </c>
      <c r="BM73" s="149">
        <f t="shared" ca="1" si="60"/>
        <v>944.43719999999973</v>
      </c>
      <c r="BN73" s="149"/>
      <c r="BO73" s="149"/>
      <c r="BP73" s="149">
        <f ca="1">IF($C$4=Year1,-PMT(Lookups!$E$17,25,NPV(Lookups!$E$17,AM73:BK73),0,1),IF($C$4=Year2,-PMT(Lookups!$F$17,25,NPV(Lookups!$F$17,AN73:BL73),0,1),IF($C$4=Year3,-PMT(Lookups!$G$17,25,NPV(Lookups!$G$17,AO73:BM73),0,1),-PMT(Lookups!$G$17,27,NPV(Lookups!$G$17,AM73:BM73),0,1))))</f>
        <v>930.69125698790822</v>
      </c>
      <c r="BS73" s="84" t="s">
        <v>240</v>
      </c>
      <c r="BT73" s="51" t="s">
        <v>17</v>
      </c>
    </row>
    <row r="74" spans="1:72" x14ac:dyDescent="0.25">
      <c r="B74" s="243" t="str">
        <f t="shared" si="49"/>
        <v>Residential</v>
      </c>
      <c r="C74" s="243" t="str">
        <f t="shared" si="49"/>
        <v>Bills</v>
      </c>
      <c r="D74" s="244" t="str">
        <f t="shared" si="49"/>
        <v>Bills after DSM Scenario</v>
      </c>
      <c r="E74" s="84" t="str">
        <f>'EE Inputs'!$N$15&amp;" Participant Annual Bill"</f>
        <v>Low Savings Participant Annual Bill</v>
      </c>
      <c r="F74" s="84" t="s">
        <v>32</v>
      </c>
      <c r="G74" s="103">
        <f ca="1">G64+(G65-G69)*(G57-G56)</f>
        <v>981.37153853857012</v>
      </c>
      <c r="H74" s="103">
        <f ca="1">H64+(H65-H69)*(H57-H56)</f>
        <v>938.72120954595812</v>
      </c>
      <c r="I74" s="103">
        <f t="shared" ref="I74:AG74" ca="1" si="61">I64+(I65-I69)*(I57-I56)</f>
        <v>938.72120954595812</v>
      </c>
      <c r="J74" s="103">
        <f t="shared" ca="1" si="61"/>
        <v>938.72120954595812</v>
      </c>
      <c r="K74" s="103">
        <f t="shared" ca="1" si="61"/>
        <v>938.72120954595812</v>
      </c>
      <c r="L74" s="103">
        <f t="shared" ca="1" si="61"/>
        <v>938.72120954595812</v>
      </c>
      <c r="M74" s="103">
        <f t="shared" ca="1" si="61"/>
        <v>938.72120954595812</v>
      </c>
      <c r="N74" s="103">
        <f t="shared" ca="1" si="61"/>
        <v>938.72120954595812</v>
      </c>
      <c r="O74" s="103">
        <f t="shared" ca="1" si="61"/>
        <v>938.72120954595812</v>
      </c>
      <c r="P74" s="103">
        <f t="shared" ca="1" si="61"/>
        <v>938.72120954595812</v>
      </c>
      <c r="Q74" s="103">
        <f t="shared" ca="1" si="61"/>
        <v>938.72120954595812</v>
      </c>
      <c r="R74" s="103">
        <f t="shared" ca="1" si="61"/>
        <v>938.72120954595812</v>
      </c>
      <c r="S74" s="103">
        <f t="shared" ca="1" si="61"/>
        <v>938.72120954595812</v>
      </c>
      <c r="T74" s="103">
        <f t="shared" ca="1" si="61"/>
        <v>938.72120954595812</v>
      </c>
      <c r="U74" s="103">
        <f t="shared" ca="1" si="61"/>
        <v>938.72120954595812</v>
      </c>
      <c r="V74" s="103">
        <f t="shared" ca="1" si="61"/>
        <v>944.43719999999973</v>
      </c>
      <c r="W74" s="103">
        <f t="shared" ca="1" si="61"/>
        <v>944.43719999999973</v>
      </c>
      <c r="X74" s="103">
        <f t="shared" ca="1" si="61"/>
        <v>944.43719999999973</v>
      </c>
      <c r="Y74" s="103">
        <f t="shared" ca="1" si="61"/>
        <v>944.43719999999973</v>
      </c>
      <c r="Z74" s="103">
        <f t="shared" ca="1" si="61"/>
        <v>944.43719999999973</v>
      </c>
      <c r="AA74" s="103">
        <f t="shared" ca="1" si="61"/>
        <v>944.43719999999973</v>
      </c>
      <c r="AB74" s="103">
        <f t="shared" ca="1" si="61"/>
        <v>944.43719999999973</v>
      </c>
      <c r="AC74" s="103">
        <f t="shared" ca="1" si="61"/>
        <v>944.43719999999973</v>
      </c>
      <c r="AD74" s="103">
        <f t="shared" ca="1" si="61"/>
        <v>944.43719999999973</v>
      </c>
      <c r="AE74" s="103">
        <f t="shared" ca="1" si="61"/>
        <v>944.43719999999973</v>
      </c>
      <c r="AF74" s="103">
        <f t="shared" ca="1" si="61"/>
        <v>944.43719999999973</v>
      </c>
      <c r="AG74" s="103">
        <f t="shared" ca="1" si="61"/>
        <v>944.43719999999973</v>
      </c>
      <c r="AH74" s="103"/>
      <c r="AI74" s="103"/>
      <c r="AJ74" s="720">
        <f ca="1">IF($C$4=Year1,-PMT(Lookups!$E$17,25,NPV(Lookups!$E$17,G74:AE74),0,1),IF($C$4=Year2,-PMT(Lookups!$F$17,25,NPV(Lookups!$F$17,H74:AF74),0,1),IF($C$4=Year3,-PMT(Lookups!$G$17,25,NPV(Lookups!$G$17,I74:AG74),0,1),-PMT(Lookups!$G$17,27,NPV(Lookups!$G$17,G74:AG74),0,1))))</f>
        <v>929.63035351420876</v>
      </c>
      <c r="AM74" s="149">
        <f ca="1">AM64+(AM65-AM69)*(AM57-AM56)</f>
        <v>988.54379808958447</v>
      </c>
      <c r="AN74" s="149">
        <f ca="1">AN64+(AN65-AN69)*(AN57-AN56)</f>
        <v>937.46679803540201</v>
      </c>
      <c r="AO74" s="149">
        <f t="shared" ref="AO74:BM74" ca="1" si="62">AO64+(AO65-AO69)*(AO57-AO56)</f>
        <v>937.46679803540201</v>
      </c>
      <c r="AP74" s="149">
        <f t="shared" ca="1" si="62"/>
        <v>937.46679803540201</v>
      </c>
      <c r="AQ74" s="149">
        <f t="shared" ca="1" si="62"/>
        <v>937.46679803540201</v>
      </c>
      <c r="AR74" s="149">
        <f t="shared" ca="1" si="62"/>
        <v>937.46679803540201</v>
      </c>
      <c r="AS74" s="149">
        <f t="shared" ca="1" si="62"/>
        <v>937.46679803540201</v>
      </c>
      <c r="AT74" s="149">
        <f t="shared" ca="1" si="62"/>
        <v>937.46679803540201</v>
      </c>
      <c r="AU74" s="149">
        <f t="shared" ca="1" si="62"/>
        <v>937.46679803540201</v>
      </c>
      <c r="AV74" s="149">
        <f t="shared" ca="1" si="62"/>
        <v>937.46679803540201</v>
      </c>
      <c r="AW74" s="149">
        <f t="shared" ca="1" si="62"/>
        <v>937.46679803540201</v>
      </c>
      <c r="AX74" s="149">
        <f t="shared" ca="1" si="62"/>
        <v>937.46679803540201</v>
      </c>
      <c r="AY74" s="149">
        <f t="shared" ca="1" si="62"/>
        <v>937.46679803540201</v>
      </c>
      <c r="AZ74" s="149">
        <f t="shared" ca="1" si="62"/>
        <v>937.46679803540201</v>
      </c>
      <c r="BA74" s="149">
        <f t="shared" ca="1" si="62"/>
        <v>937.46679803540201</v>
      </c>
      <c r="BB74" s="149">
        <f t="shared" ca="1" si="62"/>
        <v>944.43719999999973</v>
      </c>
      <c r="BC74" s="149">
        <f t="shared" ca="1" si="62"/>
        <v>944.43719999999973</v>
      </c>
      <c r="BD74" s="149">
        <f t="shared" ca="1" si="62"/>
        <v>944.43719999999973</v>
      </c>
      <c r="BE74" s="149">
        <f t="shared" ca="1" si="62"/>
        <v>944.43719999999973</v>
      </c>
      <c r="BF74" s="149">
        <f t="shared" ca="1" si="62"/>
        <v>944.43719999999973</v>
      </c>
      <c r="BG74" s="149">
        <f t="shared" ca="1" si="62"/>
        <v>944.43719999999973</v>
      </c>
      <c r="BH74" s="149">
        <f t="shared" ca="1" si="62"/>
        <v>944.43719999999973</v>
      </c>
      <c r="BI74" s="149">
        <f t="shared" ca="1" si="62"/>
        <v>944.43719999999973</v>
      </c>
      <c r="BJ74" s="149">
        <f t="shared" ca="1" si="62"/>
        <v>944.43719999999973</v>
      </c>
      <c r="BK74" s="149">
        <f t="shared" ca="1" si="62"/>
        <v>944.43719999999973</v>
      </c>
      <c r="BL74" s="149">
        <f t="shared" ca="1" si="62"/>
        <v>944.43719999999973</v>
      </c>
      <c r="BM74" s="149">
        <f t="shared" ca="1" si="62"/>
        <v>944.43719999999973</v>
      </c>
      <c r="BN74" s="149"/>
      <c r="BO74" s="149"/>
      <c r="BP74" s="149">
        <f ca="1">IF($C$4=Year1,-PMT(Lookups!$E$17,25,NPV(Lookups!$E$17,AM74:BK74),0,1),IF($C$4=Year2,-PMT(Lookups!$F$17,25,NPV(Lookups!$F$17,AN74:BL74),0,1),IF($C$4=Year3,-PMT(Lookups!$G$17,25,NPV(Lookups!$G$17,AO74:BM74),0,1),-PMT(Lookups!$G$17,27,NPV(Lookups!$G$17,AM74:BM74),0,1))))</f>
        <v>929.22819174225538</v>
      </c>
      <c r="BS74" s="84" t="s">
        <v>240</v>
      </c>
      <c r="BT74" s="51" t="s">
        <v>17</v>
      </c>
    </row>
    <row r="75" spans="1:72" x14ac:dyDescent="0.25">
      <c r="B75" s="243" t="str">
        <f t="shared" si="49"/>
        <v>Residential</v>
      </c>
      <c r="C75" s="243" t="str">
        <f t="shared" si="49"/>
        <v>Bills</v>
      </c>
      <c r="D75" s="244" t="str">
        <f t="shared" si="49"/>
        <v>Bills after DSM Scenario</v>
      </c>
      <c r="E75" s="84" t="str">
        <f>'EE Inputs'!$N$16&amp;" Participant Annual Bill"</f>
        <v>High Savings Participant Annual Bill</v>
      </c>
      <c r="F75" s="84" t="s">
        <v>32</v>
      </c>
      <c r="G75" s="103">
        <f ca="1">G64+(G65-G70)*(G57-G56)</f>
        <v>932.94902105138397</v>
      </c>
      <c r="H75" s="103">
        <f ca="1">H64+(H65-H70)*(H57-H56)</f>
        <v>892.88356048256662</v>
      </c>
      <c r="I75" s="103">
        <f t="shared" ref="I75:AG75" ca="1" si="63">I64+(I65-I70)*(I57-I56)</f>
        <v>892.88356048256662</v>
      </c>
      <c r="J75" s="103">
        <f t="shared" ca="1" si="63"/>
        <v>892.88356048256662</v>
      </c>
      <c r="K75" s="103">
        <f t="shared" ca="1" si="63"/>
        <v>892.88356048256662</v>
      </c>
      <c r="L75" s="103">
        <f t="shared" ca="1" si="63"/>
        <v>892.88356048256662</v>
      </c>
      <c r="M75" s="103">
        <f t="shared" ca="1" si="63"/>
        <v>892.88356048256662</v>
      </c>
      <c r="N75" s="103">
        <f t="shared" ca="1" si="63"/>
        <v>892.88356048256662</v>
      </c>
      <c r="O75" s="103">
        <f t="shared" ca="1" si="63"/>
        <v>892.88356048256662</v>
      </c>
      <c r="P75" s="103">
        <f t="shared" ca="1" si="63"/>
        <v>892.88356048256662</v>
      </c>
      <c r="Q75" s="103">
        <f t="shared" ca="1" si="63"/>
        <v>892.88356048256662</v>
      </c>
      <c r="R75" s="103">
        <f t="shared" ca="1" si="63"/>
        <v>892.88356048256662</v>
      </c>
      <c r="S75" s="103">
        <f t="shared" ca="1" si="63"/>
        <v>892.88356048256662</v>
      </c>
      <c r="T75" s="103">
        <f t="shared" ca="1" si="63"/>
        <v>892.88356048256662</v>
      </c>
      <c r="U75" s="103">
        <f t="shared" ca="1" si="63"/>
        <v>892.88356048256662</v>
      </c>
      <c r="V75" s="103">
        <f t="shared" ca="1" si="63"/>
        <v>944.43719999999973</v>
      </c>
      <c r="W75" s="103">
        <f t="shared" ca="1" si="63"/>
        <v>944.43719999999973</v>
      </c>
      <c r="X75" s="103">
        <f t="shared" ca="1" si="63"/>
        <v>944.43719999999973</v>
      </c>
      <c r="Y75" s="103">
        <f t="shared" ca="1" si="63"/>
        <v>944.43719999999973</v>
      </c>
      <c r="Z75" s="103">
        <f t="shared" ca="1" si="63"/>
        <v>944.43719999999973</v>
      </c>
      <c r="AA75" s="103">
        <f t="shared" ca="1" si="63"/>
        <v>944.43719999999973</v>
      </c>
      <c r="AB75" s="103">
        <f t="shared" ca="1" si="63"/>
        <v>944.43719999999973</v>
      </c>
      <c r="AC75" s="103">
        <f t="shared" ca="1" si="63"/>
        <v>944.43719999999973</v>
      </c>
      <c r="AD75" s="103">
        <f t="shared" ca="1" si="63"/>
        <v>944.43719999999973</v>
      </c>
      <c r="AE75" s="103">
        <f t="shared" ca="1" si="63"/>
        <v>944.43719999999973</v>
      </c>
      <c r="AF75" s="103">
        <f t="shared" ca="1" si="63"/>
        <v>944.43719999999973</v>
      </c>
      <c r="AG75" s="103">
        <f t="shared" ca="1" si="63"/>
        <v>944.43719999999973</v>
      </c>
      <c r="AH75" s="103"/>
      <c r="AI75" s="103"/>
      <c r="AJ75" s="720">
        <f ca="1">IF($C$4=Year1,-PMT(Lookups!$E$17,25,NPV(Lookups!$E$17,G75:AE75),0,1),IF($C$4=Year2,-PMT(Lookups!$F$17,25,NPV(Lookups!$F$17,H75:AF75),0,1),IF($C$4=Year3,-PMT(Lookups!$G$17,25,NPV(Lookups!$G$17,I75:AG75),0,1),-PMT(Lookups!$G$17,27,NPV(Lookups!$G$17,G75:AG75),0,1))))</f>
        <v>900.51375629780773</v>
      </c>
      <c r="AM75" s="149">
        <f ca="1">AM64+(AM65-AM70)*(AM57-AM56)</f>
        <v>929.79647677131516</v>
      </c>
      <c r="AN75" s="149">
        <f ca="1">AN64+(AN65-AN70)*(AN57-AN56)</f>
        <v>882.441687247397</v>
      </c>
      <c r="AO75" s="149">
        <f t="shared" ref="AO75:BM75" ca="1" si="64">AO64+(AO65-AO70)*(AO57-AO56)</f>
        <v>882.441687247397</v>
      </c>
      <c r="AP75" s="149">
        <f t="shared" ca="1" si="64"/>
        <v>882.441687247397</v>
      </c>
      <c r="AQ75" s="149">
        <f t="shared" ca="1" si="64"/>
        <v>882.441687247397</v>
      </c>
      <c r="AR75" s="149">
        <f t="shared" ca="1" si="64"/>
        <v>882.441687247397</v>
      </c>
      <c r="AS75" s="149">
        <f t="shared" ca="1" si="64"/>
        <v>882.441687247397</v>
      </c>
      <c r="AT75" s="149">
        <f t="shared" ca="1" si="64"/>
        <v>882.441687247397</v>
      </c>
      <c r="AU75" s="149">
        <f t="shared" ca="1" si="64"/>
        <v>882.441687247397</v>
      </c>
      <c r="AV75" s="149">
        <f t="shared" ca="1" si="64"/>
        <v>882.441687247397</v>
      </c>
      <c r="AW75" s="149">
        <f t="shared" ca="1" si="64"/>
        <v>882.441687247397</v>
      </c>
      <c r="AX75" s="149">
        <f t="shared" ca="1" si="64"/>
        <v>882.441687247397</v>
      </c>
      <c r="AY75" s="149">
        <f t="shared" ca="1" si="64"/>
        <v>882.441687247397</v>
      </c>
      <c r="AZ75" s="149">
        <f t="shared" ca="1" si="64"/>
        <v>882.441687247397</v>
      </c>
      <c r="BA75" s="149">
        <f t="shared" ca="1" si="64"/>
        <v>882.441687247397</v>
      </c>
      <c r="BB75" s="149">
        <f t="shared" ca="1" si="64"/>
        <v>944.43719999999973</v>
      </c>
      <c r="BC75" s="149">
        <f t="shared" ca="1" si="64"/>
        <v>944.43719999999973</v>
      </c>
      <c r="BD75" s="149">
        <f t="shared" ca="1" si="64"/>
        <v>944.43719999999973</v>
      </c>
      <c r="BE75" s="149">
        <f t="shared" ca="1" si="64"/>
        <v>944.43719999999973</v>
      </c>
      <c r="BF75" s="149">
        <f t="shared" ca="1" si="64"/>
        <v>944.43719999999973</v>
      </c>
      <c r="BG75" s="149">
        <f t="shared" ca="1" si="64"/>
        <v>944.43719999999973</v>
      </c>
      <c r="BH75" s="149">
        <f t="shared" ca="1" si="64"/>
        <v>944.43719999999973</v>
      </c>
      <c r="BI75" s="149">
        <f t="shared" ca="1" si="64"/>
        <v>944.43719999999973</v>
      </c>
      <c r="BJ75" s="149">
        <f t="shared" ca="1" si="64"/>
        <v>944.43719999999973</v>
      </c>
      <c r="BK75" s="149">
        <f t="shared" ca="1" si="64"/>
        <v>944.43719999999973</v>
      </c>
      <c r="BL75" s="149">
        <f t="shared" ca="1" si="64"/>
        <v>944.43719999999973</v>
      </c>
      <c r="BM75" s="149">
        <f t="shared" ca="1" si="64"/>
        <v>944.43719999999973</v>
      </c>
      <c r="BN75" s="149"/>
      <c r="BO75" s="149"/>
      <c r="BP75" s="149">
        <f ca="1">IF($C$4=Year1,-PMT(Lookups!$E$17,25,NPV(Lookups!$E$17,AM75:BK75),0,1),IF($C$4=Year2,-PMT(Lookups!$F$17,25,NPV(Lookups!$F$17,AN75:BL75),0,1),IF($C$4=Year3,-PMT(Lookups!$G$17,25,NPV(Lookups!$G$17,AO75:BM75),0,1),-PMT(Lookups!$G$17,27,NPV(Lookups!$G$17,AM75:BM75),0,1))))</f>
        <v>894.24685384194834</v>
      </c>
      <c r="BS75" s="84" t="s">
        <v>240</v>
      </c>
      <c r="BT75" s="51" t="s">
        <v>17</v>
      </c>
    </row>
    <row r="76" spans="1:72" x14ac:dyDescent="0.25">
      <c r="B76" s="243" t="str">
        <f t="shared" ref="B76:D85" si="65">B75</f>
        <v>Residential</v>
      </c>
      <c r="C76" s="243" t="str">
        <f t="shared" si="65"/>
        <v>Bills</v>
      </c>
      <c r="D76" s="114" t="s">
        <v>115</v>
      </c>
      <c r="E76" s="84"/>
      <c r="F76" s="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49"/>
      <c r="AI76" s="184"/>
      <c r="AJ76" s="49"/>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S76" s="84"/>
      <c r="BT76" s="51" t="s">
        <v>17</v>
      </c>
    </row>
    <row r="77" spans="1:72" x14ac:dyDescent="0.25">
      <c r="B77" s="243" t="str">
        <f t="shared" si="65"/>
        <v>Residential</v>
      </c>
      <c r="C77" s="243" t="str">
        <f t="shared" si="65"/>
        <v>Bills</v>
      </c>
      <c r="D77" s="244" t="str">
        <f t="shared" si="65"/>
        <v>Change in Bills</v>
      </c>
      <c r="E77" s="84" t="s">
        <v>348</v>
      </c>
      <c r="F77" s="84" t="s">
        <v>32</v>
      </c>
      <c r="G77" s="103">
        <f ca="1">G72-G66</f>
        <v>45.004758119767985</v>
      </c>
      <c r="H77" s="103">
        <f ca="1">H72-H66</f>
        <v>1.9236177231902047</v>
      </c>
      <c r="I77" s="103">
        <f t="shared" ref="I77:AG77" ca="1" si="66">I72-I66</f>
        <v>1.9236177231902047</v>
      </c>
      <c r="J77" s="103">
        <f t="shared" ca="1" si="66"/>
        <v>1.9236177231902047</v>
      </c>
      <c r="K77" s="103">
        <f t="shared" ca="1" si="66"/>
        <v>1.9236177231902047</v>
      </c>
      <c r="L77" s="103">
        <f t="shared" ca="1" si="66"/>
        <v>1.9236177231902047</v>
      </c>
      <c r="M77" s="103">
        <f t="shared" ca="1" si="66"/>
        <v>1.9236177231902047</v>
      </c>
      <c r="N77" s="103">
        <f t="shared" ca="1" si="66"/>
        <v>1.9236177231902047</v>
      </c>
      <c r="O77" s="103">
        <f t="shared" ca="1" si="66"/>
        <v>1.9236177231902047</v>
      </c>
      <c r="P77" s="103">
        <f t="shared" ca="1" si="66"/>
        <v>1.9236177231902047</v>
      </c>
      <c r="Q77" s="103">
        <f t="shared" ca="1" si="66"/>
        <v>1.9236177231902047</v>
      </c>
      <c r="R77" s="103">
        <f t="shared" ca="1" si="66"/>
        <v>1.9236177231902047</v>
      </c>
      <c r="S77" s="103">
        <f t="shared" ca="1" si="66"/>
        <v>1.9236177231902047</v>
      </c>
      <c r="T77" s="103">
        <f t="shared" ca="1" si="66"/>
        <v>1.9236177231902047</v>
      </c>
      <c r="U77" s="103">
        <f t="shared" ca="1" si="66"/>
        <v>1.9236177231902047</v>
      </c>
      <c r="V77" s="103">
        <f t="shared" ca="1" si="66"/>
        <v>0</v>
      </c>
      <c r="W77" s="103">
        <f t="shared" ca="1" si="66"/>
        <v>0</v>
      </c>
      <c r="X77" s="103">
        <f t="shared" ca="1" si="66"/>
        <v>0</v>
      </c>
      <c r="Y77" s="103">
        <f t="shared" ca="1" si="66"/>
        <v>0</v>
      </c>
      <c r="Z77" s="103">
        <f t="shared" ca="1" si="66"/>
        <v>0</v>
      </c>
      <c r="AA77" s="103">
        <f t="shared" ca="1" si="66"/>
        <v>0</v>
      </c>
      <c r="AB77" s="103">
        <f t="shared" ca="1" si="66"/>
        <v>0</v>
      </c>
      <c r="AC77" s="103">
        <f t="shared" ca="1" si="66"/>
        <v>0</v>
      </c>
      <c r="AD77" s="103">
        <f t="shared" ca="1" si="66"/>
        <v>0</v>
      </c>
      <c r="AE77" s="103">
        <f t="shared" ca="1" si="66"/>
        <v>0</v>
      </c>
      <c r="AF77" s="103">
        <f t="shared" ca="1" si="66"/>
        <v>0</v>
      </c>
      <c r="AG77" s="103">
        <f t="shared" ca="1" si="66"/>
        <v>0</v>
      </c>
      <c r="AH77" s="103"/>
      <c r="AI77" s="65">
        <f ca="1">NPV(Lookups!$E$17,G77:AG77)</f>
        <v>68.315528732008858</v>
      </c>
      <c r="AJ77" s="720">
        <f ca="1">IF($C$4=Year1,-PMT(Lookups!$E$17,25,NPV(Lookups!$E$17,G77:AE77),0,1),IF($C$4=Year2,-PMT(Lookups!$F$17,25,NPV(Lookups!$F$17,H77:AF77),0,1),IF($C$4=Year3,-PMT(Lookups!$G$17,25,NPV(Lookups!$G$17,I77:AG77),0,1),-PMT(Lookups!$G$17,27,NPV(Lookups!$G$17,G77:AG77),0,1))))</f>
        <v>3.2177315135524562</v>
      </c>
      <c r="AM77" s="149">
        <f ca="1">AM72-AM66</f>
        <v>53.897818309296213</v>
      </c>
      <c r="AN77" s="149">
        <f t="shared" ref="AN77:BM77" ca="1" si="67">AN72-AN66</f>
        <v>2.2004498334030131</v>
      </c>
      <c r="AO77" s="149">
        <f t="shared" ca="1" si="67"/>
        <v>2.2004498334030131</v>
      </c>
      <c r="AP77" s="149">
        <f t="shared" ca="1" si="67"/>
        <v>2.2004498334030131</v>
      </c>
      <c r="AQ77" s="149">
        <f t="shared" ca="1" si="67"/>
        <v>2.2004498334030131</v>
      </c>
      <c r="AR77" s="149">
        <f t="shared" ca="1" si="67"/>
        <v>2.2004498334030131</v>
      </c>
      <c r="AS77" s="149">
        <f t="shared" ca="1" si="67"/>
        <v>2.2004498334030131</v>
      </c>
      <c r="AT77" s="149">
        <f t="shared" ca="1" si="67"/>
        <v>2.2004498334030131</v>
      </c>
      <c r="AU77" s="149">
        <f t="shared" ca="1" si="67"/>
        <v>2.2004498334030131</v>
      </c>
      <c r="AV77" s="149">
        <f t="shared" ca="1" si="67"/>
        <v>2.2004498334030131</v>
      </c>
      <c r="AW77" s="149">
        <f t="shared" ca="1" si="67"/>
        <v>2.2004498334030131</v>
      </c>
      <c r="AX77" s="149">
        <f t="shared" ca="1" si="67"/>
        <v>2.2004498334030131</v>
      </c>
      <c r="AY77" s="149">
        <f t="shared" ca="1" si="67"/>
        <v>2.2004498334030131</v>
      </c>
      <c r="AZ77" s="149">
        <f t="shared" ca="1" si="67"/>
        <v>2.2004498334030131</v>
      </c>
      <c r="BA77" s="149">
        <f t="shared" ca="1" si="67"/>
        <v>2.2004498334030131</v>
      </c>
      <c r="BB77" s="149">
        <f t="shared" ca="1" si="67"/>
        <v>0</v>
      </c>
      <c r="BC77" s="149">
        <f t="shared" ca="1" si="67"/>
        <v>0</v>
      </c>
      <c r="BD77" s="149">
        <f t="shared" ca="1" si="67"/>
        <v>0</v>
      </c>
      <c r="BE77" s="149">
        <f t="shared" ca="1" si="67"/>
        <v>0</v>
      </c>
      <c r="BF77" s="149">
        <f t="shared" ca="1" si="67"/>
        <v>0</v>
      </c>
      <c r="BG77" s="149">
        <f t="shared" ca="1" si="67"/>
        <v>0</v>
      </c>
      <c r="BH77" s="149">
        <f t="shared" ca="1" si="67"/>
        <v>0</v>
      </c>
      <c r="BI77" s="149">
        <f t="shared" ca="1" si="67"/>
        <v>0</v>
      </c>
      <c r="BJ77" s="149">
        <f t="shared" ca="1" si="67"/>
        <v>0</v>
      </c>
      <c r="BK77" s="149">
        <f t="shared" ca="1" si="67"/>
        <v>0</v>
      </c>
      <c r="BL77" s="149">
        <f t="shared" ca="1" si="67"/>
        <v>0</v>
      </c>
      <c r="BM77" s="149">
        <f t="shared" ca="1" si="67"/>
        <v>0</v>
      </c>
      <c r="BN77" s="149"/>
      <c r="BO77" s="149">
        <f ca="1">NPV(Lookups!$E$17,AM77:BM77)</f>
        <v>80.529593992131382</v>
      </c>
      <c r="BP77" s="149">
        <f ca="1">IF($C$4=Year1,-PMT(Lookups!$E$17,25,NPV(Lookups!$E$17,AM77:BK77),0,1),IF($C$4=Year2,-PMT(Lookups!$F$17,25,NPV(Lookups!$F$17,AN77:BL77),0,1),IF($C$4=Year3,-PMT(Lookups!$G$17,25,NPV(Lookups!$G$17,AO77:BM77),0,1),-PMT(Lookups!$G$17,27,NPV(Lookups!$G$17,AM77:BM77),0,1))))</f>
        <v>3.7930265222503547</v>
      </c>
      <c r="BS77" s="84" t="s">
        <v>241</v>
      </c>
      <c r="BT77" s="51" t="s">
        <v>17</v>
      </c>
    </row>
    <row r="78" spans="1:72" x14ac:dyDescent="0.25">
      <c r="B78" s="243" t="str">
        <f t="shared" si="65"/>
        <v>Residential</v>
      </c>
      <c r="C78" s="243" t="str">
        <f t="shared" si="65"/>
        <v>Bills</v>
      </c>
      <c r="D78" s="244" t="str">
        <f t="shared" si="65"/>
        <v>Change in Bills</v>
      </c>
      <c r="E78" s="84" t="s">
        <v>348</v>
      </c>
      <c r="F78" s="84" t="s">
        <v>16</v>
      </c>
      <c r="G78" s="223">
        <f ca="1">IFERROR(G72/G66-1,0)</f>
        <v>4.7652462355112668E-2</v>
      </c>
      <c r="H78" s="223">
        <f t="shared" ref="H78:AJ78" ca="1" si="68">IFERROR(H72/H66-1,0)</f>
        <v>2.0367873302642447E-3</v>
      </c>
      <c r="I78" s="223">
        <f t="shared" ca="1" si="68"/>
        <v>2.0367873302642447E-3</v>
      </c>
      <c r="J78" s="223">
        <f t="shared" ca="1" si="68"/>
        <v>2.0367873302642447E-3</v>
      </c>
      <c r="K78" s="223">
        <f t="shared" ca="1" si="68"/>
        <v>2.0367873302642447E-3</v>
      </c>
      <c r="L78" s="223">
        <f t="shared" ca="1" si="68"/>
        <v>2.0367873302642447E-3</v>
      </c>
      <c r="M78" s="223">
        <f t="shared" ca="1" si="68"/>
        <v>2.0367873302642447E-3</v>
      </c>
      <c r="N78" s="223">
        <f t="shared" ca="1" si="68"/>
        <v>2.0367873302642447E-3</v>
      </c>
      <c r="O78" s="223">
        <f t="shared" ca="1" si="68"/>
        <v>2.0367873302642447E-3</v>
      </c>
      <c r="P78" s="223">
        <f t="shared" ca="1" si="68"/>
        <v>2.0367873302642447E-3</v>
      </c>
      <c r="Q78" s="223">
        <f t="shared" ca="1" si="68"/>
        <v>2.0367873302642447E-3</v>
      </c>
      <c r="R78" s="223">
        <f t="shared" ca="1" si="68"/>
        <v>2.0367873302642447E-3</v>
      </c>
      <c r="S78" s="224">
        <f t="shared" ca="1" si="68"/>
        <v>2.0367873302642447E-3</v>
      </c>
      <c r="T78" s="224">
        <f t="shared" ca="1" si="68"/>
        <v>2.0367873302642447E-3</v>
      </c>
      <c r="U78" s="224">
        <f t="shared" ca="1" si="68"/>
        <v>2.0367873302642447E-3</v>
      </c>
      <c r="V78" s="224">
        <f t="shared" ca="1" si="68"/>
        <v>0</v>
      </c>
      <c r="W78" s="224">
        <f t="shared" ca="1" si="68"/>
        <v>0</v>
      </c>
      <c r="X78" s="224">
        <f t="shared" ca="1" si="68"/>
        <v>0</v>
      </c>
      <c r="Y78" s="224">
        <f t="shared" ca="1" si="68"/>
        <v>0</v>
      </c>
      <c r="Z78" s="224">
        <f t="shared" ca="1" si="68"/>
        <v>0</v>
      </c>
      <c r="AA78" s="224">
        <f t="shared" ca="1" si="68"/>
        <v>0</v>
      </c>
      <c r="AB78" s="224">
        <f t="shared" ca="1" si="68"/>
        <v>0</v>
      </c>
      <c r="AC78" s="224">
        <f t="shared" ca="1" si="68"/>
        <v>0</v>
      </c>
      <c r="AD78" s="224">
        <f t="shared" ca="1" si="68"/>
        <v>0</v>
      </c>
      <c r="AE78" s="224">
        <f t="shared" ca="1" si="68"/>
        <v>0</v>
      </c>
      <c r="AF78" s="224">
        <f t="shared" ca="1" si="68"/>
        <v>0</v>
      </c>
      <c r="AG78" s="224">
        <f t="shared" ca="1" si="68"/>
        <v>0</v>
      </c>
      <c r="AH78" s="224">
        <f t="shared" si="68"/>
        <v>0</v>
      </c>
      <c r="AI78" s="224"/>
      <c r="AJ78" s="224">
        <f t="shared" ca="1" si="68"/>
        <v>3.4552250672177376E-3</v>
      </c>
      <c r="AK78" s="212"/>
      <c r="AL78" s="212"/>
      <c r="AM78" s="504">
        <f ca="1">IFERROR(AM72/AM66-1,0)</f>
        <v>5.7068715960464367E-2</v>
      </c>
      <c r="AN78" s="504">
        <f t="shared" ref="AN78:BM78" ca="1" si="69">IFERROR(AN72/AN66-1,0)</f>
        <v>2.3299059306463032E-3</v>
      </c>
      <c r="AO78" s="504">
        <f t="shared" ca="1" si="69"/>
        <v>2.3299059306463032E-3</v>
      </c>
      <c r="AP78" s="504">
        <f t="shared" ca="1" si="69"/>
        <v>2.3299059306463032E-3</v>
      </c>
      <c r="AQ78" s="504">
        <f t="shared" ca="1" si="69"/>
        <v>2.3299059306463032E-3</v>
      </c>
      <c r="AR78" s="504">
        <f t="shared" ca="1" si="69"/>
        <v>2.3299059306463032E-3</v>
      </c>
      <c r="AS78" s="504">
        <f t="shared" ca="1" si="69"/>
        <v>2.3299059306463032E-3</v>
      </c>
      <c r="AT78" s="504">
        <f t="shared" ca="1" si="69"/>
        <v>2.3299059306463032E-3</v>
      </c>
      <c r="AU78" s="504">
        <f t="shared" ca="1" si="69"/>
        <v>2.3299059306463032E-3</v>
      </c>
      <c r="AV78" s="504">
        <f t="shared" ca="1" si="69"/>
        <v>2.3299059306463032E-3</v>
      </c>
      <c r="AW78" s="504">
        <f t="shared" ca="1" si="69"/>
        <v>2.3299059306463032E-3</v>
      </c>
      <c r="AX78" s="504">
        <f t="shared" ca="1" si="69"/>
        <v>2.3299059306463032E-3</v>
      </c>
      <c r="AY78" s="504">
        <f t="shared" ca="1" si="69"/>
        <v>2.3299059306463032E-3</v>
      </c>
      <c r="AZ78" s="504">
        <f t="shared" ca="1" si="69"/>
        <v>2.3299059306463032E-3</v>
      </c>
      <c r="BA78" s="504">
        <f t="shared" ca="1" si="69"/>
        <v>2.3299059306463032E-3</v>
      </c>
      <c r="BB78" s="504">
        <f t="shared" ca="1" si="69"/>
        <v>0</v>
      </c>
      <c r="BC78" s="504">
        <f t="shared" ca="1" si="69"/>
        <v>0</v>
      </c>
      <c r="BD78" s="504">
        <f t="shared" ca="1" si="69"/>
        <v>0</v>
      </c>
      <c r="BE78" s="504">
        <f t="shared" ca="1" si="69"/>
        <v>0</v>
      </c>
      <c r="BF78" s="504">
        <f t="shared" ca="1" si="69"/>
        <v>0</v>
      </c>
      <c r="BG78" s="504">
        <f t="shared" ca="1" si="69"/>
        <v>0</v>
      </c>
      <c r="BH78" s="504">
        <f t="shared" ca="1" si="69"/>
        <v>0</v>
      </c>
      <c r="BI78" s="504">
        <f t="shared" ca="1" si="69"/>
        <v>0</v>
      </c>
      <c r="BJ78" s="504">
        <f t="shared" ca="1" si="69"/>
        <v>0</v>
      </c>
      <c r="BK78" s="504">
        <f t="shared" ca="1" si="69"/>
        <v>0</v>
      </c>
      <c r="BL78" s="504">
        <f t="shared" ca="1" si="69"/>
        <v>0</v>
      </c>
      <c r="BM78" s="504">
        <f t="shared" ca="1" si="69"/>
        <v>0</v>
      </c>
      <c r="BN78" s="504"/>
      <c r="BO78" s="504"/>
      <c r="BP78" s="504">
        <f ca="1">IFERROR(BP72/BP66-1,0)</f>
        <v>4.0729813115547575E-3</v>
      </c>
      <c r="BS78" s="84" t="s">
        <v>242</v>
      </c>
      <c r="BT78" s="51" t="s">
        <v>17</v>
      </c>
    </row>
    <row r="79" spans="1:72" x14ac:dyDescent="0.25">
      <c r="B79" s="243" t="str">
        <f t="shared" si="65"/>
        <v>Residential</v>
      </c>
      <c r="C79" s="243" t="str">
        <f t="shared" si="65"/>
        <v>Bills</v>
      </c>
      <c r="D79" s="244" t="str">
        <f t="shared" si="65"/>
        <v>Change in Bills</v>
      </c>
      <c r="E79" s="84" t="s">
        <v>349</v>
      </c>
      <c r="F79" s="84" t="s">
        <v>32</v>
      </c>
      <c r="G79" s="103">
        <f ca="1">G73-G66</f>
        <v>38.657310484870777</v>
      </c>
      <c r="H79" s="103">
        <f ca="1">H73-H66</f>
        <v>-4.0849933989734382</v>
      </c>
      <c r="I79" s="103">
        <f t="shared" ref="I79:AG79" ca="1" si="70">I73-I66</f>
        <v>-4.0849933989734382</v>
      </c>
      <c r="J79" s="103">
        <f t="shared" ca="1" si="70"/>
        <v>-4.0849933989734382</v>
      </c>
      <c r="K79" s="103">
        <f t="shared" ca="1" si="70"/>
        <v>-4.0849933989734382</v>
      </c>
      <c r="L79" s="103">
        <f t="shared" ca="1" si="70"/>
        <v>-4.0849933989734382</v>
      </c>
      <c r="M79" s="103">
        <f t="shared" ca="1" si="70"/>
        <v>-4.0849933989734382</v>
      </c>
      <c r="N79" s="103">
        <f t="shared" ca="1" si="70"/>
        <v>-4.0849933989734382</v>
      </c>
      <c r="O79" s="103">
        <f t="shared" ca="1" si="70"/>
        <v>-4.0849933989734382</v>
      </c>
      <c r="P79" s="103">
        <f t="shared" ca="1" si="70"/>
        <v>-4.0849933989734382</v>
      </c>
      <c r="Q79" s="103">
        <f t="shared" ca="1" si="70"/>
        <v>-4.0849933989734382</v>
      </c>
      <c r="R79" s="103">
        <f t="shared" ca="1" si="70"/>
        <v>-4.0849933989734382</v>
      </c>
      <c r="S79" s="103">
        <f t="shared" ca="1" si="70"/>
        <v>-4.0849933989734382</v>
      </c>
      <c r="T79" s="103">
        <f t="shared" ca="1" si="70"/>
        <v>-4.0849933989734382</v>
      </c>
      <c r="U79" s="103">
        <f t="shared" ca="1" si="70"/>
        <v>-4.0849933989734382</v>
      </c>
      <c r="V79" s="103">
        <f t="shared" ca="1" si="70"/>
        <v>0</v>
      </c>
      <c r="W79" s="103">
        <f t="shared" ca="1" si="70"/>
        <v>0</v>
      </c>
      <c r="X79" s="103">
        <f t="shared" ca="1" si="70"/>
        <v>0</v>
      </c>
      <c r="Y79" s="103">
        <f t="shared" ca="1" si="70"/>
        <v>0</v>
      </c>
      <c r="Z79" s="103">
        <f t="shared" ca="1" si="70"/>
        <v>0</v>
      </c>
      <c r="AA79" s="103">
        <f t="shared" ca="1" si="70"/>
        <v>0</v>
      </c>
      <c r="AB79" s="103">
        <f t="shared" ca="1" si="70"/>
        <v>0</v>
      </c>
      <c r="AC79" s="103">
        <f t="shared" ca="1" si="70"/>
        <v>0</v>
      </c>
      <c r="AD79" s="103">
        <f t="shared" ca="1" si="70"/>
        <v>0</v>
      </c>
      <c r="AE79" s="103">
        <f t="shared" ca="1" si="70"/>
        <v>0</v>
      </c>
      <c r="AF79" s="103">
        <f t="shared" ca="1" si="70"/>
        <v>0</v>
      </c>
      <c r="AG79" s="103">
        <f t="shared" ca="1" si="70"/>
        <v>0</v>
      </c>
      <c r="AH79" s="103"/>
      <c r="AI79" s="65">
        <f ca="1">NPV(Lookups!$E$17,G79:AG79)</f>
        <v>-12.717488651289232</v>
      </c>
      <c r="AJ79" s="720">
        <f ca="1">IF($C$4=Year1,-PMT(Lookups!$E$17,25,NPV(Lookups!$E$17,G79:AE79),0,1),IF($C$4=Year2,-PMT(Lookups!$F$17,25,NPV(Lookups!$F$17,H79:AF79),0,1),IF($C$4=Year3,-PMT(Lookups!$G$17,25,NPV(Lookups!$G$17,I79:AG79),0,1),-PMT(Lookups!$G$17,27,NPV(Lookups!$G$17,G79:AG79),0,1))))</f>
        <v>-0.59900676707088951</v>
      </c>
      <c r="AM79" s="149">
        <f ca="1">AM73-AM66</f>
        <v>46.56365574532424</v>
      </c>
      <c r="AN79" s="149">
        <f t="shared" ref="AN79:BM79" ca="1" si="71">AN73-AN66</f>
        <v>-4.6690226559629764</v>
      </c>
      <c r="AO79" s="149">
        <f t="shared" ca="1" si="71"/>
        <v>-4.6690226559629764</v>
      </c>
      <c r="AP79" s="149">
        <f t="shared" ca="1" si="71"/>
        <v>-4.6690226559629764</v>
      </c>
      <c r="AQ79" s="149">
        <f t="shared" ca="1" si="71"/>
        <v>-4.6690226559629764</v>
      </c>
      <c r="AR79" s="149">
        <f t="shared" ca="1" si="71"/>
        <v>-4.6690226559629764</v>
      </c>
      <c r="AS79" s="149">
        <f t="shared" ca="1" si="71"/>
        <v>-4.6690226559629764</v>
      </c>
      <c r="AT79" s="149">
        <f t="shared" ca="1" si="71"/>
        <v>-4.6690226559629764</v>
      </c>
      <c r="AU79" s="149">
        <f t="shared" ca="1" si="71"/>
        <v>-4.6690226559629764</v>
      </c>
      <c r="AV79" s="149">
        <f t="shared" ca="1" si="71"/>
        <v>-4.6690226559629764</v>
      </c>
      <c r="AW79" s="149">
        <f t="shared" ca="1" si="71"/>
        <v>-4.6690226559629764</v>
      </c>
      <c r="AX79" s="149">
        <f t="shared" ca="1" si="71"/>
        <v>-4.6690226559629764</v>
      </c>
      <c r="AY79" s="149">
        <f t="shared" ca="1" si="71"/>
        <v>-4.6690226559629764</v>
      </c>
      <c r="AZ79" s="149">
        <f t="shared" ca="1" si="71"/>
        <v>-4.6690226559629764</v>
      </c>
      <c r="BA79" s="149">
        <f t="shared" ca="1" si="71"/>
        <v>-4.6690226559629764</v>
      </c>
      <c r="BB79" s="149">
        <f t="shared" ca="1" si="71"/>
        <v>0</v>
      </c>
      <c r="BC79" s="149">
        <f t="shared" ca="1" si="71"/>
        <v>0</v>
      </c>
      <c r="BD79" s="149">
        <f t="shared" ca="1" si="71"/>
        <v>0</v>
      </c>
      <c r="BE79" s="149">
        <f t="shared" ca="1" si="71"/>
        <v>0</v>
      </c>
      <c r="BF79" s="149">
        <f t="shared" ca="1" si="71"/>
        <v>0</v>
      </c>
      <c r="BG79" s="149">
        <f t="shared" ca="1" si="71"/>
        <v>0</v>
      </c>
      <c r="BH79" s="149">
        <f t="shared" ca="1" si="71"/>
        <v>0</v>
      </c>
      <c r="BI79" s="149">
        <f t="shared" ca="1" si="71"/>
        <v>0</v>
      </c>
      <c r="BJ79" s="149">
        <f t="shared" ca="1" si="71"/>
        <v>0</v>
      </c>
      <c r="BK79" s="149">
        <f t="shared" ca="1" si="71"/>
        <v>0</v>
      </c>
      <c r="BL79" s="149">
        <f t="shared" ca="1" si="71"/>
        <v>0</v>
      </c>
      <c r="BM79" s="149">
        <f t="shared" ca="1" si="71"/>
        <v>0</v>
      </c>
      <c r="BN79" s="149"/>
      <c r="BO79" s="149">
        <f ca="1">NPV(Lookups!$E$17,AM79:BM79)</f>
        <v>-12.189356813008885</v>
      </c>
      <c r="BP79" s="149">
        <f ca="1">IF($C$4=Year1,-PMT(Lookups!$E$17,25,NPV(Lookups!$E$17,AM79:BK79),0,1),IF($C$4=Year2,-PMT(Lookups!$F$17,25,NPV(Lookups!$F$17,AN79:BL79),0,1),IF($C$4=Year3,-PMT(Lookups!$G$17,25,NPV(Lookups!$G$17,AO79:BM79),0,1),-PMT(Lookups!$G$17,27,NPV(Lookups!$G$17,AM79:BM79),0,1))))</f>
        <v>-0.57413121548127233</v>
      </c>
      <c r="BS79" s="84" t="s">
        <v>241</v>
      </c>
      <c r="BT79" s="51" t="s">
        <v>17</v>
      </c>
    </row>
    <row r="80" spans="1:72" x14ac:dyDescent="0.25">
      <c r="B80" s="243" t="str">
        <f t="shared" si="65"/>
        <v>Residential</v>
      </c>
      <c r="C80" s="243" t="str">
        <f t="shared" si="65"/>
        <v>Bills</v>
      </c>
      <c r="D80" s="244" t="str">
        <f t="shared" si="65"/>
        <v>Change in Bills</v>
      </c>
      <c r="E80" s="84" t="s">
        <v>349</v>
      </c>
      <c r="F80" s="84" t="s">
        <v>16</v>
      </c>
      <c r="G80" s="223">
        <f ca="1">IFERROR(G73/G66-1,0)</f>
        <v>4.0931583894483259E-2</v>
      </c>
      <c r="H80" s="223">
        <f t="shared" ref="H80:AJ80" ca="1" si="72">IFERROR(H73/H66-1,0)</f>
        <v>-4.3253203060759082E-3</v>
      </c>
      <c r="I80" s="223">
        <f t="shared" ca="1" si="72"/>
        <v>-4.3253203060759082E-3</v>
      </c>
      <c r="J80" s="223">
        <f t="shared" ca="1" si="72"/>
        <v>-4.3253203060759082E-3</v>
      </c>
      <c r="K80" s="223">
        <f t="shared" ca="1" si="72"/>
        <v>-4.3253203060759082E-3</v>
      </c>
      <c r="L80" s="223">
        <f t="shared" ca="1" si="72"/>
        <v>-4.3253203060759082E-3</v>
      </c>
      <c r="M80" s="223">
        <f t="shared" ca="1" si="72"/>
        <v>-4.3253203060759082E-3</v>
      </c>
      <c r="N80" s="223">
        <f t="shared" ca="1" si="72"/>
        <v>-4.3253203060759082E-3</v>
      </c>
      <c r="O80" s="223">
        <f t="shared" ca="1" si="72"/>
        <v>-4.3253203060759082E-3</v>
      </c>
      <c r="P80" s="223">
        <f t="shared" ca="1" si="72"/>
        <v>-4.3253203060759082E-3</v>
      </c>
      <c r="Q80" s="223">
        <f t="shared" ca="1" si="72"/>
        <v>-4.3253203060759082E-3</v>
      </c>
      <c r="R80" s="223">
        <f t="shared" ca="1" si="72"/>
        <v>-4.3253203060759082E-3</v>
      </c>
      <c r="S80" s="224">
        <f t="shared" ca="1" si="72"/>
        <v>-4.3253203060759082E-3</v>
      </c>
      <c r="T80" s="224">
        <f t="shared" ca="1" si="72"/>
        <v>-4.3253203060759082E-3</v>
      </c>
      <c r="U80" s="224">
        <f t="shared" ca="1" si="72"/>
        <v>-4.3253203060759082E-3</v>
      </c>
      <c r="V80" s="224">
        <f t="shared" ca="1" si="72"/>
        <v>0</v>
      </c>
      <c r="W80" s="224">
        <f t="shared" ca="1" si="72"/>
        <v>0</v>
      </c>
      <c r="X80" s="224">
        <f t="shared" ca="1" si="72"/>
        <v>0</v>
      </c>
      <c r="Y80" s="224">
        <f t="shared" ca="1" si="72"/>
        <v>0</v>
      </c>
      <c r="Z80" s="224">
        <f t="shared" ca="1" si="72"/>
        <v>0</v>
      </c>
      <c r="AA80" s="224">
        <f t="shared" ca="1" si="72"/>
        <v>0</v>
      </c>
      <c r="AB80" s="224">
        <f t="shared" ca="1" si="72"/>
        <v>0</v>
      </c>
      <c r="AC80" s="224">
        <f t="shared" ca="1" si="72"/>
        <v>0</v>
      </c>
      <c r="AD80" s="224">
        <f t="shared" ca="1" si="72"/>
        <v>0</v>
      </c>
      <c r="AE80" s="224">
        <f t="shared" ca="1" si="72"/>
        <v>0</v>
      </c>
      <c r="AF80" s="224">
        <f t="shared" ca="1" si="72"/>
        <v>0</v>
      </c>
      <c r="AG80" s="224">
        <f t="shared" ca="1" si="72"/>
        <v>0</v>
      </c>
      <c r="AH80" s="224">
        <f t="shared" si="72"/>
        <v>0</v>
      </c>
      <c r="AI80" s="224"/>
      <c r="AJ80" s="224">
        <f t="shared" ca="1" si="72"/>
        <v>-6.4321811446954591E-4</v>
      </c>
      <c r="AK80" s="212"/>
      <c r="AL80" s="212"/>
      <c r="AM80" s="504">
        <f ca="1">IFERROR(AM73/AM66-1,0)</f>
        <v>4.9303072502146605E-2</v>
      </c>
      <c r="AN80" s="504">
        <f t="shared" ref="AN80:BM80" ca="1" si="73">IFERROR(AN73/AN66-1,0)</f>
        <v>-4.9437089686460434E-3</v>
      </c>
      <c r="AO80" s="504">
        <f t="shared" ca="1" si="73"/>
        <v>-4.9437089686460434E-3</v>
      </c>
      <c r="AP80" s="504">
        <f t="shared" ca="1" si="73"/>
        <v>-4.9437089686460434E-3</v>
      </c>
      <c r="AQ80" s="504">
        <f t="shared" ca="1" si="73"/>
        <v>-4.9437089686460434E-3</v>
      </c>
      <c r="AR80" s="504">
        <f t="shared" ca="1" si="73"/>
        <v>-4.9437089686460434E-3</v>
      </c>
      <c r="AS80" s="504">
        <f t="shared" ca="1" si="73"/>
        <v>-4.9437089686460434E-3</v>
      </c>
      <c r="AT80" s="504">
        <f t="shared" ca="1" si="73"/>
        <v>-4.9437089686460434E-3</v>
      </c>
      <c r="AU80" s="504">
        <f t="shared" ca="1" si="73"/>
        <v>-4.9437089686460434E-3</v>
      </c>
      <c r="AV80" s="504">
        <f t="shared" ca="1" si="73"/>
        <v>-4.9437089686460434E-3</v>
      </c>
      <c r="AW80" s="504">
        <f t="shared" ca="1" si="73"/>
        <v>-4.9437089686460434E-3</v>
      </c>
      <c r="AX80" s="504">
        <f t="shared" ca="1" si="73"/>
        <v>-4.9437089686460434E-3</v>
      </c>
      <c r="AY80" s="504">
        <f t="shared" ca="1" si="73"/>
        <v>-4.9437089686460434E-3</v>
      </c>
      <c r="AZ80" s="504">
        <f t="shared" ca="1" si="73"/>
        <v>-4.9437089686460434E-3</v>
      </c>
      <c r="BA80" s="504">
        <f t="shared" ca="1" si="73"/>
        <v>-4.9437089686460434E-3</v>
      </c>
      <c r="BB80" s="504">
        <f t="shared" ca="1" si="73"/>
        <v>0</v>
      </c>
      <c r="BC80" s="504">
        <f t="shared" ca="1" si="73"/>
        <v>0</v>
      </c>
      <c r="BD80" s="504">
        <f t="shared" ca="1" si="73"/>
        <v>0</v>
      </c>
      <c r="BE80" s="504">
        <f t="shared" ca="1" si="73"/>
        <v>0</v>
      </c>
      <c r="BF80" s="504">
        <f t="shared" ca="1" si="73"/>
        <v>0</v>
      </c>
      <c r="BG80" s="504">
        <f t="shared" ca="1" si="73"/>
        <v>0</v>
      </c>
      <c r="BH80" s="504">
        <f t="shared" ca="1" si="73"/>
        <v>0</v>
      </c>
      <c r="BI80" s="504">
        <f t="shared" ca="1" si="73"/>
        <v>0</v>
      </c>
      <c r="BJ80" s="504">
        <f t="shared" ca="1" si="73"/>
        <v>0</v>
      </c>
      <c r="BK80" s="504">
        <f t="shared" ca="1" si="73"/>
        <v>0</v>
      </c>
      <c r="BL80" s="504">
        <f t="shared" ca="1" si="73"/>
        <v>0</v>
      </c>
      <c r="BM80" s="504">
        <f t="shared" ca="1" si="73"/>
        <v>0</v>
      </c>
      <c r="BN80" s="504"/>
      <c r="BO80" s="504"/>
      <c r="BP80" s="504">
        <f t="shared" ref="BP80" ca="1" si="74">IFERROR(BP73/BP66-1,0)</f>
        <v>-6.1650655415090849E-4</v>
      </c>
      <c r="BS80" s="84" t="s">
        <v>242</v>
      </c>
      <c r="BT80" s="51" t="s">
        <v>17</v>
      </c>
    </row>
    <row r="81" spans="1:72" x14ac:dyDescent="0.25">
      <c r="B81" s="243" t="str">
        <f t="shared" si="65"/>
        <v>Residential</v>
      </c>
      <c r="C81" s="243" t="str">
        <f t="shared" si="65"/>
        <v>Bills</v>
      </c>
      <c r="D81" s="244" t="str">
        <f t="shared" si="65"/>
        <v>Change in Bills</v>
      </c>
      <c r="E81" s="84" t="str">
        <f>'EE Inputs'!$N$15&amp;" Participant Annual Bill"</f>
        <v>Low Savings Participant Annual Bill</v>
      </c>
      <c r="F81" s="84" t="s">
        <v>32</v>
      </c>
      <c r="G81" s="103">
        <f ca="1">G74-G66</f>
        <v>36.934338538570387</v>
      </c>
      <c r="H81" s="103">
        <f ca="1">H74-H66</f>
        <v>-5.7159904540416164</v>
      </c>
      <c r="I81" s="103">
        <f t="shared" ref="I81:AG81" ca="1" si="75">I74-I66</f>
        <v>-5.7159904540416164</v>
      </c>
      <c r="J81" s="103">
        <f t="shared" ca="1" si="75"/>
        <v>-5.7159904540416164</v>
      </c>
      <c r="K81" s="103">
        <f t="shared" ca="1" si="75"/>
        <v>-5.7159904540416164</v>
      </c>
      <c r="L81" s="103">
        <f t="shared" ca="1" si="75"/>
        <v>-5.7159904540416164</v>
      </c>
      <c r="M81" s="103">
        <f t="shared" ca="1" si="75"/>
        <v>-5.7159904540416164</v>
      </c>
      <c r="N81" s="103">
        <f t="shared" ca="1" si="75"/>
        <v>-5.7159904540416164</v>
      </c>
      <c r="O81" s="103">
        <f t="shared" ca="1" si="75"/>
        <v>-5.7159904540416164</v>
      </c>
      <c r="P81" s="103">
        <f t="shared" ca="1" si="75"/>
        <v>-5.7159904540416164</v>
      </c>
      <c r="Q81" s="103">
        <f t="shared" ca="1" si="75"/>
        <v>-5.7159904540416164</v>
      </c>
      <c r="R81" s="103">
        <f t="shared" ca="1" si="75"/>
        <v>-5.7159904540416164</v>
      </c>
      <c r="S81" s="103">
        <f t="shared" ca="1" si="75"/>
        <v>-5.7159904540416164</v>
      </c>
      <c r="T81" s="103">
        <f t="shared" ca="1" si="75"/>
        <v>-5.7159904540416164</v>
      </c>
      <c r="U81" s="103">
        <f t="shared" ca="1" si="75"/>
        <v>-5.7159904540416164</v>
      </c>
      <c r="V81" s="103">
        <f t="shared" ca="1" si="75"/>
        <v>0</v>
      </c>
      <c r="W81" s="103">
        <f t="shared" ca="1" si="75"/>
        <v>0</v>
      </c>
      <c r="X81" s="103">
        <f t="shared" ca="1" si="75"/>
        <v>0</v>
      </c>
      <c r="Y81" s="103">
        <f t="shared" ca="1" si="75"/>
        <v>0</v>
      </c>
      <c r="Z81" s="103">
        <f t="shared" ca="1" si="75"/>
        <v>0</v>
      </c>
      <c r="AA81" s="103">
        <f t="shared" ca="1" si="75"/>
        <v>0</v>
      </c>
      <c r="AB81" s="103">
        <f t="shared" ca="1" si="75"/>
        <v>0</v>
      </c>
      <c r="AC81" s="103">
        <f t="shared" ca="1" si="75"/>
        <v>0</v>
      </c>
      <c r="AD81" s="103">
        <f t="shared" ca="1" si="75"/>
        <v>0</v>
      </c>
      <c r="AE81" s="103">
        <f t="shared" ca="1" si="75"/>
        <v>0</v>
      </c>
      <c r="AF81" s="103">
        <f t="shared" ca="1" si="75"/>
        <v>0</v>
      </c>
      <c r="AG81" s="103">
        <f t="shared" ca="1" si="75"/>
        <v>0</v>
      </c>
      <c r="AH81" s="103"/>
      <c r="AI81" s="65">
        <f ca="1">NPV(Lookups!$E$17,G81:AG81)</f>
        <v>-34.71335592050535</v>
      </c>
      <c r="AJ81" s="720">
        <f ca="1">IF($C$4=Year1,-PMT(Lookups!$E$17,25,NPV(Lookups!$E$17,G81:AE81),0,1),IF($C$4=Year2,-PMT(Lookups!$F$17,25,NPV(Lookups!$F$17,H81:AF81),0,1),IF($C$4=Year3,-PMT(Lookups!$G$17,25,NPV(Lookups!$G$17,I81:AG81),0,1),-PMT(Lookups!$G$17,27,NPV(Lookups!$G$17,G81:AG81),0,1))))</f>
        <v>-1.6350346891809564</v>
      </c>
      <c r="AM81" s="149">
        <f ca="1">AM74-AM66</f>
        <v>44.106598089584736</v>
      </c>
      <c r="AN81" s="149">
        <f t="shared" ref="AN81:BM81" ca="1" si="76">AN74-AN66</f>
        <v>-6.9704019645977269</v>
      </c>
      <c r="AO81" s="149">
        <f t="shared" ca="1" si="76"/>
        <v>-6.9704019645977269</v>
      </c>
      <c r="AP81" s="149">
        <f t="shared" ca="1" si="76"/>
        <v>-6.9704019645977269</v>
      </c>
      <c r="AQ81" s="149">
        <f t="shared" ca="1" si="76"/>
        <v>-6.9704019645977269</v>
      </c>
      <c r="AR81" s="149">
        <f t="shared" ca="1" si="76"/>
        <v>-6.9704019645977269</v>
      </c>
      <c r="AS81" s="149">
        <f t="shared" ca="1" si="76"/>
        <v>-6.9704019645977269</v>
      </c>
      <c r="AT81" s="149">
        <f t="shared" ca="1" si="76"/>
        <v>-6.9704019645977269</v>
      </c>
      <c r="AU81" s="149">
        <f t="shared" ca="1" si="76"/>
        <v>-6.9704019645977269</v>
      </c>
      <c r="AV81" s="149">
        <f t="shared" ca="1" si="76"/>
        <v>-6.9704019645977269</v>
      </c>
      <c r="AW81" s="149">
        <f t="shared" ca="1" si="76"/>
        <v>-6.9704019645977269</v>
      </c>
      <c r="AX81" s="149">
        <f t="shared" ca="1" si="76"/>
        <v>-6.9704019645977269</v>
      </c>
      <c r="AY81" s="149">
        <f t="shared" ca="1" si="76"/>
        <v>-6.9704019645977269</v>
      </c>
      <c r="AZ81" s="149">
        <f t="shared" ca="1" si="76"/>
        <v>-6.9704019645977269</v>
      </c>
      <c r="BA81" s="149">
        <f t="shared" ca="1" si="76"/>
        <v>-6.9704019645977269</v>
      </c>
      <c r="BB81" s="149">
        <f t="shared" ca="1" si="76"/>
        <v>0</v>
      </c>
      <c r="BC81" s="149">
        <f t="shared" ca="1" si="76"/>
        <v>0</v>
      </c>
      <c r="BD81" s="149">
        <f t="shared" ca="1" si="76"/>
        <v>0</v>
      </c>
      <c r="BE81" s="149">
        <f t="shared" ca="1" si="76"/>
        <v>0</v>
      </c>
      <c r="BF81" s="149">
        <f t="shared" ca="1" si="76"/>
        <v>0</v>
      </c>
      <c r="BG81" s="149">
        <f t="shared" ca="1" si="76"/>
        <v>0</v>
      </c>
      <c r="BH81" s="149">
        <f t="shared" ca="1" si="76"/>
        <v>0</v>
      </c>
      <c r="BI81" s="149">
        <f t="shared" ca="1" si="76"/>
        <v>0</v>
      </c>
      <c r="BJ81" s="149">
        <f t="shared" ca="1" si="76"/>
        <v>0</v>
      </c>
      <c r="BK81" s="149">
        <f t="shared" ca="1" si="76"/>
        <v>0</v>
      </c>
      <c r="BL81" s="149">
        <f t="shared" ca="1" si="76"/>
        <v>0</v>
      </c>
      <c r="BM81" s="149">
        <f t="shared" ca="1" si="76"/>
        <v>0</v>
      </c>
      <c r="BN81" s="149"/>
      <c r="BO81" s="149">
        <f ca="1">NPV(Lookups!$E$17,AM81:BM81)</f>
        <v>-43.251636374007155</v>
      </c>
      <c r="BP81" s="149">
        <f ca="1">IF($C$4=Year1,-PMT(Lookups!$E$17,25,NPV(Lookups!$E$17,AM81:BK81),0,1),IF($C$4=Year2,-PMT(Lookups!$F$17,25,NPV(Lookups!$F$17,AN81:BL81),0,1),IF($C$4=Year3,-PMT(Lookups!$G$17,25,NPV(Lookups!$G$17,AO81:BM81),0,1),-PMT(Lookups!$G$17,27,NPV(Lookups!$G$17,AM81:BM81),0,1))))</f>
        <v>-2.0371964611341169</v>
      </c>
      <c r="BS81" s="84" t="s">
        <v>241</v>
      </c>
      <c r="BT81" s="51" t="s">
        <v>17</v>
      </c>
    </row>
    <row r="82" spans="1:72" x14ac:dyDescent="0.25">
      <c r="B82" s="243" t="str">
        <f t="shared" si="65"/>
        <v>Residential</v>
      </c>
      <c r="C82" s="243" t="str">
        <f t="shared" si="65"/>
        <v>Bills</v>
      </c>
      <c r="D82" s="244" t="str">
        <f t="shared" si="65"/>
        <v>Change in Bills</v>
      </c>
      <c r="E82" s="84" t="str">
        <f>'EE Inputs'!$N$15&amp;" Participant Annual Bill"</f>
        <v>Low Savings Participant Annual Bill</v>
      </c>
      <c r="F82" s="84" t="s">
        <v>16</v>
      </c>
      <c r="G82" s="223">
        <f ca="1">IFERROR(G74/G66-1,0)</f>
        <v>3.9107246663484307E-2</v>
      </c>
      <c r="H82" s="223">
        <f t="shared" ref="H82:AJ82" ca="1" si="77">IFERROR(H74/H66-1,0)</f>
        <v>-6.0522716111157671E-3</v>
      </c>
      <c r="I82" s="223">
        <f t="shared" ca="1" si="77"/>
        <v>-6.0522716111157671E-3</v>
      </c>
      <c r="J82" s="223">
        <f t="shared" ca="1" si="77"/>
        <v>-6.0522716111157671E-3</v>
      </c>
      <c r="K82" s="223">
        <f t="shared" ca="1" si="77"/>
        <v>-6.0522716111157671E-3</v>
      </c>
      <c r="L82" s="223">
        <f t="shared" ca="1" si="77"/>
        <v>-6.0522716111157671E-3</v>
      </c>
      <c r="M82" s="223">
        <f t="shared" ca="1" si="77"/>
        <v>-6.0522716111157671E-3</v>
      </c>
      <c r="N82" s="223">
        <f t="shared" ca="1" si="77"/>
        <v>-6.0522716111157671E-3</v>
      </c>
      <c r="O82" s="223">
        <f t="shared" ca="1" si="77"/>
        <v>-6.0522716111157671E-3</v>
      </c>
      <c r="P82" s="223">
        <f t="shared" ca="1" si="77"/>
        <v>-6.0522716111157671E-3</v>
      </c>
      <c r="Q82" s="223">
        <f t="shared" ca="1" si="77"/>
        <v>-6.0522716111157671E-3</v>
      </c>
      <c r="R82" s="223">
        <f t="shared" ca="1" si="77"/>
        <v>-6.0522716111157671E-3</v>
      </c>
      <c r="S82" s="224">
        <f t="shared" ca="1" si="77"/>
        <v>-6.0522716111157671E-3</v>
      </c>
      <c r="T82" s="224">
        <f t="shared" ca="1" si="77"/>
        <v>-6.0522716111157671E-3</v>
      </c>
      <c r="U82" s="224">
        <f t="shared" ca="1" si="77"/>
        <v>-6.0522716111157671E-3</v>
      </c>
      <c r="V82" s="224">
        <f t="shared" ca="1" si="77"/>
        <v>0</v>
      </c>
      <c r="W82" s="224">
        <f t="shared" ca="1" si="77"/>
        <v>0</v>
      </c>
      <c r="X82" s="224">
        <f t="shared" ca="1" si="77"/>
        <v>0</v>
      </c>
      <c r="Y82" s="224">
        <f t="shared" ca="1" si="77"/>
        <v>0</v>
      </c>
      <c r="Z82" s="224">
        <f t="shared" ca="1" si="77"/>
        <v>0</v>
      </c>
      <c r="AA82" s="224">
        <f t="shared" ca="1" si="77"/>
        <v>0</v>
      </c>
      <c r="AB82" s="224">
        <f t="shared" ca="1" si="77"/>
        <v>0</v>
      </c>
      <c r="AC82" s="224">
        <f t="shared" ca="1" si="77"/>
        <v>0</v>
      </c>
      <c r="AD82" s="224">
        <f t="shared" ca="1" si="77"/>
        <v>0</v>
      </c>
      <c r="AE82" s="224">
        <f t="shared" ca="1" si="77"/>
        <v>0</v>
      </c>
      <c r="AF82" s="224">
        <f t="shared" ca="1" si="77"/>
        <v>0</v>
      </c>
      <c r="AG82" s="224">
        <f t="shared" ca="1" si="77"/>
        <v>0</v>
      </c>
      <c r="AH82" s="224">
        <f t="shared" si="77"/>
        <v>0</v>
      </c>
      <c r="AI82" s="224"/>
      <c r="AJ82" s="224">
        <f t="shared" ca="1" si="77"/>
        <v>-1.7557129362824053E-3</v>
      </c>
      <c r="AK82" s="212"/>
      <c r="AL82" s="212"/>
      <c r="AM82" s="504">
        <f ca="1">IFERROR(AM74/AM66-1,0)</f>
        <v>4.6701462087245904E-2</v>
      </c>
      <c r="AN82" s="504">
        <f t="shared" ref="AN82:BM82" ca="1" si="78">IFERROR(AN74/AN66-1,0)</f>
        <v>-7.380482222214213E-3</v>
      </c>
      <c r="AO82" s="504">
        <f t="shared" ca="1" si="78"/>
        <v>-7.380482222214213E-3</v>
      </c>
      <c r="AP82" s="504">
        <f t="shared" ca="1" si="78"/>
        <v>-7.380482222214213E-3</v>
      </c>
      <c r="AQ82" s="504">
        <f t="shared" ca="1" si="78"/>
        <v>-7.380482222214213E-3</v>
      </c>
      <c r="AR82" s="504">
        <f t="shared" ca="1" si="78"/>
        <v>-7.380482222214213E-3</v>
      </c>
      <c r="AS82" s="504">
        <f t="shared" ca="1" si="78"/>
        <v>-7.380482222214213E-3</v>
      </c>
      <c r="AT82" s="504">
        <f t="shared" ca="1" si="78"/>
        <v>-7.380482222214213E-3</v>
      </c>
      <c r="AU82" s="504">
        <f t="shared" ca="1" si="78"/>
        <v>-7.380482222214213E-3</v>
      </c>
      <c r="AV82" s="504">
        <f t="shared" ca="1" si="78"/>
        <v>-7.380482222214213E-3</v>
      </c>
      <c r="AW82" s="504">
        <f t="shared" ca="1" si="78"/>
        <v>-7.380482222214213E-3</v>
      </c>
      <c r="AX82" s="504">
        <f t="shared" ca="1" si="78"/>
        <v>-7.380482222214213E-3</v>
      </c>
      <c r="AY82" s="504">
        <f t="shared" ca="1" si="78"/>
        <v>-7.380482222214213E-3</v>
      </c>
      <c r="AZ82" s="504">
        <f t="shared" ca="1" si="78"/>
        <v>-7.380482222214213E-3</v>
      </c>
      <c r="BA82" s="504">
        <f t="shared" ca="1" si="78"/>
        <v>-7.380482222214213E-3</v>
      </c>
      <c r="BB82" s="504">
        <f t="shared" ca="1" si="78"/>
        <v>0</v>
      </c>
      <c r="BC82" s="504">
        <f t="shared" ca="1" si="78"/>
        <v>0</v>
      </c>
      <c r="BD82" s="504">
        <f t="shared" ca="1" si="78"/>
        <v>0</v>
      </c>
      <c r="BE82" s="504">
        <f t="shared" ca="1" si="78"/>
        <v>0</v>
      </c>
      <c r="BF82" s="504">
        <f t="shared" ca="1" si="78"/>
        <v>0</v>
      </c>
      <c r="BG82" s="504">
        <f t="shared" ca="1" si="78"/>
        <v>0</v>
      </c>
      <c r="BH82" s="504">
        <f t="shared" ca="1" si="78"/>
        <v>0</v>
      </c>
      <c r="BI82" s="504">
        <f t="shared" ca="1" si="78"/>
        <v>0</v>
      </c>
      <c r="BJ82" s="504">
        <f t="shared" ca="1" si="78"/>
        <v>0</v>
      </c>
      <c r="BK82" s="504">
        <f t="shared" ca="1" si="78"/>
        <v>0</v>
      </c>
      <c r="BL82" s="504">
        <f t="shared" ca="1" si="78"/>
        <v>0</v>
      </c>
      <c r="BM82" s="504">
        <f t="shared" ca="1" si="78"/>
        <v>0</v>
      </c>
      <c r="BN82" s="504"/>
      <c r="BO82" s="504"/>
      <c r="BP82" s="504">
        <f t="shared" ref="BP82" ca="1" si="79">IFERROR(BP74/BP66-1,0)</f>
        <v>-2.1875573675773641E-3</v>
      </c>
      <c r="BS82" s="84" t="s">
        <v>242</v>
      </c>
      <c r="BT82" s="51" t="s">
        <v>17</v>
      </c>
    </row>
    <row r="83" spans="1:72" x14ac:dyDescent="0.25">
      <c r="B83" s="243" t="str">
        <f t="shared" si="65"/>
        <v>Residential</v>
      </c>
      <c r="C83" s="243" t="str">
        <f t="shared" si="65"/>
        <v>Bills</v>
      </c>
      <c r="D83" s="244" t="str">
        <f t="shared" si="65"/>
        <v>Change in Bills</v>
      </c>
      <c r="E83" s="84" t="str">
        <f>'EE Inputs'!$N$16&amp;" Participant Annual Bill"</f>
        <v>High Savings Participant Annual Bill</v>
      </c>
      <c r="F83" s="84" t="s">
        <v>32</v>
      </c>
      <c r="G83" s="103">
        <f ca="1">G75-G66</f>
        <v>-11.488178948615769</v>
      </c>
      <c r="H83" s="103">
        <f ca="1">H75-H66</f>
        <v>-51.553639517433112</v>
      </c>
      <c r="I83" s="103">
        <f t="shared" ref="I83:AG83" ca="1" si="80">I75-I66</f>
        <v>-51.553639517433112</v>
      </c>
      <c r="J83" s="103">
        <f t="shared" ca="1" si="80"/>
        <v>-51.553639517433112</v>
      </c>
      <c r="K83" s="103">
        <f t="shared" ca="1" si="80"/>
        <v>-51.553639517433112</v>
      </c>
      <c r="L83" s="103">
        <f t="shared" ca="1" si="80"/>
        <v>-51.553639517433112</v>
      </c>
      <c r="M83" s="103">
        <f t="shared" ca="1" si="80"/>
        <v>-51.553639517433112</v>
      </c>
      <c r="N83" s="103">
        <f t="shared" ca="1" si="80"/>
        <v>-51.553639517433112</v>
      </c>
      <c r="O83" s="103">
        <f t="shared" ca="1" si="80"/>
        <v>-51.553639517433112</v>
      </c>
      <c r="P83" s="103">
        <f t="shared" ca="1" si="80"/>
        <v>-51.553639517433112</v>
      </c>
      <c r="Q83" s="103">
        <f t="shared" ca="1" si="80"/>
        <v>-51.553639517433112</v>
      </c>
      <c r="R83" s="103">
        <f t="shared" ca="1" si="80"/>
        <v>-51.553639517433112</v>
      </c>
      <c r="S83" s="103">
        <f t="shared" ca="1" si="80"/>
        <v>-51.553639517433112</v>
      </c>
      <c r="T83" s="103">
        <f t="shared" ca="1" si="80"/>
        <v>-51.553639517433112</v>
      </c>
      <c r="U83" s="103">
        <f t="shared" ca="1" si="80"/>
        <v>-51.553639517433112</v>
      </c>
      <c r="V83" s="103">
        <f t="shared" ca="1" si="80"/>
        <v>0</v>
      </c>
      <c r="W83" s="103">
        <f t="shared" ca="1" si="80"/>
        <v>0</v>
      </c>
      <c r="X83" s="103">
        <f t="shared" ca="1" si="80"/>
        <v>0</v>
      </c>
      <c r="Y83" s="103">
        <f t="shared" ca="1" si="80"/>
        <v>0</v>
      </c>
      <c r="Z83" s="103">
        <f t="shared" ca="1" si="80"/>
        <v>0</v>
      </c>
      <c r="AA83" s="103">
        <f t="shared" ca="1" si="80"/>
        <v>0</v>
      </c>
      <c r="AB83" s="103">
        <f t="shared" ca="1" si="80"/>
        <v>0</v>
      </c>
      <c r="AC83" s="103">
        <f t="shared" ca="1" si="80"/>
        <v>0</v>
      </c>
      <c r="AD83" s="103">
        <f t="shared" ca="1" si="80"/>
        <v>0</v>
      </c>
      <c r="AE83" s="103">
        <f t="shared" ca="1" si="80"/>
        <v>0</v>
      </c>
      <c r="AF83" s="103">
        <f t="shared" ca="1" si="80"/>
        <v>0</v>
      </c>
      <c r="AG83" s="103">
        <f t="shared" ca="1" si="80"/>
        <v>0</v>
      </c>
      <c r="AH83" s="103"/>
      <c r="AI83" s="65">
        <f ca="1">NPV(Lookups!$E$17,G83:AG83)</f>
        <v>-652.88666383559814</v>
      </c>
      <c r="AJ83" s="720">
        <f ca="1">IF($C$4=Year1,-PMT(Lookups!$E$17,25,NPV(Lookups!$E$17,G83:AE83),0,1),IF($C$4=Year2,-PMT(Lookups!$F$17,25,NPV(Lookups!$F$17,H83:AF83),0,1),IF($C$4=Year3,-PMT(Lookups!$G$17,25,NPV(Lookups!$G$17,I83:AG83),0,1),-PMT(Lookups!$G$17,27,NPV(Lookups!$G$17,G83:AG83),0,1))))</f>
        <v>-30.751631905581792</v>
      </c>
      <c r="AM83" s="149">
        <f ca="1">AM75-AM66</f>
        <v>-14.640723228684578</v>
      </c>
      <c r="AN83" s="149">
        <f t="shared" ref="AN83:BM83" ca="1" si="81">AN75-AN66</f>
        <v>-61.995512752602735</v>
      </c>
      <c r="AO83" s="149">
        <f t="shared" ca="1" si="81"/>
        <v>-61.995512752602735</v>
      </c>
      <c r="AP83" s="149">
        <f t="shared" ca="1" si="81"/>
        <v>-61.995512752602735</v>
      </c>
      <c r="AQ83" s="149">
        <f t="shared" ca="1" si="81"/>
        <v>-61.995512752602735</v>
      </c>
      <c r="AR83" s="149">
        <f t="shared" ca="1" si="81"/>
        <v>-61.995512752602735</v>
      </c>
      <c r="AS83" s="149">
        <f t="shared" ca="1" si="81"/>
        <v>-61.995512752602735</v>
      </c>
      <c r="AT83" s="149">
        <f t="shared" ca="1" si="81"/>
        <v>-61.995512752602735</v>
      </c>
      <c r="AU83" s="149">
        <f t="shared" ca="1" si="81"/>
        <v>-61.995512752602735</v>
      </c>
      <c r="AV83" s="149">
        <f t="shared" ca="1" si="81"/>
        <v>-61.995512752602735</v>
      </c>
      <c r="AW83" s="149">
        <f t="shared" ca="1" si="81"/>
        <v>-61.995512752602735</v>
      </c>
      <c r="AX83" s="149">
        <f t="shared" ca="1" si="81"/>
        <v>-61.995512752602735</v>
      </c>
      <c r="AY83" s="149">
        <f t="shared" ca="1" si="81"/>
        <v>-61.995512752602735</v>
      </c>
      <c r="AZ83" s="149">
        <f t="shared" ca="1" si="81"/>
        <v>-61.995512752602735</v>
      </c>
      <c r="BA83" s="149">
        <f t="shared" ca="1" si="81"/>
        <v>-61.995512752602735</v>
      </c>
      <c r="BB83" s="149">
        <f t="shared" ca="1" si="81"/>
        <v>0</v>
      </c>
      <c r="BC83" s="149">
        <f t="shared" ca="1" si="81"/>
        <v>0</v>
      </c>
      <c r="BD83" s="149">
        <f t="shared" ca="1" si="81"/>
        <v>0</v>
      </c>
      <c r="BE83" s="149">
        <f t="shared" ca="1" si="81"/>
        <v>0</v>
      </c>
      <c r="BF83" s="149">
        <f t="shared" ca="1" si="81"/>
        <v>0</v>
      </c>
      <c r="BG83" s="149">
        <f t="shared" ca="1" si="81"/>
        <v>0</v>
      </c>
      <c r="BH83" s="149">
        <f t="shared" ca="1" si="81"/>
        <v>0</v>
      </c>
      <c r="BI83" s="149">
        <f t="shared" ca="1" si="81"/>
        <v>0</v>
      </c>
      <c r="BJ83" s="149">
        <f t="shared" ca="1" si="81"/>
        <v>0</v>
      </c>
      <c r="BK83" s="149">
        <f t="shared" ca="1" si="81"/>
        <v>0</v>
      </c>
      <c r="BL83" s="149">
        <f t="shared" ca="1" si="81"/>
        <v>0</v>
      </c>
      <c r="BM83" s="149">
        <f t="shared" ca="1" si="81"/>
        <v>0</v>
      </c>
      <c r="BN83" s="149"/>
      <c r="BO83" s="149">
        <f ca="1">NPV(Lookups!$E$17,AM83:BM83)</f>
        <v>-785.93901857084597</v>
      </c>
      <c r="BP83" s="149">
        <f ca="1">IF($C$4=Year1,-PMT(Lookups!$E$17,25,NPV(Lookups!$E$17,AM83:BK83),0,1),IF($C$4=Year2,-PMT(Lookups!$F$17,25,NPV(Lookups!$F$17,AN83:BL83),0,1),IF($C$4=Year3,-PMT(Lookups!$G$17,25,NPV(Lookups!$G$17,AO83:BM83),0,1),-PMT(Lookups!$G$17,27,NPV(Lookups!$G$17,AM83:BM83),0,1))))</f>
        <v>-37.018534361441304</v>
      </c>
      <c r="BS83" s="84" t="s">
        <v>241</v>
      </c>
      <c r="BT83" s="51" t="s">
        <v>17</v>
      </c>
    </row>
    <row r="84" spans="1:72" x14ac:dyDescent="0.25">
      <c r="B84" s="243" t="str">
        <f t="shared" si="65"/>
        <v>Residential</v>
      </c>
      <c r="C84" s="243" t="str">
        <f t="shared" si="65"/>
        <v>Bills</v>
      </c>
      <c r="D84" s="244" t="str">
        <f t="shared" si="65"/>
        <v>Change in Bills</v>
      </c>
      <c r="E84" s="84" t="str">
        <f>'EE Inputs'!$N$16&amp;" Participant Annual Bill"</f>
        <v>High Savings Participant Annual Bill</v>
      </c>
      <c r="F84" s="84" t="s">
        <v>16</v>
      </c>
      <c r="G84" s="223">
        <f ca="1">IFERROR(G75/G66-1,0)</f>
        <v>-1.2164047486286855E-2</v>
      </c>
      <c r="H84" s="223">
        <f t="shared" ref="H84:AJ84" ca="1" si="82">IFERROR(H75/H66-1,0)</f>
        <v>-5.4586625259395838E-2</v>
      </c>
      <c r="I84" s="223">
        <f t="shared" ca="1" si="82"/>
        <v>-5.4586625259395838E-2</v>
      </c>
      <c r="J84" s="223">
        <f t="shared" ca="1" si="82"/>
        <v>-5.4586625259395838E-2</v>
      </c>
      <c r="K84" s="223">
        <f t="shared" ca="1" si="82"/>
        <v>-5.4586625259395838E-2</v>
      </c>
      <c r="L84" s="223">
        <f t="shared" ca="1" si="82"/>
        <v>-5.4586625259395838E-2</v>
      </c>
      <c r="M84" s="223">
        <f t="shared" ca="1" si="82"/>
        <v>-5.4586625259395838E-2</v>
      </c>
      <c r="N84" s="223">
        <f t="shared" ca="1" si="82"/>
        <v>-5.4586625259395838E-2</v>
      </c>
      <c r="O84" s="223">
        <f t="shared" ca="1" si="82"/>
        <v>-5.4586625259395838E-2</v>
      </c>
      <c r="P84" s="223">
        <f t="shared" ca="1" si="82"/>
        <v>-5.4586625259395838E-2</v>
      </c>
      <c r="Q84" s="223">
        <f t="shared" ca="1" si="82"/>
        <v>-5.4586625259395838E-2</v>
      </c>
      <c r="R84" s="223">
        <f t="shared" ca="1" si="82"/>
        <v>-5.4586625259395838E-2</v>
      </c>
      <c r="S84" s="224">
        <f t="shared" ca="1" si="82"/>
        <v>-5.4586625259395838E-2</v>
      </c>
      <c r="T84" s="224">
        <f t="shared" ca="1" si="82"/>
        <v>-5.4586625259395838E-2</v>
      </c>
      <c r="U84" s="224">
        <f t="shared" ca="1" si="82"/>
        <v>-5.4586625259395838E-2</v>
      </c>
      <c r="V84" s="224">
        <f t="shared" ca="1" si="82"/>
        <v>0</v>
      </c>
      <c r="W84" s="224">
        <f t="shared" ca="1" si="82"/>
        <v>0</v>
      </c>
      <c r="X84" s="224">
        <f t="shared" ca="1" si="82"/>
        <v>0</v>
      </c>
      <c r="Y84" s="224">
        <f t="shared" ca="1" si="82"/>
        <v>0</v>
      </c>
      <c r="Z84" s="224">
        <f t="shared" ca="1" si="82"/>
        <v>0</v>
      </c>
      <c r="AA84" s="224">
        <f t="shared" ca="1" si="82"/>
        <v>0</v>
      </c>
      <c r="AB84" s="224">
        <f t="shared" ca="1" si="82"/>
        <v>0</v>
      </c>
      <c r="AC84" s="224">
        <f t="shared" ca="1" si="82"/>
        <v>0</v>
      </c>
      <c r="AD84" s="224">
        <f t="shared" ca="1" si="82"/>
        <v>0</v>
      </c>
      <c r="AE84" s="224">
        <f t="shared" ca="1" si="82"/>
        <v>0</v>
      </c>
      <c r="AF84" s="224">
        <f t="shared" ca="1" si="82"/>
        <v>0</v>
      </c>
      <c r="AG84" s="224">
        <f t="shared" ca="1" si="82"/>
        <v>0</v>
      </c>
      <c r="AH84" s="224">
        <f t="shared" si="82"/>
        <v>0</v>
      </c>
      <c r="AI84" s="224"/>
      <c r="AJ84" s="224">
        <f t="shared" ca="1" si="82"/>
        <v>-3.3021340957284262E-2</v>
      </c>
      <c r="AK84" s="212"/>
      <c r="AL84" s="212"/>
      <c r="AM84" s="504">
        <f ca="1">IFERROR(AM75/AM66-1,0)</f>
        <v>-1.5502061152064539E-2</v>
      </c>
      <c r="AN84" s="504">
        <f t="shared" ref="AN84:BM84" ca="1" si="83">IFERROR(AN75/AN66-1,0)</f>
        <v>-6.5642811139377755E-2</v>
      </c>
      <c r="AO84" s="504">
        <f t="shared" ca="1" si="83"/>
        <v>-6.5642811139377755E-2</v>
      </c>
      <c r="AP84" s="504">
        <f t="shared" ca="1" si="83"/>
        <v>-6.5642811139377755E-2</v>
      </c>
      <c r="AQ84" s="504">
        <f t="shared" ca="1" si="83"/>
        <v>-6.5642811139377755E-2</v>
      </c>
      <c r="AR84" s="504">
        <f t="shared" ca="1" si="83"/>
        <v>-6.5642811139377755E-2</v>
      </c>
      <c r="AS84" s="504">
        <f t="shared" ca="1" si="83"/>
        <v>-6.5642811139377755E-2</v>
      </c>
      <c r="AT84" s="504">
        <f t="shared" ca="1" si="83"/>
        <v>-6.5642811139377755E-2</v>
      </c>
      <c r="AU84" s="504">
        <f t="shared" ca="1" si="83"/>
        <v>-6.5642811139377755E-2</v>
      </c>
      <c r="AV84" s="504">
        <f t="shared" ca="1" si="83"/>
        <v>-6.5642811139377755E-2</v>
      </c>
      <c r="AW84" s="504">
        <f t="shared" ca="1" si="83"/>
        <v>-6.5642811139377755E-2</v>
      </c>
      <c r="AX84" s="504">
        <f t="shared" ca="1" si="83"/>
        <v>-6.5642811139377755E-2</v>
      </c>
      <c r="AY84" s="504">
        <f t="shared" ca="1" si="83"/>
        <v>-6.5642811139377755E-2</v>
      </c>
      <c r="AZ84" s="504">
        <f t="shared" ca="1" si="83"/>
        <v>-6.5642811139377755E-2</v>
      </c>
      <c r="BA84" s="504">
        <f t="shared" ca="1" si="83"/>
        <v>-6.5642811139377755E-2</v>
      </c>
      <c r="BB84" s="504">
        <f t="shared" ca="1" si="83"/>
        <v>0</v>
      </c>
      <c r="BC84" s="504">
        <f t="shared" ca="1" si="83"/>
        <v>0</v>
      </c>
      <c r="BD84" s="504">
        <f t="shared" ca="1" si="83"/>
        <v>0</v>
      </c>
      <c r="BE84" s="504">
        <f t="shared" ca="1" si="83"/>
        <v>0</v>
      </c>
      <c r="BF84" s="504">
        <f t="shared" ca="1" si="83"/>
        <v>0</v>
      </c>
      <c r="BG84" s="504">
        <f t="shared" ca="1" si="83"/>
        <v>0</v>
      </c>
      <c r="BH84" s="504">
        <f t="shared" ca="1" si="83"/>
        <v>0</v>
      </c>
      <c r="BI84" s="504">
        <f t="shared" ca="1" si="83"/>
        <v>0</v>
      </c>
      <c r="BJ84" s="504">
        <f t="shared" ca="1" si="83"/>
        <v>0</v>
      </c>
      <c r="BK84" s="504">
        <f t="shared" ca="1" si="83"/>
        <v>0</v>
      </c>
      <c r="BL84" s="504">
        <f t="shared" ca="1" si="83"/>
        <v>0</v>
      </c>
      <c r="BM84" s="504">
        <f t="shared" ca="1" si="83"/>
        <v>0</v>
      </c>
      <c r="BN84" s="504"/>
      <c r="BO84" s="504"/>
      <c r="BP84" s="504">
        <f t="shared" ref="BP84" ca="1" si="84">IFERROR(BP75/BP66-1,0)</f>
        <v>-3.9750789442371426E-2</v>
      </c>
      <c r="BS84" s="84" t="s">
        <v>242</v>
      </c>
      <c r="BT84" s="51" t="s">
        <v>17</v>
      </c>
    </row>
    <row r="85" spans="1:72" x14ac:dyDescent="0.25">
      <c r="B85" s="243" t="str">
        <f t="shared" si="65"/>
        <v>Residential</v>
      </c>
      <c r="C85" s="243" t="str">
        <f t="shared" si="65"/>
        <v>Bills</v>
      </c>
      <c r="D85" s="244" t="str">
        <f t="shared" si="65"/>
        <v>Change in Bills</v>
      </c>
      <c r="E85" s="84" t="s">
        <v>17</v>
      </c>
      <c r="F85" s="84"/>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S85" s="84"/>
      <c r="BT85" s="51" t="s">
        <v>17</v>
      </c>
    </row>
    <row r="86" spans="1:72" x14ac:dyDescent="0.25">
      <c r="B86" t="s">
        <v>17</v>
      </c>
      <c r="BT86" s="51" t="s">
        <v>17</v>
      </c>
    </row>
    <row r="87" spans="1:72" x14ac:dyDescent="0.25">
      <c r="B87" t="s">
        <v>17</v>
      </c>
      <c r="BT87" s="51" t="s">
        <v>17</v>
      </c>
    </row>
    <row r="88" spans="1:72" s="51" customFormat="1" ht="23.25" x14ac:dyDescent="0.25">
      <c r="A88" s="52"/>
      <c r="B88" s="195" t="str">
        <f>Lookups!$D$27</f>
        <v>Low-Income</v>
      </c>
      <c r="C88" s="196"/>
      <c r="D88" s="196"/>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51" t="s">
        <v>17</v>
      </c>
    </row>
    <row r="89" spans="1:72" s="5" customFormat="1" ht="15.75" x14ac:dyDescent="0.25">
      <c r="A89" s="52"/>
      <c r="B89" s="241" t="str">
        <f>B88</f>
        <v>Low-Income</v>
      </c>
      <c r="C89" s="63" t="s">
        <v>3</v>
      </c>
      <c r="D89" s="61"/>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M89" s="63"/>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S89" s="62"/>
      <c r="BT89" s="51" t="s">
        <v>17</v>
      </c>
    </row>
    <row r="90" spans="1:72" s="5" customFormat="1" x14ac:dyDescent="0.25">
      <c r="A90" s="52"/>
      <c r="B90" s="242" t="str">
        <f t="shared" ref="B90:C101" si="85">B89</f>
        <v>Low-Income</v>
      </c>
      <c r="C90" s="242" t="str">
        <f>C89</f>
        <v>Customers</v>
      </c>
      <c r="D90" s="244" t="s">
        <v>3</v>
      </c>
      <c r="E90" s="77" t="s">
        <v>3</v>
      </c>
      <c r="F90" s="76" t="s">
        <v>48</v>
      </c>
      <c r="G90" s="64">
        <f>IF(G$8=0,0,INDEX('Multi-Year Inputs'!$E$12:$AE$15,MATCH($B90,'Multi-Year Inputs'!$D$12:$D$15,0),MATCH(G$7,'Multi-Year Inputs'!$E$4:$AE$4,0)))</f>
        <v>5826.1944158878568</v>
      </c>
      <c r="H90" s="64">
        <f>IF(H$8=0,0,INDEX('Multi-Year Inputs'!$E$12:$AE$15,MATCH($B90,'Multi-Year Inputs'!$D$12:$D$15,0),MATCH(H$7,'Multi-Year Inputs'!$E$4:$AE$4,0)))</f>
        <v>5826.1944158878568</v>
      </c>
      <c r="I90" s="64">
        <f>IF(I$8=0,0,INDEX('Multi-Year Inputs'!$E$12:$AE$15,MATCH($B90,'Multi-Year Inputs'!$D$12:$D$15,0),MATCH(I$7,'Multi-Year Inputs'!$E$4:$AE$4,0)))</f>
        <v>5826.1944158878568</v>
      </c>
      <c r="J90" s="64">
        <f>IF(J$8=0,0,INDEX('Multi-Year Inputs'!$E$12:$AE$15,MATCH($B90,'Multi-Year Inputs'!$D$12:$D$15,0),MATCH(J$7,'Multi-Year Inputs'!$E$4:$AE$4,0)))</f>
        <v>5826.1944158878568</v>
      </c>
      <c r="K90" s="64">
        <f>IF(K$8=0,0,INDEX('Multi-Year Inputs'!$E$12:$AE$15,MATCH($B90,'Multi-Year Inputs'!$D$12:$D$15,0),MATCH(K$7,'Multi-Year Inputs'!$E$4:$AE$4,0)))</f>
        <v>5826.1944158878568</v>
      </c>
      <c r="L90" s="64">
        <f>IF(L$8=0,0,INDEX('Multi-Year Inputs'!$E$12:$AE$15,MATCH($B90,'Multi-Year Inputs'!$D$12:$D$15,0),MATCH(L$7,'Multi-Year Inputs'!$E$4:$AE$4,0)))</f>
        <v>5826.1944158878568</v>
      </c>
      <c r="M90" s="64">
        <f>IF(M$8=0,0,INDEX('Multi-Year Inputs'!$E$12:$AE$15,MATCH($B90,'Multi-Year Inputs'!$D$12:$D$15,0),MATCH(M$7,'Multi-Year Inputs'!$E$4:$AE$4,0)))</f>
        <v>5826.1944158878568</v>
      </c>
      <c r="N90" s="64">
        <f>IF(N$8=0,0,INDEX('Multi-Year Inputs'!$E$12:$AE$15,MATCH($B90,'Multi-Year Inputs'!$D$12:$D$15,0),MATCH(N$7,'Multi-Year Inputs'!$E$4:$AE$4,0)))</f>
        <v>5826.1944158878568</v>
      </c>
      <c r="O90" s="64">
        <f>IF(O$8=0,0,INDEX('Multi-Year Inputs'!$E$12:$AE$15,MATCH($B90,'Multi-Year Inputs'!$D$12:$D$15,0),MATCH(O$7,'Multi-Year Inputs'!$E$4:$AE$4,0)))</f>
        <v>5826.1944158878568</v>
      </c>
      <c r="P90" s="64">
        <f>IF(P$8=0,0,INDEX('Multi-Year Inputs'!$E$12:$AE$15,MATCH($B90,'Multi-Year Inputs'!$D$12:$D$15,0),MATCH(P$7,'Multi-Year Inputs'!$E$4:$AE$4,0)))</f>
        <v>5826.1944158878568</v>
      </c>
      <c r="Q90" s="64">
        <f>IF(Q$8=0,0,INDEX('Multi-Year Inputs'!$E$12:$AE$15,MATCH($B90,'Multi-Year Inputs'!$D$12:$D$15,0),MATCH(Q$7,'Multi-Year Inputs'!$E$4:$AE$4,0)))</f>
        <v>5826.1944158878568</v>
      </c>
      <c r="R90" s="64">
        <f>IF(R$8=0,0,INDEX('Multi-Year Inputs'!$E$12:$AE$15,MATCH($B90,'Multi-Year Inputs'!$D$12:$D$15,0),MATCH(R$7,'Multi-Year Inputs'!$E$4:$AE$4,0)))</f>
        <v>5826.1944158878568</v>
      </c>
      <c r="S90" s="64">
        <f>IF(S$8=0,0,INDEX('Multi-Year Inputs'!$E$12:$AE$15,MATCH($B90,'Multi-Year Inputs'!$D$12:$D$15,0),MATCH(S$7,'Multi-Year Inputs'!$E$4:$AE$4,0)))</f>
        <v>5826.1944158878568</v>
      </c>
      <c r="T90" s="64">
        <f>IF(T$8=0,0,INDEX('Multi-Year Inputs'!$E$12:$AE$15,MATCH($B90,'Multi-Year Inputs'!$D$12:$D$15,0),MATCH(T$7,'Multi-Year Inputs'!$E$4:$AE$4,0)))</f>
        <v>5826.1944158878568</v>
      </c>
      <c r="U90" s="64">
        <f>IF(U$8=0,0,INDEX('Multi-Year Inputs'!$E$12:$AE$15,MATCH($B90,'Multi-Year Inputs'!$D$12:$D$15,0),MATCH(U$7,'Multi-Year Inputs'!$E$4:$AE$4,0)))</f>
        <v>5826.1944158878568</v>
      </c>
      <c r="V90" s="64">
        <f>IF(V$8=0,0,INDEX('Multi-Year Inputs'!$E$12:$AE$15,MATCH($B90,'Multi-Year Inputs'!$D$12:$D$15,0),MATCH(V$7,'Multi-Year Inputs'!$E$4:$AE$4,0)))</f>
        <v>5826.1944158878568</v>
      </c>
      <c r="W90" s="64">
        <f>IF(W$8=0,0,INDEX('Multi-Year Inputs'!$E$12:$AE$15,MATCH($B90,'Multi-Year Inputs'!$D$12:$D$15,0),MATCH(W$7,'Multi-Year Inputs'!$E$4:$AE$4,0)))</f>
        <v>5826.1944158878568</v>
      </c>
      <c r="X90" s="64">
        <f>IF(X$8=0,0,INDEX('Multi-Year Inputs'!$E$12:$AE$15,MATCH($B90,'Multi-Year Inputs'!$D$12:$D$15,0),MATCH(X$7,'Multi-Year Inputs'!$E$4:$AE$4,0)))</f>
        <v>5826.1944158878568</v>
      </c>
      <c r="Y90" s="64">
        <f>IF(Y$8=0,0,INDEX('Multi-Year Inputs'!$E$12:$AE$15,MATCH($B90,'Multi-Year Inputs'!$D$12:$D$15,0),MATCH(Y$7,'Multi-Year Inputs'!$E$4:$AE$4,0)))</f>
        <v>5826.1944158878568</v>
      </c>
      <c r="Z90" s="64">
        <f>IF(Z$8=0,0,INDEX('Multi-Year Inputs'!$E$12:$AE$15,MATCH($B90,'Multi-Year Inputs'!$D$12:$D$15,0),MATCH(Z$7,'Multi-Year Inputs'!$E$4:$AE$4,0)))</f>
        <v>5826.1944158878568</v>
      </c>
      <c r="AA90" s="64">
        <f>IF(AA$8=0,0,INDEX('Multi-Year Inputs'!$E$12:$AE$15,MATCH($B90,'Multi-Year Inputs'!$D$12:$D$15,0),MATCH(AA$7,'Multi-Year Inputs'!$E$4:$AE$4,0)))</f>
        <v>5826.1944158878568</v>
      </c>
      <c r="AB90" s="64">
        <f>IF(AB$8=0,0,INDEX('Multi-Year Inputs'!$E$12:$AE$15,MATCH($B90,'Multi-Year Inputs'!$D$12:$D$15,0),MATCH(AB$7,'Multi-Year Inputs'!$E$4:$AE$4,0)))</f>
        <v>5826.1944158878568</v>
      </c>
      <c r="AC90" s="64">
        <f>IF(AC$8=0,0,INDEX('Multi-Year Inputs'!$E$12:$AE$15,MATCH($B90,'Multi-Year Inputs'!$D$12:$D$15,0),MATCH(AC$7,'Multi-Year Inputs'!$E$4:$AE$4,0)))</f>
        <v>5826.1944158878568</v>
      </c>
      <c r="AD90" s="64">
        <f>IF(AD$8=0,0,INDEX('Multi-Year Inputs'!$E$12:$AE$15,MATCH($B90,'Multi-Year Inputs'!$D$12:$D$15,0),MATCH(AD$7,'Multi-Year Inputs'!$E$4:$AE$4,0)))</f>
        <v>5826.1944158878568</v>
      </c>
      <c r="AE90" s="64">
        <f>IF(AE$8=0,0,INDEX('Multi-Year Inputs'!$E$12:$AE$15,MATCH($B90,'Multi-Year Inputs'!$D$12:$D$15,0),MATCH(AE$7,'Multi-Year Inputs'!$E$4:$AE$4,0)))</f>
        <v>5826.1944158878568</v>
      </c>
      <c r="AF90" s="64">
        <f>IF(AF$8=0,0,INDEX('Multi-Year Inputs'!$E$12:$AE$15,MATCH($B90,'Multi-Year Inputs'!$D$12:$D$15,0),MATCH(AF$7,'Multi-Year Inputs'!$E$4:$AE$4,0)))</f>
        <v>5826.1944158878568</v>
      </c>
      <c r="AG90" s="64">
        <f>IF(AG$8=0,0,INDEX('Multi-Year Inputs'!$E$12:$AE$15,MATCH($B90,'Multi-Year Inputs'!$D$12:$D$15,0),MATCH(AG$7,'Multi-Year Inputs'!$E$4:$AE$4,0)))</f>
        <v>5826.1944158878568</v>
      </c>
      <c r="AH90" s="64"/>
      <c r="AI90" s="64"/>
      <c r="AJ90" s="64"/>
      <c r="AM90" s="71">
        <f>IF(AM$8=0,0,INDEX('Multi-Year Inputs'!$E$12:$AE$15,MATCH($B90,'Multi-Year Inputs'!$D$12:$D$15,0),MATCH(AM$7,'Multi-Year Inputs'!$E$4:$AE$4,0)))</f>
        <v>5826.1944158878568</v>
      </c>
      <c r="AN90" s="71">
        <f>IF(AN$8=0,0,INDEX('Multi-Year Inputs'!$E$12:$AE$15,MATCH($B90,'Multi-Year Inputs'!$D$12:$D$15,0),MATCH(AN$7,'Multi-Year Inputs'!$E$4:$AE$4,0)))</f>
        <v>5826.1944158878568</v>
      </c>
      <c r="AO90" s="71">
        <f>IF(AO$8=0,0,INDEX('Multi-Year Inputs'!$E$12:$AE$15,MATCH($B90,'Multi-Year Inputs'!$D$12:$D$15,0),MATCH(AO$7,'Multi-Year Inputs'!$E$4:$AE$4,0)))</f>
        <v>5826.1944158878568</v>
      </c>
      <c r="AP90" s="71">
        <f>IF(AP$8=0,0,INDEX('Multi-Year Inputs'!$E$12:$AE$15,MATCH($B90,'Multi-Year Inputs'!$D$12:$D$15,0),MATCH(AP$7,'Multi-Year Inputs'!$E$4:$AE$4,0)))</f>
        <v>5826.1944158878568</v>
      </c>
      <c r="AQ90" s="71">
        <f>IF(AQ$8=0,0,INDEX('Multi-Year Inputs'!$E$12:$AE$15,MATCH($B90,'Multi-Year Inputs'!$D$12:$D$15,0),MATCH(AQ$7,'Multi-Year Inputs'!$E$4:$AE$4,0)))</f>
        <v>5826.1944158878568</v>
      </c>
      <c r="AR90" s="71">
        <f>IF(AR$8=0,0,INDEX('Multi-Year Inputs'!$E$12:$AE$15,MATCH($B90,'Multi-Year Inputs'!$D$12:$D$15,0),MATCH(AR$7,'Multi-Year Inputs'!$E$4:$AE$4,0)))</f>
        <v>5826.1944158878568</v>
      </c>
      <c r="AS90" s="71">
        <f>IF(AS$8=0,0,INDEX('Multi-Year Inputs'!$E$12:$AE$15,MATCH($B90,'Multi-Year Inputs'!$D$12:$D$15,0),MATCH(AS$7,'Multi-Year Inputs'!$E$4:$AE$4,0)))</f>
        <v>5826.1944158878568</v>
      </c>
      <c r="AT90" s="71">
        <f>IF(AT$8=0,0,INDEX('Multi-Year Inputs'!$E$12:$AE$15,MATCH($B90,'Multi-Year Inputs'!$D$12:$D$15,0),MATCH(AT$7,'Multi-Year Inputs'!$E$4:$AE$4,0)))</f>
        <v>5826.1944158878568</v>
      </c>
      <c r="AU90" s="71">
        <f>IF(AU$8=0,0,INDEX('Multi-Year Inputs'!$E$12:$AE$15,MATCH($B90,'Multi-Year Inputs'!$D$12:$D$15,0),MATCH(AU$7,'Multi-Year Inputs'!$E$4:$AE$4,0)))</f>
        <v>5826.1944158878568</v>
      </c>
      <c r="AV90" s="71">
        <f>IF(AV$8=0,0,INDEX('Multi-Year Inputs'!$E$12:$AE$15,MATCH($B90,'Multi-Year Inputs'!$D$12:$D$15,0),MATCH(AV$7,'Multi-Year Inputs'!$E$4:$AE$4,0)))</f>
        <v>5826.1944158878568</v>
      </c>
      <c r="AW90" s="71">
        <f>IF(AW$8=0,0,INDEX('Multi-Year Inputs'!$E$12:$AE$15,MATCH($B90,'Multi-Year Inputs'!$D$12:$D$15,0),MATCH(AW$7,'Multi-Year Inputs'!$E$4:$AE$4,0)))</f>
        <v>5826.1944158878568</v>
      </c>
      <c r="AX90" s="71">
        <f>IF(AX$8=0,0,INDEX('Multi-Year Inputs'!$E$12:$AE$15,MATCH($B90,'Multi-Year Inputs'!$D$12:$D$15,0),MATCH(AX$7,'Multi-Year Inputs'!$E$4:$AE$4,0)))</f>
        <v>5826.1944158878568</v>
      </c>
      <c r="AY90" s="71">
        <f>IF(AY$8=0,0,INDEX('Multi-Year Inputs'!$E$12:$AE$15,MATCH($B90,'Multi-Year Inputs'!$D$12:$D$15,0),MATCH(AY$7,'Multi-Year Inputs'!$E$4:$AE$4,0)))</f>
        <v>5826.1944158878568</v>
      </c>
      <c r="AZ90" s="71">
        <f>IF(AZ$8=0,0,INDEX('Multi-Year Inputs'!$E$12:$AE$15,MATCH($B90,'Multi-Year Inputs'!$D$12:$D$15,0),MATCH(AZ$7,'Multi-Year Inputs'!$E$4:$AE$4,0)))</f>
        <v>5826.1944158878568</v>
      </c>
      <c r="BA90" s="71">
        <f>IF(BA$8=0,0,INDEX('Multi-Year Inputs'!$E$12:$AE$15,MATCH($B90,'Multi-Year Inputs'!$D$12:$D$15,0),MATCH(BA$7,'Multi-Year Inputs'!$E$4:$AE$4,0)))</f>
        <v>5826.1944158878568</v>
      </c>
      <c r="BB90" s="71">
        <f>IF(BB$8=0,0,INDEX('Multi-Year Inputs'!$E$12:$AE$15,MATCH($B90,'Multi-Year Inputs'!$D$12:$D$15,0),MATCH(BB$7,'Multi-Year Inputs'!$E$4:$AE$4,0)))</f>
        <v>5826.1944158878568</v>
      </c>
      <c r="BC90" s="71">
        <f>IF(BC$8=0,0,INDEX('Multi-Year Inputs'!$E$12:$AE$15,MATCH($B90,'Multi-Year Inputs'!$D$12:$D$15,0),MATCH(BC$7,'Multi-Year Inputs'!$E$4:$AE$4,0)))</f>
        <v>5826.1944158878568</v>
      </c>
      <c r="BD90" s="71">
        <f>IF(BD$8=0,0,INDEX('Multi-Year Inputs'!$E$12:$AE$15,MATCH($B90,'Multi-Year Inputs'!$D$12:$D$15,0),MATCH(BD$7,'Multi-Year Inputs'!$E$4:$AE$4,0)))</f>
        <v>5826.1944158878568</v>
      </c>
      <c r="BE90" s="71">
        <f>IF(BE$8=0,0,INDEX('Multi-Year Inputs'!$E$12:$AE$15,MATCH($B90,'Multi-Year Inputs'!$D$12:$D$15,0),MATCH(BE$7,'Multi-Year Inputs'!$E$4:$AE$4,0)))</f>
        <v>5826.1944158878568</v>
      </c>
      <c r="BF90" s="71">
        <f>IF(BF$8=0,0,INDEX('Multi-Year Inputs'!$E$12:$AE$15,MATCH($B90,'Multi-Year Inputs'!$D$12:$D$15,0),MATCH(BF$7,'Multi-Year Inputs'!$E$4:$AE$4,0)))</f>
        <v>5826.1944158878568</v>
      </c>
      <c r="BG90" s="71">
        <f>IF(BG$8=0,0,INDEX('Multi-Year Inputs'!$E$12:$AE$15,MATCH($B90,'Multi-Year Inputs'!$D$12:$D$15,0),MATCH(BG$7,'Multi-Year Inputs'!$E$4:$AE$4,0)))</f>
        <v>5826.1944158878568</v>
      </c>
      <c r="BH90" s="71">
        <f>IF(BH$8=0,0,INDEX('Multi-Year Inputs'!$E$12:$AE$15,MATCH($B90,'Multi-Year Inputs'!$D$12:$D$15,0),MATCH(BH$7,'Multi-Year Inputs'!$E$4:$AE$4,0)))</f>
        <v>5826.1944158878568</v>
      </c>
      <c r="BI90" s="71">
        <f>IF(BI$8=0,0,INDEX('Multi-Year Inputs'!$E$12:$AE$15,MATCH($B90,'Multi-Year Inputs'!$D$12:$D$15,0),MATCH(BI$7,'Multi-Year Inputs'!$E$4:$AE$4,0)))</f>
        <v>5826.1944158878568</v>
      </c>
      <c r="BJ90" s="71">
        <f>IF(BJ$8=0,0,INDEX('Multi-Year Inputs'!$E$12:$AE$15,MATCH($B90,'Multi-Year Inputs'!$D$12:$D$15,0),MATCH(BJ$7,'Multi-Year Inputs'!$E$4:$AE$4,0)))</f>
        <v>5826.1944158878568</v>
      </c>
      <c r="BK90" s="71">
        <f>IF(BK$8=0,0,INDEX('Multi-Year Inputs'!$E$12:$AE$15,MATCH($B90,'Multi-Year Inputs'!$D$12:$D$15,0),MATCH(BK$7,'Multi-Year Inputs'!$E$4:$AE$4,0)))</f>
        <v>5826.1944158878568</v>
      </c>
      <c r="BL90" s="71">
        <f>IF(BL$8=0,0,INDEX('Multi-Year Inputs'!$E$12:$AE$15,MATCH($B90,'Multi-Year Inputs'!$D$12:$D$15,0),MATCH(BL$7,'Multi-Year Inputs'!$E$4:$AE$4,0)))</f>
        <v>5826.1944158878568</v>
      </c>
      <c r="BM90" s="71">
        <f>IF(BM$8=0,0,INDEX('Multi-Year Inputs'!$E$12:$AE$15,MATCH($B90,'Multi-Year Inputs'!$D$12:$D$15,0),MATCH(BM$7,'Multi-Year Inputs'!$E$4:$AE$4,0)))</f>
        <v>5826.1944158878568</v>
      </c>
      <c r="BN90" s="72"/>
      <c r="BO90" s="72"/>
      <c r="BP90" s="72"/>
      <c r="BS90" s="76" t="s">
        <v>89</v>
      </c>
      <c r="BT90" s="51" t="s">
        <v>17</v>
      </c>
    </row>
    <row r="91" spans="1:72" s="5" customFormat="1" x14ac:dyDescent="0.25">
      <c r="A91" s="52"/>
      <c r="B91" s="242" t="str">
        <f t="shared" si="85"/>
        <v>Low-Income</v>
      </c>
      <c r="C91" s="242" t="str">
        <f>C90</f>
        <v>Customers</v>
      </c>
      <c r="D91" s="244" t="s">
        <v>40</v>
      </c>
      <c r="E91" s="77" t="s">
        <v>40</v>
      </c>
      <c r="F91" s="76" t="s">
        <v>2</v>
      </c>
      <c r="G91" s="65">
        <f ca="1">IF($C$4=Lookups!$D$40,IF(SUM(INDIRECT("'Yr1'!"&amp;ADDRESS(ROW(G91),COLUMN(G91))),INDIRECT("'Yr2'!"&amp;ADDRESS(ROW(G91),COLUMN(G91))),INDIRECT("'Yr3'!"&amp;ADDRESS(ROW(G91),COLUMN(G91))))&gt;0,"3 Yr. total",0),
IF(G$7&lt;$C$4,0,IF(G$8&lt;=SUMIFS('EE Inputs'!$V$9:$V$32,'EE Inputs'!$C$9:$C$32,$G$6,'EE Inputs'!$D$9:$D$32,$C$4,'EE Inputs'!$E$9:$E$32,$B91),SUMIFS('EE Inputs'!$V$9:$V$32,'EE Inputs'!$C$9:$C$32,$G$6,'EE Inputs'!$D$9:$D$32,$C$4,'EE Inputs'!$E$9:$E$32,$B91),0)))</f>
        <v>20</v>
      </c>
      <c r="H91" s="65">
        <f ca="1">IF($C$4=Lookups!$D$40,IF(SUM(INDIRECT("'Yr1'!"&amp;ADDRESS(ROW(H91),COLUMN(H91))),INDIRECT("'Yr2'!"&amp;ADDRESS(ROW(H91),COLUMN(H91))),INDIRECT("'Yr3'!"&amp;ADDRESS(ROW(H91),COLUMN(H91))))&gt;0,"3 Yr. total",0),
IF(H$7&lt;$C$4,0,IF(H$8&lt;=SUMIFS('EE Inputs'!$V$9:$V$32,'EE Inputs'!$C$9:$C$32,$G$6,'EE Inputs'!$D$9:$D$32,$C$4,'EE Inputs'!$E$9:$E$32,$B91),SUMIFS('EE Inputs'!$V$9:$V$32,'EE Inputs'!$C$9:$C$32,$G$6,'EE Inputs'!$D$9:$D$32,$C$4,'EE Inputs'!$E$9:$E$32,$B91),0)))</f>
        <v>20</v>
      </c>
      <c r="I91" s="65">
        <f ca="1">IF($C$4=Lookups!$D$40,IF(SUM(INDIRECT("'Yr1'!"&amp;ADDRESS(ROW(I91),COLUMN(I91))),INDIRECT("'Yr2'!"&amp;ADDRESS(ROW(I91),COLUMN(I91))),INDIRECT("'Yr3'!"&amp;ADDRESS(ROW(I91),COLUMN(I91))))&gt;0,"3 Yr. total",0),
IF(I$7&lt;$C$4,0,IF(I$8&lt;=SUMIFS('EE Inputs'!$V$9:$V$32,'EE Inputs'!$C$9:$C$32,$G$6,'EE Inputs'!$D$9:$D$32,$C$4,'EE Inputs'!$E$9:$E$32,$B91),SUMIFS('EE Inputs'!$V$9:$V$32,'EE Inputs'!$C$9:$C$32,$G$6,'EE Inputs'!$D$9:$D$32,$C$4,'EE Inputs'!$E$9:$E$32,$B91),0)))</f>
        <v>20</v>
      </c>
      <c r="J91" s="65">
        <f ca="1">IF($C$4=Lookups!$D$40,IF(SUM(INDIRECT("'Yr1'!"&amp;ADDRESS(ROW(J91),COLUMN(J91))),INDIRECT("'Yr2'!"&amp;ADDRESS(ROW(J91),COLUMN(J91))),INDIRECT("'Yr3'!"&amp;ADDRESS(ROW(J91),COLUMN(J91))))&gt;0,"3 Yr. total",0),
IF(J$7&lt;$C$4,0,IF(J$8&lt;=SUMIFS('EE Inputs'!$V$9:$V$32,'EE Inputs'!$C$9:$C$32,$G$6,'EE Inputs'!$D$9:$D$32,$C$4,'EE Inputs'!$E$9:$E$32,$B91),SUMIFS('EE Inputs'!$V$9:$V$32,'EE Inputs'!$C$9:$C$32,$G$6,'EE Inputs'!$D$9:$D$32,$C$4,'EE Inputs'!$E$9:$E$32,$B91),0)))</f>
        <v>20</v>
      </c>
      <c r="K91" s="65">
        <f ca="1">IF($C$4=Lookups!$D$40,IF(SUM(INDIRECT("'Yr1'!"&amp;ADDRESS(ROW(K91),COLUMN(K91))),INDIRECT("'Yr2'!"&amp;ADDRESS(ROW(K91),COLUMN(K91))),INDIRECT("'Yr3'!"&amp;ADDRESS(ROW(K91),COLUMN(K91))))&gt;0,"3 Yr. total",0),
IF(K$7&lt;$C$4,0,IF(K$8&lt;=SUMIFS('EE Inputs'!$V$9:$V$32,'EE Inputs'!$C$9:$C$32,$G$6,'EE Inputs'!$D$9:$D$32,$C$4,'EE Inputs'!$E$9:$E$32,$B91),SUMIFS('EE Inputs'!$V$9:$V$32,'EE Inputs'!$C$9:$C$32,$G$6,'EE Inputs'!$D$9:$D$32,$C$4,'EE Inputs'!$E$9:$E$32,$B91),0)))</f>
        <v>20</v>
      </c>
      <c r="L91" s="65">
        <f ca="1">IF($C$4=Lookups!$D$40,IF(SUM(INDIRECT("'Yr1'!"&amp;ADDRESS(ROW(L91),COLUMN(L91))),INDIRECT("'Yr2'!"&amp;ADDRESS(ROW(L91),COLUMN(L91))),INDIRECT("'Yr3'!"&amp;ADDRESS(ROW(L91),COLUMN(L91))))&gt;0,"3 Yr. total",0),
IF(L$7&lt;$C$4,0,IF(L$8&lt;=SUMIFS('EE Inputs'!$V$9:$V$32,'EE Inputs'!$C$9:$C$32,$G$6,'EE Inputs'!$D$9:$D$32,$C$4,'EE Inputs'!$E$9:$E$32,$B91),SUMIFS('EE Inputs'!$V$9:$V$32,'EE Inputs'!$C$9:$C$32,$G$6,'EE Inputs'!$D$9:$D$32,$C$4,'EE Inputs'!$E$9:$E$32,$B91),0)))</f>
        <v>20</v>
      </c>
      <c r="M91" s="65">
        <f ca="1">IF($C$4=Lookups!$D$40,IF(SUM(INDIRECT("'Yr1'!"&amp;ADDRESS(ROW(M91),COLUMN(M91))),INDIRECT("'Yr2'!"&amp;ADDRESS(ROW(M91),COLUMN(M91))),INDIRECT("'Yr3'!"&amp;ADDRESS(ROW(M91),COLUMN(M91))))&gt;0,"3 Yr. total",0),
IF(M$7&lt;$C$4,0,IF(M$8&lt;=SUMIFS('EE Inputs'!$V$9:$V$32,'EE Inputs'!$C$9:$C$32,$G$6,'EE Inputs'!$D$9:$D$32,$C$4,'EE Inputs'!$E$9:$E$32,$B91),SUMIFS('EE Inputs'!$V$9:$V$32,'EE Inputs'!$C$9:$C$32,$G$6,'EE Inputs'!$D$9:$D$32,$C$4,'EE Inputs'!$E$9:$E$32,$B91),0)))</f>
        <v>20</v>
      </c>
      <c r="N91" s="65">
        <f ca="1">IF($C$4=Lookups!$D$40,IF(SUM(INDIRECT("'Yr1'!"&amp;ADDRESS(ROW(N91),COLUMN(N91))),INDIRECT("'Yr2'!"&amp;ADDRESS(ROW(N91),COLUMN(N91))),INDIRECT("'Yr3'!"&amp;ADDRESS(ROW(N91),COLUMN(N91))))&gt;0,"3 Yr. total",0),
IF(N$7&lt;$C$4,0,IF(N$8&lt;=SUMIFS('EE Inputs'!$V$9:$V$32,'EE Inputs'!$C$9:$C$32,$G$6,'EE Inputs'!$D$9:$D$32,$C$4,'EE Inputs'!$E$9:$E$32,$B91),SUMIFS('EE Inputs'!$V$9:$V$32,'EE Inputs'!$C$9:$C$32,$G$6,'EE Inputs'!$D$9:$D$32,$C$4,'EE Inputs'!$E$9:$E$32,$B91),0)))</f>
        <v>20</v>
      </c>
      <c r="O91" s="65">
        <f ca="1">IF($C$4=Lookups!$D$40,IF(SUM(INDIRECT("'Yr1'!"&amp;ADDRESS(ROW(O91),COLUMN(O91))),INDIRECT("'Yr2'!"&amp;ADDRESS(ROW(O91),COLUMN(O91))),INDIRECT("'Yr3'!"&amp;ADDRESS(ROW(O91),COLUMN(O91))))&gt;0,"3 Yr. total",0),
IF(O$7&lt;$C$4,0,IF(O$8&lt;=SUMIFS('EE Inputs'!$V$9:$V$32,'EE Inputs'!$C$9:$C$32,$G$6,'EE Inputs'!$D$9:$D$32,$C$4,'EE Inputs'!$E$9:$E$32,$B91),SUMIFS('EE Inputs'!$V$9:$V$32,'EE Inputs'!$C$9:$C$32,$G$6,'EE Inputs'!$D$9:$D$32,$C$4,'EE Inputs'!$E$9:$E$32,$B91),0)))</f>
        <v>20</v>
      </c>
      <c r="P91" s="65">
        <f ca="1">IF($C$4=Lookups!$D$40,IF(SUM(INDIRECT("'Yr1'!"&amp;ADDRESS(ROW(P91),COLUMN(P91))),INDIRECT("'Yr2'!"&amp;ADDRESS(ROW(P91),COLUMN(P91))),INDIRECT("'Yr3'!"&amp;ADDRESS(ROW(P91),COLUMN(P91))))&gt;0,"3 Yr. total",0),
IF(P$7&lt;$C$4,0,IF(P$8&lt;=SUMIFS('EE Inputs'!$V$9:$V$32,'EE Inputs'!$C$9:$C$32,$G$6,'EE Inputs'!$D$9:$D$32,$C$4,'EE Inputs'!$E$9:$E$32,$B91),SUMIFS('EE Inputs'!$V$9:$V$32,'EE Inputs'!$C$9:$C$32,$G$6,'EE Inputs'!$D$9:$D$32,$C$4,'EE Inputs'!$E$9:$E$32,$B91),0)))</f>
        <v>20</v>
      </c>
      <c r="Q91" s="65">
        <f ca="1">IF($C$4=Lookups!$D$40,IF(SUM(INDIRECT("'Yr1'!"&amp;ADDRESS(ROW(Q91),COLUMN(Q91))),INDIRECT("'Yr2'!"&amp;ADDRESS(ROW(Q91),COLUMN(Q91))),INDIRECT("'Yr3'!"&amp;ADDRESS(ROW(Q91),COLUMN(Q91))))&gt;0,"3 Yr. total",0),
IF(Q$7&lt;$C$4,0,IF(Q$8&lt;=SUMIFS('EE Inputs'!$V$9:$V$32,'EE Inputs'!$C$9:$C$32,$G$6,'EE Inputs'!$D$9:$D$32,$C$4,'EE Inputs'!$E$9:$E$32,$B91),SUMIFS('EE Inputs'!$V$9:$V$32,'EE Inputs'!$C$9:$C$32,$G$6,'EE Inputs'!$D$9:$D$32,$C$4,'EE Inputs'!$E$9:$E$32,$B91),0)))</f>
        <v>20</v>
      </c>
      <c r="R91" s="65">
        <f ca="1">IF($C$4=Lookups!$D$40,IF(SUM(INDIRECT("'Yr1'!"&amp;ADDRESS(ROW(R91),COLUMN(R91))),INDIRECT("'Yr2'!"&amp;ADDRESS(ROW(R91),COLUMN(R91))),INDIRECT("'Yr3'!"&amp;ADDRESS(ROW(R91),COLUMN(R91))))&gt;0,"3 Yr. total",0),
IF(R$7&lt;$C$4,0,IF(R$8&lt;=SUMIFS('EE Inputs'!$V$9:$V$32,'EE Inputs'!$C$9:$C$32,$G$6,'EE Inputs'!$D$9:$D$32,$C$4,'EE Inputs'!$E$9:$E$32,$B91),SUMIFS('EE Inputs'!$V$9:$V$32,'EE Inputs'!$C$9:$C$32,$G$6,'EE Inputs'!$D$9:$D$32,$C$4,'EE Inputs'!$E$9:$E$32,$B91),0)))</f>
        <v>20</v>
      </c>
      <c r="S91" s="65">
        <f ca="1">IF($C$4=Lookups!$D$40,IF(SUM(INDIRECT("'Yr1'!"&amp;ADDRESS(ROW(S91),COLUMN(S91))),INDIRECT("'Yr2'!"&amp;ADDRESS(ROW(S91),COLUMN(S91))),INDIRECT("'Yr3'!"&amp;ADDRESS(ROW(S91),COLUMN(S91))))&gt;0,"3 Yr. total",0),
IF(S$7&lt;$C$4,0,IF(S$8&lt;=SUMIFS('EE Inputs'!$V$9:$V$32,'EE Inputs'!$C$9:$C$32,$G$6,'EE Inputs'!$D$9:$D$32,$C$4,'EE Inputs'!$E$9:$E$32,$B91),SUMIFS('EE Inputs'!$V$9:$V$32,'EE Inputs'!$C$9:$C$32,$G$6,'EE Inputs'!$D$9:$D$32,$C$4,'EE Inputs'!$E$9:$E$32,$B91),0)))</f>
        <v>20</v>
      </c>
      <c r="T91" s="65">
        <f ca="1">IF($C$4=Lookups!$D$40,IF(SUM(INDIRECT("'Yr1'!"&amp;ADDRESS(ROW(T91),COLUMN(T91))),INDIRECT("'Yr2'!"&amp;ADDRESS(ROW(T91),COLUMN(T91))),INDIRECT("'Yr3'!"&amp;ADDRESS(ROW(T91),COLUMN(T91))))&gt;0,"3 Yr. total",0),
IF(T$7&lt;$C$4,0,IF(T$8&lt;=SUMIFS('EE Inputs'!$V$9:$V$32,'EE Inputs'!$C$9:$C$32,$G$6,'EE Inputs'!$D$9:$D$32,$C$4,'EE Inputs'!$E$9:$E$32,$B91),SUMIFS('EE Inputs'!$V$9:$V$32,'EE Inputs'!$C$9:$C$32,$G$6,'EE Inputs'!$D$9:$D$32,$C$4,'EE Inputs'!$E$9:$E$32,$B91),0)))</f>
        <v>20</v>
      </c>
      <c r="U91" s="65">
        <f ca="1">IF($C$4=Lookups!$D$40,IF(SUM(INDIRECT("'Yr1'!"&amp;ADDRESS(ROW(U91),COLUMN(U91))),INDIRECT("'Yr2'!"&amp;ADDRESS(ROW(U91),COLUMN(U91))),INDIRECT("'Yr3'!"&amp;ADDRESS(ROW(U91),COLUMN(U91))))&gt;0,"3 Yr. total",0),
IF(U$7&lt;$C$4,0,IF(U$8&lt;=SUMIFS('EE Inputs'!$V$9:$V$32,'EE Inputs'!$C$9:$C$32,$G$6,'EE Inputs'!$D$9:$D$32,$C$4,'EE Inputs'!$E$9:$E$32,$B91),SUMIFS('EE Inputs'!$V$9:$V$32,'EE Inputs'!$C$9:$C$32,$G$6,'EE Inputs'!$D$9:$D$32,$C$4,'EE Inputs'!$E$9:$E$32,$B91),0)))</f>
        <v>20</v>
      </c>
      <c r="V91" s="65">
        <f ca="1">IF($C$4=Lookups!$D$40,IF(SUM(INDIRECT("'Yr1'!"&amp;ADDRESS(ROW(V91),COLUMN(V91))),INDIRECT("'Yr2'!"&amp;ADDRESS(ROW(V91),COLUMN(V91))),INDIRECT("'Yr3'!"&amp;ADDRESS(ROW(V91),COLUMN(V91))))&gt;0,"3 Yr. total",0),
IF(V$7&lt;$C$4,0,IF(V$8&lt;=SUMIFS('EE Inputs'!$V$9:$V$32,'EE Inputs'!$C$9:$C$32,$G$6,'EE Inputs'!$D$9:$D$32,$C$4,'EE Inputs'!$E$9:$E$32,$B91),SUMIFS('EE Inputs'!$V$9:$V$32,'EE Inputs'!$C$9:$C$32,$G$6,'EE Inputs'!$D$9:$D$32,$C$4,'EE Inputs'!$E$9:$E$32,$B91),0)))</f>
        <v>20</v>
      </c>
      <c r="W91" s="65">
        <f ca="1">IF($C$4=Lookups!$D$40,IF(SUM(INDIRECT("'Yr1'!"&amp;ADDRESS(ROW(W91),COLUMN(W91))),INDIRECT("'Yr2'!"&amp;ADDRESS(ROW(W91),COLUMN(W91))),INDIRECT("'Yr3'!"&amp;ADDRESS(ROW(W91),COLUMN(W91))))&gt;0,"3 Yr. total",0),
IF(W$7&lt;$C$4,0,IF(W$8&lt;=SUMIFS('EE Inputs'!$V$9:$V$32,'EE Inputs'!$C$9:$C$32,$G$6,'EE Inputs'!$D$9:$D$32,$C$4,'EE Inputs'!$E$9:$E$32,$B91),SUMIFS('EE Inputs'!$V$9:$V$32,'EE Inputs'!$C$9:$C$32,$G$6,'EE Inputs'!$D$9:$D$32,$C$4,'EE Inputs'!$E$9:$E$32,$B91),0)))</f>
        <v>20</v>
      </c>
      <c r="X91" s="65">
        <f ca="1">IF($C$4=Lookups!$D$40,IF(SUM(INDIRECT("'Yr1'!"&amp;ADDRESS(ROW(X91),COLUMN(X91))),INDIRECT("'Yr2'!"&amp;ADDRESS(ROW(X91),COLUMN(X91))),INDIRECT("'Yr3'!"&amp;ADDRESS(ROW(X91),COLUMN(X91))))&gt;0,"3 Yr. total",0),
IF(X$7&lt;$C$4,0,IF(X$8&lt;=SUMIFS('EE Inputs'!$V$9:$V$32,'EE Inputs'!$C$9:$C$32,$G$6,'EE Inputs'!$D$9:$D$32,$C$4,'EE Inputs'!$E$9:$E$32,$B91),SUMIFS('EE Inputs'!$V$9:$V$32,'EE Inputs'!$C$9:$C$32,$G$6,'EE Inputs'!$D$9:$D$32,$C$4,'EE Inputs'!$E$9:$E$32,$B91),0)))</f>
        <v>20</v>
      </c>
      <c r="Y91" s="65">
        <f ca="1">IF($C$4=Lookups!$D$40,IF(SUM(INDIRECT("'Yr1'!"&amp;ADDRESS(ROW(Y91),COLUMN(Y91))),INDIRECT("'Yr2'!"&amp;ADDRESS(ROW(Y91),COLUMN(Y91))),INDIRECT("'Yr3'!"&amp;ADDRESS(ROW(Y91),COLUMN(Y91))))&gt;0,"3 Yr. total",0),
IF(Y$7&lt;$C$4,0,IF(Y$8&lt;=SUMIFS('EE Inputs'!$V$9:$V$32,'EE Inputs'!$C$9:$C$32,$G$6,'EE Inputs'!$D$9:$D$32,$C$4,'EE Inputs'!$E$9:$E$32,$B91),SUMIFS('EE Inputs'!$V$9:$V$32,'EE Inputs'!$C$9:$C$32,$G$6,'EE Inputs'!$D$9:$D$32,$C$4,'EE Inputs'!$E$9:$E$32,$B91),0)))</f>
        <v>20</v>
      </c>
      <c r="Z91" s="65">
        <f ca="1">IF($C$4=Lookups!$D$40,IF(SUM(INDIRECT("'Yr1'!"&amp;ADDRESS(ROW(Z91),COLUMN(Z91))),INDIRECT("'Yr2'!"&amp;ADDRESS(ROW(Z91),COLUMN(Z91))),INDIRECT("'Yr3'!"&amp;ADDRESS(ROW(Z91),COLUMN(Z91))))&gt;0,"3 Yr. total",0),
IF(Z$7&lt;$C$4,0,IF(Z$8&lt;=SUMIFS('EE Inputs'!$V$9:$V$32,'EE Inputs'!$C$9:$C$32,$G$6,'EE Inputs'!$D$9:$D$32,$C$4,'EE Inputs'!$E$9:$E$32,$B91),SUMIFS('EE Inputs'!$V$9:$V$32,'EE Inputs'!$C$9:$C$32,$G$6,'EE Inputs'!$D$9:$D$32,$C$4,'EE Inputs'!$E$9:$E$32,$B91),0)))</f>
        <v>20</v>
      </c>
      <c r="AA91" s="65">
        <f ca="1">IF($C$4=Lookups!$D$40,IF(SUM(INDIRECT("'Yr1'!"&amp;ADDRESS(ROW(AA91),COLUMN(AA91))),INDIRECT("'Yr2'!"&amp;ADDRESS(ROW(AA91),COLUMN(AA91))),INDIRECT("'Yr3'!"&amp;ADDRESS(ROW(AA91),COLUMN(AA91))))&gt;0,"3 Yr. total",0),
IF(AA$7&lt;$C$4,0,IF(AA$8&lt;=SUMIFS('EE Inputs'!$V$9:$V$32,'EE Inputs'!$C$9:$C$32,$G$6,'EE Inputs'!$D$9:$D$32,$C$4,'EE Inputs'!$E$9:$E$32,$B91),SUMIFS('EE Inputs'!$V$9:$V$32,'EE Inputs'!$C$9:$C$32,$G$6,'EE Inputs'!$D$9:$D$32,$C$4,'EE Inputs'!$E$9:$E$32,$B91),0)))</f>
        <v>0</v>
      </c>
      <c r="AB91" s="65">
        <f ca="1">IF($C$4=Lookups!$D$40,IF(SUM(INDIRECT("'Yr1'!"&amp;ADDRESS(ROW(AB91),COLUMN(AB91))),INDIRECT("'Yr2'!"&amp;ADDRESS(ROW(AB91),COLUMN(AB91))),INDIRECT("'Yr3'!"&amp;ADDRESS(ROW(AB91),COLUMN(AB91))))&gt;0,"3 Yr. total",0),
IF(AB$7&lt;$C$4,0,IF(AB$8&lt;=SUMIFS('EE Inputs'!$V$9:$V$32,'EE Inputs'!$C$9:$C$32,$G$6,'EE Inputs'!$D$9:$D$32,$C$4,'EE Inputs'!$E$9:$E$32,$B91),SUMIFS('EE Inputs'!$V$9:$V$32,'EE Inputs'!$C$9:$C$32,$G$6,'EE Inputs'!$D$9:$D$32,$C$4,'EE Inputs'!$E$9:$E$32,$B91),0)))</f>
        <v>0</v>
      </c>
      <c r="AC91" s="65">
        <f ca="1">IF($C$4=Lookups!$D$40,IF(SUM(INDIRECT("'Yr1'!"&amp;ADDRESS(ROW(AC91),COLUMN(AC91))),INDIRECT("'Yr2'!"&amp;ADDRESS(ROW(AC91),COLUMN(AC91))),INDIRECT("'Yr3'!"&amp;ADDRESS(ROW(AC91),COLUMN(AC91))))&gt;0,"3 Yr. total",0),
IF(AC$7&lt;$C$4,0,IF(AC$8&lt;=SUMIFS('EE Inputs'!$V$9:$V$32,'EE Inputs'!$C$9:$C$32,$G$6,'EE Inputs'!$D$9:$D$32,$C$4,'EE Inputs'!$E$9:$E$32,$B91),SUMIFS('EE Inputs'!$V$9:$V$32,'EE Inputs'!$C$9:$C$32,$G$6,'EE Inputs'!$D$9:$D$32,$C$4,'EE Inputs'!$E$9:$E$32,$B91),0)))</f>
        <v>0</v>
      </c>
      <c r="AD91" s="65">
        <f ca="1">IF($C$4=Lookups!$D$40,IF(SUM(INDIRECT("'Yr1'!"&amp;ADDRESS(ROW(AD91),COLUMN(AD91))),INDIRECT("'Yr2'!"&amp;ADDRESS(ROW(AD91),COLUMN(AD91))),INDIRECT("'Yr3'!"&amp;ADDRESS(ROW(AD91),COLUMN(AD91))))&gt;0,"3 Yr. total",0),
IF(AD$7&lt;$C$4,0,IF(AD$8&lt;=SUMIFS('EE Inputs'!$V$9:$V$32,'EE Inputs'!$C$9:$C$32,$G$6,'EE Inputs'!$D$9:$D$32,$C$4,'EE Inputs'!$E$9:$E$32,$B91),SUMIFS('EE Inputs'!$V$9:$V$32,'EE Inputs'!$C$9:$C$32,$G$6,'EE Inputs'!$D$9:$D$32,$C$4,'EE Inputs'!$E$9:$E$32,$B91),0)))</f>
        <v>0</v>
      </c>
      <c r="AE91" s="65">
        <f ca="1">IF($C$4=Lookups!$D$40,IF(SUM(INDIRECT("'Yr1'!"&amp;ADDRESS(ROW(AE91),COLUMN(AE91))),INDIRECT("'Yr2'!"&amp;ADDRESS(ROW(AE91),COLUMN(AE91))),INDIRECT("'Yr3'!"&amp;ADDRESS(ROW(AE91),COLUMN(AE91))))&gt;0,"3 Yr. total",0),
IF(AE$7&lt;$C$4,0,IF(AE$8&lt;=SUMIFS('EE Inputs'!$V$9:$V$32,'EE Inputs'!$C$9:$C$32,$G$6,'EE Inputs'!$D$9:$D$32,$C$4,'EE Inputs'!$E$9:$E$32,$B91),SUMIFS('EE Inputs'!$V$9:$V$32,'EE Inputs'!$C$9:$C$32,$G$6,'EE Inputs'!$D$9:$D$32,$C$4,'EE Inputs'!$E$9:$E$32,$B91),0)))</f>
        <v>0</v>
      </c>
      <c r="AF91" s="65">
        <f ca="1">IF($C$4=Lookups!$D$40,IF(SUM(INDIRECT("'Yr1'!"&amp;ADDRESS(ROW(AF91),COLUMN(AF91))),INDIRECT("'Yr2'!"&amp;ADDRESS(ROW(AF91),COLUMN(AF91))),INDIRECT("'Yr3'!"&amp;ADDRESS(ROW(AF91),COLUMN(AF91))))&gt;0,"3 Yr. total",0),
IF(AF$7&lt;$C$4,0,IF(AF$8&lt;=SUMIFS('EE Inputs'!$V$9:$V$32,'EE Inputs'!$C$9:$C$32,$G$6,'EE Inputs'!$D$9:$D$32,$C$4,'EE Inputs'!$E$9:$E$32,$B91),SUMIFS('EE Inputs'!$V$9:$V$32,'EE Inputs'!$C$9:$C$32,$G$6,'EE Inputs'!$D$9:$D$32,$C$4,'EE Inputs'!$E$9:$E$32,$B91),0)))</f>
        <v>0</v>
      </c>
      <c r="AG91" s="65">
        <f ca="1">IF($C$4=Lookups!$D$40,IF(SUM(INDIRECT("'Yr1'!"&amp;ADDRESS(ROW(AG91),COLUMN(AG91))),INDIRECT("'Yr2'!"&amp;ADDRESS(ROW(AG91),COLUMN(AG91))),INDIRECT("'Yr3'!"&amp;ADDRESS(ROW(AG91),COLUMN(AG91))))&gt;0,"3 Yr. total",0),
IF(AG$7&lt;$C$4,0,IF(AG$8&lt;=SUMIFS('EE Inputs'!$V$9:$V$32,'EE Inputs'!$C$9:$C$32,$G$6,'EE Inputs'!$D$9:$D$32,$C$4,'EE Inputs'!$E$9:$E$32,$B91),SUMIFS('EE Inputs'!$V$9:$V$32,'EE Inputs'!$C$9:$C$32,$G$6,'EE Inputs'!$D$9:$D$32,$C$4,'EE Inputs'!$E$9:$E$32,$B91),0)))</f>
        <v>0</v>
      </c>
      <c r="AH91" s="65"/>
      <c r="AI91" s="65"/>
      <c r="AJ91" s="65"/>
      <c r="AM91" s="72">
        <f ca="1">IF($C$4=Lookups!$D$40,IF(SUM(INDIRECT("'Yr1'!"&amp;ADDRESS(ROW(AM91),COLUMN(AM91))),INDIRECT("'Yr2'!"&amp;ADDRESS(ROW(AM91),COLUMN(AM91))),INDIRECT("'Yr3'!"&amp;ADDRESS(ROW(AM91),COLUMN(AM91))))&gt;0,"3 Yr. total",0),
IF(AM$7&lt;$C$4,0,IF(AM$8&lt;=SUMIFS('EE Inputs'!$V$9:$V$32,'EE Inputs'!$C$9:$C$32,$AM$6,'EE Inputs'!$D$9:$D$32,$C$4,'EE Inputs'!$E$9:$E$32,$B91),SUMIFS('EE Inputs'!$V$9:$V$32,'EE Inputs'!$C$9:$C$32,$AM$6,'EE Inputs'!$D$9:$D$32,$C$4,'EE Inputs'!$E$9:$E$32,$B91),0)))</f>
        <v>20</v>
      </c>
      <c r="AN91" s="72">
        <f ca="1">IF($C$4=Lookups!$D$40,IF(SUM(INDIRECT("'Yr1'!"&amp;ADDRESS(ROW(AN91),COLUMN(AN91))),INDIRECT("'Yr2'!"&amp;ADDRESS(ROW(AN91),COLUMN(AN91))),INDIRECT("'Yr3'!"&amp;ADDRESS(ROW(AN91),COLUMN(AN91))))&gt;0,"3 Yr. total",0),
IF(AN$7&lt;$C$4,0,IF(AN$8&lt;=SUMIFS('EE Inputs'!$V$9:$V$32,'EE Inputs'!$C$9:$C$32,$AM$6,'EE Inputs'!$D$9:$D$32,$C$4,'EE Inputs'!$E$9:$E$32,$B91),SUMIFS('EE Inputs'!$V$9:$V$32,'EE Inputs'!$C$9:$C$32,$AM$6,'EE Inputs'!$D$9:$D$32,$C$4,'EE Inputs'!$E$9:$E$32,$B91),0)))</f>
        <v>20</v>
      </c>
      <c r="AO91" s="72">
        <f ca="1">IF($C$4=Lookups!$D$40,IF(SUM(INDIRECT("'Yr1'!"&amp;ADDRESS(ROW(AO91),COLUMN(AO91))),INDIRECT("'Yr2'!"&amp;ADDRESS(ROW(AO91),COLUMN(AO91))),INDIRECT("'Yr3'!"&amp;ADDRESS(ROW(AO91),COLUMN(AO91))))&gt;0,"3 Yr. total",0),
IF(AO$7&lt;$C$4,0,IF(AO$8&lt;=SUMIFS('EE Inputs'!$V$9:$V$32,'EE Inputs'!$C$9:$C$32,$AM$6,'EE Inputs'!$D$9:$D$32,$C$4,'EE Inputs'!$E$9:$E$32,$B91),SUMIFS('EE Inputs'!$V$9:$V$32,'EE Inputs'!$C$9:$C$32,$AM$6,'EE Inputs'!$D$9:$D$32,$C$4,'EE Inputs'!$E$9:$E$32,$B91),0)))</f>
        <v>20</v>
      </c>
      <c r="AP91" s="72">
        <f ca="1">IF($C$4=Lookups!$D$40,IF(SUM(INDIRECT("'Yr1'!"&amp;ADDRESS(ROW(AP91),COLUMN(AP91))),INDIRECT("'Yr2'!"&amp;ADDRESS(ROW(AP91),COLUMN(AP91))),INDIRECT("'Yr3'!"&amp;ADDRESS(ROW(AP91),COLUMN(AP91))))&gt;0,"3 Yr. total",0),
IF(AP$7&lt;$C$4,0,IF(AP$8&lt;=SUMIFS('EE Inputs'!$V$9:$V$32,'EE Inputs'!$C$9:$C$32,$AM$6,'EE Inputs'!$D$9:$D$32,$C$4,'EE Inputs'!$E$9:$E$32,$B91),SUMIFS('EE Inputs'!$V$9:$V$32,'EE Inputs'!$C$9:$C$32,$AM$6,'EE Inputs'!$D$9:$D$32,$C$4,'EE Inputs'!$E$9:$E$32,$B91),0)))</f>
        <v>20</v>
      </c>
      <c r="AQ91" s="72">
        <f ca="1">IF($C$4=Lookups!$D$40,IF(SUM(INDIRECT("'Yr1'!"&amp;ADDRESS(ROW(AQ91),COLUMN(AQ91))),INDIRECT("'Yr2'!"&amp;ADDRESS(ROW(AQ91),COLUMN(AQ91))),INDIRECT("'Yr3'!"&amp;ADDRESS(ROW(AQ91),COLUMN(AQ91))))&gt;0,"3 Yr. total",0),
IF(AQ$7&lt;$C$4,0,IF(AQ$8&lt;=SUMIFS('EE Inputs'!$V$9:$V$32,'EE Inputs'!$C$9:$C$32,$AM$6,'EE Inputs'!$D$9:$D$32,$C$4,'EE Inputs'!$E$9:$E$32,$B91),SUMIFS('EE Inputs'!$V$9:$V$32,'EE Inputs'!$C$9:$C$32,$AM$6,'EE Inputs'!$D$9:$D$32,$C$4,'EE Inputs'!$E$9:$E$32,$B91),0)))</f>
        <v>20</v>
      </c>
      <c r="AR91" s="72">
        <f ca="1">IF($C$4=Lookups!$D$40,IF(SUM(INDIRECT("'Yr1'!"&amp;ADDRESS(ROW(AR91),COLUMN(AR91))),INDIRECT("'Yr2'!"&amp;ADDRESS(ROW(AR91),COLUMN(AR91))),INDIRECT("'Yr3'!"&amp;ADDRESS(ROW(AR91),COLUMN(AR91))))&gt;0,"3 Yr. total",0),
IF(AR$7&lt;$C$4,0,IF(AR$8&lt;=SUMIFS('EE Inputs'!$V$9:$V$32,'EE Inputs'!$C$9:$C$32,$AM$6,'EE Inputs'!$D$9:$D$32,$C$4,'EE Inputs'!$E$9:$E$32,$B91),SUMIFS('EE Inputs'!$V$9:$V$32,'EE Inputs'!$C$9:$C$32,$AM$6,'EE Inputs'!$D$9:$D$32,$C$4,'EE Inputs'!$E$9:$E$32,$B91),0)))</f>
        <v>20</v>
      </c>
      <c r="AS91" s="72">
        <f ca="1">IF($C$4=Lookups!$D$40,IF(SUM(INDIRECT("'Yr1'!"&amp;ADDRESS(ROW(AS91),COLUMN(AS91))),INDIRECT("'Yr2'!"&amp;ADDRESS(ROW(AS91),COLUMN(AS91))),INDIRECT("'Yr3'!"&amp;ADDRESS(ROW(AS91),COLUMN(AS91))))&gt;0,"3 Yr. total",0),
IF(AS$7&lt;$C$4,0,IF(AS$8&lt;=SUMIFS('EE Inputs'!$V$9:$V$32,'EE Inputs'!$C$9:$C$32,$AM$6,'EE Inputs'!$D$9:$D$32,$C$4,'EE Inputs'!$E$9:$E$32,$B91),SUMIFS('EE Inputs'!$V$9:$V$32,'EE Inputs'!$C$9:$C$32,$AM$6,'EE Inputs'!$D$9:$D$32,$C$4,'EE Inputs'!$E$9:$E$32,$B91),0)))</f>
        <v>20</v>
      </c>
      <c r="AT91" s="72">
        <f ca="1">IF($C$4=Lookups!$D$40,IF(SUM(INDIRECT("'Yr1'!"&amp;ADDRESS(ROW(AT91),COLUMN(AT91))),INDIRECT("'Yr2'!"&amp;ADDRESS(ROW(AT91),COLUMN(AT91))),INDIRECT("'Yr3'!"&amp;ADDRESS(ROW(AT91),COLUMN(AT91))))&gt;0,"3 Yr. total",0),
IF(AT$7&lt;$C$4,0,IF(AT$8&lt;=SUMIFS('EE Inputs'!$V$9:$V$32,'EE Inputs'!$C$9:$C$32,$AM$6,'EE Inputs'!$D$9:$D$32,$C$4,'EE Inputs'!$E$9:$E$32,$B91),SUMIFS('EE Inputs'!$V$9:$V$32,'EE Inputs'!$C$9:$C$32,$AM$6,'EE Inputs'!$D$9:$D$32,$C$4,'EE Inputs'!$E$9:$E$32,$B91),0)))</f>
        <v>20</v>
      </c>
      <c r="AU91" s="72">
        <f ca="1">IF($C$4=Lookups!$D$40,IF(SUM(INDIRECT("'Yr1'!"&amp;ADDRESS(ROW(AU91),COLUMN(AU91))),INDIRECT("'Yr2'!"&amp;ADDRESS(ROW(AU91),COLUMN(AU91))),INDIRECT("'Yr3'!"&amp;ADDRESS(ROW(AU91),COLUMN(AU91))))&gt;0,"3 Yr. total",0),
IF(AU$7&lt;$C$4,0,IF(AU$8&lt;=SUMIFS('EE Inputs'!$V$9:$V$32,'EE Inputs'!$C$9:$C$32,$AM$6,'EE Inputs'!$D$9:$D$32,$C$4,'EE Inputs'!$E$9:$E$32,$B91),SUMIFS('EE Inputs'!$V$9:$V$32,'EE Inputs'!$C$9:$C$32,$AM$6,'EE Inputs'!$D$9:$D$32,$C$4,'EE Inputs'!$E$9:$E$32,$B91),0)))</f>
        <v>20</v>
      </c>
      <c r="AV91" s="72">
        <f ca="1">IF($C$4=Lookups!$D$40,IF(SUM(INDIRECT("'Yr1'!"&amp;ADDRESS(ROW(AV91),COLUMN(AV91))),INDIRECT("'Yr2'!"&amp;ADDRESS(ROW(AV91),COLUMN(AV91))),INDIRECT("'Yr3'!"&amp;ADDRESS(ROW(AV91),COLUMN(AV91))))&gt;0,"3 Yr. total",0),
IF(AV$7&lt;$C$4,0,IF(AV$8&lt;=SUMIFS('EE Inputs'!$V$9:$V$32,'EE Inputs'!$C$9:$C$32,$AM$6,'EE Inputs'!$D$9:$D$32,$C$4,'EE Inputs'!$E$9:$E$32,$B91),SUMIFS('EE Inputs'!$V$9:$V$32,'EE Inputs'!$C$9:$C$32,$AM$6,'EE Inputs'!$D$9:$D$32,$C$4,'EE Inputs'!$E$9:$E$32,$B91),0)))</f>
        <v>20</v>
      </c>
      <c r="AW91" s="72">
        <f ca="1">IF($C$4=Lookups!$D$40,IF(SUM(INDIRECT("'Yr1'!"&amp;ADDRESS(ROW(AW91),COLUMN(AW91))),INDIRECT("'Yr2'!"&amp;ADDRESS(ROW(AW91),COLUMN(AW91))),INDIRECT("'Yr3'!"&amp;ADDRESS(ROW(AW91),COLUMN(AW91))))&gt;0,"3 Yr. total",0),
IF(AW$7&lt;$C$4,0,IF(AW$8&lt;=SUMIFS('EE Inputs'!$V$9:$V$32,'EE Inputs'!$C$9:$C$32,$AM$6,'EE Inputs'!$D$9:$D$32,$C$4,'EE Inputs'!$E$9:$E$32,$B91),SUMIFS('EE Inputs'!$V$9:$V$32,'EE Inputs'!$C$9:$C$32,$AM$6,'EE Inputs'!$D$9:$D$32,$C$4,'EE Inputs'!$E$9:$E$32,$B91),0)))</f>
        <v>20</v>
      </c>
      <c r="AX91" s="72">
        <f ca="1">IF($C$4=Lookups!$D$40,IF(SUM(INDIRECT("'Yr1'!"&amp;ADDRESS(ROW(AX91),COLUMN(AX91))),INDIRECT("'Yr2'!"&amp;ADDRESS(ROW(AX91),COLUMN(AX91))),INDIRECT("'Yr3'!"&amp;ADDRESS(ROW(AX91),COLUMN(AX91))))&gt;0,"3 Yr. total",0),
IF(AX$7&lt;$C$4,0,IF(AX$8&lt;=SUMIFS('EE Inputs'!$V$9:$V$32,'EE Inputs'!$C$9:$C$32,$AM$6,'EE Inputs'!$D$9:$D$32,$C$4,'EE Inputs'!$E$9:$E$32,$B91),SUMIFS('EE Inputs'!$V$9:$V$32,'EE Inputs'!$C$9:$C$32,$AM$6,'EE Inputs'!$D$9:$D$32,$C$4,'EE Inputs'!$E$9:$E$32,$B91),0)))</f>
        <v>20</v>
      </c>
      <c r="AY91" s="72">
        <f ca="1">IF($C$4=Lookups!$D$40,IF(SUM(INDIRECT("'Yr1'!"&amp;ADDRESS(ROW(AY91),COLUMN(AY91))),INDIRECT("'Yr2'!"&amp;ADDRESS(ROW(AY91),COLUMN(AY91))),INDIRECT("'Yr3'!"&amp;ADDRESS(ROW(AY91),COLUMN(AY91))))&gt;0,"3 Yr. total",0),
IF(AY$7&lt;$C$4,0,IF(AY$8&lt;=SUMIFS('EE Inputs'!$V$9:$V$32,'EE Inputs'!$C$9:$C$32,$AM$6,'EE Inputs'!$D$9:$D$32,$C$4,'EE Inputs'!$E$9:$E$32,$B91),SUMIFS('EE Inputs'!$V$9:$V$32,'EE Inputs'!$C$9:$C$32,$AM$6,'EE Inputs'!$D$9:$D$32,$C$4,'EE Inputs'!$E$9:$E$32,$B91),0)))</f>
        <v>20</v>
      </c>
      <c r="AZ91" s="72">
        <f ca="1">IF($C$4=Lookups!$D$40,IF(SUM(INDIRECT("'Yr1'!"&amp;ADDRESS(ROW(AZ91),COLUMN(AZ91))),INDIRECT("'Yr2'!"&amp;ADDRESS(ROW(AZ91),COLUMN(AZ91))),INDIRECT("'Yr3'!"&amp;ADDRESS(ROW(AZ91),COLUMN(AZ91))))&gt;0,"3 Yr. total",0),
IF(AZ$7&lt;$C$4,0,IF(AZ$8&lt;=SUMIFS('EE Inputs'!$V$9:$V$32,'EE Inputs'!$C$9:$C$32,$AM$6,'EE Inputs'!$D$9:$D$32,$C$4,'EE Inputs'!$E$9:$E$32,$B91),SUMIFS('EE Inputs'!$V$9:$V$32,'EE Inputs'!$C$9:$C$32,$AM$6,'EE Inputs'!$D$9:$D$32,$C$4,'EE Inputs'!$E$9:$E$32,$B91),0)))</f>
        <v>20</v>
      </c>
      <c r="BA91" s="72">
        <f ca="1">IF($C$4=Lookups!$D$40,IF(SUM(INDIRECT("'Yr1'!"&amp;ADDRESS(ROW(BA91),COLUMN(BA91))),INDIRECT("'Yr2'!"&amp;ADDRESS(ROW(BA91),COLUMN(BA91))),INDIRECT("'Yr3'!"&amp;ADDRESS(ROW(BA91),COLUMN(BA91))))&gt;0,"3 Yr. total",0),
IF(BA$7&lt;$C$4,0,IF(BA$8&lt;=SUMIFS('EE Inputs'!$V$9:$V$32,'EE Inputs'!$C$9:$C$32,$AM$6,'EE Inputs'!$D$9:$D$32,$C$4,'EE Inputs'!$E$9:$E$32,$B91),SUMIFS('EE Inputs'!$V$9:$V$32,'EE Inputs'!$C$9:$C$32,$AM$6,'EE Inputs'!$D$9:$D$32,$C$4,'EE Inputs'!$E$9:$E$32,$B91),0)))</f>
        <v>20</v>
      </c>
      <c r="BB91" s="72">
        <f ca="1">IF($C$4=Lookups!$D$40,IF(SUM(INDIRECT("'Yr1'!"&amp;ADDRESS(ROW(BB91),COLUMN(BB91))),INDIRECT("'Yr2'!"&amp;ADDRESS(ROW(BB91),COLUMN(BB91))),INDIRECT("'Yr3'!"&amp;ADDRESS(ROW(BB91),COLUMN(BB91))))&gt;0,"3 Yr. total",0),
IF(BB$7&lt;$C$4,0,IF(BB$8&lt;=SUMIFS('EE Inputs'!$V$9:$V$32,'EE Inputs'!$C$9:$C$32,$AM$6,'EE Inputs'!$D$9:$D$32,$C$4,'EE Inputs'!$E$9:$E$32,$B91),SUMIFS('EE Inputs'!$V$9:$V$32,'EE Inputs'!$C$9:$C$32,$AM$6,'EE Inputs'!$D$9:$D$32,$C$4,'EE Inputs'!$E$9:$E$32,$B91),0)))</f>
        <v>20</v>
      </c>
      <c r="BC91" s="72">
        <f ca="1">IF($C$4=Lookups!$D$40,IF(SUM(INDIRECT("'Yr1'!"&amp;ADDRESS(ROW(BC91),COLUMN(BC91))),INDIRECT("'Yr2'!"&amp;ADDRESS(ROW(BC91),COLUMN(BC91))),INDIRECT("'Yr3'!"&amp;ADDRESS(ROW(BC91),COLUMN(BC91))))&gt;0,"3 Yr. total",0),
IF(BC$7&lt;$C$4,0,IF(BC$8&lt;=SUMIFS('EE Inputs'!$V$9:$V$32,'EE Inputs'!$C$9:$C$32,$AM$6,'EE Inputs'!$D$9:$D$32,$C$4,'EE Inputs'!$E$9:$E$32,$B91),SUMIFS('EE Inputs'!$V$9:$V$32,'EE Inputs'!$C$9:$C$32,$AM$6,'EE Inputs'!$D$9:$D$32,$C$4,'EE Inputs'!$E$9:$E$32,$B91),0)))</f>
        <v>20</v>
      </c>
      <c r="BD91" s="72">
        <f ca="1">IF($C$4=Lookups!$D$40,IF(SUM(INDIRECT("'Yr1'!"&amp;ADDRESS(ROW(BD91),COLUMN(BD91))),INDIRECT("'Yr2'!"&amp;ADDRESS(ROW(BD91),COLUMN(BD91))),INDIRECT("'Yr3'!"&amp;ADDRESS(ROW(BD91),COLUMN(BD91))))&gt;0,"3 Yr. total",0),
IF(BD$7&lt;$C$4,0,IF(BD$8&lt;=SUMIFS('EE Inputs'!$V$9:$V$32,'EE Inputs'!$C$9:$C$32,$AM$6,'EE Inputs'!$D$9:$D$32,$C$4,'EE Inputs'!$E$9:$E$32,$B91),SUMIFS('EE Inputs'!$V$9:$V$32,'EE Inputs'!$C$9:$C$32,$AM$6,'EE Inputs'!$D$9:$D$32,$C$4,'EE Inputs'!$E$9:$E$32,$B91),0)))</f>
        <v>20</v>
      </c>
      <c r="BE91" s="72">
        <f ca="1">IF($C$4=Lookups!$D$40,IF(SUM(INDIRECT("'Yr1'!"&amp;ADDRESS(ROW(BE91),COLUMN(BE91))),INDIRECT("'Yr2'!"&amp;ADDRESS(ROW(BE91),COLUMN(BE91))),INDIRECT("'Yr3'!"&amp;ADDRESS(ROW(BE91),COLUMN(BE91))))&gt;0,"3 Yr. total",0),
IF(BE$7&lt;$C$4,0,IF(BE$8&lt;=SUMIFS('EE Inputs'!$V$9:$V$32,'EE Inputs'!$C$9:$C$32,$AM$6,'EE Inputs'!$D$9:$D$32,$C$4,'EE Inputs'!$E$9:$E$32,$B91),SUMIFS('EE Inputs'!$V$9:$V$32,'EE Inputs'!$C$9:$C$32,$AM$6,'EE Inputs'!$D$9:$D$32,$C$4,'EE Inputs'!$E$9:$E$32,$B91),0)))</f>
        <v>20</v>
      </c>
      <c r="BF91" s="72">
        <f ca="1">IF($C$4=Lookups!$D$40,IF(SUM(INDIRECT("'Yr1'!"&amp;ADDRESS(ROW(BF91),COLUMN(BF91))),INDIRECT("'Yr2'!"&amp;ADDRESS(ROW(BF91),COLUMN(BF91))),INDIRECT("'Yr3'!"&amp;ADDRESS(ROW(BF91),COLUMN(BF91))))&gt;0,"3 Yr. total",0),
IF(BF$7&lt;$C$4,0,IF(BF$8&lt;=SUMIFS('EE Inputs'!$V$9:$V$32,'EE Inputs'!$C$9:$C$32,$AM$6,'EE Inputs'!$D$9:$D$32,$C$4,'EE Inputs'!$E$9:$E$32,$B91),SUMIFS('EE Inputs'!$V$9:$V$32,'EE Inputs'!$C$9:$C$32,$AM$6,'EE Inputs'!$D$9:$D$32,$C$4,'EE Inputs'!$E$9:$E$32,$B91),0)))</f>
        <v>20</v>
      </c>
      <c r="BG91" s="72">
        <f ca="1">IF($C$4=Lookups!$D$40,IF(SUM(INDIRECT("'Yr1'!"&amp;ADDRESS(ROW(BG91),COLUMN(BG91))),INDIRECT("'Yr2'!"&amp;ADDRESS(ROW(BG91),COLUMN(BG91))),INDIRECT("'Yr3'!"&amp;ADDRESS(ROW(BG91),COLUMN(BG91))))&gt;0,"3 Yr. total",0),
IF(BG$7&lt;$C$4,0,IF(BG$8&lt;=SUMIFS('EE Inputs'!$V$9:$V$32,'EE Inputs'!$C$9:$C$32,$AM$6,'EE Inputs'!$D$9:$D$32,$C$4,'EE Inputs'!$E$9:$E$32,$B91),SUMIFS('EE Inputs'!$V$9:$V$32,'EE Inputs'!$C$9:$C$32,$AM$6,'EE Inputs'!$D$9:$D$32,$C$4,'EE Inputs'!$E$9:$E$32,$B91),0)))</f>
        <v>0</v>
      </c>
      <c r="BH91" s="72">
        <f ca="1">IF($C$4=Lookups!$D$40,IF(SUM(INDIRECT("'Yr1'!"&amp;ADDRESS(ROW(BH91),COLUMN(BH91))),INDIRECT("'Yr2'!"&amp;ADDRESS(ROW(BH91),COLUMN(BH91))),INDIRECT("'Yr3'!"&amp;ADDRESS(ROW(BH91),COLUMN(BH91))))&gt;0,"3 Yr. total",0),
IF(BH$7&lt;$C$4,0,IF(BH$8&lt;=SUMIFS('EE Inputs'!$V$9:$V$32,'EE Inputs'!$C$9:$C$32,$AM$6,'EE Inputs'!$D$9:$D$32,$C$4,'EE Inputs'!$E$9:$E$32,$B91),SUMIFS('EE Inputs'!$V$9:$V$32,'EE Inputs'!$C$9:$C$32,$AM$6,'EE Inputs'!$D$9:$D$32,$C$4,'EE Inputs'!$E$9:$E$32,$B91),0)))</f>
        <v>0</v>
      </c>
      <c r="BI91" s="72">
        <f ca="1">IF($C$4=Lookups!$D$40,IF(SUM(INDIRECT("'Yr1'!"&amp;ADDRESS(ROW(BI91),COLUMN(BI91))),INDIRECT("'Yr2'!"&amp;ADDRESS(ROW(BI91),COLUMN(BI91))),INDIRECT("'Yr3'!"&amp;ADDRESS(ROW(BI91),COLUMN(BI91))))&gt;0,"3 Yr. total",0),
IF(BI$7&lt;$C$4,0,IF(BI$8&lt;=SUMIFS('EE Inputs'!$V$9:$V$32,'EE Inputs'!$C$9:$C$32,$AM$6,'EE Inputs'!$D$9:$D$32,$C$4,'EE Inputs'!$E$9:$E$32,$B91),SUMIFS('EE Inputs'!$V$9:$V$32,'EE Inputs'!$C$9:$C$32,$AM$6,'EE Inputs'!$D$9:$D$32,$C$4,'EE Inputs'!$E$9:$E$32,$B91),0)))</f>
        <v>0</v>
      </c>
      <c r="BJ91" s="72">
        <f ca="1">IF($C$4=Lookups!$D$40,IF(SUM(INDIRECT("'Yr1'!"&amp;ADDRESS(ROW(BJ91),COLUMN(BJ91))),INDIRECT("'Yr2'!"&amp;ADDRESS(ROW(BJ91),COLUMN(BJ91))),INDIRECT("'Yr3'!"&amp;ADDRESS(ROW(BJ91),COLUMN(BJ91))))&gt;0,"3 Yr. total",0),
IF(BJ$7&lt;$C$4,0,IF(BJ$8&lt;=SUMIFS('EE Inputs'!$V$9:$V$32,'EE Inputs'!$C$9:$C$32,$AM$6,'EE Inputs'!$D$9:$D$32,$C$4,'EE Inputs'!$E$9:$E$32,$B91),SUMIFS('EE Inputs'!$V$9:$V$32,'EE Inputs'!$C$9:$C$32,$AM$6,'EE Inputs'!$D$9:$D$32,$C$4,'EE Inputs'!$E$9:$E$32,$B91),0)))</f>
        <v>0</v>
      </c>
      <c r="BK91" s="72">
        <f ca="1">IF($C$4=Lookups!$D$40,IF(SUM(INDIRECT("'Yr1'!"&amp;ADDRESS(ROW(BK91),COLUMN(BK91))),INDIRECT("'Yr2'!"&amp;ADDRESS(ROW(BK91),COLUMN(BK91))),INDIRECT("'Yr3'!"&amp;ADDRESS(ROW(BK91),COLUMN(BK91))))&gt;0,"3 Yr. total",0),
IF(BK$7&lt;$C$4,0,IF(BK$8&lt;=SUMIFS('EE Inputs'!$V$9:$V$32,'EE Inputs'!$C$9:$C$32,$AM$6,'EE Inputs'!$D$9:$D$32,$C$4,'EE Inputs'!$E$9:$E$32,$B91),SUMIFS('EE Inputs'!$V$9:$V$32,'EE Inputs'!$C$9:$C$32,$AM$6,'EE Inputs'!$D$9:$D$32,$C$4,'EE Inputs'!$E$9:$E$32,$B91),0)))</f>
        <v>0</v>
      </c>
      <c r="BL91" s="72">
        <f ca="1">IF($C$4=Lookups!$D$40,IF(SUM(INDIRECT("'Yr1'!"&amp;ADDRESS(ROW(BL91),COLUMN(BL91))),INDIRECT("'Yr2'!"&amp;ADDRESS(ROW(BL91),COLUMN(BL91))),INDIRECT("'Yr3'!"&amp;ADDRESS(ROW(BL91),COLUMN(BL91))))&gt;0,"3 Yr. total",0),
IF(BL$7&lt;$C$4,0,IF(BL$8&lt;=SUMIFS('EE Inputs'!$V$9:$V$32,'EE Inputs'!$C$9:$C$32,$AM$6,'EE Inputs'!$D$9:$D$32,$C$4,'EE Inputs'!$E$9:$E$32,$B91),SUMIFS('EE Inputs'!$V$9:$V$32,'EE Inputs'!$C$9:$C$32,$AM$6,'EE Inputs'!$D$9:$D$32,$C$4,'EE Inputs'!$E$9:$E$32,$B91),0)))</f>
        <v>0</v>
      </c>
      <c r="BM91" s="72">
        <f ca="1">IF($C$4=Lookups!$D$40,IF(SUM(INDIRECT("'Yr1'!"&amp;ADDRESS(ROW(BM91),COLUMN(BM91))),INDIRECT("'Yr2'!"&amp;ADDRESS(ROW(BM91),COLUMN(BM91))),INDIRECT("'Yr3'!"&amp;ADDRESS(ROW(BM91),COLUMN(BM91))))&gt;0,"3 Yr. total",0),
IF(BM$7&lt;$C$4,0,IF(BM$8&lt;=SUMIFS('EE Inputs'!$V$9:$V$32,'EE Inputs'!$C$9:$C$32,$AM$6,'EE Inputs'!$D$9:$D$32,$C$4,'EE Inputs'!$E$9:$E$32,$B91),SUMIFS('EE Inputs'!$V$9:$V$32,'EE Inputs'!$C$9:$C$32,$AM$6,'EE Inputs'!$D$9:$D$32,$C$4,'EE Inputs'!$E$9:$E$32,$B91),0)))</f>
        <v>0</v>
      </c>
      <c r="BN91" s="72"/>
      <c r="BO91" s="72"/>
      <c r="BP91" s="72"/>
      <c r="BS91" s="76" t="s">
        <v>90</v>
      </c>
      <c r="BT91" s="51" t="s">
        <v>17</v>
      </c>
    </row>
    <row r="92" spans="1:72" s="5" customFormat="1" x14ac:dyDescent="0.25">
      <c r="A92" s="52"/>
      <c r="B92" s="242" t="str">
        <f t="shared" si="85"/>
        <v>Low-Income</v>
      </c>
      <c r="C92" s="242" t="str">
        <f>C91</f>
        <v>Customers</v>
      </c>
      <c r="D92" s="77" t="s">
        <v>17</v>
      </c>
      <c r="E92" s="76"/>
      <c r="F92" s="76"/>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S92" s="76"/>
      <c r="BT92" s="51" t="s">
        <v>17</v>
      </c>
    </row>
    <row r="93" spans="1:72" s="5" customFormat="1" ht="15.75" x14ac:dyDescent="0.25">
      <c r="A93" s="52"/>
      <c r="B93" s="241" t="str">
        <f t="shared" si="85"/>
        <v>Low-Income</v>
      </c>
      <c r="C93" s="63" t="s">
        <v>4</v>
      </c>
      <c r="D93" s="61"/>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2"/>
      <c r="BO93" s="62"/>
      <c r="BP93" s="62"/>
      <c r="BS93" s="62"/>
      <c r="BT93" s="51" t="s">
        <v>17</v>
      </c>
    </row>
    <row r="94" spans="1:72" x14ac:dyDescent="0.25">
      <c r="B94" s="243" t="str">
        <f t="shared" si="85"/>
        <v>Low-Income</v>
      </c>
      <c r="C94" s="243" t="str">
        <f>C93</f>
        <v>Sales</v>
      </c>
      <c r="D94" s="244" t="str">
        <f>"Sales before DSM ("&amp;Lookups!$D$22&amp;" Scenario)"</f>
        <v>Sales before DSM (No EE Scenario)</v>
      </c>
      <c r="E94" s="85" t="str">
        <f>"Sales before DSM ("&amp;Lookups!$D$22&amp;" Scenario)"</f>
        <v>Sales before DSM (No EE Scenario)</v>
      </c>
      <c r="F94" s="84" t="s">
        <v>195</v>
      </c>
      <c r="G94" s="64">
        <f>IF(G$8=0,0,INDEX('Multi-Year Inputs'!$E$41:$AE$44,MATCH($B94,'Multi-Year Inputs'!$D$41:$D$44,0),MATCH(G$7,'Multi-Year Inputs'!$E$4:$AE$4,0)))</f>
        <v>4673617.4897935251</v>
      </c>
      <c r="H94" s="64">
        <f>IF(H$8=0,0,INDEX('Multi-Year Inputs'!$E$41:$AE$44,MATCH($B94,'Multi-Year Inputs'!$D$41:$D$44,0),MATCH(H$7,'Multi-Year Inputs'!$E$4:$AE$4,0)))</f>
        <v>4673617.4897935251</v>
      </c>
      <c r="I94" s="64">
        <f>IF(I$8=0,0,INDEX('Multi-Year Inputs'!$E$41:$AE$44,MATCH($B94,'Multi-Year Inputs'!$D$41:$D$44,0),MATCH(I$7,'Multi-Year Inputs'!$E$4:$AE$4,0)))</f>
        <v>4673617.4897935251</v>
      </c>
      <c r="J94" s="64">
        <f>IF(J$8=0,0,INDEX('Multi-Year Inputs'!$E$41:$AE$44,MATCH($B94,'Multi-Year Inputs'!$D$41:$D$44,0),MATCH(J$7,'Multi-Year Inputs'!$E$4:$AE$4,0)))</f>
        <v>4673617.4897935251</v>
      </c>
      <c r="K94" s="64">
        <f>IF(K$8=0,0,INDEX('Multi-Year Inputs'!$E$41:$AE$44,MATCH($B94,'Multi-Year Inputs'!$D$41:$D$44,0),MATCH(K$7,'Multi-Year Inputs'!$E$4:$AE$4,0)))</f>
        <v>4673617.4897935251</v>
      </c>
      <c r="L94" s="64">
        <f>IF(L$8=0,0,INDEX('Multi-Year Inputs'!$E$41:$AE$44,MATCH($B94,'Multi-Year Inputs'!$D$41:$D$44,0),MATCH(L$7,'Multi-Year Inputs'!$E$4:$AE$4,0)))</f>
        <v>4673617.4897935251</v>
      </c>
      <c r="M94" s="64">
        <f>IF(M$8=0,0,INDEX('Multi-Year Inputs'!$E$41:$AE$44,MATCH($B94,'Multi-Year Inputs'!$D$41:$D$44,0),MATCH(M$7,'Multi-Year Inputs'!$E$4:$AE$4,0)))</f>
        <v>4673617.4897935251</v>
      </c>
      <c r="N94" s="64">
        <f>IF(N$8=0,0,INDEX('Multi-Year Inputs'!$E$41:$AE$44,MATCH($B94,'Multi-Year Inputs'!$D$41:$D$44,0),MATCH(N$7,'Multi-Year Inputs'!$E$4:$AE$4,0)))</f>
        <v>4673617.4897935251</v>
      </c>
      <c r="O94" s="64">
        <f>IF(O$8=0,0,INDEX('Multi-Year Inputs'!$E$41:$AE$44,MATCH($B94,'Multi-Year Inputs'!$D$41:$D$44,0),MATCH(O$7,'Multi-Year Inputs'!$E$4:$AE$4,0)))</f>
        <v>4673617.4897935251</v>
      </c>
      <c r="P94" s="64">
        <f>IF(P$8=0,0,INDEX('Multi-Year Inputs'!$E$41:$AE$44,MATCH($B94,'Multi-Year Inputs'!$D$41:$D$44,0),MATCH(P$7,'Multi-Year Inputs'!$E$4:$AE$4,0)))</f>
        <v>4673617.4897935251</v>
      </c>
      <c r="Q94" s="64">
        <f>IF(Q$8=0,0,INDEX('Multi-Year Inputs'!$E$41:$AE$44,MATCH($B94,'Multi-Year Inputs'!$D$41:$D$44,0),MATCH(Q$7,'Multi-Year Inputs'!$E$4:$AE$4,0)))</f>
        <v>4673617.4897935251</v>
      </c>
      <c r="R94" s="64">
        <f>IF(R$8=0,0,INDEX('Multi-Year Inputs'!$E$41:$AE$44,MATCH($B94,'Multi-Year Inputs'!$D$41:$D$44,0),MATCH(R$7,'Multi-Year Inputs'!$E$4:$AE$4,0)))</f>
        <v>4673617.4897935251</v>
      </c>
      <c r="S94" s="64">
        <f>IF(S$8=0,0,INDEX('Multi-Year Inputs'!$E$41:$AE$44,MATCH($B94,'Multi-Year Inputs'!$D$41:$D$44,0),MATCH(S$7,'Multi-Year Inputs'!$E$4:$AE$4,0)))</f>
        <v>4673617.4897935251</v>
      </c>
      <c r="T94" s="64">
        <f>IF(T$8=0,0,INDEX('Multi-Year Inputs'!$E$41:$AE$44,MATCH($B94,'Multi-Year Inputs'!$D$41:$D$44,0),MATCH(T$7,'Multi-Year Inputs'!$E$4:$AE$4,0)))</f>
        <v>4673617.4897935251</v>
      </c>
      <c r="U94" s="64">
        <f>IF(U$8=0,0,INDEX('Multi-Year Inputs'!$E$41:$AE$44,MATCH($B94,'Multi-Year Inputs'!$D$41:$D$44,0),MATCH(U$7,'Multi-Year Inputs'!$E$4:$AE$4,0)))</f>
        <v>4673617.4897935251</v>
      </c>
      <c r="V94" s="64">
        <f>IF(V$8=0,0,INDEX('Multi-Year Inputs'!$E$41:$AE$44,MATCH($B94,'Multi-Year Inputs'!$D$41:$D$44,0),MATCH(V$7,'Multi-Year Inputs'!$E$4:$AE$4,0)))</f>
        <v>4673617.4897935251</v>
      </c>
      <c r="W94" s="64">
        <f>IF(W$8=0,0,INDEX('Multi-Year Inputs'!$E$41:$AE$44,MATCH($B94,'Multi-Year Inputs'!$D$41:$D$44,0),MATCH(W$7,'Multi-Year Inputs'!$E$4:$AE$4,0)))</f>
        <v>4673617.4897935251</v>
      </c>
      <c r="X94" s="64">
        <f>IF(X$8=0,0,INDEX('Multi-Year Inputs'!$E$41:$AE$44,MATCH($B94,'Multi-Year Inputs'!$D$41:$D$44,0),MATCH(X$7,'Multi-Year Inputs'!$E$4:$AE$4,0)))</f>
        <v>4673617.4897935251</v>
      </c>
      <c r="Y94" s="64">
        <f>IF(Y$8=0,0,INDEX('Multi-Year Inputs'!$E$41:$AE$44,MATCH($B94,'Multi-Year Inputs'!$D$41:$D$44,0),MATCH(Y$7,'Multi-Year Inputs'!$E$4:$AE$4,0)))</f>
        <v>4673617.4897935251</v>
      </c>
      <c r="Z94" s="64">
        <f>IF(Z$8=0,0,INDEX('Multi-Year Inputs'!$E$41:$AE$44,MATCH($B94,'Multi-Year Inputs'!$D$41:$D$44,0),MATCH(Z$7,'Multi-Year Inputs'!$E$4:$AE$4,0)))</f>
        <v>4673617.4897935251</v>
      </c>
      <c r="AA94" s="64">
        <f>IF(AA$8=0,0,INDEX('Multi-Year Inputs'!$E$41:$AE$44,MATCH($B94,'Multi-Year Inputs'!$D$41:$D$44,0),MATCH(AA$7,'Multi-Year Inputs'!$E$4:$AE$4,0)))</f>
        <v>4673617.4897935251</v>
      </c>
      <c r="AB94" s="64">
        <f>IF(AB$8=0,0,INDEX('Multi-Year Inputs'!$E$41:$AE$44,MATCH($B94,'Multi-Year Inputs'!$D$41:$D$44,0),MATCH(AB$7,'Multi-Year Inputs'!$E$4:$AE$4,0)))</f>
        <v>4673617.4897935251</v>
      </c>
      <c r="AC94" s="64">
        <f>IF(AC$8=0,0,INDEX('Multi-Year Inputs'!$E$41:$AE$44,MATCH($B94,'Multi-Year Inputs'!$D$41:$D$44,0),MATCH(AC$7,'Multi-Year Inputs'!$E$4:$AE$4,0)))</f>
        <v>4673617.4897935251</v>
      </c>
      <c r="AD94" s="64">
        <f>IF(AD$8=0,0,INDEX('Multi-Year Inputs'!$E$41:$AE$44,MATCH($B94,'Multi-Year Inputs'!$D$41:$D$44,0),MATCH(AD$7,'Multi-Year Inputs'!$E$4:$AE$4,0)))</f>
        <v>4673617.4897935251</v>
      </c>
      <c r="AE94" s="64">
        <f>IF(AE$8=0,0,INDEX('Multi-Year Inputs'!$E$41:$AE$44,MATCH($B94,'Multi-Year Inputs'!$D$41:$D$44,0),MATCH(AE$7,'Multi-Year Inputs'!$E$4:$AE$4,0)))</f>
        <v>4673617.4897935251</v>
      </c>
      <c r="AF94" s="64">
        <f>IF(AF$8=0,0,INDEX('Multi-Year Inputs'!$E$41:$AE$44,MATCH($B94,'Multi-Year Inputs'!$D$41:$D$44,0),MATCH(AF$7,'Multi-Year Inputs'!$E$4:$AE$4,0)))</f>
        <v>4673617.4897935251</v>
      </c>
      <c r="AG94" s="64">
        <f>IF(AG$8=0,0,INDEX('Multi-Year Inputs'!$E$41:$AE$44,MATCH($B94,'Multi-Year Inputs'!$D$41:$D$44,0),MATCH(AG$7,'Multi-Year Inputs'!$E$4:$AE$4,0)))</f>
        <v>4673617.4897935251</v>
      </c>
      <c r="AH94" s="64"/>
      <c r="AI94" s="64">
        <f t="shared" ref="AI94:AI96" si="86">SUM(G94:AG94)</f>
        <v>126187672.22442517</v>
      </c>
      <c r="AJ94" s="64"/>
      <c r="AM94" s="71">
        <f>IF(AM$8=0,0,INDEX('Multi-Year Inputs'!$E$41:$AE$44,MATCH($B94,'Multi-Year Inputs'!$D$41:$D$44,0),MATCH(AM$7,'Multi-Year Inputs'!$E$4:$AE$4,0)))</f>
        <v>4673617.4897935251</v>
      </c>
      <c r="AN94" s="71">
        <f>IF(AN$8=0,0,INDEX('Multi-Year Inputs'!$E$41:$AE$44,MATCH($B94,'Multi-Year Inputs'!$D$41:$D$44,0),MATCH(AN$7,'Multi-Year Inputs'!$E$4:$AE$4,0)))</f>
        <v>4673617.4897935251</v>
      </c>
      <c r="AO94" s="71">
        <f>IF(AO$8=0,0,INDEX('Multi-Year Inputs'!$E$41:$AE$44,MATCH($B94,'Multi-Year Inputs'!$D$41:$D$44,0),MATCH(AO$7,'Multi-Year Inputs'!$E$4:$AE$4,0)))</f>
        <v>4673617.4897935251</v>
      </c>
      <c r="AP94" s="71">
        <f>IF(AP$8=0,0,INDEX('Multi-Year Inputs'!$E$41:$AE$44,MATCH($B94,'Multi-Year Inputs'!$D$41:$D$44,0),MATCH(AP$7,'Multi-Year Inputs'!$E$4:$AE$4,0)))</f>
        <v>4673617.4897935251</v>
      </c>
      <c r="AQ94" s="71">
        <f>IF(AQ$8=0,0,INDEX('Multi-Year Inputs'!$E$41:$AE$44,MATCH($B94,'Multi-Year Inputs'!$D$41:$D$44,0),MATCH(AQ$7,'Multi-Year Inputs'!$E$4:$AE$4,0)))</f>
        <v>4673617.4897935251</v>
      </c>
      <c r="AR94" s="71">
        <f>IF(AR$8=0,0,INDEX('Multi-Year Inputs'!$E$41:$AE$44,MATCH($B94,'Multi-Year Inputs'!$D$41:$D$44,0),MATCH(AR$7,'Multi-Year Inputs'!$E$4:$AE$4,0)))</f>
        <v>4673617.4897935251</v>
      </c>
      <c r="AS94" s="71">
        <f>IF(AS$8=0,0,INDEX('Multi-Year Inputs'!$E$41:$AE$44,MATCH($B94,'Multi-Year Inputs'!$D$41:$D$44,0),MATCH(AS$7,'Multi-Year Inputs'!$E$4:$AE$4,0)))</f>
        <v>4673617.4897935251</v>
      </c>
      <c r="AT94" s="71">
        <f>IF(AT$8=0,0,INDEX('Multi-Year Inputs'!$E$41:$AE$44,MATCH($B94,'Multi-Year Inputs'!$D$41:$D$44,0),MATCH(AT$7,'Multi-Year Inputs'!$E$4:$AE$4,0)))</f>
        <v>4673617.4897935251</v>
      </c>
      <c r="AU94" s="71">
        <f>IF(AU$8=0,0,INDEX('Multi-Year Inputs'!$E$41:$AE$44,MATCH($B94,'Multi-Year Inputs'!$D$41:$D$44,0),MATCH(AU$7,'Multi-Year Inputs'!$E$4:$AE$4,0)))</f>
        <v>4673617.4897935251</v>
      </c>
      <c r="AV94" s="71">
        <f>IF(AV$8=0,0,INDEX('Multi-Year Inputs'!$E$41:$AE$44,MATCH($B94,'Multi-Year Inputs'!$D$41:$D$44,0),MATCH(AV$7,'Multi-Year Inputs'!$E$4:$AE$4,0)))</f>
        <v>4673617.4897935251</v>
      </c>
      <c r="AW94" s="71">
        <f>IF(AW$8=0,0,INDEX('Multi-Year Inputs'!$E$41:$AE$44,MATCH($B94,'Multi-Year Inputs'!$D$41:$D$44,0),MATCH(AW$7,'Multi-Year Inputs'!$E$4:$AE$4,0)))</f>
        <v>4673617.4897935251</v>
      </c>
      <c r="AX94" s="71">
        <f>IF(AX$8=0,0,INDEX('Multi-Year Inputs'!$E$41:$AE$44,MATCH($B94,'Multi-Year Inputs'!$D$41:$D$44,0),MATCH(AX$7,'Multi-Year Inputs'!$E$4:$AE$4,0)))</f>
        <v>4673617.4897935251</v>
      </c>
      <c r="AY94" s="71">
        <f>IF(AY$8=0,0,INDEX('Multi-Year Inputs'!$E$41:$AE$44,MATCH($B94,'Multi-Year Inputs'!$D$41:$D$44,0),MATCH(AY$7,'Multi-Year Inputs'!$E$4:$AE$4,0)))</f>
        <v>4673617.4897935251</v>
      </c>
      <c r="AZ94" s="71">
        <f>IF(AZ$8=0,0,INDEX('Multi-Year Inputs'!$E$41:$AE$44,MATCH($B94,'Multi-Year Inputs'!$D$41:$D$44,0),MATCH(AZ$7,'Multi-Year Inputs'!$E$4:$AE$4,0)))</f>
        <v>4673617.4897935251</v>
      </c>
      <c r="BA94" s="71">
        <f>IF(BA$8=0,0,INDEX('Multi-Year Inputs'!$E$41:$AE$44,MATCH($B94,'Multi-Year Inputs'!$D$41:$D$44,0),MATCH(BA$7,'Multi-Year Inputs'!$E$4:$AE$4,0)))</f>
        <v>4673617.4897935251</v>
      </c>
      <c r="BB94" s="71">
        <f>IF(BB$8=0,0,INDEX('Multi-Year Inputs'!$E$41:$AE$44,MATCH($B94,'Multi-Year Inputs'!$D$41:$D$44,0),MATCH(BB$7,'Multi-Year Inputs'!$E$4:$AE$4,0)))</f>
        <v>4673617.4897935251</v>
      </c>
      <c r="BC94" s="71">
        <f>IF(BC$8=0,0,INDEX('Multi-Year Inputs'!$E$41:$AE$44,MATCH($B94,'Multi-Year Inputs'!$D$41:$D$44,0),MATCH(BC$7,'Multi-Year Inputs'!$E$4:$AE$4,0)))</f>
        <v>4673617.4897935251</v>
      </c>
      <c r="BD94" s="71">
        <f>IF(BD$8=0,0,INDEX('Multi-Year Inputs'!$E$41:$AE$44,MATCH($B94,'Multi-Year Inputs'!$D$41:$D$44,0),MATCH(BD$7,'Multi-Year Inputs'!$E$4:$AE$4,0)))</f>
        <v>4673617.4897935251</v>
      </c>
      <c r="BE94" s="71">
        <f>IF(BE$8=0,0,INDEX('Multi-Year Inputs'!$E$41:$AE$44,MATCH($B94,'Multi-Year Inputs'!$D$41:$D$44,0),MATCH(BE$7,'Multi-Year Inputs'!$E$4:$AE$4,0)))</f>
        <v>4673617.4897935251</v>
      </c>
      <c r="BF94" s="71">
        <f>IF(BF$8=0,0,INDEX('Multi-Year Inputs'!$E$41:$AE$44,MATCH($B94,'Multi-Year Inputs'!$D$41:$D$44,0),MATCH(BF$7,'Multi-Year Inputs'!$E$4:$AE$4,0)))</f>
        <v>4673617.4897935251</v>
      </c>
      <c r="BG94" s="71">
        <f>IF(BG$8=0,0,INDEX('Multi-Year Inputs'!$E$41:$AE$44,MATCH($B94,'Multi-Year Inputs'!$D$41:$D$44,0),MATCH(BG$7,'Multi-Year Inputs'!$E$4:$AE$4,0)))</f>
        <v>4673617.4897935251</v>
      </c>
      <c r="BH94" s="71">
        <f>IF(BH$8=0,0,INDEX('Multi-Year Inputs'!$E$41:$AE$44,MATCH($B94,'Multi-Year Inputs'!$D$41:$D$44,0),MATCH(BH$7,'Multi-Year Inputs'!$E$4:$AE$4,0)))</f>
        <v>4673617.4897935251</v>
      </c>
      <c r="BI94" s="71">
        <f>IF(BI$8=0,0,INDEX('Multi-Year Inputs'!$E$41:$AE$44,MATCH($B94,'Multi-Year Inputs'!$D$41:$D$44,0),MATCH(BI$7,'Multi-Year Inputs'!$E$4:$AE$4,0)))</f>
        <v>4673617.4897935251</v>
      </c>
      <c r="BJ94" s="71">
        <f>IF(BJ$8=0,0,INDEX('Multi-Year Inputs'!$E$41:$AE$44,MATCH($B94,'Multi-Year Inputs'!$D$41:$D$44,0),MATCH(BJ$7,'Multi-Year Inputs'!$E$4:$AE$4,0)))</f>
        <v>4673617.4897935251</v>
      </c>
      <c r="BK94" s="71">
        <f>IF(BK$8=0,0,INDEX('Multi-Year Inputs'!$E$41:$AE$44,MATCH($B94,'Multi-Year Inputs'!$D$41:$D$44,0),MATCH(BK$7,'Multi-Year Inputs'!$E$4:$AE$4,0)))</f>
        <v>4673617.4897935251</v>
      </c>
      <c r="BL94" s="71">
        <f>IF(BL$8=0,0,INDEX('Multi-Year Inputs'!$E$41:$AE$44,MATCH($B94,'Multi-Year Inputs'!$D$41:$D$44,0),MATCH(BL$7,'Multi-Year Inputs'!$E$4:$AE$4,0)))</f>
        <v>4673617.4897935251</v>
      </c>
      <c r="BM94" s="71">
        <f>IF(BM$8=0,0,INDEX('Multi-Year Inputs'!$E$41:$AE$44,MATCH($B94,'Multi-Year Inputs'!$D$41:$D$44,0),MATCH(BM$7,'Multi-Year Inputs'!$E$4:$AE$4,0)))</f>
        <v>4673617.4897935251</v>
      </c>
      <c r="BN94" s="72"/>
      <c r="BO94" s="72">
        <f>SUM(AM94:BM94)</f>
        <v>126187672.22442517</v>
      </c>
      <c r="BP94" s="72"/>
      <c r="BS94" s="76" t="s">
        <v>91</v>
      </c>
      <c r="BT94" s="51" t="s">
        <v>17</v>
      </c>
    </row>
    <row r="95" spans="1:72" x14ac:dyDescent="0.25">
      <c r="A95" s="246"/>
      <c r="B95" s="243" t="str">
        <f t="shared" si="85"/>
        <v>Low-Income</v>
      </c>
      <c r="C95" s="243" t="str">
        <f>C94</f>
        <v>Sales</v>
      </c>
      <c r="D95" s="244" t="s">
        <v>108</v>
      </c>
      <c r="E95" s="85" t="s">
        <v>108</v>
      </c>
      <c r="F95" s="84" t="s">
        <v>195</v>
      </c>
      <c r="G95" s="64">
        <f ca="1">IF($C$4=Lookups!$D$40,SUM(INDIRECT("'Yr1'!"&amp;ADDRESS(ROW(G95),COLUMN(G95))),INDIRECT("'Yr2'!"&amp;ADDRESS(ROW(G95),COLUMN(G95))),INDIRECT("'Yr3'!"&amp;ADDRESS(ROW(G95),COLUMN(G95)))),
IF(G91&gt;0,SUMIFS('EE Inputs'!$I$9:$I$32,'EE Inputs'!$C$9:$C$32,$G$6,'EE Inputs'!$D$9:$D$32,$C$4,'EE Inputs'!$E$9:$E$32,$B95)/SUMIFS('EE Inputs'!$V$9:$V$32,'EE Inputs'!$C$9:$C$32,$G$6,'EE Inputs'!$D$9:$D$32,$C$4,'EE Inputs'!$E$9:$E$32,$B95)*10,0))</f>
        <v>87367.708744590491</v>
      </c>
      <c r="H95" s="64">
        <f ca="1">IF($C$4=Lookups!$D$40,SUM(INDIRECT("'Yr1'!"&amp;ADDRESS(ROW(H95),COLUMN(H95))),INDIRECT("'Yr2'!"&amp;ADDRESS(ROW(H95),COLUMN(H95))),INDIRECT("'Yr3'!"&amp;ADDRESS(ROW(H95),COLUMN(H95)))),
IF(H91&gt;0,SUMIFS('EE Inputs'!$I$9:$I$32,'EE Inputs'!$C$9:$C$32,$G$6,'EE Inputs'!$D$9:$D$32,$C$4,'EE Inputs'!$E$9:$E$32,$B95)/SUMIFS('EE Inputs'!$V$9:$V$32,'EE Inputs'!$C$9:$C$32,$G$6,'EE Inputs'!$D$9:$D$32,$C$4,'EE Inputs'!$E$9:$E$32,$B95)*10,0))</f>
        <v>87367.708744590491</v>
      </c>
      <c r="I95" s="64">
        <f ca="1">IF($C$4=Lookups!$D$40,SUM(INDIRECT("'Yr1'!"&amp;ADDRESS(ROW(I95),COLUMN(I95))),INDIRECT("'Yr2'!"&amp;ADDRESS(ROW(I95),COLUMN(I95))),INDIRECT("'Yr3'!"&amp;ADDRESS(ROW(I95),COLUMN(I95)))),
IF(I91&gt;0,SUMIFS('EE Inputs'!$I$9:$I$32,'EE Inputs'!$C$9:$C$32,$G$6,'EE Inputs'!$D$9:$D$32,$C$4,'EE Inputs'!$E$9:$E$32,$B95)/SUMIFS('EE Inputs'!$V$9:$V$32,'EE Inputs'!$C$9:$C$32,$G$6,'EE Inputs'!$D$9:$D$32,$C$4,'EE Inputs'!$E$9:$E$32,$B95)*10,0))</f>
        <v>87367.708744590491</v>
      </c>
      <c r="J95" s="64">
        <f ca="1">IF($C$4=Lookups!$D$40,SUM(INDIRECT("'Yr1'!"&amp;ADDRESS(ROW(J95),COLUMN(J95))),INDIRECT("'Yr2'!"&amp;ADDRESS(ROW(J95),COLUMN(J95))),INDIRECT("'Yr3'!"&amp;ADDRESS(ROW(J95),COLUMN(J95)))),
IF(J91&gt;0,SUMIFS('EE Inputs'!$I$9:$I$32,'EE Inputs'!$C$9:$C$32,$G$6,'EE Inputs'!$D$9:$D$32,$C$4,'EE Inputs'!$E$9:$E$32,$B95)/SUMIFS('EE Inputs'!$V$9:$V$32,'EE Inputs'!$C$9:$C$32,$G$6,'EE Inputs'!$D$9:$D$32,$C$4,'EE Inputs'!$E$9:$E$32,$B95)*10,0))</f>
        <v>87367.708744590491</v>
      </c>
      <c r="K95" s="64">
        <f ca="1">IF($C$4=Lookups!$D$40,SUM(INDIRECT("'Yr1'!"&amp;ADDRESS(ROW(K95),COLUMN(K95))),INDIRECT("'Yr2'!"&amp;ADDRESS(ROW(K95),COLUMN(K95))),INDIRECT("'Yr3'!"&amp;ADDRESS(ROW(K95),COLUMN(K95)))),
IF(K91&gt;0,SUMIFS('EE Inputs'!$I$9:$I$32,'EE Inputs'!$C$9:$C$32,$G$6,'EE Inputs'!$D$9:$D$32,$C$4,'EE Inputs'!$E$9:$E$32,$B95)/SUMIFS('EE Inputs'!$V$9:$V$32,'EE Inputs'!$C$9:$C$32,$G$6,'EE Inputs'!$D$9:$D$32,$C$4,'EE Inputs'!$E$9:$E$32,$B95)*10,0))</f>
        <v>87367.708744590491</v>
      </c>
      <c r="L95" s="64">
        <f ca="1">IF($C$4=Lookups!$D$40,SUM(INDIRECT("'Yr1'!"&amp;ADDRESS(ROW(L95),COLUMN(L95))),INDIRECT("'Yr2'!"&amp;ADDRESS(ROW(L95),COLUMN(L95))),INDIRECT("'Yr3'!"&amp;ADDRESS(ROW(L95),COLUMN(L95)))),
IF(L91&gt;0,SUMIFS('EE Inputs'!$I$9:$I$32,'EE Inputs'!$C$9:$C$32,$G$6,'EE Inputs'!$D$9:$D$32,$C$4,'EE Inputs'!$E$9:$E$32,$B95)/SUMIFS('EE Inputs'!$V$9:$V$32,'EE Inputs'!$C$9:$C$32,$G$6,'EE Inputs'!$D$9:$D$32,$C$4,'EE Inputs'!$E$9:$E$32,$B95)*10,0))</f>
        <v>87367.708744590491</v>
      </c>
      <c r="M95" s="64">
        <f ca="1">IF($C$4=Lookups!$D$40,SUM(INDIRECT("'Yr1'!"&amp;ADDRESS(ROW(M95),COLUMN(M95))),INDIRECT("'Yr2'!"&amp;ADDRESS(ROW(M95),COLUMN(M95))),INDIRECT("'Yr3'!"&amp;ADDRESS(ROW(M95),COLUMN(M95)))),
IF(M91&gt;0,SUMIFS('EE Inputs'!$I$9:$I$32,'EE Inputs'!$C$9:$C$32,$G$6,'EE Inputs'!$D$9:$D$32,$C$4,'EE Inputs'!$E$9:$E$32,$B95)/SUMIFS('EE Inputs'!$V$9:$V$32,'EE Inputs'!$C$9:$C$32,$G$6,'EE Inputs'!$D$9:$D$32,$C$4,'EE Inputs'!$E$9:$E$32,$B95)*10,0))</f>
        <v>87367.708744590491</v>
      </c>
      <c r="N95" s="64">
        <f ca="1">IF($C$4=Lookups!$D$40,SUM(INDIRECT("'Yr1'!"&amp;ADDRESS(ROW(N95),COLUMN(N95))),INDIRECT("'Yr2'!"&amp;ADDRESS(ROW(N95),COLUMN(N95))),INDIRECT("'Yr3'!"&amp;ADDRESS(ROW(N95),COLUMN(N95)))),
IF(N91&gt;0,SUMIFS('EE Inputs'!$I$9:$I$32,'EE Inputs'!$C$9:$C$32,$G$6,'EE Inputs'!$D$9:$D$32,$C$4,'EE Inputs'!$E$9:$E$32,$B95)/SUMIFS('EE Inputs'!$V$9:$V$32,'EE Inputs'!$C$9:$C$32,$G$6,'EE Inputs'!$D$9:$D$32,$C$4,'EE Inputs'!$E$9:$E$32,$B95)*10,0))</f>
        <v>87367.708744590491</v>
      </c>
      <c r="O95" s="64">
        <f ca="1">IF($C$4=Lookups!$D$40,SUM(INDIRECT("'Yr1'!"&amp;ADDRESS(ROW(O95),COLUMN(O95))),INDIRECT("'Yr2'!"&amp;ADDRESS(ROW(O95),COLUMN(O95))),INDIRECT("'Yr3'!"&amp;ADDRESS(ROW(O95),COLUMN(O95)))),
IF(O91&gt;0,SUMIFS('EE Inputs'!$I$9:$I$32,'EE Inputs'!$C$9:$C$32,$G$6,'EE Inputs'!$D$9:$D$32,$C$4,'EE Inputs'!$E$9:$E$32,$B95)/SUMIFS('EE Inputs'!$V$9:$V$32,'EE Inputs'!$C$9:$C$32,$G$6,'EE Inputs'!$D$9:$D$32,$C$4,'EE Inputs'!$E$9:$E$32,$B95)*10,0))</f>
        <v>87367.708744590491</v>
      </c>
      <c r="P95" s="64">
        <f ca="1">IF($C$4=Lookups!$D$40,SUM(INDIRECT("'Yr1'!"&amp;ADDRESS(ROW(P95),COLUMN(P95))),INDIRECT("'Yr2'!"&amp;ADDRESS(ROW(P95),COLUMN(P95))),INDIRECT("'Yr3'!"&amp;ADDRESS(ROW(P95),COLUMN(P95)))),
IF(P91&gt;0,SUMIFS('EE Inputs'!$I$9:$I$32,'EE Inputs'!$C$9:$C$32,$G$6,'EE Inputs'!$D$9:$D$32,$C$4,'EE Inputs'!$E$9:$E$32,$B95)/SUMIFS('EE Inputs'!$V$9:$V$32,'EE Inputs'!$C$9:$C$32,$G$6,'EE Inputs'!$D$9:$D$32,$C$4,'EE Inputs'!$E$9:$E$32,$B95)*10,0))</f>
        <v>87367.708744590491</v>
      </c>
      <c r="Q95" s="64">
        <f ca="1">IF($C$4=Lookups!$D$40,SUM(INDIRECT("'Yr1'!"&amp;ADDRESS(ROW(Q95),COLUMN(Q95))),INDIRECT("'Yr2'!"&amp;ADDRESS(ROW(Q95),COLUMN(Q95))),INDIRECT("'Yr3'!"&amp;ADDRESS(ROW(Q95),COLUMN(Q95)))),
IF(Q91&gt;0,SUMIFS('EE Inputs'!$I$9:$I$32,'EE Inputs'!$C$9:$C$32,$G$6,'EE Inputs'!$D$9:$D$32,$C$4,'EE Inputs'!$E$9:$E$32,$B95)/SUMIFS('EE Inputs'!$V$9:$V$32,'EE Inputs'!$C$9:$C$32,$G$6,'EE Inputs'!$D$9:$D$32,$C$4,'EE Inputs'!$E$9:$E$32,$B95)*10,0))</f>
        <v>87367.708744590491</v>
      </c>
      <c r="R95" s="64">
        <f ca="1">IF($C$4=Lookups!$D$40,SUM(INDIRECT("'Yr1'!"&amp;ADDRESS(ROW(R95),COLUMN(R95))),INDIRECT("'Yr2'!"&amp;ADDRESS(ROW(R95),COLUMN(R95))),INDIRECT("'Yr3'!"&amp;ADDRESS(ROW(R95),COLUMN(R95)))),
IF(R91&gt;0,SUMIFS('EE Inputs'!$I$9:$I$32,'EE Inputs'!$C$9:$C$32,$G$6,'EE Inputs'!$D$9:$D$32,$C$4,'EE Inputs'!$E$9:$E$32,$B95)/SUMIFS('EE Inputs'!$V$9:$V$32,'EE Inputs'!$C$9:$C$32,$G$6,'EE Inputs'!$D$9:$D$32,$C$4,'EE Inputs'!$E$9:$E$32,$B95)*10,0))</f>
        <v>87367.708744590491</v>
      </c>
      <c r="S95" s="64">
        <f ca="1">IF($C$4=Lookups!$D$40,SUM(INDIRECT("'Yr1'!"&amp;ADDRESS(ROW(S95),COLUMN(S95))),INDIRECT("'Yr2'!"&amp;ADDRESS(ROW(S95),COLUMN(S95))),INDIRECT("'Yr3'!"&amp;ADDRESS(ROW(S95),COLUMN(S95)))),
IF(S91&gt;0,SUMIFS('EE Inputs'!$I$9:$I$32,'EE Inputs'!$C$9:$C$32,$G$6,'EE Inputs'!$D$9:$D$32,$C$4,'EE Inputs'!$E$9:$E$32,$B95)/SUMIFS('EE Inputs'!$V$9:$V$32,'EE Inputs'!$C$9:$C$32,$G$6,'EE Inputs'!$D$9:$D$32,$C$4,'EE Inputs'!$E$9:$E$32,$B95)*10,0))</f>
        <v>87367.708744590491</v>
      </c>
      <c r="T95" s="64">
        <f ca="1">IF($C$4=Lookups!$D$40,SUM(INDIRECT("'Yr1'!"&amp;ADDRESS(ROW(T95),COLUMN(T95))),INDIRECT("'Yr2'!"&amp;ADDRESS(ROW(T95),COLUMN(T95))),INDIRECT("'Yr3'!"&amp;ADDRESS(ROW(T95),COLUMN(T95)))),
IF(T91&gt;0,SUMIFS('EE Inputs'!$I$9:$I$32,'EE Inputs'!$C$9:$C$32,$G$6,'EE Inputs'!$D$9:$D$32,$C$4,'EE Inputs'!$E$9:$E$32,$B95)/SUMIFS('EE Inputs'!$V$9:$V$32,'EE Inputs'!$C$9:$C$32,$G$6,'EE Inputs'!$D$9:$D$32,$C$4,'EE Inputs'!$E$9:$E$32,$B95)*10,0))</f>
        <v>87367.708744590491</v>
      </c>
      <c r="U95" s="64">
        <f ca="1">IF($C$4=Lookups!$D$40,SUM(INDIRECT("'Yr1'!"&amp;ADDRESS(ROW(U95),COLUMN(U95))),INDIRECT("'Yr2'!"&amp;ADDRESS(ROW(U95),COLUMN(U95))),INDIRECT("'Yr3'!"&amp;ADDRESS(ROW(U95),COLUMN(U95)))),
IF(U91&gt;0,SUMIFS('EE Inputs'!$I$9:$I$32,'EE Inputs'!$C$9:$C$32,$G$6,'EE Inputs'!$D$9:$D$32,$C$4,'EE Inputs'!$E$9:$E$32,$B95)/SUMIFS('EE Inputs'!$V$9:$V$32,'EE Inputs'!$C$9:$C$32,$G$6,'EE Inputs'!$D$9:$D$32,$C$4,'EE Inputs'!$E$9:$E$32,$B95)*10,0))</f>
        <v>87367.708744590491</v>
      </c>
      <c r="V95" s="64">
        <f ca="1">IF($C$4=Lookups!$D$40,SUM(INDIRECT("'Yr1'!"&amp;ADDRESS(ROW(V95),COLUMN(V95))),INDIRECT("'Yr2'!"&amp;ADDRESS(ROW(V95),COLUMN(V95))),INDIRECT("'Yr3'!"&amp;ADDRESS(ROW(V95),COLUMN(V95)))),
IF(V91&gt;0,SUMIFS('EE Inputs'!$I$9:$I$32,'EE Inputs'!$C$9:$C$32,$G$6,'EE Inputs'!$D$9:$D$32,$C$4,'EE Inputs'!$E$9:$E$32,$B95)/SUMIFS('EE Inputs'!$V$9:$V$32,'EE Inputs'!$C$9:$C$32,$G$6,'EE Inputs'!$D$9:$D$32,$C$4,'EE Inputs'!$E$9:$E$32,$B95)*10,0))</f>
        <v>87367.708744590491</v>
      </c>
      <c r="W95" s="64">
        <f ca="1">IF($C$4=Lookups!$D$40,SUM(INDIRECT("'Yr1'!"&amp;ADDRESS(ROW(W95),COLUMN(W95))),INDIRECT("'Yr2'!"&amp;ADDRESS(ROW(W95),COLUMN(W95))),INDIRECT("'Yr3'!"&amp;ADDRESS(ROW(W95),COLUMN(W95)))),
IF(W91&gt;0,SUMIFS('EE Inputs'!$I$9:$I$32,'EE Inputs'!$C$9:$C$32,$G$6,'EE Inputs'!$D$9:$D$32,$C$4,'EE Inputs'!$E$9:$E$32,$B95)/SUMIFS('EE Inputs'!$V$9:$V$32,'EE Inputs'!$C$9:$C$32,$G$6,'EE Inputs'!$D$9:$D$32,$C$4,'EE Inputs'!$E$9:$E$32,$B95)*10,0))</f>
        <v>87367.708744590491</v>
      </c>
      <c r="X95" s="64">
        <f ca="1">IF($C$4=Lookups!$D$40,SUM(INDIRECT("'Yr1'!"&amp;ADDRESS(ROW(X95),COLUMN(X95))),INDIRECT("'Yr2'!"&amp;ADDRESS(ROW(X95),COLUMN(X95))),INDIRECT("'Yr3'!"&amp;ADDRESS(ROW(X95),COLUMN(X95)))),
IF(X91&gt;0,SUMIFS('EE Inputs'!$I$9:$I$32,'EE Inputs'!$C$9:$C$32,$G$6,'EE Inputs'!$D$9:$D$32,$C$4,'EE Inputs'!$E$9:$E$32,$B95)/SUMIFS('EE Inputs'!$V$9:$V$32,'EE Inputs'!$C$9:$C$32,$G$6,'EE Inputs'!$D$9:$D$32,$C$4,'EE Inputs'!$E$9:$E$32,$B95)*10,0))</f>
        <v>87367.708744590491</v>
      </c>
      <c r="Y95" s="64">
        <f ca="1">IF($C$4=Lookups!$D$40,SUM(INDIRECT("'Yr1'!"&amp;ADDRESS(ROW(Y95),COLUMN(Y95))),INDIRECT("'Yr2'!"&amp;ADDRESS(ROW(Y95),COLUMN(Y95))),INDIRECT("'Yr3'!"&amp;ADDRESS(ROW(Y95),COLUMN(Y95)))),
IF(Y91&gt;0,SUMIFS('EE Inputs'!$I$9:$I$32,'EE Inputs'!$C$9:$C$32,$G$6,'EE Inputs'!$D$9:$D$32,$C$4,'EE Inputs'!$E$9:$E$32,$B95)/SUMIFS('EE Inputs'!$V$9:$V$32,'EE Inputs'!$C$9:$C$32,$G$6,'EE Inputs'!$D$9:$D$32,$C$4,'EE Inputs'!$E$9:$E$32,$B95)*10,0))</f>
        <v>87367.708744590491</v>
      </c>
      <c r="Z95" s="64">
        <f ca="1">IF($C$4=Lookups!$D$40,SUM(INDIRECT("'Yr1'!"&amp;ADDRESS(ROW(Z95),COLUMN(Z95))),INDIRECT("'Yr2'!"&amp;ADDRESS(ROW(Z95),COLUMN(Z95))),INDIRECT("'Yr3'!"&amp;ADDRESS(ROW(Z95),COLUMN(Z95)))),
IF(Z91&gt;0,SUMIFS('EE Inputs'!$I$9:$I$32,'EE Inputs'!$C$9:$C$32,$G$6,'EE Inputs'!$D$9:$D$32,$C$4,'EE Inputs'!$E$9:$E$32,$B95)/SUMIFS('EE Inputs'!$V$9:$V$32,'EE Inputs'!$C$9:$C$32,$G$6,'EE Inputs'!$D$9:$D$32,$C$4,'EE Inputs'!$E$9:$E$32,$B95)*10,0))</f>
        <v>87367.708744590491</v>
      </c>
      <c r="AA95" s="64">
        <f ca="1">IF($C$4=Lookups!$D$40,SUM(INDIRECT("'Yr1'!"&amp;ADDRESS(ROW(AA95),COLUMN(AA95))),INDIRECT("'Yr2'!"&amp;ADDRESS(ROW(AA95),COLUMN(AA95))),INDIRECT("'Yr3'!"&amp;ADDRESS(ROW(AA95),COLUMN(AA95)))),
IF(AA91&gt;0,SUMIFS('EE Inputs'!$I$9:$I$32,'EE Inputs'!$C$9:$C$32,$G$6,'EE Inputs'!$D$9:$D$32,$C$4,'EE Inputs'!$E$9:$E$32,$B95)/SUMIFS('EE Inputs'!$V$9:$V$32,'EE Inputs'!$C$9:$C$32,$G$6,'EE Inputs'!$D$9:$D$32,$C$4,'EE Inputs'!$E$9:$E$32,$B95)*10,0))</f>
        <v>0</v>
      </c>
      <c r="AB95" s="64">
        <f ca="1">IF($C$4=Lookups!$D$40,SUM(INDIRECT("'Yr1'!"&amp;ADDRESS(ROW(AB95),COLUMN(AB95))),INDIRECT("'Yr2'!"&amp;ADDRESS(ROW(AB95),COLUMN(AB95))),INDIRECT("'Yr3'!"&amp;ADDRESS(ROW(AB95),COLUMN(AB95)))),
IF(AB91&gt;0,SUMIFS('EE Inputs'!$I$9:$I$32,'EE Inputs'!$C$9:$C$32,$G$6,'EE Inputs'!$D$9:$D$32,$C$4,'EE Inputs'!$E$9:$E$32,$B95)/SUMIFS('EE Inputs'!$V$9:$V$32,'EE Inputs'!$C$9:$C$32,$G$6,'EE Inputs'!$D$9:$D$32,$C$4,'EE Inputs'!$E$9:$E$32,$B95)*10,0))</f>
        <v>0</v>
      </c>
      <c r="AC95" s="64">
        <f ca="1">IF($C$4=Lookups!$D$40,SUM(INDIRECT("'Yr1'!"&amp;ADDRESS(ROW(AC95),COLUMN(AC95))),INDIRECT("'Yr2'!"&amp;ADDRESS(ROW(AC95),COLUMN(AC95))),INDIRECT("'Yr3'!"&amp;ADDRESS(ROW(AC95),COLUMN(AC95)))),
IF(AC91&gt;0,SUMIFS('EE Inputs'!$I$9:$I$32,'EE Inputs'!$C$9:$C$32,$G$6,'EE Inputs'!$D$9:$D$32,$C$4,'EE Inputs'!$E$9:$E$32,$B95)/SUMIFS('EE Inputs'!$V$9:$V$32,'EE Inputs'!$C$9:$C$32,$G$6,'EE Inputs'!$D$9:$D$32,$C$4,'EE Inputs'!$E$9:$E$32,$B95)*10,0))</f>
        <v>0</v>
      </c>
      <c r="AD95" s="64">
        <f ca="1">IF($C$4=Lookups!$D$40,SUM(INDIRECT("'Yr1'!"&amp;ADDRESS(ROW(AD95),COLUMN(AD95))),INDIRECT("'Yr2'!"&amp;ADDRESS(ROW(AD95),COLUMN(AD95))),INDIRECT("'Yr3'!"&amp;ADDRESS(ROW(AD95),COLUMN(AD95)))),
IF(AD91&gt;0,SUMIFS('EE Inputs'!$I$9:$I$32,'EE Inputs'!$C$9:$C$32,$G$6,'EE Inputs'!$D$9:$D$32,$C$4,'EE Inputs'!$E$9:$E$32,$B95)/SUMIFS('EE Inputs'!$V$9:$V$32,'EE Inputs'!$C$9:$C$32,$G$6,'EE Inputs'!$D$9:$D$32,$C$4,'EE Inputs'!$E$9:$E$32,$B95)*10,0))</f>
        <v>0</v>
      </c>
      <c r="AE95" s="64">
        <f ca="1">IF($C$4=Lookups!$D$40,SUM(INDIRECT("'Yr1'!"&amp;ADDRESS(ROW(AE95),COLUMN(AE95))),INDIRECT("'Yr2'!"&amp;ADDRESS(ROW(AE95),COLUMN(AE95))),INDIRECT("'Yr3'!"&amp;ADDRESS(ROW(AE95),COLUMN(AE95)))),
IF(AE91&gt;0,SUMIFS('EE Inputs'!$I$9:$I$32,'EE Inputs'!$C$9:$C$32,$G$6,'EE Inputs'!$D$9:$D$32,$C$4,'EE Inputs'!$E$9:$E$32,$B95)/SUMIFS('EE Inputs'!$V$9:$V$32,'EE Inputs'!$C$9:$C$32,$G$6,'EE Inputs'!$D$9:$D$32,$C$4,'EE Inputs'!$E$9:$E$32,$B95)*10,0))</f>
        <v>0</v>
      </c>
      <c r="AF95" s="64">
        <f ca="1">IF($C$4=Lookups!$D$40,SUM(INDIRECT("'Yr1'!"&amp;ADDRESS(ROW(AF95),COLUMN(AF95))),INDIRECT("'Yr2'!"&amp;ADDRESS(ROW(AF95),COLUMN(AF95))),INDIRECT("'Yr3'!"&amp;ADDRESS(ROW(AF95),COLUMN(AF95)))),
IF(AF91&gt;0,SUMIFS('EE Inputs'!$I$9:$I$32,'EE Inputs'!$C$9:$C$32,$G$6,'EE Inputs'!$D$9:$D$32,$C$4,'EE Inputs'!$E$9:$E$32,$B95)/SUMIFS('EE Inputs'!$V$9:$V$32,'EE Inputs'!$C$9:$C$32,$G$6,'EE Inputs'!$D$9:$D$32,$C$4,'EE Inputs'!$E$9:$E$32,$B95)*10,0))</f>
        <v>0</v>
      </c>
      <c r="AG95" s="64">
        <f ca="1">IF($C$4=Lookups!$D$40,SUM(INDIRECT("'Yr1'!"&amp;ADDRESS(ROW(AG95),COLUMN(AG95))),INDIRECT("'Yr2'!"&amp;ADDRESS(ROW(AG95),COLUMN(AG95))),INDIRECT("'Yr3'!"&amp;ADDRESS(ROW(AG95),COLUMN(AG95)))),
IF(AG91&gt;0,SUMIFS('EE Inputs'!$I$9:$I$32,'EE Inputs'!$C$9:$C$32,$G$6,'EE Inputs'!$D$9:$D$32,$C$4,'EE Inputs'!$E$9:$E$32,$B95)/SUMIFS('EE Inputs'!$V$9:$V$32,'EE Inputs'!$C$9:$C$32,$G$6,'EE Inputs'!$D$9:$D$32,$C$4,'EE Inputs'!$E$9:$E$32,$B95)*10,0))</f>
        <v>0</v>
      </c>
      <c r="AH95" s="64"/>
      <c r="AI95" s="64">
        <f t="shared" ca="1" si="86"/>
        <v>1747354.1748918095</v>
      </c>
      <c r="AJ95" s="64"/>
      <c r="AM95" s="71">
        <f ca="1">IF($C$4=Lookups!$D$40,SUM(INDIRECT("'Yr1'!"&amp;ADDRESS(ROW(AM95),COLUMN(AM95))),INDIRECT("'Yr2'!"&amp;ADDRESS(ROW(AM95),COLUMN(AM95))),INDIRECT("'Yr3'!"&amp;ADDRESS(ROW(AM95),COLUMN(AM95)))),
IF(AM91&gt;0,SUMIFS('EE Inputs'!$I$9:$I$32,'EE Inputs'!$C$9:$C$32,$AM$6,'EE Inputs'!$D$9:$D$32,$C$4,'EE Inputs'!$E$9:$E$32,$B95)/SUMIFS('EE Inputs'!$V$9:$V$32,'EE Inputs'!$C$9:$C$32,$AM$6,'EE Inputs'!$D$9:$D$32,$C$4,'EE Inputs'!$E$9:$E$32,$B95)*10,0))</f>
        <v>99848.809993817718</v>
      </c>
      <c r="AN95" s="71">
        <f ca="1">IF($C$4=Lookups!$D$40,SUM(INDIRECT("'Yr1'!"&amp;ADDRESS(ROW(AN95),COLUMN(AN95))),INDIRECT("'Yr2'!"&amp;ADDRESS(ROW(AN95),COLUMN(AN95))),INDIRECT("'Yr3'!"&amp;ADDRESS(ROW(AN95),COLUMN(AN95)))),
IF(AN91&gt;0,SUMIFS('EE Inputs'!$I$9:$I$32,'EE Inputs'!$C$9:$C$32,$AM$6,'EE Inputs'!$D$9:$D$32,$C$4,'EE Inputs'!$E$9:$E$32,$B95)/SUMIFS('EE Inputs'!$V$9:$V$32,'EE Inputs'!$C$9:$C$32,$AM$6,'EE Inputs'!$D$9:$D$32,$C$4,'EE Inputs'!$E$9:$E$32,$B95)*10,0))</f>
        <v>99848.809993817718</v>
      </c>
      <c r="AO95" s="71">
        <f ca="1">IF($C$4=Lookups!$D$40,SUM(INDIRECT("'Yr1'!"&amp;ADDRESS(ROW(AO95),COLUMN(AO95))),INDIRECT("'Yr2'!"&amp;ADDRESS(ROW(AO95),COLUMN(AO95))),INDIRECT("'Yr3'!"&amp;ADDRESS(ROW(AO95),COLUMN(AO95)))),
IF(AO91&gt;0,SUMIFS('EE Inputs'!$I$9:$I$32,'EE Inputs'!$C$9:$C$32,$AM$6,'EE Inputs'!$D$9:$D$32,$C$4,'EE Inputs'!$E$9:$E$32,$B95)/SUMIFS('EE Inputs'!$V$9:$V$32,'EE Inputs'!$C$9:$C$32,$AM$6,'EE Inputs'!$D$9:$D$32,$C$4,'EE Inputs'!$E$9:$E$32,$B95)*10,0))</f>
        <v>99848.809993817718</v>
      </c>
      <c r="AP95" s="71">
        <f ca="1">IF($C$4=Lookups!$D$40,SUM(INDIRECT("'Yr1'!"&amp;ADDRESS(ROW(AP95),COLUMN(AP95))),INDIRECT("'Yr2'!"&amp;ADDRESS(ROW(AP95),COLUMN(AP95))),INDIRECT("'Yr3'!"&amp;ADDRESS(ROW(AP95),COLUMN(AP95)))),
IF(AP91&gt;0,SUMIFS('EE Inputs'!$I$9:$I$32,'EE Inputs'!$C$9:$C$32,$AM$6,'EE Inputs'!$D$9:$D$32,$C$4,'EE Inputs'!$E$9:$E$32,$B95)/SUMIFS('EE Inputs'!$V$9:$V$32,'EE Inputs'!$C$9:$C$32,$AM$6,'EE Inputs'!$D$9:$D$32,$C$4,'EE Inputs'!$E$9:$E$32,$B95)*10,0))</f>
        <v>99848.809993817718</v>
      </c>
      <c r="AQ95" s="71">
        <f ca="1">IF($C$4=Lookups!$D$40,SUM(INDIRECT("'Yr1'!"&amp;ADDRESS(ROW(AQ95),COLUMN(AQ95))),INDIRECT("'Yr2'!"&amp;ADDRESS(ROW(AQ95),COLUMN(AQ95))),INDIRECT("'Yr3'!"&amp;ADDRESS(ROW(AQ95),COLUMN(AQ95)))),
IF(AQ91&gt;0,SUMIFS('EE Inputs'!$I$9:$I$32,'EE Inputs'!$C$9:$C$32,$AM$6,'EE Inputs'!$D$9:$D$32,$C$4,'EE Inputs'!$E$9:$E$32,$B95)/SUMIFS('EE Inputs'!$V$9:$V$32,'EE Inputs'!$C$9:$C$32,$AM$6,'EE Inputs'!$D$9:$D$32,$C$4,'EE Inputs'!$E$9:$E$32,$B95)*10,0))</f>
        <v>99848.809993817718</v>
      </c>
      <c r="AR95" s="71">
        <f ca="1">IF($C$4=Lookups!$D$40,SUM(INDIRECT("'Yr1'!"&amp;ADDRESS(ROW(AR95),COLUMN(AR95))),INDIRECT("'Yr2'!"&amp;ADDRESS(ROW(AR95),COLUMN(AR95))),INDIRECT("'Yr3'!"&amp;ADDRESS(ROW(AR95),COLUMN(AR95)))),
IF(AR91&gt;0,SUMIFS('EE Inputs'!$I$9:$I$32,'EE Inputs'!$C$9:$C$32,$AM$6,'EE Inputs'!$D$9:$D$32,$C$4,'EE Inputs'!$E$9:$E$32,$B95)/SUMIFS('EE Inputs'!$V$9:$V$32,'EE Inputs'!$C$9:$C$32,$AM$6,'EE Inputs'!$D$9:$D$32,$C$4,'EE Inputs'!$E$9:$E$32,$B95)*10,0))</f>
        <v>99848.809993817718</v>
      </c>
      <c r="AS95" s="71">
        <f ca="1">IF($C$4=Lookups!$D$40,SUM(INDIRECT("'Yr1'!"&amp;ADDRESS(ROW(AS95),COLUMN(AS95))),INDIRECT("'Yr2'!"&amp;ADDRESS(ROW(AS95),COLUMN(AS95))),INDIRECT("'Yr3'!"&amp;ADDRESS(ROW(AS95),COLUMN(AS95)))),
IF(AS91&gt;0,SUMIFS('EE Inputs'!$I$9:$I$32,'EE Inputs'!$C$9:$C$32,$AM$6,'EE Inputs'!$D$9:$D$32,$C$4,'EE Inputs'!$E$9:$E$32,$B95)/SUMIFS('EE Inputs'!$V$9:$V$32,'EE Inputs'!$C$9:$C$32,$AM$6,'EE Inputs'!$D$9:$D$32,$C$4,'EE Inputs'!$E$9:$E$32,$B95)*10,0))</f>
        <v>99848.809993817718</v>
      </c>
      <c r="AT95" s="71">
        <f ca="1">IF($C$4=Lookups!$D$40,SUM(INDIRECT("'Yr1'!"&amp;ADDRESS(ROW(AT95),COLUMN(AT95))),INDIRECT("'Yr2'!"&amp;ADDRESS(ROW(AT95),COLUMN(AT95))),INDIRECT("'Yr3'!"&amp;ADDRESS(ROW(AT95),COLUMN(AT95)))),
IF(AT91&gt;0,SUMIFS('EE Inputs'!$I$9:$I$32,'EE Inputs'!$C$9:$C$32,$AM$6,'EE Inputs'!$D$9:$D$32,$C$4,'EE Inputs'!$E$9:$E$32,$B95)/SUMIFS('EE Inputs'!$V$9:$V$32,'EE Inputs'!$C$9:$C$32,$AM$6,'EE Inputs'!$D$9:$D$32,$C$4,'EE Inputs'!$E$9:$E$32,$B95)*10,0))</f>
        <v>99848.809993817718</v>
      </c>
      <c r="AU95" s="71">
        <f ca="1">IF($C$4=Lookups!$D$40,SUM(INDIRECT("'Yr1'!"&amp;ADDRESS(ROW(AU95),COLUMN(AU95))),INDIRECT("'Yr2'!"&amp;ADDRESS(ROW(AU95),COLUMN(AU95))),INDIRECT("'Yr3'!"&amp;ADDRESS(ROW(AU95),COLUMN(AU95)))),
IF(AU91&gt;0,SUMIFS('EE Inputs'!$I$9:$I$32,'EE Inputs'!$C$9:$C$32,$AM$6,'EE Inputs'!$D$9:$D$32,$C$4,'EE Inputs'!$E$9:$E$32,$B95)/SUMIFS('EE Inputs'!$V$9:$V$32,'EE Inputs'!$C$9:$C$32,$AM$6,'EE Inputs'!$D$9:$D$32,$C$4,'EE Inputs'!$E$9:$E$32,$B95)*10,0))</f>
        <v>99848.809993817718</v>
      </c>
      <c r="AV95" s="71">
        <f ca="1">IF($C$4=Lookups!$D$40,SUM(INDIRECT("'Yr1'!"&amp;ADDRESS(ROW(AV95),COLUMN(AV95))),INDIRECT("'Yr2'!"&amp;ADDRESS(ROW(AV95),COLUMN(AV95))),INDIRECT("'Yr3'!"&amp;ADDRESS(ROW(AV95),COLUMN(AV95)))),
IF(AV91&gt;0,SUMIFS('EE Inputs'!$I$9:$I$32,'EE Inputs'!$C$9:$C$32,$AM$6,'EE Inputs'!$D$9:$D$32,$C$4,'EE Inputs'!$E$9:$E$32,$B95)/SUMIFS('EE Inputs'!$V$9:$V$32,'EE Inputs'!$C$9:$C$32,$AM$6,'EE Inputs'!$D$9:$D$32,$C$4,'EE Inputs'!$E$9:$E$32,$B95)*10,0))</f>
        <v>99848.809993817718</v>
      </c>
      <c r="AW95" s="71">
        <f ca="1">IF($C$4=Lookups!$D$40,SUM(INDIRECT("'Yr1'!"&amp;ADDRESS(ROW(AW95),COLUMN(AW95))),INDIRECT("'Yr2'!"&amp;ADDRESS(ROW(AW95),COLUMN(AW95))),INDIRECT("'Yr3'!"&amp;ADDRESS(ROW(AW95),COLUMN(AW95)))),
IF(AW91&gt;0,SUMIFS('EE Inputs'!$I$9:$I$32,'EE Inputs'!$C$9:$C$32,$AM$6,'EE Inputs'!$D$9:$D$32,$C$4,'EE Inputs'!$E$9:$E$32,$B95)/SUMIFS('EE Inputs'!$V$9:$V$32,'EE Inputs'!$C$9:$C$32,$AM$6,'EE Inputs'!$D$9:$D$32,$C$4,'EE Inputs'!$E$9:$E$32,$B95)*10,0))</f>
        <v>99848.809993817718</v>
      </c>
      <c r="AX95" s="71">
        <f ca="1">IF($C$4=Lookups!$D$40,SUM(INDIRECT("'Yr1'!"&amp;ADDRESS(ROW(AX95),COLUMN(AX95))),INDIRECT("'Yr2'!"&amp;ADDRESS(ROW(AX95),COLUMN(AX95))),INDIRECT("'Yr3'!"&amp;ADDRESS(ROW(AX95),COLUMN(AX95)))),
IF(AX91&gt;0,SUMIFS('EE Inputs'!$I$9:$I$32,'EE Inputs'!$C$9:$C$32,$AM$6,'EE Inputs'!$D$9:$D$32,$C$4,'EE Inputs'!$E$9:$E$32,$B95)/SUMIFS('EE Inputs'!$V$9:$V$32,'EE Inputs'!$C$9:$C$32,$AM$6,'EE Inputs'!$D$9:$D$32,$C$4,'EE Inputs'!$E$9:$E$32,$B95)*10,0))</f>
        <v>99848.809993817718</v>
      </c>
      <c r="AY95" s="71">
        <f ca="1">IF($C$4=Lookups!$D$40,SUM(INDIRECT("'Yr1'!"&amp;ADDRESS(ROW(AY95),COLUMN(AY95))),INDIRECT("'Yr2'!"&amp;ADDRESS(ROW(AY95),COLUMN(AY95))),INDIRECT("'Yr3'!"&amp;ADDRESS(ROW(AY95),COLUMN(AY95)))),
IF(AY91&gt;0,SUMIFS('EE Inputs'!$I$9:$I$32,'EE Inputs'!$C$9:$C$32,$AM$6,'EE Inputs'!$D$9:$D$32,$C$4,'EE Inputs'!$E$9:$E$32,$B95)/SUMIFS('EE Inputs'!$V$9:$V$32,'EE Inputs'!$C$9:$C$32,$AM$6,'EE Inputs'!$D$9:$D$32,$C$4,'EE Inputs'!$E$9:$E$32,$B95)*10,0))</f>
        <v>99848.809993817718</v>
      </c>
      <c r="AZ95" s="71">
        <f ca="1">IF($C$4=Lookups!$D$40,SUM(INDIRECT("'Yr1'!"&amp;ADDRESS(ROW(AZ95),COLUMN(AZ95))),INDIRECT("'Yr2'!"&amp;ADDRESS(ROW(AZ95),COLUMN(AZ95))),INDIRECT("'Yr3'!"&amp;ADDRESS(ROW(AZ95),COLUMN(AZ95)))),
IF(AZ91&gt;0,SUMIFS('EE Inputs'!$I$9:$I$32,'EE Inputs'!$C$9:$C$32,$AM$6,'EE Inputs'!$D$9:$D$32,$C$4,'EE Inputs'!$E$9:$E$32,$B95)/SUMIFS('EE Inputs'!$V$9:$V$32,'EE Inputs'!$C$9:$C$32,$AM$6,'EE Inputs'!$D$9:$D$32,$C$4,'EE Inputs'!$E$9:$E$32,$B95)*10,0))</f>
        <v>99848.809993817718</v>
      </c>
      <c r="BA95" s="71">
        <f ca="1">IF($C$4=Lookups!$D$40,SUM(INDIRECT("'Yr1'!"&amp;ADDRESS(ROW(BA95),COLUMN(BA95))),INDIRECT("'Yr2'!"&amp;ADDRESS(ROW(BA95),COLUMN(BA95))),INDIRECT("'Yr3'!"&amp;ADDRESS(ROW(BA95),COLUMN(BA95)))),
IF(BA91&gt;0,SUMIFS('EE Inputs'!$I$9:$I$32,'EE Inputs'!$C$9:$C$32,$AM$6,'EE Inputs'!$D$9:$D$32,$C$4,'EE Inputs'!$E$9:$E$32,$B95)/SUMIFS('EE Inputs'!$V$9:$V$32,'EE Inputs'!$C$9:$C$32,$AM$6,'EE Inputs'!$D$9:$D$32,$C$4,'EE Inputs'!$E$9:$E$32,$B95)*10,0))</f>
        <v>99848.809993817718</v>
      </c>
      <c r="BB95" s="71">
        <f ca="1">IF($C$4=Lookups!$D$40,SUM(INDIRECT("'Yr1'!"&amp;ADDRESS(ROW(BB95),COLUMN(BB95))),INDIRECT("'Yr2'!"&amp;ADDRESS(ROW(BB95),COLUMN(BB95))),INDIRECT("'Yr3'!"&amp;ADDRESS(ROW(BB95),COLUMN(BB95)))),
IF(BB91&gt;0,SUMIFS('EE Inputs'!$I$9:$I$32,'EE Inputs'!$C$9:$C$32,$AM$6,'EE Inputs'!$D$9:$D$32,$C$4,'EE Inputs'!$E$9:$E$32,$B95)/SUMIFS('EE Inputs'!$V$9:$V$32,'EE Inputs'!$C$9:$C$32,$AM$6,'EE Inputs'!$D$9:$D$32,$C$4,'EE Inputs'!$E$9:$E$32,$B95)*10,0))</f>
        <v>99848.809993817718</v>
      </c>
      <c r="BC95" s="71">
        <f ca="1">IF($C$4=Lookups!$D$40,SUM(INDIRECT("'Yr1'!"&amp;ADDRESS(ROW(BC95),COLUMN(BC95))),INDIRECT("'Yr2'!"&amp;ADDRESS(ROW(BC95),COLUMN(BC95))),INDIRECT("'Yr3'!"&amp;ADDRESS(ROW(BC95),COLUMN(BC95)))),
IF(BC91&gt;0,SUMIFS('EE Inputs'!$I$9:$I$32,'EE Inputs'!$C$9:$C$32,$AM$6,'EE Inputs'!$D$9:$D$32,$C$4,'EE Inputs'!$E$9:$E$32,$B95)/SUMIFS('EE Inputs'!$V$9:$V$32,'EE Inputs'!$C$9:$C$32,$AM$6,'EE Inputs'!$D$9:$D$32,$C$4,'EE Inputs'!$E$9:$E$32,$B95)*10,0))</f>
        <v>99848.809993817718</v>
      </c>
      <c r="BD95" s="71">
        <f ca="1">IF($C$4=Lookups!$D$40,SUM(INDIRECT("'Yr1'!"&amp;ADDRESS(ROW(BD95),COLUMN(BD95))),INDIRECT("'Yr2'!"&amp;ADDRESS(ROW(BD95),COLUMN(BD95))),INDIRECT("'Yr3'!"&amp;ADDRESS(ROW(BD95),COLUMN(BD95)))),
IF(BD91&gt;0,SUMIFS('EE Inputs'!$I$9:$I$32,'EE Inputs'!$C$9:$C$32,$AM$6,'EE Inputs'!$D$9:$D$32,$C$4,'EE Inputs'!$E$9:$E$32,$B95)/SUMIFS('EE Inputs'!$V$9:$V$32,'EE Inputs'!$C$9:$C$32,$AM$6,'EE Inputs'!$D$9:$D$32,$C$4,'EE Inputs'!$E$9:$E$32,$B95)*10,0))</f>
        <v>99848.809993817718</v>
      </c>
      <c r="BE95" s="71">
        <f ca="1">IF($C$4=Lookups!$D$40,SUM(INDIRECT("'Yr1'!"&amp;ADDRESS(ROW(BE95),COLUMN(BE95))),INDIRECT("'Yr2'!"&amp;ADDRESS(ROW(BE95),COLUMN(BE95))),INDIRECT("'Yr3'!"&amp;ADDRESS(ROW(BE95),COLUMN(BE95)))),
IF(BE91&gt;0,SUMIFS('EE Inputs'!$I$9:$I$32,'EE Inputs'!$C$9:$C$32,$AM$6,'EE Inputs'!$D$9:$D$32,$C$4,'EE Inputs'!$E$9:$E$32,$B95)/SUMIFS('EE Inputs'!$V$9:$V$32,'EE Inputs'!$C$9:$C$32,$AM$6,'EE Inputs'!$D$9:$D$32,$C$4,'EE Inputs'!$E$9:$E$32,$B95)*10,0))</f>
        <v>99848.809993817718</v>
      </c>
      <c r="BF95" s="71">
        <f ca="1">IF($C$4=Lookups!$D$40,SUM(INDIRECT("'Yr1'!"&amp;ADDRESS(ROW(BF95),COLUMN(BF95))),INDIRECT("'Yr2'!"&amp;ADDRESS(ROW(BF95),COLUMN(BF95))),INDIRECT("'Yr3'!"&amp;ADDRESS(ROW(BF95),COLUMN(BF95)))),
IF(BF91&gt;0,SUMIFS('EE Inputs'!$I$9:$I$32,'EE Inputs'!$C$9:$C$32,$AM$6,'EE Inputs'!$D$9:$D$32,$C$4,'EE Inputs'!$E$9:$E$32,$B95)/SUMIFS('EE Inputs'!$V$9:$V$32,'EE Inputs'!$C$9:$C$32,$AM$6,'EE Inputs'!$D$9:$D$32,$C$4,'EE Inputs'!$E$9:$E$32,$B95)*10,0))</f>
        <v>99848.809993817718</v>
      </c>
      <c r="BG95" s="71">
        <f ca="1">IF($C$4=Lookups!$D$40,SUM(INDIRECT("'Yr1'!"&amp;ADDRESS(ROW(BG95),COLUMN(BG95))),INDIRECT("'Yr2'!"&amp;ADDRESS(ROW(BG95),COLUMN(BG95))),INDIRECT("'Yr3'!"&amp;ADDRESS(ROW(BG95),COLUMN(BG95)))),
IF(BG91&gt;0,SUMIFS('EE Inputs'!$I$9:$I$32,'EE Inputs'!$C$9:$C$32,$AM$6,'EE Inputs'!$D$9:$D$32,$C$4,'EE Inputs'!$E$9:$E$32,$B95)/SUMIFS('EE Inputs'!$V$9:$V$32,'EE Inputs'!$C$9:$C$32,$AM$6,'EE Inputs'!$D$9:$D$32,$C$4,'EE Inputs'!$E$9:$E$32,$B95)*10,0))</f>
        <v>0</v>
      </c>
      <c r="BH95" s="71">
        <f ca="1">IF($C$4=Lookups!$D$40,SUM(INDIRECT("'Yr1'!"&amp;ADDRESS(ROW(BH95),COLUMN(BH95))),INDIRECT("'Yr2'!"&amp;ADDRESS(ROW(BH95),COLUMN(BH95))),INDIRECT("'Yr3'!"&amp;ADDRESS(ROW(BH95),COLUMN(BH95)))),
IF(BH91&gt;0,SUMIFS('EE Inputs'!$I$9:$I$32,'EE Inputs'!$C$9:$C$32,$AM$6,'EE Inputs'!$D$9:$D$32,$C$4,'EE Inputs'!$E$9:$E$32,$B95)/SUMIFS('EE Inputs'!$V$9:$V$32,'EE Inputs'!$C$9:$C$32,$AM$6,'EE Inputs'!$D$9:$D$32,$C$4,'EE Inputs'!$E$9:$E$32,$B95)*10,0))</f>
        <v>0</v>
      </c>
      <c r="BI95" s="71">
        <f ca="1">IF($C$4=Lookups!$D$40,SUM(INDIRECT("'Yr1'!"&amp;ADDRESS(ROW(BI95),COLUMN(BI95))),INDIRECT("'Yr2'!"&amp;ADDRESS(ROW(BI95),COLUMN(BI95))),INDIRECT("'Yr3'!"&amp;ADDRESS(ROW(BI95),COLUMN(BI95)))),
IF(BI91&gt;0,SUMIFS('EE Inputs'!$I$9:$I$32,'EE Inputs'!$C$9:$C$32,$AM$6,'EE Inputs'!$D$9:$D$32,$C$4,'EE Inputs'!$E$9:$E$32,$B95)/SUMIFS('EE Inputs'!$V$9:$V$32,'EE Inputs'!$C$9:$C$32,$AM$6,'EE Inputs'!$D$9:$D$32,$C$4,'EE Inputs'!$E$9:$E$32,$B95)*10,0))</f>
        <v>0</v>
      </c>
      <c r="BJ95" s="71">
        <f ca="1">IF($C$4=Lookups!$D$40,SUM(INDIRECT("'Yr1'!"&amp;ADDRESS(ROW(BJ95),COLUMN(BJ95))),INDIRECT("'Yr2'!"&amp;ADDRESS(ROW(BJ95),COLUMN(BJ95))),INDIRECT("'Yr3'!"&amp;ADDRESS(ROW(BJ95),COLUMN(BJ95)))),
IF(BJ91&gt;0,SUMIFS('EE Inputs'!$I$9:$I$32,'EE Inputs'!$C$9:$C$32,$AM$6,'EE Inputs'!$D$9:$D$32,$C$4,'EE Inputs'!$E$9:$E$32,$B95)/SUMIFS('EE Inputs'!$V$9:$V$32,'EE Inputs'!$C$9:$C$32,$AM$6,'EE Inputs'!$D$9:$D$32,$C$4,'EE Inputs'!$E$9:$E$32,$B95)*10,0))</f>
        <v>0</v>
      </c>
      <c r="BK95" s="71">
        <f ca="1">IF($C$4=Lookups!$D$40,SUM(INDIRECT("'Yr1'!"&amp;ADDRESS(ROW(BK95),COLUMN(BK95))),INDIRECT("'Yr2'!"&amp;ADDRESS(ROW(BK95),COLUMN(BK95))),INDIRECT("'Yr3'!"&amp;ADDRESS(ROW(BK95),COLUMN(BK95)))),
IF(BK91&gt;0,SUMIFS('EE Inputs'!$I$9:$I$32,'EE Inputs'!$C$9:$C$32,$AM$6,'EE Inputs'!$D$9:$D$32,$C$4,'EE Inputs'!$E$9:$E$32,$B95)/SUMIFS('EE Inputs'!$V$9:$V$32,'EE Inputs'!$C$9:$C$32,$AM$6,'EE Inputs'!$D$9:$D$32,$C$4,'EE Inputs'!$E$9:$E$32,$B95)*10,0))</f>
        <v>0</v>
      </c>
      <c r="BL95" s="71">
        <f ca="1">IF($C$4=Lookups!$D$40,SUM(INDIRECT("'Yr1'!"&amp;ADDRESS(ROW(BL95),COLUMN(BL95))),INDIRECT("'Yr2'!"&amp;ADDRESS(ROW(BL95),COLUMN(BL95))),INDIRECT("'Yr3'!"&amp;ADDRESS(ROW(BL95),COLUMN(BL95)))),
IF(BL91&gt;0,SUMIFS('EE Inputs'!$I$9:$I$32,'EE Inputs'!$C$9:$C$32,$AM$6,'EE Inputs'!$D$9:$D$32,$C$4,'EE Inputs'!$E$9:$E$32,$B95)/SUMIFS('EE Inputs'!$V$9:$V$32,'EE Inputs'!$C$9:$C$32,$AM$6,'EE Inputs'!$D$9:$D$32,$C$4,'EE Inputs'!$E$9:$E$32,$B95)*10,0))</f>
        <v>0</v>
      </c>
      <c r="BM95" s="71">
        <f ca="1">IF($C$4=Lookups!$D$40,SUM(INDIRECT("'Yr1'!"&amp;ADDRESS(ROW(BM95),COLUMN(BM95))),INDIRECT("'Yr2'!"&amp;ADDRESS(ROW(BM95),COLUMN(BM95))),INDIRECT("'Yr3'!"&amp;ADDRESS(ROW(BM95),COLUMN(BM95)))),
IF(BM91&gt;0,SUMIFS('EE Inputs'!$I$9:$I$32,'EE Inputs'!$C$9:$C$32,$AM$6,'EE Inputs'!$D$9:$D$32,$C$4,'EE Inputs'!$E$9:$E$32,$B95)/SUMIFS('EE Inputs'!$V$9:$V$32,'EE Inputs'!$C$9:$C$32,$AM$6,'EE Inputs'!$D$9:$D$32,$C$4,'EE Inputs'!$E$9:$E$32,$B95)*10,0))</f>
        <v>0</v>
      </c>
      <c r="BN95" s="71"/>
      <c r="BO95" s="71">
        <f t="shared" ref="BO95:BO96" ca="1" si="87">SUM(AM95:BM95)</f>
        <v>1996976.1998763543</v>
      </c>
      <c r="BP95" s="71"/>
      <c r="BS95" s="84" t="s">
        <v>92</v>
      </c>
      <c r="BT95" s="51" t="s">
        <v>17</v>
      </c>
    </row>
    <row r="96" spans="1:72" x14ac:dyDescent="0.25">
      <c r="B96" s="243" t="str">
        <f t="shared" si="85"/>
        <v>Low-Income</v>
      </c>
      <c r="C96" s="243" t="str">
        <f>C95</f>
        <v>Sales</v>
      </c>
      <c r="D96" s="244" t="s">
        <v>109</v>
      </c>
      <c r="E96" s="85" t="s">
        <v>109</v>
      </c>
      <c r="F96" s="84" t="s">
        <v>195</v>
      </c>
      <c r="G96" s="65">
        <f ca="1">G94-G95</f>
        <v>4586249.7810489349</v>
      </c>
      <c r="H96" s="65">
        <f t="shared" ref="H96:AG96" ca="1" si="88">H94-H95</f>
        <v>4586249.7810489349</v>
      </c>
      <c r="I96" s="65">
        <f t="shared" ca="1" si="88"/>
        <v>4586249.7810489349</v>
      </c>
      <c r="J96" s="65">
        <f t="shared" ca="1" si="88"/>
        <v>4586249.7810489349</v>
      </c>
      <c r="K96" s="65">
        <f t="shared" ca="1" si="88"/>
        <v>4586249.7810489349</v>
      </c>
      <c r="L96" s="65">
        <f t="shared" ca="1" si="88"/>
        <v>4586249.7810489349</v>
      </c>
      <c r="M96" s="65">
        <f t="shared" ca="1" si="88"/>
        <v>4586249.7810489349</v>
      </c>
      <c r="N96" s="65">
        <f t="shared" ca="1" si="88"/>
        <v>4586249.7810489349</v>
      </c>
      <c r="O96" s="65">
        <f t="shared" ca="1" si="88"/>
        <v>4586249.7810489349</v>
      </c>
      <c r="P96" s="65">
        <f t="shared" ca="1" si="88"/>
        <v>4586249.7810489349</v>
      </c>
      <c r="Q96" s="65">
        <f t="shared" ca="1" si="88"/>
        <v>4586249.7810489349</v>
      </c>
      <c r="R96" s="65">
        <f t="shared" ca="1" si="88"/>
        <v>4586249.7810489349</v>
      </c>
      <c r="S96" s="65">
        <f t="shared" ca="1" si="88"/>
        <v>4586249.7810489349</v>
      </c>
      <c r="T96" s="65">
        <f t="shared" ca="1" si="88"/>
        <v>4586249.7810489349</v>
      </c>
      <c r="U96" s="65">
        <f t="shared" ca="1" si="88"/>
        <v>4586249.7810489349</v>
      </c>
      <c r="V96" s="65">
        <f t="shared" ca="1" si="88"/>
        <v>4586249.7810489349</v>
      </c>
      <c r="W96" s="65">
        <f t="shared" ca="1" si="88"/>
        <v>4586249.7810489349</v>
      </c>
      <c r="X96" s="65">
        <f t="shared" ca="1" si="88"/>
        <v>4586249.7810489349</v>
      </c>
      <c r="Y96" s="65">
        <f t="shared" ca="1" si="88"/>
        <v>4586249.7810489349</v>
      </c>
      <c r="Z96" s="65">
        <f t="shared" ca="1" si="88"/>
        <v>4586249.7810489349</v>
      </c>
      <c r="AA96" s="65">
        <f t="shared" ca="1" si="88"/>
        <v>4673617.4897935251</v>
      </c>
      <c r="AB96" s="65">
        <f t="shared" ca="1" si="88"/>
        <v>4673617.4897935251</v>
      </c>
      <c r="AC96" s="65">
        <f t="shared" ca="1" si="88"/>
        <v>4673617.4897935251</v>
      </c>
      <c r="AD96" s="65">
        <f t="shared" ca="1" si="88"/>
        <v>4673617.4897935251</v>
      </c>
      <c r="AE96" s="65">
        <f t="shared" ca="1" si="88"/>
        <v>4673617.4897935251</v>
      </c>
      <c r="AF96" s="65">
        <f t="shared" ca="1" si="88"/>
        <v>4673617.4897935251</v>
      </c>
      <c r="AG96" s="65">
        <f t="shared" ca="1" si="88"/>
        <v>4673617.4897935251</v>
      </c>
      <c r="AH96" s="65"/>
      <c r="AI96" s="65">
        <f t="shared" ca="1" si="86"/>
        <v>124440318.04953341</v>
      </c>
      <c r="AJ96" s="65"/>
      <c r="AM96" s="72">
        <f ca="1">AM94-AM95</f>
        <v>4573768.6797997076</v>
      </c>
      <c r="AN96" s="72">
        <f t="shared" ref="AN96:BM96" ca="1" si="89">AN94-AN95</f>
        <v>4573768.6797997076</v>
      </c>
      <c r="AO96" s="72">
        <f t="shared" ca="1" si="89"/>
        <v>4573768.6797997076</v>
      </c>
      <c r="AP96" s="72">
        <f t="shared" ca="1" si="89"/>
        <v>4573768.6797997076</v>
      </c>
      <c r="AQ96" s="72">
        <f t="shared" ca="1" si="89"/>
        <v>4573768.6797997076</v>
      </c>
      <c r="AR96" s="72">
        <f t="shared" ca="1" si="89"/>
        <v>4573768.6797997076</v>
      </c>
      <c r="AS96" s="72">
        <f t="shared" ca="1" si="89"/>
        <v>4573768.6797997076</v>
      </c>
      <c r="AT96" s="72">
        <f t="shared" ca="1" si="89"/>
        <v>4573768.6797997076</v>
      </c>
      <c r="AU96" s="72">
        <f t="shared" ca="1" si="89"/>
        <v>4573768.6797997076</v>
      </c>
      <c r="AV96" s="72">
        <f t="shared" ca="1" si="89"/>
        <v>4573768.6797997076</v>
      </c>
      <c r="AW96" s="72">
        <f t="shared" ca="1" si="89"/>
        <v>4573768.6797997076</v>
      </c>
      <c r="AX96" s="72">
        <f t="shared" ca="1" si="89"/>
        <v>4573768.6797997076</v>
      </c>
      <c r="AY96" s="72">
        <f t="shared" ca="1" si="89"/>
        <v>4573768.6797997076</v>
      </c>
      <c r="AZ96" s="72">
        <f t="shared" ca="1" si="89"/>
        <v>4573768.6797997076</v>
      </c>
      <c r="BA96" s="72">
        <f t="shared" ca="1" si="89"/>
        <v>4573768.6797997076</v>
      </c>
      <c r="BB96" s="72">
        <f t="shared" ca="1" si="89"/>
        <v>4573768.6797997076</v>
      </c>
      <c r="BC96" s="72">
        <f t="shared" ca="1" si="89"/>
        <v>4573768.6797997076</v>
      </c>
      <c r="BD96" s="72">
        <f t="shared" ca="1" si="89"/>
        <v>4573768.6797997076</v>
      </c>
      <c r="BE96" s="72">
        <f t="shared" ca="1" si="89"/>
        <v>4573768.6797997076</v>
      </c>
      <c r="BF96" s="72">
        <f t="shared" ca="1" si="89"/>
        <v>4573768.6797997076</v>
      </c>
      <c r="BG96" s="72">
        <f t="shared" ca="1" si="89"/>
        <v>4673617.4897935251</v>
      </c>
      <c r="BH96" s="72">
        <f t="shared" ca="1" si="89"/>
        <v>4673617.4897935251</v>
      </c>
      <c r="BI96" s="72">
        <f t="shared" ca="1" si="89"/>
        <v>4673617.4897935251</v>
      </c>
      <c r="BJ96" s="72">
        <f t="shared" ca="1" si="89"/>
        <v>4673617.4897935251</v>
      </c>
      <c r="BK96" s="72">
        <f t="shared" ca="1" si="89"/>
        <v>4673617.4897935251</v>
      </c>
      <c r="BL96" s="72">
        <f t="shared" ca="1" si="89"/>
        <v>4673617.4897935251</v>
      </c>
      <c r="BM96" s="72">
        <f t="shared" ca="1" si="89"/>
        <v>4673617.4897935251</v>
      </c>
      <c r="BN96" s="72"/>
      <c r="BO96" s="72">
        <f t="shared" ca="1" si="87"/>
        <v>124190696.0245488</v>
      </c>
      <c r="BP96" s="72"/>
      <c r="BS96" s="84" t="s">
        <v>93</v>
      </c>
      <c r="BT96" s="51" t="s">
        <v>17</v>
      </c>
    </row>
    <row r="97" spans="1:72" s="5" customFormat="1" x14ac:dyDescent="0.25">
      <c r="A97" s="52"/>
      <c r="B97" s="242" t="str">
        <f t="shared" si="85"/>
        <v>Low-Income</v>
      </c>
      <c r="C97" s="243" t="str">
        <f>C96</f>
        <v>Sales</v>
      </c>
      <c r="D97" s="77" t="s">
        <v>17</v>
      </c>
      <c r="E97" s="76"/>
      <c r="F97" s="76"/>
      <c r="G97" s="468"/>
      <c r="H97" s="468"/>
      <c r="I97" s="468"/>
      <c r="J97" s="468"/>
      <c r="K97" s="468"/>
      <c r="L97" s="468"/>
      <c r="M97" s="468"/>
      <c r="N97" s="468"/>
      <c r="O97" s="468"/>
      <c r="P97" s="468"/>
      <c r="Q97" s="468"/>
      <c r="R97" s="468"/>
      <c r="S97" s="468"/>
      <c r="T97" s="468"/>
      <c r="U97" s="468"/>
      <c r="V97" s="468"/>
      <c r="W97" s="468"/>
      <c r="X97" s="468"/>
      <c r="Y97" s="468"/>
      <c r="Z97" s="468"/>
      <c r="AA97" s="468"/>
      <c r="AB97" s="468"/>
      <c r="AC97" s="468"/>
      <c r="AD97" s="468"/>
      <c r="AE97" s="468"/>
      <c r="AF97" s="468"/>
      <c r="AG97" s="468"/>
      <c r="AH97" s="48"/>
      <c r="AI97" s="235"/>
      <c r="AJ97" s="48"/>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S97" s="76"/>
      <c r="BT97" s="51" t="s">
        <v>17</v>
      </c>
    </row>
    <row r="98" spans="1:72" s="5" customFormat="1" ht="15.75" x14ac:dyDescent="0.25">
      <c r="A98" s="52"/>
      <c r="B98" s="241" t="str">
        <f t="shared" si="85"/>
        <v>Low-Income</v>
      </c>
      <c r="C98" s="63" t="s">
        <v>124</v>
      </c>
      <c r="D98" s="61"/>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2"/>
      <c r="BO98" s="62"/>
      <c r="BP98" s="62"/>
      <c r="BS98" s="62"/>
      <c r="BT98" s="51" t="s">
        <v>17</v>
      </c>
    </row>
    <row r="99" spans="1:72" x14ac:dyDescent="0.25">
      <c r="B99" s="243" t="str">
        <f t="shared" si="85"/>
        <v>Low-Income</v>
      </c>
      <c r="C99" s="243" t="str">
        <f t="shared" si="85"/>
        <v>Revenue Requirements</v>
      </c>
      <c r="D99" s="114" t="str">
        <f>"Revenue Requirement before DSM ("&amp;Lookups!$D$22&amp;" Scenario)"</f>
        <v>Revenue Requirement before DSM (No EE Scenario)</v>
      </c>
      <c r="E99" s="84"/>
      <c r="F99" s="84"/>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S99" s="84"/>
      <c r="BT99" s="51" t="s">
        <v>17</v>
      </c>
    </row>
    <row r="100" spans="1:72" x14ac:dyDescent="0.25">
      <c r="B100" s="243" t="str">
        <f t="shared" si="85"/>
        <v>Low-Income</v>
      </c>
      <c r="C100" s="243" t="str">
        <f t="shared" si="85"/>
        <v>Revenue Requirements</v>
      </c>
      <c r="D100" s="244" t="str">
        <f>D99</f>
        <v>Revenue Requirement before DSM (No EE Scenario)</v>
      </c>
      <c r="E100" s="84" t="s">
        <v>26</v>
      </c>
      <c r="F100" s="84" t="s">
        <v>32</v>
      </c>
      <c r="G100" s="65">
        <f>G117*G94</f>
        <v>1041281.9767259974</v>
      </c>
      <c r="H100" s="65">
        <f t="shared" ref="H100:AG100" si="90">H117*H94</f>
        <v>1041281.9767259974</v>
      </c>
      <c r="I100" s="65">
        <f t="shared" si="90"/>
        <v>1041281.9767259974</v>
      </c>
      <c r="J100" s="65">
        <f t="shared" si="90"/>
        <v>1041281.9767259974</v>
      </c>
      <c r="K100" s="65">
        <f t="shared" si="90"/>
        <v>1041281.9767259974</v>
      </c>
      <c r="L100" s="65">
        <f t="shared" si="90"/>
        <v>1041281.9767259974</v>
      </c>
      <c r="M100" s="65">
        <f t="shared" si="90"/>
        <v>1041281.9767259974</v>
      </c>
      <c r="N100" s="65">
        <f t="shared" si="90"/>
        <v>1041281.9767259974</v>
      </c>
      <c r="O100" s="65">
        <f t="shared" si="90"/>
        <v>1041281.9767259974</v>
      </c>
      <c r="P100" s="65">
        <f t="shared" si="90"/>
        <v>1041281.9767259974</v>
      </c>
      <c r="Q100" s="65">
        <f t="shared" si="90"/>
        <v>1041281.9767259974</v>
      </c>
      <c r="R100" s="65">
        <f t="shared" si="90"/>
        <v>1041281.9767259974</v>
      </c>
      <c r="S100" s="65">
        <f t="shared" si="90"/>
        <v>1041281.9767259974</v>
      </c>
      <c r="T100" s="65">
        <f t="shared" si="90"/>
        <v>1041281.9767259974</v>
      </c>
      <c r="U100" s="65">
        <f t="shared" si="90"/>
        <v>1041281.9767259974</v>
      </c>
      <c r="V100" s="65">
        <f t="shared" si="90"/>
        <v>1041281.9767259974</v>
      </c>
      <c r="W100" s="65">
        <f t="shared" si="90"/>
        <v>1041281.9767259974</v>
      </c>
      <c r="X100" s="65">
        <f t="shared" si="90"/>
        <v>1041281.9767259974</v>
      </c>
      <c r="Y100" s="65">
        <f t="shared" si="90"/>
        <v>1041281.9767259974</v>
      </c>
      <c r="Z100" s="65">
        <f t="shared" si="90"/>
        <v>1041281.9767259974</v>
      </c>
      <c r="AA100" s="65">
        <f t="shared" si="90"/>
        <v>1041281.9767259974</v>
      </c>
      <c r="AB100" s="65">
        <f t="shared" si="90"/>
        <v>1041281.9767259974</v>
      </c>
      <c r="AC100" s="65">
        <f t="shared" si="90"/>
        <v>1041281.9767259974</v>
      </c>
      <c r="AD100" s="65">
        <f t="shared" si="90"/>
        <v>1041281.9767259974</v>
      </c>
      <c r="AE100" s="65">
        <f t="shared" si="90"/>
        <v>1041281.9767259974</v>
      </c>
      <c r="AF100" s="65">
        <f t="shared" si="90"/>
        <v>1041281.9767259974</v>
      </c>
      <c r="AG100" s="65">
        <f t="shared" si="90"/>
        <v>1041281.9767259974</v>
      </c>
      <c r="AH100" s="65"/>
      <c r="AI100" s="65">
        <f>NPV(Lookups!$E$17,G100:AG100)</f>
        <v>23234476.838301055</v>
      </c>
      <c r="AJ100" s="65"/>
      <c r="AM100" s="72">
        <f>AM117*AM94</f>
        <v>1041281.9767259974</v>
      </c>
      <c r="AN100" s="72">
        <f t="shared" ref="AN100:BM100" si="91">AN117*AN94</f>
        <v>1041281.9767259974</v>
      </c>
      <c r="AO100" s="72">
        <f t="shared" si="91"/>
        <v>1041281.9767259974</v>
      </c>
      <c r="AP100" s="72">
        <f t="shared" si="91"/>
        <v>1041281.9767259974</v>
      </c>
      <c r="AQ100" s="72">
        <f t="shared" si="91"/>
        <v>1041281.9767259974</v>
      </c>
      <c r="AR100" s="72">
        <f t="shared" si="91"/>
        <v>1041281.9767259974</v>
      </c>
      <c r="AS100" s="72">
        <f t="shared" si="91"/>
        <v>1041281.9767259974</v>
      </c>
      <c r="AT100" s="72">
        <f t="shared" si="91"/>
        <v>1041281.9767259974</v>
      </c>
      <c r="AU100" s="72">
        <f t="shared" si="91"/>
        <v>1041281.9767259974</v>
      </c>
      <c r="AV100" s="72">
        <f t="shared" si="91"/>
        <v>1041281.9767259974</v>
      </c>
      <c r="AW100" s="72">
        <f t="shared" si="91"/>
        <v>1041281.9767259974</v>
      </c>
      <c r="AX100" s="72">
        <f t="shared" si="91"/>
        <v>1041281.9767259974</v>
      </c>
      <c r="AY100" s="72">
        <f t="shared" si="91"/>
        <v>1041281.9767259974</v>
      </c>
      <c r="AZ100" s="72">
        <f t="shared" si="91"/>
        <v>1041281.9767259974</v>
      </c>
      <c r="BA100" s="72">
        <f t="shared" si="91"/>
        <v>1041281.9767259974</v>
      </c>
      <c r="BB100" s="72">
        <f t="shared" si="91"/>
        <v>1041281.9767259974</v>
      </c>
      <c r="BC100" s="72">
        <f t="shared" si="91"/>
        <v>1041281.9767259974</v>
      </c>
      <c r="BD100" s="72">
        <f t="shared" si="91"/>
        <v>1041281.9767259974</v>
      </c>
      <c r="BE100" s="72">
        <f t="shared" si="91"/>
        <v>1041281.9767259974</v>
      </c>
      <c r="BF100" s="72">
        <f t="shared" si="91"/>
        <v>1041281.9767259974</v>
      </c>
      <c r="BG100" s="72">
        <f t="shared" si="91"/>
        <v>1041281.9767259974</v>
      </c>
      <c r="BH100" s="72">
        <f t="shared" si="91"/>
        <v>1041281.9767259974</v>
      </c>
      <c r="BI100" s="72">
        <f t="shared" si="91"/>
        <v>1041281.9767259974</v>
      </c>
      <c r="BJ100" s="72">
        <f t="shared" si="91"/>
        <v>1041281.9767259974</v>
      </c>
      <c r="BK100" s="72">
        <f t="shared" si="91"/>
        <v>1041281.9767259974</v>
      </c>
      <c r="BL100" s="72">
        <f t="shared" si="91"/>
        <v>1041281.9767259974</v>
      </c>
      <c r="BM100" s="72">
        <f t="shared" si="91"/>
        <v>1041281.9767259974</v>
      </c>
      <c r="BN100" s="72"/>
      <c r="BO100" s="72">
        <f>NPV(Lookups!$E$17,AM100:BM100)</f>
        <v>23234476.838301055</v>
      </c>
      <c r="BP100" s="72"/>
      <c r="BS100" s="84" t="str">
        <f>"No EE Scenario "&amp;E100&amp;" rate multiplied by No EE Scenario sales."</f>
        <v>No EE Scenario Distribution rate multiplied by No EE Scenario sales.</v>
      </c>
      <c r="BT100" s="51" t="s">
        <v>17</v>
      </c>
    </row>
    <row r="101" spans="1:72" x14ac:dyDescent="0.25">
      <c r="B101" s="243" t="str">
        <f t="shared" si="85"/>
        <v>Low-Income</v>
      </c>
      <c r="C101" s="243" t="str">
        <f t="shared" si="85"/>
        <v>Revenue Requirements</v>
      </c>
      <c r="D101" s="244" t="str">
        <f>D100</f>
        <v>Revenue Requirement before DSM (No EE Scenario)</v>
      </c>
      <c r="E101" s="84" t="s">
        <v>407</v>
      </c>
      <c r="F101" s="84" t="s">
        <v>32</v>
      </c>
      <c r="G101" s="65">
        <f>G118*G94</f>
        <v>-154229.37716318635</v>
      </c>
      <c r="H101" s="65">
        <f t="shared" ref="H101:AG101" si="92">H118*H94</f>
        <v>-154229.37716318635</v>
      </c>
      <c r="I101" s="65">
        <f t="shared" si="92"/>
        <v>-154229.37716318635</v>
      </c>
      <c r="J101" s="65">
        <f t="shared" si="92"/>
        <v>-154229.37716318635</v>
      </c>
      <c r="K101" s="65">
        <f t="shared" si="92"/>
        <v>-154229.37716318635</v>
      </c>
      <c r="L101" s="65">
        <f t="shared" si="92"/>
        <v>-154229.37716318635</v>
      </c>
      <c r="M101" s="65">
        <f t="shared" si="92"/>
        <v>-154229.37716318635</v>
      </c>
      <c r="N101" s="65">
        <f t="shared" si="92"/>
        <v>-154229.37716318635</v>
      </c>
      <c r="O101" s="65">
        <f t="shared" si="92"/>
        <v>-154229.37716318635</v>
      </c>
      <c r="P101" s="65">
        <f t="shared" si="92"/>
        <v>-154229.37716318635</v>
      </c>
      <c r="Q101" s="65">
        <f t="shared" si="92"/>
        <v>-154229.37716318635</v>
      </c>
      <c r="R101" s="65">
        <f t="shared" si="92"/>
        <v>-154229.37716318635</v>
      </c>
      <c r="S101" s="65">
        <f t="shared" si="92"/>
        <v>-154229.37716318635</v>
      </c>
      <c r="T101" s="65">
        <f t="shared" si="92"/>
        <v>-154229.37716318635</v>
      </c>
      <c r="U101" s="65">
        <f t="shared" si="92"/>
        <v>-154229.37716318635</v>
      </c>
      <c r="V101" s="65">
        <f t="shared" si="92"/>
        <v>-154229.37716318635</v>
      </c>
      <c r="W101" s="65">
        <f t="shared" si="92"/>
        <v>-154229.37716318635</v>
      </c>
      <c r="X101" s="65">
        <f t="shared" si="92"/>
        <v>-154229.37716318635</v>
      </c>
      <c r="Y101" s="65">
        <f t="shared" si="92"/>
        <v>-154229.37716318635</v>
      </c>
      <c r="Z101" s="65">
        <f t="shared" si="92"/>
        <v>-154229.37716318635</v>
      </c>
      <c r="AA101" s="65">
        <f t="shared" si="92"/>
        <v>-154229.37716318635</v>
      </c>
      <c r="AB101" s="65">
        <f t="shared" si="92"/>
        <v>-154229.37716318635</v>
      </c>
      <c r="AC101" s="65">
        <f t="shared" si="92"/>
        <v>-154229.37716318635</v>
      </c>
      <c r="AD101" s="65">
        <f t="shared" si="92"/>
        <v>-154229.37716318635</v>
      </c>
      <c r="AE101" s="65">
        <f t="shared" si="92"/>
        <v>-154229.37716318635</v>
      </c>
      <c r="AF101" s="65">
        <f t="shared" si="92"/>
        <v>-154229.37716318635</v>
      </c>
      <c r="AG101" s="65">
        <f t="shared" si="92"/>
        <v>-154229.37716318635</v>
      </c>
      <c r="AH101" s="65"/>
      <c r="AI101" s="65">
        <f>NPV(Lookups!$E$17,G101:AG101)</f>
        <v>-3441372.2426568004</v>
      </c>
      <c r="AJ101" s="65"/>
      <c r="AM101" s="72">
        <f>AM118*AM94</f>
        <v>-154229.37716318635</v>
      </c>
      <c r="AN101" s="72">
        <f t="shared" ref="AN101:BM101" si="93">AN118*AN94</f>
        <v>-154229.37716318635</v>
      </c>
      <c r="AO101" s="72">
        <f t="shared" si="93"/>
        <v>-154229.37716318635</v>
      </c>
      <c r="AP101" s="72">
        <f t="shared" si="93"/>
        <v>-154229.37716318635</v>
      </c>
      <c r="AQ101" s="72">
        <f t="shared" si="93"/>
        <v>-154229.37716318635</v>
      </c>
      <c r="AR101" s="72">
        <f t="shared" si="93"/>
        <v>-154229.37716318635</v>
      </c>
      <c r="AS101" s="72">
        <f t="shared" si="93"/>
        <v>-154229.37716318635</v>
      </c>
      <c r="AT101" s="72">
        <f t="shared" si="93"/>
        <v>-154229.37716318635</v>
      </c>
      <c r="AU101" s="72">
        <f t="shared" si="93"/>
        <v>-154229.37716318635</v>
      </c>
      <c r="AV101" s="72">
        <f t="shared" si="93"/>
        <v>-154229.37716318635</v>
      </c>
      <c r="AW101" s="72">
        <f t="shared" si="93"/>
        <v>-154229.37716318635</v>
      </c>
      <c r="AX101" s="72">
        <f t="shared" si="93"/>
        <v>-154229.37716318635</v>
      </c>
      <c r="AY101" s="72">
        <f t="shared" si="93"/>
        <v>-154229.37716318635</v>
      </c>
      <c r="AZ101" s="72">
        <f t="shared" si="93"/>
        <v>-154229.37716318635</v>
      </c>
      <c r="BA101" s="72">
        <f t="shared" si="93"/>
        <v>-154229.37716318635</v>
      </c>
      <c r="BB101" s="72">
        <f t="shared" si="93"/>
        <v>-154229.37716318635</v>
      </c>
      <c r="BC101" s="72">
        <f t="shared" si="93"/>
        <v>-154229.37716318635</v>
      </c>
      <c r="BD101" s="72">
        <f t="shared" si="93"/>
        <v>-154229.37716318635</v>
      </c>
      <c r="BE101" s="72">
        <f t="shared" si="93"/>
        <v>-154229.37716318635</v>
      </c>
      <c r="BF101" s="72">
        <f t="shared" si="93"/>
        <v>-154229.37716318635</v>
      </c>
      <c r="BG101" s="72">
        <f t="shared" si="93"/>
        <v>-154229.37716318635</v>
      </c>
      <c r="BH101" s="72">
        <f t="shared" si="93"/>
        <v>-154229.37716318635</v>
      </c>
      <c r="BI101" s="72">
        <f t="shared" si="93"/>
        <v>-154229.37716318635</v>
      </c>
      <c r="BJ101" s="72">
        <f t="shared" si="93"/>
        <v>-154229.37716318635</v>
      </c>
      <c r="BK101" s="72">
        <f t="shared" si="93"/>
        <v>-154229.37716318635</v>
      </c>
      <c r="BL101" s="72">
        <f t="shared" si="93"/>
        <v>-154229.37716318635</v>
      </c>
      <c r="BM101" s="72">
        <f t="shared" si="93"/>
        <v>-154229.37716318635</v>
      </c>
      <c r="BN101" s="72"/>
      <c r="BO101" s="72">
        <f>NPV(Lookups!$E$17,AM101:BM101)</f>
        <v>-3441372.2426568004</v>
      </c>
      <c r="BP101" s="72"/>
      <c r="BS101" s="84" t="str">
        <f>"No EE Scenario "&amp;E101&amp;" rate multiplied by No EE Scenario sales."</f>
        <v>No EE Scenario LDAC, Non-EE rate multiplied by No EE Scenario sales.</v>
      </c>
      <c r="BT101" s="51" t="s">
        <v>17</v>
      </c>
    </row>
    <row r="102" spans="1:72" x14ac:dyDescent="0.25">
      <c r="A102" s="1"/>
      <c r="B102" s="243" t="str">
        <f>B100</f>
        <v>Low-Income</v>
      </c>
      <c r="C102" s="243" t="str">
        <f>C100</f>
        <v>Revenue Requirements</v>
      </c>
      <c r="D102" s="244" t="str">
        <f>D100</f>
        <v>Revenue Requirement before DSM (No EE Scenario)</v>
      </c>
      <c r="E102" s="84" t="s">
        <v>197</v>
      </c>
      <c r="F102" s="84" t="s">
        <v>32</v>
      </c>
      <c r="G102" s="65">
        <f>G119*G94</f>
        <v>2899044.9289189233</v>
      </c>
      <c r="H102" s="65">
        <f>H119*H94</f>
        <v>2899044.9289189233</v>
      </c>
      <c r="I102" s="65">
        <f t="shared" ref="I102:AG102" si="94">I119*I94</f>
        <v>2899044.9289189233</v>
      </c>
      <c r="J102" s="65">
        <f t="shared" si="94"/>
        <v>2899044.9289189233</v>
      </c>
      <c r="K102" s="65">
        <f t="shared" si="94"/>
        <v>2899044.9289189233</v>
      </c>
      <c r="L102" s="65">
        <f t="shared" si="94"/>
        <v>2899044.9289189233</v>
      </c>
      <c r="M102" s="65">
        <f t="shared" si="94"/>
        <v>2899044.9289189233</v>
      </c>
      <c r="N102" s="65">
        <f t="shared" si="94"/>
        <v>2899044.9289189233</v>
      </c>
      <c r="O102" s="65">
        <f t="shared" si="94"/>
        <v>2899044.9289189233</v>
      </c>
      <c r="P102" s="65">
        <f t="shared" si="94"/>
        <v>2899044.9289189233</v>
      </c>
      <c r="Q102" s="65">
        <f t="shared" si="94"/>
        <v>2899044.9289189233</v>
      </c>
      <c r="R102" s="65">
        <f t="shared" si="94"/>
        <v>2899044.9289189233</v>
      </c>
      <c r="S102" s="65">
        <f t="shared" si="94"/>
        <v>2899044.9289189233</v>
      </c>
      <c r="T102" s="65">
        <f t="shared" si="94"/>
        <v>2899044.9289189233</v>
      </c>
      <c r="U102" s="65">
        <f t="shared" si="94"/>
        <v>2899044.9289189233</v>
      </c>
      <c r="V102" s="65">
        <f t="shared" si="94"/>
        <v>2899044.9289189233</v>
      </c>
      <c r="W102" s="65">
        <f t="shared" si="94"/>
        <v>2899044.9289189233</v>
      </c>
      <c r="X102" s="65">
        <f t="shared" si="94"/>
        <v>2899044.9289189233</v>
      </c>
      <c r="Y102" s="65">
        <f t="shared" si="94"/>
        <v>2899044.9289189233</v>
      </c>
      <c r="Z102" s="65">
        <f t="shared" si="94"/>
        <v>2899044.9289189233</v>
      </c>
      <c r="AA102" s="65">
        <f t="shared" si="94"/>
        <v>2899044.9289189233</v>
      </c>
      <c r="AB102" s="65">
        <f t="shared" si="94"/>
        <v>2899044.9289189233</v>
      </c>
      <c r="AC102" s="65">
        <f t="shared" si="94"/>
        <v>2899044.9289189233</v>
      </c>
      <c r="AD102" s="65">
        <f t="shared" si="94"/>
        <v>2899044.9289189233</v>
      </c>
      <c r="AE102" s="65">
        <f t="shared" si="94"/>
        <v>2899044.9289189233</v>
      </c>
      <c r="AF102" s="65">
        <f t="shared" si="94"/>
        <v>2899044.9289189233</v>
      </c>
      <c r="AG102" s="65">
        <f t="shared" si="94"/>
        <v>2899044.9289189233</v>
      </c>
      <c r="AH102" s="65"/>
      <c r="AI102" s="65">
        <f>NPV(Lookups!$E$17,G102:AG102)</f>
        <v>64687369.76121252</v>
      </c>
      <c r="AJ102" s="65"/>
      <c r="AM102" s="72">
        <f>AM119*AM94</f>
        <v>2899044.9289189233</v>
      </c>
      <c r="AN102" s="72">
        <f t="shared" ref="AN102:BM102" si="95">AN119*AN94</f>
        <v>2899044.9289189233</v>
      </c>
      <c r="AO102" s="72">
        <f t="shared" si="95"/>
        <v>2899044.9289189233</v>
      </c>
      <c r="AP102" s="72">
        <f t="shared" si="95"/>
        <v>2899044.9289189233</v>
      </c>
      <c r="AQ102" s="72">
        <f t="shared" si="95"/>
        <v>2899044.9289189233</v>
      </c>
      <c r="AR102" s="72">
        <f t="shared" si="95"/>
        <v>2899044.9289189233</v>
      </c>
      <c r="AS102" s="72">
        <f t="shared" si="95"/>
        <v>2899044.9289189233</v>
      </c>
      <c r="AT102" s="72">
        <f t="shared" si="95"/>
        <v>2899044.9289189233</v>
      </c>
      <c r="AU102" s="72">
        <f t="shared" si="95"/>
        <v>2899044.9289189233</v>
      </c>
      <c r="AV102" s="72">
        <f t="shared" si="95"/>
        <v>2899044.9289189233</v>
      </c>
      <c r="AW102" s="72">
        <f t="shared" si="95"/>
        <v>2899044.9289189233</v>
      </c>
      <c r="AX102" s="72">
        <f t="shared" si="95"/>
        <v>2899044.9289189233</v>
      </c>
      <c r="AY102" s="72">
        <f t="shared" si="95"/>
        <v>2899044.9289189233</v>
      </c>
      <c r="AZ102" s="72">
        <f t="shared" si="95"/>
        <v>2899044.9289189233</v>
      </c>
      <c r="BA102" s="72">
        <f t="shared" si="95"/>
        <v>2899044.9289189233</v>
      </c>
      <c r="BB102" s="72">
        <f t="shared" si="95"/>
        <v>2899044.9289189233</v>
      </c>
      <c r="BC102" s="72">
        <f t="shared" si="95"/>
        <v>2899044.9289189233</v>
      </c>
      <c r="BD102" s="72">
        <f t="shared" si="95"/>
        <v>2899044.9289189233</v>
      </c>
      <c r="BE102" s="72">
        <f t="shared" si="95"/>
        <v>2899044.9289189233</v>
      </c>
      <c r="BF102" s="72">
        <f t="shared" si="95"/>
        <v>2899044.9289189233</v>
      </c>
      <c r="BG102" s="72">
        <f t="shared" si="95"/>
        <v>2899044.9289189233</v>
      </c>
      <c r="BH102" s="72">
        <f t="shared" si="95"/>
        <v>2899044.9289189233</v>
      </c>
      <c r="BI102" s="72">
        <f t="shared" si="95"/>
        <v>2899044.9289189233</v>
      </c>
      <c r="BJ102" s="72">
        <f t="shared" si="95"/>
        <v>2899044.9289189233</v>
      </c>
      <c r="BK102" s="72">
        <f t="shared" si="95"/>
        <v>2899044.9289189233</v>
      </c>
      <c r="BL102" s="72">
        <f t="shared" si="95"/>
        <v>2899044.9289189233</v>
      </c>
      <c r="BM102" s="72">
        <f t="shared" si="95"/>
        <v>2899044.9289189233</v>
      </c>
      <c r="BN102" s="72"/>
      <c r="BO102" s="72">
        <f>NPV(Lookups!$E$17,AM102:BM102)</f>
        <v>64687369.76121252</v>
      </c>
      <c r="BP102" s="72"/>
      <c r="BS102" s="84" t="str">
        <f>"No EE Scenario "&amp;E102&amp;" rate multiplied by No EE Scenario sales."</f>
        <v>No EE Scenario Cost of Gas rate multiplied by No EE Scenario sales.</v>
      </c>
      <c r="BT102" s="51" t="s">
        <v>17</v>
      </c>
    </row>
    <row r="103" spans="1:72" x14ac:dyDescent="0.25">
      <c r="B103" s="243" t="str">
        <f t="shared" ref="B103:C105" si="96">B102</f>
        <v>Low-Income</v>
      </c>
      <c r="C103" s="243" t="str">
        <f t="shared" si="96"/>
        <v>Revenue Requirements</v>
      </c>
      <c r="D103" s="114" t="s">
        <v>24</v>
      </c>
      <c r="E103" s="84"/>
      <c r="F103" s="84"/>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S103" s="84"/>
      <c r="BT103" s="51" t="s">
        <v>17</v>
      </c>
    </row>
    <row r="104" spans="1:72" x14ac:dyDescent="0.25">
      <c r="A104" s="246"/>
      <c r="B104" s="243" t="str">
        <f t="shared" si="96"/>
        <v>Low-Income</v>
      </c>
      <c r="C104" s="243" t="str">
        <f t="shared" si="96"/>
        <v>Revenue Requirements</v>
      </c>
      <c r="D104" s="244" t="str">
        <f>D103</f>
        <v>Avoided Costs</v>
      </c>
      <c r="E104" s="84" t="s">
        <v>45</v>
      </c>
      <c r="F104" s="84" t="s">
        <v>32</v>
      </c>
      <c r="G104" s="65">
        <f ca="1">IF($C$4=Lookups!$D$40,SUM(INDIRECT("'Yr1'!"&amp;ADDRESS(ROW(G104),COLUMN(G104))),INDIRECT("'Yr2'!"&amp;ADDRESS(ROW(G104),COLUMN(G104))),INDIRECT("'Yr3'!"&amp;ADDRESS(ROW(G104),COLUMN(G104)))),
IF(G91=0,0,-PMT(INDEX(Lookups!$E$17:$G$17,MATCH($C$4,Lookups!$E$14:$G$14,0)),G91,SUMIFS('EE Inputs'!$J$9:$J$32,'EE Inputs'!$C$9:$C$32,$G$6,'EE Inputs'!$D$9:$D$32,$C$4,'EE Inputs'!$E$9:$E$32,$B104),0,1)))-G105</f>
        <v>64889.070076968244</v>
      </c>
      <c r="H104" s="65">
        <f ca="1">IF($C$4=Lookups!$D$40,SUM(INDIRECT("'Yr1'!"&amp;ADDRESS(ROW(H104),COLUMN(H104))),INDIRECT("'Yr2'!"&amp;ADDRESS(ROW(H104),COLUMN(H104))),INDIRECT("'Yr3'!"&amp;ADDRESS(ROW(H104),COLUMN(H104)))),
IF(H91=0,0,-PMT(INDEX(Lookups!$E$17:$G$17,MATCH($C$4,Lookups!$E$14:$G$14,0)),H91,SUMIFS('EE Inputs'!$J$9:$J$32,'EE Inputs'!$C$9:$C$32,$G$6,'EE Inputs'!$D$9:$D$32,$C$4,'EE Inputs'!$E$9:$E$32,$B104),0,1)))-H105</f>
        <v>64889.070076968244</v>
      </c>
      <c r="I104" s="65">
        <f ca="1">IF($C$4=Lookups!$D$40,SUM(INDIRECT("'Yr1'!"&amp;ADDRESS(ROW(I104),COLUMN(I104))),INDIRECT("'Yr2'!"&amp;ADDRESS(ROW(I104),COLUMN(I104))),INDIRECT("'Yr3'!"&amp;ADDRESS(ROW(I104),COLUMN(I104)))),
IF(I91=0,0,-PMT(INDEX(Lookups!$E$17:$G$17,MATCH($C$4,Lookups!$E$14:$G$14,0)),I91,SUMIFS('EE Inputs'!$J$9:$J$32,'EE Inputs'!$C$9:$C$32,$G$6,'EE Inputs'!$D$9:$D$32,$C$4,'EE Inputs'!$E$9:$E$32,$B104),0,1)))-I105</f>
        <v>64889.070076968244</v>
      </c>
      <c r="J104" s="65">
        <f ca="1">IF($C$4=Lookups!$D$40,SUM(INDIRECT("'Yr1'!"&amp;ADDRESS(ROW(J104),COLUMN(J104))),INDIRECT("'Yr2'!"&amp;ADDRESS(ROW(J104),COLUMN(J104))),INDIRECT("'Yr3'!"&amp;ADDRESS(ROW(J104),COLUMN(J104)))),
IF(J91=0,0,-PMT(INDEX(Lookups!$E$17:$G$17,MATCH($C$4,Lookups!$E$14:$G$14,0)),J91,SUMIFS('EE Inputs'!$J$9:$J$32,'EE Inputs'!$C$9:$C$32,$G$6,'EE Inputs'!$D$9:$D$32,$C$4,'EE Inputs'!$E$9:$E$32,$B104),0,1)))-J105</f>
        <v>64889.070076968244</v>
      </c>
      <c r="K104" s="65">
        <f ca="1">IF($C$4=Lookups!$D$40,SUM(INDIRECT("'Yr1'!"&amp;ADDRESS(ROW(K104),COLUMN(K104))),INDIRECT("'Yr2'!"&amp;ADDRESS(ROW(K104),COLUMN(K104))),INDIRECT("'Yr3'!"&amp;ADDRESS(ROW(K104),COLUMN(K104)))),
IF(K91=0,0,-PMT(INDEX(Lookups!$E$17:$G$17,MATCH($C$4,Lookups!$E$14:$G$14,0)),K91,SUMIFS('EE Inputs'!$J$9:$J$32,'EE Inputs'!$C$9:$C$32,$G$6,'EE Inputs'!$D$9:$D$32,$C$4,'EE Inputs'!$E$9:$E$32,$B104),0,1)))-K105</f>
        <v>64889.070076968244</v>
      </c>
      <c r="L104" s="65">
        <f ca="1">IF($C$4=Lookups!$D$40,SUM(INDIRECT("'Yr1'!"&amp;ADDRESS(ROW(L104),COLUMN(L104))),INDIRECT("'Yr2'!"&amp;ADDRESS(ROW(L104),COLUMN(L104))),INDIRECT("'Yr3'!"&amp;ADDRESS(ROW(L104),COLUMN(L104)))),
IF(L91=0,0,-PMT(INDEX(Lookups!$E$17:$G$17,MATCH($C$4,Lookups!$E$14:$G$14,0)),L91,SUMIFS('EE Inputs'!$J$9:$J$32,'EE Inputs'!$C$9:$C$32,$G$6,'EE Inputs'!$D$9:$D$32,$C$4,'EE Inputs'!$E$9:$E$32,$B104),0,1)))-L105</f>
        <v>64889.070076968244</v>
      </c>
      <c r="M104" s="65">
        <f ca="1">IF($C$4=Lookups!$D$40,SUM(INDIRECT("'Yr1'!"&amp;ADDRESS(ROW(M104),COLUMN(M104))),INDIRECT("'Yr2'!"&amp;ADDRESS(ROW(M104),COLUMN(M104))),INDIRECT("'Yr3'!"&amp;ADDRESS(ROW(M104),COLUMN(M104)))),
IF(M91=0,0,-PMT(INDEX(Lookups!$E$17:$G$17,MATCH($C$4,Lookups!$E$14:$G$14,0)),M91,SUMIFS('EE Inputs'!$J$9:$J$32,'EE Inputs'!$C$9:$C$32,$G$6,'EE Inputs'!$D$9:$D$32,$C$4,'EE Inputs'!$E$9:$E$32,$B104),0,1)))-M105</f>
        <v>64889.070076968244</v>
      </c>
      <c r="N104" s="65">
        <f ca="1">IF($C$4=Lookups!$D$40,SUM(INDIRECT("'Yr1'!"&amp;ADDRESS(ROW(N104),COLUMN(N104))),INDIRECT("'Yr2'!"&amp;ADDRESS(ROW(N104),COLUMN(N104))),INDIRECT("'Yr3'!"&amp;ADDRESS(ROW(N104),COLUMN(N104)))),
IF(N91=0,0,-PMT(INDEX(Lookups!$E$17:$G$17,MATCH($C$4,Lookups!$E$14:$G$14,0)),N91,SUMIFS('EE Inputs'!$J$9:$J$32,'EE Inputs'!$C$9:$C$32,$G$6,'EE Inputs'!$D$9:$D$32,$C$4,'EE Inputs'!$E$9:$E$32,$B104),0,1)))-N105</f>
        <v>64889.070076968244</v>
      </c>
      <c r="O104" s="65">
        <f ca="1">IF($C$4=Lookups!$D$40,SUM(INDIRECT("'Yr1'!"&amp;ADDRESS(ROW(O104),COLUMN(O104))),INDIRECT("'Yr2'!"&amp;ADDRESS(ROW(O104),COLUMN(O104))),INDIRECT("'Yr3'!"&amp;ADDRESS(ROW(O104),COLUMN(O104)))),
IF(O91=0,0,-PMT(INDEX(Lookups!$E$17:$G$17,MATCH($C$4,Lookups!$E$14:$G$14,0)),O91,SUMIFS('EE Inputs'!$J$9:$J$32,'EE Inputs'!$C$9:$C$32,$G$6,'EE Inputs'!$D$9:$D$32,$C$4,'EE Inputs'!$E$9:$E$32,$B104),0,1)))-O105</f>
        <v>64889.070076968244</v>
      </c>
      <c r="P104" s="65">
        <f ca="1">IF($C$4=Lookups!$D$40,SUM(INDIRECT("'Yr1'!"&amp;ADDRESS(ROW(P104),COLUMN(P104))),INDIRECT("'Yr2'!"&amp;ADDRESS(ROW(P104),COLUMN(P104))),INDIRECT("'Yr3'!"&amp;ADDRESS(ROW(P104),COLUMN(P104)))),
IF(P91=0,0,-PMT(INDEX(Lookups!$E$17:$G$17,MATCH($C$4,Lookups!$E$14:$G$14,0)),P91,SUMIFS('EE Inputs'!$J$9:$J$32,'EE Inputs'!$C$9:$C$32,$G$6,'EE Inputs'!$D$9:$D$32,$C$4,'EE Inputs'!$E$9:$E$32,$B104),0,1)))-P105</f>
        <v>64889.070076968244</v>
      </c>
      <c r="Q104" s="65">
        <f ca="1">IF($C$4=Lookups!$D$40,SUM(INDIRECT("'Yr1'!"&amp;ADDRESS(ROW(Q104),COLUMN(Q104))),INDIRECT("'Yr2'!"&amp;ADDRESS(ROW(Q104),COLUMN(Q104))),INDIRECT("'Yr3'!"&amp;ADDRESS(ROW(Q104),COLUMN(Q104)))),
IF(Q91=0,0,-PMT(INDEX(Lookups!$E$17:$G$17,MATCH($C$4,Lookups!$E$14:$G$14,0)),Q91,SUMIFS('EE Inputs'!$J$9:$J$32,'EE Inputs'!$C$9:$C$32,$G$6,'EE Inputs'!$D$9:$D$32,$C$4,'EE Inputs'!$E$9:$E$32,$B104),0,1)))-Q105</f>
        <v>64889.070076968244</v>
      </c>
      <c r="R104" s="65">
        <f ca="1">IF($C$4=Lookups!$D$40,SUM(INDIRECT("'Yr1'!"&amp;ADDRESS(ROW(R104),COLUMN(R104))),INDIRECT("'Yr2'!"&amp;ADDRESS(ROW(R104),COLUMN(R104))),INDIRECT("'Yr3'!"&amp;ADDRESS(ROW(R104),COLUMN(R104)))),
IF(R91=0,0,-PMT(INDEX(Lookups!$E$17:$G$17,MATCH($C$4,Lookups!$E$14:$G$14,0)),R91,SUMIFS('EE Inputs'!$J$9:$J$32,'EE Inputs'!$C$9:$C$32,$G$6,'EE Inputs'!$D$9:$D$32,$C$4,'EE Inputs'!$E$9:$E$32,$B104),0,1)))-R105</f>
        <v>64889.070076968244</v>
      </c>
      <c r="S104" s="65">
        <f ca="1">IF($C$4=Lookups!$D$40,SUM(INDIRECT("'Yr1'!"&amp;ADDRESS(ROW(S104),COLUMN(S104))),INDIRECT("'Yr2'!"&amp;ADDRESS(ROW(S104),COLUMN(S104))),INDIRECT("'Yr3'!"&amp;ADDRESS(ROW(S104),COLUMN(S104)))),
IF(S91=0,0,-PMT(INDEX(Lookups!$E$17:$G$17,MATCH($C$4,Lookups!$E$14:$G$14,0)),S91,SUMIFS('EE Inputs'!$J$9:$J$32,'EE Inputs'!$C$9:$C$32,$G$6,'EE Inputs'!$D$9:$D$32,$C$4,'EE Inputs'!$E$9:$E$32,$B104),0,1)))-S105</f>
        <v>64889.070076968244</v>
      </c>
      <c r="T104" s="65">
        <f ca="1">IF($C$4=Lookups!$D$40,SUM(INDIRECT("'Yr1'!"&amp;ADDRESS(ROW(T104),COLUMN(T104))),INDIRECT("'Yr2'!"&amp;ADDRESS(ROW(T104),COLUMN(T104))),INDIRECT("'Yr3'!"&amp;ADDRESS(ROW(T104),COLUMN(T104)))),
IF(T91=0,0,-PMT(INDEX(Lookups!$E$17:$G$17,MATCH($C$4,Lookups!$E$14:$G$14,0)),T91,SUMIFS('EE Inputs'!$J$9:$J$32,'EE Inputs'!$C$9:$C$32,$G$6,'EE Inputs'!$D$9:$D$32,$C$4,'EE Inputs'!$E$9:$E$32,$B104),0,1)))-T105</f>
        <v>64889.070076968244</v>
      </c>
      <c r="U104" s="65">
        <f ca="1">IF($C$4=Lookups!$D$40,SUM(INDIRECT("'Yr1'!"&amp;ADDRESS(ROW(U104),COLUMN(U104))),INDIRECT("'Yr2'!"&amp;ADDRESS(ROW(U104),COLUMN(U104))),INDIRECT("'Yr3'!"&amp;ADDRESS(ROW(U104),COLUMN(U104)))),
IF(U91=0,0,-PMT(INDEX(Lookups!$E$17:$G$17,MATCH($C$4,Lookups!$E$14:$G$14,0)),U91,SUMIFS('EE Inputs'!$J$9:$J$32,'EE Inputs'!$C$9:$C$32,$G$6,'EE Inputs'!$D$9:$D$32,$C$4,'EE Inputs'!$E$9:$E$32,$B104),0,1)))-U105</f>
        <v>64889.070076968244</v>
      </c>
      <c r="V104" s="65">
        <f ca="1">IF($C$4=Lookups!$D$40,SUM(INDIRECT("'Yr1'!"&amp;ADDRESS(ROW(V104),COLUMN(V104))),INDIRECT("'Yr2'!"&amp;ADDRESS(ROW(V104),COLUMN(V104))),INDIRECT("'Yr3'!"&amp;ADDRESS(ROW(V104),COLUMN(V104)))),
IF(V91=0,0,-PMT(INDEX(Lookups!$E$17:$G$17,MATCH($C$4,Lookups!$E$14:$G$14,0)),V91,SUMIFS('EE Inputs'!$J$9:$J$32,'EE Inputs'!$C$9:$C$32,$G$6,'EE Inputs'!$D$9:$D$32,$C$4,'EE Inputs'!$E$9:$E$32,$B104),0,1)))-V105</f>
        <v>64889.070076968244</v>
      </c>
      <c r="W104" s="65">
        <f ca="1">IF($C$4=Lookups!$D$40,SUM(INDIRECT("'Yr1'!"&amp;ADDRESS(ROW(W104),COLUMN(W104))),INDIRECT("'Yr2'!"&amp;ADDRESS(ROW(W104),COLUMN(W104))),INDIRECT("'Yr3'!"&amp;ADDRESS(ROW(W104),COLUMN(W104)))),
IF(W91=0,0,-PMT(INDEX(Lookups!$E$17:$G$17,MATCH($C$4,Lookups!$E$14:$G$14,0)),W91,SUMIFS('EE Inputs'!$J$9:$J$32,'EE Inputs'!$C$9:$C$32,$G$6,'EE Inputs'!$D$9:$D$32,$C$4,'EE Inputs'!$E$9:$E$32,$B104),0,1)))-W105</f>
        <v>64889.070076968244</v>
      </c>
      <c r="X104" s="65">
        <f ca="1">IF($C$4=Lookups!$D$40,SUM(INDIRECT("'Yr1'!"&amp;ADDRESS(ROW(X104),COLUMN(X104))),INDIRECT("'Yr2'!"&amp;ADDRESS(ROW(X104),COLUMN(X104))),INDIRECT("'Yr3'!"&amp;ADDRESS(ROW(X104),COLUMN(X104)))),
IF(X91=0,0,-PMT(INDEX(Lookups!$E$17:$G$17,MATCH($C$4,Lookups!$E$14:$G$14,0)),X91,SUMIFS('EE Inputs'!$J$9:$J$32,'EE Inputs'!$C$9:$C$32,$G$6,'EE Inputs'!$D$9:$D$32,$C$4,'EE Inputs'!$E$9:$E$32,$B104),0,1)))-X105</f>
        <v>64889.070076968244</v>
      </c>
      <c r="Y104" s="65">
        <f ca="1">IF($C$4=Lookups!$D$40,SUM(INDIRECT("'Yr1'!"&amp;ADDRESS(ROW(Y104),COLUMN(Y104))),INDIRECT("'Yr2'!"&amp;ADDRESS(ROW(Y104),COLUMN(Y104))),INDIRECT("'Yr3'!"&amp;ADDRESS(ROW(Y104),COLUMN(Y104)))),
IF(Y91=0,0,-PMT(INDEX(Lookups!$E$17:$G$17,MATCH($C$4,Lookups!$E$14:$G$14,0)),Y91,SUMIFS('EE Inputs'!$J$9:$J$32,'EE Inputs'!$C$9:$C$32,$G$6,'EE Inputs'!$D$9:$D$32,$C$4,'EE Inputs'!$E$9:$E$32,$B104),0,1)))-Y105</f>
        <v>64889.070076968244</v>
      </c>
      <c r="Z104" s="65">
        <f ca="1">IF($C$4=Lookups!$D$40,SUM(INDIRECT("'Yr1'!"&amp;ADDRESS(ROW(Z104),COLUMN(Z104))),INDIRECT("'Yr2'!"&amp;ADDRESS(ROW(Z104),COLUMN(Z104))),INDIRECT("'Yr3'!"&amp;ADDRESS(ROW(Z104),COLUMN(Z104)))),
IF(Z91=0,0,-PMT(INDEX(Lookups!$E$17:$G$17,MATCH($C$4,Lookups!$E$14:$G$14,0)),Z91,SUMIFS('EE Inputs'!$J$9:$J$32,'EE Inputs'!$C$9:$C$32,$G$6,'EE Inputs'!$D$9:$D$32,$C$4,'EE Inputs'!$E$9:$E$32,$B104),0,1)))-Z105</f>
        <v>64889.070076968244</v>
      </c>
      <c r="AA104" s="65">
        <f ca="1">IF($C$4=Lookups!$D$40,SUM(INDIRECT("'Yr1'!"&amp;ADDRESS(ROW(AA104),COLUMN(AA104))),INDIRECT("'Yr2'!"&amp;ADDRESS(ROW(AA104),COLUMN(AA104))),INDIRECT("'Yr3'!"&amp;ADDRESS(ROW(AA104),COLUMN(AA104)))),
IF(AA91=0,0,-PMT(INDEX(Lookups!$E$17:$G$17,MATCH($C$4,Lookups!$E$14:$G$14,0)),AA91,SUMIFS('EE Inputs'!$J$9:$J$32,'EE Inputs'!$C$9:$C$32,$G$6,'EE Inputs'!$D$9:$D$32,$C$4,'EE Inputs'!$E$9:$E$32,$B104),0,1)))-AA105</f>
        <v>0</v>
      </c>
      <c r="AB104" s="65">
        <f ca="1">IF($C$4=Lookups!$D$40,SUM(INDIRECT("'Yr1'!"&amp;ADDRESS(ROW(AB104),COLUMN(AB104))),INDIRECT("'Yr2'!"&amp;ADDRESS(ROW(AB104),COLUMN(AB104))),INDIRECT("'Yr3'!"&amp;ADDRESS(ROW(AB104),COLUMN(AB104)))),
IF(AB91=0,0,-PMT(INDEX(Lookups!$E$17:$G$17,MATCH($C$4,Lookups!$E$14:$G$14,0)),AB91,SUMIFS('EE Inputs'!$J$9:$J$32,'EE Inputs'!$C$9:$C$32,$G$6,'EE Inputs'!$D$9:$D$32,$C$4,'EE Inputs'!$E$9:$E$32,$B104),0,1)))-AB105</f>
        <v>0</v>
      </c>
      <c r="AC104" s="65">
        <f ca="1">IF($C$4=Lookups!$D$40,SUM(INDIRECT("'Yr1'!"&amp;ADDRESS(ROW(AC104),COLUMN(AC104))),INDIRECT("'Yr2'!"&amp;ADDRESS(ROW(AC104),COLUMN(AC104))),INDIRECT("'Yr3'!"&amp;ADDRESS(ROW(AC104),COLUMN(AC104)))),
IF(AC91=0,0,-PMT(INDEX(Lookups!$E$17:$G$17,MATCH($C$4,Lookups!$E$14:$G$14,0)),AC91,SUMIFS('EE Inputs'!$J$9:$J$32,'EE Inputs'!$C$9:$C$32,$G$6,'EE Inputs'!$D$9:$D$32,$C$4,'EE Inputs'!$E$9:$E$32,$B104),0,1)))-AC105</f>
        <v>0</v>
      </c>
      <c r="AD104" s="65">
        <f ca="1">IF($C$4=Lookups!$D$40,SUM(INDIRECT("'Yr1'!"&amp;ADDRESS(ROW(AD104),COLUMN(AD104))),INDIRECT("'Yr2'!"&amp;ADDRESS(ROW(AD104),COLUMN(AD104))),INDIRECT("'Yr3'!"&amp;ADDRESS(ROW(AD104),COLUMN(AD104)))),
IF(AD91=0,0,-PMT(INDEX(Lookups!$E$17:$G$17,MATCH($C$4,Lookups!$E$14:$G$14,0)),AD91,SUMIFS('EE Inputs'!$J$9:$J$32,'EE Inputs'!$C$9:$C$32,$G$6,'EE Inputs'!$D$9:$D$32,$C$4,'EE Inputs'!$E$9:$E$32,$B104),0,1)))-AD105</f>
        <v>0</v>
      </c>
      <c r="AE104" s="65">
        <f ca="1">IF($C$4=Lookups!$D$40,SUM(INDIRECT("'Yr1'!"&amp;ADDRESS(ROW(AE104),COLUMN(AE104))),INDIRECT("'Yr2'!"&amp;ADDRESS(ROW(AE104),COLUMN(AE104))),INDIRECT("'Yr3'!"&amp;ADDRESS(ROW(AE104),COLUMN(AE104)))),
IF(AE91=0,0,-PMT(INDEX(Lookups!$E$17:$G$17,MATCH($C$4,Lookups!$E$14:$G$14,0)),AE91,SUMIFS('EE Inputs'!$J$9:$J$32,'EE Inputs'!$C$9:$C$32,$G$6,'EE Inputs'!$D$9:$D$32,$C$4,'EE Inputs'!$E$9:$E$32,$B104),0,1)))-AE105</f>
        <v>0</v>
      </c>
      <c r="AF104" s="65">
        <f ca="1">IF($C$4=Lookups!$D$40,SUM(INDIRECT("'Yr1'!"&amp;ADDRESS(ROW(AF104),COLUMN(AF104))),INDIRECT("'Yr2'!"&amp;ADDRESS(ROW(AF104),COLUMN(AF104))),INDIRECT("'Yr3'!"&amp;ADDRESS(ROW(AF104),COLUMN(AF104)))),
IF(AF91=0,0,-PMT(INDEX(Lookups!$E$17:$G$17,MATCH($C$4,Lookups!$E$14:$G$14,0)),AF91,SUMIFS('EE Inputs'!$J$9:$J$32,'EE Inputs'!$C$9:$C$32,$G$6,'EE Inputs'!$D$9:$D$32,$C$4,'EE Inputs'!$E$9:$E$32,$B104),0,1)))-AF105</f>
        <v>0</v>
      </c>
      <c r="AG104" s="65">
        <f ca="1">IF($C$4=Lookups!$D$40,SUM(INDIRECT("'Yr1'!"&amp;ADDRESS(ROW(AG104),COLUMN(AG104))),INDIRECT("'Yr2'!"&amp;ADDRESS(ROW(AG104),COLUMN(AG104))),INDIRECT("'Yr3'!"&amp;ADDRESS(ROW(AG104),COLUMN(AG104)))),
IF(AG91=0,0,-PMT(INDEX(Lookups!$E$17:$G$17,MATCH($C$4,Lookups!$E$14:$G$14,0)),AG91,SUMIFS('EE Inputs'!$J$9:$J$32,'EE Inputs'!$C$9:$C$32,$G$6,'EE Inputs'!$D$9:$D$32,$C$4,'EE Inputs'!$E$9:$E$32,$B104),0,1)))-AG105</f>
        <v>0</v>
      </c>
      <c r="AH104" s="65"/>
      <c r="AI104" s="65">
        <f ca="1">NPV(Lookups!$E$17,G104:AG104)</f>
        <v>1123514.8279429772</v>
      </c>
      <c r="AJ104" s="65"/>
      <c r="AM104" s="72">
        <f ca="1">IF($C$4=Lookups!$D$40,SUM(INDIRECT("'Yr1'!"&amp;ADDRESS(ROW(AM104),COLUMN(AM104))),INDIRECT("'Yr2'!"&amp;ADDRESS(ROW(AM104),COLUMN(AM104))),INDIRECT("'Yr3'!"&amp;ADDRESS(ROW(AM104),COLUMN(AM104)))),
IF(AM91=0,0,-PMT(INDEX(Lookups!$E$17:$G$17,MATCH($C$4,Lookups!$E$14:$G$14,0)),AM91,SUMIFS('EE Inputs'!$J$9:$J$32,'EE Inputs'!$C$9:$C$32,$AM$6,'EE Inputs'!$D$9:$D$32,$C$4,'EE Inputs'!$E$9:$E$32,$B104),0,1)))-AM105</f>
        <v>74158.937230820869</v>
      </c>
      <c r="AN104" s="72">
        <f ca="1">IF($C$4=Lookups!$D$40,SUM(INDIRECT("'Yr1'!"&amp;ADDRESS(ROW(AN104),COLUMN(AN104))),INDIRECT("'Yr2'!"&amp;ADDRESS(ROW(AN104),COLUMN(AN104))),INDIRECT("'Yr3'!"&amp;ADDRESS(ROW(AN104),COLUMN(AN104)))),
IF(AN91=0,0,-PMT(INDEX(Lookups!$E$17:$G$17,MATCH($C$4,Lookups!$E$14:$G$14,0)),AN91,SUMIFS('EE Inputs'!$J$9:$J$32,'EE Inputs'!$C$9:$C$32,$AM$6,'EE Inputs'!$D$9:$D$32,$C$4,'EE Inputs'!$E$9:$E$32,$B104),0,1)))-AN105</f>
        <v>74158.937230820869</v>
      </c>
      <c r="AO104" s="72">
        <f ca="1">IF($C$4=Lookups!$D$40,SUM(INDIRECT("'Yr1'!"&amp;ADDRESS(ROW(AO104),COLUMN(AO104))),INDIRECT("'Yr2'!"&amp;ADDRESS(ROW(AO104),COLUMN(AO104))),INDIRECT("'Yr3'!"&amp;ADDRESS(ROW(AO104),COLUMN(AO104)))),
IF(AO91=0,0,-PMT(INDEX(Lookups!$E$17:$G$17,MATCH($C$4,Lookups!$E$14:$G$14,0)),AO91,SUMIFS('EE Inputs'!$J$9:$J$32,'EE Inputs'!$C$9:$C$32,$AM$6,'EE Inputs'!$D$9:$D$32,$C$4,'EE Inputs'!$E$9:$E$32,$B104),0,1)))-AO105</f>
        <v>74158.937230820869</v>
      </c>
      <c r="AP104" s="72">
        <f ca="1">IF($C$4=Lookups!$D$40,SUM(INDIRECT("'Yr1'!"&amp;ADDRESS(ROW(AP104),COLUMN(AP104))),INDIRECT("'Yr2'!"&amp;ADDRESS(ROW(AP104),COLUMN(AP104))),INDIRECT("'Yr3'!"&amp;ADDRESS(ROW(AP104),COLUMN(AP104)))),
IF(AP91=0,0,-PMT(INDEX(Lookups!$E$17:$G$17,MATCH($C$4,Lookups!$E$14:$G$14,0)),AP91,SUMIFS('EE Inputs'!$J$9:$J$32,'EE Inputs'!$C$9:$C$32,$AM$6,'EE Inputs'!$D$9:$D$32,$C$4,'EE Inputs'!$E$9:$E$32,$B104),0,1)))-AP105</f>
        <v>74158.937230820869</v>
      </c>
      <c r="AQ104" s="72">
        <f ca="1">IF($C$4=Lookups!$D$40,SUM(INDIRECT("'Yr1'!"&amp;ADDRESS(ROW(AQ104),COLUMN(AQ104))),INDIRECT("'Yr2'!"&amp;ADDRESS(ROW(AQ104),COLUMN(AQ104))),INDIRECT("'Yr3'!"&amp;ADDRESS(ROW(AQ104),COLUMN(AQ104)))),
IF(AQ91=0,0,-PMT(INDEX(Lookups!$E$17:$G$17,MATCH($C$4,Lookups!$E$14:$G$14,0)),AQ91,SUMIFS('EE Inputs'!$J$9:$J$32,'EE Inputs'!$C$9:$C$32,$AM$6,'EE Inputs'!$D$9:$D$32,$C$4,'EE Inputs'!$E$9:$E$32,$B104),0,1)))-AQ105</f>
        <v>74158.937230820869</v>
      </c>
      <c r="AR104" s="72">
        <f ca="1">IF($C$4=Lookups!$D$40,SUM(INDIRECT("'Yr1'!"&amp;ADDRESS(ROW(AR104),COLUMN(AR104))),INDIRECT("'Yr2'!"&amp;ADDRESS(ROW(AR104),COLUMN(AR104))),INDIRECT("'Yr3'!"&amp;ADDRESS(ROW(AR104),COLUMN(AR104)))),
IF(AR91=0,0,-PMT(INDEX(Lookups!$E$17:$G$17,MATCH($C$4,Lookups!$E$14:$G$14,0)),AR91,SUMIFS('EE Inputs'!$J$9:$J$32,'EE Inputs'!$C$9:$C$32,$AM$6,'EE Inputs'!$D$9:$D$32,$C$4,'EE Inputs'!$E$9:$E$32,$B104),0,1)))-AR105</f>
        <v>74158.937230820869</v>
      </c>
      <c r="AS104" s="72">
        <f ca="1">IF($C$4=Lookups!$D$40,SUM(INDIRECT("'Yr1'!"&amp;ADDRESS(ROW(AS104),COLUMN(AS104))),INDIRECT("'Yr2'!"&amp;ADDRESS(ROW(AS104),COLUMN(AS104))),INDIRECT("'Yr3'!"&amp;ADDRESS(ROW(AS104),COLUMN(AS104)))),
IF(AS91=0,0,-PMT(INDEX(Lookups!$E$17:$G$17,MATCH($C$4,Lookups!$E$14:$G$14,0)),AS91,SUMIFS('EE Inputs'!$J$9:$J$32,'EE Inputs'!$C$9:$C$32,$AM$6,'EE Inputs'!$D$9:$D$32,$C$4,'EE Inputs'!$E$9:$E$32,$B104),0,1)))-AS105</f>
        <v>74158.937230820869</v>
      </c>
      <c r="AT104" s="72">
        <f ca="1">IF($C$4=Lookups!$D$40,SUM(INDIRECT("'Yr1'!"&amp;ADDRESS(ROW(AT104),COLUMN(AT104))),INDIRECT("'Yr2'!"&amp;ADDRESS(ROW(AT104),COLUMN(AT104))),INDIRECT("'Yr3'!"&amp;ADDRESS(ROW(AT104),COLUMN(AT104)))),
IF(AT91=0,0,-PMT(INDEX(Lookups!$E$17:$G$17,MATCH($C$4,Lookups!$E$14:$G$14,0)),AT91,SUMIFS('EE Inputs'!$J$9:$J$32,'EE Inputs'!$C$9:$C$32,$AM$6,'EE Inputs'!$D$9:$D$32,$C$4,'EE Inputs'!$E$9:$E$32,$B104),0,1)))-AT105</f>
        <v>74158.937230820869</v>
      </c>
      <c r="AU104" s="72">
        <f ca="1">IF($C$4=Lookups!$D$40,SUM(INDIRECT("'Yr1'!"&amp;ADDRESS(ROW(AU104),COLUMN(AU104))),INDIRECT("'Yr2'!"&amp;ADDRESS(ROW(AU104),COLUMN(AU104))),INDIRECT("'Yr3'!"&amp;ADDRESS(ROW(AU104),COLUMN(AU104)))),
IF(AU91=0,0,-PMT(INDEX(Lookups!$E$17:$G$17,MATCH($C$4,Lookups!$E$14:$G$14,0)),AU91,SUMIFS('EE Inputs'!$J$9:$J$32,'EE Inputs'!$C$9:$C$32,$AM$6,'EE Inputs'!$D$9:$D$32,$C$4,'EE Inputs'!$E$9:$E$32,$B104),0,1)))-AU105</f>
        <v>74158.937230820869</v>
      </c>
      <c r="AV104" s="72">
        <f ca="1">IF($C$4=Lookups!$D$40,SUM(INDIRECT("'Yr1'!"&amp;ADDRESS(ROW(AV104),COLUMN(AV104))),INDIRECT("'Yr2'!"&amp;ADDRESS(ROW(AV104),COLUMN(AV104))),INDIRECT("'Yr3'!"&amp;ADDRESS(ROW(AV104),COLUMN(AV104)))),
IF(AV91=0,0,-PMT(INDEX(Lookups!$E$17:$G$17,MATCH($C$4,Lookups!$E$14:$G$14,0)),AV91,SUMIFS('EE Inputs'!$J$9:$J$32,'EE Inputs'!$C$9:$C$32,$AM$6,'EE Inputs'!$D$9:$D$32,$C$4,'EE Inputs'!$E$9:$E$32,$B104),0,1)))-AV105</f>
        <v>74158.937230820869</v>
      </c>
      <c r="AW104" s="72">
        <f ca="1">IF($C$4=Lookups!$D$40,SUM(INDIRECT("'Yr1'!"&amp;ADDRESS(ROW(AW104),COLUMN(AW104))),INDIRECT("'Yr2'!"&amp;ADDRESS(ROW(AW104),COLUMN(AW104))),INDIRECT("'Yr3'!"&amp;ADDRESS(ROW(AW104),COLUMN(AW104)))),
IF(AW91=0,0,-PMT(INDEX(Lookups!$E$17:$G$17,MATCH($C$4,Lookups!$E$14:$G$14,0)),AW91,SUMIFS('EE Inputs'!$J$9:$J$32,'EE Inputs'!$C$9:$C$32,$AM$6,'EE Inputs'!$D$9:$D$32,$C$4,'EE Inputs'!$E$9:$E$32,$B104),0,1)))-AW105</f>
        <v>74158.937230820869</v>
      </c>
      <c r="AX104" s="72">
        <f ca="1">IF($C$4=Lookups!$D$40,SUM(INDIRECT("'Yr1'!"&amp;ADDRESS(ROW(AX104),COLUMN(AX104))),INDIRECT("'Yr2'!"&amp;ADDRESS(ROW(AX104),COLUMN(AX104))),INDIRECT("'Yr3'!"&amp;ADDRESS(ROW(AX104),COLUMN(AX104)))),
IF(AX91=0,0,-PMT(INDEX(Lookups!$E$17:$G$17,MATCH($C$4,Lookups!$E$14:$G$14,0)),AX91,SUMIFS('EE Inputs'!$J$9:$J$32,'EE Inputs'!$C$9:$C$32,$AM$6,'EE Inputs'!$D$9:$D$32,$C$4,'EE Inputs'!$E$9:$E$32,$B104),0,1)))-AX105</f>
        <v>74158.937230820869</v>
      </c>
      <c r="AY104" s="72">
        <f ca="1">IF($C$4=Lookups!$D$40,SUM(INDIRECT("'Yr1'!"&amp;ADDRESS(ROW(AY104),COLUMN(AY104))),INDIRECT("'Yr2'!"&amp;ADDRESS(ROW(AY104),COLUMN(AY104))),INDIRECT("'Yr3'!"&amp;ADDRESS(ROW(AY104),COLUMN(AY104)))),
IF(AY91=0,0,-PMT(INDEX(Lookups!$E$17:$G$17,MATCH($C$4,Lookups!$E$14:$G$14,0)),AY91,SUMIFS('EE Inputs'!$J$9:$J$32,'EE Inputs'!$C$9:$C$32,$AM$6,'EE Inputs'!$D$9:$D$32,$C$4,'EE Inputs'!$E$9:$E$32,$B104),0,1)))-AY105</f>
        <v>74158.937230820869</v>
      </c>
      <c r="AZ104" s="72">
        <f ca="1">IF($C$4=Lookups!$D$40,SUM(INDIRECT("'Yr1'!"&amp;ADDRESS(ROW(AZ104),COLUMN(AZ104))),INDIRECT("'Yr2'!"&amp;ADDRESS(ROW(AZ104),COLUMN(AZ104))),INDIRECT("'Yr3'!"&amp;ADDRESS(ROW(AZ104),COLUMN(AZ104)))),
IF(AZ91=0,0,-PMT(INDEX(Lookups!$E$17:$G$17,MATCH($C$4,Lookups!$E$14:$G$14,0)),AZ91,SUMIFS('EE Inputs'!$J$9:$J$32,'EE Inputs'!$C$9:$C$32,$AM$6,'EE Inputs'!$D$9:$D$32,$C$4,'EE Inputs'!$E$9:$E$32,$B104),0,1)))-AZ105</f>
        <v>74158.937230820869</v>
      </c>
      <c r="BA104" s="72">
        <f ca="1">IF($C$4=Lookups!$D$40,SUM(INDIRECT("'Yr1'!"&amp;ADDRESS(ROW(BA104),COLUMN(BA104))),INDIRECT("'Yr2'!"&amp;ADDRESS(ROW(BA104),COLUMN(BA104))),INDIRECT("'Yr3'!"&amp;ADDRESS(ROW(BA104),COLUMN(BA104)))),
IF(BA91=0,0,-PMT(INDEX(Lookups!$E$17:$G$17,MATCH($C$4,Lookups!$E$14:$G$14,0)),BA91,SUMIFS('EE Inputs'!$J$9:$J$32,'EE Inputs'!$C$9:$C$32,$AM$6,'EE Inputs'!$D$9:$D$32,$C$4,'EE Inputs'!$E$9:$E$32,$B104),0,1)))-BA105</f>
        <v>74158.937230820869</v>
      </c>
      <c r="BB104" s="72">
        <f ca="1">IF($C$4=Lookups!$D$40,SUM(INDIRECT("'Yr1'!"&amp;ADDRESS(ROW(BB104),COLUMN(BB104))),INDIRECT("'Yr2'!"&amp;ADDRESS(ROW(BB104),COLUMN(BB104))),INDIRECT("'Yr3'!"&amp;ADDRESS(ROW(BB104),COLUMN(BB104)))),
IF(BB91=0,0,-PMT(INDEX(Lookups!$E$17:$G$17,MATCH($C$4,Lookups!$E$14:$G$14,0)),BB91,SUMIFS('EE Inputs'!$J$9:$J$32,'EE Inputs'!$C$9:$C$32,$AM$6,'EE Inputs'!$D$9:$D$32,$C$4,'EE Inputs'!$E$9:$E$32,$B104),0,1)))-BB105</f>
        <v>74158.937230820869</v>
      </c>
      <c r="BC104" s="72">
        <f ca="1">IF($C$4=Lookups!$D$40,SUM(INDIRECT("'Yr1'!"&amp;ADDRESS(ROW(BC104),COLUMN(BC104))),INDIRECT("'Yr2'!"&amp;ADDRESS(ROW(BC104),COLUMN(BC104))),INDIRECT("'Yr3'!"&amp;ADDRESS(ROW(BC104),COLUMN(BC104)))),
IF(BC91=0,0,-PMT(INDEX(Lookups!$E$17:$G$17,MATCH($C$4,Lookups!$E$14:$G$14,0)),BC91,SUMIFS('EE Inputs'!$J$9:$J$32,'EE Inputs'!$C$9:$C$32,$AM$6,'EE Inputs'!$D$9:$D$32,$C$4,'EE Inputs'!$E$9:$E$32,$B104),0,1)))-BC105</f>
        <v>74158.937230820869</v>
      </c>
      <c r="BD104" s="72">
        <f ca="1">IF($C$4=Lookups!$D$40,SUM(INDIRECT("'Yr1'!"&amp;ADDRESS(ROW(BD104),COLUMN(BD104))),INDIRECT("'Yr2'!"&amp;ADDRESS(ROW(BD104),COLUMN(BD104))),INDIRECT("'Yr3'!"&amp;ADDRESS(ROW(BD104),COLUMN(BD104)))),
IF(BD91=0,0,-PMT(INDEX(Lookups!$E$17:$G$17,MATCH($C$4,Lookups!$E$14:$G$14,0)),BD91,SUMIFS('EE Inputs'!$J$9:$J$32,'EE Inputs'!$C$9:$C$32,$AM$6,'EE Inputs'!$D$9:$D$32,$C$4,'EE Inputs'!$E$9:$E$32,$B104),0,1)))-BD105</f>
        <v>74158.937230820869</v>
      </c>
      <c r="BE104" s="72">
        <f ca="1">IF($C$4=Lookups!$D$40,SUM(INDIRECT("'Yr1'!"&amp;ADDRESS(ROW(BE104),COLUMN(BE104))),INDIRECT("'Yr2'!"&amp;ADDRESS(ROW(BE104),COLUMN(BE104))),INDIRECT("'Yr3'!"&amp;ADDRESS(ROW(BE104),COLUMN(BE104)))),
IF(BE91=0,0,-PMT(INDEX(Lookups!$E$17:$G$17,MATCH($C$4,Lookups!$E$14:$G$14,0)),BE91,SUMIFS('EE Inputs'!$J$9:$J$32,'EE Inputs'!$C$9:$C$32,$AM$6,'EE Inputs'!$D$9:$D$32,$C$4,'EE Inputs'!$E$9:$E$32,$B104),0,1)))-BE105</f>
        <v>74158.937230820869</v>
      </c>
      <c r="BF104" s="72">
        <f ca="1">IF($C$4=Lookups!$D$40,SUM(INDIRECT("'Yr1'!"&amp;ADDRESS(ROW(BF104),COLUMN(BF104))),INDIRECT("'Yr2'!"&amp;ADDRESS(ROW(BF104),COLUMN(BF104))),INDIRECT("'Yr3'!"&amp;ADDRESS(ROW(BF104),COLUMN(BF104)))),
IF(BF91=0,0,-PMT(INDEX(Lookups!$E$17:$G$17,MATCH($C$4,Lookups!$E$14:$G$14,0)),BF91,SUMIFS('EE Inputs'!$J$9:$J$32,'EE Inputs'!$C$9:$C$32,$AM$6,'EE Inputs'!$D$9:$D$32,$C$4,'EE Inputs'!$E$9:$E$32,$B104),0,1)))-BF105</f>
        <v>74158.937230820869</v>
      </c>
      <c r="BG104" s="72">
        <f ca="1">IF($C$4=Lookups!$D$40,SUM(INDIRECT("'Yr1'!"&amp;ADDRESS(ROW(BG104),COLUMN(BG104))),INDIRECT("'Yr2'!"&amp;ADDRESS(ROW(BG104),COLUMN(BG104))),INDIRECT("'Yr3'!"&amp;ADDRESS(ROW(BG104),COLUMN(BG104)))),
IF(BG91=0,0,-PMT(INDEX(Lookups!$E$17:$G$17,MATCH($C$4,Lookups!$E$14:$G$14,0)),BG91,SUMIFS('EE Inputs'!$J$9:$J$32,'EE Inputs'!$C$9:$C$32,$AM$6,'EE Inputs'!$D$9:$D$32,$C$4,'EE Inputs'!$E$9:$E$32,$B104),0,1)))-BG105</f>
        <v>0</v>
      </c>
      <c r="BH104" s="72">
        <f ca="1">IF($C$4=Lookups!$D$40,SUM(INDIRECT("'Yr1'!"&amp;ADDRESS(ROW(BH104),COLUMN(BH104))),INDIRECT("'Yr2'!"&amp;ADDRESS(ROW(BH104),COLUMN(BH104))),INDIRECT("'Yr3'!"&amp;ADDRESS(ROW(BH104),COLUMN(BH104)))),
IF(BH91=0,0,-PMT(INDEX(Lookups!$E$17:$G$17,MATCH($C$4,Lookups!$E$14:$G$14,0)),BH91,SUMIFS('EE Inputs'!$J$9:$J$32,'EE Inputs'!$C$9:$C$32,$AM$6,'EE Inputs'!$D$9:$D$32,$C$4,'EE Inputs'!$E$9:$E$32,$B104),0,1)))-BH105</f>
        <v>0</v>
      </c>
      <c r="BI104" s="72">
        <f ca="1">IF($C$4=Lookups!$D$40,SUM(INDIRECT("'Yr1'!"&amp;ADDRESS(ROW(BI104),COLUMN(BI104))),INDIRECT("'Yr2'!"&amp;ADDRESS(ROW(BI104),COLUMN(BI104))),INDIRECT("'Yr3'!"&amp;ADDRESS(ROW(BI104),COLUMN(BI104)))),
IF(BI91=0,0,-PMT(INDEX(Lookups!$E$17:$G$17,MATCH($C$4,Lookups!$E$14:$G$14,0)),BI91,SUMIFS('EE Inputs'!$J$9:$J$32,'EE Inputs'!$C$9:$C$32,$AM$6,'EE Inputs'!$D$9:$D$32,$C$4,'EE Inputs'!$E$9:$E$32,$B104),0,1)))-BI105</f>
        <v>0</v>
      </c>
      <c r="BJ104" s="72">
        <f ca="1">IF($C$4=Lookups!$D$40,SUM(INDIRECT("'Yr1'!"&amp;ADDRESS(ROW(BJ104),COLUMN(BJ104))),INDIRECT("'Yr2'!"&amp;ADDRESS(ROW(BJ104),COLUMN(BJ104))),INDIRECT("'Yr3'!"&amp;ADDRESS(ROW(BJ104),COLUMN(BJ104)))),
IF(BJ91=0,0,-PMT(INDEX(Lookups!$E$17:$G$17,MATCH($C$4,Lookups!$E$14:$G$14,0)),BJ91,SUMIFS('EE Inputs'!$J$9:$J$32,'EE Inputs'!$C$9:$C$32,$AM$6,'EE Inputs'!$D$9:$D$32,$C$4,'EE Inputs'!$E$9:$E$32,$B104),0,1)))-BJ105</f>
        <v>0</v>
      </c>
      <c r="BK104" s="72">
        <f ca="1">IF($C$4=Lookups!$D$40,SUM(INDIRECT("'Yr1'!"&amp;ADDRESS(ROW(BK104),COLUMN(BK104))),INDIRECT("'Yr2'!"&amp;ADDRESS(ROW(BK104),COLUMN(BK104))),INDIRECT("'Yr3'!"&amp;ADDRESS(ROW(BK104),COLUMN(BK104)))),
IF(BK91=0,0,-PMT(INDEX(Lookups!$E$17:$G$17,MATCH($C$4,Lookups!$E$14:$G$14,0)),BK91,SUMIFS('EE Inputs'!$J$9:$J$32,'EE Inputs'!$C$9:$C$32,$AM$6,'EE Inputs'!$D$9:$D$32,$C$4,'EE Inputs'!$E$9:$E$32,$B104),0,1)))-BK105</f>
        <v>0</v>
      </c>
      <c r="BL104" s="72">
        <f ca="1">IF($C$4=Lookups!$D$40,SUM(INDIRECT("'Yr1'!"&amp;ADDRESS(ROW(BL104),COLUMN(BL104))),INDIRECT("'Yr2'!"&amp;ADDRESS(ROW(BL104),COLUMN(BL104))),INDIRECT("'Yr3'!"&amp;ADDRESS(ROW(BL104),COLUMN(BL104)))),
IF(BL91=0,0,-PMT(INDEX(Lookups!$E$17:$G$17,MATCH($C$4,Lookups!$E$14:$G$14,0)),BL91,SUMIFS('EE Inputs'!$J$9:$J$32,'EE Inputs'!$C$9:$C$32,$AM$6,'EE Inputs'!$D$9:$D$32,$C$4,'EE Inputs'!$E$9:$E$32,$B104),0,1)))-BL105</f>
        <v>0</v>
      </c>
      <c r="BM104" s="72">
        <f ca="1">IF($C$4=Lookups!$D$40,SUM(INDIRECT("'Yr1'!"&amp;ADDRESS(ROW(BM104),COLUMN(BM104))),INDIRECT("'Yr2'!"&amp;ADDRESS(ROW(BM104),COLUMN(BM104))),INDIRECT("'Yr3'!"&amp;ADDRESS(ROW(BM104),COLUMN(BM104)))),
IF(BM91=0,0,-PMT(INDEX(Lookups!$E$17:$G$17,MATCH($C$4,Lookups!$E$14:$G$14,0)),BM91,SUMIFS('EE Inputs'!$J$9:$J$32,'EE Inputs'!$C$9:$C$32,$AM$6,'EE Inputs'!$D$9:$D$32,$C$4,'EE Inputs'!$E$9:$E$32,$B104),0,1)))-BM105</f>
        <v>0</v>
      </c>
      <c r="BN104" s="72"/>
      <c r="BO104" s="72">
        <f ca="1">NPV(Lookups!$E$17,AM104:BM104)</f>
        <v>1284016.9462205456</v>
      </c>
      <c r="BP104" s="72"/>
      <c r="BS104" s="84" t="str">
        <f>"Avoided "&amp;E104&amp;" costs, less the retail margin."</f>
        <v>Avoided Gas costs, less the retail margin.</v>
      </c>
      <c r="BT104" s="51" t="s">
        <v>17</v>
      </c>
    </row>
    <row r="105" spans="1:72" x14ac:dyDescent="0.25">
      <c r="A105" s="246"/>
      <c r="B105" s="243" t="str">
        <f t="shared" si="96"/>
        <v>Low-Income</v>
      </c>
      <c r="C105" s="243" t="str">
        <f t="shared" si="96"/>
        <v>Revenue Requirements</v>
      </c>
      <c r="D105" s="244" t="str">
        <f>D104</f>
        <v>Avoided Costs</v>
      </c>
      <c r="E105" s="84" t="s">
        <v>412</v>
      </c>
      <c r="F105" s="84" t="s">
        <v>32</v>
      </c>
      <c r="G105" s="65">
        <f ca="1">IF($C$4=Lookups!$D$40,SUM(INDIRECT("'Yr1'!"&amp;ADDRESS(ROW(G105),COLUMN(G105))),INDIRECT("'Yr2'!"&amp;ADDRESS(ROW(G105),COLUMN(G105))),INDIRECT("'Yr3'!"&amp;ADDRESS(ROW(G105),COLUMN(G105)))),
IF(G91=0,0,-PMT(INDEX(Lookups!$E$17:$G$17,MATCH($C$4,Lookups!$E$14:$G$14,0)),G91,SUMIFS('EE Inputs'!$W$9:$W$32,'EE Inputs'!$C$9:$C$32,$G$6,'EE Inputs'!$D$9:$D$32,$C$4,'EE Inputs'!$E$9:$E$32,$B105),0,1)))</f>
        <v>4141.8555368277603</v>
      </c>
      <c r="H105" s="65">
        <f ca="1">IF($C$4=Lookups!$D$40,SUM(INDIRECT("'Yr1'!"&amp;ADDRESS(ROW(H105),COLUMN(H105))),INDIRECT("'Yr2'!"&amp;ADDRESS(ROW(H105),COLUMN(H105))),INDIRECT("'Yr3'!"&amp;ADDRESS(ROW(H105),COLUMN(H105)))),
IF(H91=0,0,-PMT(INDEX(Lookups!$E$17:$G$17,MATCH($C$4,Lookups!$E$14:$G$14,0)),H91,SUMIFS('EE Inputs'!$W$9:$W$32,'EE Inputs'!$C$9:$C$32,$G$6,'EE Inputs'!$D$9:$D$32,$C$4,'EE Inputs'!$E$9:$E$32,$B105),0,1)))</f>
        <v>4141.8555368277603</v>
      </c>
      <c r="I105" s="65">
        <f ca="1">IF($C$4=Lookups!$D$40,SUM(INDIRECT("'Yr1'!"&amp;ADDRESS(ROW(I105),COLUMN(I105))),INDIRECT("'Yr2'!"&amp;ADDRESS(ROW(I105),COLUMN(I105))),INDIRECT("'Yr3'!"&amp;ADDRESS(ROW(I105),COLUMN(I105)))),
IF(I91=0,0,-PMT(INDEX(Lookups!$E$17:$G$17,MATCH($C$4,Lookups!$E$14:$G$14,0)),I91,SUMIFS('EE Inputs'!$W$9:$W$32,'EE Inputs'!$C$9:$C$32,$G$6,'EE Inputs'!$D$9:$D$32,$C$4,'EE Inputs'!$E$9:$E$32,$B105),0,1)))</f>
        <v>4141.8555368277603</v>
      </c>
      <c r="J105" s="65">
        <f ca="1">IF($C$4=Lookups!$D$40,SUM(INDIRECT("'Yr1'!"&amp;ADDRESS(ROW(J105),COLUMN(J105))),INDIRECT("'Yr2'!"&amp;ADDRESS(ROW(J105),COLUMN(J105))),INDIRECT("'Yr3'!"&amp;ADDRESS(ROW(J105),COLUMN(J105)))),
IF(J91=0,0,-PMT(INDEX(Lookups!$E$17:$G$17,MATCH($C$4,Lookups!$E$14:$G$14,0)),J91,SUMIFS('EE Inputs'!$W$9:$W$32,'EE Inputs'!$C$9:$C$32,$G$6,'EE Inputs'!$D$9:$D$32,$C$4,'EE Inputs'!$E$9:$E$32,$B105),0,1)))</f>
        <v>4141.8555368277603</v>
      </c>
      <c r="K105" s="65">
        <f ca="1">IF($C$4=Lookups!$D$40,SUM(INDIRECT("'Yr1'!"&amp;ADDRESS(ROW(K105),COLUMN(K105))),INDIRECT("'Yr2'!"&amp;ADDRESS(ROW(K105),COLUMN(K105))),INDIRECT("'Yr3'!"&amp;ADDRESS(ROW(K105),COLUMN(K105)))),
IF(K91=0,0,-PMT(INDEX(Lookups!$E$17:$G$17,MATCH($C$4,Lookups!$E$14:$G$14,0)),K91,SUMIFS('EE Inputs'!$W$9:$W$32,'EE Inputs'!$C$9:$C$32,$G$6,'EE Inputs'!$D$9:$D$32,$C$4,'EE Inputs'!$E$9:$E$32,$B105),0,1)))</f>
        <v>4141.8555368277603</v>
      </c>
      <c r="L105" s="65">
        <f ca="1">IF($C$4=Lookups!$D$40,SUM(INDIRECT("'Yr1'!"&amp;ADDRESS(ROW(L105),COLUMN(L105))),INDIRECT("'Yr2'!"&amp;ADDRESS(ROW(L105),COLUMN(L105))),INDIRECT("'Yr3'!"&amp;ADDRESS(ROW(L105),COLUMN(L105)))),
IF(L91=0,0,-PMT(INDEX(Lookups!$E$17:$G$17,MATCH($C$4,Lookups!$E$14:$G$14,0)),L91,SUMIFS('EE Inputs'!$W$9:$W$32,'EE Inputs'!$C$9:$C$32,$G$6,'EE Inputs'!$D$9:$D$32,$C$4,'EE Inputs'!$E$9:$E$32,$B105),0,1)))</f>
        <v>4141.8555368277603</v>
      </c>
      <c r="M105" s="65">
        <f ca="1">IF($C$4=Lookups!$D$40,SUM(INDIRECT("'Yr1'!"&amp;ADDRESS(ROW(M105),COLUMN(M105))),INDIRECT("'Yr2'!"&amp;ADDRESS(ROW(M105),COLUMN(M105))),INDIRECT("'Yr3'!"&amp;ADDRESS(ROW(M105),COLUMN(M105)))),
IF(M91=0,0,-PMT(INDEX(Lookups!$E$17:$G$17,MATCH($C$4,Lookups!$E$14:$G$14,0)),M91,SUMIFS('EE Inputs'!$W$9:$W$32,'EE Inputs'!$C$9:$C$32,$G$6,'EE Inputs'!$D$9:$D$32,$C$4,'EE Inputs'!$E$9:$E$32,$B105),0,1)))</f>
        <v>4141.8555368277603</v>
      </c>
      <c r="N105" s="65">
        <f ca="1">IF($C$4=Lookups!$D$40,SUM(INDIRECT("'Yr1'!"&amp;ADDRESS(ROW(N105),COLUMN(N105))),INDIRECT("'Yr2'!"&amp;ADDRESS(ROW(N105),COLUMN(N105))),INDIRECT("'Yr3'!"&amp;ADDRESS(ROW(N105),COLUMN(N105)))),
IF(N91=0,0,-PMT(INDEX(Lookups!$E$17:$G$17,MATCH($C$4,Lookups!$E$14:$G$14,0)),N91,SUMIFS('EE Inputs'!$W$9:$W$32,'EE Inputs'!$C$9:$C$32,$G$6,'EE Inputs'!$D$9:$D$32,$C$4,'EE Inputs'!$E$9:$E$32,$B105),0,1)))</f>
        <v>4141.8555368277603</v>
      </c>
      <c r="O105" s="65">
        <f ca="1">IF($C$4=Lookups!$D$40,SUM(INDIRECT("'Yr1'!"&amp;ADDRESS(ROW(O105),COLUMN(O105))),INDIRECT("'Yr2'!"&amp;ADDRESS(ROW(O105),COLUMN(O105))),INDIRECT("'Yr3'!"&amp;ADDRESS(ROW(O105),COLUMN(O105)))),
IF(O91=0,0,-PMT(INDEX(Lookups!$E$17:$G$17,MATCH($C$4,Lookups!$E$14:$G$14,0)),O91,SUMIFS('EE Inputs'!$W$9:$W$32,'EE Inputs'!$C$9:$C$32,$G$6,'EE Inputs'!$D$9:$D$32,$C$4,'EE Inputs'!$E$9:$E$32,$B105),0,1)))</f>
        <v>4141.8555368277603</v>
      </c>
      <c r="P105" s="65">
        <f ca="1">IF($C$4=Lookups!$D$40,SUM(INDIRECT("'Yr1'!"&amp;ADDRESS(ROW(P105),COLUMN(P105))),INDIRECT("'Yr2'!"&amp;ADDRESS(ROW(P105),COLUMN(P105))),INDIRECT("'Yr3'!"&amp;ADDRESS(ROW(P105),COLUMN(P105)))),
IF(P91=0,0,-PMT(INDEX(Lookups!$E$17:$G$17,MATCH($C$4,Lookups!$E$14:$G$14,0)),P91,SUMIFS('EE Inputs'!$W$9:$W$32,'EE Inputs'!$C$9:$C$32,$G$6,'EE Inputs'!$D$9:$D$32,$C$4,'EE Inputs'!$E$9:$E$32,$B105),0,1)))</f>
        <v>4141.8555368277603</v>
      </c>
      <c r="Q105" s="65">
        <f ca="1">IF($C$4=Lookups!$D$40,SUM(INDIRECT("'Yr1'!"&amp;ADDRESS(ROW(Q105),COLUMN(Q105))),INDIRECT("'Yr2'!"&amp;ADDRESS(ROW(Q105),COLUMN(Q105))),INDIRECT("'Yr3'!"&amp;ADDRESS(ROW(Q105),COLUMN(Q105)))),
IF(Q91=0,0,-PMT(INDEX(Lookups!$E$17:$G$17,MATCH($C$4,Lookups!$E$14:$G$14,0)),Q91,SUMIFS('EE Inputs'!$W$9:$W$32,'EE Inputs'!$C$9:$C$32,$G$6,'EE Inputs'!$D$9:$D$32,$C$4,'EE Inputs'!$E$9:$E$32,$B105),0,1)))</f>
        <v>4141.8555368277603</v>
      </c>
      <c r="R105" s="65">
        <f ca="1">IF($C$4=Lookups!$D$40,SUM(INDIRECT("'Yr1'!"&amp;ADDRESS(ROW(R105),COLUMN(R105))),INDIRECT("'Yr2'!"&amp;ADDRESS(ROW(R105),COLUMN(R105))),INDIRECT("'Yr3'!"&amp;ADDRESS(ROW(R105),COLUMN(R105)))),
IF(R91=0,0,-PMT(INDEX(Lookups!$E$17:$G$17,MATCH($C$4,Lookups!$E$14:$G$14,0)),R91,SUMIFS('EE Inputs'!$W$9:$W$32,'EE Inputs'!$C$9:$C$32,$G$6,'EE Inputs'!$D$9:$D$32,$C$4,'EE Inputs'!$E$9:$E$32,$B105),0,1)))</f>
        <v>4141.8555368277603</v>
      </c>
      <c r="S105" s="65">
        <f ca="1">IF($C$4=Lookups!$D$40,SUM(INDIRECT("'Yr1'!"&amp;ADDRESS(ROW(S105),COLUMN(S105))),INDIRECT("'Yr2'!"&amp;ADDRESS(ROW(S105),COLUMN(S105))),INDIRECT("'Yr3'!"&amp;ADDRESS(ROW(S105),COLUMN(S105)))),
IF(S91=0,0,-PMT(INDEX(Lookups!$E$17:$G$17,MATCH($C$4,Lookups!$E$14:$G$14,0)),S91,SUMIFS('EE Inputs'!$W$9:$W$32,'EE Inputs'!$C$9:$C$32,$G$6,'EE Inputs'!$D$9:$D$32,$C$4,'EE Inputs'!$E$9:$E$32,$B105),0,1)))</f>
        <v>4141.8555368277603</v>
      </c>
      <c r="T105" s="65">
        <f ca="1">IF($C$4=Lookups!$D$40,SUM(INDIRECT("'Yr1'!"&amp;ADDRESS(ROW(T105),COLUMN(T105))),INDIRECT("'Yr2'!"&amp;ADDRESS(ROW(T105),COLUMN(T105))),INDIRECT("'Yr3'!"&amp;ADDRESS(ROW(T105),COLUMN(T105)))),
IF(T91=0,0,-PMT(INDEX(Lookups!$E$17:$G$17,MATCH($C$4,Lookups!$E$14:$G$14,0)),T91,SUMIFS('EE Inputs'!$W$9:$W$32,'EE Inputs'!$C$9:$C$32,$G$6,'EE Inputs'!$D$9:$D$32,$C$4,'EE Inputs'!$E$9:$E$32,$B105),0,1)))</f>
        <v>4141.8555368277603</v>
      </c>
      <c r="U105" s="65">
        <f ca="1">IF($C$4=Lookups!$D$40,SUM(INDIRECT("'Yr1'!"&amp;ADDRESS(ROW(U105),COLUMN(U105))),INDIRECT("'Yr2'!"&amp;ADDRESS(ROW(U105),COLUMN(U105))),INDIRECT("'Yr3'!"&amp;ADDRESS(ROW(U105),COLUMN(U105)))),
IF(U91=0,0,-PMT(INDEX(Lookups!$E$17:$G$17,MATCH($C$4,Lookups!$E$14:$G$14,0)),U91,SUMIFS('EE Inputs'!$W$9:$W$32,'EE Inputs'!$C$9:$C$32,$G$6,'EE Inputs'!$D$9:$D$32,$C$4,'EE Inputs'!$E$9:$E$32,$B105),0,1)))</f>
        <v>4141.8555368277603</v>
      </c>
      <c r="V105" s="65">
        <f ca="1">IF($C$4=Lookups!$D$40,SUM(INDIRECT("'Yr1'!"&amp;ADDRESS(ROW(V105),COLUMN(V105))),INDIRECT("'Yr2'!"&amp;ADDRESS(ROW(V105),COLUMN(V105))),INDIRECT("'Yr3'!"&amp;ADDRESS(ROW(V105),COLUMN(V105)))),
IF(V91=0,0,-PMT(INDEX(Lookups!$E$17:$G$17,MATCH($C$4,Lookups!$E$14:$G$14,0)),V91,SUMIFS('EE Inputs'!$W$9:$W$32,'EE Inputs'!$C$9:$C$32,$G$6,'EE Inputs'!$D$9:$D$32,$C$4,'EE Inputs'!$E$9:$E$32,$B105),0,1)))</f>
        <v>4141.8555368277603</v>
      </c>
      <c r="W105" s="65">
        <f ca="1">IF($C$4=Lookups!$D$40,SUM(INDIRECT("'Yr1'!"&amp;ADDRESS(ROW(W105),COLUMN(W105))),INDIRECT("'Yr2'!"&amp;ADDRESS(ROW(W105),COLUMN(W105))),INDIRECT("'Yr3'!"&amp;ADDRESS(ROW(W105),COLUMN(W105)))),
IF(W91=0,0,-PMT(INDEX(Lookups!$E$17:$G$17,MATCH($C$4,Lookups!$E$14:$G$14,0)),W91,SUMIFS('EE Inputs'!$W$9:$W$32,'EE Inputs'!$C$9:$C$32,$G$6,'EE Inputs'!$D$9:$D$32,$C$4,'EE Inputs'!$E$9:$E$32,$B105),0,1)))</f>
        <v>4141.8555368277603</v>
      </c>
      <c r="X105" s="65">
        <f ca="1">IF($C$4=Lookups!$D$40,SUM(INDIRECT("'Yr1'!"&amp;ADDRESS(ROW(X105),COLUMN(X105))),INDIRECT("'Yr2'!"&amp;ADDRESS(ROW(X105),COLUMN(X105))),INDIRECT("'Yr3'!"&amp;ADDRESS(ROW(X105),COLUMN(X105)))),
IF(X91=0,0,-PMT(INDEX(Lookups!$E$17:$G$17,MATCH($C$4,Lookups!$E$14:$G$14,0)),X91,SUMIFS('EE Inputs'!$W$9:$W$32,'EE Inputs'!$C$9:$C$32,$G$6,'EE Inputs'!$D$9:$D$32,$C$4,'EE Inputs'!$E$9:$E$32,$B105),0,1)))</f>
        <v>4141.8555368277603</v>
      </c>
      <c r="Y105" s="65">
        <f ca="1">IF($C$4=Lookups!$D$40,SUM(INDIRECT("'Yr1'!"&amp;ADDRESS(ROW(Y105),COLUMN(Y105))),INDIRECT("'Yr2'!"&amp;ADDRESS(ROW(Y105),COLUMN(Y105))),INDIRECT("'Yr3'!"&amp;ADDRESS(ROW(Y105),COLUMN(Y105)))),
IF(Y91=0,0,-PMT(INDEX(Lookups!$E$17:$G$17,MATCH($C$4,Lookups!$E$14:$G$14,0)),Y91,SUMIFS('EE Inputs'!$W$9:$W$32,'EE Inputs'!$C$9:$C$32,$G$6,'EE Inputs'!$D$9:$D$32,$C$4,'EE Inputs'!$E$9:$E$32,$B105),0,1)))</f>
        <v>4141.8555368277603</v>
      </c>
      <c r="Z105" s="65">
        <f ca="1">IF($C$4=Lookups!$D$40,SUM(INDIRECT("'Yr1'!"&amp;ADDRESS(ROW(Z105),COLUMN(Z105))),INDIRECT("'Yr2'!"&amp;ADDRESS(ROW(Z105),COLUMN(Z105))),INDIRECT("'Yr3'!"&amp;ADDRESS(ROW(Z105),COLUMN(Z105)))),
IF(Z91=0,0,-PMT(INDEX(Lookups!$E$17:$G$17,MATCH($C$4,Lookups!$E$14:$G$14,0)),Z91,SUMIFS('EE Inputs'!$W$9:$W$32,'EE Inputs'!$C$9:$C$32,$G$6,'EE Inputs'!$D$9:$D$32,$C$4,'EE Inputs'!$E$9:$E$32,$B105),0,1)))</f>
        <v>4141.8555368277603</v>
      </c>
      <c r="AA105" s="65">
        <f ca="1">IF($C$4=Lookups!$D$40,SUM(INDIRECT("'Yr1'!"&amp;ADDRESS(ROW(AA105),COLUMN(AA105))),INDIRECT("'Yr2'!"&amp;ADDRESS(ROW(AA105),COLUMN(AA105))),INDIRECT("'Yr3'!"&amp;ADDRESS(ROW(AA105),COLUMN(AA105)))),
IF(AA91=0,0,-PMT(INDEX(Lookups!$E$17:$G$17,MATCH($C$4,Lookups!$E$14:$G$14,0)),AA91,SUMIFS('EE Inputs'!$W$9:$W$32,'EE Inputs'!$C$9:$C$32,$G$6,'EE Inputs'!$D$9:$D$32,$C$4,'EE Inputs'!$E$9:$E$32,$B105),0,1)))</f>
        <v>0</v>
      </c>
      <c r="AB105" s="65">
        <f ca="1">IF($C$4=Lookups!$D$40,SUM(INDIRECT("'Yr1'!"&amp;ADDRESS(ROW(AB105),COLUMN(AB105))),INDIRECT("'Yr2'!"&amp;ADDRESS(ROW(AB105),COLUMN(AB105))),INDIRECT("'Yr3'!"&amp;ADDRESS(ROW(AB105),COLUMN(AB105)))),
IF(AB91=0,0,-PMT(INDEX(Lookups!$E$17:$G$17,MATCH($C$4,Lookups!$E$14:$G$14,0)),AB91,SUMIFS('EE Inputs'!$W$9:$W$32,'EE Inputs'!$C$9:$C$32,$G$6,'EE Inputs'!$D$9:$D$32,$C$4,'EE Inputs'!$E$9:$E$32,$B105),0,1)))</f>
        <v>0</v>
      </c>
      <c r="AC105" s="65">
        <f ca="1">IF($C$4=Lookups!$D$40,SUM(INDIRECT("'Yr1'!"&amp;ADDRESS(ROW(AC105),COLUMN(AC105))),INDIRECT("'Yr2'!"&amp;ADDRESS(ROW(AC105),COLUMN(AC105))),INDIRECT("'Yr3'!"&amp;ADDRESS(ROW(AC105),COLUMN(AC105)))),
IF(AC91=0,0,-PMT(INDEX(Lookups!$E$17:$G$17,MATCH($C$4,Lookups!$E$14:$G$14,0)),AC91,SUMIFS('EE Inputs'!$W$9:$W$32,'EE Inputs'!$C$9:$C$32,$G$6,'EE Inputs'!$D$9:$D$32,$C$4,'EE Inputs'!$E$9:$E$32,$B105),0,1)))</f>
        <v>0</v>
      </c>
      <c r="AD105" s="65">
        <f ca="1">IF($C$4=Lookups!$D$40,SUM(INDIRECT("'Yr1'!"&amp;ADDRESS(ROW(AD105),COLUMN(AD105))),INDIRECT("'Yr2'!"&amp;ADDRESS(ROW(AD105),COLUMN(AD105))),INDIRECT("'Yr3'!"&amp;ADDRESS(ROW(AD105),COLUMN(AD105)))),
IF(AD91=0,0,-PMT(INDEX(Lookups!$E$17:$G$17,MATCH($C$4,Lookups!$E$14:$G$14,0)),AD91,SUMIFS('EE Inputs'!$W$9:$W$32,'EE Inputs'!$C$9:$C$32,$G$6,'EE Inputs'!$D$9:$D$32,$C$4,'EE Inputs'!$E$9:$E$32,$B105),0,1)))</f>
        <v>0</v>
      </c>
      <c r="AE105" s="65">
        <f ca="1">IF($C$4=Lookups!$D$40,SUM(INDIRECT("'Yr1'!"&amp;ADDRESS(ROW(AE105),COLUMN(AE105))),INDIRECT("'Yr2'!"&amp;ADDRESS(ROW(AE105),COLUMN(AE105))),INDIRECT("'Yr3'!"&amp;ADDRESS(ROW(AE105),COLUMN(AE105)))),
IF(AE91=0,0,-PMT(INDEX(Lookups!$E$17:$G$17,MATCH($C$4,Lookups!$E$14:$G$14,0)),AE91,SUMIFS('EE Inputs'!$W$9:$W$32,'EE Inputs'!$C$9:$C$32,$G$6,'EE Inputs'!$D$9:$D$32,$C$4,'EE Inputs'!$E$9:$E$32,$B105),0,1)))</f>
        <v>0</v>
      </c>
      <c r="AF105" s="65">
        <f ca="1">IF($C$4=Lookups!$D$40,SUM(INDIRECT("'Yr1'!"&amp;ADDRESS(ROW(AF105),COLUMN(AF105))),INDIRECT("'Yr2'!"&amp;ADDRESS(ROW(AF105),COLUMN(AF105))),INDIRECT("'Yr3'!"&amp;ADDRESS(ROW(AF105),COLUMN(AF105)))),
IF(AF91=0,0,-PMT(INDEX(Lookups!$E$17:$G$17,MATCH($C$4,Lookups!$E$14:$G$14,0)),AF91,SUMIFS('EE Inputs'!$W$9:$W$32,'EE Inputs'!$C$9:$C$32,$G$6,'EE Inputs'!$D$9:$D$32,$C$4,'EE Inputs'!$E$9:$E$32,$B105),0,1)))</f>
        <v>0</v>
      </c>
      <c r="AG105" s="65">
        <f ca="1">IF($C$4=Lookups!$D$40,SUM(INDIRECT("'Yr1'!"&amp;ADDRESS(ROW(AG105),COLUMN(AG105))),INDIRECT("'Yr2'!"&amp;ADDRESS(ROW(AG105),COLUMN(AG105))),INDIRECT("'Yr3'!"&amp;ADDRESS(ROW(AG105),COLUMN(AG105)))),
IF(AG91=0,0,-PMT(INDEX(Lookups!$E$17:$G$17,MATCH($C$4,Lookups!$E$14:$G$14,0)),AG91,SUMIFS('EE Inputs'!$W$9:$W$32,'EE Inputs'!$C$9:$C$32,$G$6,'EE Inputs'!$D$9:$D$32,$C$4,'EE Inputs'!$E$9:$E$32,$B105),0,1)))</f>
        <v>0</v>
      </c>
      <c r="AH105" s="65"/>
      <c r="AI105" s="65">
        <f ca="1">NPV(Lookups!$E$17,G105:AG105)</f>
        <v>71713.712421892138</v>
      </c>
      <c r="AJ105" s="65"/>
      <c r="AM105" s="72">
        <f ca="1">IF($C$4=Lookups!$D$40,SUM(INDIRECT("'Yr1'!"&amp;ADDRESS(ROW(AM105),COLUMN(AM105))),INDIRECT("'Yr2'!"&amp;ADDRESS(ROW(AM105),COLUMN(AM105))),INDIRECT("'Yr3'!"&amp;ADDRESS(ROW(AM105),COLUMN(AM105)))),
IF(AM91=0,0,-PMT(INDEX(Lookups!$E$17:$G$17,MATCH($C$4,Lookups!$E$14:$G$14,0)),AM91,SUMIFS('EE Inputs'!$W$9:$W$32,'EE Inputs'!$C$9:$C$32,$AM$6,'EE Inputs'!$D$9:$D$32,$C$4,'EE Inputs'!$E$9:$E$32,$B105),0,1)))</f>
        <v>4733.5491849460122</v>
      </c>
      <c r="AN105" s="72">
        <f ca="1">IF($C$4=Lookups!$D$40,SUM(INDIRECT("'Yr1'!"&amp;ADDRESS(ROW(AN105),COLUMN(AN105))),INDIRECT("'Yr2'!"&amp;ADDRESS(ROW(AN105),COLUMN(AN105))),INDIRECT("'Yr3'!"&amp;ADDRESS(ROW(AN105),COLUMN(AN105)))),
IF(AN91=0,0,-PMT(INDEX(Lookups!$E$17:$G$17,MATCH($C$4,Lookups!$E$14:$G$14,0)),AN91,SUMIFS('EE Inputs'!$W$9:$W$32,'EE Inputs'!$C$9:$C$32,$AM$6,'EE Inputs'!$D$9:$D$32,$C$4,'EE Inputs'!$E$9:$E$32,$B105),0,1)))</f>
        <v>4733.5491849460122</v>
      </c>
      <c r="AO105" s="72">
        <f ca="1">IF($C$4=Lookups!$D$40,SUM(INDIRECT("'Yr1'!"&amp;ADDRESS(ROW(AO105),COLUMN(AO105))),INDIRECT("'Yr2'!"&amp;ADDRESS(ROW(AO105),COLUMN(AO105))),INDIRECT("'Yr3'!"&amp;ADDRESS(ROW(AO105),COLUMN(AO105)))),
IF(AO91=0,0,-PMT(INDEX(Lookups!$E$17:$G$17,MATCH($C$4,Lookups!$E$14:$G$14,0)),AO91,SUMIFS('EE Inputs'!$W$9:$W$32,'EE Inputs'!$C$9:$C$32,$AM$6,'EE Inputs'!$D$9:$D$32,$C$4,'EE Inputs'!$E$9:$E$32,$B105),0,1)))</f>
        <v>4733.5491849460122</v>
      </c>
      <c r="AP105" s="72">
        <f ca="1">IF($C$4=Lookups!$D$40,SUM(INDIRECT("'Yr1'!"&amp;ADDRESS(ROW(AP105),COLUMN(AP105))),INDIRECT("'Yr2'!"&amp;ADDRESS(ROW(AP105),COLUMN(AP105))),INDIRECT("'Yr3'!"&amp;ADDRESS(ROW(AP105),COLUMN(AP105)))),
IF(AP91=0,0,-PMT(INDEX(Lookups!$E$17:$G$17,MATCH($C$4,Lookups!$E$14:$G$14,0)),AP91,SUMIFS('EE Inputs'!$W$9:$W$32,'EE Inputs'!$C$9:$C$32,$AM$6,'EE Inputs'!$D$9:$D$32,$C$4,'EE Inputs'!$E$9:$E$32,$B105),0,1)))</f>
        <v>4733.5491849460122</v>
      </c>
      <c r="AQ105" s="72">
        <f ca="1">IF($C$4=Lookups!$D$40,SUM(INDIRECT("'Yr1'!"&amp;ADDRESS(ROW(AQ105),COLUMN(AQ105))),INDIRECT("'Yr2'!"&amp;ADDRESS(ROW(AQ105),COLUMN(AQ105))),INDIRECT("'Yr3'!"&amp;ADDRESS(ROW(AQ105),COLUMN(AQ105)))),
IF(AQ91=0,0,-PMT(INDEX(Lookups!$E$17:$G$17,MATCH($C$4,Lookups!$E$14:$G$14,0)),AQ91,SUMIFS('EE Inputs'!$W$9:$W$32,'EE Inputs'!$C$9:$C$32,$AM$6,'EE Inputs'!$D$9:$D$32,$C$4,'EE Inputs'!$E$9:$E$32,$B105),0,1)))</f>
        <v>4733.5491849460122</v>
      </c>
      <c r="AR105" s="72">
        <f ca="1">IF($C$4=Lookups!$D$40,SUM(INDIRECT("'Yr1'!"&amp;ADDRESS(ROW(AR105),COLUMN(AR105))),INDIRECT("'Yr2'!"&amp;ADDRESS(ROW(AR105),COLUMN(AR105))),INDIRECT("'Yr3'!"&amp;ADDRESS(ROW(AR105),COLUMN(AR105)))),
IF(AR91=0,0,-PMT(INDEX(Lookups!$E$17:$G$17,MATCH($C$4,Lookups!$E$14:$G$14,0)),AR91,SUMIFS('EE Inputs'!$W$9:$W$32,'EE Inputs'!$C$9:$C$32,$AM$6,'EE Inputs'!$D$9:$D$32,$C$4,'EE Inputs'!$E$9:$E$32,$B105),0,1)))</f>
        <v>4733.5491849460122</v>
      </c>
      <c r="AS105" s="72">
        <f ca="1">IF($C$4=Lookups!$D$40,SUM(INDIRECT("'Yr1'!"&amp;ADDRESS(ROW(AS105),COLUMN(AS105))),INDIRECT("'Yr2'!"&amp;ADDRESS(ROW(AS105),COLUMN(AS105))),INDIRECT("'Yr3'!"&amp;ADDRESS(ROW(AS105),COLUMN(AS105)))),
IF(AS91=0,0,-PMT(INDEX(Lookups!$E$17:$G$17,MATCH($C$4,Lookups!$E$14:$G$14,0)),AS91,SUMIFS('EE Inputs'!$W$9:$W$32,'EE Inputs'!$C$9:$C$32,$AM$6,'EE Inputs'!$D$9:$D$32,$C$4,'EE Inputs'!$E$9:$E$32,$B105),0,1)))</f>
        <v>4733.5491849460122</v>
      </c>
      <c r="AT105" s="72">
        <f ca="1">IF($C$4=Lookups!$D$40,SUM(INDIRECT("'Yr1'!"&amp;ADDRESS(ROW(AT105),COLUMN(AT105))),INDIRECT("'Yr2'!"&amp;ADDRESS(ROW(AT105),COLUMN(AT105))),INDIRECT("'Yr3'!"&amp;ADDRESS(ROW(AT105),COLUMN(AT105)))),
IF(AT91=0,0,-PMT(INDEX(Lookups!$E$17:$G$17,MATCH($C$4,Lookups!$E$14:$G$14,0)),AT91,SUMIFS('EE Inputs'!$W$9:$W$32,'EE Inputs'!$C$9:$C$32,$AM$6,'EE Inputs'!$D$9:$D$32,$C$4,'EE Inputs'!$E$9:$E$32,$B105),0,1)))</f>
        <v>4733.5491849460122</v>
      </c>
      <c r="AU105" s="72">
        <f ca="1">IF($C$4=Lookups!$D$40,SUM(INDIRECT("'Yr1'!"&amp;ADDRESS(ROW(AU105),COLUMN(AU105))),INDIRECT("'Yr2'!"&amp;ADDRESS(ROW(AU105),COLUMN(AU105))),INDIRECT("'Yr3'!"&amp;ADDRESS(ROW(AU105),COLUMN(AU105)))),
IF(AU91=0,0,-PMT(INDEX(Lookups!$E$17:$G$17,MATCH($C$4,Lookups!$E$14:$G$14,0)),AU91,SUMIFS('EE Inputs'!$W$9:$W$32,'EE Inputs'!$C$9:$C$32,$AM$6,'EE Inputs'!$D$9:$D$32,$C$4,'EE Inputs'!$E$9:$E$32,$B105),0,1)))</f>
        <v>4733.5491849460122</v>
      </c>
      <c r="AV105" s="72">
        <f ca="1">IF($C$4=Lookups!$D$40,SUM(INDIRECT("'Yr1'!"&amp;ADDRESS(ROW(AV105),COLUMN(AV105))),INDIRECT("'Yr2'!"&amp;ADDRESS(ROW(AV105),COLUMN(AV105))),INDIRECT("'Yr3'!"&amp;ADDRESS(ROW(AV105),COLUMN(AV105)))),
IF(AV91=0,0,-PMT(INDEX(Lookups!$E$17:$G$17,MATCH($C$4,Lookups!$E$14:$G$14,0)),AV91,SUMIFS('EE Inputs'!$W$9:$W$32,'EE Inputs'!$C$9:$C$32,$AM$6,'EE Inputs'!$D$9:$D$32,$C$4,'EE Inputs'!$E$9:$E$32,$B105),0,1)))</f>
        <v>4733.5491849460122</v>
      </c>
      <c r="AW105" s="72">
        <f ca="1">IF($C$4=Lookups!$D$40,SUM(INDIRECT("'Yr1'!"&amp;ADDRESS(ROW(AW105),COLUMN(AW105))),INDIRECT("'Yr2'!"&amp;ADDRESS(ROW(AW105),COLUMN(AW105))),INDIRECT("'Yr3'!"&amp;ADDRESS(ROW(AW105),COLUMN(AW105)))),
IF(AW91=0,0,-PMT(INDEX(Lookups!$E$17:$G$17,MATCH($C$4,Lookups!$E$14:$G$14,0)),AW91,SUMIFS('EE Inputs'!$W$9:$W$32,'EE Inputs'!$C$9:$C$32,$AM$6,'EE Inputs'!$D$9:$D$32,$C$4,'EE Inputs'!$E$9:$E$32,$B105),0,1)))</f>
        <v>4733.5491849460122</v>
      </c>
      <c r="AX105" s="72">
        <f ca="1">IF($C$4=Lookups!$D$40,SUM(INDIRECT("'Yr1'!"&amp;ADDRESS(ROW(AX105),COLUMN(AX105))),INDIRECT("'Yr2'!"&amp;ADDRESS(ROW(AX105),COLUMN(AX105))),INDIRECT("'Yr3'!"&amp;ADDRESS(ROW(AX105),COLUMN(AX105)))),
IF(AX91=0,0,-PMT(INDEX(Lookups!$E$17:$G$17,MATCH($C$4,Lookups!$E$14:$G$14,0)),AX91,SUMIFS('EE Inputs'!$W$9:$W$32,'EE Inputs'!$C$9:$C$32,$AM$6,'EE Inputs'!$D$9:$D$32,$C$4,'EE Inputs'!$E$9:$E$32,$B105),0,1)))</f>
        <v>4733.5491849460122</v>
      </c>
      <c r="AY105" s="72">
        <f ca="1">IF($C$4=Lookups!$D$40,SUM(INDIRECT("'Yr1'!"&amp;ADDRESS(ROW(AY105),COLUMN(AY105))),INDIRECT("'Yr2'!"&amp;ADDRESS(ROW(AY105),COLUMN(AY105))),INDIRECT("'Yr3'!"&amp;ADDRESS(ROW(AY105),COLUMN(AY105)))),
IF(AY91=0,0,-PMT(INDEX(Lookups!$E$17:$G$17,MATCH($C$4,Lookups!$E$14:$G$14,0)),AY91,SUMIFS('EE Inputs'!$W$9:$W$32,'EE Inputs'!$C$9:$C$32,$AM$6,'EE Inputs'!$D$9:$D$32,$C$4,'EE Inputs'!$E$9:$E$32,$B105),0,1)))</f>
        <v>4733.5491849460122</v>
      </c>
      <c r="AZ105" s="72">
        <f ca="1">IF($C$4=Lookups!$D$40,SUM(INDIRECT("'Yr1'!"&amp;ADDRESS(ROW(AZ105),COLUMN(AZ105))),INDIRECT("'Yr2'!"&amp;ADDRESS(ROW(AZ105),COLUMN(AZ105))),INDIRECT("'Yr3'!"&amp;ADDRESS(ROW(AZ105),COLUMN(AZ105)))),
IF(AZ91=0,0,-PMT(INDEX(Lookups!$E$17:$G$17,MATCH($C$4,Lookups!$E$14:$G$14,0)),AZ91,SUMIFS('EE Inputs'!$W$9:$W$32,'EE Inputs'!$C$9:$C$32,$AM$6,'EE Inputs'!$D$9:$D$32,$C$4,'EE Inputs'!$E$9:$E$32,$B105),0,1)))</f>
        <v>4733.5491849460122</v>
      </c>
      <c r="BA105" s="72">
        <f ca="1">IF($C$4=Lookups!$D$40,SUM(INDIRECT("'Yr1'!"&amp;ADDRESS(ROW(BA105),COLUMN(BA105))),INDIRECT("'Yr2'!"&amp;ADDRESS(ROW(BA105),COLUMN(BA105))),INDIRECT("'Yr3'!"&amp;ADDRESS(ROW(BA105),COLUMN(BA105)))),
IF(BA91=0,0,-PMT(INDEX(Lookups!$E$17:$G$17,MATCH($C$4,Lookups!$E$14:$G$14,0)),BA91,SUMIFS('EE Inputs'!$W$9:$W$32,'EE Inputs'!$C$9:$C$32,$AM$6,'EE Inputs'!$D$9:$D$32,$C$4,'EE Inputs'!$E$9:$E$32,$B105),0,1)))</f>
        <v>4733.5491849460122</v>
      </c>
      <c r="BB105" s="72">
        <f ca="1">IF($C$4=Lookups!$D$40,SUM(INDIRECT("'Yr1'!"&amp;ADDRESS(ROW(BB105),COLUMN(BB105))),INDIRECT("'Yr2'!"&amp;ADDRESS(ROW(BB105),COLUMN(BB105))),INDIRECT("'Yr3'!"&amp;ADDRESS(ROW(BB105),COLUMN(BB105)))),
IF(BB91=0,0,-PMT(INDEX(Lookups!$E$17:$G$17,MATCH($C$4,Lookups!$E$14:$G$14,0)),BB91,SUMIFS('EE Inputs'!$W$9:$W$32,'EE Inputs'!$C$9:$C$32,$AM$6,'EE Inputs'!$D$9:$D$32,$C$4,'EE Inputs'!$E$9:$E$32,$B105),0,1)))</f>
        <v>4733.5491849460122</v>
      </c>
      <c r="BC105" s="72">
        <f ca="1">IF($C$4=Lookups!$D$40,SUM(INDIRECT("'Yr1'!"&amp;ADDRESS(ROW(BC105),COLUMN(BC105))),INDIRECT("'Yr2'!"&amp;ADDRESS(ROW(BC105),COLUMN(BC105))),INDIRECT("'Yr3'!"&amp;ADDRESS(ROW(BC105),COLUMN(BC105)))),
IF(BC91=0,0,-PMT(INDEX(Lookups!$E$17:$G$17,MATCH($C$4,Lookups!$E$14:$G$14,0)),BC91,SUMIFS('EE Inputs'!$W$9:$W$32,'EE Inputs'!$C$9:$C$32,$AM$6,'EE Inputs'!$D$9:$D$32,$C$4,'EE Inputs'!$E$9:$E$32,$B105),0,1)))</f>
        <v>4733.5491849460122</v>
      </c>
      <c r="BD105" s="72">
        <f ca="1">IF($C$4=Lookups!$D$40,SUM(INDIRECT("'Yr1'!"&amp;ADDRESS(ROW(BD105),COLUMN(BD105))),INDIRECT("'Yr2'!"&amp;ADDRESS(ROW(BD105),COLUMN(BD105))),INDIRECT("'Yr3'!"&amp;ADDRESS(ROW(BD105),COLUMN(BD105)))),
IF(BD91=0,0,-PMT(INDEX(Lookups!$E$17:$G$17,MATCH($C$4,Lookups!$E$14:$G$14,0)),BD91,SUMIFS('EE Inputs'!$W$9:$W$32,'EE Inputs'!$C$9:$C$32,$AM$6,'EE Inputs'!$D$9:$D$32,$C$4,'EE Inputs'!$E$9:$E$32,$B105),0,1)))</f>
        <v>4733.5491849460122</v>
      </c>
      <c r="BE105" s="72">
        <f ca="1">IF($C$4=Lookups!$D$40,SUM(INDIRECT("'Yr1'!"&amp;ADDRESS(ROW(BE105),COLUMN(BE105))),INDIRECT("'Yr2'!"&amp;ADDRESS(ROW(BE105),COLUMN(BE105))),INDIRECT("'Yr3'!"&amp;ADDRESS(ROW(BE105),COLUMN(BE105)))),
IF(BE91=0,0,-PMT(INDEX(Lookups!$E$17:$G$17,MATCH($C$4,Lookups!$E$14:$G$14,0)),BE91,SUMIFS('EE Inputs'!$W$9:$W$32,'EE Inputs'!$C$9:$C$32,$AM$6,'EE Inputs'!$D$9:$D$32,$C$4,'EE Inputs'!$E$9:$E$32,$B105),0,1)))</f>
        <v>4733.5491849460122</v>
      </c>
      <c r="BF105" s="72">
        <f ca="1">IF($C$4=Lookups!$D$40,SUM(INDIRECT("'Yr1'!"&amp;ADDRESS(ROW(BF105),COLUMN(BF105))),INDIRECT("'Yr2'!"&amp;ADDRESS(ROW(BF105),COLUMN(BF105))),INDIRECT("'Yr3'!"&amp;ADDRESS(ROW(BF105),COLUMN(BF105)))),
IF(BF91=0,0,-PMT(INDEX(Lookups!$E$17:$G$17,MATCH($C$4,Lookups!$E$14:$G$14,0)),BF91,SUMIFS('EE Inputs'!$W$9:$W$32,'EE Inputs'!$C$9:$C$32,$AM$6,'EE Inputs'!$D$9:$D$32,$C$4,'EE Inputs'!$E$9:$E$32,$B105),0,1)))</f>
        <v>4733.5491849460122</v>
      </c>
      <c r="BG105" s="72">
        <f ca="1">IF($C$4=Lookups!$D$40,SUM(INDIRECT("'Yr1'!"&amp;ADDRESS(ROW(BG105),COLUMN(BG105))),INDIRECT("'Yr2'!"&amp;ADDRESS(ROW(BG105),COLUMN(BG105))),INDIRECT("'Yr3'!"&amp;ADDRESS(ROW(BG105),COLUMN(BG105)))),
IF(BG91=0,0,-PMT(INDEX(Lookups!$E$17:$G$17,MATCH($C$4,Lookups!$E$14:$G$14,0)),BG91,SUMIFS('EE Inputs'!$W$9:$W$32,'EE Inputs'!$C$9:$C$32,$AM$6,'EE Inputs'!$D$9:$D$32,$C$4,'EE Inputs'!$E$9:$E$32,$B105),0,1)))</f>
        <v>0</v>
      </c>
      <c r="BH105" s="72">
        <f ca="1">IF($C$4=Lookups!$D$40,SUM(INDIRECT("'Yr1'!"&amp;ADDRESS(ROW(BH105),COLUMN(BH105))),INDIRECT("'Yr2'!"&amp;ADDRESS(ROW(BH105),COLUMN(BH105))),INDIRECT("'Yr3'!"&amp;ADDRESS(ROW(BH105),COLUMN(BH105)))),
IF(BH91=0,0,-PMT(INDEX(Lookups!$E$17:$G$17,MATCH($C$4,Lookups!$E$14:$G$14,0)),BH91,SUMIFS('EE Inputs'!$W$9:$W$32,'EE Inputs'!$C$9:$C$32,$AM$6,'EE Inputs'!$D$9:$D$32,$C$4,'EE Inputs'!$E$9:$E$32,$B105),0,1)))</f>
        <v>0</v>
      </c>
      <c r="BI105" s="72">
        <f ca="1">IF($C$4=Lookups!$D$40,SUM(INDIRECT("'Yr1'!"&amp;ADDRESS(ROW(BI105),COLUMN(BI105))),INDIRECT("'Yr2'!"&amp;ADDRESS(ROW(BI105),COLUMN(BI105))),INDIRECT("'Yr3'!"&amp;ADDRESS(ROW(BI105),COLUMN(BI105)))),
IF(BI91=0,0,-PMT(INDEX(Lookups!$E$17:$G$17,MATCH($C$4,Lookups!$E$14:$G$14,0)),BI91,SUMIFS('EE Inputs'!$W$9:$W$32,'EE Inputs'!$C$9:$C$32,$AM$6,'EE Inputs'!$D$9:$D$32,$C$4,'EE Inputs'!$E$9:$E$32,$B105),0,1)))</f>
        <v>0</v>
      </c>
      <c r="BJ105" s="72">
        <f ca="1">IF($C$4=Lookups!$D$40,SUM(INDIRECT("'Yr1'!"&amp;ADDRESS(ROW(BJ105),COLUMN(BJ105))),INDIRECT("'Yr2'!"&amp;ADDRESS(ROW(BJ105),COLUMN(BJ105))),INDIRECT("'Yr3'!"&amp;ADDRESS(ROW(BJ105),COLUMN(BJ105)))),
IF(BJ91=0,0,-PMT(INDEX(Lookups!$E$17:$G$17,MATCH($C$4,Lookups!$E$14:$G$14,0)),BJ91,SUMIFS('EE Inputs'!$W$9:$W$32,'EE Inputs'!$C$9:$C$32,$AM$6,'EE Inputs'!$D$9:$D$32,$C$4,'EE Inputs'!$E$9:$E$32,$B105),0,1)))</f>
        <v>0</v>
      </c>
      <c r="BK105" s="72">
        <f ca="1">IF($C$4=Lookups!$D$40,SUM(INDIRECT("'Yr1'!"&amp;ADDRESS(ROW(BK105),COLUMN(BK105))),INDIRECT("'Yr2'!"&amp;ADDRESS(ROW(BK105),COLUMN(BK105))),INDIRECT("'Yr3'!"&amp;ADDRESS(ROW(BK105),COLUMN(BK105)))),
IF(BK91=0,0,-PMT(INDEX(Lookups!$E$17:$G$17,MATCH($C$4,Lookups!$E$14:$G$14,0)),BK91,SUMIFS('EE Inputs'!$W$9:$W$32,'EE Inputs'!$C$9:$C$32,$AM$6,'EE Inputs'!$D$9:$D$32,$C$4,'EE Inputs'!$E$9:$E$32,$B105),0,1)))</f>
        <v>0</v>
      </c>
      <c r="BL105" s="72">
        <f ca="1">IF($C$4=Lookups!$D$40,SUM(INDIRECT("'Yr1'!"&amp;ADDRESS(ROW(BL105),COLUMN(BL105))),INDIRECT("'Yr2'!"&amp;ADDRESS(ROW(BL105),COLUMN(BL105))),INDIRECT("'Yr3'!"&amp;ADDRESS(ROW(BL105),COLUMN(BL105)))),
IF(BL91=0,0,-PMT(INDEX(Lookups!$E$17:$G$17,MATCH($C$4,Lookups!$E$14:$G$14,0)),BL91,SUMIFS('EE Inputs'!$W$9:$W$32,'EE Inputs'!$C$9:$C$32,$AM$6,'EE Inputs'!$D$9:$D$32,$C$4,'EE Inputs'!$E$9:$E$32,$B105),0,1)))</f>
        <v>0</v>
      </c>
      <c r="BM105" s="72">
        <f ca="1">IF($C$4=Lookups!$D$40,SUM(INDIRECT("'Yr1'!"&amp;ADDRESS(ROW(BM105),COLUMN(BM105))),INDIRECT("'Yr2'!"&amp;ADDRESS(ROW(BM105),COLUMN(BM105))),INDIRECT("'Yr3'!"&amp;ADDRESS(ROW(BM105),COLUMN(BM105)))),
IF(BM91=0,0,-PMT(INDEX(Lookups!$E$17:$G$17,MATCH($C$4,Lookups!$E$14:$G$14,0)),BM91,SUMIFS('EE Inputs'!$W$9:$W$32,'EE Inputs'!$C$9:$C$32,$AM$6,'EE Inputs'!$D$9:$D$32,$C$4,'EE Inputs'!$E$9:$E$32,$B105),0,1)))</f>
        <v>0</v>
      </c>
      <c r="BN105" s="72"/>
      <c r="BO105" s="72">
        <f ca="1">NPV(Lookups!$E$17,AM105:BM105)</f>
        <v>81958.528482162466</v>
      </c>
      <c r="BP105" s="72"/>
      <c r="BS105" s="84" t="s">
        <v>413</v>
      </c>
      <c r="BT105" s="51"/>
    </row>
    <row r="106" spans="1:72" x14ac:dyDescent="0.25">
      <c r="A106" s="246"/>
      <c r="B106" s="243" t="str">
        <f t="shared" ref="B106:C106" si="97">B104</f>
        <v>Low-Income</v>
      </c>
      <c r="C106" s="243" t="str">
        <f t="shared" si="97"/>
        <v>Revenue Requirements</v>
      </c>
      <c r="D106" s="244" t="str">
        <f>D104</f>
        <v>Avoided Costs</v>
      </c>
      <c r="E106" s="86" t="s">
        <v>175</v>
      </c>
      <c r="F106" s="84" t="s">
        <v>32</v>
      </c>
      <c r="G106" s="65">
        <f ca="1">IF($C$4=Lookups!$D$40,SUM(INDIRECT("'Yr1'!"&amp;ADDRESS(ROW(G106),COLUMN(G106))),INDIRECT("'Yr2'!"&amp;ADDRESS(ROW(G106),COLUMN(G106))),INDIRECT("'Yr3'!"&amp;ADDRESS(ROW(G106),COLUMN(G106)))),
IF(G91=0,0,-PMT(INDEX(Lookups!$E$17:$G$17,MATCH($C$4,Lookups!$E$14:$G$14,0)),G91,SUMIFS('EE Inputs'!$K$9:$K$32,'EE Inputs'!$C$9:$C$32,$G$6,'EE Inputs'!$D$9:$D$32,$C$4,'EE Inputs'!$E$9:$E$32,$B106),0,1)))</f>
        <v>2217.1555517957595</v>
      </c>
      <c r="H106" s="65">
        <f ca="1">IF($C$4=Lookups!$D$40,SUM(INDIRECT("'Yr1'!"&amp;ADDRESS(ROW(H106),COLUMN(H106))),INDIRECT("'Yr2'!"&amp;ADDRESS(ROW(H106),COLUMN(H106))),INDIRECT("'Yr3'!"&amp;ADDRESS(ROW(H106),COLUMN(H106)))),
IF(H91=0,0,-PMT(INDEX(Lookups!$E$17:$G$17,MATCH($C$4,Lookups!$E$14:$G$14,0)),H91,SUMIFS('EE Inputs'!$K$9:$K$32,'EE Inputs'!$C$9:$C$32,$G$6,'EE Inputs'!$D$9:$D$32,$C$4,'EE Inputs'!$E$9:$E$32,$B106),0,1)))</f>
        <v>2217.1555517957595</v>
      </c>
      <c r="I106" s="65">
        <f ca="1">IF($C$4=Lookups!$D$40,SUM(INDIRECT("'Yr1'!"&amp;ADDRESS(ROW(I106),COLUMN(I106))),INDIRECT("'Yr2'!"&amp;ADDRESS(ROW(I106),COLUMN(I106))),INDIRECT("'Yr3'!"&amp;ADDRESS(ROW(I106),COLUMN(I106)))),
IF(I91=0,0,-PMT(INDEX(Lookups!$E$17:$G$17,MATCH($C$4,Lookups!$E$14:$G$14,0)),I91,SUMIFS('EE Inputs'!$K$9:$K$32,'EE Inputs'!$C$9:$C$32,$G$6,'EE Inputs'!$D$9:$D$32,$C$4,'EE Inputs'!$E$9:$E$32,$B106),0,1)))</f>
        <v>2217.1555517957595</v>
      </c>
      <c r="J106" s="65">
        <f ca="1">IF($C$4=Lookups!$D$40,SUM(INDIRECT("'Yr1'!"&amp;ADDRESS(ROW(J106),COLUMN(J106))),INDIRECT("'Yr2'!"&amp;ADDRESS(ROW(J106),COLUMN(J106))),INDIRECT("'Yr3'!"&amp;ADDRESS(ROW(J106),COLUMN(J106)))),
IF(J91=0,0,-PMT(INDEX(Lookups!$E$17:$G$17,MATCH($C$4,Lookups!$E$14:$G$14,0)),J91,SUMIFS('EE Inputs'!$K$9:$K$32,'EE Inputs'!$C$9:$C$32,$G$6,'EE Inputs'!$D$9:$D$32,$C$4,'EE Inputs'!$E$9:$E$32,$B106),0,1)))</f>
        <v>2217.1555517957595</v>
      </c>
      <c r="K106" s="65">
        <f ca="1">IF($C$4=Lookups!$D$40,SUM(INDIRECT("'Yr1'!"&amp;ADDRESS(ROW(K106),COLUMN(K106))),INDIRECT("'Yr2'!"&amp;ADDRESS(ROW(K106),COLUMN(K106))),INDIRECT("'Yr3'!"&amp;ADDRESS(ROW(K106),COLUMN(K106)))),
IF(K91=0,0,-PMT(INDEX(Lookups!$E$17:$G$17,MATCH($C$4,Lookups!$E$14:$G$14,0)),K91,SUMIFS('EE Inputs'!$K$9:$K$32,'EE Inputs'!$C$9:$C$32,$G$6,'EE Inputs'!$D$9:$D$32,$C$4,'EE Inputs'!$E$9:$E$32,$B106),0,1)))</f>
        <v>2217.1555517957595</v>
      </c>
      <c r="L106" s="65">
        <f ca="1">IF($C$4=Lookups!$D$40,SUM(INDIRECT("'Yr1'!"&amp;ADDRESS(ROW(L106),COLUMN(L106))),INDIRECT("'Yr2'!"&amp;ADDRESS(ROW(L106),COLUMN(L106))),INDIRECT("'Yr3'!"&amp;ADDRESS(ROW(L106),COLUMN(L106)))),
IF(L91=0,0,-PMT(INDEX(Lookups!$E$17:$G$17,MATCH($C$4,Lookups!$E$14:$G$14,0)),L91,SUMIFS('EE Inputs'!$K$9:$K$32,'EE Inputs'!$C$9:$C$32,$G$6,'EE Inputs'!$D$9:$D$32,$C$4,'EE Inputs'!$E$9:$E$32,$B106),0,1)))</f>
        <v>2217.1555517957595</v>
      </c>
      <c r="M106" s="65">
        <f ca="1">IF($C$4=Lookups!$D$40,SUM(INDIRECT("'Yr1'!"&amp;ADDRESS(ROW(M106),COLUMN(M106))),INDIRECT("'Yr2'!"&amp;ADDRESS(ROW(M106),COLUMN(M106))),INDIRECT("'Yr3'!"&amp;ADDRESS(ROW(M106),COLUMN(M106)))),
IF(M91=0,0,-PMT(INDEX(Lookups!$E$17:$G$17,MATCH($C$4,Lookups!$E$14:$G$14,0)),M91,SUMIFS('EE Inputs'!$K$9:$K$32,'EE Inputs'!$C$9:$C$32,$G$6,'EE Inputs'!$D$9:$D$32,$C$4,'EE Inputs'!$E$9:$E$32,$B106),0,1)))</f>
        <v>2217.1555517957595</v>
      </c>
      <c r="N106" s="65">
        <f ca="1">IF($C$4=Lookups!$D$40,SUM(INDIRECT("'Yr1'!"&amp;ADDRESS(ROW(N106),COLUMN(N106))),INDIRECT("'Yr2'!"&amp;ADDRESS(ROW(N106),COLUMN(N106))),INDIRECT("'Yr3'!"&amp;ADDRESS(ROW(N106),COLUMN(N106)))),
IF(N91=0,0,-PMT(INDEX(Lookups!$E$17:$G$17,MATCH($C$4,Lookups!$E$14:$G$14,0)),N91,SUMIFS('EE Inputs'!$K$9:$K$32,'EE Inputs'!$C$9:$C$32,$G$6,'EE Inputs'!$D$9:$D$32,$C$4,'EE Inputs'!$E$9:$E$32,$B106),0,1)))</f>
        <v>2217.1555517957595</v>
      </c>
      <c r="O106" s="65">
        <f ca="1">IF($C$4=Lookups!$D$40,SUM(INDIRECT("'Yr1'!"&amp;ADDRESS(ROW(O106),COLUMN(O106))),INDIRECT("'Yr2'!"&amp;ADDRESS(ROW(O106),COLUMN(O106))),INDIRECT("'Yr3'!"&amp;ADDRESS(ROW(O106),COLUMN(O106)))),
IF(O91=0,0,-PMT(INDEX(Lookups!$E$17:$G$17,MATCH($C$4,Lookups!$E$14:$G$14,0)),O91,SUMIFS('EE Inputs'!$K$9:$K$32,'EE Inputs'!$C$9:$C$32,$G$6,'EE Inputs'!$D$9:$D$32,$C$4,'EE Inputs'!$E$9:$E$32,$B106),0,1)))</f>
        <v>2217.1555517957595</v>
      </c>
      <c r="P106" s="65">
        <f ca="1">IF($C$4=Lookups!$D$40,SUM(INDIRECT("'Yr1'!"&amp;ADDRESS(ROW(P106),COLUMN(P106))),INDIRECT("'Yr2'!"&amp;ADDRESS(ROW(P106),COLUMN(P106))),INDIRECT("'Yr3'!"&amp;ADDRESS(ROW(P106),COLUMN(P106)))),
IF(P91=0,0,-PMT(INDEX(Lookups!$E$17:$G$17,MATCH($C$4,Lookups!$E$14:$G$14,0)),P91,SUMIFS('EE Inputs'!$K$9:$K$32,'EE Inputs'!$C$9:$C$32,$G$6,'EE Inputs'!$D$9:$D$32,$C$4,'EE Inputs'!$E$9:$E$32,$B106),0,1)))</f>
        <v>2217.1555517957595</v>
      </c>
      <c r="Q106" s="65">
        <f ca="1">IF($C$4=Lookups!$D$40,SUM(INDIRECT("'Yr1'!"&amp;ADDRESS(ROW(Q106),COLUMN(Q106))),INDIRECT("'Yr2'!"&amp;ADDRESS(ROW(Q106),COLUMN(Q106))),INDIRECT("'Yr3'!"&amp;ADDRESS(ROW(Q106),COLUMN(Q106)))),
IF(Q91=0,0,-PMT(INDEX(Lookups!$E$17:$G$17,MATCH($C$4,Lookups!$E$14:$G$14,0)),Q91,SUMIFS('EE Inputs'!$K$9:$K$32,'EE Inputs'!$C$9:$C$32,$G$6,'EE Inputs'!$D$9:$D$32,$C$4,'EE Inputs'!$E$9:$E$32,$B106),0,1)))</f>
        <v>2217.1555517957595</v>
      </c>
      <c r="R106" s="65">
        <f ca="1">IF($C$4=Lookups!$D$40,SUM(INDIRECT("'Yr1'!"&amp;ADDRESS(ROW(R106),COLUMN(R106))),INDIRECT("'Yr2'!"&amp;ADDRESS(ROW(R106),COLUMN(R106))),INDIRECT("'Yr3'!"&amp;ADDRESS(ROW(R106),COLUMN(R106)))),
IF(R91=0,0,-PMT(INDEX(Lookups!$E$17:$G$17,MATCH($C$4,Lookups!$E$14:$G$14,0)),R91,SUMIFS('EE Inputs'!$K$9:$K$32,'EE Inputs'!$C$9:$C$32,$G$6,'EE Inputs'!$D$9:$D$32,$C$4,'EE Inputs'!$E$9:$E$32,$B106),0,1)))</f>
        <v>2217.1555517957595</v>
      </c>
      <c r="S106" s="65">
        <f ca="1">IF($C$4=Lookups!$D$40,SUM(INDIRECT("'Yr1'!"&amp;ADDRESS(ROW(S106),COLUMN(S106))),INDIRECT("'Yr2'!"&amp;ADDRESS(ROW(S106),COLUMN(S106))),INDIRECT("'Yr3'!"&amp;ADDRESS(ROW(S106),COLUMN(S106)))),
IF(S91=0,0,-PMT(INDEX(Lookups!$E$17:$G$17,MATCH($C$4,Lookups!$E$14:$G$14,0)),S91,SUMIFS('EE Inputs'!$K$9:$K$32,'EE Inputs'!$C$9:$C$32,$G$6,'EE Inputs'!$D$9:$D$32,$C$4,'EE Inputs'!$E$9:$E$32,$B106),0,1)))</f>
        <v>2217.1555517957595</v>
      </c>
      <c r="T106" s="65">
        <f ca="1">IF($C$4=Lookups!$D$40,SUM(INDIRECT("'Yr1'!"&amp;ADDRESS(ROW(T106),COLUMN(T106))),INDIRECT("'Yr2'!"&amp;ADDRESS(ROW(T106),COLUMN(T106))),INDIRECT("'Yr3'!"&amp;ADDRESS(ROW(T106),COLUMN(T106)))),
IF(T91=0,0,-PMT(INDEX(Lookups!$E$17:$G$17,MATCH($C$4,Lookups!$E$14:$G$14,0)),T91,SUMIFS('EE Inputs'!$K$9:$K$32,'EE Inputs'!$C$9:$C$32,$G$6,'EE Inputs'!$D$9:$D$32,$C$4,'EE Inputs'!$E$9:$E$32,$B106),0,1)))</f>
        <v>2217.1555517957595</v>
      </c>
      <c r="U106" s="65">
        <f ca="1">IF($C$4=Lookups!$D$40,SUM(INDIRECT("'Yr1'!"&amp;ADDRESS(ROW(U106),COLUMN(U106))),INDIRECT("'Yr2'!"&amp;ADDRESS(ROW(U106),COLUMN(U106))),INDIRECT("'Yr3'!"&amp;ADDRESS(ROW(U106),COLUMN(U106)))),
IF(U91=0,0,-PMT(INDEX(Lookups!$E$17:$G$17,MATCH($C$4,Lookups!$E$14:$G$14,0)),U91,SUMIFS('EE Inputs'!$K$9:$K$32,'EE Inputs'!$C$9:$C$32,$G$6,'EE Inputs'!$D$9:$D$32,$C$4,'EE Inputs'!$E$9:$E$32,$B106),0,1)))</f>
        <v>2217.1555517957595</v>
      </c>
      <c r="V106" s="65">
        <f ca="1">IF($C$4=Lookups!$D$40,SUM(INDIRECT("'Yr1'!"&amp;ADDRESS(ROW(V106),COLUMN(V106))),INDIRECT("'Yr2'!"&amp;ADDRESS(ROW(V106),COLUMN(V106))),INDIRECT("'Yr3'!"&amp;ADDRESS(ROW(V106),COLUMN(V106)))),
IF(V91=0,0,-PMT(INDEX(Lookups!$E$17:$G$17,MATCH($C$4,Lookups!$E$14:$G$14,0)),V91,SUMIFS('EE Inputs'!$K$9:$K$32,'EE Inputs'!$C$9:$C$32,$G$6,'EE Inputs'!$D$9:$D$32,$C$4,'EE Inputs'!$E$9:$E$32,$B106),0,1)))</f>
        <v>2217.1555517957595</v>
      </c>
      <c r="W106" s="65">
        <f ca="1">IF($C$4=Lookups!$D$40,SUM(INDIRECT("'Yr1'!"&amp;ADDRESS(ROW(W106),COLUMN(W106))),INDIRECT("'Yr2'!"&amp;ADDRESS(ROW(W106),COLUMN(W106))),INDIRECT("'Yr3'!"&amp;ADDRESS(ROW(W106),COLUMN(W106)))),
IF(W91=0,0,-PMT(INDEX(Lookups!$E$17:$G$17,MATCH($C$4,Lookups!$E$14:$G$14,0)),W91,SUMIFS('EE Inputs'!$K$9:$K$32,'EE Inputs'!$C$9:$C$32,$G$6,'EE Inputs'!$D$9:$D$32,$C$4,'EE Inputs'!$E$9:$E$32,$B106),0,1)))</f>
        <v>2217.1555517957595</v>
      </c>
      <c r="X106" s="65">
        <f ca="1">IF($C$4=Lookups!$D$40,SUM(INDIRECT("'Yr1'!"&amp;ADDRESS(ROW(X106),COLUMN(X106))),INDIRECT("'Yr2'!"&amp;ADDRESS(ROW(X106),COLUMN(X106))),INDIRECT("'Yr3'!"&amp;ADDRESS(ROW(X106),COLUMN(X106)))),
IF(X91=0,0,-PMT(INDEX(Lookups!$E$17:$G$17,MATCH($C$4,Lookups!$E$14:$G$14,0)),X91,SUMIFS('EE Inputs'!$K$9:$K$32,'EE Inputs'!$C$9:$C$32,$G$6,'EE Inputs'!$D$9:$D$32,$C$4,'EE Inputs'!$E$9:$E$32,$B106),0,1)))</f>
        <v>2217.1555517957595</v>
      </c>
      <c r="Y106" s="65">
        <f ca="1">IF($C$4=Lookups!$D$40,SUM(INDIRECT("'Yr1'!"&amp;ADDRESS(ROW(Y106),COLUMN(Y106))),INDIRECT("'Yr2'!"&amp;ADDRESS(ROW(Y106),COLUMN(Y106))),INDIRECT("'Yr3'!"&amp;ADDRESS(ROW(Y106),COLUMN(Y106)))),
IF(Y91=0,0,-PMT(INDEX(Lookups!$E$17:$G$17,MATCH($C$4,Lookups!$E$14:$G$14,0)),Y91,SUMIFS('EE Inputs'!$K$9:$K$32,'EE Inputs'!$C$9:$C$32,$G$6,'EE Inputs'!$D$9:$D$32,$C$4,'EE Inputs'!$E$9:$E$32,$B106),0,1)))</f>
        <v>2217.1555517957595</v>
      </c>
      <c r="Z106" s="65">
        <f ca="1">IF($C$4=Lookups!$D$40,SUM(INDIRECT("'Yr1'!"&amp;ADDRESS(ROW(Z106),COLUMN(Z106))),INDIRECT("'Yr2'!"&amp;ADDRESS(ROW(Z106),COLUMN(Z106))),INDIRECT("'Yr3'!"&amp;ADDRESS(ROW(Z106),COLUMN(Z106)))),
IF(Z91=0,0,-PMT(INDEX(Lookups!$E$17:$G$17,MATCH($C$4,Lookups!$E$14:$G$14,0)),Z91,SUMIFS('EE Inputs'!$K$9:$K$32,'EE Inputs'!$C$9:$C$32,$G$6,'EE Inputs'!$D$9:$D$32,$C$4,'EE Inputs'!$E$9:$E$32,$B106),0,1)))</f>
        <v>2217.1555517957595</v>
      </c>
      <c r="AA106" s="65">
        <f ca="1">IF($C$4=Lookups!$D$40,SUM(INDIRECT("'Yr1'!"&amp;ADDRESS(ROW(AA106),COLUMN(AA106))),INDIRECT("'Yr2'!"&amp;ADDRESS(ROW(AA106),COLUMN(AA106))),INDIRECT("'Yr3'!"&amp;ADDRESS(ROW(AA106),COLUMN(AA106)))),
IF(AA91=0,0,-PMT(INDEX(Lookups!$E$17:$G$17,MATCH($C$4,Lookups!$E$14:$G$14,0)),AA91,SUMIFS('EE Inputs'!$K$9:$K$32,'EE Inputs'!$C$9:$C$32,$G$6,'EE Inputs'!$D$9:$D$32,$C$4,'EE Inputs'!$E$9:$E$32,$B106),0,1)))</f>
        <v>0</v>
      </c>
      <c r="AB106" s="65">
        <f ca="1">IF($C$4=Lookups!$D$40,SUM(INDIRECT("'Yr1'!"&amp;ADDRESS(ROW(AB106),COLUMN(AB106))),INDIRECT("'Yr2'!"&amp;ADDRESS(ROW(AB106),COLUMN(AB106))),INDIRECT("'Yr3'!"&amp;ADDRESS(ROW(AB106),COLUMN(AB106)))),
IF(AB91=0,0,-PMT(INDEX(Lookups!$E$17:$G$17,MATCH($C$4,Lookups!$E$14:$G$14,0)),AB91,SUMIFS('EE Inputs'!$K$9:$K$32,'EE Inputs'!$C$9:$C$32,$G$6,'EE Inputs'!$D$9:$D$32,$C$4,'EE Inputs'!$E$9:$E$32,$B106),0,1)))</f>
        <v>0</v>
      </c>
      <c r="AC106" s="65">
        <f ca="1">IF($C$4=Lookups!$D$40,SUM(INDIRECT("'Yr1'!"&amp;ADDRESS(ROW(AC106),COLUMN(AC106))),INDIRECT("'Yr2'!"&amp;ADDRESS(ROW(AC106),COLUMN(AC106))),INDIRECT("'Yr3'!"&amp;ADDRESS(ROW(AC106),COLUMN(AC106)))),
IF(AC91=0,0,-PMT(INDEX(Lookups!$E$17:$G$17,MATCH($C$4,Lookups!$E$14:$G$14,0)),AC91,SUMIFS('EE Inputs'!$K$9:$K$32,'EE Inputs'!$C$9:$C$32,$G$6,'EE Inputs'!$D$9:$D$32,$C$4,'EE Inputs'!$E$9:$E$32,$B106),0,1)))</f>
        <v>0</v>
      </c>
      <c r="AD106" s="65">
        <f ca="1">IF($C$4=Lookups!$D$40,SUM(INDIRECT("'Yr1'!"&amp;ADDRESS(ROW(AD106),COLUMN(AD106))),INDIRECT("'Yr2'!"&amp;ADDRESS(ROW(AD106),COLUMN(AD106))),INDIRECT("'Yr3'!"&amp;ADDRESS(ROW(AD106),COLUMN(AD106)))),
IF(AD91=0,0,-PMT(INDEX(Lookups!$E$17:$G$17,MATCH($C$4,Lookups!$E$14:$G$14,0)),AD91,SUMIFS('EE Inputs'!$K$9:$K$32,'EE Inputs'!$C$9:$C$32,$G$6,'EE Inputs'!$D$9:$D$32,$C$4,'EE Inputs'!$E$9:$E$32,$B106),0,1)))</f>
        <v>0</v>
      </c>
      <c r="AE106" s="65">
        <f ca="1">IF($C$4=Lookups!$D$40,SUM(INDIRECT("'Yr1'!"&amp;ADDRESS(ROW(AE106),COLUMN(AE106))),INDIRECT("'Yr2'!"&amp;ADDRESS(ROW(AE106),COLUMN(AE106))),INDIRECT("'Yr3'!"&amp;ADDRESS(ROW(AE106),COLUMN(AE106)))),
IF(AE91=0,0,-PMT(INDEX(Lookups!$E$17:$G$17,MATCH($C$4,Lookups!$E$14:$G$14,0)),AE91,SUMIFS('EE Inputs'!$K$9:$K$32,'EE Inputs'!$C$9:$C$32,$G$6,'EE Inputs'!$D$9:$D$32,$C$4,'EE Inputs'!$E$9:$E$32,$B106),0,1)))</f>
        <v>0</v>
      </c>
      <c r="AF106" s="65">
        <f ca="1">IF($C$4=Lookups!$D$40,SUM(INDIRECT("'Yr1'!"&amp;ADDRESS(ROW(AF106),COLUMN(AF106))),INDIRECT("'Yr2'!"&amp;ADDRESS(ROW(AF106),COLUMN(AF106))),INDIRECT("'Yr3'!"&amp;ADDRESS(ROW(AF106),COLUMN(AF106)))),
IF(AF91=0,0,-PMT(INDEX(Lookups!$E$17:$G$17,MATCH($C$4,Lookups!$E$14:$G$14,0)),AF91,SUMIFS('EE Inputs'!$K$9:$K$32,'EE Inputs'!$C$9:$C$32,$G$6,'EE Inputs'!$D$9:$D$32,$C$4,'EE Inputs'!$E$9:$E$32,$B106),0,1)))</f>
        <v>0</v>
      </c>
      <c r="AG106" s="65">
        <f ca="1">IF($C$4=Lookups!$D$40,SUM(INDIRECT("'Yr1'!"&amp;ADDRESS(ROW(AG106),COLUMN(AG106))),INDIRECT("'Yr2'!"&amp;ADDRESS(ROW(AG106),COLUMN(AG106))),INDIRECT("'Yr3'!"&amp;ADDRESS(ROW(AG106),COLUMN(AG106)))),
IF(AG91=0,0,-PMT(INDEX(Lookups!$E$17:$G$17,MATCH($C$4,Lookups!$E$14:$G$14,0)),AG91,SUMIFS('EE Inputs'!$K$9:$K$32,'EE Inputs'!$C$9:$C$32,$G$6,'EE Inputs'!$D$9:$D$32,$C$4,'EE Inputs'!$E$9:$E$32,$B106),0,1)))</f>
        <v>0</v>
      </c>
      <c r="AH106" s="65"/>
      <c r="AI106" s="65">
        <f ca="1">NPV(Lookups!$E$17,G106:AG106)</f>
        <v>38388.701446082021</v>
      </c>
      <c r="AJ106" s="65"/>
      <c r="AM106" s="72">
        <f ca="1">IF($C$4=Lookups!$D$40,SUM(INDIRECT("'Yr1'!"&amp;ADDRESS(ROW(AM106),COLUMN(AM106))),INDIRECT("'Yr2'!"&amp;ADDRESS(ROW(AM106),COLUMN(AM106))),INDIRECT("'Yr3'!"&amp;ADDRESS(ROW(AM106),COLUMN(AM106)))),
IF(AM91=0,0,-PMT(INDEX(Lookups!$E$17:$G$17,MATCH($C$4,Lookups!$E$14:$G$14,0)),AM91,SUMIFS('EE Inputs'!$K$9:$K$32,'EE Inputs'!$C$9:$C$32,$AM$6,'EE Inputs'!$D$9:$D$32,$C$4,'EE Inputs'!$E$9:$E$32,$B106),0,1)))</f>
        <v>2533.8920591951537</v>
      </c>
      <c r="AN106" s="72">
        <f ca="1">IF($C$4=Lookups!$D$40,SUM(INDIRECT("'Yr1'!"&amp;ADDRESS(ROW(AN106),COLUMN(AN106))),INDIRECT("'Yr2'!"&amp;ADDRESS(ROW(AN106),COLUMN(AN106))),INDIRECT("'Yr3'!"&amp;ADDRESS(ROW(AN106),COLUMN(AN106)))),
IF(AN91=0,0,-PMT(INDEX(Lookups!$E$17:$G$17,MATCH($C$4,Lookups!$E$14:$G$14,0)),AN91,SUMIFS('EE Inputs'!$K$9:$K$32,'EE Inputs'!$C$9:$C$32,$AM$6,'EE Inputs'!$D$9:$D$32,$C$4,'EE Inputs'!$E$9:$E$32,$B106),0,1)))</f>
        <v>2533.8920591951537</v>
      </c>
      <c r="AO106" s="72">
        <f ca="1">IF($C$4=Lookups!$D$40,SUM(INDIRECT("'Yr1'!"&amp;ADDRESS(ROW(AO106),COLUMN(AO106))),INDIRECT("'Yr2'!"&amp;ADDRESS(ROW(AO106),COLUMN(AO106))),INDIRECT("'Yr3'!"&amp;ADDRESS(ROW(AO106),COLUMN(AO106)))),
IF(AO91=0,0,-PMT(INDEX(Lookups!$E$17:$G$17,MATCH($C$4,Lookups!$E$14:$G$14,0)),AO91,SUMIFS('EE Inputs'!$K$9:$K$32,'EE Inputs'!$C$9:$C$32,$AM$6,'EE Inputs'!$D$9:$D$32,$C$4,'EE Inputs'!$E$9:$E$32,$B106),0,1)))</f>
        <v>2533.8920591951537</v>
      </c>
      <c r="AP106" s="72">
        <f ca="1">IF($C$4=Lookups!$D$40,SUM(INDIRECT("'Yr1'!"&amp;ADDRESS(ROW(AP106),COLUMN(AP106))),INDIRECT("'Yr2'!"&amp;ADDRESS(ROW(AP106),COLUMN(AP106))),INDIRECT("'Yr3'!"&amp;ADDRESS(ROW(AP106),COLUMN(AP106)))),
IF(AP91=0,0,-PMT(INDEX(Lookups!$E$17:$G$17,MATCH($C$4,Lookups!$E$14:$G$14,0)),AP91,SUMIFS('EE Inputs'!$K$9:$K$32,'EE Inputs'!$C$9:$C$32,$AM$6,'EE Inputs'!$D$9:$D$32,$C$4,'EE Inputs'!$E$9:$E$32,$B106),0,1)))</f>
        <v>2533.8920591951537</v>
      </c>
      <c r="AQ106" s="72">
        <f ca="1">IF($C$4=Lookups!$D$40,SUM(INDIRECT("'Yr1'!"&amp;ADDRESS(ROW(AQ106),COLUMN(AQ106))),INDIRECT("'Yr2'!"&amp;ADDRESS(ROW(AQ106),COLUMN(AQ106))),INDIRECT("'Yr3'!"&amp;ADDRESS(ROW(AQ106),COLUMN(AQ106)))),
IF(AQ91=0,0,-PMT(INDEX(Lookups!$E$17:$G$17,MATCH($C$4,Lookups!$E$14:$G$14,0)),AQ91,SUMIFS('EE Inputs'!$K$9:$K$32,'EE Inputs'!$C$9:$C$32,$AM$6,'EE Inputs'!$D$9:$D$32,$C$4,'EE Inputs'!$E$9:$E$32,$B106),0,1)))</f>
        <v>2533.8920591951537</v>
      </c>
      <c r="AR106" s="72">
        <f ca="1">IF($C$4=Lookups!$D$40,SUM(INDIRECT("'Yr1'!"&amp;ADDRESS(ROW(AR106),COLUMN(AR106))),INDIRECT("'Yr2'!"&amp;ADDRESS(ROW(AR106),COLUMN(AR106))),INDIRECT("'Yr3'!"&amp;ADDRESS(ROW(AR106),COLUMN(AR106)))),
IF(AR91=0,0,-PMT(INDEX(Lookups!$E$17:$G$17,MATCH($C$4,Lookups!$E$14:$G$14,0)),AR91,SUMIFS('EE Inputs'!$K$9:$K$32,'EE Inputs'!$C$9:$C$32,$AM$6,'EE Inputs'!$D$9:$D$32,$C$4,'EE Inputs'!$E$9:$E$32,$B106),0,1)))</f>
        <v>2533.8920591951537</v>
      </c>
      <c r="AS106" s="72">
        <f ca="1">IF($C$4=Lookups!$D$40,SUM(INDIRECT("'Yr1'!"&amp;ADDRESS(ROW(AS106),COLUMN(AS106))),INDIRECT("'Yr2'!"&amp;ADDRESS(ROW(AS106),COLUMN(AS106))),INDIRECT("'Yr3'!"&amp;ADDRESS(ROW(AS106),COLUMN(AS106)))),
IF(AS91=0,0,-PMT(INDEX(Lookups!$E$17:$G$17,MATCH($C$4,Lookups!$E$14:$G$14,0)),AS91,SUMIFS('EE Inputs'!$K$9:$K$32,'EE Inputs'!$C$9:$C$32,$AM$6,'EE Inputs'!$D$9:$D$32,$C$4,'EE Inputs'!$E$9:$E$32,$B106),0,1)))</f>
        <v>2533.8920591951537</v>
      </c>
      <c r="AT106" s="72">
        <f ca="1">IF($C$4=Lookups!$D$40,SUM(INDIRECT("'Yr1'!"&amp;ADDRESS(ROW(AT106),COLUMN(AT106))),INDIRECT("'Yr2'!"&amp;ADDRESS(ROW(AT106),COLUMN(AT106))),INDIRECT("'Yr3'!"&amp;ADDRESS(ROW(AT106),COLUMN(AT106)))),
IF(AT91=0,0,-PMT(INDEX(Lookups!$E$17:$G$17,MATCH($C$4,Lookups!$E$14:$G$14,0)),AT91,SUMIFS('EE Inputs'!$K$9:$K$32,'EE Inputs'!$C$9:$C$32,$AM$6,'EE Inputs'!$D$9:$D$32,$C$4,'EE Inputs'!$E$9:$E$32,$B106),0,1)))</f>
        <v>2533.8920591951537</v>
      </c>
      <c r="AU106" s="72">
        <f ca="1">IF($C$4=Lookups!$D$40,SUM(INDIRECT("'Yr1'!"&amp;ADDRESS(ROW(AU106),COLUMN(AU106))),INDIRECT("'Yr2'!"&amp;ADDRESS(ROW(AU106),COLUMN(AU106))),INDIRECT("'Yr3'!"&amp;ADDRESS(ROW(AU106),COLUMN(AU106)))),
IF(AU91=0,0,-PMT(INDEX(Lookups!$E$17:$G$17,MATCH($C$4,Lookups!$E$14:$G$14,0)),AU91,SUMIFS('EE Inputs'!$K$9:$K$32,'EE Inputs'!$C$9:$C$32,$AM$6,'EE Inputs'!$D$9:$D$32,$C$4,'EE Inputs'!$E$9:$E$32,$B106),0,1)))</f>
        <v>2533.8920591951537</v>
      </c>
      <c r="AV106" s="72">
        <f ca="1">IF($C$4=Lookups!$D$40,SUM(INDIRECT("'Yr1'!"&amp;ADDRESS(ROW(AV106),COLUMN(AV106))),INDIRECT("'Yr2'!"&amp;ADDRESS(ROW(AV106),COLUMN(AV106))),INDIRECT("'Yr3'!"&amp;ADDRESS(ROW(AV106),COLUMN(AV106)))),
IF(AV91=0,0,-PMT(INDEX(Lookups!$E$17:$G$17,MATCH($C$4,Lookups!$E$14:$G$14,0)),AV91,SUMIFS('EE Inputs'!$K$9:$K$32,'EE Inputs'!$C$9:$C$32,$AM$6,'EE Inputs'!$D$9:$D$32,$C$4,'EE Inputs'!$E$9:$E$32,$B106),0,1)))</f>
        <v>2533.8920591951537</v>
      </c>
      <c r="AW106" s="72">
        <f ca="1">IF($C$4=Lookups!$D$40,SUM(INDIRECT("'Yr1'!"&amp;ADDRESS(ROW(AW106),COLUMN(AW106))),INDIRECT("'Yr2'!"&amp;ADDRESS(ROW(AW106),COLUMN(AW106))),INDIRECT("'Yr3'!"&amp;ADDRESS(ROW(AW106),COLUMN(AW106)))),
IF(AW91=0,0,-PMT(INDEX(Lookups!$E$17:$G$17,MATCH($C$4,Lookups!$E$14:$G$14,0)),AW91,SUMIFS('EE Inputs'!$K$9:$K$32,'EE Inputs'!$C$9:$C$32,$AM$6,'EE Inputs'!$D$9:$D$32,$C$4,'EE Inputs'!$E$9:$E$32,$B106),0,1)))</f>
        <v>2533.8920591951537</v>
      </c>
      <c r="AX106" s="72">
        <f ca="1">IF($C$4=Lookups!$D$40,SUM(INDIRECT("'Yr1'!"&amp;ADDRESS(ROW(AX106),COLUMN(AX106))),INDIRECT("'Yr2'!"&amp;ADDRESS(ROW(AX106),COLUMN(AX106))),INDIRECT("'Yr3'!"&amp;ADDRESS(ROW(AX106),COLUMN(AX106)))),
IF(AX91=0,0,-PMT(INDEX(Lookups!$E$17:$G$17,MATCH($C$4,Lookups!$E$14:$G$14,0)),AX91,SUMIFS('EE Inputs'!$K$9:$K$32,'EE Inputs'!$C$9:$C$32,$AM$6,'EE Inputs'!$D$9:$D$32,$C$4,'EE Inputs'!$E$9:$E$32,$B106),0,1)))</f>
        <v>2533.8920591951537</v>
      </c>
      <c r="AY106" s="72">
        <f ca="1">IF($C$4=Lookups!$D$40,SUM(INDIRECT("'Yr1'!"&amp;ADDRESS(ROW(AY106),COLUMN(AY106))),INDIRECT("'Yr2'!"&amp;ADDRESS(ROW(AY106),COLUMN(AY106))),INDIRECT("'Yr3'!"&amp;ADDRESS(ROW(AY106),COLUMN(AY106)))),
IF(AY91=0,0,-PMT(INDEX(Lookups!$E$17:$G$17,MATCH($C$4,Lookups!$E$14:$G$14,0)),AY91,SUMIFS('EE Inputs'!$K$9:$K$32,'EE Inputs'!$C$9:$C$32,$AM$6,'EE Inputs'!$D$9:$D$32,$C$4,'EE Inputs'!$E$9:$E$32,$B106),0,1)))</f>
        <v>2533.8920591951537</v>
      </c>
      <c r="AZ106" s="72">
        <f ca="1">IF($C$4=Lookups!$D$40,SUM(INDIRECT("'Yr1'!"&amp;ADDRESS(ROW(AZ106),COLUMN(AZ106))),INDIRECT("'Yr2'!"&amp;ADDRESS(ROW(AZ106),COLUMN(AZ106))),INDIRECT("'Yr3'!"&amp;ADDRESS(ROW(AZ106),COLUMN(AZ106)))),
IF(AZ91=0,0,-PMT(INDEX(Lookups!$E$17:$G$17,MATCH($C$4,Lookups!$E$14:$G$14,0)),AZ91,SUMIFS('EE Inputs'!$K$9:$K$32,'EE Inputs'!$C$9:$C$32,$AM$6,'EE Inputs'!$D$9:$D$32,$C$4,'EE Inputs'!$E$9:$E$32,$B106),0,1)))</f>
        <v>2533.8920591951537</v>
      </c>
      <c r="BA106" s="72">
        <f ca="1">IF($C$4=Lookups!$D$40,SUM(INDIRECT("'Yr1'!"&amp;ADDRESS(ROW(BA106),COLUMN(BA106))),INDIRECT("'Yr2'!"&amp;ADDRESS(ROW(BA106),COLUMN(BA106))),INDIRECT("'Yr3'!"&amp;ADDRESS(ROW(BA106),COLUMN(BA106)))),
IF(BA91=0,0,-PMT(INDEX(Lookups!$E$17:$G$17,MATCH($C$4,Lookups!$E$14:$G$14,0)),BA91,SUMIFS('EE Inputs'!$K$9:$K$32,'EE Inputs'!$C$9:$C$32,$AM$6,'EE Inputs'!$D$9:$D$32,$C$4,'EE Inputs'!$E$9:$E$32,$B106),0,1)))</f>
        <v>2533.8920591951537</v>
      </c>
      <c r="BB106" s="72">
        <f ca="1">IF($C$4=Lookups!$D$40,SUM(INDIRECT("'Yr1'!"&amp;ADDRESS(ROW(BB106),COLUMN(BB106))),INDIRECT("'Yr2'!"&amp;ADDRESS(ROW(BB106),COLUMN(BB106))),INDIRECT("'Yr3'!"&amp;ADDRESS(ROW(BB106),COLUMN(BB106)))),
IF(BB91=0,0,-PMT(INDEX(Lookups!$E$17:$G$17,MATCH($C$4,Lookups!$E$14:$G$14,0)),BB91,SUMIFS('EE Inputs'!$K$9:$K$32,'EE Inputs'!$C$9:$C$32,$AM$6,'EE Inputs'!$D$9:$D$32,$C$4,'EE Inputs'!$E$9:$E$32,$B106),0,1)))</f>
        <v>2533.8920591951537</v>
      </c>
      <c r="BC106" s="72">
        <f ca="1">IF($C$4=Lookups!$D$40,SUM(INDIRECT("'Yr1'!"&amp;ADDRESS(ROW(BC106),COLUMN(BC106))),INDIRECT("'Yr2'!"&amp;ADDRESS(ROW(BC106),COLUMN(BC106))),INDIRECT("'Yr3'!"&amp;ADDRESS(ROW(BC106),COLUMN(BC106)))),
IF(BC91=0,0,-PMT(INDEX(Lookups!$E$17:$G$17,MATCH($C$4,Lookups!$E$14:$G$14,0)),BC91,SUMIFS('EE Inputs'!$K$9:$K$32,'EE Inputs'!$C$9:$C$32,$AM$6,'EE Inputs'!$D$9:$D$32,$C$4,'EE Inputs'!$E$9:$E$32,$B106),0,1)))</f>
        <v>2533.8920591951537</v>
      </c>
      <c r="BD106" s="72">
        <f ca="1">IF($C$4=Lookups!$D$40,SUM(INDIRECT("'Yr1'!"&amp;ADDRESS(ROW(BD106),COLUMN(BD106))),INDIRECT("'Yr2'!"&amp;ADDRESS(ROW(BD106),COLUMN(BD106))),INDIRECT("'Yr3'!"&amp;ADDRESS(ROW(BD106),COLUMN(BD106)))),
IF(BD91=0,0,-PMT(INDEX(Lookups!$E$17:$G$17,MATCH($C$4,Lookups!$E$14:$G$14,0)),BD91,SUMIFS('EE Inputs'!$K$9:$K$32,'EE Inputs'!$C$9:$C$32,$AM$6,'EE Inputs'!$D$9:$D$32,$C$4,'EE Inputs'!$E$9:$E$32,$B106),0,1)))</f>
        <v>2533.8920591951537</v>
      </c>
      <c r="BE106" s="72">
        <f ca="1">IF($C$4=Lookups!$D$40,SUM(INDIRECT("'Yr1'!"&amp;ADDRESS(ROW(BE106),COLUMN(BE106))),INDIRECT("'Yr2'!"&amp;ADDRESS(ROW(BE106),COLUMN(BE106))),INDIRECT("'Yr3'!"&amp;ADDRESS(ROW(BE106),COLUMN(BE106)))),
IF(BE91=0,0,-PMT(INDEX(Lookups!$E$17:$G$17,MATCH($C$4,Lookups!$E$14:$G$14,0)),BE91,SUMIFS('EE Inputs'!$K$9:$K$32,'EE Inputs'!$C$9:$C$32,$AM$6,'EE Inputs'!$D$9:$D$32,$C$4,'EE Inputs'!$E$9:$E$32,$B106),0,1)))</f>
        <v>2533.8920591951537</v>
      </c>
      <c r="BF106" s="72">
        <f ca="1">IF($C$4=Lookups!$D$40,SUM(INDIRECT("'Yr1'!"&amp;ADDRESS(ROW(BF106),COLUMN(BF106))),INDIRECT("'Yr2'!"&amp;ADDRESS(ROW(BF106),COLUMN(BF106))),INDIRECT("'Yr3'!"&amp;ADDRESS(ROW(BF106),COLUMN(BF106)))),
IF(BF91=0,0,-PMT(INDEX(Lookups!$E$17:$G$17,MATCH($C$4,Lookups!$E$14:$G$14,0)),BF91,SUMIFS('EE Inputs'!$K$9:$K$32,'EE Inputs'!$C$9:$C$32,$AM$6,'EE Inputs'!$D$9:$D$32,$C$4,'EE Inputs'!$E$9:$E$32,$B106),0,1)))</f>
        <v>2533.8920591951537</v>
      </c>
      <c r="BG106" s="72">
        <f ca="1">IF($C$4=Lookups!$D$40,SUM(INDIRECT("'Yr1'!"&amp;ADDRESS(ROW(BG106),COLUMN(BG106))),INDIRECT("'Yr2'!"&amp;ADDRESS(ROW(BG106),COLUMN(BG106))),INDIRECT("'Yr3'!"&amp;ADDRESS(ROW(BG106),COLUMN(BG106)))),
IF(BG91=0,0,-PMT(INDEX(Lookups!$E$17:$G$17,MATCH($C$4,Lookups!$E$14:$G$14,0)),BG91,SUMIFS('EE Inputs'!$K$9:$K$32,'EE Inputs'!$C$9:$C$32,$AM$6,'EE Inputs'!$D$9:$D$32,$C$4,'EE Inputs'!$E$9:$E$32,$B106),0,1)))</f>
        <v>0</v>
      </c>
      <c r="BH106" s="72">
        <f ca="1">IF($C$4=Lookups!$D$40,SUM(INDIRECT("'Yr1'!"&amp;ADDRESS(ROW(BH106),COLUMN(BH106))),INDIRECT("'Yr2'!"&amp;ADDRESS(ROW(BH106),COLUMN(BH106))),INDIRECT("'Yr3'!"&amp;ADDRESS(ROW(BH106),COLUMN(BH106)))),
IF(BH91=0,0,-PMT(INDEX(Lookups!$E$17:$G$17,MATCH($C$4,Lookups!$E$14:$G$14,0)),BH91,SUMIFS('EE Inputs'!$K$9:$K$32,'EE Inputs'!$C$9:$C$32,$AM$6,'EE Inputs'!$D$9:$D$32,$C$4,'EE Inputs'!$E$9:$E$32,$B106),0,1)))</f>
        <v>0</v>
      </c>
      <c r="BI106" s="72">
        <f ca="1">IF($C$4=Lookups!$D$40,SUM(INDIRECT("'Yr1'!"&amp;ADDRESS(ROW(BI106),COLUMN(BI106))),INDIRECT("'Yr2'!"&amp;ADDRESS(ROW(BI106),COLUMN(BI106))),INDIRECT("'Yr3'!"&amp;ADDRESS(ROW(BI106),COLUMN(BI106)))),
IF(BI91=0,0,-PMT(INDEX(Lookups!$E$17:$G$17,MATCH($C$4,Lookups!$E$14:$G$14,0)),BI91,SUMIFS('EE Inputs'!$K$9:$K$32,'EE Inputs'!$C$9:$C$32,$AM$6,'EE Inputs'!$D$9:$D$32,$C$4,'EE Inputs'!$E$9:$E$32,$B106),0,1)))</f>
        <v>0</v>
      </c>
      <c r="BJ106" s="72">
        <f ca="1">IF($C$4=Lookups!$D$40,SUM(INDIRECT("'Yr1'!"&amp;ADDRESS(ROW(BJ106),COLUMN(BJ106))),INDIRECT("'Yr2'!"&amp;ADDRESS(ROW(BJ106),COLUMN(BJ106))),INDIRECT("'Yr3'!"&amp;ADDRESS(ROW(BJ106),COLUMN(BJ106)))),
IF(BJ91=0,0,-PMT(INDEX(Lookups!$E$17:$G$17,MATCH($C$4,Lookups!$E$14:$G$14,0)),BJ91,SUMIFS('EE Inputs'!$K$9:$K$32,'EE Inputs'!$C$9:$C$32,$AM$6,'EE Inputs'!$D$9:$D$32,$C$4,'EE Inputs'!$E$9:$E$32,$B106),0,1)))</f>
        <v>0</v>
      </c>
      <c r="BK106" s="72">
        <f ca="1">IF($C$4=Lookups!$D$40,SUM(INDIRECT("'Yr1'!"&amp;ADDRESS(ROW(BK106),COLUMN(BK106))),INDIRECT("'Yr2'!"&amp;ADDRESS(ROW(BK106),COLUMN(BK106))),INDIRECT("'Yr3'!"&amp;ADDRESS(ROW(BK106),COLUMN(BK106)))),
IF(BK91=0,0,-PMT(INDEX(Lookups!$E$17:$G$17,MATCH($C$4,Lookups!$E$14:$G$14,0)),BK91,SUMIFS('EE Inputs'!$K$9:$K$32,'EE Inputs'!$C$9:$C$32,$AM$6,'EE Inputs'!$D$9:$D$32,$C$4,'EE Inputs'!$E$9:$E$32,$B106),0,1)))</f>
        <v>0</v>
      </c>
      <c r="BL106" s="72">
        <f ca="1">IF($C$4=Lookups!$D$40,SUM(INDIRECT("'Yr1'!"&amp;ADDRESS(ROW(BL106),COLUMN(BL106))),INDIRECT("'Yr2'!"&amp;ADDRESS(ROW(BL106),COLUMN(BL106))),INDIRECT("'Yr3'!"&amp;ADDRESS(ROW(BL106),COLUMN(BL106)))),
IF(BL91=0,0,-PMT(INDEX(Lookups!$E$17:$G$17,MATCH($C$4,Lookups!$E$14:$G$14,0)),BL91,SUMIFS('EE Inputs'!$K$9:$K$32,'EE Inputs'!$C$9:$C$32,$AM$6,'EE Inputs'!$D$9:$D$32,$C$4,'EE Inputs'!$E$9:$E$32,$B106),0,1)))</f>
        <v>0</v>
      </c>
      <c r="BM106" s="72">
        <f ca="1">IF($C$4=Lookups!$D$40,SUM(INDIRECT("'Yr1'!"&amp;ADDRESS(ROW(BM106),COLUMN(BM106))),INDIRECT("'Yr2'!"&amp;ADDRESS(ROW(BM106),COLUMN(BM106))),INDIRECT("'Yr3'!"&amp;ADDRESS(ROW(BM106),COLUMN(BM106)))),
IF(BM91=0,0,-PMT(INDEX(Lookups!$E$17:$G$17,MATCH($C$4,Lookups!$E$14:$G$14,0)),BM91,SUMIFS('EE Inputs'!$K$9:$K$32,'EE Inputs'!$C$9:$C$32,$AM$6,'EE Inputs'!$D$9:$D$32,$C$4,'EE Inputs'!$E$9:$E$32,$B106),0,1)))</f>
        <v>0</v>
      </c>
      <c r="BN106" s="72"/>
      <c r="BO106" s="72">
        <f ca="1">NPV(Lookups!$E$17,AM106:BM106)</f>
        <v>43872.801652665192</v>
      </c>
      <c r="BP106" s="72"/>
      <c r="BS106" s="84" t="str">
        <f>"Avoided "&amp;E106&amp;" costs."</f>
        <v>Avoided Gas DRIPE costs.</v>
      </c>
      <c r="BT106" s="51" t="s">
        <v>17</v>
      </c>
    </row>
    <row r="107" spans="1:72" x14ac:dyDescent="0.25">
      <c r="B107" s="243" t="str">
        <f t="shared" ref="B107:C109" si="98">B106</f>
        <v>Low-Income</v>
      </c>
      <c r="C107" s="243" t="str">
        <f t="shared" si="98"/>
        <v>Revenue Requirements</v>
      </c>
      <c r="D107" s="114" t="s">
        <v>165</v>
      </c>
      <c r="E107" s="84"/>
      <c r="F107" s="84"/>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S107" s="84"/>
      <c r="BT107" s="51" t="s">
        <v>17</v>
      </c>
    </row>
    <row r="108" spans="1:72" x14ac:dyDescent="0.25">
      <c r="A108" s="476"/>
      <c r="B108" s="243" t="str">
        <f t="shared" si="98"/>
        <v>Low-Income</v>
      </c>
      <c r="C108" s="243" t="str">
        <f t="shared" si="98"/>
        <v>Revenue Requirements</v>
      </c>
      <c r="D108" s="244" t="str">
        <f>D107</f>
        <v>Increased Costs and Cost Shifting</v>
      </c>
      <c r="E108" s="84" t="s">
        <v>406</v>
      </c>
      <c r="F108" s="84" t="s">
        <v>32</v>
      </c>
      <c r="G108" s="64">
        <f ca="1">IF($C$4=Lookups!$D$40,SUM(INDIRECT("'Yr1'!"&amp;ADDRESS(ROW(G108),COLUMN(G108))),INDIRECT("'Yr2'!"&amp;ADDRESS(ROW(G108),COLUMN(G108))),INDIRECT("'Yr3'!"&amp;ADDRESS(ROW(G108),COLUMN(G108)))),
IF($C$4=G$7,G128*G96,0))</f>
        <v>296667.97404075484</v>
      </c>
      <c r="H108" s="64">
        <f ca="1">IF($C$4=Lookups!$D$40,SUM(INDIRECT("'Yr1'!"&amp;ADDRESS(ROW(H108),COLUMN(H108))),INDIRECT("'Yr2'!"&amp;ADDRESS(ROW(H108),COLUMN(H108))),INDIRECT("'Yr3'!"&amp;ADDRESS(ROW(H108),COLUMN(H108)))),
IF($C$4=H$7,H128*H96,0))</f>
        <v>0</v>
      </c>
      <c r="I108" s="64">
        <f ca="1">IF($C$4=Lookups!$D$40,SUM(INDIRECT("'Yr1'!"&amp;ADDRESS(ROW(I108),COLUMN(I108))),INDIRECT("'Yr2'!"&amp;ADDRESS(ROW(I108),COLUMN(I108))),INDIRECT("'Yr3'!"&amp;ADDRESS(ROW(I108),COLUMN(I108)))),
IF($C$4=I$7,I128*I96,0))</f>
        <v>0</v>
      </c>
      <c r="J108" s="64">
        <f ca="1">IF($C$4=Lookups!$D$40,SUM(INDIRECT("'Yr1'!"&amp;ADDRESS(ROW(J108),COLUMN(J108))),INDIRECT("'Yr2'!"&amp;ADDRESS(ROW(J108),COLUMN(J108))),INDIRECT("'Yr3'!"&amp;ADDRESS(ROW(J108),COLUMN(J108)))),
IF($C$4=J$7,J128*J96,0))</f>
        <v>0</v>
      </c>
      <c r="K108" s="64">
        <f ca="1">IF($C$4=Lookups!$D$40,SUM(INDIRECT("'Yr1'!"&amp;ADDRESS(ROW(K108),COLUMN(K108))),INDIRECT("'Yr2'!"&amp;ADDRESS(ROW(K108),COLUMN(K108))),INDIRECT("'Yr3'!"&amp;ADDRESS(ROW(K108),COLUMN(K108)))),
IF($C$4=K$7,K128*K96,0))</f>
        <v>0</v>
      </c>
      <c r="L108" s="64">
        <f ca="1">IF($C$4=Lookups!$D$40,SUM(INDIRECT("'Yr1'!"&amp;ADDRESS(ROW(L108),COLUMN(L108))),INDIRECT("'Yr2'!"&amp;ADDRESS(ROW(L108),COLUMN(L108))),INDIRECT("'Yr3'!"&amp;ADDRESS(ROW(L108),COLUMN(L108)))),
IF($C$4=L$7,L128*L96,0))</f>
        <v>0</v>
      </c>
      <c r="M108" s="64">
        <f ca="1">IF($C$4=Lookups!$D$40,SUM(INDIRECT("'Yr1'!"&amp;ADDRESS(ROW(M108),COLUMN(M108))),INDIRECT("'Yr2'!"&amp;ADDRESS(ROW(M108),COLUMN(M108))),INDIRECT("'Yr3'!"&amp;ADDRESS(ROW(M108),COLUMN(M108)))),
IF($C$4=M$7,M128*M96,0))</f>
        <v>0</v>
      </c>
      <c r="N108" s="64">
        <f ca="1">IF($C$4=Lookups!$D$40,SUM(INDIRECT("'Yr1'!"&amp;ADDRESS(ROW(N108),COLUMN(N108))),INDIRECT("'Yr2'!"&amp;ADDRESS(ROW(N108),COLUMN(N108))),INDIRECT("'Yr3'!"&amp;ADDRESS(ROW(N108),COLUMN(N108)))),
IF($C$4=N$7,N128*N96,0))</f>
        <v>0</v>
      </c>
      <c r="O108" s="64">
        <f ca="1">IF($C$4=Lookups!$D$40,SUM(INDIRECT("'Yr1'!"&amp;ADDRESS(ROW(O108),COLUMN(O108))),INDIRECT("'Yr2'!"&amp;ADDRESS(ROW(O108),COLUMN(O108))),INDIRECT("'Yr3'!"&amp;ADDRESS(ROW(O108),COLUMN(O108)))),
IF($C$4=O$7,O128*O96,0))</f>
        <v>0</v>
      </c>
      <c r="P108" s="64">
        <f ca="1">IF($C$4=Lookups!$D$40,SUM(INDIRECT("'Yr1'!"&amp;ADDRESS(ROW(P108),COLUMN(P108))),INDIRECT("'Yr2'!"&amp;ADDRESS(ROW(P108),COLUMN(P108))),INDIRECT("'Yr3'!"&amp;ADDRESS(ROW(P108),COLUMN(P108)))),
IF($C$4=P$7,P128*P96,0))</f>
        <v>0</v>
      </c>
      <c r="Q108" s="64">
        <f ca="1">IF($C$4=Lookups!$D$40,SUM(INDIRECT("'Yr1'!"&amp;ADDRESS(ROW(Q108),COLUMN(Q108))),INDIRECT("'Yr2'!"&amp;ADDRESS(ROW(Q108),COLUMN(Q108))),INDIRECT("'Yr3'!"&amp;ADDRESS(ROW(Q108),COLUMN(Q108)))),
IF($C$4=Q$7,Q128*Q96,0))</f>
        <v>0</v>
      </c>
      <c r="R108" s="64">
        <f ca="1">IF($C$4=Lookups!$D$40,SUM(INDIRECT("'Yr1'!"&amp;ADDRESS(ROW(R108),COLUMN(R108))),INDIRECT("'Yr2'!"&amp;ADDRESS(ROW(R108),COLUMN(R108))),INDIRECT("'Yr3'!"&amp;ADDRESS(ROW(R108),COLUMN(R108)))),
IF($C$4=R$7,R128*R96,0))</f>
        <v>0</v>
      </c>
      <c r="S108" s="64">
        <f ca="1">IF($C$4=Lookups!$D$40,SUM(INDIRECT("'Yr1'!"&amp;ADDRESS(ROW(S108),COLUMN(S108))),INDIRECT("'Yr2'!"&amp;ADDRESS(ROW(S108),COLUMN(S108))),INDIRECT("'Yr3'!"&amp;ADDRESS(ROW(S108),COLUMN(S108)))),
IF($C$4=S$7,S128*S96,0))</f>
        <v>0</v>
      </c>
      <c r="T108" s="64">
        <f ca="1">IF($C$4=Lookups!$D$40,SUM(INDIRECT("'Yr1'!"&amp;ADDRESS(ROW(T108),COLUMN(T108))),INDIRECT("'Yr2'!"&amp;ADDRESS(ROW(T108),COLUMN(T108))),INDIRECT("'Yr3'!"&amp;ADDRESS(ROW(T108),COLUMN(T108)))),
IF($C$4=T$7,T128*T96,0))</f>
        <v>0</v>
      </c>
      <c r="U108" s="64">
        <f ca="1">IF($C$4=Lookups!$D$40,SUM(INDIRECT("'Yr1'!"&amp;ADDRESS(ROW(U108),COLUMN(U108))),INDIRECT("'Yr2'!"&amp;ADDRESS(ROW(U108),COLUMN(U108))),INDIRECT("'Yr3'!"&amp;ADDRESS(ROW(U108),COLUMN(U108)))),
IF($C$4=U$7,U128*U96,0))</f>
        <v>0</v>
      </c>
      <c r="V108" s="64">
        <f ca="1">IF($C$4=Lookups!$D$40,SUM(INDIRECT("'Yr1'!"&amp;ADDRESS(ROW(V108),COLUMN(V108))),INDIRECT("'Yr2'!"&amp;ADDRESS(ROW(V108),COLUMN(V108))),INDIRECT("'Yr3'!"&amp;ADDRESS(ROW(V108),COLUMN(V108)))),
IF($C$4=V$7,V128*V96,0))</f>
        <v>0</v>
      </c>
      <c r="W108" s="64">
        <f ca="1">IF($C$4=Lookups!$D$40,SUM(INDIRECT("'Yr1'!"&amp;ADDRESS(ROW(W108),COLUMN(W108))),INDIRECT("'Yr2'!"&amp;ADDRESS(ROW(W108),COLUMN(W108))),INDIRECT("'Yr3'!"&amp;ADDRESS(ROW(W108),COLUMN(W108)))),
IF($C$4=W$7,W128*W96,0))</f>
        <v>0</v>
      </c>
      <c r="X108" s="64">
        <f ca="1">IF($C$4=Lookups!$D$40,SUM(INDIRECT("'Yr1'!"&amp;ADDRESS(ROW(X108),COLUMN(X108))),INDIRECT("'Yr2'!"&amp;ADDRESS(ROW(X108),COLUMN(X108))),INDIRECT("'Yr3'!"&amp;ADDRESS(ROW(X108),COLUMN(X108)))),
IF($C$4=X$7,X128*X96,0))</f>
        <v>0</v>
      </c>
      <c r="Y108" s="64">
        <f ca="1">IF($C$4=Lookups!$D$40,SUM(INDIRECT("'Yr1'!"&amp;ADDRESS(ROW(Y108),COLUMN(Y108))),INDIRECT("'Yr2'!"&amp;ADDRESS(ROW(Y108),COLUMN(Y108))),INDIRECT("'Yr3'!"&amp;ADDRESS(ROW(Y108),COLUMN(Y108)))),
IF($C$4=Y$7,Y128*Y96,0))</f>
        <v>0</v>
      </c>
      <c r="Z108" s="64">
        <f ca="1">IF($C$4=Lookups!$D$40,SUM(INDIRECT("'Yr1'!"&amp;ADDRESS(ROW(Z108),COLUMN(Z108))),INDIRECT("'Yr2'!"&amp;ADDRESS(ROW(Z108),COLUMN(Z108))),INDIRECT("'Yr3'!"&amp;ADDRESS(ROW(Z108),COLUMN(Z108)))),
IF($C$4=Z$7,Z128*Z96,0))</f>
        <v>0</v>
      </c>
      <c r="AA108" s="64">
        <f ca="1">IF($C$4=Lookups!$D$40,SUM(INDIRECT("'Yr1'!"&amp;ADDRESS(ROW(AA108),COLUMN(AA108))),INDIRECT("'Yr2'!"&amp;ADDRESS(ROW(AA108),COLUMN(AA108))),INDIRECT("'Yr3'!"&amp;ADDRESS(ROW(AA108),COLUMN(AA108)))),
IF($C$4=AA$7,AA128*AA96,0))</f>
        <v>0</v>
      </c>
      <c r="AB108" s="64">
        <f ca="1">IF($C$4=Lookups!$D$40,SUM(INDIRECT("'Yr1'!"&amp;ADDRESS(ROW(AB108),COLUMN(AB108))),INDIRECT("'Yr2'!"&amp;ADDRESS(ROW(AB108),COLUMN(AB108))),INDIRECT("'Yr3'!"&amp;ADDRESS(ROW(AB108),COLUMN(AB108)))),
IF($C$4=AB$7,AB128*AB96,0))</f>
        <v>0</v>
      </c>
      <c r="AC108" s="64">
        <f ca="1">IF($C$4=Lookups!$D$40,SUM(INDIRECT("'Yr1'!"&amp;ADDRESS(ROW(AC108),COLUMN(AC108))),INDIRECT("'Yr2'!"&amp;ADDRESS(ROW(AC108),COLUMN(AC108))),INDIRECT("'Yr3'!"&amp;ADDRESS(ROW(AC108),COLUMN(AC108)))),
IF($C$4=AC$7,AC128*AC96,0))</f>
        <v>0</v>
      </c>
      <c r="AD108" s="64">
        <f ca="1">IF($C$4=Lookups!$D$40,SUM(INDIRECT("'Yr1'!"&amp;ADDRESS(ROW(AD108),COLUMN(AD108))),INDIRECT("'Yr2'!"&amp;ADDRESS(ROW(AD108),COLUMN(AD108))),INDIRECT("'Yr3'!"&amp;ADDRESS(ROW(AD108),COLUMN(AD108)))),
IF($C$4=AD$7,AD128*AD96,0))</f>
        <v>0</v>
      </c>
      <c r="AE108" s="64">
        <f ca="1">IF($C$4=Lookups!$D$40,SUM(INDIRECT("'Yr1'!"&amp;ADDRESS(ROW(AE108),COLUMN(AE108))),INDIRECT("'Yr2'!"&amp;ADDRESS(ROW(AE108),COLUMN(AE108))),INDIRECT("'Yr3'!"&amp;ADDRESS(ROW(AE108),COLUMN(AE108)))),
IF($C$4=AE$7,AE128*AE96,0))</f>
        <v>0</v>
      </c>
      <c r="AF108" s="64">
        <f ca="1">IF($C$4=Lookups!$D$40,SUM(INDIRECT("'Yr1'!"&amp;ADDRESS(ROW(AF108),COLUMN(AF108))),INDIRECT("'Yr2'!"&amp;ADDRESS(ROW(AF108),COLUMN(AF108))),INDIRECT("'Yr3'!"&amp;ADDRESS(ROW(AF108),COLUMN(AF108)))),
IF($C$4=AF$7,AF128*AF96,0))</f>
        <v>0</v>
      </c>
      <c r="AG108" s="64">
        <f ca="1">IF($C$4=Lookups!$D$40,SUM(INDIRECT("'Yr1'!"&amp;ADDRESS(ROW(AG108),COLUMN(AG108))),INDIRECT("'Yr2'!"&amp;ADDRESS(ROW(AG108),COLUMN(AG108))),INDIRECT("'Yr3'!"&amp;ADDRESS(ROW(AG108),COLUMN(AG108)))),
IF($C$4=AG$7,AG128*AG96,0))</f>
        <v>0</v>
      </c>
      <c r="AH108" s="49"/>
      <c r="AI108" s="64">
        <f ca="1">NPV(Lookups!$E$17,G108:AG108)</f>
        <v>292530.42554081598</v>
      </c>
      <c r="AJ108" s="65"/>
      <c r="AM108" s="71">
        <f ca="1">IF($C$4=Lookups!$D$40,SUM(INDIRECT("'Yr1'!"&amp;ADDRESS(ROW(AM108),COLUMN(AM108))),INDIRECT("'Yr2'!"&amp;ADDRESS(ROW(AM108),COLUMN(AM108))),INDIRECT("'Yr3'!"&amp;ADDRESS(ROW(AM108),COLUMN(AM108)))),
IF($C$4=AM$7,AM128*AM96,0))</f>
        <v>355032.73988454207</v>
      </c>
      <c r="AN108" s="71">
        <f ca="1">IF($C$4=Lookups!$D$40,SUM(INDIRECT("'Yr1'!"&amp;ADDRESS(ROW(AN108),COLUMN(AN108))),INDIRECT("'Yr2'!"&amp;ADDRESS(ROW(AN108),COLUMN(AN108))),INDIRECT("'Yr3'!"&amp;ADDRESS(ROW(AN108),COLUMN(AN108)))),
IF($C$4=AN$7,AN128*AN96,0))</f>
        <v>0</v>
      </c>
      <c r="AO108" s="71">
        <f ca="1">IF($C$4=Lookups!$D$40,SUM(INDIRECT("'Yr1'!"&amp;ADDRESS(ROW(AO108),COLUMN(AO108))),INDIRECT("'Yr2'!"&amp;ADDRESS(ROW(AO108),COLUMN(AO108))),INDIRECT("'Yr3'!"&amp;ADDRESS(ROW(AO108),COLUMN(AO108)))),
IF($C$4=AO$7,AO128*AO96,0))</f>
        <v>0</v>
      </c>
      <c r="AP108" s="71">
        <f ca="1">IF($C$4=Lookups!$D$40,SUM(INDIRECT("'Yr1'!"&amp;ADDRESS(ROW(AP108),COLUMN(AP108))),INDIRECT("'Yr2'!"&amp;ADDRESS(ROW(AP108),COLUMN(AP108))),INDIRECT("'Yr3'!"&amp;ADDRESS(ROW(AP108),COLUMN(AP108)))),
IF($C$4=AP$7,AP128*AP96,0))</f>
        <v>0</v>
      </c>
      <c r="AQ108" s="71">
        <f ca="1">IF($C$4=Lookups!$D$40,SUM(INDIRECT("'Yr1'!"&amp;ADDRESS(ROW(AQ108),COLUMN(AQ108))),INDIRECT("'Yr2'!"&amp;ADDRESS(ROW(AQ108),COLUMN(AQ108))),INDIRECT("'Yr3'!"&amp;ADDRESS(ROW(AQ108),COLUMN(AQ108)))),
IF($C$4=AQ$7,AQ128*AQ96,0))</f>
        <v>0</v>
      </c>
      <c r="AR108" s="71">
        <f ca="1">IF($C$4=Lookups!$D$40,SUM(INDIRECT("'Yr1'!"&amp;ADDRESS(ROW(AR108),COLUMN(AR108))),INDIRECT("'Yr2'!"&amp;ADDRESS(ROW(AR108),COLUMN(AR108))),INDIRECT("'Yr3'!"&amp;ADDRESS(ROW(AR108),COLUMN(AR108)))),
IF($C$4=AR$7,AR128*AR96,0))</f>
        <v>0</v>
      </c>
      <c r="AS108" s="71">
        <f ca="1">IF($C$4=Lookups!$D$40,SUM(INDIRECT("'Yr1'!"&amp;ADDRESS(ROW(AS108),COLUMN(AS108))),INDIRECT("'Yr2'!"&amp;ADDRESS(ROW(AS108),COLUMN(AS108))),INDIRECT("'Yr3'!"&amp;ADDRESS(ROW(AS108),COLUMN(AS108)))),
IF($C$4=AS$7,AS128*AS96,0))</f>
        <v>0</v>
      </c>
      <c r="AT108" s="71">
        <f ca="1">IF($C$4=Lookups!$D$40,SUM(INDIRECT("'Yr1'!"&amp;ADDRESS(ROW(AT108),COLUMN(AT108))),INDIRECT("'Yr2'!"&amp;ADDRESS(ROW(AT108),COLUMN(AT108))),INDIRECT("'Yr3'!"&amp;ADDRESS(ROW(AT108),COLUMN(AT108)))),
IF($C$4=AT$7,AT128*AT96,0))</f>
        <v>0</v>
      </c>
      <c r="AU108" s="71">
        <f ca="1">IF($C$4=Lookups!$D$40,SUM(INDIRECT("'Yr1'!"&amp;ADDRESS(ROW(AU108),COLUMN(AU108))),INDIRECT("'Yr2'!"&amp;ADDRESS(ROW(AU108),COLUMN(AU108))),INDIRECT("'Yr3'!"&amp;ADDRESS(ROW(AU108),COLUMN(AU108)))),
IF($C$4=AU$7,AU128*AU96,0))</f>
        <v>0</v>
      </c>
      <c r="AV108" s="71">
        <f ca="1">IF($C$4=Lookups!$D$40,SUM(INDIRECT("'Yr1'!"&amp;ADDRESS(ROW(AV108),COLUMN(AV108))),INDIRECT("'Yr2'!"&amp;ADDRESS(ROW(AV108),COLUMN(AV108))),INDIRECT("'Yr3'!"&amp;ADDRESS(ROW(AV108),COLUMN(AV108)))),
IF($C$4=AV$7,AV128*AV96,0))</f>
        <v>0</v>
      </c>
      <c r="AW108" s="71">
        <f ca="1">IF($C$4=Lookups!$D$40,SUM(INDIRECT("'Yr1'!"&amp;ADDRESS(ROW(AW108),COLUMN(AW108))),INDIRECT("'Yr2'!"&amp;ADDRESS(ROW(AW108),COLUMN(AW108))),INDIRECT("'Yr3'!"&amp;ADDRESS(ROW(AW108),COLUMN(AW108)))),
IF($C$4=AW$7,AW128*AW96,0))</f>
        <v>0</v>
      </c>
      <c r="AX108" s="71">
        <f ca="1">IF($C$4=Lookups!$D$40,SUM(INDIRECT("'Yr1'!"&amp;ADDRESS(ROW(AX108),COLUMN(AX108))),INDIRECT("'Yr2'!"&amp;ADDRESS(ROW(AX108),COLUMN(AX108))),INDIRECT("'Yr3'!"&amp;ADDRESS(ROW(AX108),COLUMN(AX108)))),
IF($C$4=AX$7,AX128*AX96,0))</f>
        <v>0</v>
      </c>
      <c r="AY108" s="71">
        <f ca="1">IF($C$4=Lookups!$D$40,SUM(INDIRECT("'Yr1'!"&amp;ADDRESS(ROW(AY108),COLUMN(AY108))),INDIRECT("'Yr2'!"&amp;ADDRESS(ROW(AY108),COLUMN(AY108))),INDIRECT("'Yr3'!"&amp;ADDRESS(ROW(AY108),COLUMN(AY108)))),
IF($C$4=AY$7,AY128*AY96,0))</f>
        <v>0</v>
      </c>
      <c r="AZ108" s="71">
        <f ca="1">IF($C$4=Lookups!$D$40,SUM(INDIRECT("'Yr1'!"&amp;ADDRESS(ROW(AZ108),COLUMN(AZ108))),INDIRECT("'Yr2'!"&amp;ADDRESS(ROW(AZ108),COLUMN(AZ108))),INDIRECT("'Yr3'!"&amp;ADDRESS(ROW(AZ108),COLUMN(AZ108)))),
IF($C$4=AZ$7,AZ128*AZ96,0))</f>
        <v>0</v>
      </c>
      <c r="BA108" s="71">
        <f ca="1">IF($C$4=Lookups!$D$40,SUM(INDIRECT("'Yr1'!"&amp;ADDRESS(ROW(BA108),COLUMN(BA108))),INDIRECT("'Yr2'!"&amp;ADDRESS(ROW(BA108),COLUMN(BA108))),INDIRECT("'Yr3'!"&amp;ADDRESS(ROW(BA108),COLUMN(BA108)))),
IF($C$4=BA$7,BA128*BA96,0))</f>
        <v>0</v>
      </c>
      <c r="BB108" s="71">
        <f ca="1">IF($C$4=Lookups!$D$40,SUM(INDIRECT("'Yr1'!"&amp;ADDRESS(ROW(BB108),COLUMN(BB108))),INDIRECT("'Yr2'!"&amp;ADDRESS(ROW(BB108),COLUMN(BB108))),INDIRECT("'Yr3'!"&amp;ADDRESS(ROW(BB108),COLUMN(BB108)))),
IF($C$4=BB$7,BB128*BB96,0))</f>
        <v>0</v>
      </c>
      <c r="BC108" s="71">
        <f ca="1">IF($C$4=Lookups!$D$40,SUM(INDIRECT("'Yr1'!"&amp;ADDRESS(ROW(BC108),COLUMN(BC108))),INDIRECT("'Yr2'!"&amp;ADDRESS(ROW(BC108),COLUMN(BC108))),INDIRECT("'Yr3'!"&amp;ADDRESS(ROW(BC108),COLUMN(BC108)))),
IF($C$4=BC$7,BC128*BC96,0))</f>
        <v>0</v>
      </c>
      <c r="BD108" s="71">
        <f ca="1">IF($C$4=Lookups!$D$40,SUM(INDIRECT("'Yr1'!"&amp;ADDRESS(ROW(BD108),COLUMN(BD108))),INDIRECT("'Yr2'!"&amp;ADDRESS(ROW(BD108),COLUMN(BD108))),INDIRECT("'Yr3'!"&amp;ADDRESS(ROW(BD108),COLUMN(BD108)))),
IF($C$4=BD$7,BD128*BD96,0))</f>
        <v>0</v>
      </c>
      <c r="BE108" s="71">
        <f ca="1">IF($C$4=Lookups!$D$40,SUM(INDIRECT("'Yr1'!"&amp;ADDRESS(ROW(BE108),COLUMN(BE108))),INDIRECT("'Yr2'!"&amp;ADDRESS(ROW(BE108),COLUMN(BE108))),INDIRECT("'Yr3'!"&amp;ADDRESS(ROW(BE108),COLUMN(BE108)))),
IF($C$4=BE$7,BE128*BE96,0))</f>
        <v>0</v>
      </c>
      <c r="BF108" s="71">
        <f ca="1">IF($C$4=Lookups!$D$40,SUM(INDIRECT("'Yr1'!"&amp;ADDRESS(ROW(BF108),COLUMN(BF108))),INDIRECT("'Yr2'!"&amp;ADDRESS(ROW(BF108),COLUMN(BF108))),INDIRECT("'Yr3'!"&amp;ADDRESS(ROW(BF108),COLUMN(BF108)))),
IF($C$4=BF$7,BF128*BF96,0))</f>
        <v>0</v>
      </c>
      <c r="BG108" s="71">
        <f ca="1">IF($C$4=Lookups!$D$40,SUM(INDIRECT("'Yr1'!"&amp;ADDRESS(ROW(BG108),COLUMN(BG108))),INDIRECT("'Yr2'!"&amp;ADDRESS(ROW(BG108),COLUMN(BG108))),INDIRECT("'Yr3'!"&amp;ADDRESS(ROW(BG108),COLUMN(BG108)))),
IF($C$4=BG$7,BG128*BG96,0))</f>
        <v>0</v>
      </c>
      <c r="BH108" s="71">
        <f ca="1">IF($C$4=Lookups!$D$40,SUM(INDIRECT("'Yr1'!"&amp;ADDRESS(ROW(BH108),COLUMN(BH108))),INDIRECT("'Yr2'!"&amp;ADDRESS(ROW(BH108),COLUMN(BH108))),INDIRECT("'Yr3'!"&amp;ADDRESS(ROW(BH108),COLUMN(BH108)))),
IF($C$4=BH$7,BH128*BH96,0))</f>
        <v>0</v>
      </c>
      <c r="BI108" s="71">
        <f ca="1">IF($C$4=Lookups!$D$40,SUM(INDIRECT("'Yr1'!"&amp;ADDRESS(ROW(BI108),COLUMN(BI108))),INDIRECT("'Yr2'!"&amp;ADDRESS(ROW(BI108),COLUMN(BI108))),INDIRECT("'Yr3'!"&amp;ADDRESS(ROW(BI108),COLUMN(BI108)))),
IF($C$4=BI$7,BI128*BI96,0))</f>
        <v>0</v>
      </c>
      <c r="BJ108" s="71">
        <f ca="1">IF($C$4=Lookups!$D$40,SUM(INDIRECT("'Yr1'!"&amp;ADDRESS(ROW(BJ108),COLUMN(BJ108))),INDIRECT("'Yr2'!"&amp;ADDRESS(ROW(BJ108),COLUMN(BJ108))),INDIRECT("'Yr3'!"&amp;ADDRESS(ROW(BJ108),COLUMN(BJ108)))),
IF($C$4=BJ$7,BJ128*BJ96,0))</f>
        <v>0</v>
      </c>
      <c r="BK108" s="71">
        <f ca="1">IF($C$4=Lookups!$D$40,SUM(INDIRECT("'Yr1'!"&amp;ADDRESS(ROW(BK108),COLUMN(BK108))),INDIRECT("'Yr2'!"&amp;ADDRESS(ROW(BK108),COLUMN(BK108))),INDIRECT("'Yr3'!"&amp;ADDRESS(ROW(BK108),COLUMN(BK108)))),
IF($C$4=BK$7,BK128*BK96,0))</f>
        <v>0</v>
      </c>
      <c r="BL108" s="71">
        <f ca="1">IF($C$4=Lookups!$D$40,SUM(INDIRECT("'Yr1'!"&amp;ADDRESS(ROW(BL108),COLUMN(BL108))),INDIRECT("'Yr2'!"&amp;ADDRESS(ROW(BL108),COLUMN(BL108))),INDIRECT("'Yr3'!"&amp;ADDRESS(ROW(BL108),COLUMN(BL108)))),
IF($C$4=BL$7,BL128*BL96,0))</f>
        <v>0</v>
      </c>
      <c r="BM108" s="71">
        <f ca="1">IF($C$4=Lookups!$D$40,SUM(INDIRECT("'Yr1'!"&amp;ADDRESS(ROW(BM108),COLUMN(BM108))),INDIRECT("'Yr2'!"&amp;ADDRESS(ROW(BM108),COLUMN(BM108))),INDIRECT("'Yr3'!"&amp;ADDRESS(ROW(BM108),COLUMN(BM108)))),
IF($C$4=BM$7,BM128*BM96,0))</f>
        <v>0</v>
      </c>
      <c r="BN108" s="71"/>
      <c r="BO108" s="71">
        <f ca="1">NPV(Lookups!$E$17,AM108:BM108)</f>
        <v>350081.19368179399</v>
      </c>
      <c r="BP108" s="72"/>
      <c r="BS108" s="84" t="str">
        <f>E108&amp;" rate multiplied by After DSM sales."</f>
        <v>LDAC, EE Only rate multiplied by After DSM sales.</v>
      </c>
      <c r="BT108" s="51" t="s">
        <v>17</v>
      </c>
    </row>
    <row r="109" spans="1:72" x14ac:dyDescent="0.25">
      <c r="A109" s="476"/>
      <c r="B109" s="243" t="str">
        <f t="shared" si="98"/>
        <v>Low-Income</v>
      </c>
      <c r="C109" s="243" t="str">
        <f t="shared" si="98"/>
        <v>Revenue Requirements</v>
      </c>
      <c r="D109" s="244" t="str">
        <f>D108</f>
        <v>Increased Costs and Cost Shifting</v>
      </c>
      <c r="E109" s="86" t="s">
        <v>198</v>
      </c>
      <c r="F109" s="84" t="s">
        <v>32</v>
      </c>
      <c r="G109" s="64">
        <f ca="1">IF($C$4=Lookups!$D$40,SUM(INDIRECT("'Yr1'!"&amp;ADDRESS(ROW(G109),COLUMN(G109))),INDIRECT("'Yr2'!"&amp;ADDRESS(ROW(G109),COLUMN(G109))),INDIRECT("'Yr3'!"&amp;ADDRESS(ROW(G109),COLUMN(G109)))),
G129*G96)</f>
        <v>19388.098455483138</v>
      </c>
      <c r="H109" s="64">
        <f ca="1">IF($C$4=Lookups!$D$40,SUM(INDIRECT("'Yr1'!"&amp;ADDRESS(ROW(H109),COLUMN(H109))),INDIRECT("'Yr2'!"&amp;ADDRESS(ROW(H109),COLUMN(H109))),INDIRECT("'Yr3'!"&amp;ADDRESS(ROW(H109),COLUMN(H109)))),
H129*H96)</f>
        <v>19388.098455483138</v>
      </c>
      <c r="I109" s="64">
        <f ca="1">IF($C$4=Lookups!$D$40,SUM(INDIRECT("'Yr1'!"&amp;ADDRESS(ROW(I109),COLUMN(I109))),INDIRECT("'Yr2'!"&amp;ADDRESS(ROW(I109),COLUMN(I109))),INDIRECT("'Yr3'!"&amp;ADDRESS(ROW(I109),COLUMN(I109)))),
I129*I96)</f>
        <v>19388.098455483138</v>
      </c>
      <c r="J109" s="64">
        <f ca="1">IF($C$4=Lookups!$D$40,SUM(INDIRECT("'Yr1'!"&amp;ADDRESS(ROW(J109),COLUMN(J109))),INDIRECT("'Yr2'!"&amp;ADDRESS(ROW(J109),COLUMN(J109))),INDIRECT("'Yr3'!"&amp;ADDRESS(ROW(J109),COLUMN(J109)))),
J129*J96)</f>
        <v>19388.098455483138</v>
      </c>
      <c r="K109" s="64">
        <f ca="1">IF($C$4=Lookups!$D$40,SUM(INDIRECT("'Yr1'!"&amp;ADDRESS(ROW(K109),COLUMN(K109))),INDIRECT("'Yr2'!"&amp;ADDRESS(ROW(K109),COLUMN(K109))),INDIRECT("'Yr3'!"&amp;ADDRESS(ROW(K109),COLUMN(K109)))),
K129*K96)</f>
        <v>19388.098455483138</v>
      </c>
      <c r="L109" s="64">
        <f ca="1">IF($C$4=Lookups!$D$40,SUM(INDIRECT("'Yr1'!"&amp;ADDRESS(ROW(L109),COLUMN(L109))),INDIRECT("'Yr2'!"&amp;ADDRESS(ROW(L109),COLUMN(L109))),INDIRECT("'Yr3'!"&amp;ADDRESS(ROW(L109),COLUMN(L109)))),
L129*L96)</f>
        <v>19388.098455483138</v>
      </c>
      <c r="M109" s="64">
        <f ca="1">IF($C$4=Lookups!$D$40,SUM(INDIRECT("'Yr1'!"&amp;ADDRESS(ROW(M109),COLUMN(M109))),INDIRECT("'Yr2'!"&amp;ADDRESS(ROW(M109),COLUMN(M109))),INDIRECT("'Yr3'!"&amp;ADDRESS(ROW(M109),COLUMN(M109)))),
M129*M96)</f>
        <v>19388.098455483138</v>
      </c>
      <c r="N109" s="64">
        <f ca="1">IF($C$4=Lookups!$D$40,SUM(INDIRECT("'Yr1'!"&amp;ADDRESS(ROW(N109),COLUMN(N109))),INDIRECT("'Yr2'!"&amp;ADDRESS(ROW(N109),COLUMN(N109))),INDIRECT("'Yr3'!"&amp;ADDRESS(ROW(N109),COLUMN(N109)))),
N129*N96)</f>
        <v>19388.098455483138</v>
      </c>
      <c r="O109" s="64">
        <f ca="1">IF($C$4=Lookups!$D$40,SUM(INDIRECT("'Yr1'!"&amp;ADDRESS(ROW(O109),COLUMN(O109))),INDIRECT("'Yr2'!"&amp;ADDRESS(ROW(O109),COLUMN(O109))),INDIRECT("'Yr3'!"&amp;ADDRESS(ROW(O109),COLUMN(O109)))),
O129*O96)</f>
        <v>19388.098455483138</v>
      </c>
      <c r="P109" s="64">
        <f ca="1">IF($C$4=Lookups!$D$40,SUM(INDIRECT("'Yr1'!"&amp;ADDRESS(ROW(P109),COLUMN(P109))),INDIRECT("'Yr2'!"&amp;ADDRESS(ROW(P109),COLUMN(P109))),INDIRECT("'Yr3'!"&amp;ADDRESS(ROW(P109),COLUMN(P109)))),
P129*P96)</f>
        <v>19388.098455483138</v>
      </c>
      <c r="Q109" s="64">
        <f ca="1">IF($C$4=Lookups!$D$40,SUM(INDIRECT("'Yr1'!"&amp;ADDRESS(ROW(Q109),COLUMN(Q109))),INDIRECT("'Yr2'!"&amp;ADDRESS(ROW(Q109),COLUMN(Q109))),INDIRECT("'Yr3'!"&amp;ADDRESS(ROW(Q109),COLUMN(Q109)))),
Q129*Q96)</f>
        <v>19388.098455483138</v>
      </c>
      <c r="R109" s="64">
        <f ca="1">IF($C$4=Lookups!$D$40,SUM(INDIRECT("'Yr1'!"&amp;ADDRESS(ROW(R109),COLUMN(R109))),INDIRECT("'Yr2'!"&amp;ADDRESS(ROW(R109),COLUMN(R109))),INDIRECT("'Yr3'!"&amp;ADDRESS(ROW(R109),COLUMN(R109)))),
R129*R96)</f>
        <v>19388.098455483138</v>
      </c>
      <c r="S109" s="64">
        <f ca="1">IF($C$4=Lookups!$D$40,SUM(INDIRECT("'Yr1'!"&amp;ADDRESS(ROW(S109),COLUMN(S109))),INDIRECT("'Yr2'!"&amp;ADDRESS(ROW(S109),COLUMN(S109))),INDIRECT("'Yr3'!"&amp;ADDRESS(ROW(S109),COLUMN(S109)))),
S129*S96)</f>
        <v>19388.098455483138</v>
      </c>
      <c r="T109" s="64">
        <f ca="1">IF($C$4=Lookups!$D$40,SUM(INDIRECT("'Yr1'!"&amp;ADDRESS(ROW(T109),COLUMN(T109))),INDIRECT("'Yr2'!"&amp;ADDRESS(ROW(T109),COLUMN(T109))),INDIRECT("'Yr3'!"&amp;ADDRESS(ROW(T109),COLUMN(T109)))),
T129*T96)</f>
        <v>19388.098455483138</v>
      </c>
      <c r="U109" s="64">
        <f ca="1">IF($C$4=Lookups!$D$40,SUM(INDIRECT("'Yr1'!"&amp;ADDRESS(ROW(U109),COLUMN(U109))),INDIRECT("'Yr2'!"&amp;ADDRESS(ROW(U109),COLUMN(U109))),INDIRECT("'Yr3'!"&amp;ADDRESS(ROW(U109),COLUMN(U109)))),
U129*U96)</f>
        <v>19388.098455483138</v>
      </c>
      <c r="V109" s="64">
        <f ca="1">IF($C$4=Lookups!$D$40,SUM(INDIRECT("'Yr1'!"&amp;ADDRESS(ROW(V109),COLUMN(V109))),INDIRECT("'Yr2'!"&amp;ADDRESS(ROW(V109),COLUMN(V109))),INDIRECT("'Yr3'!"&amp;ADDRESS(ROW(V109),COLUMN(V109)))),
V129*V96)</f>
        <v>19388.098455483138</v>
      </c>
      <c r="W109" s="64">
        <f ca="1">IF($C$4=Lookups!$D$40,SUM(INDIRECT("'Yr1'!"&amp;ADDRESS(ROW(W109),COLUMN(W109))),INDIRECT("'Yr2'!"&amp;ADDRESS(ROW(W109),COLUMN(W109))),INDIRECT("'Yr3'!"&amp;ADDRESS(ROW(W109),COLUMN(W109)))),
W129*W96)</f>
        <v>19388.098455483138</v>
      </c>
      <c r="X109" s="64">
        <f ca="1">IF($C$4=Lookups!$D$40,SUM(INDIRECT("'Yr1'!"&amp;ADDRESS(ROW(X109),COLUMN(X109))),INDIRECT("'Yr2'!"&amp;ADDRESS(ROW(X109),COLUMN(X109))),INDIRECT("'Yr3'!"&amp;ADDRESS(ROW(X109),COLUMN(X109)))),
X129*X96)</f>
        <v>19388.098455483138</v>
      </c>
      <c r="Y109" s="64">
        <f ca="1">IF($C$4=Lookups!$D$40,SUM(INDIRECT("'Yr1'!"&amp;ADDRESS(ROW(Y109),COLUMN(Y109))),INDIRECT("'Yr2'!"&amp;ADDRESS(ROW(Y109),COLUMN(Y109))),INDIRECT("'Yr3'!"&amp;ADDRESS(ROW(Y109),COLUMN(Y109)))),
Y129*Y96)</f>
        <v>19388.098455483138</v>
      </c>
      <c r="Z109" s="64">
        <f ca="1">IF($C$4=Lookups!$D$40,SUM(INDIRECT("'Yr1'!"&amp;ADDRESS(ROW(Z109),COLUMN(Z109))),INDIRECT("'Yr2'!"&amp;ADDRESS(ROW(Z109),COLUMN(Z109))),INDIRECT("'Yr3'!"&amp;ADDRESS(ROW(Z109),COLUMN(Z109)))),
Z129*Z96)</f>
        <v>19388.098455483138</v>
      </c>
      <c r="AA109" s="64">
        <f ca="1">IF($C$4=Lookups!$D$40,SUM(INDIRECT("'Yr1'!"&amp;ADDRESS(ROW(AA109),COLUMN(AA109))),INDIRECT("'Yr2'!"&amp;ADDRESS(ROW(AA109),COLUMN(AA109))),INDIRECT("'Yr3'!"&amp;ADDRESS(ROW(AA109),COLUMN(AA109)))),
AA129*AA96)</f>
        <v>0</v>
      </c>
      <c r="AB109" s="64">
        <f ca="1">IF($C$4=Lookups!$D$40,SUM(INDIRECT("'Yr1'!"&amp;ADDRESS(ROW(AB109),COLUMN(AB109))),INDIRECT("'Yr2'!"&amp;ADDRESS(ROW(AB109),COLUMN(AB109))),INDIRECT("'Yr3'!"&amp;ADDRESS(ROW(AB109),COLUMN(AB109)))),
AB129*AB96)</f>
        <v>0</v>
      </c>
      <c r="AC109" s="64">
        <f ca="1">IF($C$4=Lookups!$D$40,SUM(INDIRECT("'Yr1'!"&amp;ADDRESS(ROW(AC109),COLUMN(AC109))),INDIRECT("'Yr2'!"&amp;ADDRESS(ROW(AC109),COLUMN(AC109))),INDIRECT("'Yr3'!"&amp;ADDRESS(ROW(AC109),COLUMN(AC109)))),
AC129*AC96)</f>
        <v>0</v>
      </c>
      <c r="AD109" s="64">
        <f ca="1">IF($C$4=Lookups!$D$40,SUM(INDIRECT("'Yr1'!"&amp;ADDRESS(ROW(AD109),COLUMN(AD109))),INDIRECT("'Yr2'!"&amp;ADDRESS(ROW(AD109),COLUMN(AD109))),INDIRECT("'Yr3'!"&amp;ADDRESS(ROW(AD109),COLUMN(AD109)))),
AD129*AD96)</f>
        <v>0</v>
      </c>
      <c r="AE109" s="64">
        <f ca="1">IF($C$4=Lookups!$D$40,SUM(INDIRECT("'Yr1'!"&amp;ADDRESS(ROW(AE109),COLUMN(AE109))),INDIRECT("'Yr2'!"&amp;ADDRESS(ROW(AE109),COLUMN(AE109))),INDIRECT("'Yr3'!"&amp;ADDRESS(ROW(AE109),COLUMN(AE109)))),
AE129*AE96)</f>
        <v>0</v>
      </c>
      <c r="AF109" s="64">
        <f ca="1">IF($C$4=Lookups!$D$40,SUM(INDIRECT("'Yr1'!"&amp;ADDRESS(ROW(AF109),COLUMN(AF109))),INDIRECT("'Yr2'!"&amp;ADDRESS(ROW(AF109),COLUMN(AF109))),INDIRECT("'Yr3'!"&amp;ADDRESS(ROW(AF109),COLUMN(AF109)))),
AF129*AF96)</f>
        <v>0</v>
      </c>
      <c r="AG109" s="64">
        <f ca="1">IF($C$4=Lookups!$D$40,SUM(INDIRECT("'Yr1'!"&amp;ADDRESS(ROW(AG109),COLUMN(AG109))),INDIRECT("'Yr2'!"&amp;ADDRESS(ROW(AG109),COLUMN(AG109))),INDIRECT("'Yr3'!"&amp;ADDRESS(ROW(AG109),COLUMN(AG109)))),
AG129*AG96)</f>
        <v>0</v>
      </c>
      <c r="AH109" s="49"/>
      <c r="AI109" s="64">
        <f ca="1">NPV(Lookups!$E$17,G109:AG109)</f>
        <v>335693.14638838137</v>
      </c>
      <c r="AJ109" s="65"/>
      <c r="AM109" s="71">
        <f ca="1">IF($C$4=Lookups!$D$40,SUM(INDIRECT("'Yr1'!"&amp;ADDRESS(ROW(AM109),COLUMN(AM109))),INDIRECT("'Yr2'!"&amp;ADDRESS(ROW(AM109),COLUMN(AM109))),INDIRECT("'Yr3'!"&amp;ADDRESS(ROW(AM109),COLUMN(AM109)))),
AM129*AM96)</f>
        <v>22145.185654786797</v>
      </c>
      <c r="AN109" s="71">
        <f ca="1">IF($C$4=Lookups!$D$40,SUM(INDIRECT("'Yr1'!"&amp;ADDRESS(ROW(AN109),COLUMN(AN109))),INDIRECT("'Yr2'!"&amp;ADDRESS(ROW(AN109),COLUMN(AN109))),INDIRECT("'Yr3'!"&amp;ADDRESS(ROW(AN109),COLUMN(AN109)))),
AN129*AN96)</f>
        <v>22145.185654786797</v>
      </c>
      <c r="AO109" s="71">
        <f ca="1">IF($C$4=Lookups!$D$40,SUM(INDIRECT("'Yr1'!"&amp;ADDRESS(ROW(AO109),COLUMN(AO109))),INDIRECT("'Yr2'!"&amp;ADDRESS(ROW(AO109),COLUMN(AO109))),INDIRECT("'Yr3'!"&amp;ADDRESS(ROW(AO109),COLUMN(AO109)))),
AO129*AO96)</f>
        <v>22145.185654786797</v>
      </c>
      <c r="AP109" s="71">
        <f ca="1">IF($C$4=Lookups!$D$40,SUM(INDIRECT("'Yr1'!"&amp;ADDRESS(ROW(AP109),COLUMN(AP109))),INDIRECT("'Yr2'!"&amp;ADDRESS(ROW(AP109),COLUMN(AP109))),INDIRECT("'Yr3'!"&amp;ADDRESS(ROW(AP109),COLUMN(AP109)))),
AP129*AP96)</f>
        <v>22145.185654786797</v>
      </c>
      <c r="AQ109" s="71">
        <f ca="1">IF($C$4=Lookups!$D$40,SUM(INDIRECT("'Yr1'!"&amp;ADDRESS(ROW(AQ109),COLUMN(AQ109))),INDIRECT("'Yr2'!"&amp;ADDRESS(ROW(AQ109),COLUMN(AQ109))),INDIRECT("'Yr3'!"&amp;ADDRESS(ROW(AQ109),COLUMN(AQ109)))),
AQ129*AQ96)</f>
        <v>22145.185654786797</v>
      </c>
      <c r="AR109" s="71">
        <f ca="1">IF($C$4=Lookups!$D$40,SUM(INDIRECT("'Yr1'!"&amp;ADDRESS(ROW(AR109),COLUMN(AR109))),INDIRECT("'Yr2'!"&amp;ADDRESS(ROW(AR109),COLUMN(AR109))),INDIRECT("'Yr3'!"&amp;ADDRESS(ROW(AR109),COLUMN(AR109)))),
AR129*AR96)</f>
        <v>22145.185654786797</v>
      </c>
      <c r="AS109" s="71">
        <f ca="1">IF($C$4=Lookups!$D$40,SUM(INDIRECT("'Yr1'!"&amp;ADDRESS(ROW(AS109),COLUMN(AS109))),INDIRECT("'Yr2'!"&amp;ADDRESS(ROW(AS109),COLUMN(AS109))),INDIRECT("'Yr3'!"&amp;ADDRESS(ROW(AS109),COLUMN(AS109)))),
AS129*AS96)</f>
        <v>22145.185654786797</v>
      </c>
      <c r="AT109" s="71">
        <f ca="1">IF($C$4=Lookups!$D$40,SUM(INDIRECT("'Yr1'!"&amp;ADDRESS(ROW(AT109),COLUMN(AT109))),INDIRECT("'Yr2'!"&amp;ADDRESS(ROW(AT109),COLUMN(AT109))),INDIRECT("'Yr3'!"&amp;ADDRESS(ROW(AT109),COLUMN(AT109)))),
AT129*AT96)</f>
        <v>22145.185654786797</v>
      </c>
      <c r="AU109" s="71">
        <f ca="1">IF($C$4=Lookups!$D$40,SUM(INDIRECT("'Yr1'!"&amp;ADDRESS(ROW(AU109),COLUMN(AU109))),INDIRECT("'Yr2'!"&amp;ADDRESS(ROW(AU109),COLUMN(AU109))),INDIRECT("'Yr3'!"&amp;ADDRESS(ROW(AU109),COLUMN(AU109)))),
AU129*AU96)</f>
        <v>22145.185654786797</v>
      </c>
      <c r="AV109" s="71">
        <f ca="1">IF($C$4=Lookups!$D$40,SUM(INDIRECT("'Yr1'!"&amp;ADDRESS(ROW(AV109),COLUMN(AV109))),INDIRECT("'Yr2'!"&amp;ADDRESS(ROW(AV109),COLUMN(AV109))),INDIRECT("'Yr3'!"&amp;ADDRESS(ROW(AV109),COLUMN(AV109)))),
AV129*AV96)</f>
        <v>22145.185654786797</v>
      </c>
      <c r="AW109" s="71">
        <f ca="1">IF($C$4=Lookups!$D$40,SUM(INDIRECT("'Yr1'!"&amp;ADDRESS(ROW(AW109),COLUMN(AW109))),INDIRECT("'Yr2'!"&amp;ADDRESS(ROW(AW109),COLUMN(AW109))),INDIRECT("'Yr3'!"&amp;ADDRESS(ROW(AW109),COLUMN(AW109)))),
AW129*AW96)</f>
        <v>22145.185654786797</v>
      </c>
      <c r="AX109" s="71">
        <f ca="1">IF($C$4=Lookups!$D$40,SUM(INDIRECT("'Yr1'!"&amp;ADDRESS(ROW(AX109),COLUMN(AX109))),INDIRECT("'Yr2'!"&amp;ADDRESS(ROW(AX109),COLUMN(AX109))),INDIRECT("'Yr3'!"&amp;ADDRESS(ROW(AX109),COLUMN(AX109)))),
AX129*AX96)</f>
        <v>22145.185654786797</v>
      </c>
      <c r="AY109" s="71">
        <f ca="1">IF($C$4=Lookups!$D$40,SUM(INDIRECT("'Yr1'!"&amp;ADDRESS(ROW(AY109),COLUMN(AY109))),INDIRECT("'Yr2'!"&amp;ADDRESS(ROW(AY109),COLUMN(AY109))),INDIRECT("'Yr3'!"&amp;ADDRESS(ROW(AY109),COLUMN(AY109)))),
AY129*AY96)</f>
        <v>22145.185654786797</v>
      </c>
      <c r="AZ109" s="71">
        <f ca="1">IF($C$4=Lookups!$D$40,SUM(INDIRECT("'Yr1'!"&amp;ADDRESS(ROW(AZ109),COLUMN(AZ109))),INDIRECT("'Yr2'!"&amp;ADDRESS(ROW(AZ109),COLUMN(AZ109))),INDIRECT("'Yr3'!"&amp;ADDRESS(ROW(AZ109),COLUMN(AZ109)))),
AZ129*AZ96)</f>
        <v>22145.185654786797</v>
      </c>
      <c r="BA109" s="71">
        <f ca="1">IF($C$4=Lookups!$D$40,SUM(INDIRECT("'Yr1'!"&amp;ADDRESS(ROW(BA109),COLUMN(BA109))),INDIRECT("'Yr2'!"&amp;ADDRESS(ROW(BA109),COLUMN(BA109))),INDIRECT("'Yr3'!"&amp;ADDRESS(ROW(BA109),COLUMN(BA109)))),
BA129*BA96)</f>
        <v>22145.185654786797</v>
      </c>
      <c r="BB109" s="71">
        <f ca="1">IF($C$4=Lookups!$D$40,SUM(INDIRECT("'Yr1'!"&amp;ADDRESS(ROW(BB109),COLUMN(BB109))),INDIRECT("'Yr2'!"&amp;ADDRESS(ROW(BB109),COLUMN(BB109))),INDIRECT("'Yr3'!"&amp;ADDRESS(ROW(BB109),COLUMN(BB109)))),
BB129*BB96)</f>
        <v>22145.185654786797</v>
      </c>
      <c r="BC109" s="71">
        <f ca="1">IF($C$4=Lookups!$D$40,SUM(INDIRECT("'Yr1'!"&amp;ADDRESS(ROW(BC109),COLUMN(BC109))),INDIRECT("'Yr2'!"&amp;ADDRESS(ROW(BC109),COLUMN(BC109))),INDIRECT("'Yr3'!"&amp;ADDRESS(ROW(BC109),COLUMN(BC109)))),
BC129*BC96)</f>
        <v>22145.185654786797</v>
      </c>
      <c r="BD109" s="71">
        <f ca="1">IF($C$4=Lookups!$D$40,SUM(INDIRECT("'Yr1'!"&amp;ADDRESS(ROW(BD109),COLUMN(BD109))),INDIRECT("'Yr2'!"&amp;ADDRESS(ROW(BD109),COLUMN(BD109))),INDIRECT("'Yr3'!"&amp;ADDRESS(ROW(BD109),COLUMN(BD109)))),
BD129*BD96)</f>
        <v>22145.185654786797</v>
      </c>
      <c r="BE109" s="71">
        <f ca="1">IF($C$4=Lookups!$D$40,SUM(INDIRECT("'Yr1'!"&amp;ADDRESS(ROW(BE109),COLUMN(BE109))),INDIRECT("'Yr2'!"&amp;ADDRESS(ROW(BE109),COLUMN(BE109))),INDIRECT("'Yr3'!"&amp;ADDRESS(ROW(BE109),COLUMN(BE109)))),
BE129*BE96)</f>
        <v>22145.185654786797</v>
      </c>
      <c r="BF109" s="71">
        <f ca="1">IF($C$4=Lookups!$D$40,SUM(INDIRECT("'Yr1'!"&amp;ADDRESS(ROW(BF109),COLUMN(BF109))),INDIRECT("'Yr2'!"&amp;ADDRESS(ROW(BF109),COLUMN(BF109))),INDIRECT("'Yr3'!"&amp;ADDRESS(ROW(BF109),COLUMN(BF109)))),
BF129*BF96)</f>
        <v>22145.185654786797</v>
      </c>
      <c r="BG109" s="71">
        <f ca="1">IF($C$4=Lookups!$D$40,SUM(INDIRECT("'Yr1'!"&amp;ADDRESS(ROW(BG109),COLUMN(BG109))),INDIRECT("'Yr2'!"&amp;ADDRESS(ROW(BG109),COLUMN(BG109))),INDIRECT("'Yr3'!"&amp;ADDRESS(ROW(BG109),COLUMN(BG109)))),
BG129*BG96)</f>
        <v>0</v>
      </c>
      <c r="BH109" s="71">
        <f ca="1">IF($C$4=Lookups!$D$40,SUM(INDIRECT("'Yr1'!"&amp;ADDRESS(ROW(BH109),COLUMN(BH109))),INDIRECT("'Yr2'!"&amp;ADDRESS(ROW(BH109),COLUMN(BH109))),INDIRECT("'Yr3'!"&amp;ADDRESS(ROW(BH109),COLUMN(BH109)))),
BH129*BH96)</f>
        <v>0</v>
      </c>
      <c r="BI109" s="71">
        <f ca="1">IF($C$4=Lookups!$D$40,SUM(INDIRECT("'Yr1'!"&amp;ADDRESS(ROW(BI109),COLUMN(BI109))),INDIRECT("'Yr2'!"&amp;ADDRESS(ROW(BI109),COLUMN(BI109))),INDIRECT("'Yr3'!"&amp;ADDRESS(ROW(BI109),COLUMN(BI109)))),
BI129*BI96)</f>
        <v>0</v>
      </c>
      <c r="BJ109" s="71">
        <f ca="1">IF($C$4=Lookups!$D$40,SUM(INDIRECT("'Yr1'!"&amp;ADDRESS(ROW(BJ109),COLUMN(BJ109))),INDIRECT("'Yr2'!"&amp;ADDRESS(ROW(BJ109),COLUMN(BJ109))),INDIRECT("'Yr3'!"&amp;ADDRESS(ROW(BJ109),COLUMN(BJ109)))),
BJ129*BJ96)</f>
        <v>0</v>
      </c>
      <c r="BK109" s="71">
        <f ca="1">IF($C$4=Lookups!$D$40,SUM(INDIRECT("'Yr1'!"&amp;ADDRESS(ROW(BK109),COLUMN(BK109))),INDIRECT("'Yr2'!"&amp;ADDRESS(ROW(BK109),COLUMN(BK109))),INDIRECT("'Yr3'!"&amp;ADDRESS(ROW(BK109),COLUMN(BK109)))),
BK129*BK96)</f>
        <v>0</v>
      </c>
      <c r="BL109" s="71">
        <f ca="1">IF($C$4=Lookups!$D$40,SUM(INDIRECT("'Yr1'!"&amp;ADDRESS(ROW(BL109),COLUMN(BL109))),INDIRECT("'Yr2'!"&amp;ADDRESS(ROW(BL109),COLUMN(BL109))),INDIRECT("'Yr3'!"&amp;ADDRESS(ROW(BL109),COLUMN(BL109)))),
BL129*BL96)</f>
        <v>0</v>
      </c>
      <c r="BM109" s="71">
        <f ca="1">IF($C$4=Lookups!$D$40,SUM(INDIRECT("'Yr1'!"&amp;ADDRESS(ROW(BM109),COLUMN(BM109))),INDIRECT("'Yr2'!"&amp;ADDRESS(ROW(BM109),COLUMN(BM109))),INDIRECT("'Yr3'!"&amp;ADDRESS(ROW(BM109),COLUMN(BM109)))),
BM129*BM96)</f>
        <v>0</v>
      </c>
      <c r="BN109" s="71"/>
      <c r="BO109" s="71">
        <f ca="1">NPV(Lookups!$E$17,AM109:BM109)</f>
        <v>383430.43629984377</v>
      </c>
      <c r="BP109" s="72"/>
      <c r="BS109" s="84" t="str">
        <f>E109&amp;" rate multiplied by After DSM sales."</f>
        <v>Distribution Lost Revenue rate multiplied by After DSM sales.</v>
      </c>
      <c r="BT109" s="51" t="s">
        <v>17</v>
      </c>
    </row>
    <row r="110" spans="1:72" x14ac:dyDescent="0.25">
      <c r="B110" s="243" t="str">
        <f>B108</f>
        <v>Low-Income</v>
      </c>
      <c r="C110" s="243" t="str">
        <f>C108</f>
        <v>Revenue Requirements</v>
      </c>
      <c r="D110" s="114" t="s">
        <v>125</v>
      </c>
      <c r="E110" s="84"/>
      <c r="F110" s="84"/>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S110" s="84"/>
      <c r="BT110" s="51" t="s">
        <v>17</v>
      </c>
    </row>
    <row r="111" spans="1:72" x14ac:dyDescent="0.25">
      <c r="A111" s="1"/>
      <c r="B111" s="243" t="str">
        <f t="shared" ref="B111:C112" si="99">B110</f>
        <v>Low-Income</v>
      </c>
      <c r="C111" s="243" t="str">
        <f t="shared" si="99"/>
        <v>Revenue Requirements</v>
      </c>
      <c r="D111" s="244" t="str">
        <f>D110</f>
        <v>Revenue Requirement after DSM Scenario</v>
      </c>
      <c r="E111" s="84" t="s">
        <v>26</v>
      </c>
      <c r="F111" s="84" t="s">
        <v>32</v>
      </c>
      <c r="G111" s="64">
        <f ca="1">G100-G105</f>
        <v>1037140.1211891696</v>
      </c>
      <c r="H111" s="64">
        <f t="shared" ref="H111:AG111" ca="1" si="100">H100-H105</f>
        <v>1037140.1211891696</v>
      </c>
      <c r="I111" s="64">
        <f t="shared" ca="1" si="100"/>
        <v>1037140.1211891696</v>
      </c>
      <c r="J111" s="64">
        <f t="shared" ca="1" si="100"/>
        <v>1037140.1211891696</v>
      </c>
      <c r="K111" s="64">
        <f t="shared" ca="1" si="100"/>
        <v>1037140.1211891696</v>
      </c>
      <c r="L111" s="64">
        <f t="shared" ca="1" si="100"/>
        <v>1037140.1211891696</v>
      </c>
      <c r="M111" s="64">
        <f t="shared" ca="1" si="100"/>
        <v>1037140.1211891696</v>
      </c>
      <c r="N111" s="64">
        <f t="shared" ca="1" si="100"/>
        <v>1037140.1211891696</v>
      </c>
      <c r="O111" s="64">
        <f t="shared" ca="1" si="100"/>
        <v>1037140.1211891696</v>
      </c>
      <c r="P111" s="64">
        <f t="shared" ca="1" si="100"/>
        <v>1037140.1211891696</v>
      </c>
      <c r="Q111" s="64">
        <f t="shared" ca="1" si="100"/>
        <v>1037140.1211891696</v>
      </c>
      <c r="R111" s="64">
        <f t="shared" ca="1" si="100"/>
        <v>1037140.1211891696</v>
      </c>
      <c r="S111" s="64">
        <f t="shared" ca="1" si="100"/>
        <v>1037140.1211891696</v>
      </c>
      <c r="T111" s="64">
        <f t="shared" ca="1" si="100"/>
        <v>1037140.1211891696</v>
      </c>
      <c r="U111" s="64">
        <f t="shared" ca="1" si="100"/>
        <v>1037140.1211891696</v>
      </c>
      <c r="V111" s="64">
        <f t="shared" ca="1" si="100"/>
        <v>1037140.1211891696</v>
      </c>
      <c r="W111" s="64">
        <f t="shared" ca="1" si="100"/>
        <v>1037140.1211891696</v>
      </c>
      <c r="X111" s="64">
        <f t="shared" ca="1" si="100"/>
        <v>1037140.1211891696</v>
      </c>
      <c r="Y111" s="64">
        <f t="shared" ca="1" si="100"/>
        <v>1037140.1211891696</v>
      </c>
      <c r="Z111" s="64">
        <f t="shared" ca="1" si="100"/>
        <v>1037140.1211891696</v>
      </c>
      <c r="AA111" s="64">
        <f t="shared" ca="1" si="100"/>
        <v>1041281.9767259974</v>
      </c>
      <c r="AB111" s="64">
        <f t="shared" ca="1" si="100"/>
        <v>1041281.9767259974</v>
      </c>
      <c r="AC111" s="64">
        <f t="shared" ca="1" si="100"/>
        <v>1041281.9767259974</v>
      </c>
      <c r="AD111" s="64">
        <f t="shared" ca="1" si="100"/>
        <v>1041281.9767259974</v>
      </c>
      <c r="AE111" s="64">
        <f t="shared" ca="1" si="100"/>
        <v>1041281.9767259974</v>
      </c>
      <c r="AF111" s="64">
        <f t="shared" ca="1" si="100"/>
        <v>1041281.9767259974</v>
      </c>
      <c r="AG111" s="64">
        <f t="shared" ca="1" si="100"/>
        <v>1041281.9767259974</v>
      </c>
      <c r="AH111" s="64"/>
      <c r="AI111" s="64">
        <f ca="1">NPV(Lookups!$E$17,G111:AG111)</f>
        <v>23162763.125879161</v>
      </c>
      <c r="AJ111" s="64"/>
      <c r="AM111" s="71">
        <f ca="1">AM100-AM105</f>
        <v>1036548.4275410514</v>
      </c>
      <c r="AN111" s="71">
        <f t="shared" ref="AN111:BM111" ca="1" si="101">AN100-AN105</f>
        <v>1036548.4275410514</v>
      </c>
      <c r="AO111" s="71">
        <f t="shared" ca="1" si="101"/>
        <v>1036548.4275410514</v>
      </c>
      <c r="AP111" s="71">
        <f t="shared" ca="1" si="101"/>
        <v>1036548.4275410514</v>
      </c>
      <c r="AQ111" s="71">
        <f t="shared" ca="1" si="101"/>
        <v>1036548.4275410514</v>
      </c>
      <c r="AR111" s="71">
        <f t="shared" ca="1" si="101"/>
        <v>1036548.4275410514</v>
      </c>
      <c r="AS111" s="71">
        <f t="shared" ca="1" si="101"/>
        <v>1036548.4275410514</v>
      </c>
      <c r="AT111" s="71">
        <f t="shared" ca="1" si="101"/>
        <v>1036548.4275410514</v>
      </c>
      <c r="AU111" s="71">
        <f t="shared" ca="1" si="101"/>
        <v>1036548.4275410514</v>
      </c>
      <c r="AV111" s="71">
        <f t="shared" ca="1" si="101"/>
        <v>1036548.4275410514</v>
      </c>
      <c r="AW111" s="71">
        <f t="shared" ca="1" si="101"/>
        <v>1036548.4275410514</v>
      </c>
      <c r="AX111" s="71">
        <f t="shared" ca="1" si="101"/>
        <v>1036548.4275410514</v>
      </c>
      <c r="AY111" s="71">
        <f t="shared" ca="1" si="101"/>
        <v>1036548.4275410514</v>
      </c>
      <c r="AZ111" s="71">
        <f t="shared" ca="1" si="101"/>
        <v>1036548.4275410514</v>
      </c>
      <c r="BA111" s="71">
        <f t="shared" ca="1" si="101"/>
        <v>1036548.4275410514</v>
      </c>
      <c r="BB111" s="71">
        <f t="shared" ca="1" si="101"/>
        <v>1036548.4275410514</v>
      </c>
      <c r="BC111" s="71">
        <f t="shared" ca="1" si="101"/>
        <v>1036548.4275410514</v>
      </c>
      <c r="BD111" s="71">
        <f t="shared" ca="1" si="101"/>
        <v>1036548.4275410514</v>
      </c>
      <c r="BE111" s="71">
        <f t="shared" ca="1" si="101"/>
        <v>1036548.4275410514</v>
      </c>
      <c r="BF111" s="71">
        <f t="shared" ca="1" si="101"/>
        <v>1036548.4275410514</v>
      </c>
      <c r="BG111" s="71">
        <f t="shared" ca="1" si="101"/>
        <v>1041281.9767259974</v>
      </c>
      <c r="BH111" s="71">
        <f t="shared" ca="1" si="101"/>
        <v>1041281.9767259974</v>
      </c>
      <c r="BI111" s="71">
        <f t="shared" ca="1" si="101"/>
        <v>1041281.9767259974</v>
      </c>
      <c r="BJ111" s="71">
        <f t="shared" ca="1" si="101"/>
        <v>1041281.9767259974</v>
      </c>
      <c r="BK111" s="71">
        <f t="shared" ca="1" si="101"/>
        <v>1041281.9767259974</v>
      </c>
      <c r="BL111" s="71">
        <f t="shared" ca="1" si="101"/>
        <v>1041281.9767259974</v>
      </c>
      <c r="BM111" s="71">
        <f t="shared" ca="1" si="101"/>
        <v>1041281.9767259974</v>
      </c>
      <c r="BN111" s="71"/>
      <c r="BO111" s="71">
        <f ca="1">NPV(Lookups!$E$17,AM111:BM111)</f>
        <v>23152518.309818894</v>
      </c>
      <c r="BP111" s="71"/>
      <c r="BS111" s="84" t="s">
        <v>229</v>
      </c>
      <c r="BT111" s="51" t="s">
        <v>17</v>
      </c>
    </row>
    <row r="112" spans="1:72" x14ac:dyDescent="0.25">
      <c r="A112" s="1"/>
      <c r="B112" s="243" t="str">
        <f t="shared" si="99"/>
        <v>Low-Income</v>
      </c>
      <c r="C112" s="243" t="str">
        <f t="shared" si="99"/>
        <v>Revenue Requirements</v>
      </c>
      <c r="D112" s="244" t="str">
        <f>D111</f>
        <v>Revenue Requirement after DSM Scenario</v>
      </c>
      <c r="E112" s="84" t="s">
        <v>407</v>
      </c>
      <c r="F112" s="84" t="s">
        <v>32</v>
      </c>
      <c r="G112" s="64">
        <f>G101</f>
        <v>-154229.37716318635</v>
      </c>
      <c r="H112" s="64">
        <f t="shared" ref="H112:AG112" si="102">H101</f>
        <v>-154229.37716318635</v>
      </c>
      <c r="I112" s="64">
        <f t="shared" si="102"/>
        <v>-154229.37716318635</v>
      </c>
      <c r="J112" s="64">
        <f t="shared" si="102"/>
        <v>-154229.37716318635</v>
      </c>
      <c r="K112" s="64">
        <f t="shared" si="102"/>
        <v>-154229.37716318635</v>
      </c>
      <c r="L112" s="64">
        <f t="shared" si="102"/>
        <v>-154229.37716318635</v>
      </c>
      <c r="M112" s="64">
        <f t="shared" si="102"/>
        <v>-154229.37716318635</v>
      </c>
      <c r="N112" s="64">
        <f t="shared" si="102"/>
        <v>-154229.37716318635</v>
      </c>
      <c r="O112" s="64">
        <f t="shared" si="102"/>
        <v>-154229.37716318635</v>
      </c>
      <c r="P112" s="64">
        <f t="shared" si="102"/>
        <v>-154229.37716318635</v>
      </c>
      <c r="Q112" s="64">
        <f t="shared" si="102"/>
        <v>-154229.37716318635</v>
      </c>
      <c r="R112" s="64">
        <f t="shared" si="102"/>
        <v>-154229.37716318635</v>
      </c>
      <c r="S112" s="64">
        <f t="shared" si="102"/>
        <v>-154229.37716318635</v>
      </c>
      <c r="T112" s="64">
        <f t="shared" si="102"/>
        <v>-154229.37716318635</v>
      </c>
      <c r="U112" s="64">
        <f t="shared" si="102"/>
        <v>-154229.37716318635</v>
      </c>
      <c r="V112" s="64">
        <f t="shared" si="102"/>
        <v>-154229.37716318635</v>
      </c>
      <c r="W112" s="64">
        <f t="shared" si="102"/>
        <v>-154229.37716318635</v>
      </c>
      <c r="X112" s="64">
        <f t="shared" si="102"/>
        <v>-154229.37716318635</v>
      </c>
      <c r="Y112" s="64">
        <f t="shared" si="102"/>
        <v>-154229.37716318635</v>
      </c>
      <c r="Z112" s="64">
        <f t="shared" si="102"/>
        <v>-154229.37716318635</v>
      </c>
      <c r="AA112" s="64">
        <f t="shared" si="102"/>
        <v>-154229.37716318635</v>
      </c>
      <c r="AB112" s="64">
        <f t="shared" si="102"/>
        <v>-154229.37716318635</v>
      </c>
      <c r="AC112" s="64">
        <f t="shared" si="102"/>
        <v>-154229.37716318635</v>
      </c>
      <c r="AD112" s="64">
        <f t="shared" si="102"/>
        <v>-154229.37716318635</v>
      </c>
      <c r="AE112" s="64">
        <f t="shared" si="102"/>
        <v>-154229.37716318635</v>
      </c>
      <c r="AF112" s="64">
        <f t="shared" si="102"/>
        <v>-154229.37716318635</v>
      </c>
      <c r="AG112" s="64">
        <f t="shared" si="102"/>
        <v>-154229.37716318635</v>
      </c>
      <c r="AH112" s="64"/>
      <c r="AI112" s="64">
        <f>NPV(Lookups!$E$17,G112:AG112)</f>
        <v>-3441372.2426568004</v>
      </c>
      <c r="AJ112" s="64"/>
      <c r="AM112" s="71">
        <f>AM101</f>
        <v>-154229.37716318635</v>
      </c>
      <c r="AN112" s="71">
        <f t="shared" ref="AN112:BM112" si="103">AN101</f>
        <v>-154229.37716318635</v>
      </c>
      <c r="AO112" s="71">
        <f t="shared" si="103"/>
        <v>-154229.37716318635</v>
      </c>
      <c r="AP112" s="71">
        <f t="shared" si="103"/>
        <v>-154229.37716318635</v>
      </c>
      <c r="AQ112" s="71">
        <f t="shared" si="103"/>
        <v>-154229.37716318635</v>
      </c>
      <c r="AR112" s="71">
        <f t="shared" si="103"/>
        <v>-154229.37716318635</v>
      </c>
      <c r="AS112" s="71">
        <f t="shared" si="103"/>
        <v>-154229.37716318635</v>
      </c>
      <c r="AT112" s="71">
        <f t="shared" si="103"/>
        <v>-154229.37716318635</v>
      </c>
      <c r="AU112" s="71">
        <f t="shared" si="103"/>
        <v>-154229.37716318635</v>
      </c>
      <c r="AV112" s="71">
        <f t="shared" si="103"/>
        <v>-154229.37716318635</v>
      </c>
      <c r="AW112" s="71">
        <f t="shared" si="103"/>
        <v>-154229.37716318635</v>
      </c>
      <c r="AX112" s="71">
        <f t="shared" si="103"/>
        <v>-154229.37716318635</v>
      </c>
      <c r="AY112" s="71">
        <f t="shared" si="103"/>
        <v>-154229.37716318635</v>
      </c>
      <c r="AZ112" s="71">
        <f t="shared" si="103"/>
        <v>-154229.37716318635</v>
      </c>
      <c r="BA112" s="71">
        <f t="shared" si="103"/>
        <v>-154229.37716318635</v>
      </c>
      <c r="BB112" s="71">
        <f t="shared" si="103"/>
        <v>-154229.37716318635</v>
      </c>
      <c r="BC112" s="71">
        <f t="shared" si="103"/>
        <v>-154229.37716318635</v>
      </c>
      <c r="BD112" s="71">
        <f t="shared" si="103"/>
        <v>-154229.37716318635</v>
      </c>
      <c r="BE112" s="71">
        <f t="shared" si="103"/>
        <v>-154229.37716318635</v>
      </c>
      <c r="BF112" s="71">
        <f t="shared" si="103"/>
        <v>-154229.37716318635</v>
      </c>
      <c r="BG112" s="71">
        <f t="shared" si="103"/>
        <v>-154229.37716318635</v>
      </c>
      <c r="BH112" s="71">
        <f t="shared" si="103"/>
        <v>-154229.37716318635</v>
      </c>
      <c r="BI112" s="71">
        <f t="shared" si="103"/>
        <v>-154229.37716318635</v>
      </c>
      <c r="BJ112" s="71">
        <f t="shared" si="103"/>
        <v>-154229.37716318635</v>
      </c>
      <c r="BK112" s="71">
        <f t="shared" si="103"/>
        <v>-154229.37716318635</v>
      </c>
      <c r="BL112" s="71">
        <f t="shared" si="103"/>
        <v>-154229.37716318635</v>
      </c>
      <c r="BM112" s="71">
        <f t="shared" si="103"/>
        <v>-154229.37716318635</v>
      </c>
      <c r="BN112" s="71"/>
      <c r="BO112" s="71">
        <f>NPV(Lookups!$E$17,AM112:BM112)</f>
        <v>-3441372.2426568004</v>
      </c>
      <c r="BP112" s="71"/>
      <c r="BS112" s="84" t="s">
        <v>230</v>
      </c>
      <c r="BT112" s="51" t="s">
        <v>17</v>
      </c>
    </row>
    <row r="113" spans="1:72" x14ac:dyDescent="0.25">
      <c r="A113" s="1"/>
      <c r="B113" s="243" t="str">
        <f>B111</f>
        <v>Low-Income</v>
      </c>
      <c r="C113" s="243" t="str">
        <f>C111</f>
        <v>Revenue Requirements</v>
      </c>
      <c r="D113" s="244" t="str">
        <f>D111</f>
        <v>Revenue Requirement after DSM Scenario</v>
      </c>
      <c r="E113" s="84" t="s">
        <v>197</v>
      </c>
      <c r="F113" s="84" t="s">
        <v>32</v>
      </c>
      <c r="G113" s="64">
        <f ca="1">G102-G104-G106</f>
        <v>2831938.7032901593</v>
      </c>
      <c r="H113" s="64">
        <f t="shared" ref="H113:AG113" ca="1" si="104">H102-H104-H106</f>
        <v>2831938.7032901593</v>
      </c>
      <c r="I113" s="64">
        <f t="shared" ca="1" si="104"/>
        <v>2831938.7032901593</v>
      </c>
      <c r="J113" s="64">
        <f t="shared" ca="1" si="104"/>
        <v>2831938.7032901593</v>
      </c>
      <c r="K113" s="64">
        <f t="shared" ca="1" si="104"/>
        <v>2831938.7032901593</v>
      </c>
      <c r="L113" s="64">
        <f t="shared" ca="1" si="104"/>
        <v>2831938.7032901593</v>
      </c>
      <c r="M113" s="64">
        <f t="shared" ca="1" si="104"/>
        <v>2831938.7032901593</v>
      </c>
      <c r="N113" s="64">
        <f t="shared" ca="1" si="104"/>
        <v>2831938.7032901593</v>
      </c>
      <c r="O113" s="64">
        <f t="shared" ca="1" si="104"/>
        <v>2831938.7032901593</v>
      </c>
      <c r="P113" s="64">
        <f t="shared" ca="1" si="104"/>
        <v>2831938.7032901593</v>
      </c>
      <c r="Q113" s="64">
        <f t="shared" ca="1" si="104"/>
        <v>2831938.7032901593</v>
      </c>
      <c r="R113" s="64">
        <f t="shared" ca="1" si="104"/>
        <v>2831938.7032901593</v>
      </c>
      <c r="S113" s="64">
        <f t="shared" ca="1" si="104"/>
        <v>2831938.7032901593</v>
      </c>
      <c r="T113" s="64">
        <f t="shared" ca="1" si="104"/>
        <v>2831938.7032901593</v>
      </c>
      <c r="U113" s="64">
        <f t="shared" ca="1" si="104"/>
        <v>2831938.7032901593</v>
      </c>
      <c r="V113" s="64">
        <f t="shared" ca="1" si="104"/>
        <v>2831938.7032901593</v>
      </c>
      <c r="W113" s="64">
        <f t="shared" ca="1" si="104"/>
        <v>2831938.7032901593</v>
      </c>
      <c r="X113" s="64">
        <f t="shared" ca="1" si="104"/>
        <v>2831938.7032901593</v>
      </c>
      <c r="Y113" s="64">
        <f t="shared" ca="1" si="104"/>
        <v>2831938.7032901593</v>
      </c>
      <c r="Z113" s="64">
        <f t="shared" ca="1" si="104"/>
        <v>2831938.7032901593</v>
      </c>
      <c r="AA113" s="64">
        <f t="shared" ca="1" si="104"/>
        <v>2899044.9289189233</v>
      </c>
      <c r="AB113" s="64">
        <f t="shared" ca="1" si="104"/>
        <v>2899044.9289189233</v>
      </c>
      <c r="AC113" s="64">
        <f t="shared" ca="1" si="104"/>
        <v>2899044.9289189233</v>
      </c>
      <c r="AD113" s="64">
        <f t="shared" ca="1" si="104"/>
        <v>2899044.9289189233</v>
      </c>
      <c r="AE113" s="64">
        <f t="shared" ca="1" si="104"/>
        <v>2899044.9289189233</v>
      </c>
      <c r="AF113" s="64">
        <f t="shared" ca="1" si="104"/>
        <v>2899044.9289189233</v>
      </c>
      <c r="AG113" s="64">
        <f t="shared" ca="1" si="104"/>
        <v>2899044.9289189233</v>
      </c>
      <c r="AH113" s="64"/>
      <c r="AI113" s="64">
        <f ca="1">NPV(Lookups!$E$17,G113:AG113)</f>
        <v>63525466.231823452</v>
      </c>
      <c r="AJ113" s="64"/>
      <c r="AM113" s="71">
        <f ca="1">AM102-AM104-AM106</f>
        <v>2822352.0996289072</v>
      </c>
      <c r="AN113" s="71">
        <f t="shared" ref="AN113:BM113" ca="1" si="105">AN102-AN104-AN106</f>
        <v>2822352.0996289072</v>
      </c>
      <c r="AO113" s="71">
        <f t="shared" ca="1" si="105"/>
        <v>2822352.0996289072</v>
      </c>
      <c r="AP113" s="71">
        <f t="shared" ca="1" si="105"/>
        <v>2822352.0996289072</v>
      </c>
      <c r="AQ113" s="71">
        <f t="shared" ca="1" si="105"/>
        <v>2822352.0996289072</v>
      </c>
      <c r="AR113" s="71">
        <f t="shared" ca="1" si="105"/>
        <v>2822352.0996289072</v>
      </c>
      <c r="AS113" s="71">
        <f t="shared" ca="1" si="105"/>
        <v>2822352.0996289072</v>
      </c>
      <c r="AT113" s="71">
        <f t="shared" ca="1" si="105"/>
        <v>2822352.0996289072</v>
      </c>
      <c r="AU113" s="71">
        <f t="shared" ca="1" si="105"/>
        <v>2822352.0996289072</v>
      </c>
      <c r="AV113" s="71">
        <f t="shared" ca="1" si="105"/>
        <v>2822352.0996289072</v>
      </c>
      <c r="AW113" s="71">
        <f t="shared" ca="1" si="105"/>
        <v>2822352.0996289072</v>
      </c>
      <c r="AX113" s="71">
        <f t="shared" ca="1" si="105"/>
        <v>2822352.0996289072</v>
      </c>
      <c r="AY113" s="71">
        <f t="shared" ca="1" si="105"/>
        <v>2822352.0996289072</v>
      </c>
      <c r="AZ113" s="71">
        <f t="shared" ca="1" si="105"/>
        <v>2822352.0996289072</v>
      </c>
      <c r="BA113" s="71">
        <f t="shared" ca="1" si="105"/>
        <v>2822352.0996289072</v>
      </c>
      <c r="BB113" s="71">
        <f t="shared" ca="1" si="105"/>
        <v>2822352.0996289072</v>
      </c>
      <c r="BC113" s="71">
        <f t="shared" ca="1" si="105"/>
        <v>2822352.0996289072</v>
      </c>
      <c r="BD113" s="71">
        <f t="shared" ca="1" si="105"/>
        <v>2822352.0996289072</v>
      </c>
      <c r="BE113" s="71">
        <f t="shared" ca="1" si="105"/>
        <v>2822352.0996289072</v>
      </c>
      <c r="BF113" s="71">
        <f t="shared" ca="1" si="105"/>
        <v>2822352.0996289072</v>
      </c>
      <c r="BG113" s="71">
        <f t="shared" ca="1" si="105"/>
        <v>2899044.9289189233</v>
      </c>
      <c r="BH113" s="71">
        <f t="shared" ca="1" si="105"/>
        <v>2899044.9289189233</v>
      </c>
      <c r="BI113" s="71">
        <f t="shared" ca="1" si="105"/>
        <v>2899044.9289189233</v>
      </c>
      <c r="BJ113" s="71">
        <f t="shared" ca="1" si="105"/>
        <v>2899044.9289189233</v>
      </c>
      <c r="BK113" s="71">
        <f t="shared" ca="1" si="105"/>
        <v>2899044.9289189233</v>
      </c>
      <c r="BL113" s="71">
        <f t="shared" ca="1" si="105"/>
        <v>2899044.9289189233</v>
      </c>
      <c r="BM113" s="71">
        <f t="shared" ca="1" si="105"/>
        <v>2899044.9289189233</v>
      </c>
      <c r="BN113" s="71"/>
      <c r="BO113" s="71">
        <f ca="1">NPV(Lookups!$E$17,AM113:BM113)</f>
        <v>63359480.013339303</v>
      </c>
      <c r="BP113" s="71"/>
      <c r="BS113" s="84" t="s">
        <v>231</v>
      </c>
      <c r="BT113" s="51" t="s">
        <v>17</v>
      </c>
    </row>
    <row r="114" spans="1:72" x14ac:dyDescent="0.25">
      <c r="B114" s="243" t="str">
        <f t="shared" ref="B114:C118" si="106">B113</f>
        <v>Low-Income</v>
      </c>
      <c r="C114" s="243" t="str">
        <f t="shared" si="106"/>
        <v>Revenue Requirements</v>
      </c>
      <c r="D114" s="244"/>
      <c r="E114" s="84" t="s">
        <v>17</v>
      </c>
      <c r="F114" s="84"/>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S114" s="84"/>
      <c r="BT114" s="51" t="s">
        <v>17</v>
      </c>
    </row>
    <row r="115" spans="1:72" s="5" customFormat="1" ht="15.75" x14ac:dyDescent="0.25">
      <c r="A115" s="52"/>
      <c r="B115" s="241" t="str">
        <f t="shared" si="106"/>
        <v>Low-Income</v>
      </c>
      <c r="C115" s="63" t="s">
        <v>30</v>
      </c>
      <c r="D115" s="61"/>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2"/>
      <c r="BO115" s="62"/>
      <c r="BP115" s="62"/>
      <c r="BS115" s="62"/>
      <c r="BT115" s="51" t="s">
        <v>17</v>
      </c>
    </row>
    <row r="116" spans="1:72" x14ac:dyDescent="0.25">
      <c r="B116" s="243" t="str">
        <f t="shared" si="106"/>
        <v>Low-Income</v>
      </c>
      <c r="C116" s="243" t="str">
        <f t="shared" si="106"/>
        <v>Rates</v>
      </c>
      <c r="D116" s="114" t="str">
        <f>"Rates before DSM ("&amp;Lookups!$D$22&amp;" Scenario)"</f>
        <v>Rates before DSM (No EE Scenario)</v>
      </c>
      <c r="E116" s="84"/>
      <c r="F116" s="84"/>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S116" s="84"/>
      <c r="BT116" s="51" t="s">
        <v>17</v>
      </c>
    </row>
    <row r="117" spans="1:72" x14ac:dyDescent="0.25">
      <c r="B117" s="243" t="str">
        <f t="shared" si="106"/>
        <v>Low-Income</v>
      </c>
      <c r="C117" s="243" t="str">
        <f t="shared" si="106"/>
        <v>Rates</v>
      </c>
      <c r="D117" s="244" t="str">
        <f>D116</f>
        <v>Rates before DSM (No EE Scenario)</v>
      </c>
      <c r="E117" s="84" t="s">
        <v>26</v>
      </c>
      <c r="F117" s="84" t="s">
        <v>182</v>
      </c>
      <c r="G117" s="506">
        <f>IF(G$8=0,0,INDEX('R&amp;B Inputs'!$I$78:$V$78,MATCH($B117,'R&amp;B Inputs'!$I$4:$V$4,0))*(1+INDEX('R&amp;B Inputs'!$I$48:$V$48,MATCH($B117,'R&amp;B Inputs'!$I$4:$V$4,0)))^(G$7-Year1))</f>
        <v>0.2228</v>
      </c>
      <c r="H117" s="506">
        <f>IF(H$8=0,0,INDEX('R&amp;B Inputs'!$I$78:$V$78,MATCH($B117,'R&amp;B Inputs'!$I$4:$V$4,0))*(1+INDEX('R&amp;B Inputs'!$I$48:$V$48,MATCH($B117,'R&amp;B Inputs'!$I$4:$V$4,0)))^(H$7-Year1))</f>
        <v>0.2228</v>
      </c>
      <c r="I117" s="506">
        <f>IF(I$8=0,0,INDEX('R&amp;B Inputs'!$I$78:$V$78,MATCH($B117,'R&amp;B Inputs'!$I$4:$V$4,0))*(1+INDEX('R&amp;B Inputs'!$I$48:$V$48,MATCH($B117,'R&amp;B Inputs'!$I$4:$V$4,0)))^(I$7-Year1))</f>
        <v>0.2228</v>
      </c>
      <c r="J117" s="506">
        <f>IF(J$8=0,0,INDEX('R&amp;B Inputs'!$I$78:$V$78,MATCH($B117,'R&amp;B Inputs'!$I$4:$V$4,0))*(1+INDEX('R&amp;B Inputs'!$I$48:$V$48,MATCH($B117,'R&amp;B Inputs'!$I$4:$V$4,0)))^(J$7-Year1))</f>
        <v>0.2228</v>
      </c>
      <c r="K117" s="506">
        <f>IF(K$8=0,0,INDEX('R&amp;B Inputs'!$I$78:$V$78,MATCH($B117,'R&amp;B Inputs'!$I$4:$V$4,0))*(1+INDEX('R&amp;B Inputs'!$I$48:$V$48,MATCH($B117,'R&amp;B Inputs'!$I$4:$V$4,0)))^(K$7-Year1))</f>
        <v>0.2228</v>
      </c>
      <c r="L117" s="506">
        <f>IF(L$8=0,0,INDEX('R&amp;B Inputs'!$I$78:$V$78,MATCH($B117,'R&amp;B Inputs'!$I$4:$V$4,0))*(1+INDEX('R&amp;B Inputs'!$I$48:$V$48,MATCH($B117,'R&amp;B Inputs'!$I$4:$V$4,0)))^(L$7-Year1))</f>
        <v>0.2228</v>
      </c>
      <c r="M117" s="506">
        <f>IF(M$8=0,0,INDEX('R&amp;B Inputs'!$I$78:$V$78,MATCH($B117,'R&amp;B Inputs'!$I$4:$V$4,0))*(1+INDEX('R&amp;B Inputs'!$I$48:$V$48,MATCH($B117,'R&amp;B Inputs'!$I$4:$V$4,0)))^(M$7-Year1))</f>
        <v>0.2228</v>
      </c>
      <c r="N117" s="506">
        <f>IF(N$8=0,0,INDEX('R&amp;B Inputs'!$I$78:$V$78,MATCH($B117,'R&amp;B Inputs'!$I$4:$V$4,0))*(1+INDEX('R&amp;B Inputs'!$I$48:$V$48,MATCH($B117,'R&amp;B Inputs'!$I$4:$V$4,0)))^(N$7-Year1))</f>
        <v>0.2228</v>
      </c>
      <c r="O117" s="506">
        <f>IF(O$8=0,0,INDEX('R&amp;B Inputs'!$I$78:$V$78,MATCH($B117,'R&amp;B Inputs'!$I$4:$V$4,0))*(1+INDEX('R&amp;B Inputs'!$I$48:$V$48,MATCH($B117,'R&amp;B Inputs'!$I$4:$V$4,0)))^(O$7-Year1))</f>
        <v>0.2228</v>
      </c>
      <c r="P117" s="506">
        <f>IF(P$8=0,0,INDEX('R&amp;B Inputs'!$I$78:$V$78,MATCH($B117,'R&amp;B Inputs'!$I$4:$V$4,0))*(1+INDEX('R&amp;B Inputs'!$I$48:$V$48,MATCH($B117,'R&amp;B Inputs'!$I$4:$V$4,0)))^(P$7-Year1))</f>
        <v>0.2228</v>
      </c>
      <c r="Q117" s="506">
        <f>IF(Q$8=0,0,INDEX('R&amp;B Inputs'!$I$78:$V$78,MATCH($B117,'R&amp;B Inputs'!$I$4:$V$4,0))*(1+INDEX('R&amp;B Inputs'!$I$48:$V$48,MATCH($B117,'R&amp;B Inputs'!$I$4:$V$4,0)))^(Q$7-Year1))</f>
        <v>0.2228</v>
      </c>
      <c r="R117" s="506">
        <f>IF(R$8=0,0,INDEX('R&amp;B Inputs'!$I$78:$V$78,MATCH($B117,'R&amp;B Inputs'!$I$4:$V$4,0))*(1+INDEX('R&amp;B Inputs'!$I$48:$V$48,MATCH($B117,'R&amp;B Inputs'!$I$4:$V$4,0)))^(R$7-Year1))</f>
        <v>0.2228</v>
      </c>
      <c r="S117" s="506">
        <f>IF(S$8=0,0,INDEX('R&amp;B Inputs'!$I$78:$V$78,MATCH($B117,'R&amp;B Inputs'!$I$4:$V$4,0))*(1+INDEX('R&amp;B Inputs'!$I$48:$V$48,MATCH($B117,'R&amp;B Inputs'!$I$4:$V$4,0)))^(S$7-Year1))</f>
        <v>0.2228</v>
      </c>
      <c r="T117" s="506">
        <f>IF(T$8=0,0,INDEX('R&amp;B Inputs'!$I$78:$V$78,MATCH($B117,'R&amp;B Inputs'!$I$4:$V$4,0))*(1+INDEX('R&amp;B Inputs'!$I$48:$V$48,MATCH($B117,'R&amp;B Inputs'!$I$4:$V$4,0)))^(T$7-Year1))</f>
        <v>0.2228</v>
      </c>
      <c r="U117" s="506">
        <f>IF(U$8=0,0,INDEX('R&amp;B Inputs'!$I$78:$V$78,MATCH($B117,'R&amp;B Inputs'!$I$4:$V$4,0))*(1+INDEX('R&amp;B Inputs'!$I$48:$V$48,MATCH($B117,'R&amp;B Inputs'!$I$4:$V$4,0)))^(U$7-Year1))</f>
        <v>0.2228</v>
      </c>
      <c r="V117" s="506">
        <f>IF(V$8=0,0,INDEX('R&amp;B Inputs'!$I$78:$V$78,MATCH($B117,'R&amp;B Inputs'!$I$4:$V$4,0))*(1+INDEX('R&amp;B Inputs'!$I$48:$V$48,MATCH($B117,'R&amp;B Inputs'!$I$4:$V$4,0)))^(V$7-Year1))</f>
        <v>0.2228</v>
      </c>
      <c r="W117" s="506">
        <f>IF(W$8=0,0,INDEX('R&amp;B Inputs'!$I$78:$V$78,MATCH($B117,'R&amp;B Inputs'!$I$4:$V$4,0))*(1+INDEX('R&amp;B Inputs'!$I$48:$V$48,MATCH($B117,'R&amp;B Inputs'!$I$4:$V$4,0)))^(W$7-Year1))</f>
        <v>0.2228</v>
      </c>
      <c r="X117" s="506">
        <f>IF(X$8=0,0,INDEX('R&amp;B Inputs'!$I$78:$V$78,MATCH($B117,'R&amp;B Inputs'!$I$4:$V$4,0))*(1+INDEX('R&amp;B Inputs'!$I$48:$V$48,MATCH($B117,'R&amp;B Inputs'!$I$4:$V$4,0)))^(X$7-Year1))</f>
        <v>0.2228</v>
      </c>
      <c r="Y117" s="506">
        <f>IF(Y$8=0,0,INDEX('R&amp;B Inputs'!$I$78:$V$78,MATCH($B117,'R&amp;B Inputs'!$I$4:$V$4,0))*(1+INDEX('R&amp;B Inputs'!$I$48:$V$48,MATCH($B117,'R&amp;B Inputs'!$I$4:$V$4,0)))^(Y$7-Year1))</f>
        <v>0.2228</v>
      </c>
      <c r="Z117" s="506">
        <f>IF(Z$8=0,0,INDEX('R&amp;B Inputs'!$I$78:$V$78,MATCH($B117,'R&amp;B Inputs'!$I$4:$V$4,0))*(1+INDEX('R&amp;B Inputs'!$I$48:$V$48,MATCH($B117,'R&amp;B Inputs'!$I$4:$V$4,0)))^(Z$7-Year1))</f>
        <v>0.2228</v>
      </c>
      <c r="AA117" s="506">
        <f>IF(AA$8=0,0,INDEX('R&amp;B Inputs'!$I$78:$V$78,MATCH($B117,'R&amp;B Inputs'!$I$4:$V$4,0))*(1+INDEX('R&amp;B Inputs'!$I$48:$V$48,MATCH($B117,'R&amp;B Inputs'!$I$4:$V$4,0)))^(AA$7-Year1))</f>
        <v>0.2228</v>
      </c>
      <c r="AB117" s="506">
        <f>IF(AB$8=0,0,INDEX('R&amp;B Inputs'!$I$78:$V$78,MATCH($B117,'R&amp;B Inputs'!$I$4:$V$4,0))*(1+INDEX('R&amp;B Inputs'!$I$48:$V$48,MATCH($B117,'R&amp;B Inputs'!$I$4:$V$4,0)))^(AB$7-Year1))</f>
        <v>0.2228</v>
      </c>
      <c r="AC117" s="506">
        <f>IF(AC$8=0,0,INDEX('R&amp;B Inputs'!$I$78:$V$78,MATCH($B117,'R&amp;B Inputs'!$I$4:$V$4,0))*(1+INDEX('R&amp;B Inputs'!$I$48:$V$48,MATCH($B117,'R&amp;B Inputs'!$I$4:$V$4,0)))^(AC$7-Year1))</f>
        <v>0.2228</v>
      </c>
      <c r="AD117" s="506">
        <f>IF(AD$8=0,0,INDEX('R&amp;B Inputs'!$I$78:$V$78,MATCH($B117,'R&amp;B Inputs'!$I$4:$V$4,0))*(1+INDEX('R&amp;B Inputs'!$I$48:$V$48,MATCH($B117,'R&amp;B Inputs'!$I$4:$V$4,0)))^(AD$7-Year1))</f>
        <v>0.2228</v>
      </c>
      <c r="AE117" s="506">
        <f>IF(AE$8=0,0,INDEX('R&amp;B Inputs'!$I$78:$V$78,MATCH($B117,'R&amp;B Inputs'!$I$4:$V$4,0))*(1+INDEX('R&amp;B Inputs'!$I$48:$V$48,MATCH($B117,'R&amp;B Inputs'!$I$4:$V$4,0)))^(AE$7-Year1))</f>
        <v>0.2228</v>
      </c>
      <c r="AF117" s="506">
        <f>IF(AF$8=0,0,INDEX('R&amp;B Inputs'!$I$78:$V$78,MATCH($B117,'R&amp;B Inputs'!$I$4:$V$4,0))*(1+INDEX('R&amp;B Inputs'!$I$48:$V$48,MATCH($B117,'R&amp;B Inputs'!$I$4:$V$4,0)))^(AF$7-Year1))</f>
        <v>0.2228</v>
      </c>
      <c r="AG117" s="506">
        <f>IF(AG$8=0,0,INDEX('R&amp;B Inputs'!$I$78:$V$78,MATCH($B117,'R&amp;B Inputs'!$I$4:$V$4,0))*(1+INDEX('R&amp;B Inputs'!$I$48:$V$48,MATCH($B117,'R&amp;B Inputs'!$I$4:$V$4,0)))^(AG$7-Year1))</f>
        <v>0.2228</v>
      </c>
      <c r="AH117" s="506"/>
      <c r="AI117" s="506"/>
      <c r="AJ117" s="506">
        <f>IF($C$4=Year1,-PMT(Lookups!$E$17,25,NPV(Lookups!$E$17,G117:AE117),0,1),IF($C$4=Year2,-PMT(Lookups!$F$17,25,NPV(Lookups!$F$17,H117:AF117),0,1),IF($C$4=Year3,-PMT(Lookups!$G$17,25,NPV(Lookups!$G$17,I117:AG117),0,1),-PMT(Lookups!$G$17,27,NPV(Lookups!$G$17,G117:AG117),0,1))))</f>
        <v>0.21969266828087164</v>
      </c>
      <c r="AK117" s="507"/>
      <c r="AL117" s="507"/>
      <c r="AM117" s="508">
        <f>IF(AM$8=0,0,INDEX('R&amp;B Inputs'!$I$78:$V$78,MATCH($B117,'R&amp;B Inputs'!$I$4:$V$4,0))*(1+INDEX('R&amp;B Inputs'!$I$48:$V$48,MATCH($B117,'R&amp;B Inputs'!$I$4:$V$4,0)))^(AM$7-Year1))</f>
        <v>0.2228</v>
      </c>
      <c r="AN117" s="508">
        <f>IF(AN$8=0,0,INDEX('R&amp;B Inputs'!$I$78:$V$78,MATCH($B117,'R&amp;B Inputs'!$I$4:$V$4,0))*(1+INDEX('R&amp;B Inputs'!$I$48:$V$48,MATCH($B117,'R&amp;B Inputs'!$I$4:$V$4,0)))^(AN$7-Year1))</f>
        <v>0.2228</v>
      </c>
      <c r="AO117" s="508">
        <f>IF(AO$8=0,0,INDEX('R&amp;B Inputs'!$I$78:$V$78,MATCH($B117,'R&amp;B Inputs'!$I$4:$V$4,0))*(1+INDEX('R&amp;B Inputs'!$I$48:$V$48,MATCH($B117,'R&amp;B Inputs'!$I$4:$V$4,0)))^(AO$7-Year1))</f>
        <v>0.2228</v>
      </c>
      <c r="AP117" s="508">
        <f>IF(AP$8=0,0,INDEX('R&amp;B Inputs'!$I$78:$V$78,MATCH($B117,'R&amp;B Inputs'!$I$4:$V$4,0))*(1+INDEX('R&amp;B Inputs'!$I$48:$V$48,MATCH($B117,'R&amp;B Inputs'!$I$4:$V$4,0)))^(AP$7-Year1))</f>
        <v>0.2228</v>
      </c>
      <c r="AQ117" s="508">
        <f>IF(AQ$8=0,0,INDEX('R&amp;B Inputs'!$I$78:$V$78,MATCH($B117,'R&amp;B Inputs'!$I$4:$V$4,0))*(1+INDEX('R&amp;B Inputs'!$I$48:$V$48,MATCH($B117,'R&amp;B Inputs'!$I$4:$V$4,0)))^(AQ$7-Year1))</f>
        <v>0.2228</v>
      </c>
      <c r="AR117" s="508">
        <f>IF(AR$8=0,0,INDEX('R&amp;B Inputs'!$I$78:$V$78,MATCH($B117,'R&amp;B Inputs'!$I$4:$V$4,0))*(1+INDEX('R&amp;B Inputs'!$I$48:$V$48,MATCH($B117,'R&amp;B Inputs'!$I$4:$V$4,0)))^(AR$7-Year1))</f>
        <v>0.2228</v>
      </c>
      <c r="AS117" s="508">
        <f>IF(AS$8=0,0,INDEX('R&amp;B Inputs'!$I$78:$V$78,MATCH($B117,'R&amp;B Inputs'!$I$4:$V$4,0))*(1+INDEX('R&amp;B Inputs'!$I$48:$V$48,MATCH($B117,'R&amp;B Inputs'!$I$4:$V$4,0)))^(AS$7-Year1))</f>
        <v>0.2228</v>
      </c>
      <c r="AT117" s="508">
        <f>IF(AT$8=0,0,INDEX('R&amp;B Inputs'!$I$78:$V$78,MATCH($B117,'R&amp;B Inputs'!$I$4:$V$4,0))*(1+INDEX('R&amp;B Inputs'!$I$48:$V$48,MATCH($B117,'R&amp;B Inputs'!$I$4:$V$4,0)))^(AT$7-Year1))</f>
        <v>0.2228</v>
      </c>
      <c r="AU117" s="508">
        <f>IF(AU$8=0,0,INDEX('R&amp;B Inputs'!$I$78:$V$78,MATCH($B117,'R&amp;B Inputs'!$I$4:$V$4,0))*(1+INDEX('R&amp;B Inputs'!$I$48:$V$48,MATCH($B117,'R&amp;B Inputs'!$I$4:$V$4,0)))^(AU$7-Year1))</f>
        <v>0.2228</v>
      </c>
      <c r="AV117" s="508">
        <f>IF(AV$8=0,0,INDEX('R&amp;B Inputs'!$I$78:$V$78,MATCH($B117,'R&amp;B Inputs'!$I$4:$V$4,0))*(1+INDEX('R&amp;B Inputs'!$I$48:$V$48,MATCH($B117,'R&amp;B Inputs'!$I$4:$V$4,0)))^(AV$7-Year1))</f>
        <v>0.2228</v>
      </c>
      <c r="AW117" s="508">
        <f>IF(AW$8=0,0,INDEX('R&amp;B Inputs'!$I$78:$V$78,MATCH($B117,'R&amp;B Inputs'!$I$4:$V$4,0))*(1+INDEX('R&amp;B Inputs'!$I$48:$V$48,MATCH($B117,'R&amp;B Inputs'!$I$4:$V$4,0)))^(AW$7-Year1))</f>
        <v>0.2228</v>
      </c>
      <c r="AX117" s="508">
        <f>IF(AX$8=0,0,INDEX('R&amp;B Inputs'!$I$78:$V$78,MATCH($B117,'R&amp;B Inputs'!$I$4:$V$4,0))*(1+INDEX('R&amp;B Inputs'!$I$48:$V$48,MATCH($B117,'R&amp;B Inputs'!$I$4:$V$4,0)))^(AX$7-Year1))</f>
        <v>0.2228</v>
      </c>
      <c r="AY117" s="508">
        <f>IF(AY$8=0,0,INDEX('R&amp;B Inputs'!$I$78:$V$78,MATCH($B117,'R&amp;B Inputs'!$I$4:$V$4,0))*(1+INDEX('R&amp;B Inputs'!$I$48:$V$48,MATCH($B117,'R&amp;B Inputs'!$I$4:$V$4,0)))^(AY$7-Year1))</f>
        <v>0.2228</v>
      </c>
      <c r="AZ117" s="508">
        <f>IF(AZ$8=0,0,INDEX('R&amp;B Inputs'!$I$78:$V$78,MATCH($B117,'R&amp;B Inputs'!$I$4:$V$4,0))*(1+INDEX('R&amp;B Inputs'!$I$48:$V$48,MATCH($B117,'R&amp;B Inputs'!$I$4:$V$4,0)))^(AZ$7-Year1))</f>
        <v>0.2228</v>
      </c>
      <c r="BA117" s="508">
        <f>IF(BA$8=0,0,INDEX('R&amp;B Inputs'!$I$78:$V$78,MATCH($B117,'R&amp;B Inputs'!$I$4:$V$4,0))*(1+INDEX('R&amp;B Inputs'!$I$48:$V$48,MATCH($B117,'R&amp;B Inputs'!$I$4:$V$4,0)))^(BA$7-Year1))</f>
        <v>0.2228</v>
      </c>
      <c r="BB117" s="508">
        <f>IF(BB$8=0,0,INDEX('R&amp;B Inputs'!$I$78:$V$78,MATCH($B117,'R&amp;B Inputs'!$I$4:$V$4,0))*(1+INDEX('R&amp;B Inputs'!$I$48:$V$48,MATCH($B117,'R&amp;B Inputs'!$I$4:$V$4,0)))^(BB$7-Year1))</f>
        <v>0.2228</v>
      </c>
      <c r="BC117" s="508">
        <f>IF(BC$8=0,0,INDEX('R&amp;B Inputs'!$I$78:$V$78,MATCH($B117,'R&amp;B Inputs'!$I$4:$V$4,0))*(1+INDEX('R&amp;B Inputs'!$I$48:$V$48,MATCH($B117,'R&amp;B Inputs'!$I$4:$V$4,0)))^(BC$7-Year1))</f>
        <v>0.2228</v>
      </c>
      <c r="BD117" s="508">
        <f>IF(BD$8=0,0,INDEX('R&amp;B Inputs'!$I$78:$V$78,MATCH($B117,'R&amp;B Inputs'!$I$4:$V$4,0))*(1+INDEX('R&amp;B Inputs'!$I$48:$V$48,MATCH($B117,'R&amp;B Inputs'!$I$4:$V$4,0)))^(BD$7-Year1))</f>
        <v>0.2228</v>
      </c>
      <c r="BE117" s="508">
        <f>IF(BE$8=0,0,INDEX('R&amp;B Inputs'!$I$78:$V$78,MATCH($B117,'R&amp;B Inputs'!$I$4:$V$4,0))*(1+INDEX('R&amp;B Inputs'!$I$48:$V$48,MATCH($B117,'R&amp;B Inputs'!$I$4:$V$4,0)))^(BE$7-Year1))</f>
        <v>0.2228</v>
      </c>
      <c r="BF117" s="508">
        <f>IF(BF$8=0,0,INDEX('R&amp;B Inputs'!$I$78:$V$78,MATCH($B117,'R&amp;B Inputs'!$I$4:$V$4,0))*(1+INDEX('R&amp;B Inputs'!$I$48:$V$48,MATCH($B117,'R&amp;B Inputs'!$I$4:$V$4,0)))^(BF$7-Year1))</f>
        <v>0.2228</v>
      </c>
      <c r="BG117" s="508">
        <f>IF(BG$8=0,0,INDEX('R&amp;B Inputs'!$I$78:$V$78,MATCH($B117,'R&amp;B Inputs'!$I$4:$V$4,0))*(1+INDEX('R&amp;B Inputs'!$I$48:$V$48,MATCH($B117,'R&amp;B Inputs'!$I$4:$V$4,0)))^(BG$7-Year1))</f>
        <v>0.2228</v>
      </c>
      <c r="BH117" s="508">
        <f>IF(BH$8=0,0,INDEX('R&amp;B Inputs'!$I$78:$V$78,MATCH($B117,'R&amp;B Inputs'!$I$4:$V$4,0))*(1+INDEX('R&amp;B Inputs'!$I$48:$V$48,MATCH($B117,'R&amp;B Inputs'!$I$4:$V$4,0)))^(BH$7-Year1))</f>
        <v>0.2228</v>
      </c>
      <c r="BI117" s="508">
        <f>IF(BI$8=0,0,INDEX('R&amp;B Inputs'!$I$78:$V$78,MATCH($B117,'R&amp;B Inputs'!$I$4:$V$4,0))*(1+INDEX('R&amp;B Inputs'!$I$48:$V$48,MATCH($B117,'R&amp;B Inputs'!$I$4:$V$4,0)))^(BI$7-Year1))</f>
        <v>0.2228</v>
      </c>
      <c r="BJ117" s="508">
        <f>IF(BJ$8=0,0,INDEX('R&amp;B Inputs'!$I$78:$V$78,MATCH($B117,'R&amp;B Inputs'!$I$4:$V$4,0))*(1+INDEX('R&amp;B Inputs'!$I$48:$V$48,MATCH($B117,'R&amp;B Inputs'!$I$4:$V$4,0)))^(BJ$7-Year1))</f>
        <v>0.2228</v>
      </c>
      <c r="BK117" s="508">
        <f>IF(BK$8=0,0,INDEX('R&amp;B Inputs'!$I$78:$V$78,MATCH($B117,'R&amp;B Inputs'!$I$4:$V$4,0))*(1+INDEX('R&amp;B Inputs'!$I$48:$V$48,MATCH($B117,'R&amp;B Inputs'!$I$4:$V$4,0)))^(BK$7-Year1))</f>
        <v>0.2228</v>
      </c>
      <c r="BL117" s="508">
        <f>IF(BL$8=0,0,INDEX('R&amp;B Inputs'!$I$78:$V$78,MATCH($B117,'R&amp;B Inputs'!$I$4:$V$4,0))*(1+INDEX('R&amp;B Inputs'!$I$48:$V$48,MATCH($B117,'R&amp;B Inputs'!$I$4:$V$4,0)))^(BL$7-Year1))</f>
        <v>0.2228</v>
      </c>
      <c r="BM117" s="508">
        <f>IF(BM$8=0,0,INDEX('R&amp;B Inputs'!$I$78:$V$78,MATCH($B117,'R&amp;B Inputs'!$I$4:$V$4,0))*(1+INDEX('R&amp;B Inputs'!$I$48:$V$48,MATCH($B117,'R&amp;B Inputs'!$I$4:$V$4,0)))^(BM$7-Year1))</f>
        <v>0.2228</v>
      </c>
      <c r="BN117" s="508"/>
      <c r="BO117" s="508"/>
      <c r="BP117" s="508">
        <f>IF($C$4=Year1,-PMT(Lookups!$E$17,25,NPV(Lookups!$E$17,AM117:BK117),0,1),IF($C$4=Year2,-PMT(Lookups!$F$17,25,NPV(Lookups!$F$17,AN117:BL117),0,1),IF($C$4=Year3,-PMT(Lookups!$G$17,25,NPV(Lookups!$G$17,AO117:BM117),0,1),-PMT(Lookups!$G$17,27,NPV(Lookups!$G$17,AM117:BM117),0,1))))</f>
        <v>0.21969266828087164</v>
      </c>
      <c r="BS117" s="76" t="str">
        <f t="shared" ref="BS117:BS119" si="107">E117&amp;" charge from the R&amp;B Inputs tab, escalated annually by the growth rate included on the R&amp;B Inputs tab."</f>
        <v>Distribution charge from the R&amp;B Inputs tab, escalated annually by the growth rate included on the R&amp;B Inputs tab.</v>
      </c>
      <c r="BT117" s="51" t="s">
        <v>17</v>
      </c>
    </row>
    <row r="118" spans="1:72" x14ac:dyDescent="0.25">
      <c r="B118" s="243" t="str">
        <f t="shared" si="106"/>
        <v>Low-Income</v>
      </c>
      <c r="C118" s="243" t="str">
        <f t="shared" si="106"/>
        <v>Rates</v>
      </c>
      <c r="D118" s="244" t="str">
        <f>D117</f>
        <v>Rates before DSM (No EE Scenario)</v>
      </c>
      <c r="E118" s="84" t="s">
        <v>407</v>
      </c>
      <c r="F118" s="84" t="s">
        <v>182</v>
      </c>
      <c r="G118" s="506">
        <f>IF(G$8=0,0,INDEX('R&amp;B Inputs'!$I$82:$V$82,MATCH($B118,'R&amp;B Inputs'!$I$4:$V$4,0))*(1+INDEX('R&amp;B Inputs'!$I$62:$V$62,MATCH($B118,'R&amp;B Inputs'!$I$4:$V$4,0)))^(G$7-Year1))</f>
        <v>-3.3000000000000002E-2</v>
      </c>
      <c r="H118" s="506">
        <f>IF(H$8=0,0,INDEX('R&amp;B Inputs'!$I$82:$V$82,MATCH($B118,'R&amp;B Inputs'!$I$4:$V$4,0))*(1+INDEX('R&amp;B Inputs'!$I$62:$V$62,MATCH($B118,'R&amp;B Inputs'!$I$4:$V$4,0)))^(H$7-Year1))</f>
        <v>-3.3000000000000002E-2</v>
      </c>
      <c r="I118" s="506">
        <f>IF(I$8=0,0,INDEX('R&amp;B Inputs'!$I$82:$V$82,MATCH($B118,'R&amp;B Inputs'!$I$4:$V$4,0))*(1+INDEX('R&amp;B Inputs'!$I$62:$V$62,MATCH($B118,'R&amp;B Inputs'!$I$4:$V$4,0)))^(I$7-Year1))</f>
        <v>-3.3000000000000002E-2</v>
      </c>
      <c r="J118" s="506">
        <f>IF(J$8=0,0,INDEX('R&amp;B Inputs'!$I$82:$V$82,MATCH($B118,'R&amp;B Inputs'!$I$4:$V$4,0))*(1+INDEX('R&amp;B Inputs'!$I$62:$V$62,MATCH($B118,'R&amp;B Inputs'!$I$4:$V$4,0)))^(J$7-Year1))</f>
        <v>-3.3000000000000002E-2</v>
      </c>
      <c r="K118" s="506">
        <f>IF(K$8=0,0,INDEX('R&amp;B Inputs'!$I$82:$V$82,MATCH($B118,'R&amp;B Inputs'!$I$4:$V$4,0))*(1+INDEX('R&amp;B Inputs'!$I$62:$V$62,MATCH($B118,'R&amp;B Inputs'!$I$4:$V$4,0)))^(K$7-Year1))</f>
        <v>-3.3000000000000002E-2</v>
      </c>
      <c r="L118" s="506">
        <f>IF(L$8=0,0,INDEX('R&amp;B Inputs'!$I$82:$V$82,MATCH($B118,'R&amp;B Inputs'!$I$4:$V$4,0))*(1+INDEX('R&amp;B Inputs'!$I$62:$V$62,MATCH($B118,'R&amp;B Inputs'!$I$4:$V$4,0)))^(L$7-Year1))</f>
        <v>-3.3000000000000002E-2</v>
      </c>
      <c r="M118" s="506">
        <f>IF(M$8=0,0,INDEX('R&amp;B Inputs'!$I$82:$V$82,MATCH($B118,'R&amp;B Inputs'!$I$4:$V$4,0))*(1+INDEX('R&amp;B Inputs'!$I$62:$V$62,MATCH($B118,'R&amp;B Inputs'!$I$4:$V$4,0)))^(M$7-Year1))</f>
        <v>-3.3000000000000002E-2</v>
      </c>
      <c r="N118" s="506">
        <f>IF(N$8=0,0,INDEX('R&amp;B Inputs'!$I$82:$V$82,MATCH($B118,'R&amp;B Inputs'!$I$4:$V$4,0))*(1+INDEX('R&amp;B Inputs'!$I$62:$V$62,MATCH($B118,'R&amp;B Inputs'!$I$4:$V$4,0)))^(N$7-Year1))</f>
        <v>-3.3000000000000002E-2</v>
      </c>
      <c r="O118" s="506">
        <f>IF(O$8=0,0,INDEX('R&amp;B Inputs'!$I$82:$V$82,MATCH($B118,'R&amp;B Inputs'!$I$4:$V$4,0))*(1+INDEX('R&amp;B Inputs'!$I$62:$V$62,MATCH($B118,'R&amp;B Inputs'!$I$4:$V$4,0)))^(O$7-Year1))</f>
        <v>-3.3000000000000002E-2</v>
      </c>
      <c r="P118" s="506">
        <f>IF(P$8=0,0,INDEX('R&amp;B Inputs'!$I$82:$V$82,MATCH($B118,'R&amp;B Inputs'!$I$4:$V$4,0))*(1+INDEX('R&amp;B Inputs'!$I$62:$V$62,MATCH($B118,'R&amp;B Inputs'!$I$4:$V$4,0)))^(P$7-Year1))</f>
        <v>-3.3000000000000002E-2</v>
      </c>
      <c r="Q118" s="506">
        <f>IF(Q$8=0,0,INDEX('R&amp;B Inputs'!$I$82:$V$82,MATCH($B118,'R&amp;B Inputs'!$I$4:$V$4,0))*(1+INDEX('R&amp;B Inputs'!$I$62:$V$62,MATCH($B118,'R&amp;B Inputs'!$I$4:$V$4,0)))^(Q$7-Year1))</f>
        <v>-3.3000000000000002E-2</v>
      </c>
      <c r="R118" s="506">
        <f>IF(R$8=0,0,INDEX('R&amp;B Inputs'!$I$82:$V$82,MATCH($B118,'R&amp;B Inputs'!$I$4:$V$4,0))*(1+INDEX('R&amp;B Inputs'!$I$62:$V$62,MATCH($B118,'R&amp;B Inputs'!$I$4:$V$4,0)))^(R$7-Year1))</f>
        <v>-3.3000000000000002E-2</v>
      </c>
      <c r="S118" s="506">
        <f>IF(S$8=0,0,INDEX('R&amp;B Inputs'!$I$82:$V$82,MATCH($B118,'R&amp;B Inputs'!$I$4:$V$4,0))*(1+INDEX('R&amp;B Inputs'!$I$62:$V$62,MATCH($B118,'R&amp;B Inputs'!$I$4:$V$4,0)))^(S$7-Year1))</f>
        <v>-3.3000000000000002E-2</v>
      </c>
      <c r="T118" s="506">
        <f>IF(T$8=0,0,INDEX('R&amp;B Inputs'!$I$82:$V$82,MATCH($B118,'R&amp;B Inputs'!$I$4:$V$4,0))*(1+INDEX('R&amp;B Inputs'!$I$62:$V$62,MATCH($B118,'R&amp;B Inputs'!$I$4:$V$4,0)))^(T$7-Year1))</f>
        <v>-3.3000000000000002E-2</v>
      </c>
      <c r="U118" s="506">
        <f>IF(U$8=0,0,INDEX('R&amp;B Inputs'!$I$82:$V$82,MATCH($B118,'R&amp;B Inputs'!$I$4:$V$4,0))*(1+INDEX('R&amp;B Inputs'!$I$62:$V$62,MATCH($B118,'R&amp;B Inputs'!$I$4:$V$4,0)))^(U$7-Year1))</f>
        <v>-3.3000000000000002E-2</v>
      </c>
      <c r="V118" s="506">
        <f>IF(V$8=0,0,INDEX('R&amp;B Inputs'!$I$82:$V$82,MATCH($B118,'R&amp;B Inputs'!$I$4:$V$4,0))*(1+INDEX('R&amp;B Inputs'!$I$62:$V$62,MATCH($B118,'R&amp;B Inputs'!$I$4:$V$4,0)))^(V$7-Year1))</f>
        <v>-3.3000000000000002E-2</v>
      </c>
      <c r="W118" s="506">
        <f>IF(W$8=0,0,INDEX('R&amp;B Inputs'!$I$82:$V$82,MATCH($B118,'R&amp;B Inputs'!$I$4:$V$4,0))*(1+INDEX('R&amp;B Inputs'!$I$62:$V$62,MATCH($B118,'R&amp;B Inputs'!$I$4:$V$4,0)))^(W$7-Year1))</f>
        <v>-3.3000000000000002E-2</v>
      </c>
      <c r="X118" s="506">
        <f>IF(X$8=0,0,INDEX('R&amp;B Inputs'!$I$82:$V$82,MATCH($B118,'R&amp;B Inputs'!$I$4:$V$4,0))*(1+INDEX('R&amp;B Inputs'!$I$62:$V$62,MATCH($B118,'R&amp;B Inputs'!$I$4:$V$4,0)))^(X$7-Year1))</f>
        <v>-3.3000000000000002E-2</v>
      </c>
      <c r="Y118" s="506">
        <f>IF(Y$8=0,0,INDEX('R&amp;B Inputs'!$I$82:$V$82,MATCH($B118,'R&amp;B Inputs'!$I$4:$V$4,0))*(1+INDEX('R&amp;B Inputs'!$I$62:$V$62,MATCH($B118,'R&amp;B Inputs'!$I$4:$V$4,0)))^(Y$7-Year1))</f>
        <v>-3.3000000000000002E-2</v>
      </c>
      <c r="Z118" s="506">
        <f>IF(Z$8=0,0,INDEX('R&amp;B Inputs'!$I$82:$V$82,MATCH($B118,'R&amp;B Inputs'!$I$4:$V$4,0))*(1+INDEX('R&amp;B Inputs'!$I$62:$V$62,MATCH($B118,'R&amp;B Inputs'!$I$4:$V$4,0)))^(Z$7-Year1))</f>
        <v>-3.3000000000000002E-2</v>
      </c>
      <c r="AA118" s="506">
        <f>IF(AA$8=0,0,INDEX('R&amp;B Inputs'!$I$82:$V$82,MATCH($B118,'R&amp;B Inputs'!$I$4:$V$4,0))*(1+INDEX('R&amp;B Inputs'!$I$62:$V$62,MATCH($B118,'R&amp;B Inputs'!$I$4:$V$4,0)))^(AA$7-Year1))</f>
        <v>-3.3000000000000002E-2</v>
      </c>
      <c r="AB118" s="506">
        <f>IF(AB$8=0,0,INDEX('R&amp;B Inputs'!$I$82:$V$82,MATCH($B118,'R&amp;B Inputs'!$I$4:$V$4,0))*(1+INDEX('R&amp;B Inputs'!$I$62:$V$62,MATCH($B118,'R&amp;B Inputs'!$I$4:$V$4,0)))^(AB$7-Year1))</f>
        <v>-3.3000000000000002E-2</v>
      </c>
      <c r="AC118" s="506">
        <f>IF(AC$8=0,0,INDEX('R&amp;B Inputs'!$I$82:$V$82,MATCH($B118,'R&amp;B Inputs'!$I$4:$V$4,0))*(1+INDEX('R&amp;B Inputs'!$I$62:$V$62,MATCH($B118,'R&amp;B Inputs'!$I$4:$V$4,0)))^(AC$7-Year1))</f>
        <v>-3.3000000000000002E-2</v>
      </c>
      <c r="AD118" s="506">
        <f>IF(AD$8=0,0,INDEX('R&amp;B Inputs'!$I$82:$V$82,MATCH($B118,'R&amp;B Inputs'!$I$4:$V$4,0))*(1+INDEX('R&amp;B Inputs'!$I$62:$V$62,MATCH($B118,'R&amp;B Inputs'!$I$4:$V$4,0)))^(AD$7-Year1))</f>
        <v>-3.3000000000000002E-2</v>
      </c>
      <c r="AE118" s="506">
        <f>IF(AE$8=0,0,INDEX('R&amp;B Inputs'!$I$82:$V$82,MATCH($B118,'R&amp;B Inputs'!$I$4:$V$4,0))*(1+INDEX('R&amp;B Inputs'!$I$62:$V$62,MATCH($B118,'R&amp;B Inputs'!$I$4:$V$4,0)))^(AE$7-Year1))</f>
        <v>-3.3000000000000002E-2</v>
      </c>
      <c r="AF118" s="506">
        <f>IF(AF$8=0,0,INDEX('R&amp;B Inputs'!$I$82:$V$82,MATCH($B118,'R&amp;B Inputs'!$I$4:$V$4,0))*(1+INDEX('R&amp;B Inputs'!$I$62:$V$62,MATCH($B118,'R&amp;B Inputs'!$I$4:$V$4,0)))^(AF$7-Year1))</f>
        <v>-3.3000000000000002E-2</v>
      </c>
      <c r="AG118" s="506">
        <f>IF(AG$8=0,0,INDEX('R&amp;B Inputs'!$I$82:$V$82,MATCH($B118,'R&amp;B Inputs'!$I$4:$V$4,0))*(1+INDEX('R&amp;B Inputs'!$I$62:$V$62,MATCH($B118,'R&amp;B Inputs'!$I$4:$V$4,0)))^(AG$7-Year1))</f>
        <v>-3.3000000000000002E-2</v>
      </c>
      <c r="AH118" s="506"/>
      <c r="AI118" s="506"/>
      <c r="AJ118" s="506">
        <f>IF($C$4=Year1,-PMT(Lookups!$E$17,25,NPV(Lookups!$E$17,G118:AE118),0,1),IF($C$4=Year2,-PMT(Lookups!$F$17,25,NPV(Lookups!$F$17,H118:AF118),0,1),IF($C$4=Year3,-PMT(Lookups!$G$17,25,NPV(Lookups!$G$17,I118:AG118),0,1),-PMT(Lookups!$G$17,27,NPV(Lookups!$G$17,G118:AG118),0,1))))</f>
        <v>-3.2539757869249397E-2</v>
      </c>
      <c r="AK118" s="507"/>
      <c r="AL118" s="507"/>
      <c r="AM118" s="508">
        <f>IF(AM$8=0,0,INDEX('R&amp;B Inputs'!$I$82:$V$82,MATCH($B118,'R&amp;B Inputs'!$I$4:$V$4,0))*(1+INDEX('R&amp;B Inputs'!$I$62:$V$62,MATCH($B118,'R&amp;B Inputs'!$I$4:$V$4,0)))^(AM$7-Year1))</f>
        <v>-3.3000000000000002E-2</v>
      </c>
      <c r="AN118" s="508">
        <f>IF(AN$8=0,0,INDEX('R&amp;B Inputs'!$I$82:$V$82,MATCH($B118,'R&amp;B Inputs'!$I$4:$V$4,0))*(1+INDEX('R&amp;B Inputs'!$I$62:$V$62,MATCH($B118,'R&amp;B Inputs'!$I$4:$V$4,0)))^(AN$7-Year1))</f>
        <v>-3.3000000000000002E-2</v>
      </c>
      <c r="AO118" s="508">
        <f>IF(AO$8=0,0,INDEX('R&amp;B Inputs'!$I$82:$V$82,MATCH($B118,'R&amp;B Inputs'!$I$4:$V$4,0))*(1+INDEX('R&amp;B Inputs'!$I$62:$V$62,MATCH($B118,'R&amp;B Inputs'!$I$4:$V$4,0)))^(AO$7-Year1))</f>
        <v>-3.3000000000000002E-2</v>
      </c>
      <c r="AP118" s="508">
        <f>IF(AP$8=0,0,INDEX('R&amp;B Inputs'!$I$82:$V$82,MATCH($B118,'R&amp;B Inputs'!$I$4:$V$4,0))*(1+INDEX('R&amp;B Inputs'!$I$62:$V$62,MATCH($B118,'R&amp;B Inputs'!$I$4:$V$4,0)))^(AP$7-Year1))</f>
        <v>-3.3000000000000002E-2</v>
      </c>
      <c r="AQ118" s="508">
        <f>IF(AQ$8=0,0,INDEX('R&amp;B Inputs'!$I$82:$V$82,MATCH($B118,'R&amp;B Inputs'!$I$4:$V$4,0))*(1+INDEX('R&amp;B Inputs'!$I$62:$V$62,MATCH($B118,'R&amp;B Inputs'!$I$4:$V$4,0)))^(AQ$7-Year1))</f>
        <v>-3.3000000000000002E-2</v>
      </c>
      <c r="AR118" s="508">
        <f>IF(AR$8=0,0,INDEX('R&amp;B Inputs'!$I$82:$V$82,MATCH($B118,'R&amp;B Inputs'!$I$4:$V$4,0))*(1+INDEX('R&amp;B Inputs'!$I$62:$V$62,MATCH($B118,'R&amp;B Inputs'!$I$4:$V$4,0)))^(AR$7-Year1))</f>
        <v>-3.3000000000000002E-2</v>
      </c>
      <c r="AS118" s="508">
        <f>IF(AS$8=0,0,INDEX('R&amp;B Inputs'!$I$82:$V$82,MATCH($B118,'R&amp;B Inputs'!$I$4:$V$4,0))*(1+INDEX('R&amp;B Inputs'!$I$62:$V$62,MATCH($B118,'R&amp;B Inputs'!$I$4:$V$4,0)))^(AS$7-Year1))</f>
        <v>-3.3000000000000002E-2</v>
      </c>
      <c r="AT118" s="508">
        <f>IF(AT$8=0,0,INDEX('R&amp;B Inputs'!$I$82:$V$82,MATCH($B118,'R&amp;B Inputs'!$I$4:$V$4,0))*(1+INDEX('R&amp;B Inputs'!$I$62:$V$62,MATCH($B118,'R&amp;B Inputs'!$I$4:$V$4,0)))^(AT$7-Year1))</f>
        <v>-3.3000000000000002E-2</v>
      </c>
      <c r="AU118" s="508">
        <f>IF(AU$8=0,0,INDEX('R&amp;B Inputs'!$I$82:$V$82,MATCH($B118,'R&amp;B Inputs'!$I$4:$V$4,0))*(1+INDEX('R&amp;B Inputs'!$I$62:$V$62,MATCH($B118,'R&amp;B Inputs'!$I$4:$V$4,0)))^(AU$7-Year1))</f>
        <v>-3.3000000000000002E-2</v>
      </c>
      <c r="AV118" s="508">
        <f>IF(AV$8=0,0,INDEX('R&amp;B Inputs'!$I$82:$V$82,MATCH($B118,'R&amp;B Inputs'!$I$4:$V$4,0))*(1+INDEX('R&amp;B Inputs'!$I$62:$V$62,MATCH($B118,'R&amp;B Inputs'!$I$4:$V$4,0)))^(AV$7-Year1))</f>
        <v>-3.3000000000000002E-2</v>
      </c>
      <c r="AW118" s="508">
        <f>IF(AW$8=0,0,INDEX('R&amp;B Inputs'!$I$82:$V$82,MATCH($B118,'R&amp;B Inputs'!$I$4:$V$4,0))*(1+INDEX('R&amp;B Inputs'!$I$62:$V$62,MATCH($B118,'R&amp;B Inputs'!$I$4:$V$4,0)))^(AW$7-Year1))</f>
        <v>-3.3000000000000002E-2</v>
      </c>
      <c r="AX118" s="508">
        <f>IF(AX$8=0,0,INDEX('R&amp;B Inputs'!$I$82:$V$82,MATCH($B118,'R&amp;B Inputs'!$I$4:$V$4,0))*(1+INDEX('R&amp;B Inputs'!$I$62:$V$62,MATCH($B118,'R&amp;B Inputs'!$I$4:$V$4,0)))^(AX$7-Year1))</f>
        <v>-3.3000000000000002E-2</v>
      </c>
      <c r="AY118" s="508">
        <f>IF(AY$8=0,0,INDEX('R&amp;B Inputs'!$I$82:$V$82,MATCH($B118,'R&amp;B Inputs'!$I$4:$V$4,0))*(1+INDEX('R&amp;B Inputs'!$I$62:$V$62,MATCH($B118,'R&amp;B Inputs'!$I$4:$V$4,0)))^(AY$7-Year1))</f>
        <v>-3.3000000000000002E-2</v>
      </c>
      <c r="AZ118" s="508">
        <f>IF(AZ$8=0,0,INDEX('R&amp;B Inputs'!$I$82:$V$82,MATCH($B118,'R&amp;B Inputs'!$I$4:$V$4,0))*(1+INDEX('R&amp;B Inputs'!$I$62:$V$62,MATCH($B118,'R&amp;B Inputs'!$I$4:$V$4,0)))^(AZ$7-Year1))</f>
        <v>-3.3000000000000002E-2</v>
      </c>
      <c r="BA118" s="508">
        <f>IF(BA$8=0,0,INDEX('R&amp;B Inputs'!$I$82:$V$82,MATCH($B118,'R&amp;B Inputs'!$I$4:$V$4,0))*(1+INDEX('R&amp;B Inputs'!$I$62:$V$62,MATCH($B118,'R&amp;B Inputs'!$I$4:$V$4,0)))^(BA$7-Year1))</f>
        <v>-3.3000000000000002E-2</v>
      </c>
      <c r="BB118" s="508">
        <f>IF(BB$8=0,0,INDEX('R&amp;B Inputs'!$I$82:$V$82,MATCH($B118,'R&amp;B Inputs'!$I$4:$V$4,0))*(1+INDEX('R&amp;B Inputs'!$I$62:$V$62,MATCH($B118,'R&amp;B Inputs'!$I$4:$V$4,0)))^(BB$7-Year1))</f>
        <v>-3.3000000000000002E-2</v>
      </c>
      <c r="BC118" s="508">
        <f>IF(BC$8=0,0,INDEX('R&amp;B Inputs'!$I$82:$V$82,MATCH($B118,'R&amp;B Inputs'!$I$4:$V$4,0))*(1+INDEX('R&amp;B Inputs'!$I$62:$V$62,MATCH($B118,'R&amp;B Inputs'!$I$4:$V$4,0)))^(BC$7-Year1))</f>
        <v>-3.3000000000000002E-2</v>
      </c>
      <c r="BD118" s="508">
        <f>IF(BD$8=0,0,INDEX('R&amp;B Inputs'!$I$82:$V$82,MATCH($B118,'R&amp;B Inputs'!$I$4:$V$4,0))*(1+INDEX('R&amp;B Inputs'!$I$62:$V$62,MATCH($B118,'R&amp;B Inputs'!$I$4:$V$4,0)))^(BD$7-Year1))</f>
        <v>-3.3000000000000002E-2</v>
      </c>
      <c r="BE118" s="508">
        <f>IF(BE$8=0,0,INDEX('R&amp;B Inputs'!$I$82:$V$82,MATCH($B118,'R&amp;B Inputs'!$I$4:$V$4,0))*(1+INDEX('R&amp;B Inputs'!$I$62:$V$62,MATCH($B118,'R&amp;B Inputs'!$I$4:$V$4,0)))^(BE$7-Year1))</f>
        <v>-3.3000000000000002E-2</v>
      </c>
      <c r="BF118" s="508">
        <f>IF(BF$8=0,0,INDEX('R&amp;B Inputs'!$I$82:$V$82,MATCH($B118,'R&amp;B Inputs'!$I$4:$V$4,0))*(1+INDEX('R&amp;B Inputs'!$I$62:$V$62,MATCH($B118,'R&amp;B Inputs'!$I$4:$V$4,0)))^(BF$7-Year1))</f>
        <v>-3.3000000000000002E-2</v>
      </c>
      <c r="BG118" s="508">
        <f>IF(BG$8=0,0,INDEX('R&amp;B Inputs'!$I$82:$V$82,MATCH($B118,'R&amp;B Inputs'!$I$4:$V$4,0))*(1+INDEX('R&amp;B Inputs'!$I$62:$V$62,MATCH($B118,'R&amp;B Inputs'!$I$4:$V$4,0)))^(BG$7-Year1))</f>
        <v>-3.3000000000000002E-2</v>
      </c>
      <c r="BH118" s="508">
        <f>IF(BH$8=0,0,INDEX('R&amp;B Inputs'!$I$82:$V$82,MATCH($B118,'R&amp;B Inputs'!$I$4:$V$4,0))*(1+INDEX('R&amp;B Inputs'!$I$62:$V$62,MATCH($B118,'R&amp;B Inputs'!$I$4:$V$4,0)))^(BH$7-Year1))</f>
        <v>-3.3000000000000002E-2</v>
      </c>
      <c r="BI118" s="508">
        <f>IF(BI$8=0,0,INDEX('R&amp;B Inputs'!$I$82:$V$82,MATCH($B118,'R&amp;B Inputs'!$I$4:$V$4,0))*(1+INDEX('R&amp;B Inputs'!$I$62:$V$62,MATCH($B118,'R&amp;B Inputs'!$I$4:$V$4,0)))^(BI$7-Year1))</f>
        <v>-3.3000000000000002E-2</v>
      </c>
      <c r="BJ118" s="508">
        <f>IF(BJ$8=0,0,INDEX('R&amp;B Inputs'!$I$82:$V$82,MATCH($B118,'R&amp;B Inputs'!$I$4:$V$4,0))*(1+INDEX('R&amp;B Inputs'!$I$62:$V$62,MATCH($B118,'R&amp;B Inputs'!$I$4:$V$4,0)))^(BJ$7-Year1))</f>
        <v>-3.3000000000000002E-2</v>
      </c>
      <c r="BK118" s="508">
        <f>IF(BK$8=0,0,INDEX('R&amp;B Inputs'!$I$82:$V$82,MATCH($B118,'R&amp;B Inputs'!$I$4:$V$4,0))*(1+INDEX('R&amp;B Inputs'!$I$62:$V$62,MATCH($B118,'R&amp;B Inputs'!$I$4:$V$4,0)))^(BK$7-Year1))</f>
        <v>-3.3000000000000002E-2</v>
      </c>
      <c r="BL118" s="508">
        <f>IF(BL$8=0,0,INDEX('R&amp;B Inputs'!$I$82:$V$82,MATCH($B118,'R&amp;B Inputs'!$I$4:$V$4,0))*(1+INDEX('R&amp;B Inputs'!$I$62:$V$62,MATCH($B118,'R&amp;B Inputs'!$I$4:$V$4,0)))^(BL$7-Year1))</f>
        <v>-3.3000000000000002E-2</v>
      </c>
      <c r="BM118" s="508">
        <f>IF(BM$8=0,0,INDEX('R&amp;B Inputs'!$I$82:$V$82,MATCH($B118,'R&amp;B Inputs'!$I$4:$V$4,0))*(1+INDEX('R&amp;B Inputs'!$I$62:$V$62,MATCH($B118,'R&amp;B Inputs'!$I$4:$V$4,0)))^(BM$7-Year1))</f>
        <v>-3.3000000000000002E-2</v>
      </c>
      <c r="BN118" s="508"/>
      <c r="BO118" s="508"/>
      <c r="BP118" s="508">
        <f>IF($C$4=Year1,-PMT(Lookups!$E$17,25,NPV(Lookups!$E$17,AM118:BK118),0,1),IF($C$4=Year2,-PMT(Lookups!$F$17,25,NPV(Lookups!$F$17,AN118:BL118),0,1),IF($C$4=Year3,-PMT(Lookups!$G$17,25,NPV(Lookups!$G$17,AO118:BM118),0,1),-PMT(Lookups!$G$17,27,NPV(Lookups!$G$17,AM118:BM118),0,1))))</f>
        <v>-3.2539757869249397E-2</v>
      </c>
      <c r="BS118" s="76" t="str">
        <f t="shared" si="107"/>
        <v>LDAC, Non-EE charge from the R&amp;B Inputs tab, escalated annually by the growth rate included on the R&amp;B Inputs tab.</v>
      </c>
      <c r="BT118" s="51" t="s">
        <v>17</v>
      </c>
    </row>
    <row r="119" spans="1:72" x14ac:dyDescent="0.25">
      <c r="B119" s="243" t="str">
        <f>B117</f>
        <v>Low-Income</v>
      </c>
      <c r="C119" s="243" t="str">
        <f>C117</f>
        <v>Rates</v>
      </c>
      <c r="D119" s="244" t="str">
        <f>D117</f>
        <v>Rates before DSM (No EE Scenario)</v>
      </c>
      <c r="E119" s="84" t="s">
        <v>197</v>
      </c>
      <c r="F119" s="84" t="s">
        <v>182</v>
      </c>
      <c r="G119" s="506">
        <f>IF(G$8=0,0,INDEX('R&amp;B Inputs'!$I$86:$V$86,MATCH($B119,'R&amp;B Inputs'!$I$4:$V$4,0))*(1+INDEX('R&amp;B Inputs'!$I$66:$V$66,MATCH($B119,'R&amp;B Inputs'!$I$4:$V$4,0)))^(G$7-Year1))</f>
        <v>0.62029999999999996</v>
      </c>
      <c r="H119" s="506">
        <f>IF(H$8=0,0,INDEX('R&amp;B Inputs'!$I$86:$V$86,MATCH($B119,'R&amp;B Inputs'!$I$4:$V$4,0))*(1+INDEX('R&amp;B Inputs'!$I$66:$V$66,MATCH($B119,'R&amp;B Inputs'!$I$4:$V$4,0)))^(H$7-Year1))</f>
        <v>0.62029999999999996</v>
      </c>
      <c r="I119" s="506">
        <f>IF(I$8=0,0,INDEX('R&amp;B Inputs'!$I$86:$V$86,MATCH($B119,'R&amp;B Inputs'!$I$4:$V$4,0))*(1+INDEX('R&amp;B Inputs'!$I$66:$V$66,MATCH($B119,'R&amp;B Inputs'!$I$4:$V$4,0)))^(I$7-Year1))</f>
        <v>0.62029999999999996</v>
      </c>
      <c r="J119" s="506">
        <f>IF(J$8=0,0,INDEX('R&amp;B Inputs'!$I$86:$V$86,MATCH($B119,'R&amp;B Inputs'!$I$4:$V$4,0))*(1+INDEX('R&amp;B Inputs'!$I$66:$V$66,MATCH($B119,'R&amp;B Inputs'!$I$4:$V$4,0)))^(J$7-Year1))</f>
        <v>0.62029999999999996</v>
      </c>
      <c r="K119" s="506">
        <f>IF(K$8=0,0,INDEX('R&amp;B Inputs'!$I$86:$V$86,MATCH($B119,'R&amp;B Inputs'!$I$4:$V$4,0))*(1+INDEX('R&amp;B Inputs'!$I$66:$V$66,MATCH($B119,'R&amp;B Inputs'!$I$4:$V$4,0)))^(K$7-Year1))</f>
        <v>0.62029999999999996</v>
      </c>
      <c r="L119" s="506">
        <f>IF(L$8=0,0,INDEX('R&amp;B Inputs'!$I$86:$V$86,MATCH($B119,'R&amp;B Inputs'!$I$4:$V$4,0))*(1+INDEX('R&amp;B Inputs'!$I$66:$V$66,MATCH($B119,'R&amp;B Inputs'!$I$4:$V$4,0)))^(L$7-Year1))</f>
        <v>0.62029999999999996</v>
      </c>
      <c r="M119" s="506">
        <f>IF(M$8=0,0,INDEX('R&amp;B Inputs'!$I$86:$V$86,MATCH($B119,'R&amp;B Inputs'!$I$4:$V$4,0))*(1+INDEX('R&amp;B Inputs'!$I$66:$V$66,MATCH($B119,'R&amp;B Inputs'!$I$4:$V$4,0)))^(M$7-Year1))</f>
        <v>0.62029999999999996</v>
      </c>
      <c r="N119" s="506">
        <f>IF(N$8=0,0,INDEX('R&amp;B Inputs'!$I$86:$V$86,MATCH($B119,'R&amp;B Inputs'!$I$4:$V$4,0))*(1+INDEX('R&amp;B Inputs'!$I$66:$V$66,MATCH($B119,'R&amp;B Inputs'!$I$4:$V$4,0)))^(N$7-Year1))</f>
        <v>0.62029999999999996</v>
      </c>
      <c r="O119" s="506">
        <f>IF(O$8=0,0,INDEX('R&amp;B Inputs'!$I$86:$V$86,MATCH($B119,'R&amp;B Inputs'!$I$4:$V$4,0))*(1+INDEX('R&amp;B Inputs'!$I$66:$V$66,MATCH($B119,'R&amp;B Inputs'!$I$4:$V$4,0)))^(O$7-Year1))</f>
        <v>0.62029999999999996</v>
      </c>
      <c r="P119" s="506">
        <f>IF(P$8=0,0,INDEX('R&amp;B Inputs'!$I$86:$V$86,MATCH($B119,'R&amp;B Inputs'!$I$4:$V$4,0))*(1+INDEX('R&amp;B Inputs'!$I$66:$V$66,MATCH($B119,'R&amp;B Inputs'!$I$4:$V$4,0)))^(P$7-Year1))</f>
        <v>0.62029999999999996</v>
      </c>
      <c r="Q119" s="506">
        <f>IF(Q$8=0,0,INDEX('R&amp;B Inputs'!$I$86:$V$86,MATCH($B119,'R&amp;B Inputs'!$I$4:$V$4,0))*(1+INDEX('R&amp;B Inputs'!$I$66:$V$66,MATCH($B119,'R&amp;B Inputs'!$I$4:$V$4,0)))^(Q$7-Year1))</f>
        <v>0.62029999999999996</v>
      </c>
      <c r="R119" s="506">
        <f>IF(R$8=0,0,INDEX('R&amp;B Inputs'!$I$86:$V$86,MATCH($B119,'R&amp;B Inputs'!$I$4:$V$4,0))*(1+INDEX('R&amp;B Inputs'!$I$66:$V$66,MATCH($B119,'R&amp;B Inputs'!$I$4:$V$4,0)))^(R$7-Year1))</f>
        <v>0.62029999999999996</v>
      </c>
      <c r="S119" s="506">
        <f>IF(S$8=0,0,INDEX('R&amp;B Inputs'!$I$86:$V$86,MATCH($B119,'R&amp;B Inputs'!$I$4:$V$4,0))*(1+INDEX('R&amp;B Inputs'!$I$66:$V$66,MATCH($B119,'R&amp;B Inputs'!$I$4:$V$4,0)))^(S$7-Year1))</f>
        <v>0.62029999999999996</v>
      </c>
      <c r="T119" s="506">
        <f>IF(T$8=0,0,INDEX('R&amp;B Inputs'!$I$86:$V$86,MATCH($B119,'R&amp;B Inputs'!$I$4:$V$4,0))*(1+INDEX('R&amp;B Inputs'!$I$66:$V$66,MATCH($B119,'R&amp;B Inputs'!$I$4:$V$4,0)))^(T$7-Year1))</f>
        <v>0.62029999999999996</v>
      </c>
      <c r="U119" s="506">
        <f>IF(U$8=0,0,INDEX('R&amp;B Inputs'!$I$86:$V$86,MATCH($B119,'R&amp;B Inputs'!$I$4:$V$4,0))*(1+INDEX('R&amp;B Inputs'!$I$66:$V$66,MATCH($B119,'R&amp;B Inputs'!$I$4:$V$4,0)))^(U$7-Year1))</f>
        <v>0.62029999999999996</v>
      </c>
      <c r="V119" s="506">
        <f>IF(V$8=0,0,INDEX('R&amp;B Inputs'!$I$86:$V$86,MATCH($B119,'R&amp;B Inputs'!$I$4:$V$4,0))*(1+INDEX('R&amp;B Inputs'!$I$66:$V$66,MATCH($B119,'R&amp;B Inputs'!$I$4:$V$4,0)))^(V$7-Year1))</f>
        <v>0.62029999999999996</v>
      </c>
      <c r="W119" s="506">
        <f>IF(W$8=0,0,INDEX('R&amp;B Inputs'!$I$86:$V$86,MATCH($B119,'R&amp;B Inputs'!$I$4:$V$4,0))*(1+INDEX('R&amp;B Inputs'!$I$66:$V$66,MATCH($B119,'R&amp;B Inputs'!$I$4:$V$4,0)))^(W$7-Year1))</f>
        <v>0.62029999999999996</v>
      </c>
      <c r="X119" s="506">
        <f>IF(X$8=0,0,INDEX('R&amp;B Inputs'!$I$86:$V$86,MATCH($B119,'R&amp;B Inputs'!$I$4:$V$4,0))*(1+INDEX('R&amp;B Inputs'!$I$66:$V$66,MATCH($B119,'R&amp;B Inputs'!$I$4:$V$4,0)))^(X$7-Year1))</f>
        <v>0.62029999999999996</v>
      </c>
      <c r="Y119" s="506">
        <f>IF(Y$8=0,0,INDEX('R&amp;B Inputs'!$I$86:$V$86,MATCH($B119,'R&amp;B Inputs'!$I$4:$V$4,0))*(1+INDEX('R&amp;B Inputs'!$I$66:$V$66,MATCH($B119,'R&amp;B Inputs'!$I$4:$V$4,0)))^(Y$7-Year1))</f>
        <v>0.62029999999999996</v>
      </c>
      <c r="Z119" s="506">
        <f>IF(Z$8=0,0,INDEX('R&amp;B Inputs'!$I$86:$V$86,MATCH($B119,'R&amp;B Inputs'!$I$4:$V$4,0))*(1+INDEX('R&amp;B Inputs'!$I$66:$V$66,MATCH($B119,'R&amp;B Inputs'!$I$4:$V$4,0)))^(Z$7-Year1))</f>
        <v>0.62029999999999996</v>
      </c>
      <c r="AA119" s="506">
        <f>IF(AA$8=0,0,INDEX('R&amp;B Inputs'!$I$86:$V$86,MATCH($B119,'R&amp;B Inputs'!$I$4:$V$4,0))*(1+INDEX('R&amp;B Inputs'!$I$66:$V$66,MATCH($B119,'R&amp;B Inputs'!$I$4:$V$4,0)))^(AA$7-Year1))</f>
        <v>0.62029999999999996</v>
      </c>
      <c r="AB119" s="506">
        <f>IF(AB$8=0,0,INDEX('R&amp;B Inputs'!$I$86:$V$86,MATCH($B119,'R&amp;B Inputs'!$I$4:$V$4,0))*(1+INDEX('R&amp;B Inputs'!$I$66:$V$66,MATCH($B119,'R&amp;B Inputs'!$I$4:$V$4,0)))^(AB$7-Year1))</f>
        <v>0.62029999999999996</v>
      </c>
      <c r="AC119" s="506">
        <f>IF(AC$8=0,0,INDEX('R&amp;B Inputs'!$I$86:$V$86,MATCH($B119,'R&amp;B Inputs'!$I$4:$V$4,0))*(1+INDEX('R&amp;B Inputs'!$I$66:$V$66,MATCH($B119,'R&amp;B Inputs'!$I$4:$V$4,0)))^(AC$7-Year1))</f>
        <v>0.62029999999999996</v>
      </c>
      <c r="AD119" s="506">
        <f>IF(AD$8=0,0,INDEX('R&amp;B Inputs'!$I$86:$V$86,MATCH($B119,'R&amp;B Inputs'!$I$4:$V$4,0))*(1+INDEX('R&amp;B Inputs'!$I$66:$V$66,MATCH($B119,'R&amp;B Inputs'!$I$4:$V$4,0)))^(AD$7-Year1))</f>
        <v>0.62029999999999996</v>
      </c>
      <c r="AE119" s="506">
        <f>IF(AE$8=0,0,INDEX('R&amp;B Inputs'!$I$86:$V$86,MATCH($B119,'R&amp;B Inputs'!$I$4:$V$4,0))*(1+INDEX('R&amp;B Inputs'!$I$66:$V$66,MATCH($B119,'R&amp;B Inputs'!$I$4:$V$4,0)))^(AE$7-Year1))</f>
        <v>0.62029999999999996</v>
      </c>
      <c r="AF119" s="506">
        <f>IF(AF$8=0,0,INDEX('R&amp;B Inputs'!$I$86:$V$86,MATCH($B119,'R&amp;B Inputs'!$I$4:$V$4,0))*(1+INDEX('R&amp;B Inputs'!$I$66:$V$66,MATCH($B119,'R&amp;B Inputs'!$I$4:$V$4,0)))^(AF$7-Year1))</f>
        <v>0.62029999999999996</v>
      </c>
      <c r="AG119" s="506">
        <f>IF(AG$8=0,0,INDEX('R&amp;B Inputs'!$I$86:$V$86,MATCH($B119,'R&amp;B Inputs'!$I$4:$V$4,0))*(1+INDEX('R&amp;B Inputs'!$I$66:$V$66,MATCH($B119,'R&amp;B Inputs'!$I$4:$V$4,0)))^(AG$7-Year1))</f>
        <v>0.62029999999999996</v>
      </c>
      <c r="AH119" s="506"/>
      <c r="AI119" s="506"/>
      <c r="AJ119" s="506">
        <f>IF($C$4=Year1,-PMT(Lookups!$E$17,25,NPV(Lookups!$E$17,G119:AE119),0,1),IF($C$4=Year2,-PMT(Lookups!$F$17,25,NPV(Lookups!$F$17,H119:AF119),0,1),IF($C$4=Year3,-PMT(Lookups!$G$17,25,NPV(Lookups!$G$17,I119:AG119),0,1),-PMT(Lookups!$G$17,27,NPV(Lookups!$G$17,G119:AG119),0,1))))</f>
        <v>0.61164884261501185</v>
      </c>
      <c r="AK119" s="507"/>
      <c r="AL119" s="507"/>
      <c r="AM119" s="508">
        <f>IF(AM$8=0,0,INDEX('R&amp;B Inputs'!$I$86:$V$86,MATCH($B119,'R&amp;B Inputs'!$I$4:$V$4,0))*(1+INDEX('R&amp;B Inputs'!$I$66:$V$66,MATCH($B119,'R&amp;B Inputs'!$I$4:$V$4,0)))^(AM$7-Year1))</f>
        <v>0.62029999999999996</v>
      </c>
      <c r="AN119" s="508">
        <f>IF(AN$8=0,0,INDEX('R&amp;B Inputs'!$I$86:$V$86,MATCH($B119,'R&amp;B Inputs'!$I$4:$V$4,0))*(1+INDEX('R&amp;B Inputs'!$I$66:$V$66,MATCH($B119,'R&amp;B Inputs'!$I$4:$V$4,0)))^(AN$7-Year1))</f>
        <v>0.62029999999999996</v>
      </c>
      <c r="AO119" s="508">
        <f>IF(AO$8=0,0,INDEX('R&amp;B Inputs'!$I$86:$V$86,MATCH($B119,'R&amp;B Inputs'!$I$4:$V$4,0))*(1+INDEX('R&amp;B Inputs'!$I$66:$V$66,MATCH($B119,'R&amp;B Inputs'!$I$4:$V$4,0)))^(AO$7-Year1))</f>
        <v>0.62029999999999996</v>
      </c>
      <c r="AP119" s="508">
        <f>IF(AP$8=0,0,INDEX('R&amp;B Inputs'!$I$86:$V$86,MATCH($B119,'R&amp;B Inputs'!$I$4:$V$4,0))*(1+INDEX('R&amp;B Inputs'!$I$66:$V$66,MATCH($B119,'R&amp;B Inputs'!$I$4:$V$4,0)))^(AP$7-Year1))</f>
        <v>0.62029999999999996</v>
      </c>
      <c r="AQ119" s="508">
        <f>IF(AQ$8=0,0,INDEX('R&amp;B Inputs'!$I$86:$V$86,MATCH($B119,'R&amp;B Inputs'!$I$4:$V$4,0))*(1+INDEX('R&amp;B Inputs'!$I$66:$V$66,MATCH($B119,'R&amp;B Inputs'!$I$4:$V$4,0)))^(AQ$7-Year1))</f>
        <v>0.62029999999999996</v>
      </c>
      <c r="AR119" s="508">
        <f>IF(AR$8=0,0,INDEX('R&amp;B Inputs'!$I$86:$V$86,MATCH($B119,'R&amp;B Inputs'!$I$4:$V$4,0))*(1+INDEX('R&amp;B Inputs'!$I$66:$V$66,MATCH($B119,'R&amp;B Inputs'!$I$4:$V$4,0)))^(AR$7-Year1))</f>
        <v>0.62029999999999996</v>
      </c>
      <c r="AS119" s="508">
        <f>IF(AS$8=0,0,INDEX('R&amp;B Inputs'!$I$86:$V$86,MATCH($B119,'R&amp;B Inputs'!$I$4:$V$4,0))*(1+INDEX('R&amp;B Inputs'!$I$66:$V$66,MATCH($B119,'R&amp;B Inputs'!$I$4:$V$4,0)))^(AS$7-Year1))</f>
        <v>0.62029999999999996</v>
      </c>
      <c r="AT119" s="508">
        <f>IF(AT$8=0,0,INDEX('R&amp;B Inputs'!$I$86:$V$86,MATCH($B119,'R&amp;B Inputs'!$I$4:$V$4,0))*(1+INDEX('R&amp;B Inputs'!$I$66:$V$66,MATCH($B119,'R&amp;B Inputs'!$I$4:$V$4,0)))^(AT$7-Year1))</f>
        <v>0.62029999999999996</v>
      </c>
      <c r="AU119" s="508">
        <f>IF(AU$8=0,0,INDEX('R&amp;B Inputs'!$I$86:$V$86,MATCH($B119,'R&amp;B Inputs'!$I$4:$V$4,0))*(1+INDEX('R&amp;B Inputs'!$I$66:$V$66,MATCH($B119,'R&amp;B Inputs'!$I$4:$V$4,0)))^(AU$7-Year1))</f>
        <v>0.62029999999999996</v>
      </c>
      <c r="AV119" s="508">
        <f>IF(AV$8=0,0,INDEX('R&amp;B Inputs'!$I$86:$V$86,MATCH($B119,'R&amp;B Inputs'!$I$4:$V$4,0))*(1+INDEX('R&amp;B Inputs'!$I$66:$V$66,MATCH($B119,'R&amp;B Inputs'!$I$4:$V$4,0)))^(AV$7-Year1))</f>
        <v>0.62029999999999996</v>
      </c>
      <c r="AW119" s="508">
        <f>IF(AW$8=0,0,INDEX('R&amp;B Inputs'!$I$86:$V$86,MATCH($B119,'R&amp;B Inputs'!$I$4:$V$4,0))*(1+INDEX('R&amp;B Inputs'!$I$66:$V$66,MATCH($B119,'R&amp;B Inputs'!$I$4:$V$4,0)))^(AW$7-Year1))</f>
        <v>0.62029999999999996</v>
      </c>
      <c r="AX119" s="508">
        <f>IF(AX$8=0,0,INDEX('R&amp;B Inputs'!$I$86:$V$86,MATCH($B119,'R&amp;B Inputs'!$I$4:$V$4,0))*(1+INDEX('R&amp;B Inputs'!$I$66:$V$66,MATCH($B119,'R&amp;B Inputs'!$I$4:$V$4,0)))^(AX$7-Year1))</f>
        <v>0.62029999999999996</v>
      </c>
      <c r="AY119" s="508">
        <f>IF(AY$8=0,0,INDEX('R&amp;B Inputs'!$I$86:$V$86,MATCH($B119,'R&amp;B Inputs'!$I$4:$V$4,0))*(1+INDEX('R&amp;B Inputs'!$I$66:$V$66,MATCH($B119,'R&amp;B Inputs'!$I$4:$V$4,0)))^(AY$7-Year1))</f>
        <v>0.62029999999999996</v>
      </c>
      <c r="AZ119" s="508">
        <f>IF(AZ$8=0,0,INDEX('R&amp;B Inputs'!$I$86:$V$86,MATCH($B119,'R&amp;B Inputs'!$I$4:$V$4,0))*(1+INDEX('R&amp;B Inputs'!$I$66:$V$66,MATCH($B119,'R&amp;B Inputs'!$I$4:$V$4,0)))^(AZ$7-Year1))</f>
        <v>0.62029999999999996</v>
      </c>
      <c r="BA119" s="508">
        <f>IF(BA$8=0,0,INDEX('R&amp;B Inputs'!$I$86:$V$86,MATCH($B119,'R&amp;B Inputs'!$I$4:$V$4,0))*(1+INDEX('R&amp;B Inputs'!$I$66:$V$66,MATCH($B119,'R&amp;B Inputs'!$I$4:$V$4,0)))^(BA$7-Year1))</f>
        <v>0.62029999999999996</v>
      </c>
      <c r="BB119" s="508">
        <f>IF(BB$8=0,0,INDEX('R&amp;B Inputs'!$I$86:$V$86,MATCH($B119,'R&amp;B Inputs'!$I$4:$V$4,0))*(1+INDEX('R&amp;B Inputs'!$I$66:$V$66,MATCH($B119,'R&amp;B Inputs'!$I$4:$V$4,0)))^(BB$7-Year1))</f>
        <v>0.62029999999999996</v>
      </c>
      <c r="BC119" s="508">
        <f>IF(BC$8=0,0,INDEX('R&amp;B Inputs'!$I$86:$V$86,MATCH($B119,'R&amp;B Inputs'!$I$4:$V$4,0))*(1+INDEX('R&amp;B Inputs'!$I$66:$V$66,MATCH($B119,'R&amp;B Inputs'!$I$4:$V$4,0)))^(BC$7-Year1))</f>
        <v>0.62029999999999996</v>
      </c>
      <c r="BD119" s="508">
        <f>IF(BD$8=0,0,INDEX('R&amp;B Inputs'!$I$86:$V$86,MATCH($B119,'R&amp;B Inputs'!$I$4:$V$4,0))*(1+INDEX('R&amp;B Inputs'!$I$66:$V$66,MATCH($B119,'R&amp;B Inputs'!$I$4:$V$4,0)))^(BD$7-Year1))</f>
        <v>0.62029999999999996</v>
      </c>
      <c r="BE119" s="508">
        <f>IF(BE$8=0,0,INDEX('R&amp;B Inputs'!$I$86:$V$86,MATCH($B119,'R&amp;B Inputs'!$I$4:$V$4,0))*(1+INDEX('R&amp;B Inputs'!$I$66:$V$66,MATCH($B119,'R&amp;B Inputs'!$I$4:$V$4,0)))^(BE$7-Year1))</f>
        <v>0.62029999999999996</v>
      </c>
      <c r="BF119" s="508">
        <f>IF(BF$8=0,0,INDEX('R&amp;B Inputs'!$I$86:$V$86,MATCH($B119,'R&amp;B Inputs'!$I$4:$V$4,0))*(1+INDEX('R&amp;B Inputs'!$I$66:$V$66,MATCH($B119,'R&amp;B Inputs'!$I$4:$V$4,0)))^(BF$7-Year1))</f>
        <v>0.62029999999999996</v>
      </c>
      <c r="BG119" s="508">
        <f>IF(BG$8=0,0,INDEX('R&amp;B Inputs'!$I$86:$V$86,MATCH($B119,'R&amp;B Inputs'!$I$4:$V$4,0))*(1+INDEX('R&amp;B Inputs'!$I$66:$V$66,MATCH($B119,'R&amp;B Inputs'!$I$4:$V$4,0)))^(BG$7-Year1))</f>
        <v>0.62029999999999996</v>
      </c>
      <c r="BH119" s="508">
        <f>IF(BH$8=0,0,INDEX('R&amp;B Inputs'!$I$86:$V$86,MATCH($B119,'R&amp;B Inputs'!$I$4:$V$4,0))*(1+INDEX('R&amp;B Inputs'!$I$66:$V$66,MATCH($B119,'R&amp;B Inputs'!$I$4:$V$4,0)))^(BH$7-Year1))</f>
        <v>0.62029999999999996</v>
      </c>
      <c r="BI119" s="508">
        <f>IF(BI$8=0,0,INDEX('R&amp;B Inputs'!$I$86:$V$86,MATCH($B119,'R&amp;B Inputs'!$I$4:$V$4,0))*(1+INDEX('R&amp;B Inputs'!$I$66:$V$66,MATCH($B119,'R&amp;B Inputs'!$I$4:$V$4,0)))^(BI$7-Year1))</f>
        <v>0.62029999999999996</v>
      </c>
      <c r="BJ119" s="508">
        <f>IF(BJ$8=0,0,INDEX('R&amp;B Inputs'!$I$86:$V$86,MATCH($B119,'R&amp;B Inputs'!$I$4:$V$4,0))*(1+INDEX('R&amp;B Inputs'!$I$66:$V$66,MATCH($B119,'R&amp;B Inputs'!$I$4:$V$4,0)))^(BJ$7-Year1))</f>
        <v>0.62029999999999996</v>
      </c>
      <c r="BK119" s="508">
        <f>IF(BK$8=0,0,INDEX('R&amp;B Inputs'!$I$86:$V$86,MATCH($B119,'R&amp;B Inputs'!$I$4:$V$4,0))*(1+INDEX('R&amp;B Inputs'!$I$66:$V$66,MATCH($B119,'R&amp;B Inputs'!$I$4:$V$4,0)))^(BK$7-Year1))</f>
        <v>0.62029999999999996</v>
      </c>
      <c r="BL119" s="508">
        <f>IF(BL$8=0,0,INDEX('R&amp;B Inputs'!$I$86:$V$86,MATCH($B119,'R&amp;B Inputs'!$I$4:$V$4,0))*(1+INDEX('R&amp;B Inputs'!$I$66:$V$66,MATCH($B119,'R&amp;B Inputs'!$I$4:$V$4,0)))^(BL$7-Year1))</f>
        <v>0.62029999999999996</v>
      </c>
      <c r="BM119" s="508">
        <f>IF(BM$8=0,0,INDEX('R&amp;B Inputs'!$I$86:$V$86,MATCH($B119,'R&amp;B Inputs'!$I$4:$V$4,0))*(1+INDEX('R&amp;B Inputs'!$I$66:$V$66,MATCH($B119,'R&amp;B Inputs'!$I$4:$V$4,0)))^(BM$7-Year1))</f>
        <v>0.62029999999999996</v>
      </c>
      <c r="BN119" s="508"/>
      <c r="BO119" s="508"/>
      <c r="BP119" s="508">
        <f>IF($C$4=Year1,-PMT(Lookups!$E$17,25,NPV(Lookups!$E$17,AM119:BK119),0,1),IF($C$4=Year2,-PMT(Lookups!$F$17,25,NPV(Lookups!$F$17,AN119:BL119),0,1),IF($C$4=Year3,-PMT(Lookups!$G$17,25,NPV(Lookups!$G$17,AO119:BM119),0,1),-PMT(Lookups!$G$17,27,NPV(Lookups!$G$17,AM119:BM119),0,1))))</f>
        <v>0.61164884261501185</v>
      </c>
      <c r="BS119" s="76" t="str">
        <f t="shared" si="107"/>
        <v>Cost of Gas charge from the R&amp;B Inputs tab, escalated annually by the growth rate included on the R&amp;B Inputs tab.</v>
      </c>
      <c r="BT119" s="51" t="s">
        <v>17</v>
      </c>
    </row>
    <row r="120" spans="1:72" x14ac:dyDescent="0.25">
      <c r="B120" s="243" t="str">
        <f>B121</f>
        <v>Low-Income</v>
      </c>
      <c r="C120" s="243" t="str">
        <f>C121</f>
        <v>Rates</v>
      </c>
      <c r="D120" s="244" t="str">
        <f>D121</f>
        <v>Rates before DSM (No EE Scenario)</v>
      </c>
      <c r="E120" s="86" t="s">
        <v>75</v>
      </c>
      <c r="F120" s="84" t="s">
        <v>182</v>
      </c>
      <c r="G120" s="506">
        <f>IF(G$8=0,0,INDEX('R&amp;B Inputs'!$H$73:$U$73,MATCH($B119,'R&amp;B Inputs'!$H$4:$U$4,0))*(1+INDEX('R&amp;B Inputs'!$H$46:$U$46,MATCH($B119,'R&amp;B Inputs'!$H$4:$U$4,0)))^(G$7-Year1))</f>
        <v>9.0952917202036049E-2</v>
      </c>
      <c r="H120" s="506">
        <f>IF(H$8=0,0,INDEX('R&amp;B Inputs'!$H$73:$U$73,MATCH($B119,'R&amp;B Inputs'!$H$4:$U$4,0))*(1+INDEX('R&amp;B Inputs'!$H$46:$U$46,MATCH($B119,'R&amp;B Inputs'!$H$4:$U$4,0)))^(H$7-Year1))</f>
        <v>9.0952917202036049E-2</v>
      </c>
      <c r="I120" s="506">
        <f>IF(I$8=0,0,INDEX('R&amp;B Inputs'!$H$73:$U$73,MATCH($B119,'R&amp;B Inputs'!$H$4:$U$4,0))*(1+INDEX('R&amp;B Inputs'!$H$46:$U$46,MATCH($B119,'R&amp;B Inputs'!$H$4:$U$4,0)))^(I$7-Year1))</f>
        <v>9.0952917202036049E-2</v>
      </c>
      <c r="J120" s="506">
        <f>IF(J$8=0,0,INDEX('R&amp;B Inputs'!$H$73:$U$73,MATCH($B119,'R&amp;B Inputs'!$H$4:$U$4,0))*(1+INDEX('R&amp;B Inputs'!$H$46:$U$46,MATCH($B119,'R&amp;B Inputs'!$H$4:$U$4,0)))^(J$7-Year1))</f>
        <v>9.0952917202036049E-2</v>
      </c>
      <c r="K120" s="506">
        <f>IF(K$8=0,0,INDEX('R&amp;B Inputs'!$H$73:$U$73,MATCH($B119,'R&amp;B Inputs'!$H$4:$U$4,0))*(1+INDEX('R&amp;B Inputs'!$H$46:$U$46,MATCH($B119,'R&amp;B Inputs'!$H$4:$U$4,0)))^(K$7-Year1))</f>
        <v>9.0952917202036049E-2</v>
      </c>
      <c r="L120" s="506">
        <f>IF(L$8=0,0,INDEX('R&amp;B Inputs'!$H$73:$U$73,MATCH($B119,'R&amp;B Inputs'!$H$4:$U$4,0))*(1+INDEX('R&amp;B Inputs'!$H$46:$U$46,MATCH($B119,'R&amp;B Inputs'!$H$4:$U$4,0)))^(L$7-Year1))</f>
        <v>9.0952917202036049E-2</v>
      </c>
      <c r="M120" s="506">
        <f>IF(M$8=0,0,INDEX('R&amp;B Inputs'!$H$73:$U$73,MATCH($B119,'R&amp;B Inputs'!$H$4:$U$4,0))*(1+INDEX('R&amp;B Inputs'!$H$46:$U$46,MATCH($B119,'R&amp;B Inputs'!$H$4:$U$4,0)))^(M$7-Year1))</f>
        <v>9.0952917202036049E-2</v>
      </c>
      <c r="N120" s="506">
        <f>IF(N$8=0,0,INDEX('R&amp;B Inputs'!$H$73:$U$73,MATCH($B119,'R&amp;B Inputs'!$H$4:$U$4,0))*(1+INDEX('R&amp;B Inputs'!$H$46:$U$46,MATCH($B119,'R&amp;B Inputs'!$H$4:$U$4,0)))^(N$7-Year1))</f>
        <v>9.0952917202036049E-2</v>
      </c>
      <c r="O120" s="506">
        <f>IF(O$8=0,0,INDEX('R&amp;B Inputs'!$H$73:$U$73,MATCH($B119,'R&amp;B Inputs'!$H$4:$U$4,0))*(1+INDEX('R&amp;B Inputs'!$H$46:$U$46,MATCH($B119,'R&amp;B Inputs'!$H$4:$U$4,0)))^(O$7-Year1))</f>
        <v>9.0952917202036049E-2</v>
      </c>
      <c r="P120" s="506">
        <f>IF(P$8=0,0,INDEX('R&amp;B Inputs'!$H$73:$U$73,MATCH($B119,'R&amp;B Inputs'!$H$4:$U$4,0))*(1+INDEX('R&amp;B Inputs'!$H$46:$U$46,MATCH($B119,'R&amp;B Inputs'!$H$4:$U$4,0)))^(P$7-Year1))</f>
        <v>9.0952917202036049E-2</v>
      </c>
      <c r="Q120" s="506">
        <f>IF(Q$8=0,0,INDEX('R&amp;B Inputs'!$H$73:$U$73,MATCH($B119,'R&amp;B Inputs'!$H$4:$U$4,0))*(1+INDEX('R&amp;B Inputs'!$H$46:$U$46,MATCH($B119,'R&amp;B Inputs'!$H$4:$U$4,0)))^(Q$7-Year1))</f>
        <v>9.0952917202036049E-2</v>
      </c>
      <c r="R120" s="506">
        <f>IF(R$8=0,0,INDEX('R&amp;B Inputs'!$H$73:$U$73,MATCH($B119,'R&amp;B Inputs'!$H$4:$U$4,0))*(1+INDEX('R&amp;B Inputs'!$H$46:$U$46,MATCH($B119,'R&amp;B Inputs'!$H$4:$U$4,0)))^(R$7-Year1))</f>
        <v>9.0952917202036049E-2</v>
      </c>
      <c r="S120" s="506">
        <f>IF(S$8=0,0,INDEX('R&amp;B Inputs'!$H$73:$U$73,MATCH($B119,'R&amp;B Inputs'!$H$4:$U$4,0))*(1+INDEX('R&amp;B Inputs'!$H$46:$U$46,MATCH($B119,'R&amp;B Inputs'!$H$4:$U$4,0)))^(S$7-Year1))</f>
        <v>9.0952917202036049E-2</v>
      </c>
      <c r="T120" s="506">
        <f>IF(T$8=0,0,INDEX('R&amp;B Inputs'!$H$73:$U$73,MATCH($B119,'R&amp;B Inputs'!$H$4:$U$4,0))*(1+INDEX('R&amp;B Inputs'!$H$46:$U$46,MATCH($B119,'R&amp;B Inputs'!$H$4:$U$4,0)))^(T$7-Year1))</f>
        <v>9.0952917202036049E-2</v>
      </c>
      <c r="U120" s="506">
        <f>IF(U$8=0,0,INDEX('R&amp;B Inputs'!$H$73:$U$73,MATCH($B119,'R&amp;B Inputs'!$H$4:$U$4,0))*(1+INDEX('R&amp;B Inputs'!$H$46:$U$46,MATCH($B119,'R&amp;B Inputs'!$H$4:$U$4,0)))^(U$7-Year1))</f>
        <v>9.0952917202036049E-2</v>
      </c>
      <c r="V120" s="506">
        <f>IF(V$8=0,0,INDEX('R&amp;B Inputs'!$H$73:$U$73,MATCH($B119,'R&amp;B Inputs'!$H$4:$U$4,0))*(1+INDEX('R&amp;B Inputs'!$H$46:$U$46,MATCH($B119,'R&amp;B Inputs'!$H$4:$U$4,0)))^(V$7-Year1))</f>
        <v>9.0952917202036049E-2</v>
      </c>
      <c r="W120" s="506">
        <f>IF(W$8=0,0,INDEX('R&amp;B Inputs'!$H$73:$U$73,MATCH($B119,'R&amp;B Inputs'!$H$4:$U$4,0))*(1+INDEX('R&amp;B Inputs'!$H$46:$U$46,MATCH($B119,'R&amp;B Inputs'!$H$4:$U$4,0)))^(W$7-Year1))</f>
        <v>9.0952917202036049E-2</v>
      </c>
      <c r="X120" s="506">
        <f>IF(X$8=0,0,INDEX('R&amp;B Inputs'!$H$73:$U$73,MATCH($B119,'R&amp;B Inputs'!$H$4:$U$4,0))*(1+INDEX('R&amp;B Inputs'!$H$46:$U$46,MATCH($B119,'R&amp;B Inputs'!$H$4:$U$4,0)))^(X$7-Year1))</f>
        <v>9.0952917202036049E-2</v>
      </c>
      <c r="Y120" s="506">
        <f>IF(Y$8=0,0,INDEX('R&amp;B Inputs'!$H$73:$U$73,MATCH($B119,'R&amp;B Inputs'!$H$4:$U$4,0))*(1+INDEX('R&amp;B Inputs'!$H$46:$U$46,MATCH($B119,'R&amp;B Inputs'!$H$4:$U$4,0)))^(Y$7-Year1))</f>
        <v>9.0952917202036049E-2</v>
      </c>
      <c r="Z120" s="506">
        <f>IF(Z$8=0,0,INDEX('R&amp;B Inputs'!$H$73:$U$73,MATCH($B119,'R&amp;B Inputs'!$H$4:$U$4,0))*(1+INDEX('R&amp;B Inputs'!$H$46:$U$46,MATCH($B119,'R&amp;B Inputs'!$H$4:$U$4,0)))^(Z$7-Year1))</f>
        <v>9.0952917202036049E-2</v>
      </c>
      <c r="AA120" s="506">
        <f>IF(AA$8=0,0,INDEX('R&amp;B Inputs'!$H$73:$U$73,MATCH($B119,'R&amp;B Inputs'!$H$4:$U$4,0))*(1+INDEX('R&amp;B Inputs'!$H$46:$U$46,MATCH($B119,'R&amp;B Inputs'!$H$4:$U$4,0)))^(AA$7-Year1))</f>
        <v>9.0952917202036049E-2</v>
      </c>
      <c r="AB120" s="506">
        <f>IF(AB$8=0,0,INDEX('R&amp;B Inputs'!$H$73:$U$73,MATCH($B119,'R&amp;B Inputs'!$H$4:$U$4,0))*(1+INDEX('R&amp;B Inputs'!$H$46:$U$46,MATCH($B119,'R&amp;B Inputs'!$H$4:$U$4,0)))^(AB$7-Year1))</f>
        <v>9.0952917202036049E-2</v>
      </c>
      <c r="AC120" s="506">
        <f>IF(AC$8=0,0,INDEX('R&amp;B Inputs'!$H$73:$U$73,MATCH($B119,'R&amp;B Inputs'!$H$4:$U$4,0))*(1+INDEX('R&amp;B Inputs'!$H$46:$U$46,MATCH($B119,'R&amp;B Inputs'!$H$4:$U$4,0)))^(AC$7-Year1))</f>
        <v>9.0952917202036049E-2</v>
      </c>
      <c r="AD120" s="506">
        <f>IF(AD$8=0,0,INDEX('R&amp;B Inputs'!$H$73:$U$73,MATCH($B119,'R&amp;B Inputs'!$H$4:$U$4,0))*(1+INDEX('R&amp;B Inputs'!$H$46:$U$46,MATCH($B119,'R&amp;B Inputs'!$H$4:$U$4,0)))^(AD$7-Year1))</f>
        <v>9.0952917202036049E-2</v>
      </c>
      <c r="AE120" s="506">
        <f>IF(AE$8=0,0,INDEX('R&amp;B Inputs'!$H$73:$U$73,MATCH($B119,'R&amp;B Inputs'!$H$4:$U$4,0))*(1+INDEX('R&amp;B Inputs'!$H$46:$U$46,MATCH($B119,'R&amp;B Inputs'!$H$4:$U$4,0)))^(AE$7-Year1))</f>
        <v>9.0952917202036049E-2</v>
      </c>
      <c r="AF120" s="506">
        <f>IF(AF$8=0,0,INDEX('R&amp;B Inputs'!$H$73:$U$73,MATCH($B119,'R&amp;B Inputs'!$H$4:$U$4,0))*(1+INDEX('R&amp;B Inputs'!$H$46:$U$46,MATCH($B119,'R&amp;B Inputs'!$H$4:$U$4,0)))^(AF$7-Year1))</f>
        <v>9.0952917202036049E-2</v>
      </c>
      <c r="AG120" s="506">
        <f>IF(AG$8=0,0,INDEX('R&amp;B Inputs'!$H$73:$U$73,MATCH($B119,'R&amp;B Inputs'!$H$4:$U$4,0))*(1+INDEX('R&amp;B Inputs'!$H$46:$U$46,MATCH($B119,'R&amp;B Inputs'!$H$4:$U$4,0)))^(AG$7-Year1))</f>
        <v>9.0952917202036049E-2</v>
      </c>
      <c r="AH120" s="506"/>
      <c r="AI120" s="506"/>
      <c r="AJ120" s="506">
        <f>IF($C$4=Year1,-PMT(Lookups!$E$17,25,NPV(Lookups!$E$17,G120:AE120),0,1),IF($C$4=Year2,-PMT(Lookups!$F$17,25,NPV(Lookups!$F$17,H120:AF120),0,1),IF($C$4=Year3,-PMT(Lookups!$G$17,25,NPV(Lookups!$G$17,I120:AG120),0,1),-PMT(Lookups!$G$17,27,NPV(Lookups!$G$17,G120:AG120),0,1))))</f>
        <v>8.9684421310792128E-2</v>
      </c>
      <c r="AK120" s="507"/>
      <c r="AL120" s="507"/>
      <c r="AM120" s="508">
        <f>IF(AM$8=0,0,INDEX('R&amp;B Inputs'!$H$73:$U$73,MATCH($B119,'R&amp;B Inputs'!$H$4:$U$4,0))*(1+INDEX('R&amp;B Inputs'!$H$46:$U$46,MATCH($B119,'R&amp;B Inputs'!$H$4:$U$4,0)))^(AM$7-Year1))</f>
        <v>9.0952917202036049E-2</v>
      </c>
      <c r="AN120" s="508">
        <f>IF(AN$8=0,0,INDEX('R&amp;B Inputs'!$H$73:$U$73,MATCH($B119,'R&amp;B Inputs'!$H$4:$U$4,0))*(1+INDEX('R&amp;B Inputs'!$H$46:$U$46,MATCH($B119,'R&amp;B Inputs'!$H$4:$U$4,0)))^(AN$7-Year1))</f>
        <v>9.0952917202036049E-2</v>
      </c>
      <c r="AO120" s="508">
        <f>IF(AO$8=0,0,INDEX('R&amp;B Inputs'!$H$73:$U$73,MATCH($B119,'R&amp;B Inputs'!$H$4:$U$4,0))*(1+INDEX('R&amp;B Inputs'!$H$46:$U$46,MATCH($B119,'R&amp;B Inputs'!$H$4:$U$4,0)))^(AO$7-Year1))</f>
        <v>9.0952917202036049E-2</v>
      </c>
      <c r="AP120" s="508">
        <f>IF(AP$8=0,0,INDEX('R&amp;B Inputs'!$H$73:$U$73,MATCH($B119,'R&amp;B Inputs'!$H$4:$U$4,0))*(1+INDEX('R&amp;B Inputs'!$H$46:$U$46,MATCH($B119,'R&amp;B Inputs'!$H$4:$U$4,0)))^(AP$7-Year1))</f>
        <v>9.0952917202036049E-2</v>
      </c>
      <c r="AQ120" s="508">
        <f>IF(AQ$8=0,0,INDEX('R&amp;B Inputs'!$H$73:$U$73,MATCH($B119,'R&amp;B Inputs'!$H$4:$U$4,0))*(1+INDEX('R&amp;B Inputs'!$H$46:$U$46,MATCH($B119,'R&amp;B Inputs'!$H$4:$U$4,0)))^(AQ$7-Year1))</f>
        <v>9.0952917202036049E-2</v>
      </c>
      <c r="AR120" s="508">
        <f>IF(AR$8=0,0,INDEX('R&amp;B Inputs'!$H$73:$U$73,MATCH($B119,'R&amp;B Inputs'!$H$4:$U$4,0))*(1+INDEX('R&amp;B Inputs'!$H$46:$U$46,MATCH($B119,'R&amp;B Inputs'!$H$4:$U$4,0)))^(AR$7-Year1))</f>
        <v>9.0952917202036049E-2</v>
      </c>
      <c r="AS120" s="508">
        <f>IF(AS$8=0,0,INDEX('R&amp;B Inputs'!$H$73:$U$73,MATCH($B119,'R&amp;B Inputs'!$H$4:$U$4,0))*(1+INDEX('R&amp;B Inputs'!$H$46:$U$46,MATCH($B119,'R&amp;B Inputs'!$H$4:$U$4,0)))^(AS$7-Year1))</f>
        <v>9.0952917202036049E-2</v>
      </c>
      <c r="AT120" s="508">
        <f>IF(AT$8=0,0,INDEX('R&amp;B Inputs'!$H$73:$U$73,MATCH($B119,'R&amp;B Inputs'!$H$4:$U$4,0))*(1+INDEX('R&amp;B Inputs'!$H$46:$U$46,MATCH($B119,'R&amp;B Inputs'!$H$4:$U$4,0)))^(AT$7-Year1))</f>
        <v>9.0952917202036049E-2</v>
      </c>
      <c r="AU120" s="508">
        <f>IF(AU$8=0,0,INDEX('R&amp;B Inputs'!$H$73:$U$73,MATCH($B119,'R&amp;B Inputs'!$H$4:$U$4,0))*(1+INDEX('R&amp;B Inputs'!$H$46:$U$46,MATCH($B119,'R&amp;B Inputs'!$H$4:$U$4,0)))^(AU$7-Year1))</f>
        <v>9.0952917202036049E-2</v>
      </c>
      <c r="AV120" s="508">
        <f>IF(AV$8=0,0,INDEX('R&amp;B Inputs'!$H$73:$U$73,MATCH($B119,'R&amp;B Inputs'!$H$4:$U$4,0))*(1+INDEX('R&amp;B Inputs'!$H$46:$U$46,MATCH($B119,'R&amp;B Inputs'!$H$4:$U$4,0)))^(AV$7-Year1))</f>
        <v>9.0952917202036049E-2</v>
      </c>
      <c r="AW120" s="508">
        <f>IF(AW$8=0,0,INDEX('R&amp;B Inputs'!$H$73:$U$73,MATCH($B119,'R&amp;B Inputs'!$H$4:$U$4,0))*(1+INDEX('R&amp;B Inputs'!$H$46:$U$46,MATCH($B119,'R&amp;B Inputs'!$H$4:$U$4,0)))^(AW$7-Year1))</f>
        <v>9.0952917202036049E-2</v>
      </c>
      <c r="AX120" s="508">
        <f>IF(AX$8=0,0,INDEX('R&amp;B Inputs'!$H$73:$U$73,MATCH($B119,'R&amp;B Inputs'!$H$4:$U$4,0))*(1+INDEX('R&amp;B Inputs'!$H$46:$U$46,MATCH($B119,'R&amp;B Inputs'!$H$4:$U$4,0)))^(AX$7-Year1))</f>
        <v>9.0952917202036049E-2</v>
      </c>
      <c r="AY120" s="508">
        <f>IF(AY$8=0,0,INDEX('R&amp;B Inputs'!$H$73:$U$73,MATCH($B119,'R&amp;B Inputs'!$H$4:$U$4,0))*(1+INDEX('R&amp;B Inputs'!$H$46:$U$46,MATCH($B119,'R&amp;B Inputs'!$H$4:$U$4,0)))^(AY$7-Year1))</f>
        <v>9.0952917202036049E-2</v>
      </c>
      <c r="AZ120" s="508">
        <f>IF(AZ$8=0,0,INDEX('R&amp;B Inputs'!$H$73:$U$73,MATCH($B119,'R&amp;B Inputs'!$H$4:$U$4,0))*(1+INDEX('R&amp;B Inputs'!$H$46:$U$46,MATCH($B119,'R&amp;B Inputs'!$H$4:$U$4,0)))^(AZ$7-Year1))</f>
        <v>9.0952917202036049E-2</v>
      </c>
      <c r="BA120" s="508">
        <f>IF(BA$8=0,0,INDEX('R&amp;B Inputs'!$H$73:$U$73,MATCH($B119,'R&amp;B Inputs'!$H$4:$U$4,0))*(1+INDEX('R&amp;B Inputs'!$H$46:$U$46,MATCH($B119,'R&amp;B Inputs'!$H$4:$U$4,0)))^(BA$7-Year1))</f>
        <v>9.0952917202036049E-2</v>
      </c>
      <c r="BB120" s="508">
        <f>IF(BB$8=0,0,INDEX('R&amp;B Inputs'!$H$73:$U$73,MATCH($B119,'R&amp;B Inputs'!$H$4:$U$4,0))*(1+INDEX('R&amp;B Inputs'!$H$46:$U$46,MATCH($B119,'R&amp;B Inputs'!$H$4:$U$4,0)))^(BB$7-Year1))</f>
        <v>9.0952917202036049E-2</v>
      </c>
      <c r="BC120" s="508">
        <f>IF(BC$8=0,0,INDEX('R&amp;B Inputs'!$H$73:$U$73,MATCH($B119,'R&amp;B Inputs'!$H$4:$U$4,0))*(1+INDEX('R&amp;B Inputs'!$H$46:$U$46,MATCH($B119,'R&amp;B Inputs'!$H$4:$U$4,0)))^(BC$7-Year1))</f>
        <v>9.0952917202036049E-2</v>
      </c>
      <c r="BD120" s="508">
        <f>IF(BD$8=0,0,INDEX('R&amp;B Inputs'!$H$73:$U$73,MATCH($B119,'R&amp;B Inputs'!$H$4:$U$4,0))*(1+INDEX('R&amp;B Inputs'!$H$46:$U$46,MATCH($B119,'R&amp;B Inputs'!$H$4:$U$4,0)))^(BD$7-Year1))</f>
        <v>9.0952917202036049E-2</v>
      </c>
      <c r="BE120" s="508">
        <f>IF(BE$8=0,0,INDEX('R&amp;B Inputs'!$H$73:$U$73,MATCH($B119,'R&amp;B Inputs'!$H$4:$U$4,0))*(1+INDEX('R&amp;B Inputs'!$H$46:$U$46,MATCH($B119,'R&amp;B Inputs'!$H$4:$U$4,0)))^(BE$7-Year1))</f>
        <v>9.0952917202036049E-2</v>
      </c>
      <c r="BF120" s="508">
        <f>IF(BF$8=0,0,INDEX('R&amp;B Inputs'!$H$73:$U$73,MATCH($B119,'R&amp;B Inputs'!$H$4:$U$4,0))*(1+INDEX('R&amp;B Inputs'!$H$46:$U$46,MATCH($B119,'R&amp;B Inputs'!$H$4:$U$4,0)))^(BF$7-Year1))</f>
        <v>9.0952917202036049E-2</v>
      </c>
      <c r="BG120" s="508">
        <f>IF(BG$8=0,0,INDEX('R&amp;B Inputs'!$H$73:$U$73,MATCH($B119,'R&amp;B Inputs'!$H$4:$U$4,0))*(1+INDEX('R&amp;B Inputs'!$H$46:$U$46,MATCH($B119,'R&amp;B Inputs'!$H$4:$U$4,0)))^(BG$7-Year1))</f>
        <v>9.0952917202036049E-2</v>
      </c>
      <c r="BH120" s="508">
        <f>IF(BH$8=0,0,INDEX('R&amp;B Inputs'!$H$73:$U$73,MATCH($B119,'R&amp;B Inputs'!$H$4:$U$4,0))*(1+INDEX('R&amp;B Inputs'!$H$46:$U$46,MATCH($B119,'R&amp;B Inputs'!$H$4:$U$4,0)))^(BH$7-Year1))</f>
        <v>9.0952917202036049E-2</v>
      </c>
      <c r="BI120" s="508">
        <f>IF(BI$8=0,0,INDEX('R&amp;B Inputs'!$H$73:$U$73,MATCH($B119,'R&amp;B Inputs'!$H$4:$U$4,0))*(1+INDEX('R&amp;B Inputs'!$H$46:$U$46,MATCH($B119,'R&amp;B Inputs'!$H$4:$U$4,0)))^(BI$7-Year1))</f>
        <v>9.0952917202036049E-2</v>
      </c>
      <c r="BJ120" s="508">
        <f>IF(BJ$8=0,0,INDEX('R&amp;B Inputs'!$H$73:$U$73,MATCH($B119,'R&amp;B Inputs'!$H$4:$U$4,0))*(1+INDEX('R&amp;B Inputs'!$H$46:$U$46,MATCH($B119,'R&amp;B Inputs'!$H$4:$U$4,0)))^(BJ$7-Year1))</f>
        <v>9.0952917202036049E-2</v>
      </c>
      <c r="BK120" s="508">
        <f>IF(BK$8=0,0,INDEX('R&amp;B Inputs'!$H$73:$U$73,MATCH($B119,'R&amp;B Inputs'!$H$4:$U$4,0))*(1+INDEX('R&amp;B Inputs'!$H$46:$U$46,MATCH($B119,'R&amp;B Inputs'!$H$4:$U$4,0)))^(BK$7-Year1))</f>
        <v>9.0952917202036049E-2</v>
      </c>
      <c r="BL120" s="508">
        <f>IF(BL$8=0,0,INDEX('R&amp;B Inputs'!$H$73:$U$73,MATCH($B119,'R&amp;B Inputs'!$H$4:$U$4,0))*(1+INDEX('R&amp;B Inputs'!$H$46:$U$46,MATCH($B119,'R&amp;B Inputs'!$H$4:$U$4,0)))^(BL$7-Year1))</f>
        <v>9.0952917202036049E-2</v>
      </c>
      <c r="BM120" s="508">
        <f>IF(BM$8=0,0,INDEX('R&amp;B Inputs'!$H$73:$U$73,MATCH($B119,'R&amp;B Inputs'!$H$4:$U$4,0))*(1+INDEX('R&amp;B Inputs'!$H$46:$U$46,MATCH($B119,'R&amp;B Inputs'!$H$4:$U$4,0)))^(BM$7-Year1))</f>
        <v>9.0952917202036049E-2</v>
      </c>
      <c r="BN120" s="508"/>
      <c r="BO120" s="508"/>
      <c r="BP120" s="508">
        <f>IF($C$4=Year1,-PMT(Lookups!$E$17,25,NPV(Lookups!$E$17,AM120:BK120),0,1),IF($C$4=Year2,-PMT(Lookups!$F$17,25,NPV(Lookups!$F$17,AN120:BL120),0,1),IF($C$4=Year3,-PMT(Lookups!$G$17,25,NPV(Lookups!$G$17,AO120:BM120),0,1),-PMT(Lookups!$G$17,27,NPV(Lookups!$G$17,AM120:BM120),0,1))))</f>
        <v>8.9684421310792128E-2</v>
      </c>
      <c r="BS120" s="84" t="str">
        <f>E120&amp;" charge from the R&amp;B Inputs tab, escalated annually by the growth rate included on the R&amp;B Inputs tab."</f>
        <v>Customer Charge charge from the R&amp;B Inputs tab, escalated annually by the growth rate included on the R&amp;B Inputs tab.</v>
      </c>
      <c r="BT120" s="51" t="s">
        <v>17</v>
      </c>
    </row>
    <row r="121" spans="1:72" x14ac:dyDescent="0.25">
      <c r="B121" s="243" t="str">
        <f>B119</f>
        <v>Low-Income</v>
      </c>
      <c r="C121" s="243" t="str">
        <f>C119</f>
        <v>Rates</v>
      </c>
      <c r="D121" s="244" t="str">
        <f>D119</f>
        <v>Rates before DSM (No EE Scenario)</v>
      </c>
      <c r="E121" s="84" t="s">
        <v>76</v>
      </c>
      <c r="F121" s="84" t="s">
        <v>182</v>
      </c>
      <c r="G121" s="506">
        <f>SUM(G117:G120)</f>
        <v>0.90105291720203595</v>
      </c>
      <c r="H121" s="506">
        <f>SUM(H117:H120)</f>
        <v>0.90105291720203595</v>
      </c>
      <c r="I121" s="506">
        <f t="shared" ref="I121:AG121" si="108">SUM(I117:I120)</f>
        <v>0.90105291720203595</v>
      </c>
      <c r="J121" s="506">
        <f t="shared" si="108"/>
        <v>0.90105291720203595</v>
      </c>
      <c r="K121" s="506">
        <f t="shared" si="108"/>
        <v>0.90105291720203595</v>
      </c>
      <c r="L121" s="506">
        <f t="shared" si="108"/>
        <v>0.90105291720203595</v>
      </c>
      <c r="M121" s="506">
        <f t="shared" si="108"/>
        <v>0.90105291720203595</v>
      </c>
      <c r="N121" s="506">
        <f t="shared" si="108"/>
        <v>0.90105291720203595</v>
      </c>
      <c r="O121" s="506">
        <f t="shared" si="108"/>
        <v>0.90105291720203595</v>
      </c>
      <c r="P121" s="506">
        <f t="shared" si="108"/>
        <v>0.90105291720203595</v>
      </c>
      <c r="Q121" s="506">
        <f t="shared" si="108"/>
        <v>0.90105291720203595</v>
      </c>
      <c r="R121" s="506">
        <f t="shared" si="108"/>
        <v>0.90105291720203595</v>
      </c>
      <c r="S121" s="506">
        <f t="shared" si="108"/>
        <v>0.90105291720203595</v>
      </c>
      <c r="T121" s="506">
        <f t="shared" si="108"/>
        <v>0.90105291720203595</v>
      </c>
      <c r="U121" s="506">
        <f t="shared" si="108"/>
        <v>0.90105291720203595</v>
      </c>
      <c r="V121" s="506">
        <f t="shared" si="108"/>
        <v>0.90105291720203595</v>
      </c>
      <c r="W121" s="506">
        <f t="shared" si="108"/>
        <v>0.90105291720203595</v>
      </c>
      <c r="X121" s="506">
        <f t="shared" si="108"/>
        <v>0.90105291720203595</v>
      </c>
      <c r="Y121" s="506">
        <f t="shared" si="108"/>
        <v>0.90105291720203595</v>
      </c>
      <c r="Z121" s="506">
        <f t="shared" si="108"/>
        <v>0.90105291720203595</v>
      </c>
      <c r="AA121" s="506">
        <f t="shared" si="108"/>
        <v>0.90105291720203595</v>
      </c>
      <c r="AB121" s="506">
        <f t="shared" si="108"/>
        <v>0.90105291720203595</v>
      </c>
      <c r="AC121" s="506">
        <f t="shared" si="108"/>
        <v>0.90105291720203595</v>
      </c>
      <c r="AD121" s="506">
        <f t="shared" si="108"/>
        <v>0.90105291720203595</v>
      </c>
      <c r="AE121" s="506">
        <f t="shared" si="108"/>
        <v>0.90105291720203595</v>
      </c>
      <c r="AF121" s="506">
        <f t="shared" si="108"/>
        <v>0.90105291720203595</v>
      </c>
      <c r="AG121" s="506">
        <f t="shared" si="108"/>
        <v>0.90105291720203595</v>
      </c>
      <c r="AH121" s="506"/>
      <c r="AI121" s="506"/>
      <c r="AJ121" s="506">
        <f>IF($C$4=Year1,-PMT(Lookups!$E$17,25,NPV(Lookups!$E$17,G121:AE121),0,1),IF($C$4=Year2,-PMT(Lookups!$F$17,25,NPV(Lookups!$F$17,H121:AF121),0,1),IF($C$4=Year3,-PMT(Lookups!$G$17,25,NPV(Lookups!$G$17,I121:AG121),0,1),-PMT(Lookups!$G$17,27,NPV(Lookups!$G$17,G121:AG121),0,1))))</f>
        <v>0.88848617433742627</v>
      </c>
      <c r="AK121" s="507"/>
      <c r="AL121" s="507"/>
      <c r="AM121" s="508">
        <f>SUM(AM117:AM120)</f>
        <v>0.90105291720203595</v>
      </c>
      <c r="AN121" s="508">
        <f t="shared" ref="AN121:BM121" si="109">SUM(AN117:AN120)</f>
        <v>0.90105291720203595</v>
      </c>
      <c r="AO121" s="508">
        <f t="shared" si="109"/>
        <v>0.90105291720203595</v>
      </c>
      <c r="AP121" s="508">
        <f t="shared" si="109"/>
        <v>0.90105291720203595</v>
      </c>
      <c r="AQ121" s="508">
        <f t="shared" si="109"/>
        <v>0.90105291720203595</v>
      </c>
      <c r="AR121" s="508">
        <f t="shared" si="109"/>
        <v>0.90105291720203595</v>
      </c>
      <c r="AS121" s="508">
        <f t="shared" si="109"/>
        <v>0.90105291720203595</v>
      </c>
      <c r="AT121" s="508">
        <f t="shared" si="109"/>
        <v>0.90105291720203595</v>
      </c>
      <c r="AU121" s="508">
        <f t="shared" si="109"/>
        <v>0.90105291720203595</v>
      </c>
      <c r="AV121" s="508">
        <f t="shared" si="109"/>
        <v>0.90105291720203595</v>
      </c>
      <c r="AW121" s="508">
        <f t="shared" si="109"/>
        <v>0.90105291720203595</v>
      </c>
      <c r="AX121" s="508">
        <f t="shared" si="109"/>
        <v>0.90105291720203595</v>
      </c>
      <c r="AY121" s="508">
        <f t="shared" si="109"/>
        <v>0.90105291720203595</v>
      </c>
      <c r="AZ121" s="508">
        <f t="shared" si="109"/>
        <v>0.90105291720203595</v>
      </c>
      <c r="BA121" s="508">
        <f t="shared" si="109"/>
        <v>0.90105291720203595</v>
      </c>
      <c r="BB121" s="508">
        <f t="shared" si="109"/>
        <v>0.90105291720203595</v>
      </c>
      <c r="BC121" s="508">
        <f t="shared" si="109"/>
        <v>0.90105291720203595</v>
      </c>
      <c r="BD121" s="508">
        <f t="shared" si="109"/>
        <v>0.90105291720203595</v>
      </c>
      <c r="BE121" s="508">
        <f t="shared" si="109"/>
        <v>0.90105291720203595</v>
      </c>
      <c r="BF121" s="508">
        <f t="shared" si="109"/>
        <v>0.90105291720203595</v>
      </c>
      <c r="BG121" s="508">
        <f t="shared" si="109"/>
        <v>0.90105291720203595</v>
      </c>
      <c r="BH121" s="508">
        <f t="shared" si="109"/>
        <v>0.90105291720203595</v>
      </c>
      <c r="BI121" s="508">
        <f t="shared" si="109"/>
        <v>0.90105291720203595</v>
      </c>
      <c r="BJ121" s="508">
        <f t="shared" si="109"/>
        <v>0.90105291720203595</v>
      </c>
      <c r="BK121" s="508">
        <f t="shared" si="109"/>
        <v>0.90105291720203595</v>
      </c>
      <c r="BL121" s="508">
        <f t="shared" si="109"/>
        <v>0.90105291720203595</v>
      </c>
      <c r="BM121" s="508">
        <f t="shared" si="109"/>
        <v>0.90105291720203595</v>
      </c>
      <c r="BN121" s="508"/>
      <c r="BO121" s="508"/>
      <c r="BP121" s="508">
        <f>IF($C$4=Year1,-PMT(Lookups!$E$17,25,NPV(Lookups!$E$17,AM121:BK121),0,1),IF($C$4=Year2,-PMT(Lookups!$F$17,25,NPV(Lookups!$F$17,AN121:BL121),0,1),IF($C$4=Year3,-PMT(Lookups!$G$17,25,NPV(Lookups!$G$17,AO121:BM121),0,1),-PMT(Lookups!$G$17,27,NPV(Lookups!$G$17,AM121:BM121),0,1))))</f>
        <v>0.88848617433742627</v>
      </c>
      <c r="BS121" s="84" t="s">
        <v>94</v>
      </c>
      <c r="BT121" s="51" t="s">
        <v>17</v>
      </c>
    </row>
    <row r="122" spans="1:72" x14ac:dyDescent="0.25">
      <c r="B122" s="243" t="str">
        <f>B120</f>
        <v>Low-Income</v>
      </c>
      <c r="C122" s="243" t="str">
        <f>C120</f>
        <v>Rates</v>
      </c>
      <c r="D122" s="114" t="s">
        <v>24</v>
      </c>
      <c r="E122" s="86"/>
      <c r="F122" s="8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89"/>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S122" s="84"/>
      <c r="BT122" s="51" t="s">
        <v>17</v>
      </c>
    </row>
    <row r="123" spans="1:72" x14ac:dyDescent="0.25">
      <c r="B123" s="243" t="str">
        <f t="shared" ref="B123:D124" si="110">B122</f>
        <v>Low-Income</v>
      </c>
      <c r="C123" s="243" t="str">
        <f t="shared" si="110"/>
        <v>Rates</v>
      </c>
      <c r="D123" s="244" t="str">
        <f t="shared" si="110"/>
        <v>Avoided Costs</v>
      </c>
      <c r="E123" s="84" t="s">
        <v>45</v>
      </c>
      <c r="F123" s="84" t="s">
        <v>182</v>
      </c>
      <c r="G123" s="506">
        <f ca="1">IFERROR(-G104/G96,0)</f>
        <v>-1.4148612303041042E-2</v>
      </c>
      <c r="H123" s="506">
        <f t="shared" ref="H123:AG123" ca="1" si="111">IFERROR(-H104/H96,0)</f>
        <v>-1.4148612303041042E-2</v>
      </c>
      <c r="I123" s="506">
        <f t="shared" ca="1" si="111"/>
        <v>-1.4148612303041042E-2</v>
      </c>
      <c r="J123" s="506">
        <f t="shared" ca="1" si="111"/>
        <v>-1.4148612303041042E-2</v>
      </c>
      <c r="K123" s="506">
        <f t="shared" ca="1" si="111"/>
        <v>-1.4148612303041042E-2</v>
      </c>
      <c r="L123" s="506">
        <f t="shared" ca="1" si="111"/>
        <v>-1.4148612303041042E-2</v>
      </c>
      <c r="M123" s="506">
        <f t="shared" ca="1" si="111"/>
        <v>-1.4148612303041042E-2</v>
      </c>
      <c r="N123" s="506">
        <f t="shared" ca="1" si="111"/>
        <v>-1.4148612303041042E-2</v>
      </c>
      <c r="O123" s="506">
        <f t="shared" ca="1" si="111"/>
        <v>-1.4148612303041042E-2</v>
      </c>
      <c r="P123" s="506">
        <f t="shared" ca="1" si="111"/>
        <v>-1.4148612303041042E-2</v>
      </c>
      <c r="Q123" s="506">
        <f t="shared" ca="1" si="111"/>
        <v>-1.4148612303041042E-2</v>
      </c>
      <c r="R123" s="506">
        <f t="shared" ca="1" si="111"/>
        <v>-1.4148612303041042E-2</v>
      </c>
      <c r="S123" s="506">
        <f t="shared" ca="1" si="111"/>
        <v>-1.4148612303041042E-2</v>
      </c>
      <c r="T123" s="506">
        <f t="shared" ca="1" si="111"/>
        <v>-1.4148612303041042E-2</v>
      </c>
      <c r="U123" s="506">
        <f t="shared" ca="1" si="111"/>
        <v>-1.4148612303041042E-2</v>
      </c>
      <c r="V123" s="506">
        <f t="shared" ca="1" si="111"/>
        <v>-1.4148612303041042E-2</v>
      </c>
      <c r="W123" s="506">
        <f t="shared" ca="1" si="111"/>
        <v>-1.4148612303041042E-2</v>
      </c>
      <c r="X123" s="506">
        <f t="shared" ca="1" si="111"/>
        <v>-1.4148612303041042E-2</v>
      </c>
      <c r="Y123" s="506">
        <f t="shared" ca="1" si="111"/>
        <v>-1.4148612303041042E-2</v>
      </c>
      <c r="Z123" s="506">
        <f t="shared" ca="1" si="111"/>
        <v>-1.4148612303041042E-2</v>
      </c>
      <c r="AA123" s="506">
        <f t="shared" ca="1" si="111"/>
        <v>0</v>
      </c>
      <c r="AB123" s="506">
        <f t="shared" ca="1" si="111"/>
        <v>0</v>
      </c>
      <c r="AC123" s="506">
        <f t="shared" ca="1" si="111"/>
        <v>0</v>
      </c>
      <c r="AD123" s="506">
        <f t="shared" ca="1" si="111"/>
        <v>0</v>
      </c>
      <c r="AE123" s="506">
        <f t="shared" ca="1" si="111"/>
        <v>0</v>
      </c>
      <c r="AF123" s="506">
        <f t="shared" ca="1" si="111"/>
        <v>0</v>
      </c>
      <c r="AG123" s="506">
        <f t="shared" ca="1" si="111"/>
        <v>0</v>
      </c>
      <c r="AH123" s="506"/>
      <c r="AI123" s="506"/>
      <c r="AJ123" s="506">
        <f ca="1">IF($C$4=Year1,-PMT(Lookups!$E$17,25,NPV(Lookups!$E$17,G123:AE123),0,1),IF($C$4=Year2,-PMT(Lookups!$F$17,25,NPV(Lookups!$F$17,H123:AF123),0,1),IF($C$4=Year3,-PMT(Lookups!$G$17,25,NPV(Lookups!$G$17,I123:AG123),0,1),-PMT(Lookups!$G$17,27,NPV(Lookups!$G$17,G123:AG123),0,1))))</f>
        <v>-1.153855632677109E-2</v>
      </c>
      <c r="AK123" s="507"/>
      <c r="AL123" s="507"/>
      <c r="AM123" s="508">
        <f ca="1">IFERROR(-AM104/AM96,0)</f>
        <v>-1.6213967610200261E-2</v>
      </c>
      <c r="AN123" s="508">
        <f t="shared" ref="AN123:BM123" ca="1" si="112">IFERROR(-AN104/AN96,0)</f>
        <v>-1.6213967610200261E-2</v>
      </c>
      <c r="AO123" s="508">
        <f t="shared" ca="1" si="112"/>
        <v>-1.6213967610200261E-2</v>
      </c>
      <c r="AP123" s="508">
        <f t="shared" ca="1" si="112"/>
        <v>-1.6213967610200261E-2</v>
      </c>
      <c r="AQ123" s="508">
        <f t="shared" ca="1" si="112"/>
        <v>-1.6213967610200261E-2</v>
      </c>
      <c r="AR123" s="508">
        <f t="shared" ca="1" si="112"/>
        <v>-1.6213967610200261E-2</v>
      </c>
      <c r="AS123" s="508">
        <f t="shared" ca="1" si="112"/>
        <v>-1.6213967610200261E-2</v>
      </c>
      <c r="AT123" s="508">
        <f t="shared" ca="1" si="112"/>
        <v>-1.6213967610200261E-2</v>
      </c>
      <c r="AU123" s="508">
        <f t="shared" ca="1" si="112"/>
        <v>-1.6213967610200261E-2</v>
      </c>
      <c r="AV123" s="508">
        <f t="shared" ca="1" si="112"/>
        <v>-1.6213967610200261E-2</v>
      </c>
      <c r="AW123" s="508">
        <f t="shared" ca="1" si="112"/>
        <v>-1.6213967610200261E-2</v>
      </c>
      <c r="AX123" s="508">
        <f t="shared" ca="1" si="112"/>
        <v>-1.6213967610200261E-2</v>
      </c>
      <c r="AY123" s="508">
        <f t="shared" ca="1" si="112"/>
        <v>-1.6213967610200261E-2</v>
      </c>
      <c r="AZ123" s="508">
        <f t="shared" ca="1" si="112"/>
        <v>-1.6213967610200261E-2</v>
      </c>
      <c r="BA123" s="508">
        <f t="shared" ca="1" si="112"/>
        <v>-1.6213967610200261E-2</v>
      </c>
      <c r="BB123" s="508">
        <f t="shared" ca="1" si="112"/>
        <v>-1.6213967610200261E-2</v>
      </c>
      <c r="BC123" s="508">
        <f t="shared" ca="1" si="112"/>
        <v>-1.6213967610200261E-2</v>
      </c>
      <c r="BD123" s="508">
        <f t="shared" ca="1" si="112"/>
        <v>-1.6213967610200261E-2</v>
      </c>
      <c r="BE123" s="508">
        <f t="shared" ca="1" si="112"/>
        <v>-1.6213967610200261E-2</v>
      </c>
      <c r="BF123" s="508">
        <f t="shared" ca="1" si="112"/>
        <v>-1.6213967610200261E-2</v>
      </c>
      <c r="BG123" s="508">
        <f t="shared" ca="1" si="112"/>
        <v>0</v>
      </c>
      <c r="BH123" s="508">
        <f t="shared" ca="1" si="112"/>
        <v>0</v>
      </c>
      <c r="BI123" s="508">
        <f t="shared" ca="1" si="112"/>
        <v>0</v>
      </c>
      <c r="BJ123" s="508">
        <f t="shared" ca="1" si="112"/>
        <v>0</v>
      </c>
      <c r="BK123" s="508">
        <f t="shared" ca="1" si="112"/>
        <v>0</v>
      </c>
      <c r="BL123" s="508">
        <f t="shared" ca="1" si="112"/>
        <v>0</v>
      </c>
      <c r="BM123" s="508">
        <f t="shared" ca="1" si="112"/>
        <v>0</v>
      </c>
      <c r="BN123" s="508"/>
      <c r="BO123" s="508"/>
      <c r="BP123" s="508">
        <f ca="1">IF($C$4=Year1,-PMT(Lookups!$E$17,25,NPV(Lookups!$E$17,AM123:BK123),0,1),IF($C$4=Year2,-PMT(Lookups!$F$17,25,NPV(Lookups!$F$17,AN123:BL123),0,1),IF($C$4=Year3,-PMT(Lookups!$G$17,25,NPV(Lookups!$G$17,AO123:BM123),0,1),-PMT(Lookups!$G$17,27,NPV(Lookups!$G$17,AM123:BM123),0,1))))</f>
        <v>-1.3222906568054475E-2</v>
      </c>
      <c r="BS123" s="84" t="str">
        <f t="shared" ref="BS123:BS125" si="113">"Avoided "&amp;E123&amp;" avoided costs divided by After Scenario sales."</f>
        <v>Avoided Gas avoided costs divided by After Scenario sales.</v>
      </c>
      <c r="BT123" s="51" t="s">
        <v>17</v>
      </c>
    </row>
    <row r="124" spans="1:72" x14ac:dyDescent="0.25">
      <c r="B124" s="243" t="str">
        <f t="shared" si="110"/>
        <v>Low-Income</v>
      </c>
      <c r="C124" s="243" t="str">
        <f t="shared" si="110"/>
        <v>Rates</v>
      </c>
      <c r="D124" s="244" t="str">
        <f t="shared" si="110"/>
        <v>Avoided Costs</v>
      </c>
      <c r="E124" s="86" t="s">
        <v>412</v>
      </c>
      <c r="F124" s="84" t="s">
        <v>182</v>
      </c>
      <c r="G124" s="506">
        <f ca="1">IFERROR(-G105/G96,0)</f>
        <v>-9.0310291296006651E-4</v>
      </c>
      <c r="H124" s="506">
        <f t="shared" ref="H124:AG124" ca="1" si="114">IFERROR(-H105/H96,0)</f>
        <v>-9.0310291296006651E-4</v>
      </c>
      <c r="I124" s="506">
        <f t="shared" ca="1" si="114"/>
        <v>-9.0310291296006651E-4</v>
      </c>
      <c r="J124" s="506">
        <f t="shared" ca="1" si="114"/>
        <v>-9.0310291296006651E-4</v>
      </c>
      <c r="K124" s="506">
        <f t="shared" ca="1" si="114"/>
        <v>-9.0310291296006651E-4</v>
      </c>
      <c r="L124" s="506">
        <f t="shared" ca="1" si="114"/>
        <v>-9.0310291296006651E-4</v>
      </c>
      <c r="M124" s="506">
        <f t="shared" ca="1" si="114"/>
        <v>-9.0310291296006651E-4</v>
      </c>
      <c r="N124" s="506">
        <f t="shared" ca="1" si="114"/>
        <v>-9.0310291296006651E-4</v>
      </c>
      <c r="O124" s="506">
        <f t="shared" ca="1" si="114"/>
        <v>-9.0310291296006651E-4</v>
      </c>
      <c r="P124" s="506">
        <f t="shared" ca="1" si="114"/>
        <v>-9.0310291296006651E-4</v>
      </c>
      <c r="Q124" s="506">
        <f t="shared" ca="1" si="114"/>
        <v>-9.0310291296006651E-4</v>
      </c>
      <c r="R124" s="506">
        <f t="shared" ca="1" si="114"/>
        <v>-9.0310291296006651E-4</v>
      </c>
      <c r="S124" s="506">
        <f t="shared" ca="1" si="114"/>
        <v>-9.0310291296006651E-4</v>
      </c>
      <c r="T124" s="506">
        <f t="shared" ca="1" si="114"/>
        <v>-9.0310291296006651E-4</v>
      </c>
      <c r="U124" s="506">
        <f t="shared" ca="1" si="114"/>
        <v>-9.0310291296006651E-4</v>
      </c>
      <c r="V124" s="506">
        <f t="shared" ca="1" si="114"/>
        <v>-9.0310291296006651E-4</v>
      </c>
      <c r="W124" s="506">
        <f t="shared" ca="1" si="114"/>
        <v>-9.0310291296006651E-4</v>
      </c>
      <c r="X124" s="506">
        <f t="shared" ca="1" si="114"/>
        <v>-9.0310291296006651E-4</v>
      </c>
      <c r="Y124" s="506">
        <f t="shared" ca="1" si="114"/>
        <v>-9.0310291296006651E-4</v>
      </c>
      <c r="Z124" s="506">
        <f t="shared" ca="1" si="114"/>
        <v>-9.0310291296006651E-4</v>
      </c>
      <c r="AA124" s="506">
        <f t="shared" ca="1" si="114"/>
        <v>0</v>
      </c>
      <c r="AB124" s="506">
        <f t="shared" ca="1" si="114"/>
        <v>0</v>
      </c>
      <c r="AC124" s="506">
        <f t="shared" ca="1" si="114"/>
        <v>0</v>
      </c>
      <c r="AD124" s="506">
        <f t="shared" ca="1" si="114"/>
        <v>0</v>
      </c>
      <c r="AE124" s="506">
        <f t="shared" ca="1" si="114"/>
        <v>0</v>
      </c>
      <c r="AF124" s="506">
        <f t="shared" ca="1" si="114"/>
        <v>0</v>
      </c>
      <c r="AG124" s="506">
        <f t="shared" ca="1" si="114"/>
        <v>0</v>
      </c>
      <c r="AH124" s="506"/>
      <c r="AI124" s="506"/>
      <c r="AJ124" s="506">
        <f ca="1">IF($C$4=Year1,-PMT(Lookups!$E$17,25,NPV(Lookups!$E$17,G124:AE124),0,1),IF($C$4=Year2,-PMT(Lookups!$F$17,25,NPV(Lookups!$F$17,H124:AF124),0,1),IF($C$4=Year3,-PMT(Lookups!$G$17,25,NPV(Lookups!$G$17,I124:AG124),0,1),-PMT(Lookups!$G$17,27,NPV(Lookups!$G$17,G124:AG124),0,1))))</f>
        <v>-7.3650359532581415E-4</v>
      </c>
      <c r="AK124" s="507"/>
      <c r="AL124" s="507"/>
      <c r="AM124" s="508">
        <f ca="1">IFERROR(-AM105/AM96,0)</f>
        <v>-1.0349341027787399E-3</v>
      </c>
      <c r="AN124" s="508">
        <f t="shared" ref="AN124:BM124" ca="1" si="115">IFERROR(-AN105/AN96,0)</f>
        <v>-1.0349341027787399E-3</v>
      </c>
      <c r="AO124" s="508">
        <f t="shared" ca="1" si="115"/>
        <v>-1.0349341027787399E-3</v>
      </c>
      <c r="AP124" s="508">
        <f t="shared" ca="1" si="115"/>
        <v>-1.0349341027787399E-3</v>
      </c>
      <c r="AQ124" s="508">
        <f t="shared" ca="1" si="115"/>
        <v>-1.0349341027787399E-3</v>
      </c>
      <c r="AR124" s="508">
        <f t="shared" ca="1" si="115"/>
        <v>-1.0349341027787399E-3</v>
      </c>
      <c r="AS124" s="508">
        <f t="shared" ca="1" si="115"/>
        <v>-1.0349341027787399E-3</v>
      </c>
      <c r="AT124" s="508">
        <f t="shared" ca="1" si="115"/>
        <v>-1.0349341027787399E-3</v>
      </c>
      <c r="AU124" s="508">
        <f t="shared" ca="1" si="115"/>
        <v>-1.0349341027787399E-3</v>
      </c>
      <c r="AV124" s="508">
        <f t="shared" ca="1" si="115"/>
        <v>-1.0349341027787399E-3</v>
      </c>
      <c r="AW124" s="508">
        <f t="shared" ca="1" si="115"/>
        <v>-1.0349341027787399E-3</v>
      </c>
      <c r="AX124" s="508">
        <f t="shared" ca="1" si="115"/>
        <v>-1.0349341027787399E-3</v>
      </c>
      <c r="AY124" s="508">
        <f t="shared" ca="1" si="115"/>
        <v>-1.0349341027787399E-3</v>
      </c>
      <c r="AZ124" s="508">
        <f t="shared" ca="1" si="115"/>
        <v>-1.0349341027787399E-3</v>
      </c>
      <c r="BA124" s="508">
        <f t="shared" ca="1" si="115"/>
        <v>-1.0349341027787399E-3</v>
      </c>
      <c r="BB124" s="508">
        <f t="shared" ca="1" si="115"/>
        <v>-1.0349341027787399E-3</v>
      </c>
      <c r="BC124" s="508">
        <f t="shared" ca="1" si="115"/>
        <v>-1.0349341027787399E-3</v>
      </c>
      <c r="BD124" s="508">
        <f t="shared" ca="1" si="115"/>
        <v>-1.0349341027787399E-3</v>
      </c>
      <c r="BE124" s="508">
        <f t="shared" ca="1" si="115"/>
        <v>-1.0349341027787399E-3</v>
      </c>
      <c r="BF124" s="508">
        <f t="shared" ca="1" si="115"/>
        <v>-1.0349341027787399E-3</v>
      </c>
      <c r="BG124" s="508">
        <f t="shared" ca="1" si="115"/>
        <v>0</v>
      </c>
      <c r="BH124" s="508">
        <f t="shared" ca="1" si="115"/>
        <v>0</v>
      </c>
      <c r="BI124" s="508">
        <f t="shared" ca="1" si="115"/>
        <v>0</v>
      </c>
      <c r="BJ124" s="508">
        <f t="shared" ca="1" si="115"/>
        <v>0</v>
      </c>
      <c r="BK124" s="508">
        <f t="shared" ca="1" si="115"/>
        <v>0</v>
      </c>
      <c r="BL124" s="508">
        <f t="shared" ca="1" si="115"/>
        <v>0</v>
      </c>
      <c r="BM124" s="508">
        <f t="shared" ca="1" si="115"/>
        <v>0</v>
      </c>
      <c r="BN124" s="508"/>
      <c r="BO124" s="508"/>
      <c r="BP124" s="508">
        <f ca="1">IF($C$4=Year1,-PMT(Lookups!$E$17,25,NPV(Lookups!$E$17,AM124:BK124),0,1),IF($C$4=Year2,-PMT(Lookups!$F$17,25,NPV(Lookups!$F$17,AN124:BL124),0,1),IF($C$4=Year3,-PMT(Lookups!$G$17,25,NPV(Lookups!$G$17,AO124:BM124),0,1),-PMT(Lookups!$G$17,27,NPV(Lookups!$G$17,AM124:BM124),0,1))))</f>
        <v>-8.4401531285454071E-4</v>
      </c>
      <c r="BS124" s="84" t="str">
        <f t="shared" si="113"/>
        <v>Avoided Gas, Retail Margin avoided costs divided by After Scenario sales.</v>
      </c>
      <c r="BT124" s="51"/>
    </row>
    <row r="125" spans="1:72" x14ac:dyDescent="0.25">
      <c r="B125" s="243" t="str">
        <f t="shared" ref="B125:D125" si="116">B123</f>
        <v>Low-Income</v>
      </c>
      <c r="C125" s="243" t="str">
        <f t="shared" si="116"/>
        <v>Rates</v>
      </c>
      <c r="D125" s="244" t="str">
        <f t="shared" si="116"/>
        <v>Avoided Costs</v>
      </c>
      <c r="E125" s="86" t="s">
        <v>175</v>
      </c>
      <c r="F125" s="84" t="s">
        <v>182</v>
      </c>
      <c r="G125" s="506">
        <f ca="1">IFERROR(-G106/G96,0)</f>
        <v>-4.8343541186033424E-4</v>
      </c>
      <c r="H125" s="506">
        <f t="shared" ref="H125:AG125" ca="1" si="117">IFERROR(-H106/H96,0)</f>
        <v>-4.8343541186033424E-4</v>
      </c>
      <c r="I125" s="506">
        <f t="shared" ca="1" si="117"/>
        <v>-4.8343541186033424E-4</v>
      </c>
      <c r="J125" s="506">
        <f t="shared" ca="1" si="117"/>
        <v>-4.8343541186033424E-4</v>
      </c>
      <c r="K125" s="506">
        <f t="shared" ca="1" si="117"/>
        <v>-4.8343541186033424E-4</v>
      </c>
      <c r="L125" s="506">
        <f t="shared" ca="1" si="117"/>
        <v>-4.8343541186033424E-4</v>
      </c>
      <c r="M125" s="506">
        <f t="shared" ca="1" si="117"/>
        <v>-4.8343541186033424E-4</v>
      </c>
      <c r="N125" s="506">
        <f t="shared" ca="1" si="117"/>
        <v>-4.8343541186033424E-4</v>
      </c>
      <c r="O125" s="506">
        <f t="shared" ca="1" si="117"/>
        <v>-4.8343541186033424E-4</v>
      </c>
      <c r="P125" s="506">
        <f t="shared" ca="1" si="117"/>
        <v>-4.8343541186033424E-4</v>
      </c>
      <c r="Q125" s="506">
        <f t="shared" ca="1" si="117"/>
        <v>-4.8343541186033424E-4</v>
      </c>
      <c r="R125" s="506">
        <f t="shared" ca="1" si="117"/>
        <v>-4.8343541186033424E-4</v>
      </c>
      <c r="S125" s="506">
        <f t="shared" ca="1" si="117"/>
        <v>-4.8343541186033424E-4</v>
      </c>
      <c r="T125" s="506">
        <f t="shared" ca="1" si="117"/>
        <v>-4.8343541186033424E-4</v>
      </c>
      <c r="U125" s="506">
        <f t="shared" ca="1" si="117"/>
        <v>-4.8343541186033424E-4</v>
      </c>
      <c r="V125" s="506">
        <f t="shared" ca="1" si="117"/>
        <v>-4.8343541186033424E-4</v>
      </c>
      <c r="W125" s="506">
        <f t="shared" ca="1" si="117"/>
        <v>-4.8343541186033424E-4</v>
      </c>
      <c r="X125" s="506">
        <f t="shared" ca="1" si="117"/>
        <v>-4.8343541186033424E-4</v>
      </c>
      <c r="Y125" s="506">
        <f t="shared" ca="1" si="117"/>
        <v>-4.8343541186033424E-4</v>
      </c>
      <c r="Z125" s="506">
        <f t="shared" ca="1" si="117"/>
        <v>-4.8343541186033424E-4</v>
      </c>
      <c r="AA125" s="506">
        <f t="shared" ca="1" si="117"/>
        <v>0</v>
      </c>
      <c r="AB125" s="506">
        <f t="shared" ca="1" si="117"/>
        <v>0</v>
      </c>
      <c r="AC125" s="506">
        <f t="shared" ca="1" si="117"/>
        <v>0</v>
      </c>
      <c r="AD125" s="506">
        <f t="shared" ca="1" si="117"/>
        <v>0</v>
      </c>
      <c r="AE125" s="506">
        <f t="shared" ca="1" si="117"/>
        <v>0</v>
      </c>
      <c r="AF125" s="506">
        <f t="shared" ca="1" si="117"/>
        <v>0</v>
      </c>
      <c r="AG125" s="506">
        <f t="shared" ca="1" si="117"/>
        <v>0</v>
      </c>
      <c r="AH125" s="506"/>
      <c r="AI125" s="506"/>
      <c r="AJ125" s="506">
        <f ca="1">IF($C$4=Year1,-PMT(Lookups!$E$17,25,NPV(Lookups!$E$17,G125:AE125),0,1),IF($C$4=Year2,-PMT(Lookups!$F$17,25,NPV(Lookups!$F$17,H125:AF125),0,1),IF($C$4=Year3,-PMT(Lookups!$G$17,25,NPV(Lookups!$G$17,I125:AG125),0,1),-PMT(Lookups!$G$17,27,NPV(Lookups!$G$17,G125:AG125),0,1))))</f>
        <v>-3.9425398128318948E-4</v>
      </c>
      <c r="AK125" s="507"/>
      <c r="AL125" s="507"/>
      <c r="AM125" s="508">
        <f ca="1">IFERROR(-AM106/AM96,0)</f>
        <v>-5.5400529335605071E-4</v>
      </c>
      <c r="AN125" s="508">
        <f t="shared" ref="AN125:BM125" ca="1" si="118">IFERROR(-AN106/AN96,0)</f>
        <v>-5.5400529335605071E-4</v>
      </c>
      <c r="AO125" s="508">
        <f t="shared" ca="1" si="118"/>
        <v>-5.5400529335605071E-4</v>
      </c>
      <c r="AP125" s="508">
        <f t="shared" ca="1" si="118"/>
        <v>-5.5400529335605071E-4</v>
      </c>
      <c r="AQ125" s="508">
        <f t="shared" ca="1" si="118"/>
        <v>-5.5400529335605071E-4</v>
      </c>
      <c r="AR125" s="508">
        <f t="shared" ca="1" si="118"/>
        <v>-5.5400529335605071E-4</v>
      </c>
      <c r="AS125" s="508">
        <f t="shared" ca="1" si="118"/>
        <v>-5.5400529335605071E-4</v>
      </c>
      <c r="AT125" s="508">
        <f t="shared" ca="1" si="118"/>
        <v>-5.5400529335605071E-4</v>
      </c>
      <c r="AU125" s="508">
        <f t="shared" ca="1" si="118"/>
        <v>-5.5400529335605071E-4</v>
      </c>
      <c r="AV125" s="508">
        <f t="shared" ca="1" si="118"/>
        <v>-5.5400529335605071E-4</v>
      </c>
      <c r="AW125" s="508">
        <f t="shared" ca="1" si="118"/>
        <v>-5.5400529335605071E-4</v>
      </c>
      <c r="AX125" s="508">
        <f t="shared" ca="1" si="118"/>
        <v>-5.5400529335605071E-4</v>
      </c>
      <c r="AY125" s="508">
        <f t="shared" ca="1" si="118"/>
        <v>-5.5400529335605071E-4</v>
      </c>
      <c r="AZ125" s="508">
        <f t="shared" ca="1" si="118"/>
        <v>-5.5400529335605071E-4</v>
      </c>
      <c r="BA125" s="508">
        <f t="shared" ca="1" si="118"/>
        <v>-5.5400529335605071E-4</v>
      </c>
      <c r="BB125" s="508">
        <f t="shared" ca="1" si="118"/>
        <v>-5.5400529335605071E-4</v>
      </c>
      <c r="BC125" s="508">
        <f t="shared" ca="1" si="118"/>
        <v>-5.5400529335605071E-4</v>
      </c>
      <c r="BD125" s="508">
        <f t="shared" ca="1" si="118"/>
        <v>-5.5400529335605071E-4</v>
      </c>
      <c r="BE125" s="508">
        <f t="shared" ca="1" si="118"/>
        <v>-5.5400529335605071E-4</v>
      </c>
      <c r="BF125" s="508">
        <f t="shared" ca="1" si="118"/>
        <v>-5.5400529335605071E-4</v>
      </c>
      <c r="BG125" s="508">
        <f t="shared" ca="1" si="118"/>
        <v>0</v>
      </c>
      <c r="BH125" s="508">
        <f t="shared" ca="1" si="118"/>
        <v>0</v>
      </c>
      <c r="BI125" s="508">
        <f t="shared" ca="1" si="118"/>
        <v>0</v>
      </c>
      <c r="BJ125" s="508">
        <f t="shared" ca="1" si="118"/>
        <v>0</v>
      </c>
      <c r="BK125" s="508">
        <f t="shared" ca="1" si="118"/>
        <v>0</v>
      </c>
      <c r="BL125" s="508">
        <f t="shared" ca="1" si="118"/>
        <v>0</v>
      </c>
      <c r="BM125" s="508">
        <f t="shared" ca="1" si="118"/>
        <v>0</v>
      </c>
      <c r="BN125" s="508"/>
      <c r="BO125" s="508"/>
      <c r="BP125" s="508">
        <f ca="1">IF($C$4=Year1,-PMT(Lookups!$E$17,25,NPV(Lookups!$E$17,AM125:BK125),0,1),IF($C$4=Year2,-PMT(Lookups!$F$17,25,NPV(Lookups!$F$17,AN125:BL125),0,1),IF($C$4=Year3,-PMT(Lookups!$G$17,25,NPV(Lookups!$G$17,AO125:BM125),0,1),-PMT(Lookups!$G$17,27,NPV(Lookups!$G$17,AM125:BM125),0,1))))</f>
        <v>-4.5180553016808375E-4</v>
      </c>
      <c r="BS125" s="84" t="str">
        <f t="shared" si="113"/>
        <v>Avoided Gas DRIPE avoided costs divided by After Scenario sales.</v>
      </c>
      <c r="BT125" s="51" t="s">
        <v>17</v>
      </c>
    </row>
    <row r="126" spans="1:72" x14ac:dyDescent="0.25">
      <c r="B126" s="243" t="str">
        <f t="shared" ref="B126:D134" si="119">B125</f>
        <v>Low-Income</v>
      </c>
      <c r="C126" s="243" t="str">
        <f t="shared" si="119"/>
        <v>Rates</v>
      </c>
      <c r="D126" s="244" t="str">
        <f t="shared" si="119"/>
        <v>Avoided Costs</v>
      </c>
      <c r="E126" s="86" t="s">
        <v>76</v>
      </c>
      <c r="F126" s="84" t="s">
        <v>182</v>
      </c>
      <c r="G126" s="506">
        <f ca="1">SUM(G123:G125)</f>
        <v>-1.5535150627861443E-2</v>
      </c>
      <c r="H126" s="506">
        <f ca="1">SUM(H123:H125)</f>
        <v>-1.5535150627861443E-2</v>
      </c>
      <c r="I126" s="506">
        <f t="shared" ref="I126:AG126" ca="1" si="120">SUM(I123:I125)</f>
        <v>-1.5535150627861443E-2</v>
      </c>
      <c r="J126" s="506">
        <f t="shared" ca="1" si="120"/>
        <v>-1.5535150627861443E-2</v>
      </c>
      <c r="K126" s="506">
        <f t="shared" ca="1" si="120"/>
        <v>-1.5535150627861443E-2</v>
      </c>
      <c r="L126" s="506">
        <f t="shared" ca="1" si="120"/>
        <v>-1.5535150627861443E-2</v>
      </c>
      <c r="M126" s="506">
        <f t="shared" ca="1" si="120"/>
        <v>-1.5535150627861443E-2</v>
      </c>
      <c r="N126" s="506">
        <f t="shared" ca="1" si="120"/>
        <v>-1.5535150627861443E-2</v>
      </c>
      <c r="O126" s="506">
        <f t="shared" ca="1" si="120"/>
        <v>-1.5535150627861443E-2</v>
      </c>
      <c r="P126" s="506">
        <f t="shared" ca="1" si="120"/>
        <v>-1.5535150627861443E-2</v>
      </c>
      <c r="Q126" s="506">
        <f t="shared" ca="1" si="120"/>
        <v>-1.5535150627861443E-2</v>
      </c>
      <c r="R126" s="506">
        <f t="shared" ca="1" si="120"/>
        <v>-1.5535150627861443E-2</v>
      </c>
      <c r="S126" s="506">
        <f t="shared" ca="1" si="120"/>
        <v>-1.5535150627861443E-2</v>
      </c>
      <c r="T126" s="506">
        <f t="shared" ca="1" si="120"/>
        <v>-1.5535150627861443E-2</v>
      </c>
      <c r="U126" s="506">
        <f t="shared" ca="1" si="120"/>
        <v>-1.5535150627861443E-2</v>
      </c>
      <c r="V126" s="506">
        <f t="shared" ca="1" si="120"/>
        <v>-1.5535150627861443E-2</v>
      </c>
      <c r="W126" s="506">
        <f t="shared" ca="1" si="120"/>
        <v>-1.5535150627861443E-2</v>
      </c>
      <c r="X126" s="506">
        <f t="shared" ca="1" si="120"/>
        <v>-1.5535150627861443E-2</v>
      </c>
      <c r="Y126" s="506">
        <f t="shared" ca="1" si="120"/>
        <v>-1.5535150627861443E-2</v>
      </c>
      <c r="Z126" s="506">
        <f t="shared" ca="1" si="120"/>
        <v>-1.5535150627861443E-2</v>
      </c>
      <c r="AA126" s="506">
        <f t="shared" ca="1" si="120"/>
        <v>0</v>
      </c>
      <c r="AB126" s="506">
        <f t="shared" ca="1" si="120"/>
        <v>0</v>
      </c>
      <c r="AC126" s="506">
        <f t="shared" ca="1" si="120"/>
        <v>0</v>
      </c>
      <c r="AD126" s="506">
        <f t="shared" ca="1" si="120"/>
        <v>0</v>
      </c>
      <c r="AE126" s="506">
        <f t="shared" ca="1" si="120"/>
        <v>0</v>
      </c>
      <c r="AF126" s="506">
        <f t="shared" ca="1" si="120"/>
        <v>0</v>
      </c>
      <c r="AG126" s="506">
        <f t="shared" ca="1" si="120"/>
        <v>0</v>
      </c>
      <c r="AH126" s="506"/>
      <c r="AI126" s="506"/>
      <c r="AJ126" s="506">
        <f ca="1">IF($C$4=Year1,-PMT(Lookups!$E$17,25,NPV(Lookups!$E$17,G126:AE126),0,1),IF($C$4=Year2,-PMT(Lookups!$F$17,25,NPV(Lookups!$F$17,H126:AF126),0,1),IF($C$4=Year3,-PMT(Lookups!$G$17,25,NPV(Lookups!$G$17,I126:AG126),0,1),-PMT(Lookups!$G$17,27,NPV(Lookups!$G$17,G126:AG126),0,1))))</f>
        <v>-1.2669313903380093E-2</v>
      </c>
      <c r="AK126" s="507"/>
      <c r="AL126" s="507"/>
      <c r="AM126" s="508">
        <f ca="1">SUM(AM123:AM125)</f>
        <v>-1.780290700633505E-2</v>
      </c>
      <c r="AN126" s="508">
        <f t="shared" ref="AN126:BM126" ca="1" si="121">SUM(AN123:AN125)</f>
        <v>-1.780290700633505E-2</v>
      </c>
      <c r="AO126" s="508">
        <f t="shared" ca="1" si="121"/>
        <v>-1.780290700633505E-2</v>
      </c>
      <c r="AP126" s="508">
        <f t="shared" ca="1" si="121"/>
        <v>-1.780290700633505E-2</v>
      </c>
      <c r="AQ126" s="508">
        <f t="shared" ca="1" si="121"/>
        <v>-1.780290700633505E-2</v>
      </c>
      <c r="AR126" s="508">
        <f t="shared" ca="1" si="121"/>
        <v>-1.780290700633505E-2</v>
      </c>
      <c r="AS126" s="508">
        <f t="shared" ca="1" si="121"/>
        <v>-1.780290700633505E-2</v>
      </c>
      <c r="AT126" s="508">
        <f t="shared" ca="1" si="121"/>
        <v>-1.780290700633505E-2</v>
      </c>
      <c r="AU126" s="508">
        <f t="shared" ca="1" si="121"/>
        <v>-1.780290700633505E-2</v>
      </c>
      <c r="AV126" s="508">
        <f t="shared" ca="1" si="121"/>
        <v>-1.780290700633505E-2</v>
      </c>
      <c r="AW126" s="508">
        <f t="shared" ca="1" si="121"/>
        <v>-1.780290700633505E-2</v>
      </c>
      <c r="AX126" s="508">
        <f t="shared" ca="1" si="121"/>
        <v>-1.780290700633505E-2</v>
      </c>
      <c r="AY126" s="508">
        <f t="shared" ca="1" si="121"/>
        <v>-1.780290700633505E-2</v>
      </c>
      <c r="AZ126" s="508">
        <f t="shared" ca="1" si="121"/>
        <v>-1.780290700633505E-2</v>
      </c>
      <c r="BA126" s="508">
        <f t="shared" ca="1" si="121"/>
        <v>-1.780290700633505E-2</v>
      </c>
      <c r="BB126" s="508">
        <f t="shared" ca="1" si="121"/>
        <v>-1.780290700633505E-2</v>
      </c>
      <c r="BC126" s="508">
        <f t="shared" ca="1" si="121"/>
        <v>-1.780290700633505E-2</v>
      </c>
      <c r="BD126" s="508">
        <f t="shared" ca="1" si="121"/>
        <v>-1.780290700633505E-2</v>
      </c>
      <c r="BE126" s="508">
        <f t="shared" ca="1" si="121"/>
        <v>-1.780290700633505E-2</v>
      </c>
      <c r="BF126" s="508">
        <f t="shared" ca="1" si="121"/>
        <v>-1.780290700633505E-2</v>
      </c>
      <c r="BG126" s="508">
        <f t="shared" ca="1" si="121"/>
        <v>0</v>
      </c>
      <c r="BH126" s="508">
        <f t="shared" ca="1" si="121"/>
        <v>0</v>
      </c>
      <c r="BI126" s="508">
        <f t="shared" ca="1" si="121"/>
        <v>0</v>
      </c>
      <c r="BJ126" s="508">
        <f t="shared" ca="1" si="121"/>
        <v>0</v>
      </c>
      <c r="BK126" s="508">
        <f t="shared" ca="1" si="121"/>
        <v>0</v>
      </c>
      <c r="BL126" s="508">
        <f t="shared" ca="1" si="121"/>
        <v>0</v>
      </c>
      <c r="BM126" s="508">
        <f t="shared" ca="1" si="121"/>
        <v>0</v>
      </c>
      <c r="BN126" s="508"/>
      <c r="BO126" s="508"/>
      <c r="BP126" s="508">
        <f ca="1">IF($C$4=Year1,-PMT(Lookups!$E$17,25,NPV(Lookups!$E$17,AM126:BK126),0,1),IF($C$4=Year2,-PMT(Lookups!$F$17,25,NPV(Lookups!$F$17,AN126:BL126),0,1),IF($C$4=Year3,-PMT(Lookups!$G$17,25,NPV(Lookups!$G$17,AO126:BM126),0,1),-PMT(Lookups!$G$17,27,NPV(Lookups!$G$17,AM126:BM126),0,1))))</f>
        <v>-1.4518727411077098E-2</v>
      </c>
      <c r="BS126" s="84" t="s">
        <v>232</v>
      </c>
      <c r="BT126" s="51" t="s">
        <v>17</v>
      </c>
    </row>
    <row r="127" spans="1:72" x14ac:dyDescent="0.25">
      <c r="B127" s="243" t="str">
        <f t="shared" si="119"/>
        <v>Low-Income</v>
      </c>
      <c r="C127" s="243" t="str">
        <f t="shared" si="119"/>
        <v>Rates</v>
      </c>
      <c r="D127" s="114" t="s">
        <v>165</v>
      </c>
      <c r="E127" s="86"/>
      <c r="F127" s="86"/>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S127" s="84"/>
      <c r="BT127" s="51" t="s">
        <v>17</v>
      </c>
    </row>
    <row r="128" spans="1:72" x14ac:dyDescent="0.25">
      <c r="A128" s="246"/>
      <c r="B128" s="243" t="str">
        <f t="shared" si="119"/>
        <v>Low-Income</v>
      </c>
      <c r="C128" s="243" t="str">
        <f t="shared" si="119"/>
        <v>Rates</v>
      </c>
      <c r="D128" s="244" t="str">
        <f t="shared" si="119"/>
        <v>Increased Costs and Cost Shifting</v>
      </c>
      <c r="E128" s="84" t="s">
        <v>406</v>
      </c>
      <c r="F128" s="84" t="s">
        <v>182</v>
      </c>
      <c r="G128" s="509">
        <f ca="1">IF($C$4=Lookups!$D$40,SUM(INDIRECT("'Yr1'!"&amp;ADDRESS(ROW(G128),COLUMN(G128))),INDIRECT("'Yr2'!"&amp;ADDRESS(ROW(G128),COLUMN(G128))),INDIRECT("'Yr3'!"&amp;ADDRESS(ROW(G128),COLUMN(G128)))),
IF($C$4=G$7,SUMIFS('EE Inputs'!$L$9:$L$32,'EE Inputs'!$C$9:$C$32,$G$6,'EE Inputs'!$D$9:$D$32,$C$4,'EE Inputs'!$E$9:$E$32,$B128),0))</f>
        <v>6.4686396991858353E-2</v>
      </c>
      <c r="H128" s="509">
        <f ca="1">IF($C$4=Lookups!$D$40,SUM(INDIRECT("'Yr1'!"&amp;ADDRESS(ROW(H128),COLUMN(H128))),INDIRECT("'Yr2'!"&amp;ADDRESS(ROW(H128),COLUMN(H128))),INDIRECT("'Yr3'!"&amp;ADDRESS(ROW(H128),COLUMN(H128)))),
IF($C$4=H$7,SUMIFS('EE Inputs'!$L$9:$L$32,'EE Inputs'!$C$9:$C$32,$G$6,'EE Inputs'!$D$9:$D$32,$C$4,'EE Inputs'!$E$9:$E$32,$B128),0))</f>
        <v>0</v>
      </c>
      <c r="I128" s="509">
        <f ca="1">IF($C$4=Lookups!$D$40,SUM(INDIRECT("'Yr1'!"&amp;ADDRESS(ROW(I128),COLUMN(I128))),INDIRECT("'Yr2'!"&amp;ADDRESS(ROW(I128),COLUMN(I128))),INDIRECT("'Yr3'!"&amp;ADDRESS(ROW(I128),COLUMN(I128)))),
IF($C$4=I$7,SUMIFS('EE Inputs'!$L$9:$L$32,'EE Inputs'!$C$9:$C$32,$G$6,'EE Inputs'!$D$9:$D$32,$C$4,'EE Inputs'!$E$9:$E$32,$B128),0))</f>
        <v>0</v>
      </c>
      <c r="J128" s="509">
        <f ca="1">IF($C$4=Lookups!$D$40,SUM(INDIRECT("'Yr1'!"&amp;ADDRESS(ROW(J128),COLUMN(J128))),INDIRECT("'Yr2'!"&amp;ADDRESS(ROW(J128),COLUMN(J128))),INDIRECT("'Yr3'!"&amp;ADDRESS(ROW(J128),COLUMN(J128)))),
IF($C$4=J$7,SUMIFS('EE Inputs'!$L$9:$L$32,'EE Inputs'!$C$9:$C$32,$G$6,'EE Inputs'!$D$9:$D$32,$C$4,'EE Inputs'!$E$9:$E$32,$B128),0))</f>
        <v>0</v>
      </c>
      <c r="K128" s="509">
        <f ca="1">IF($C$4=Lookups!$D$40,SUM(INDIRECT("'Yr1'!"&amp;ADDRESS(ROW(K128),COLUMN(K128))),INDIRECT("'Yr2'!"&amp;ADDRESS(ROW(K128),COLUMN(K128))),INDIRECT("'Yr3'!"&amp;ADDRESS(ROW(K128),COLUMN(K128)))),
IF($C$4=K$7,SUMIFS('EE Inputs'!$L$9:$L$32,'EE Inputs'!$C$9:$C$32,$G$6,'EE Inputs'!$D$9:$D$32,$C$4,'EE Inputs'!$E$9:$E$32,$B128),0))</f>
        <v>0</v>
      </c>
      <c r="L128" s="509">
        <f ca="1">IF($C$4=Lookups!$D$40,SUM(INDIRECT("'Yr1'!"&amp;ADDRESS(ROW(L128),COLUMN(L128))),INDIRECT("'Yr2'!"&amp;ADDRESS(ROW(L128),COLUMN(L128))),INDIRECT("'Yr3'!"&amp;ADDRESS(ROW(L128),COLUMN(L128)))),
IF($C$4=L$7,SUMIFS('EE Inputs'!$L$9:$L$32,'EE Inputs'!$C$9:$C$32,$G$6,'EE Inputs'!$D$9:$D$32,$C$4,'EE Inputs'!$E$9:$E$32,$B128),0))</f>
        <v>0</v>
      </c>
      <c r="M128" s="509">
        <f ca="1">IF($C$4=Lookups!$D$40,SUM(INDIRECT("'Yr1'!"&amp;ADDRESS(ROW(M128),COLUMN(M128))),INDIRECT("'Yr2'!"&amp;ADDRESS(ROW(M128),COLUMN(M128))),INDIRECT("'Yr3'!"&amp;ADDRESS(ROW(M128),COLUMN(M128)))),
IF($C$4=M$7,SUMIFS('EE Inputs'!$L$9:$L$32,'EE Inputs'!$C$9:$C$32,$G$6,'EE Inputs'!$D$9:$D$32,$C$4,'EE Inputs'!$E$9:$E$32,$B128),0))</f>
        <v>0</v>
      </c>
      <c r="N128" s="509">
        <f ca="1">IF($C$4=Lookups!$D$40,SUM(INDIRECT("'Yr1'!"&amp;ADDRESS(ROW(N128),COLUMN(N128))),INDIRECT("'Yr2'!"&amp;ADDRESS(ROW(N128),COLUMN(N128))),INDIRECT("'Yr3'!"&amp;ADDRESS(ROW(N128),COLUMN(N128)))),
IF($C$4=N$7,SUMIFS('EE Inputs'!$L$9:$L$32,'EE Inputs'!$C$9:$C$32,$G$6,'EE Inputs'!$D$9:$D$32,$C$4,'EE Inputs'!$E$9:$E$32,$B128),0))</f>
        <v>0</v>
      </c>
      <c r="O128" s="509">
        <f ca="1">IF($C$4=Lookups!$D$40,SUM(INDIRECT("'Yr1'!"&amp;ADDRESS(ROW(O128),COLUMN(O128))),INDIRECT("'Yr2'!"&amp;ADDRESS(ROW(O128),COLUMN(O128))),INDIRECT("'Yr3'!"&amp;ADDRESS(ROW(O128),COLUMN(O128)))),
IF($C$4=O$7,SUMIFS('EE Inputs'!$L$9:$L$32,'EE Inputs'!$C$9:$C$32,$G$6,'EE Inputs'!$D$9:$D$32,$C$4,'EE Inputs'!$E$9:$E$32,$B128),0))</f>
        <v>0</v>
      </c>
      <c r="P128" s="509">
        <f ca="1">IF($C$4=Lookups!$D$40,SUM(INDIRECT("'Yr1'!"&amp;ADDRESS(ROW(P128),COLUMN(P128))),INDIRECT("'Yr2'!"&amp;ADDRESS(ROW(P128),COLUMN(P128))),INDIRECT("'Yr3'!"&amp;ADDRESS(ROW(P128),COLUMN(P128)))),
IF($C$4=P$7,SUMIFS('EE Inputs'!$L$9:$L$32,'EE Inputs'!$C$9:$C$32,$G$6,'EE Inputs'!$D$9:$D$32,$C$4,'EE Inputs'!$E$9:$E$32,$B128),0))</f>
        <v>0</v>
      </c>
      <c r="Q128" s="509">
        <f ca="1">IF($C$4=Lookups!$D$40,SUM(INDIRECT("'Yr1'!"&amp;ADDRESS(ROW(Q128),COLUMN(Q128))),INDIRECT("'Yr2'!"&amp;ADDRESS(ROW(Q128),COLUMN(Q128))),INDIRECT("'Yr3'!"&amp;ADDRESS(ROW(Q128),COLUMN(Q128)))),
IF($C$4=Q$7,SUMIFS('EE Inputs'!$L$9:$L$32,'EE Inputs'!$C$9:$C$32,$G$6,'EE Inputs'!$D$9:$D$32,$C$4,'EE Inputs'!$E$9:$E$32,$B128),0))</f>
        <v>0</v>
      </c>
      <c r="R128" s="509">
        <f ca="1">IF($C$4=Lookups!$D$40,SUM(INDIRECT("'Yr1'!"&amp;ADDRESS(ROW(R128),COLUMN(R128))),INDIRECT("'Yr2'!"&amp;ADDRESS(ROW(R128),COLUMN(R128))),INDIRECT("'Yr3'!"&amp;ADDRESS(ROW(R128),COLUMN(R128)))),
IF($C$4=R$7,SUMIFS('EE Inputs'!$L$9:$L$32,'EE Inputs'!$C$9:$C$32,$G$6,'EE Inputs'!$D$9:$D$32,$C$4,'EE Inputs'!$E$9:$E$32,$B128),0))</f>
        <v>0</v>
      </c>
      <c r="S128" s="509">
        <f ca="1">IF($C$4=Lookups!$D$40,SUM(INDIRECT("'Yr1'!"&amp;ADDRESS(ROW(S128),COLUMN(S128))),INDIRECT("'Yr2'!"&amp;ADDRESS(ROW(S128),COLUMN(S128))),INDIRECT("'Yr3'!"&amp;ADDRESS(ROW(S128),COLUMN(S128)))),
IF($C$4=S$7,SUMIFS('EE Inputs'!$L$9:$L$32,'EE Inputs'!$C$9:$C$32,$G$6,'EE Inputs'!$D$9:$D$32,$C$4,'EE Inputs'!$E$9:$E$32,$B128),0))</f>
        <v>0</v>
      </c>
      <c r="T128" s="509">
        <f ca="1">IF($C$4=Lookups!$D$40,SUM(INDIRECT("'Yr1'!"&amp;ADDRESS(ROW(T128),COLUMN(T128))),INDIRECT("'Yr2'!"&amp;ADDRESS(ROW(T128),COLUMN(T128))),INDIRECT("'Yr3'!"&amp;ADDRESS(ROW(T128),COLUMN(T128)))),
IF($C$4=T$7,SUMIFS('EE Inputs'!$L$9:$L$32,'EE Inputs'!$C$9:$C$32,$G$6,'EE Inputs'!$D$9:$D$32,$C$4,'EE Inputs'!$E$9:$E$32,$B128),0))</f>
        <v>0</v>
      </c>
      <c r="U128" s="509">
        <f ca="1">IF($C$4=Lookups!$D$40,SUM(INDIRECT("'Yr1'!"&amp;ADDRESS(ROW(U128),COLUMN(U128))),INDIRECT("'Yr2'!"&amp;ADDRESS(ROW(U128),COLUMN(U128))),INDIRECT("'Yr3'!"&amp;ADDRESS(ROW(U128),COLUMN(U128)))),
IF($C$4=U$7,SUMIFS('EE Inputs'!$L$9:$L$32,'EE Inputs'!$C$9:$C$32,$G$6,'EE Inputs'!$D$9:$D$32,$C$4,'EE Inputs'!$E$9:$E$32,$B128),0))</f>
        <v>0</v>
      </c>
      <c r="V128" s="509">
        <f ca="1">IF($C$4=Lookups!$D$40,SUM(INDIRECT("'Yr1'!"&amp;ADDRESS(ROW(V128),COLUMN(V128))),INDIRECT("'Yr2'!"&amp;ADDRESS(ROW(V128),COLUMN(V128))),INDIRECT("'Yr3'!"&amp;ADDRESS(ROW(V128),COLUMN(V128)))),
IF($C$4=V$7,SUMIFS('EE Inputs'!$L$9:$L$32,'EE Inputs'!$C$9:$C$32,$G$6,'EE Inputs'!$D$9:$D$32,$C$4,'EE Inputs'!$E$9:$E$32,$B128),0))</f>
        <v>0</v>
      </c>
      <c r="W128" s="509">
        <f ca="1">IF($C$4=Lookups!$D$40,SUM(INDIRECT("'Yr1'!"&amp;ADDRESS(ROW(W128),COLUMN(W128))),INDIRECT("'Yr2'!"&amp;ADDRESS(ROW(W128),COLUMN(W128))),INDIRECT("'Yr3'!"&amp;ADDRESS(ROW(W128),COLUMN(W128)))),
IF($C$4=W$7,SUMIFS('EE Inputs'!$L$9:$L$32,'EE Inputs'!$C$9:$C$32,$G$6,'EE Inputs'!$D$9:$D$32,$C$4,'EE Inputs'!$E$9:$E$32,$B128),0))</f>
        <v>0</v>
      </c>
      <c r="X128" s="509">
        <f ca="1">IF($C$4=Lookups!$D$40,SUM(INDIRECT("'Yr1'!"&amp;ADDRESS(ROW(X128),COLUMN(X128))),INDIRECT("'Yr2'!"&amp;ADDRESS(ROW(X128),COLUMN(X128))),INDIRECT("'Yr3'!"&amp;ADDRESS(ROW(X128),COLUMN(X128)))),
IF($C$4=X$7,SUMIFS('EE Inputs'!$L$9:$L$32,'EE Inputs'!$C$9:$C$32,$G$6,'EE Inputs'!$D$9:$D$32,$C$4,'EE Inputs'!$E$9:$E$32,$B128),0))</f>
        <v>0</v>
      </c>
      <c r="Y128" s="509">
        <f ca="1">IF($C$4=Lookups!$D$40,SUM(INDIRECT("'Yr1'!"&amp;ADDRESS(ROW(Y128),COLUMN(Y128))),INDIRECT("'Yr2'!"&amp;ADDRESS(ROW(Y128),COLUMN(Y128))),INDIRECT("'Yr3'!"&amp;ADDRESS(ROW(Y128),COLUMN(Y128)))),
IF($C$4=Y$7,SUMIFS('EE Inputs'!$L$9:$L$32,'EE Inputs'!$C$9:$C$32,$G$6,'EE Inputs'!$D$9:$D$32,$C$4,'EE Inputs'!$E$9:$E$32,$B128),0))</f>
        <v>0</v>
      </c>
      <c r="Z128" s="509">
        <f ca="1">IF($C$4=Lookups!$D$40,SUM(INDIRECT("'Yr1'!"&amp;ADDRESS(ROW(Z128),COLUMN(Z128))),INDIRECT("'Yr2'!"&amp;ADDRESS(ROW(Z128),COLUMN(Z128))),INDIRECT("'Yr3'!"&amp;ADDRESS(ROW(Z128),COLUMN(Z128)))),
IF($C$4=Z$7,SUMIFS('EE Inputs'!$L$9:$L$32,'EE Inputs'!$C$9:$C$32,$G$6,'EE Inputs'!$D$9:$D$32,$C$4,'EE Inputs'!$E$9:$E$32,$B128),0))</f>
        <v>0</v>
      </c>
      <c r="AA128" s="509">
        <f ca="1">IF($C$4=Lookups!$D$40,SUM(INDIRECT("'Yr1'!"&amp;ADDRESS(ROW(AA128),COLUMN(AA128))),INDIRECT("'Yr2'!"&amp;ADDRESS(ROW(AA128),COLUMN(AA128))),INDIRECT("'Yr3'!"&amp;ADDRESS(ROW(AA128),COLUMN(AA128)))),
IF($C$4=AA$7,SUMIFS('EE Inputs'!$L$9:$L$32,'EE Inputs'!$C$9:$C$32,$G$6,'EE Inputs'!$D$9:$D$32,$C$4,'EE Inputs'!$E$9:$E$32,$B128),0))</f>
        <v>0</v>
      </c>
      <c r="AB128" s="509">
        <f ca="1">IF($C$4=Lookups!$D$40,SUM(INDIRECT("'Yr1'!"&amp;ADDRESS(ROW(AB128),COLUMN(AB128))),INDIRECT("'Yr2'!"&amp;ADDRESS(ROW(AB128),COLUMN(AB128))),INDIRECT("'Yr3'!"&amp;ADDRESS(ROW(AB128),COLUMN(AB128)))),
IF($C$4=AB$7,SUMIFS('EE Inputs'!$L$9:$L$32,'EE Inputs'!$C$9:$C$32,$G$6,'EE Inputs'!$D$9:$D$32,$C$4,'EE Inputs'!$E$9:$E$32,$B128),0))</f>
        <v>0</v>
      </c>
      <c r="AC128" s="509">
        <f ca="1">IF($C$4=Lookups!$D$40,SUM(INDIRECT("'Yr1'!"&amp;ADDRESS(ROW(AC128),COLUMN(AC128))),INDIRECT("'Yr2'!"&amp;ADDRESS(ROW(AC128),COLUMN(AC128))),INDIRECT("'Yr3'!"&amp;ADDRESS(ROW(AC128),COLUMN(AC128)))),
IF($C$4=AC$7,SUMIFS('EE Inputs'!$L$9:$L$32,'EE Inputs'!$C$9:$C$32,$G$6,'EE Inputs'!$D$9:$D$32,$C$4,'EE Inputs'!$E$9:$E$32,$B128),0))</f>
        <v>0</v>
      </c>
      <c r="AD128" s="509">
        <f ca="1">IF($C$4=Lookups!$D$40,SUM(INDIRECT("'Yr1'!"&amp;ADDRESS(ROW(AD128),COLUMN(AD128))),INDIRECT("'Yr2'!"&amp;ADDRESS(ROW(AD128),COLUMN(AD128))),INDIRECT("'Yr3'!"&amp;ADDRESS(ROW(AD128),COLUMN(AD128)))),
IF($C$4=AD$7,SUMIFS('EE Inputs'!$L$9:$L$32,'EE Inputs'!$C$9:$C$32,$G$6,'EE Inputs'!$D$9:$D$32,$C$4,'EE Inputs'!$E$9:$E$32,$B128),0))</f>
        <v>0</v>
      </c>
      <c r="AE128" s="509">
        <f ca="1">IF($C$4=Lookups!$D$40,SUM(INDIRECT("'Yr1'!"&amp;ADDRESS(ROW(AE128),COLUMN(AE128))),INDIRECT("'Yr2'!"&amp;ADDRESS(ROW(AE128),COLUMN(AE128))),INDIRECT("'Yr3'!"&amp;ADDRESS(ROW(AE128),COLUMN(AE128)))),
IF($C$4=AE$7,SUMIFS('EE Inputs'!$L$9:$L$32,'EE Inputs'!$C$9:$C$32,$G$6,'EE Inputs'!$D$9:$D$32,$C$4,'EE Inputs'!$E$9:$E$32,$B128),0))</f>
        <v>0</v>
      </c>
      <c r="AF128" s="509">
        <f ca="1">IF($C$4=Lookups!$D$40,SUM(INDIRECT("'Yr1'!"&amp;ADDRESS(ROW(AF128),COLUMN(AF128))),INDIRECT("'Yr2'!"&amp;ADDRESS(ROW(AF128),COLUMN(AF128))),INDIRECT("'Yr3'!"&amp;ADDRESS(ROW(AF128),COLUMN(AF128)))),
IF($C$4=AF$7,SUMIFS('EE Inputs'!$L$9:$L$32,'EE Inputs'!$C$9:$C$32,$G$6,'EE Inputs'!$D$9:$D$32,$C$4,'EE Inputs'!$E$9:$E$32,$B128),0))</f>
        <v>0</v>
      </c>
      <c r="AG128" s="509">
        <f ca="1">IF($C$4=Lookups!$D$40,SUM(INDIRECT("'Yr1'!"&amp;ADDRESS(ROW(AG128),COLUMN(AG128))),INDIRECT("'Yr2'!"&amp;ADDRESS(ROW(AG128),COLUMN(AG128))),INDIRECT("'Yr3'!"&amp;ADDRESS(ROW(AG128),COLUMN(AG128)))),
IF($C$4=AG$7,SUMIFS('EE Inputs'!$L$9:$L$32,'EE Inputs'!$C$9:$C$32,$G$6,'EE Inputs'!$D$9:$D$32,$C$4,'EE Inputs'!$E$9:$E$32,$B128),0))</f>
        <v>0</v>
      </c>
      <c r="AH128" s="509"/>
      <c r="AI128" s="509"/>
      <c r="AJ128" s="509">
        <f ca="1">IF($C$4=Year1,-PMT(Lookups!$E$17,25,NPV(Lookups!$E$17,G128:AE128),0,1),IF($C$4=Year2,-PMT(Lookups!$F$17,25,NPV(Lookups!$F$17,H128:AF128),0,1),IF($C$4=Year3,-PMT(Lookups!$G$17,25,NPV(Lookups!$G$17,I128:AG128),0,1),-PMT(Lookups!$G$17,27,NPV(Lookups!$G$17,G128:AG128),0,1))))</f>
        <v>3.0043028435832405E-3</v>
      </c>
      <c r="AK128" s="507"/>
      <c r="AL128" s="507"/>
      <c r="AM128" s="508">
        <f ca="1">IF($C$4=Lookups!$D$40,SUM(INDIRECT("'Yr1'!"&amp;ADDRESS(ROW(AM128),COLUMN(AM128))),INDIRECT("'Yr2'!"&amp;ADDRESS(ROW(AM128),COLUMN(AM128))),INDIRECT("'Yr3'!"&amp;ADDRESS(ROW(AM128),COLUMN(AM128)))),
IF($C$4=AM$7,SUMIFS('EE Inputs'!$L$9:$L$32,'EE Inputs'!$C$9:$C$32,$AM$6,'EE Inputs'!$D$9:$D$32,$C$4,'EE Inputs'!$E$9:$E$32,$B128),0))</f>
        <v>7.7623676390230018E-2</v>
      </c>
      <c r="AN128" s="508">
        <f ca="1">IF($C$4=Lookups!$D$40,SUM(INDIRECT("'Yr1'!"&amp;ADDRESS(ROW(AN128),COLUMN(AN128))),INDIRECT("'Yr2'!"&amp;ADDRESS(ROW(AN128),COLUMN(AN128))),INDIRECT("'Yr3'!"&amp;ADDRESS(ROW(AN128),COLUMN(AN128)))),
IF($C$4=AN$7,SUMIFS('EE Inputs'!$L$9:$L$32,'EE Inputs'!$C$9:$C$32,$AM$6,'EE Inputs'!$D$9:$D$32,$C$4,'EE Inputs'!$E$9:$E$32,$B128),0))</f>
        <v>0</v>
      </c>
      <c r="AO128" s="508">
        <f ca="1">IF($C$4=Lookups!$D$40,SUM(INDIRECT("'Yr1'!"&amp;ADDRESS(ROW(AO128),COLUMN(AO128))),INDIRECT("'Yr2'!"&amp;ADDRESS(ROW(AO128),COLUMN(AO128))),INDIRECT("'Yr3'!"&amp;ADDRESS(ROW(AO128),COLUMN(AO128)))),
IF($C$4=AO$7,SUMIFS('EE Inputs'!$L$9:$L$32,'EE Inputs'!$C$9:$C$32,$AM$6,'EE Inputs'!$D$9:$D$32,$C$4,'EE Inputs'!$E$9:$E$32,$B128),0))</f>
        <v>0</v>
      </c>
      <c r="AP128" s="508">
        <f ca="1">IF($C$4=Lookups!$D$40,SUM(INDIRECT("'Yr1'!"&amp;ADDRESS(ROW(AP128),COLUMN(AP128))),INDIRECT("'Yr2'!"&amp;ADDRESS(ROW(AP128),COLUMN(AP128))),INDIRECT("'Yr3'!"&amp;ADDRESS(ROW(AP128),COLUMN(AP128)))),
IF($C$4=AP$7,SUMIFS('EE Inputs'!$L$9:$L$32,'EE Inputs'!$C$9:$C$32,$AM$6,'EE Inputs'!$D$9:$D$32,$C$4,'EE Inputs'!$E$9:$E$32,$B128),0))</f>
        <v>0</v>
      </c>
      <c r="AQ128" s="508">
        <f ca="1">IF($C$4=Lookups!$D$40,SUM(INDIRECT("'Yr1'!"&amp;ADDRESS(ROW(AQ128),COLUMN(AQ128))),INDIRECT("'Yr2'!"&amp;ADDRESS(ROW(AQ128),COLUMN(AQ128))),INDIRECT("'Yr3'!"&amp;ADDRESS(ROW(AQ128),COLUMN(AQ128)))),
IF($C$4=AQ$7,SUMIFS('EE Inputs'!$L$9:$L$32,'EE Inputs'!$C$9:$C$32,$AM$6,'EE Inputs'!$D$9:$D$32,$C$4,'EE Inputs'!$E$9:$E$32,$B128),0))</f>
        <v>0</v>
      </c>
      <c r="AR128" s="508">
        <f ca="1">IF($C$4=Lookups!$D$40,SUM(INDIRECT("'Yr1'!"&amp;ADDRESS(ROW(AR128),COLUMN(AR128))),INDIRECT("'Yr2'!"&amp;ADDRESS(ROW(AR128),COLUMN(AR128))),INDIRECT("'Yr3'!"&amp;ADDRESS(ROW(AR128),COLUMN(AR128)))),
IF($C$4=AR$7,SUMIFS('EE Inputs'!$L$9:$L$32,'EE Inputs'!$C$9:$C$32,$AM$6,'EE Inputs'!$D$9:$D$32,$C$4,'EE Inputs'!$E$9:$E$32,$B128),0))</f>
        <v>0</v>
      </c>
      <c r="AS128" s="508">
        <f ca="1">IF($C$4=Lookups!$D$40,SUM(INDIRECT("'Yr1'!"&amp;ADDRESS(ROW(AS128),COLUMN(AS128))),INDIRECT("'Yr2'!"&amp;ADDRESS(ROW(AS128),COLUMN(AS128))),INDIRECT("'Yr3'!"&amp;ADDRESS(ROW(AS128),COLUMN(AS128)))),
IF($C$4=AS$7,SUMIFS('EE Inputs'!$L$9:$L$32,'EE Inputs'!$C$9:$C$32,$AM$6,'EE Inputs'!$D$9:$D$32,$C$4,'EE Inputs'!$E$9:$E$32,$B128),0))</f>
        <v>0</v>
      </c>
      <c r="AT128" s="508">
        <f ca="1">IF($C$4=Lookups!$D$40,SUM(INDIRECT("'Yr1'!"&amp;ADDRESS(ROW(AT128),COLUMN(AT128))),INDIRECT("'Yr2'!"&amp;ADDRESS(ROW(AT128),COLUMN(AT128))),INDIRECT("'Yr3'!"&amp;ADDRESS(ROW(AT128),COLUMN(AT128)))),
IF($C$4=AT$7,SUMIFS('EE Inputs'!$L$9:$L$32,'EE Inputs'!$C$9:$C$32,$AM$6,'EE Inputs'!$D$9:$D$32,$C$4,'EE Inputs'!$E$9:$E$32,$B128),0))</f>
        <v>0</v>
      </c>
      <c r="AU128" s="508">
        <f ca="1">IF($C$4=Lookups!$D$40,SUM(INDIRECT("'Yr1'!"&amp;ADDRESS(ROW(AU128),COLUMN(AU128))),INDIRECT("'Yr2'!"&amp;ADDRESS(ROW(AU128),COLUMN(AU128))),INDIRECT("'Yr3'!"&amp;ADDRESS(ROW(AU128),COLUMN(AU128)))),
IF($C$4=AU$7,SUMIFS('EE Inputs'!$L$9:$L$32,'EE Inputs'!$C$9:$C$32,$AM$6,'EE Inputs'!$D$9:$D$32,$C$4,'EE Inputs'!$E$9:$E$32,$B128),0))</f>
        <v>0</v>
      </c>
      <c r="AV128" s="508">
        <f ca="1">IF($C$4=Lookups!$D$40,SUM(INDIRECT("'Yr1'!"&amp;ADDRESS(ROW(AV128),COLUMN(AV128))),INDIRECT("'Yr2'!"&amp;ADDRESS(ROW(AV128),COLUMN(AV128))),INDIRECT("'Yr3'!"&amp;ADDRESS(ROW(AV128),COLUMN(AV128)))),
IF($C$4=AV$7,SUMIFS('EE Inputs'!$L$9:$L$32,'EE Inputs'!$C$9:$C$32,$AM$6,'EE Inputs'!$D$9:$D$32,$C$4,'EE Inputs'!$E$9:$E$32,$B128),0))</f>
        <v>0</v>
      </c>
      <c r="AW128" s="508">
        <f ca="1">IF($C$4=Lookups!$D$40,SUM(INDIRECT("'Yr1'!"&amp;ADDRESS(ROW(AW128),COLUMN(AW128))),INDIRECT("'Yr2'!"&amp;ADDRESS(ROW(AW128),COLUMN(AW128))),INDIRECT("'Yr3'!"&amp;ADDRESS(ROW(AW128),COLUMN(AW128)))),
IF($C$4=AW$7,SUMIFS('EE Inputs'!$L$9:$L$32,'EE Inputs'!$C$9:$C$32,$AM$6,'EE Inputs'!$D$9:$D$32,$C$4,'EE Inputs'!$E$9:$E$32,$B128),0))</f>
        <v>0</v>
      </c>
      <c r="AX128" s="508">
        <f ca="1">IF($C$4=Lookups!$D$40,SUM(INDIRECT("'Yr1'!"&amp;ADDRESS(ROW(AX128),COLUMN(AX128))),INDIRECT("'Yr2'!"&amp;ADDRESS(ROW(AX128),COLUMN(AX128))),INDIRECT("'Yr3'!"&amp;ADDRESS(ROW(AX128),COLUMN(AX128)))),
IF($C$4=AX$7,SUMIFS('EE Inputs'!$L$9:$L$32,'EE Inputs'!$C$9:$C$32,$AM$6,'EE Inputs'!$D$9:$D$32,$C$4,'EE Inputs'!$E$9:$E$32,$B128),0))</f>
        <v>0</v>
      </c>
      <c r="AY128" s="508">
        <f ca="1">IF($C$4=Lookups!$D$40,SUM(INDIRECT("'Yr1'!"&amp;ADDRESS(ROW(AY128),COLUMN(AY128))),INDIRECT("'Yr2'!"&amp;ADDRESS(ROW(AY128),COLUMN(AY128))),INDIRECT("'Yr3'!"&amp;ADDRESS(ROW(AY128),COLUMN(AY128)))),
IF($C$4=AY$7,SUMIFS('EE Inputs'!$L$9:$L$32,'EE Inputs'!$C$9:$C$32,$AM$6,'EE Inputs'!$D$9:$D$32,$C$4,'EE Inputs'!$E$9:$E$32,$B128),0))</f>
        <v>0</v>
      </c>
      <c r="AZ128" s="508">
        <f ca="1">IF($C$4=Lookups!$D$40,SUM(INDIRECT("'Yr1'!"&amp;ADDRESS(ROW(AZ128),COLUMN(AZ128))),INDIRECT("'Yr2'!"&amp;ADDRESS(ROW(AZ128),COLUMN(AZ128))),INDIRECT("'Yr3'!"&amp;ADDRESS(ROW(AZ128),COLUMN(AZ128)))),
IF($C$4=AZ$7,SUMIFS('EE Inputs'!$L$9:$L$32,'EE Inputs'!$C$9:$C$32,$AM$6,'EE Inputs'!$D$9:$D$32,$C$4,'EE Inputs'!$E$9:$E$32,$B128),0))</f>
        <v>0</v>
      </c>
      <c r="BA128" s="508">
        <f ca="1">IF($C$4=Lookups!$D$40,SUM(INDIRECT("'Yr1'!"&amp;ADDRESS(ROW(BA128),COLUMN(BA128))),INDIRECT("'Yr2'!"&amp;ADDRESS(ROW(BA128),COLUMN(BA128))),INDIRECT("'Yr3'!"&amp;ADDRESS(ROW(BA128),COLUMN(BA128)))),
IF($C$4=BA$7,SUMIFS('EE Inputs'!$L$9:$L$32,'EE Inputs'!$C$9:$C$32,$AM$6,'EE Inputs'!$D$9:$D$32,$C$4,'EE Inputs'!$E$9:$E$32,$B128),0))</f>
        <v>0</v>
      </c>
      <c r="BB128" s="508">
        <f ca="1">IF($C$4=Lookups!$D$40,SUM(INDIRECT("'Yr1'!"&amp;ADDRESS(ROW(BB128),COLUMN(BB128))),INDIRECT("'Yr2'!"&amp;ADDRESS(ROW(BB128),COLUMN(BB128))),INDIRECT("'Yr3'!"&amp;ADDRESS(ROW(BB128),COLUMN(BB128)))),
IF($C$4=BB$7,SUMIFS('EE Inputs'!$L$9:$L$32,'EE Inputs'!$C$9:$C$32,$AM$6,'EE Inputs'!$D$9:$D$32,$C$4,'EE Inputs'!$E$9:$E$32,$B128),0))</f>
        <v>0</v>
      </c>
      <c r="BC128" s="508">
        <f ca="1">IF($C$4=Lookups!$D$40,SUM(INDIRECT("'Yr1'!"&amp;ADDRESS(ROW(BC128),COLUMN(BC128))),INDIRECT("'Yr2'!"&amp;ADDRESS(ROW(BC128),COLUMN(BC128))),INDIRECT("'Yr3'!"&amp;ADDRESS(ROW(BC128),COLUMN(BC128)))),
IF($C$4=BC$7,SUMIFS('EE Inputs'!$L$9:$L$32,'EE Inputs'!$C$9:$C$32,$AM$6,'EE Inputs'!$D$9:$D$32,$C$4,'EE Inputs'!$E$9:$E$32,$B128),0))</f>
        <v>0</v>
      </c>
      <c r="BD128" s="508">
        <f ca="1">IF($C$4=Lookups!$D$40,SUM(INDIRECT("'Yr1'!"&amp;ADDRESS(ROW(BD128),COLUMN(BD128))),INDIRECT("'Yr2'!"&amp;ADDRESS(ROW(BD128),COLUMN(BD128))),INDIRECT("'Yr3'!"&amp;ADDRESS(ROW(BD128),COLUMN(BD128)))),
IF($C$4=BD$7,SUMIFS('EE Inputs'!$L$9:$L$32,'EE Inputs'!$C$9:$C$32,$AM$6,'EE Inputs'!$D$9:$D$32,$C$4,'EE Inputs'!$E$9:$E$32,$B128),0))</f>
        <v>0</v>
      </c>
      <c r="BE128" s="508">
        <f ca="1">IF($C$4=Lookups!$D$40,SUM(INDIRECT("'Yr1'!"&amp;ADDRESS(ROW(BE128),COLUMN(BE128))),INDIRECT("'Yr2'!"&amp;ADDRESS(ROW(BE128),COLUMN(BE128))),INDIRECT("'Yr3'!"&amp;ADDRESS(ROW(BE128),COLUMN(BE128)))),
IF($C$4=BE$7,SUMIFS('EE Inputs'!$L$9:$L$32,'EE Inputs'!$C$9:$C$32,$AM$6,'EE Inputs'!$D$9:$D$32,$C$4,'EE Inputs'!$E$9:$E$32,$B128),0))</f>
        <v>0</v>
      </c>
      <c r="BF128" s="508">
        <f ca="1">IF($C$4=Lookups!$D$40,SUM(INDIRECT("'Yr1'!"&amp;ADDRESS(ROW(BF128),COLUMN(BF128))),INDIRECT("'Yr2'!"&amp;ADDRESS(ROW(BF128),COLUMN(BF128))),INDIRECT("'Yr3'!"&amp;ADDRESS(ROW(BF128),COLUMN(BF128)))),
IF($C$4=BF$7,SUMIFS('EE Inputs'!$L$9:$L$32,'EE Inputs'!$C$9:$C$32,$AM$6,'EE Inputs'!$D$9:$D$32,$C$4,'EE Inputs'!$E$9:$E$32,$B128),0))</f>
        <v>0</v>
      </c>
      <c r="BG128" s="508">
        <f ca="1">IF($C$4=Lookups!$D$40,SUM(INDIRECT("'Yr1'!"&amp;ADDRESS(ROW(BG128),COLUMN(BG128))),INDIRECT("'Yr2'!"&amp;ADDRESS(ROW(BG128),COLUMN(BG128))),INDIRECT("'Yr3'!"&amp;ADDRESS(ROW(BG128),COLUMN(BG128)))),
IF($C$4=BG$7,SUMIFS('EE Inputs'!$L$9:$L$32,'EE Inputs'!$C$9:$C$32,$AM$6,'EE Inputs'!$D$9:$D$32,$C$4,'EE Inputs'!$E$9:$E$32,$B128),0))</f>
        <v>0</v>
      </c>
      <c r="BH128" s="508">
        <f ca="1">IF($C$4=Lookups!$D$40,SUM(INDIRECT("'Yr1'!"&amp;ADDRESS(ROW(BH128),COLUMN(BH128))),INDIRECT("'Yr2'!"&amp;ADDRESS(ROW(BH128),COLUMN(BH128))),INDIRECT("'Yr3'!"&amp;ADDRESS(ROW(BH128),COLUMN(BH128)))),
IF($C$4=BH$7,SUMIFS('EE Inputs'!$L$9:$L$32,'EE Inputs'!$C$9:$C$32,$AM$6,'EE Inputs'!$D$9:$D$32,$C$4,'EE Inputs'!$E$9:$E$32,$B128),0))</f>
        <v>0</v>
      </c>
      <c r="BI128" s="508">
        <f ca="1">IF($C$4=Lookups!$D$40,SUM(INDIRECT("'Yr1'!"&amp;ADDRESS(ROW(BI128),COLUMN(BI128))),INDIRECT("'Yr2'!"&amp;ADDRESS(ROW(BI128),COLUMN(BI128))),INDIRECT("'Yr3'!"&amp;ADDRESS(ROW(BI128),COLUMN(BI128)))),
IF($C$4=BI$7,SUMIFS('EE Inputs'!$L$9:$L$32,'EE Inputs'!$C$9:$C$32,$AM$6,'EE Inputs'!$D$9:$D$32,$C$4,'EE Inputs'!$E$9:$E$32,$B128),0))</f>
        <v>0</v>
      </c>
      <c r="BJ128" s="508">
        <f ca="1">IF($C$4=Lookups!$D$40,SUM(INDIRECT("'Yr1'!"&amp;ADDRESS(ROW(BJ128),COLUMN(BJ128))),INDIRECT("'Yr2'!"&amp;ADDRESS(ROW(BJ128),COLUMN(BJ128))),INDIRECT("'Yr3'!"&amp;ADDRESS(ROW(BJ128),COLUMN(BJ128)))),
IF($C$4=BJ$7,SUMIFS('EE Inputs'!$L$9:$L$32,'EE Inputs'!$C$9:$C$32,$AM$6,'EE Inputs'!$D$9:$D$32,$C$4,'EE Inputs'!$E$9:$E$32,$B128),0))</f>
        <v>0</v>
      </c>
      <c r="BK128" s="508">
        <f ca="1">IF($C$4=Lookups!$D$40,SUM(INDIRECT("'Yr1'!"&amp;ADDRESS(ROW(BK128),COLUMN(BK128))),INDIRECT("'Yr2'!"&amp;ADDRESS(ROW(BK128),COLUMN(BK128))),INDIRECT("'Yr3'!"&amp;ADDRESS(ROW(BK128),COLUMN(BK128)))),
IF($C$4=BK$7,SUMIFS('EE Inputs'!$L$9:$L$32,'EE Inputs'!$C$9:$C$32,$AM$6,'EE Inputs'!$D$9:$D$32,$C$4,'EE Inputs'!$E$9:$E$32,$B128),0))</f>
        <v>0</v>
      </c>
      <c r="BL128" s="508">
        <f ca="1">IF($C$4=Lookups!$D$40,SUM(INDIRECT("'Yr1'!"&amp;ADDRESS(ROW(BL128),COLUMN(BL128))),INDIRECT("'Yr2'!"&amp;ADDRESS(ROW(BL128),COLUMN(BL128))),INDIRECT("'Yr3'!"&amp;ADDRESS(ROW(BL128),COLUMN(BL128)))),
IF($C$4=BL$7,SUMIFS('EE Inputs'!$L$9:$L$32,'EE Inputs'!$C$9:$C$32,$AM$6,'EE Inputs'!$D$9:$D$32,$C$4,'EE Inputs'!$E$9:$E$32,$B128),0))</f>
        <v>0</v>
      </c>
      <c r="BM128" s="508">
        <f ca="1">IF($C$4=Lookups!$D$40,SUM(INDIRECT("'Yr1'!"&amp;ADDRESS(ROW(BM128),COLUMN(BM128))),INDIRECT("'Yr2'!"&amp;ADDRESS(ROW(BM128),COLUMN(BM128))),INDIRECT("'Yr3'!"&amp;ADDRESS(ROW(BM128),COLUMN(BM128)))),
IF($C$4=BM$7,SUMIFS('EE Inputs'!$L$9:$L$32,'EE Inputs'!$C$9:$C$32,$AM$6,'EE Inputs'!$D$9:$D$32,$C$4,'EE Inputs'!$E$9:$E$32,$B128),0))</f>
        <v>0</v>
      </c>
      <c r="BN128" s="508"/>
      <c r="BO128" s="508"/>
      <c r="BP128" s="508">
        <f ca="1">IF($C$4=Year1,-PMT(Lookups!$E$17,25,NPV(Lookups!$E$17,AM128:BK128),0,1),IF($C$4=Year2,-PMT(Lookups!$F$17,25,NPV(Lookups!$F$17,AN128:BL128),0,1),IF($C$4=Year3,-PMT(Lookups!$G$17,25,NPV(Lookups!$G$17,AO128:BM128),0,1),-PMT(Lookups!$G$17,27,NPV(Lookups!$G$17,AM128:BM128),0,1))))</f>
        <v>3.605163412299888E-3</v>
      </c>
      <c r="BS128" s="86" t="s">
        <v>402</v>
      </c>
      <c r="BT128" s="51" t="s">
        <v>17</v>
      </c>
    </row>
    <row r="129" spans="1:72" x14ac:dyDescent="0.25">
      <c r="A129" s="246"/>
      <c r="B129" s="243" t="str">
        <f t="shared" si="119"/>
        <v>Low-Income</v>
      </c>
      <c r="C129" s="243" t="str">
        <f t="shared" si="119"/>
        <v>Rates</v>
      </c>
      <c r="D129" s="244" t="str">
        <f t="shared" si="119"/>
        <v>Increased Costs and Cost Shifting</v>
      </c>
      <c r="E129" s="86" t="s">
        <v>198</v>
      </c>
      <c r="F129" s="84" t="s">
        <v>182</v>
      </c>
      <c r="G129" s="506">
        <f ca="1">IFERROR((G111/G96)-(G111/G94),0)</f>
        <v>4.2274405845921514E-3</v>
      </c>
      <c r="H129" s="506">
        <f t="shared" ref="H129:AG129" ca="1" si="122">IFERROR((H111/H96)-(H111/H94),0)</f>
        <v>4.2274405845921514E-3</v>
      </c>
      <c r="I129" s="506">
        <f t="shared" ca="1" si="122"/>
        <v>4.2274405845921514E-3</v>
      </c>
      <c r="J129" s="506">
        <f t="shared" ca="1" si="122"/>
        <v>4.2274405845921514E-3</v>
      </c>
      <c r="K129" s="506">
        <f t="shared" ca="1" si="122"/>
        <v>4.2274405845921514E-3</v>
      </c>
      <c r="L129" s="506">
        <f t="shared" ca="1" si="122"/>
        <v>4.2274405845921514E-3</v>
      </c>
      <c r="M129" s="506">
        <f t="shared" ca="1" si="122"/>
        <v>4.2274405845921514E-3</v>
      </c>
      <c r="N129" s="506">
        <f t="shared" ca="1" si="122"/>
        <v>4.2274405845921514E-3</v>
      </c>
      <c r="O129" s="506">
        <f t="shared" ca="1" si="122"/>
        <v>4.2274405845921514E-3</v>
      </c>
      <c r="P129" s="506">
        <f t="shared" ca="1" si="122"/>
        <v>4.2274405845921514E-3</v>
      </c>
      <c r="Q129" s="506">
        <f t="shared" ca="1" si="122"/>
        <v>4.2274405845921514E-3</v>
      </c>
      <c r="R129" s="506">
        <f t="shared" ca="1" si="122"/>
        <v>4.2274405845921514E-3</v>
      </c>
      <c r="S129" s="506">
        <f t="shared" ca="1" si="122"/>
        <v>4.2274405845921514E-3</v>
      </c>
      <c r="T129" s="506">
        <f t="shared" ca="1" si="122"/>
        <v>4.2274405845921514E-3</v>
      </c>
      <c r="U129" s="506">
        <f t="shared" ca="1" si="122"/>
        <v>4.2274405845921514E-3</v>
      </c>
      <c r="V129" s="506">
        <f t="shared" ca="1" si="122"/>
        <v>4.2274405845921514E-3</v>
      </c>
      <c r="W129" s="506">
        <f t="shared" ca="1" si="122"/>
        <v>4.2274405845921514E-3</v>
      </c>
      <c r="X129" s="506">
        <f t="shared" ca="1" si="122"/>
        <v>4.2274405845921514E-3</v>
      </c>
      <c r="Y129" s="506">
        <f t="shared" ca="1" si="122"/>
        <v>4.2274405845921514E-3</v>
      </c>
      <c r="Z129" s="506">
        <f t="shared" ca="1" si="122"/>
        <v>4.2274405845921514E-3</v>
      </c>
      <c r="AA129" s="506">
        <f t="shared" ca="1" si="122"/>
        <v>0</v>
      </c>
      <c r="AB129" s="506">
        <f t="shared" ca="1" si="122"/>
        <v>0</v>
      </c>
      <c r="AC129" s="506">
        <f t="shared" ca="1" si="122"/>
        <v>0</v>
      </c>
      <c r="AD129" s="506">
        <f t="shared" ca="1" si="122"/>
        <v>0</v>
      </c>
      <c r="AE129" s="506">
        <f t="shared" ca="1" si="122"/>
        <v>0</v>
      </c>
      <c r="AF129" s="506">
        <f t="shared" ca="1" si="122"/>
        <v>0</v>
      </c>
      <c r="AG129" s="506">
        <f t="shared" ca="1" si="122"/>
        <v>0</v>
      </c>
      <c r="AH129" s="506"/>
      <c r="AI129" s="506"/>
      <c r="AJ129" s="506">
        <f ca="1">IF($C$4=Year1,-PMT(Lookups!$E$17,25,NPV(Lookups!$E$17,G129:AE129),0,1),IF($C$4=Year2,-PMT(Lookups!$F$17,25,NPV(Lookups!$F$17,H129:AF129),0,1),IF($C$4=Year3,-PMT(Lookups!$G$17,25,NPV(Lookups!$G$17,I129:AG129),0,1),-PMT(Lookups!$G$17,27,NPV(Lookups!$G$17,G129:AG129),0,1))))</f>
        <v>3.4475862550075237E-3</v>
      </c>
      <c r="AK129" s="507"/>
      <c r="AL129" s="507"/>
      <c r="AM129" s="508">
        <f ca="1">IFERROR((AM111/AM96)-(AM111/AM94),0)</f>
        <v>4.8417808606264212E-3</v>
      </c>
      <c r="AN129" s="508">
        <f t="shared" ref="AN129:BM129" ca="1" si="123">IFERROR((AN111/AN96)-(AN111/AN94),0)</f>
        <v>4.8417808606264212E-3</v>
      </c>
      <c r="AO129" s="508">
        <f t="shared" ca="1" si="123"/>
        <v>4.8417808606264212E-3</v>
      </c>
      <c r="AP129" s="508">
        <f t="shared" ca="1" si="123"/>
        <v>4.8417808606264212E-3</v>
      </c>
      <c r="AQ129" s="508">
        <f t="shared" ca="1" si="123"/>
        <v>4.8417808606264212E-3</v>
      </c>
      <c r="AR129" s="508">
        <f t="shared" ca="1" si="123"/>
        <v>4.8417808606264212E-3</v>
      </c>
      <c r="AS129" s="508">
        <f t="shared" ca="1" si="123"/>
        <v>4.8417808606264212E-3</v>
      </c>
      <c r="AT129" s="508">
        <f t="shared" ca="1" si="123"/>
        <v>4.8417808606264212E-3</v>
      </c>
      <c r="AU129" s="508">
        <f t="shared" ca="1" si="123"/>
        <v>4.8417808606264212E-3</v>
      </c>
      <c r="AV129" s="508">
        <f t="shared" ca="1" si="123"/>
        <v>4.8417808606264212E-3</v>
      </c>
      <c r="AW129" s="508">
        <f t="shared" ca="1" si="123"/>
        <v>4.8417808606264212E-3</v>
      </c>
      <c r="AX129" s="508">
        <f t="shared" ca="1" si="123"/>
        <v>4.8417808606264212E-3</v>
      </c>
      <c r="AY129" s="508">
        <f t="shared" ca="1" si="123"/>
        <v>4.8417808606264212E-3</v>
      </c>
      <c r="AZ129" s="508">
        <f t="shared" ca="1" si="123"/>
        <v>4.8417808606264212E-3</v>
      </c>
      <c r="BA129" s="508">
        <f t="shared" ca="1" si="123"/>
        <v>4.8417808606264212E-3</v>
      </c>
      <c r="BB129" s="508">
        <f t="shared" ca="1" si="123"/>
        <v>4.8417808606264212E-3</v>
      </c>
      <c r="BC129" s="508">
        <f t="shared" ca="1" si="123"/>
        <v>4.8417808606264212E-3</v>
      </c>
      <c r="BD129" s="508">
        <f t="shared" ca="1" si="123"/>
        <v>4.8417808606264212E-3</v>
      </c>
      <c r="BE129" s="508">
        <f t="shared" ca="1" si="123"/>
        <v>4.8417808606264212E-3</v>
      </c>
      <c r="BF129" s="508">
        <f t="shared" ca="1" si="123"/>
        <v>4.8417808606264212E-3</v>
      </c>
      <c r="BG129" s="508">
        <f t="shared" ca="1" si="123"/>
        <v>0</v>
      </c>
      <c r="BH129" s="508">
        <f t="shared" ca="1" si="123"/>
        <v>0</v>
      </c>
      <c r="BI129" s="508">
        <f t="shared" ca="1" si="123"/>
        <v>0</v>
      </c>
      <c r="BJ129" s="508">
        <f t="shared" ca="1" si="123"/>
        <v>0</v>
      </c>
      <c r="BK129" s="508">
        <f t="shared" ca="1" si="123"/>
        <v>0</v>
      </c>
      <c r="BL129" s="508">
        <f t="shared" ca="1" si="123"/>
        <v>0</v>
      </c>
      <c r="BM129" s="508">
        <f t="shared" ca="1" si="123"/>
        <v>0</v>
      </c>
      <c r="BN129" s="508"/>
      <c r="BO129" s="508"/>
      <c r="BP129" s="508">
        <f ca="1">IF($C$4=Year1,-PMT(Lookups!$E$17,25,NPV(Lookups!$E$17,AM129:BK129),0,1),IF($C$4=Year2,-PMT(Lookups!$F$17,25,NPV(Lookups!$F$17,AN129:BL129),0,1),IF($C$4=Year3,-PMT(Lookups!$G$17,25,NPV(Lookups!$G$17,AO129:BM129),0,1),-PMT(Lookups!$G$17,27,NPV(Lookups!$G$17,AM129:BM129),0,1))))</f>
        <v>3.9485965114905526E-3</v>
      </c>
      <c r="BS129" s="84" t="s">
        <v>103</v>
      </c>
      <c r="BT129" s="51" t="s">
        <v>17</v>
      </c>
    </row>
    <row r="130" spans="1:72" x14ac:dyDescent="0.25">
      <c r="B130" s="243" t="str">
        <f t="shared" si="119"/>
        <v>Low-Income</v>
      </c>
      <c r="C130" s="243" t="str">
        <f t="shared" si="119"/>
        <v>Rates</v>
      </c>
      <c r="D130" s="114" t="s">
        <v>110</v>
      </c>
      <c r="E130" s="86"/>
      <c r="F130" s="86"/>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49"/>
      <c r="AI130" s="238"/>
      <c r="AJ130" s="49"/>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S130" s="84"/>
      <c r="BT130" s="51" t="s">
        <v>17</v>
      </c>
    </row>
    <row r="131" spans="1:72" x14ac:dyDescent="0.25">
      <c r="B131" s="243" t="str">
        <f t="shared" si="119"/>
        <v>Low-Income</v>
      </c>
      <c r="C131" s="243" t="str">
        <f t="shared" si="119"/>
        <v>Rates</v>
      </c>
      <c r="D131" s="244" t="str">
        <f>D130</f>
        <v>Rates after DSM Scenario</v>
      </c>
      <c r="E131" s="86" t="s">
        <v>26</v>
      </c>
      <c r="F131" s="84" t="s">
        <v>182</v>
      </c>
      <c r="G131" s="506">
        <f ca="1">IFERROR(G111/G96,0)</f>
        <v>0.22614122010423127</v>
      </c>
      <c r="H131" s="506">
        <f t="shared" ref="H131:AG131" ca="1" si="124">IFERROR(H111/H96,0)</f>
        <v>0.22614122010423127</v>
      </c>
      <c r="I131" s="506">
        <f t="shared" ca="1" si="124"/>
        <v>0.22614122010423127</v>
      </c>
      <c r="J131" s="506">
        <f t="shared" ca="1" si="124"/>
        <v>0.22614122010423127</v>
      </c>
      <c r="K131" s="506">
        <f t="shared" ca="1" si="124"/>
        <v>0.22614122010423127</v>
      </c>
      <c r="L131" s="506">
        <f t="shared" ca="1" si="124"/>
        <v>0.22614122010423127</v>
      </c>
      <c r="M131" s="506">
        <f t="shared" ca="1" si="124"/>
        <v>0.22614122010423127</v>
      </c>
      <c r="N131" s="506">
        <f t="shared" ca="1" si="124"/>
        <v>0.22614122010423127</v>
      </c>
      <c r="O131" s="506">
        <f t="shared" ca="1" si="124"/>
        <v>0.22614122010423127</v>
      </c>
      <c r="P131" s="506">
        <f t="shared" ca="1" si="124"/>
        <v>0.22614122010423127</v>
      </c>
      <c r="Q131" s="506">
        <f t="shared" ca="1" si="124"/>
        <v>0.22614122010423127</v>
      </c>
      <c r="R131" s="506">
        <f t="shared" ca="1" si="124"/>
        <v>0.22614122010423127</v>
      </c>
      <c r="S131" s="506">
        <f t="shared" ca="1" si="124"/>
        <v>0.22614122010423127</v>
      </c>
      <c r="T131" s="506">
        <f t="shared" ca="1" si="124"/>
        <v>0.22614122010423127</v>
      </c>
      <c r="U131" s="506">
        <f t="shared" ca="1" si="124"/>
        <v>0.22614122010423127</v>
      </c>
      <c r="V131" s="506">
        <f t="shared" ca="1" si="124"/>
        <v>0.22614122010423127</v>
      </c>
      <c r="W131" s="506">
        <f t="shared" ca="1" si="124"/>
        <v>0.22614122010423127</v>
      </c>
      <c r="X131" s="506">
        <f t="shared" ca="1" si="124"/>
        <v>0.22614122010423127</v>
      </c>
      <c r="Y131" s="506">
        <f t="shared" ca="1" si="124"/>
        <v>0.22614122010423127</v>
      </c>
      <c r="Z131" s="506">
        <f t="shared" ca="1" si="124"/>
        <v>0.22614122010423127</v>
      </c>
      <c r="AA131" s="506">
        <f t="shared" ca="1" si="124"/>
        <v>0.2228</v>
      </c>
      <c r="AB131" s="506">
        <f t="shared" ca="1" si="124"/>
        <v>0.2228</v>
      </c>
      <c r="AC131" s="506">
        <f t="shared" ca="1" si="124"/>
        <v>0.2228</v>
      </c>
      <c r="AD131" s="506">
        <f t="shared" ca="1" si="124"/>
        <v>0.2228</v>
      </c>
      <c r="AE131" s="506">
        <f t="shared" ca="1" si="124"/>
        <v>0.2228</v>
      </c>
      <c r="AF131" s="506">
        <f t="shared" ca="1" si="124"/>
        <v>0.2228</v>
      </c>
      <c r="AG131" s="506">
        <f t="shared" ca="1" si="124"/>
        <v>0.2228</v>
      </c>
      <c r="AH131" s="509"/>
      <c r="AI131" s="506"/>
      <c r="AJ131" s="509">
        <f ca="1">IF($C$4=Year1,-PMT(Lookups!$E$17,25,NPV(Lookups!$E$17,G131:AE131),0,1),IF($C$4=Year2,-PMT(Lookups!$F$17,25,NPV(Lookups!$F$17,H131:AF131),0,1),IF($C$4=Year3,-PMT(Lookups!$G$17,25,NPV(Lookups!$G$17,I131:AG131),0,1),-PMT(Lookups!$G$17,27,NPV(Lookups!$G$17,G131:AG131),0,1))))</f>
        <v>0.22241751899746989</v>
      </c>
      <c r="AK131" s="507"/>
      <c r="AL131" s="507"/>
      <c r="AM131" s="508">
        <f ca="1">IFERROR(AM111/AM96,0)</f>
        <v>0.22662895745449974</v>
      </c>
      <c r="AN131" s="508">
        <f t="shared" ref="AN131:BM131" ca="1" si="125">IFERROR(AN111/AN96,0)</f>
        <v>0.22662895745449974</v>
      </c>
      <c r="AO131" s="508">
        <f t="shared" ca="1" si="125"/>
        <v>0.22662895745449974</v>
      </c>
      <c r="AP131" s="508">
        <f t="shared" ca="1" si="125"/>
        <v>0.22662895745449974</v>
      </c>
      <c r="AQ131" s="508">
        <f t="shared" ca="1" si="125"/>
        <v>0.22662895745449974</v>
      </c>
      <c r="AR131" s="508">
        <f t="shared" ca="1" si="125"/>
        <v>0.22662895745449974</v>
      </c>
      <c r="AS131" s="508">
        <f t="shared" ca="1" si="125"/>
        <v>0.22662895745449974</v>
      </c>
      <c r="AT131" s="508">
        <f t="shared" ca="1" si="125"/>
        <v>0.22662895745449974</v>
      </c>
      <c r="AU131" s="508">
        <f t="shared" ca="1" si="125"/>
        <v>0.22662895745449974</v>
      </c>
      <c r="AV131" s="508">
        <f t="shared" ca="1" si="125"/>
        <v>0.22662895745449974</v>
      </c>
      <c r="AW131" s="508">
        <f t="shared" ca="1" si="125"/>
        <v>0.22662895745449974</v>
      </c>
      <c r="AX131" s="508">
        <f t="shared" ca="1" si="125"/>
        <v>0.22662895745449974</v>
      </c>
      <c r="AY131" s="508">
        <f t="shared" ca="1" si="125"/>
        <v>0.22662895745449974</v>
      </c>
      <c r="AZ131" s="508">
        <f t="shared" ca="1" si="125"/>
        <v>0.22662895745449974</v>
      </c>
      <c r="BA131" s="508">
        <f t="shared" ca="1" si="125"/>
        <v>0.22662895745449974</v>
      </c>
      <c r="BB131" s="508">
        <f t="shared" ca="1" si="125"/>
        <v>0.22662895745449974</v>
      </c>
      <c r="BC131" s="508">
        <f t="shared" ca="1" si="125"/>
        <v>0.22662895745449974</v>
      </c>
      <c r="BD131" s="508">
        <f t="shared" ca="1" si="125"/>
        <v>0.22662895745449974</v>
      </c>
      <c r="BE131" s="508">
        <f t="shared" ca="1" si="125"/>
        <v>0.22662895745449974</v>
      </c>
      <c r="BF131" s="508">
        <f t="shared" ca="1" si="125"/>
        <v>0.22662895745449974</v>
      </c>
      <c r="BG131" s="508">
        <f t="shared" ca="1" si="125"/>
        <v>0.2228</v>
      </c>
      <c r="BH131" s="508">
        <f t="shared" ca="1" si="125"/>
        <v>0.2228</v>
      </c>
      <c r="BI131" s="508">
        <f t="shared" ca="1" si="125"/>
        <v>0.2228</v>
      </c>
      <c r="BJ131" s="508">
        <f t="shared" ca="1" si="125"/>
        <v>0.2228</v>
      </c>
      <c r="BK131" s="508">
        <f t="shared" ca="1" si="125"/>
        <v>0.2228</v>
      </c>
      <c r="BL131" s="508">
        <f t="shared" ca="1" si="125"/>
        <v>0.2228</v>
      </c>
      <c r="BM131" s="508">
        <f t="shared" ca="1" si="125"/>
        <v>0.2228</v>
      </c>
      <c r="BN131" s="508"/>
      <c r="BO131" s="508"/>
      <c r="BP131" s="508">
        <f ca="1">IF($C$4=Year1,-PMT(Lookups!$E$17,25,NPV(Lookups!$E$17,AM131:BK131),0,1),IF($C$4=Year2,-PMT(Lookups!$F$17,25,NPV(Lookups!$F$17,AN131:BL131),0,1),IF($C$4=Year3,-PMT(Lookups!$G$17,25,NPV(Lookups!$G$17,AO131:BM131),0,1),-PMT(Lookups!$G$17,27,NPV(Lookups!$G$17,AM131:BM131),0,1))))</f>
        <v>0.22281528131989453</v>
      </c>
      <c r="BS131" s="84" t="s">
        <v>238</v>
      </c>
      <c r="BT131" s="51" t="s">
        <v>17</v>
      </c>
    </row>
    <row r="132" spans="1:72" x14ac:dyDescent="0.25">
      <c r="B132" s="243" t="str">
        <f t="shared" si="119"/>
        <v>Low-Income</v>
      </c>
      <c r="C132" s="243" t="str">
        <f t="shared" si="119"/>
        <v>Rates</v>
      </c>
      <c r="D132" s="244" t="str">
        <f>D131</f>
        <v>Rates after DSM Scenario</v>
      </c>
      <c r="E132" s="84" t="s">
        <v>407</v>
      </c>
      <c r="F132" s="84" t="s">
        <v>182</v>
      </c>
      <c r="G132" s="506">
        <f ca="1">IFERROR(G112/G96,0)</f>
        <v>-3.3628647484592974E-2</v>
      </c>
      <c r="H132" s="506">
        <f t="shared" ref="H132:AG132" ca="1" si="126">IFERROR(H112/H96,0)</f>
        <v>-3.3628647484592974E-2</v>
      </c>
      <c r="I132" s="506">
        <f t="shared" ca="1" si="126"/>
        <v>-3.3628647484592974E-2</v>
      </c>
      <c r="J132" s="506">
        <f t="shared" ca="1" si="126"/>
        <v>-3.3628647484592974E-2</v>
      </c>
      <c r="K132" s="506">
        <f t="shared" ca="1" si="126"/>
        <v>-3.3628647484592974E-2</v>
      </c>
      <c r="L132" s="506">
        <f t="shared" ca="1" si="126"/>
        <v>-3.3628647484592974E-2</v>
      </c>
      <c r="M132" s="506">
        <f t="shared" ca="1" si="126"/>
        <v>-3.3628647484592974E-2</v>
      </c>
      <c r="N132" s="506">
        <f t="shared" ca="1" si="126"/>
        <v>-3.3628647484592974E-2</v>
      </c>
      <c r="O132" s="506">
        <f t="shared" ca="1" si="126"/>
        <v>-3.3628647484592974E-2</v>
      </c>
      <c r="P132" s="506">
        <f t="shared" ca="1" si="126"/>
        <v>-3.3628647484592974E-2</v>
      </c>
      <c r="Q132" s="506">
        <f t="shared" ca="1" si="126"/>
        <v>-3.3628647484592974E-2</v>
      </c>
      <c r="R132" s="506">
        <f t="shared" ca="1" si="126"/>
        <v>-3.3628647484592974E-2</v>
      </c>
      <c r="S132" s="506">
        <f t="shared" ca="1" si="126"/>
        <v>-3.3628647484592974E-2</v>
      </c>
      <c r="T132" s="506">
        <f t="shared" ca="1" si="126"/>
        <v>-3.3628647484592974E-2</v>
      </c>
      <c r="U132" s="506">
        <f t="shared" ca="1" si="126"/>
        <v>-3.3628647484592974E-2</v>
      </c>
      <c r="V132" s="506">
        <f t="shared" ca="1" si="126"/>
        <v>-3.3628647484592974E-2</v>
      </c>
      <c r="W132" s="506">
        <f t="shared" ca="1" si="126"/>
        <v>-3.3628647484592974E-2</v>
      </c>
      <c r="X132" s="506">
        <f t="shared" ca="1" si="126"/>
        <v>-3.3628647484592974E-2</v>
      </c>
      <c r="Y132" s="506">
        <f t="shared" ca="1" si="126"/>
        <v>-3.3628647484592974E-2</v>
      </c>
      <c r="Z132" s="506">
        <f t="shared" ca="1" si="126"/>
        <v>-3.3628647484592974E-2</v>
      </c>
      <c r="AA132" s="506">
        <f t="shared" ca="1" si="126"/>
        <v>-3.3000000000000002E-2</v>
      </c>
      <c r="AB132" s="506">
        <f t="shared" ca="1" si="126"/>
        <v>-3.3000000000000002E-2</v>
      </c>
      <c r="AC132" s="506">
        <f t="shared" ca="1" si="126"/>
        <v>-3.3000000000000002E-2</v>
      </c>
      <c r="AD132" s="506">
        <f t="shared" ca="1" si="126"/>
        <v>-3.3000000000000002E-2</v>
      </c>
      <c r="AE132" s="506">
        <f t="shared" ca="1" si="126"/>
        <v>-3.3000000000000002E-2</v>
      </c>
      <c r="AF132" s="506">
        <f t="shared" ca="1" si="126"/>
        <v>-3.3000000000000002E-2</v>
      </c>
      <c r="AG132" s="506">
        <f t="shared" ca="1" si="126"/>
        <v>-3.3000000000000002E-2</v>
      </c>
      <c r="AH132" s="509"/>
      <c r="AI132" s="506"/>
      <c r="AJ132" s="509">
        <f ca="1">IF($C$4=Year1,-PMT(Lookups!$E$17,25,NPV(Lookups!$E$17,G132:AE132),0,1),IF($C$4=Year2,-PMT(Lookups!$F$17,25,NPV(Lookups!$F$17,H132:AF132),0,1),IF($C$4=Year3,-PMT(Lookups!$G$17,25,NPV(Lookups!$G$17,I132:AG132),0,1),-PMT(Lookups!$G$17,27,NPV(Lookups!$G$17,G132:AG132),0,1))))</f>
        <v>-3.3052436021374601E-2</v>
      </c>
      <c r="AK132" s="507"/>
      <c r="AL132" s="507"/>
      <c r="AM132" s="508">
        <f ca="1">IFERROR(AM112/AM96,0)</f>
        <v>-3.3720414817729763E-2</v>
      </c>
      <c r="AN132" s="508">
        <f t="shared" ref="AN132:BM132" ca="1" si="127">IFERROR(AN112/AN96,0)</f>
        <v>-3.3720414817729763E-2</v>
      </c>
      <c r="AO132" s="508">
        <f t="shared" ca="1" si="127"/>
        <v>-3.3720414817729763E-2</v>
      </c>
      <c r="AP132" s="508">
        <f t="shared" ca="1" si="127"/>
        <v>-3.3720414817729763E-2</v>
      </c>
      <c r="AQ132" s="508">
        <f t="shared" ca="1" si="127"/>
        <v>-3.3720414817729763E-2</v>
      </c>
      <c r="AR132" s="508">
        <f t="shared" ca="1" si="127"/>
        <v>-3.3720414817729763E-2</v>
      </c>
      <c r="AS132" s="508">
        <f t="shared" ca="1" si="127"/>
        <v>-3.3720414817729763E-2</v>
      </c>
      <c r="AT132" s="508">
        <f t="shared" ca="1" si="127"/>
        <v>-3.3720414817729763E-2</v>
      </c>
      <c r="AU132" s="508">
        <f t="shared" ca="1" si="127"/>
        <v>-3.3720414817729763E-2</v>
      </c>
      <c r="AV132" s="508">
        <f t="shared" ca="1" si="127"/>
        <v>-3.3720414817729763E-2</v>
      </c>
      <c r="AW132" s="508">
        <f t="shared" ca="1" si="127"/>
        <v>-3.3720414817729763E-2</v>
      </c>
      <c r="AX132" s="508">
        <f t="shared" ca="1" si="127"/>
        <v>-3.3720414817729763E-2</v>
      </c>
      <c r="AY132" s="508">
        <f t="shared" ca="1" si="127"/>
        <v>-3.3720414817729763E-2</v>
      </c>
      <c r="AZ132" s="508">
        <f t="shared" ca="1" si="127"/>
        <v>-3.3720414817729763E-2</v>
      </c>
      <c r="BA132" s="508">
        <f t="shared" ca="1" si="127"/>
        <v>-3.3720414817729763E-2</v>
      </c>
      <c r="BB132" s="508">
        <f t="shared" ca="1" si="127"/>
        <v>-3.3720414817729763E-2</v>
      </c>
      <c r="BC132" s="508">
        <f t="shared" ca="1" si="127"/>
        <v>-3.3720414817729763E-2</v>
      </c>
      <c r="BD132" s="508">
        <f t="shared" ca="1" si="127"/>
        <v>-3.3720414817729763E-2</v>
      </c>
      <c r="BE132" s="508">
        <f t="shared" ca="1" si="127"/>
        <v>-3.3720414817729763E-2</v>
      </c>
      <c r="BF132" s="508">
        <f t="shared" ca="1" si="127"/>
        <v>-3.3720414817729763E-2</v>
      </c>
      <c r="BG132" s="508">
        <f t="shared" ca="1" si="127"/>
        <v>-3.3000000000000002E-2</v>
      </c>
      <c r="BH132" s="508">
        <f t="shared" ca="1" si="127"/>
        <v>-3.3000000000000002E-2</v>
      </c>
      <c r="BI132" s="508">
        <f t="shared" ca="1" si="127"/>
        <v>-3.3000000000000002E-2</v>
      </c>
      <c r="BJ132" s="508">
        <f t="shared" ca="1" si="127"/>
        <v>-3.3000000000000002E-2</v>
      </c>
      <c r="BK132" s="508">
        <f t="shared" ca="1" si="127"/>
        <v>-3.3000000000000002E-2</v>
      </c>
      <c r="BL132" s="508">
        <f t="shared" ca="1" si="127"/>
        <v>-3.3000000000000002E-2</v>
      </c>
      <c r="BM132" s="508">
        <f t="shared" ca="1" si="127"/>
        <v>-3.3000000000000002E-2</v>
      </c>
      <c r="BN132" s="508"/>
      <c r="BO132" s="508"/>
      <c r="BP132" s="508">
        <f ca="1">IF($C$4=Year1,-PMT(Lookups!$E$17,25,NPV(Lookups!$E$17,AM132:BK132),0,1),IF($C$4=Year2,-PMT(Lookups!$F$17,25,NPV(Lookups!$F$17,AN132:BL132),0,1),IF($C$4=Year3,-PMT(Lookups!$G$17,25,NPV(Lookups!$G$17,AO132:BM132),0,1),-PMT(Lookups!$G$17,27,NPV(Lookups!$G$17,AM132:BM132),0,1))))</f>
        <v>-3.3127274635909865E-2</v>
      </c>
      <c r="BS132" s="84" t="s">
        <v>237</v>
      </c>
      <c r="BT132" s="51" t="s">
        <v>17</v>
      </c>
    </row>
    <row r="133" spans="1:72" x14ac:dyDescent="0.25">
      <c r="B133" s="243" t="str">
        <f t="shared" si="119"/>
        <v>Low-Income</v>
      </c>
      <c r="C133" s="243" t="str">
        <f t="shared" si="119"/>
        <v>Rates</v>
      </c>
      <c r="D133" s="244" t="str">
        <f t="shared" si="119"/>
        <v>Rates after DSM Scenario</v>
      </c>
      <c r="E133" s="84" t="s">
        <v>197</v>
      </c>
      <c r="F133" s="84" t="s">
        <v>182</v>
      </c>
      <c r="G133" s="506">
        <f ca="1">IFERROR(G119+G125,0)</f>
        <v>0.61981656458813961</v>
      </c>
      <c r="H133" s="506">
        <f t="shared" ref="H133:AG133" ca="1" si="128">IFERROR(H119+H125,0)</f>
        <v>0.61981656458813961</v>
      </c>
      <c r="I133" s="506">
        <f t="shared" ca="1" si="128"/>
        <v>0.61981656458813961</v>
      </c>
      <c r="J133" s="506">
        <f t="shared" ca="1" si="128"/>
        <v>0.61981656458813961</v>
      </c>
      <c r="K133" s="506">
        <f t="shared" ca="1" si="128"/>
        <v>0.61981656458813961</v>
      </c>
      <c r="L133" s="506">
        <f t="shared" ca="1" si="128"/>
        <v>0.61981656458813961</v>
      </c>
      <c r="M133" s="506">
        <f t="shared" ca="1" si="128"/>
        <v>0.61981656458813961</v>
      </c>
      <c r="N133" s="506">
        <f t="shared" ca="1" si="128"/>
        <v>0.61981656458813961</v>
      </c>
      <c r="O133" s="506">
        <f t="shared" ca="1" si="128"/>
        <v>0.61981656458813961</v>
      </c>
      <c r="P133" s="506">
        <f t="shared" ca="1" si="128"/>
        <v>0.61981656458813961</v>
      </c>
      <c r="Q133" s="506">
        <f t="shared" ca="1" si="128"/>
        <v>0.61981656458813961</v>
      </c>
      <c r="R133" s="506">
        <f t="shared" ca="1" si="128"/>
        <v>0.61981656458813961</v>
      </c>
      <c r="S133" s="506">
        <f t="shared" ca="1" si="128"/>
        <v>0.61981656458813961</v>
      </c>
      <c r="T133" s="506">
        <f t="shared" ca="1" si="128"/>
        <v>0.61981656458813961</v>
      </c>
      <c r="U133" s="506">
        <f t="shared" ca="1" si="128"/>
        <v>0.61981656458813961</v>
      </c>
      <c r="V133" s="506">
        <f t="shared" ca="1" si="128"/>
        <v>0.61981656458813961</v>
      </c>
      <c r="W133" s="506">
        <f t="shared" ca="1" si="128"/>
        <v>0.61981656458813961</v>
      </c>
      <c r="X133" s="506">
        <f t="shared" ca="1" si="128"/>
        <v>0.61981656458813961</v>
      </c>
      <c r="Y133" s="506">
        <f t="shared" ca="1" si="128"/>
        <v>0.61981656458813961</v>
      </c>
      <c r="Z133" s="506">
        <f t="shared" ca="1" si="128"/>
        <v>0.61981656458813961</v>
      </c>
      <c r="AA133" s="506">
        <f t="shared" ca="1" si="128"/>
        <v>0.62029999999999996</v>
      </c>
      <c r="AB133" s="506">
        <f t="shared" ca="1" si="128"/>
        <v>0.62029999999999996</v>
      </c>
      <c r="AC133" s="506">
        <f t="shared" ca="1" si="128"/>
        <v>0.62029999999999996</v>
      </c>
      <c r="AD133" s="506">
        <f t="shared" ca="1" si="128"/>
        <v>0.62029999999999996</v>
      </c>
      <c r="AE133" s="506">
        <f t="shared" ca="1" si="128"/>
        <v>0.62029999999999996</v>
      </c>
      <c r="AF133" s="506">
        <f t="shared" ca="1" si="128"/>
        <v>0.62029999999999996</v>
      </c>
      <c r="AG133" s="506">
        <f t="shared" ca="1" si="128"/>
        <v>0.62029999999999996</v>
      </c>
      <c r="AH133" s="509"/>
      <c r="AI133" s="506"/>
      <c r="AJ133" s="509">
        <f ca="1">IF($C$4=Year1,-PMT(Lookups!$E$17,25,NPV(Lookups!$E$17,G133:AE133),0,1),IF($C$4=Year2,-PMT(Lookups!$F$17,25,NPV(Lookups!$F$17,H133:AF133),0,1),IF($C$4=Year3,-PMT(Lookups!$G$17,25,NPV(Lookups!$G$17,I133:AG133),0,1),-PMT(Lookups!$G$17,27,NPV(Lookups!$G$17,G133:AG133),0,1))))</f>
        <v>0.61125458863372883</v>
      </c>
      <c r="AK133" s="507"/>
      <c r="AL133" s="507"/>
      <c r="AM133" s="508">
        <f ca="1">IFERROR(AM119+AM125,0)</f>
        <v>0.61974599470664393</v>
      </c>
      <c r="AN133" s="508">
        <f t="shared" ref="AN133:BM133" ca="1" si="129">IFERROR(AN119+AN125,0)</f>
        <v>0.61974599470664393</v>
      </c>
      <c r="AO133" s="508">
        <f t="shared" ca="1" si="129"/>
        <v>0.61974599470664393</v>
      </c>
      <c r="AP133" s="508">
        <f t="shared" ca="1" si="129"/>
        <v>0.61974599470664393</v>
      </c>
      <c r="AQ133" s="508">
        <f t="shared" ca="1" si="129"/>
        <v>0.61974599470664393</v>
      </c>
      <c r="AR133" s="508">
        <f t="shared" ca="1" si="129"/>
        <v>0.61974599470664393</v>
      </c>
      <c r="AS133" s="508">
        <f t="shared" ca="1" si="129"/>
        <v>0.61974599470664393</v>
      </c>
      <c r="AT133" s="508">
        <f t="shared" ca="1" si="129"/>
        <v>0.61974599470664393</v>
      </c>
      <c r="AU133" s="508">
        <f t="shared" ca="1" si="129"/>
        <v>0.61974599470664393</v>
      </c>
      <c r="AV133" s="508">
        <f t="shared" ca="1" si="129"/>
        <v>0.61974599470664393</v>
      </c>
      <c r="AW133" s="508">
        <f t="shared" ca="1" si="129"/>
        <v>0.61974599470664393</v>
      </c>
      <c r="AX133" s="508">
        <f t="shared" ca="1" si="129"/>
        <v>0.61974599470664393</v>
      </c>
      <c r="AY133" s="508">
        <f t="shared" ca="1" si="129"/>
        <v>0.61974599470664393</v>
      </c>
      <c r="AZ133" s="508">
        <f t="shared" ca="1" si="129"/>
        <v>0.61974599470664393</v>
      </c>
      <c r="BA133" s="508">
        <f t="shared" ca="1" si="129"/>
        <v>0.61974599470664393</v>
      </c>
      <c r="BB133" s="508">
        <f t="shared" ca="1" si="129"/>
        <v>0.61974599470664393</v>
      </c>
      <c r="BC133" s="508">
        <f t="shared" ca="1" si="129"/>
        <v>0.61974599470664393</v>
      </c>
      <c r="BD133" s="508">
        <f t="shared" ca="1" si="129"/>
        <v>0.61974599470664393</v>
      </c>
      <c r="BE133" s="508">
        <f t="shared" ca="1" si="129"/>
        <v>0.61974599470664393</v>
      </c>
      <c r="BF133" s="508">
        <f t="shared" ca="1" si="129"/>
        <v>0.61974599470664393</v>
      </c>
      <c r="BG133" s="508">
        <f t="shared" ca="1" si="129"/>
        <v>0.62029999999999996</v>
      </c>
      <c r="BH133" s="508">
        <f t="shared" ca="1" si="129"/>
        <v>0.62029999999999996</v>
      </c>
      <c r="BI133" s="508">
        <f t="shared" ca="1" si="129"/>
        <v>0.62029999999999996</v>
      </c>
      <c r="BJ133" s="508">
        <f t="shared" ca="1" si="129"/>
        <v>0.62029999999999996</v>
      </c>
      <c r="BK133" s="508">
        <f t="shared" ca="1" si="129"/>
        <v>0.62029999999999996</v>
      </c>
      <c r="BL133" s="508">
        <f t="shared" ca="1" si="129"/>
        <v>0.62029999999999996</v>
      </c>
      <c r="BM133" s="508">
        <f t="shared" ca="1" si="129"/>
        <v>0.62029999999999996</v>
      </c>
      <c r="BN133" s="508"/>
      <c r="BO133" s="508"/>
      <c r="BP133" s="508">
        <f ca="1">IF($C$4=Year1,-PMT(Lookups!$E$17,25,NPV(Lookups!$E$17,AM133:BK133),0,1),IF($C$4=Year2,-PMT(Lookups!$F$17,25,NPV(Lookups!$F$17,AN133:BL133),0,1),IF($C$4=Year3,-PMT(Lookups!$G$17,25,NPV(Lookups!$G$17,AO133:BM133),0,1),-PMT(Lookups!$G$17,27,NPV(Lookups!$G$17,AM133:BM133),0,1))))</f>
        <v>0.61119703708484374</v>
      </c>
      <c r="BS133" s="86" t="s">
        <v>236</v>
      </c>
      <c r="BT133" s="51" t="s">
        <v>17</v>
      </c>
    </row>
    <row r="134" spans="1:72" x14ac:dyDescent="0.25">
      <c r="B134" s="243" t="str">
        <f t="shared" si="119"/>
        <v>Low-Income</v>
      </c>
      <c r="C134" s="243" t="str">
        <f t="shared" si="119"/>
        <v>Rates</v>
      </c>
      <c r="D134" s="244" t="str">
        <f t="shared" si="119"/>
        <v>Rates after DSM Scenario</v>
      </c>
      <c r="E134" s="84" t="s">
        <v>406</v>
      </c>
      <c r="F134" s="84" t="s">
        <v>182</v>
      </c>
      <c r="G134" s="509">
        <f ca="1">G128</f>
        <v>6.4686396991858353E-2</v>
      </c>
      <c r="H134" s="509">
        <f t="shared" ref="H134:AG134" ca="1" si="130">H128</f>
        <v>0</v>
      </c>
      <c r="I134" s="509">
        <f t="shared" ca="1" si="130"/>
        <v>0</v>
      </c>
      <c r="J134" s="509">
        <f t="shared" ca="1" si="130"/>
        <v>0</v>
      </c>
      <c r="K134" s="509">
        <f t="shared" ca="1" si="130"/>
        <v>0</v>
      </c>
      <c r="L134" s="509">
        <f t="shared" ca="1" si="130"/>
        <v>0</v>
      </c>
      <c r="M134" s="509">
        <f t="shared" ca="1" si="130"/>
        <v>0</v>
      </c>
      <c r="N134" s="509">
        <f t="shared" ca="1" si="130"/>
        <v>0</v>
      </c>
      <c r="O134" s="509">
        <f t="shared" ca="1" si="130"/>
        <v>0</v>
      </c>
      <c r="P134" s="509">
        <f t="shared" ca="1" si="130"/>
        <v>0</v>
      </c>
      <c r="Q134" s="509">
        <f t="shared" ca="1" si="130"/>
        <v>0</v>
      </c>
      <c r="R134" s="509">
        <f t="shared" ca="1" si="130"/>
        <v>0</v>
      </c>
      <c r="S134" s="509">
        <f t="shared" ca="1" si="130"/>
        <v>0</v>
      </c>
      <c r="T134" s="509">
        <f t="shared" ca="1" si="130"/>
        <v>0</v>
      </c>
      <c r="U134" s="509">
        <f t="shared" ca="1" si="130"/>
        <v>0</v>
      </c>
      <c r="V134" s="509">
        <f t="shared" ca="1" si="130"/>
        <v>0</v>
      </c>
      <c r="W134" s="509">
        <f t="shared" ca="1" si="130"/>
        <v>0</v>
      </c>
      <c r="X134" s="509">
        <f t="shared" ca="1" si="130"/>
        <v>0</v>
      </c>
      <c r="Y134" s="509">
        <f t="shared" ca="1" si="130"/>
        <v>0</v>
      </c>
      <c r="Z134" s="509">
        <f t="shared" ca="1" si="130"/>
        <v>0</v>
      </c>
      <c r="AA134" s="509">
        <f t="shared" ca="1" si="130"/>
        <v>0</v>
      </c>
      <c r="AB134" s="509">
        <f t="shared" ca="1" si="130"/>
        <v>0</v>
      </c>
      <c r="AC134" s="509">
        <f t="shared" ca="1" si="130"/>
        <v>0</v>
      </c>
      <c r="AD134" s="509">
        <f t="shared" ca="1" si="130"/>
        <v>0</v>
      </c>
      <c r="AE134" s="509">
        <f t="shared" ca="1" si="130"/>
        <v>0</v>
      </c>
      <c r="AF134" s="509">
        <f t="shared" ca="1" si="130"/>
        <v>0</v>
      </c>
      <c r="AG134" s="509">
        <f t="shared" ca="1" si="130"/>
        <v>0</v>
      </c>
      <c r="AH134" s="509"/>
      <c r="AI134" s="509"/>
      <c r="AJ134" s="509">
        <f ca="1">IF($C$4=Year1,-PMT(Lookups!$E$17,25,NPV(Lookups!$E$17,G134:AE134),0,1),IF($C$4=Year2,-PMT(Lookups!$F$17,25,NPV(Lookups!$F$17,H134:AF134),0,1),IF($C$4=Year3,-PMT(Lookups!$G$17,25,NPV(Lookups!$G$17,I134:AG134),0,1),-PMT(Lookups!$G$17,27,NPV(Lookups!$G$17,G134:AG134),0,1))))</f>
        <v>3.0043028435832405E-3</v>
      </c>
      <c r="AK134" s="507"/>
      <c r="AL134" s="507"/>
      <c r="AM134" s="508">
        <f ca="1">AM128</f>
        <v>7.7623676390230018E-2</v>
      </c>
      <c r="AN134" s="508">
        <f t="shared" ref="AN134:BM134" ca="1" si="131">AN128</f>
        <v>0</v>
      </c>
      <c r="AO134" s="508">
        <f t="shared" ca="1" si="131"/>
        <v>0</v>
      </c>
      <c r="AP134" s="508">
        <f t="shared" ca="1" si="131"/>
        <v>0</v>
      </c>
      <c r="AQ134" s="508">
        <f t="shared" ca="1" si="131"/>
        <v>0</v>
      </c>
      <c r="AR134" s="508">
        <f t="shared" ca="1" si="131"/>
        <v>0</v>
      </c>
      <c r="AS134" s="508">
        <f t="shared" ca="1" si="131"/>
        <v>0</v>
      </c>
      <c r="AT134" s="508">
        <f t="shared" ca="1" si="131"/>
        <v>0</v>
      </c>
      <c r="AU134" s="508">
        <f t="shared" ca="1" si="131"/>
        <v>0</v>
      </c>
      <c r="AV134" s="508">
        <f t="shared" ca="1" si="131"/>
        <v>0</v>
      </c>
      <c r="AW134" s="508">
        <f t="shared" ca="1" si="131"/>
        <v>0</v>
      </c>
      <c r="AX134" s="508">
        <f t="shared" ca="1" si="131"/>
        <v>0</v>
      </c>
      <c r="AY134" s="508">
        <f t="shared" ca="1" si="131"/>
        <v>0</v>
      </c>
      <c r="AZ134" s="508">
        <f t="shared" ca="1" si="131"/>
        <v>0</v>
      </c>
      <c r="BA134" s="508">
        <f t="shared" ca="1" si="131"/>
        <v>0</v>
      </c>
      <c r="BB134" s="508">
        <f t="shared" ca="1" si="131"/>
        <v>0</v>
      </c>
      <c r="BC134" s="508">
        <f t="shared" ca="1" si="131"/>
        <v>0</v>
      </c>
      <c r="BD134" s="508">
        <f t="shared" ca="1" si="131"/>
        <v>0</v>
      </c>
      <c r="BE134" s="508">
        <f t="shared" ca="1" si="131"/>
        <v>0</v>
      </c>
      <c r="BF134" s="508">
        <f t="shared" ca="1" si="131"/>
        <v>0</v>
      </c>
      <c r="BG134" s="508">
        <f t="shared" ca="1" si="131"/>
        <v>0</v>
      </c>
      <c r="BH134" s="508">
        <f t="shared" ca="1" si="131"/>
        <v>0</v>
      </c>
      <c r="BI134" s="508">
        <f t="shared" ca="1" si="131"/>
        <v>0</v>
      </c>
      <c r="BJ134" s="508">
        <f t="shared" ca="1" si="131"/>
        <v>0</v>
      </c>
      <c r="BK134" s="508">
        <f t="shared" ca="1" si="131"/>
        <v>0</v>
      </c>
      <c r="BL134" s="508">
        <f t="shared" ca="1" si="131"/>
        <v>0</v>
      </c>
      <c r="BM134" s="508">
        <f t="shared" ca="1" si="131"/>
        <v>0</v>
      </c>
      <c r="BN134" s="508"/>
      <c r="BO134" s="508"/>
      <c r="BP134" s="508">
        <f ca="1">IF($C$4=Year1,-PMT(Lookups!$E$17,25,NPV(Lookups!$E$17,AM134:BK134),0,1),IF($C$4=Year2,-PMT(Lookups!$F$17,25,NPV(Lookups!$F$17,AN134:BL134),0,1),IF($C$4=Year3,-PMT(Lookups!$G$17,25,NPV(Lookups!$G$17,AO134:BM134),0,1),-PMT(Lookups!$G$17,27,NPV(Lookups!$G$17,AM134:BM134),0,1))))</f>
        <v>3.605163412299888E-3</v>
      </c>
      <c r="BS134" s="84" t="s">
        <v>403</v>
      </c>
      <c r="BT134" s="51" t="s">
        <v>17</v>
      </c>
    </row>
    <row r="135" spans="1:72" x14ac:dyDescent="0.25">
      <c r="B135" s="243" t="str">
        <f>B136</f>
        <v>Low-Income</v>
      </c>
      <c r="C135" s="243" t="str">
        <f>C136</f>
        <v>Rates</v>
      </c>
      <c r="D135" s="244" t="str">
        <f>D136</f>
        <v>Rates after DSM Scenario</v>
      </c>
      <c r="E135" s="86" t="s">
        <v>75</v>
      </c>
      <c r="F135" s="84" t="s">
        <v>182</v>
      </c>
      <c r="G135" s="506">
        <f>G120</f>
        <v>9.0952917202036049E-2</v>
      </c>
      <c r="H135" s="506">
        <f t="shared" ref="H135:AG135" si="132">H120</f>
        <v>9.0952917202036049E-2</v>
      </c>
      <c r="I135" s="506">
        <f t="shared" si="132"/>
        <v>9.0952917202036049E-2</v>
      </c>
      <c r="J135" s="506">
        <f t="shared" si="132"/>
        <v>9.0952917202036049E-2</v>
      </c>
      <c r="K135" s="506">
        <f t="shared" si="132"/>
        <v>9.0952917202036049E-2</v>
      </c>
      <c r="L135" s="506">
        <f t="shared" si="132"/>
        <v>9.0952917202036049E-2</v>
      </c>
      <c r="M135" s="506">
        <f t="shared" si="132"/>
        <v>9.0952917202036049E-2</v>
      </c>
      <c r="N135" s="506">
        <f t="shared" si="132"/>
        <v>9.0952917202036049E-2</v>
      </c>
      <c r="O135" s="506">
        <f t="shared" si="132"/>
        <v>9.0952917202036049E-2</v>
      </c>
      <c r="P135" s="506">
        <f t="shared" si="132"/>
        <v>9.0952917202036049E-2</v>
      </c>
      <c r="Q135" s="506">
        <f t="shared" si="132"/>
        <v>9.0952917202036049E-2</v>
      </c>
      <c r="R135" s="506">
        <f t="shared" si="132"/>
        <v>9.0952917202036049E-2</v>
      </c>
      <c r="S135" s="506">
        <f t="shared" si="132"/>
        <v>9.0952917202036049E-2</v>
      </c>
      <c r="T135" s="506">
        <f t="shared" si="132"/>
        <v>9.0952917202036049E-2</v>
      </c>
      <c r="U135" s="506">
        <f t="shared" si="132"/>
        <v>9.0952917202036049E-2</v>
      </c>
      <c r="V135" s="506">
        <f t="shared" si="132"/>
        <v>9.0952917202036049E-2</v>
      </c>
      <c r="W135" s="506">
        <f t="shared" si="132"/>
        <v>9.0952917202036049E-2</v>
      </c>
      <c r="X135" s="506">
        <f t="shared" si="132"/>
        <v>9.0952917202036049E-2</v>
      </c>
      <c r="Y135" s="506">
        <f t="shared" si="132"/>
        <v>9.0952917202036049E-2</v>
      </c>
      <c r="Z135" s="506">
        <f t="shared" si="132"/>
        <v>9.0952917202036049E-2</v>
      </c>
      <c r="AA135" s="506">
        <f t="shared" si="132"/>
        <v>9.0952917202036049E-2</v>
      </c>
      <c r="AB135" s="506">
        <f t="shared" si="132"/>
        <v>9.0952917202036049E-2</v>
      </c>
      <c r="AC135" s="506">
        <f t="shared" si="132"/>
        <v>9.0952917202036049E-2</v>
      </c>
      <c r="AD135" s="506">
        <f t="shared" si="132"/>
        <v>9.0952917202036049E-2</v>
      </c>
      <c r="AE135" s="506">
        <f t="shared" si="132"/>
        <v>9.0952917202036049E-2</v>
      </c>
      <c r="AF135" s="506">
        <f t="shared" si="132"/>
        <v>9.0952917202036049E-2</v>
      </c>
      <c r="AG135" s="506">
        <f t="shared" si="132"/>
        <v>9.0952917202036049E-2</v>
      </c>
      <c r="AH135" s="506"/>
      <c r="AI135" s="506"/>
      <c r="AJ135" s="506">
        <f>IF($C$4=Year1,-PMT(Lookups!$E$17,25,NPV(Lookups!$E$17,G135:AE135),0,1),IF($C$4=Year2,-PMT(Lookups!$F$17,25,NPV(Lookups!$F$17,H135:AF135),0,1),IF($C$4=Year3,-PMT(Lookups!$G$17,25,NPV(Lookups!$G$17,I135:AG135),0,1),-PMT(Lookups!$G$17,27,NPV(Lookups!$G$17,G135:AG135),0,1))))</f>
        <v>8.9684421310792128E-2</v>
      </c>
      <c r="AK135" s="507"/>
      <c r="AL135" s="507"/>
      <c r="AM135" s="508">
        <f>AM120</f>
        <v>9.0952917202036049E-2</v>
      </c>
      <c r="AN135" s="508">
        <f t="shared" ref="AN135:BM135" si="133">AN120</f>
        <v>9.0952917202036049E-2</v>
      </c>
      <c r="AO135" s="508">
        <f t="shared" si="133"/>
        <v>9.0952917202036049E-2</v>
      </c>
      <c r="AP135" s="508">
        <f t="shared" si="133"/>
        <v>9.0952917202036049E-2</v>
      </c>
      <c r="AQ135" s="508">
        <f t="shared" si="133"/>
        <v>9.0952917202036049E-2</v>
      </c>
      <c r="AR135" s="508">
        <f t="shared" si="133"/>
        <v>9.0952917202036049E-2</v>
      </c>
      <c r="AS135" s="508">
        <f t="shared" si="133"/>
        <v>9.0952917202036049E-2</v>
      </c>
      <c r="AT135" s="508">
        <f t="shared" si="133"/>
        <v>9.0952917202036049E-2</v>
      </c>
      <c r="AU135" s="508">
        <f t="shared" si="133"/>
        <v>9.0952917202036049E-2</v>
      </c>
      <c r="AV135" s="508">
        <f t="shared" si="133"/>
        <v>9.0952917202036049E-2</v>
      </c>
      <c r="AW135" s="508">
        <f t="shared" si="133"/>
        <v>9.0952917202036049E-2</v>
      </c>
      <c r="AX135" s="508">
        <f t="shared" si="133"/>
        <v>9.0952917202036049E-2</v>
      </c>
      <c r="AY135" s="508">
        <f t="shared" si="133"/>
        <v>9.0952917202036049E-2</v>
      </c>
      <c r="AZ135" s="508">
        <f t="shared" si="133"/>
        <v>9.0952917202036049E-2</v>
      </c>
      <c r="BA135" s="508">
        <f t="shared" si="133"/>
        <v>9.0952917202036049E-2</v>
      </c>
      <c r="BB135" s="508">
        <f t="shared" si="133"/>
        <v>9.0952917202036049E-2</v>
      </c>
      <c r="BC135" s="508">
        <f t="shared" si="133"/>
        <v>9.0952917202036049E-2</v>
      </c>
      <c r="BD135" s="508">
        <f t="shared" si="133"/>
        <v>9.0952917202036049E-2</v>
      </c>
      <c r="BE135" s="508">
        <f t="shared" si="133"/>
        <v>9.0952917202036049E-2</v>
      </c>
      <c r="BF135" s="508">
        <f t="shared" si="133"/>
        <v>9.0952917202036049E-2</v>
      </c>
      <c r="BG135" s="508">
        <f t="shared" si="133"/>
        <v>9.0952917202036049E-2</v>
      </c>
      <c r="BH135" s="508">
        <f t="shared" si="133"/>
        <v>9.0952917202036049E-2</v>
      </c>
      <c r="BI135" s="508">
        <f t="shared" si="133"/>
        <v>9.0952917202036049E-2</v>
      </c>
      <c r="BJ135" s="508">
        <f t="shared" si="133"/>
        <v>9.0952917202036049E-2</v>
      </c>
      <c r="BK135" s="508">
        <f t="shared" si="133"/>
        <v>9.0952917202036049E-2</v>
      </c>
      <c r="BL135" s="508">
        <f t="shared" si="133"/>
        <v>9.0952917202036049E-2</v>
      </c>
      <c r="BM135" s="508">
        <f t="shared" si="133"/>
        <v>9.0952917202036049E-2</v>
      </c>
      <c r="BN135" s="508"/>
      <c r="BO135" s="508"/>
      <c r="BP135" s="508">
        <f>IF($C$4=Year1,-PMT(Lookups!$E$17,25,NPV(Lookups!$E$17,AM135:BK135),0,1),IF($C$4=Year2,-PMT(Lookups!$F$17,25,NPV(Lookups!$F$17,AN135:BL135),0,1),IF($C$4=Year3,-PMT(Lookups!$G$17,25,NPV(Lookups!$G$17,AO135:BM135),0,1),-PMT(Lookups!$G$17,27,NPV(Lookups!$G$17,AM135:BM135),0,1))))</f>
        <v>8.9684421310792128E-2</v>
      </c>
      <c r="BS135" s="84" t="s">
        <v>171</v>
      </c>
      <c r="BT135" s="51" t="s">
        <v>17</v>
      </c>
    </row>
    <row r="136" spans="1:72" x14ac:dyDescent="0.25">
      <c r="B136" s="243" t="str">
        <f>B134</f>
        <v>Low-Income</v>
      </c>
      <c r="C136" s="243" t="str">
        <f>C134</f>
        <v>Rates</v>
      </c>
      <c r="D136" s="244" t="str">
        <f>D134</f>
        <v>Rates after DSM Scenario</v>
      </c>
      <c r="E136" s="84" t="s">
        <v>76</v>
      </c>
      <c r="F136" s="84" t="s">
        <v>182</v>
      </c>
      <c r="G136" s="506">
        <f ca="1">SUM(G131:G135)</f>
        <v>0.9679684514016722</v>
      </c>
      <c r="H136" s="506">
        <f ca="1">SUM(H131:H135)</f>
        <v>0.90328205440981391</v>
      </c>
      <c r="I136" s="506">
        <f t="shared" ref="I136:AG136" ca="1" si="134">SUM(I131:I135)</f>
        <v>0.90328205440981391</v>
      </c>
      <c r="J136" s="506">
        <f t="shared" ca="1" si="134"/>
        <v>0.90328205440981391</v>
      </c>
      <c r="K136" s="506">
        <f t="shared" ca="1" si="134"/>
        <v>0.90328205440981391</v>
      </c>
      <c r="L136" s="506">
        <f t="shared" ca="1" si="134"/>
        <v>0.90328205440981391</v>
      </c>
      <c r="M136" s="506">
        <f t="shared" ca="1" si="134"/>
        <v>0.90328205440981391</v>
      </c>
      <c r="N136" s="506">
        <f t="shared" ca="1" si="134"/>
        <v>0.90328205440981391</v>
      </c>
      <c r="O136" s="506">
        <f t="shared" ca="1" si="134"/>
        <v>0.90328205440981391</v>
      </c>
      <c r="P136" s="506">
        <f t="shared" ca="1" si="134"/>
        <v>0.90328205440981391</v>
      </c>
      <c r="Q136" s="506">
        <f t="shared" ca="1" si="134"/>
        <v>0.90328205440981391</v>
      </c>
      <c r="R136" s="506">
        <f t="shared" ca="1" si="134"/>
        <v>0.90328205440981391</v>
      </c>
      <c r="S136" s="506">
        <f t="shared" ca="1" si="134"/>
        <v>0.90328205440981391</v>
      </c>
      <c r="T136" s="506">
        <f t="shared" ca="1" si="134"/>
        <v>0.90328205440981391</v>
      </c>
      <c r="U136" s="506">
        <f t="shared" ca="1" si="134"/>
        <v>0.90328205440981391</v>
      </c>
      <c r="V136" s="506">
        <f t="shared" ca="1" si="134"/>
        <v>0.90328205440981391</v>
      </c>
      <c r="W136" s="506">
        <f t="shared" ca="1" si="134"/>
        <v>0.90328205440981391</v>
      </c>
      <c r="X136" s="506">
        <f t="shared" ca="1" si="134"/>
        <v>0.90328205440981391</v>
      </c>
      <c r="Y136" s="506">
        <f t="shared" ca="1" si="134"/>
        <v>0.90328205440981391</v>
      </c>
      <c r="Z136" s="506">
        <f t="shared" ca="1" si="134"/>
        <v>0.90328205440981391</v>
      </c>
      <c r="AA136" s="506">
        <f t="shared" ca="1" si="134"/>
        <v>0.90105291720203595</v>
      </c>
      <c r="AB136" s="506">
        <f t="shared" ca="1" si="134"/>
        <v>0.90105291720203595</v>
      </c>
      <c r="AC136" s="506">
        <f t="shared" ca="1" si="134"/>
        <v>0.90105291720203595</v>
      </c>
      <c r="AD136" s="506">
        <f t="shared" ca="1" si="134"/>
        <v>0.90105291720203595</v>
      </c>
      <c r="AE136" s="506">
        <f t="shared" ca="1" si="134"/>
        <v>0.90105291720203595</v>
      </c>
      <c r="AF136" s="506">
        <f t="shared" ca="1" si="134"/>
        <v>0.90105291720203595</v>
      </c>
      <c r="AG136" s="506">
        <f t="shared" ca="1" si="134"/>
        <v>0.90105291720203595</v>
      </c>
      <c r="AH136" s="506"/>
      <c r="AI136" s="506"/>
      <c r="AJ136" s="506">
        <f ca="1">IF($C$4=Year1,-PMT(Lookups!$E$17,25,NPV(Lookups!$E$17,G136:AE136),0,1),IF($C$4=Year2,-PMT(Lookups!$F$17,25,NPV(Lookups!$F$17,H136:AF136),0,1),IF($C$4=Year3,-PMT(Lookups!$G$17,25,NPV(Lookups!$G$17,I136:AG136),0,1),-PMT(Lookups!$G$17,27,NPV(Lookups!$G$17,G136:AG136),0,1))))</f>
        <v>0.89330839576419929</v>
      </c>
      <c r="AK136" s="507"/>
      <c r="AL136" s="507"/>
      <c r="AM136" s="508">
        <f ca="1">SUM(AM131:AM135)</f>
        <v>0.98123113093568004</v>
      </c>
      <c r="AN136" s="508">
        <f t="shared" ref="AN136:BM136" ca="1" si="135">SUM(AN131:AN135)</f>
        <v>0.90360745454545</v>
      </c>
      <c r="AO136" s="508">
        <f t="shared" ca="1" si="135"/>
        <v>0.90360745454545</v>
      </c>
      <c r="AP136" s="508">
        <f t="shared" ca="1" si="135"/>
        <v>0.90360745454545</v>
      </c>
      <c r="AQ136" s="508">
        <f t="shared" ca="1" si="135"/>
        <v>0.90360745454545</v>
      </c>
      <c r="AR136" s="508">
        <f t="shared" ca="1" si="135"/>
        <v>0.90360745454545</v>
      </c>
      <c r="AS136" s="508">
        <f t="shared" ca="1" si="135"/>
        <v>0.90360745454545</v>
      </c>
      <c r="AT136" s="508">
        <f t="shared" ca="1" si="135"/>
        <v>0.90360745454545</v>
      </c>
      <c r="AU136" s="508">
        <f t="shared" ca="1" si="135"/>
        <v>0.90360745454545</v>
      </c>
      <c r="AV136" s="508">
        <f t="shared" ca="1" si="135"/>
        <v>0.90360745454545</v>
      </c>
      <c r="AW136" s="508">
        <f t="shared" ca="1" si="135"/>
        <v>0.90360745454545</v>
      </c>
      <c r="AX136" s="508">
        <f t="shared" ca="1" si="135"/>
        <v>0.90360745454545</v>
      </c>
      <c r="AY136" s="508">
        <f t="shared" ca="1" si="135"/>
        <v>0.90360745454545</v>
      </c>
      <c r="AZ136" s="508">
        <f t="shared" ca="1" si="135"/>
        <v>0.90360745454545</v>
      </c>
      <c r="BA136" s="508">
        <f t="shared" ca="1" si="135"/>
        <v>0.90360745454545</v>
      </c>
      <c r="BB136" s="508">
        <f t="shared" ca="1" si="135"/>
        <v>0.90360745454545</v>
      </c>
      <c r="BC136" s="508">
        <f t="shared" ca="1" si="135"/>
        <v>0.90360745454545</v>
      </c>
      <c r="BD136" s="508">
        <f t="shared" ca="1" si="135"/>
        <v>0.90360745454545</v>
      </c>
      <c r="BE136" s="508">
        <f t="shared" ca="1" si="135"/>
        <v>0.90360745454545</v>
      </c>
      <c r="BF136" s="508">
        <f t="shared" ca="1" si="135"/>
        <v>0.90360745454545</v>
      </c>
      <c r="BG136" s="508">
        <f t="shared" ca="1" si="135"/>
        <v>0.90105291720203595</v>
      </c>
      <c r="BH136" s="508">
        <f t="shared" ca="1" si="135"/>
        <v>0.90105291720203595</v>
      </c>
      <c r="BI136" s="508">
        <f t="shared" ca="1" si="135"/>
        <v>0.90105291720203595</v>
      </c>
      <c r="BJ136" s="508">
        <f t="shared" ca="1" si="135"/>
        <v>0.90105291720203595</v>
      </c>
      <c r="BK136" s="508">
        <f t="shared" ca="1" si="135"/>
        <v>0.90105291720203595</v>
      </c>
      <c r="BL136" s="508">
        <f t="shared" ca="1" si="135"/>
        <v>0.90105291720203595</v>
      </c>
      <c r="BM136" s="508">
        <f t="shared" ca="1" si="135"/>
        <v>0.90105291720203595</v>
      </c>
      <c r="BN136" s="508"/>
      <c r="BO136" s="508"/>
      <c r="BP136" s="508">
        <f ca="1">IF($C$4=Year1,-PMT(Lookups!$E$17,25,NPV(Lookups!$E$17,AM136:BK136),0,1),IF($C$4=Year2,-PMT(Lookups!$F$17,25,NPV(Lookups!$F$17,AN136:BL136),0,1),IF($C$4=Year3,-PMT(Lookups!$G$17,25,NPV(Lookups!$G$17,AO136:BM136),0,1),-PMT(Lookups!$G$17,27,NPV(Lookups!$G$17,AM136:BM136),0,1))))</f>
        <v>0.89417462849192053</v>
      </c>
      <c r="BS136" s="84" t="s">
        <v>235</v>
      </c>
      <c r="BT136" s="51" t="s">
        <v>17</v>
      </c>
    </row>
    <row r="137" spans="1:72" x14ac:dyDescent="0.25">
      <c r="B137" s="243" t="str">
        <f>B135</f>
        <v>Low-Income</v>
      </c>
      <c r="C137" s="243" t="str">
        <f>C135</f>
        <v>Rates</v>
      </c>
      <c r="D137" s="114" t="s">
        <v>114</v>
      </c>
      <c r="E137" s="84"/>
      <c r="F137" s="84"/>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49"/>
      <c r="AI137" s="109"/>
      <c r="AJ137" s="49"/>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S137" s="84"/>
      <c r="BT137" s="51" t="s">
        <v>17</v>
      </c>
    </row>
    <row r="138" spans="1:72" x14ac:dyDescent="0.25">
      <c r="B138" s="243" t="str">
        <f t="shared" ref="B138:D153" si="136">B137</f>
        <v>Low-Income</v>
      </c>
      <c r="C138" s="243" t="str">
        <f t="shared" si="136"/>
        <v>Rates</v>
      </c>
      <c r="D138" s="244" t="str">
        <f t="shared" si="136"/>
        <v>Change in Rates after DSM Scenario</v>
      </c>
      <c r="E138" s="84" t="s">
        <v>76</v>
      </c>
      <c r="F138" s="84" t="s">
        <v>182</v>
      </c>
      <c r="G138" s="510">
        <f ca="1">G136-G121</f>
        <v>6.6915534199636251E-2</v>
      </c>
      <c r="H138" s="510">
        <f t="shared" ref="H138:AG138" ca="1" si="137">H136-H121</f>
        <v>2.2291372077779537E-3</v>
      </c>
      <c r="I138" s="510">
        <f t="shared" ca="1" si="137"/>
        <v>2.2291372077779537E-3</v>
      </c>
      <c r="J138" s="510">
        <f t="shared" ca="1" si="137"/>
        <v>2.2291372077779537E-3</v>
      </c>
      <c r="K138" s="510">
        <f t="shared" ca="1" si="137"/>
        <v>2.2291372077779537E-3</v>
      </c>
      <c r="L138" s="510">
        <f t="shared" ca="1" si="137"/>
        <v>2.2291372077779537E-3</v>
      </c>
      <c r="M138" s="510">
        <f t="shared" ca="1" si="137"/>
        <v>2.2291372077779537E-3</v>
      </c>
      <c r="N138" s="510">
        <f t="shared" ca="1" si="137"/>
        <v>2.2291372077779537E-3</v>
      </c>
      <c r="O138" s="510">
        <f t="shared" ca="1" si="137"/>
        <v>2.2291372077779537E-3</v>
      </c>
      <c r="P138" s="510">
        <f t="shared" ca="1" si="137"/>
        <v>2.2291372077779537E-3</v>
      </c>
      <c r="Q138" s="510">
        <f t="shared" ca="1" si="137"/>
        <v>2.2291372077779537E-3</v>
      </c>
      <c r="R138" s="510">
        <f t="shared" ca="1" si="137"/>
        <v>2.2291372077779537E-3</v>
      </c>
      <c r="S138" s="510">
        <f t="shared" ca="1" si="137"/>
        <v>2.2291372077779537E-3</v>
      </c>
      <c r="T138" s="510">
        <f t="shared" ca="1" si="137"/>
        <v>2.2291372077779537E-3</v>
      </c>
      <c r="U138" s="510">
        <f t="shared" ca="1" si="137"/>
        <v>2.2291372077779537E-3</v>
      </c>
      <c r="V138" s="510">
        <f t="shared" ca="1" si="137"/>
        <v>2.2291372077779537E-3</v>
      </c>
      <c r="W138" s="510">
        <f t="shared" ca="1" si="137"/>
        <v>2.2291372077779537E-3</v>
      </c>
      <c r="X138" s="510">
        <f t="shared" ca="1" si="137"/>
        <v>2.2291372077779537E-3</v>
      </c>
      <c r="Y138" s="510">
        <f t="shared" ca="1" si="137"/>
        <v>2.2291372077779537E-3</v>
      </c>
      <c r="Z138" s="510">
        <f t="shared" ca="1" si="137"/>
        <v>2.2291372077779537E-3</v>
      </c>
      <c r="AA138" s="510">
        <f t="shared" ca="1" si="137"/>
        <v>0</v>
      </c>
      <c r="AB138" s="510">
        <f t="shared" ca="1" si="137"/>
        <v>0</v>
      </c>
      <c r="AC138" s="510">
        <f t="shared" ca="1" si="137"/>
        <v>0</v>
      </c>
      <c r="AD138" s="510">
        <f t="shared" ca="1" si="137"/>
        <v>0</v>
      </c>
      <c r="AE138" s="510">
        <f t="shared" ca="1" si="137"/>
        <v>0</v>
      </c>
      <c r="AF138" s="510">
        <f t="shared" ca="1" si="137"/>
        <v>0</v>
      </c>
      <c r="AG138" s="510">
        <f t="shared" ca="1" si="137"/>
        <v>0</v>
      </c>
      <c r="AH138" s="510"/>
      <c r="AI138" s="510"/>
      <c r="AJ138" s="510">
        <f ca="1">IF($C$4=Year1,-PMT(Lookups!$E$17,25,NPV(Lookups!$E$17,G138:AE138),0,1),IF($C$4=Year2,-PMT(Lookups!$F$17,25,NPV(Lookups!$F$17,H138:AF138),0,1),IF($C$4=Year3,-PMT(Lookups!$G$17,25,NPV(Lookups!$G$17,I138:AG138),0,1),-PMT(Lookups!$G$17,27,NPV(Lookups!$G$17,G138:AG138),0,1))))</f>
        <v>4.822221426773108E-3</v>
      </c>
      <c r="AK138" s="507"/>
      <c r="AL138" s="507"/>
      <c r="AM138" s="508">
        <f ca="1">AM136-AM121</f>
        <v>8.0178213733644088E-2</v>
      </c>
      <c r="AN138" s="508">
        <f t="shared" ref="AN138:BM138" ca="1" si="138">AN136-AN121</f>
        <v>2.5545373434140428E-3</v>
      </c>
      <c r="AO138" s="508">
        <f t="shared" ca="1" si="138"/>
        <v>2.5545373434140428E-3</v>
      </c>
      <c r="AP138" s="508">
        <f t="shared" ca="1" si="138"/>
        <v>2.5545373434140428E-3</v>
      </c>
      <c r="AQ138" s="508">
        <f t="shared" ca="1" si="138"/>
        <v>2.5545373434140428E-3</v>
      </c>
      <c r="AR138" s="508">
        <f t="shared" ca="1" si="138"/>
        <v>2.5545373434140428E-3</v>
      </c>
      <c r="AS138" s="508">
        <f t="shared" ca="1" si="138"/>
        <v>2.5545373434140428E-3</v>
      </c>
      <c r="AT138" s="508">
        <f t="shared" ca="1" si="138"/>
        <v>2.5545373434140428E-3</v>
      </c>
      <c r="AU138" s="508">
        <f t="shared" ca="1" si="138"/>
        <v>2.5545373434140428E-3</v>
      </c>
      <c r="AV138" s="508">
        <f t="shared" ca="1" si="138"/>
        <v>2.5545373434140428E-3</v>
      </c>
      <c r="AW138" s="508">
        <f t="shared" ca="1" si="138"/>
        <v>2.5545373434140428E-3</v>
      </c>
      <c r="AX138" s="508">
        <f t="shared" ca="1" si="138"/>
        <v>2.5545373434140428E-3</v>
      </c>
      <c r="AY138" s="508">
        <f t="shared" ca="1" si="138"/>
        <v>2.5545373434140428E-3</v>
      </c>
      <c r="AZ138" s="508">
        <f t="shared" ca="1" si="138"/>
        <v>2.5545373434140428E-3</v>
      </c>
      <c r="BA138" s="508">
        <f t="shared" ca="1" si="138"/>
        <v>2.5545373434140428E-3</v>
      </c>
      <c r="BB138" s="508">
        <f t="shared" ca="1" si="138"/>
        <v>2.5545373434140428E-3</v>
      </c>
      <c r="BC138" s="508">
        <f t="shared" ca="1" si="138"/>
        <v>2.5545373434140428E-3</v>
      </c>
      <c r="BD138" s="508">
        <f t="shared" ca="1" si="138"/>
        <v>2.5545373434140428E-3</v>
      </c>
      <c r="BE138" s="508">
        <f t="shared" ca="1" si="138"/>
        <v>2.5545373434140428E-3</v>
      </c>
      <c r="BF138" s="508">
        <f t="shared" ca="1" si="138"/>
        <v>2.5545373434140428E-3</v>
      </c>
      <c r="BG138" s="508">
        <f t="shared" ca="1" si="138"/>
        <v>0</v>
      </c>
      <c r="BH138" s="508">
        <f t="shared" ca="1" si="138"/>
        <v>0</v>
      </c>
      <c r="BI138" s="508">
        <f t="shared" ca="1" si="138"/>
        <v>0</v>
      </c>
      <c r="BJ138" s="508">
        <f t="shared" ca="1" si="138"/>
        <v>0</v>
      </c>
      <c r="BK138" s="508">
        <f t="shared" ca="1" si="138"/>
        <v>0</v>
      </c>
      <c r="BL138" s="508">
        <f t="shared" ca="1" si="138"/>
        <v>0</v>
      </c>
      <c r="BM138" s="508">
        <f t="shared" ca="1" si="138"/>
        <v>0</v>
      </c>
      <c r="BN138" s="508"/>
      <c r="BO138" s="508"/>
      <c r="BP138" s="508">
        <f ca="1">IF($C$4=Year1,-PMT(Lookups!$E$17,25,NPV(Lookups!$E$17,AM138:BK138),0,1),IF($C$4=Year2,-PMT(Lookups!$F$17,25,NPV(Lookups!$F$17,AN138:BL138),0,1),IF($C$4=Year3,-PMT(Lookups!$G$17,25,NPV(Lookups!$G$17,AO138:BM138),0,1),-PMT(Lookups!$G$17,27,NPV(Lookups!$G$17,AM138:BM138),0,1))))</f>
        <v>5.6884541544942845E-3</v>
      </c>
      <c r="BS138" s="84" t="s">
        <v>233</v>
      </c>
      <c r="BT138" s="51" t="s">
        <v>17</v>
      </c>
    </row>
    <row r="139" spans="1:72" x14ac:dyDescent="0.25">
      <c r="B139" s="243" t="str">
        <f t="shared" si="136"/>
        <v>Low-Income</v>
      </c>
      <c r="C139" s="243" t="str">
        <f t="shared" si="136"/>
        <v>Rates</v>
      </c>
      <c r="D139" s="244" t="str">
        <f t="shared" si="136"/>
        <v>Change in Rates after DSM Scenario</v>
      </c>
      <c r="E139" s="84" t="s">
        <v>76</v>
      </c>
      <c r="F139" s="84" t="s">
        <v>16</v>
      </c>
      <c r="G139" s="224">
        <f ca="1">IFERROR(G136/G121-1,0)</f>
        <v>7.4263711844386959E-2</v>
      </c>
      <c r="H139" s="224">
        <f t="shared" ref="H139:AG139" ca="1" si="139">IFERROR(H136/H121-1,0)</f>
        <v>2.4739248552680948E-3</v>
      </c>
      <c r="I139" s="224">
        <f t="shared" ca="1" si="139"/>
        <v>2.4739248552680948E-3</v>
      </c>
      <c r="J139" s="224">
        <f t="shared" ca="1" si="139"/>
        <v>2.4739248552680948E-3</v>
      </c>
      <c r="K139" s="224">
        <f t="shared" ca="1" si="139"/>
        <v>2.4739248552680948E-3</v>
      </c>
      <c r="L139" s="224">
        <f t="shared" ca="1" si="139"/>
        <v>2.4739248552680948E-3</v>
      </c>
      <c r="M139" s="224">
        <f t="shared" ca="1" si="139"/>
        <v>2.4739248552680948E-3</v>
      </c>
      <c r="N139" s="224">
        <f t="shared" ca="1" si="139"/>
        <v>2.4739248552680948E-3</v>
      </c>
      <c r="O139" s="224">
        <f t="shared" ca="1" si="139"/>
        <v>2.4739248552680948E-3</v>
      </c>
      <c r="P139" s="224">
        <f t="shared" ca="1" si="139"/>
        <v>2.4739248552680948E-3</v>
      </c>
      <c r="Q139" s="224">
        <f t="shared" ca="1" si="139"/>
        <v>2.4739248552680948E-3</v>
      </c>
      <c r="R139" s="224">
        <f t="shared" ca="1" si="139"/>
        <v>2.4739248552680948E-3</v>
      </c>
      <c r="S139" s="224">
        <f t="shared" ca="1" si="139"/>
        <v>2.4739248552680948E-3</v>
      </c>
      <c r="T139" s="224">
        <f t="shared" ca="1" si="139"/>
        <v>2.4739248552680948E-3</v>
      </c>
      <c r="U139" s="224">
        <f t="shared" ca="1" si="139"/>
        <v>2.4739248552680948E-3</v>
      </c>
      <c r="V139" s="224">
        <f t="shared" ca="1" si="139"/>
        <v>2.4739248552680948E-3</v>
      </c>
      <c r="W139" s="224">
        <f t="shared" ca="1" si="139"/>
        <v>2.4739248552680948E-3</v>
      </c>
      <c r="X139" s="224">
        <f t="shared" ca="1" si="139"/>
        <v>2.4739248552680948E-3</v>
      </c>
      <c r="Y139" s="224">
        <f t="shared" ca="1" si="139"/>
        <v>2.4739248552680948E-3</v>
      </c>
      <c r="Z139" s="224">
        <f t="shared" ca="1" si="139"/>
        <v>2.4739248552680948E-3</v>
      </c>
      <c r="AA139" s="224">
        <f t="shared" ca="1" si="139"/>
        <v>0</v>
      </c>
      <c r="AB139" s="224">
        <f t="shared" ca="1" si="139"/>
        <v>0</v>
      </c>
      <c r="AC139" s="224">
        <f t="shared" ca="1" si="139"/>
        <v>0</v>
      </c>
      <c r="AD139" s="224">
        <f t="shared" ca="1" si="139"/>
        <v>0</v>
      </c>
      <c r="AE139" s="224">
        <f t="shared" ca="1" si="139"/>
        <v>0</v>
      </c>
      <c r="AF139" s="224">
        <f t="shared" ca="1" si="139"/>
        <v>0</v>
      </c>
      <c r="AG139" s="224">
        <f t="shared" ca="1" si="139"/>
        <v>0</v>
      </c>
      <c r="AH139" s="224"/>
      <c r="AI139" s="224"/>
      <c r="AJ139" s="224">
        <f ca="1">IFERROR(AJ136/AJ121-1,0)</f>
        <v>5.4274580359892077E-3</v>
      </c>
      <c r="AK139" s="212"/>
      <c r="AL139" s="212"/>
      <c r="AM139" s="504">
        <f ca="1">IFERROR(AM136/AM121-1,0)</f>
        <v>8.8982802455836563E-2</v>
      </c>
      <c r="AN139" s="504">
        <f t="shared" ref="AN139:BM139" ca="1" si="140">IFERROR(AN136/AN121-1,0)</f>
        <v>2.8350580688938365E-3</v>
      </c>
      <c r="AO139" s="504">
        <f t="shared" ca="1" si="140"/>
        <v>2.8350580688938365E-3</v>
      </c>
      <c r="AP139" s="504">
        <f t="shared" ca="1" si="140"/>
        <v>2.8350580688938365E-3</v>
      </c>
      <c r="AQ139" s="504">
        <f t="shared" ca="1" si="140"/>
        <v>2.8350580688938365E-3</v>
      </c>
      <c r="AR139" s="504">
        <f t="shared" ca="1" si="140"/>
        <v>2.8350580688938365E-3</v>
      </c>
      <c r="AS139" s="504">
        <f t="shared" ca="1" si="140"/>
        <v>2.8350580688938365E-3</v>
      </c>
      <c r="AT139" s="504">
        <f t="shared" ca="1" si="140"/>
        <v>2.8350580688938365E-3</v>
      </c>
      <c r="AU139" s="504">
        <f t="shared" ca="1" si="140"/>
        <v>2.8350580688938365E-3</v>
      </c>
      <c r="AV139" s="504">
        <f t="shared" ca="1" si="140"/>
        <v>2.8350580688938365E-3</v>
      </c>
      <c r="AW139" s="504">
        <f t="shared" ca="1" si="140"/>
        <v>2.8350580688938365E-3</v>
      </c>
      <c r="AX139" s="504">
        <f t="shared" ca="1" si="140"/>
        <v>2.8350580688938365E-3</v>
      </c>
      <c r="AY139" s="504">
        <f t="shared" ca="1" si="140"/>
        <v>2.8350580688938365E-3</v>
      </c>
      <c r="AZ139" s="504">
        <f t="shared" ca="1" si="140"/>
        <v>2.8350580688938365E-3</v>
      </c>
      <c r="BA139" s="504">
        <f t="shared" ca="1" si="140"/>
        <v>2.8350580688938365E-3</v>
      </c>
      <c r="BB139" s="504">
        <f t="shared" ca="1" si="140"/>
        <v>2.8350580688938365E-3</v>
      </c>
      <c r="BC139" s="504">
        <f t="shared" ca="1" si="140"/>
        <v>2.8350580688938365E-3</v>
      </c>
      <c r="BD139" s="504">
        <f t="shared" ca="1" si="140"/>
        <v>2.8350580688938365E-3</v>
      </c>
      <c r="BE139" s="504">
        <f t="shared" ca="1" si="140"/>
        <v>2.8350580688938365E-3</v>
      </c>
      <c r="BF139" s="504">
        <f t="shared" ca="1" si="140"/>
        <v>2.8350580688938365E-3</v>
      </c>
      <c r="BG139" s="504">
        <f t="shared" ca="1" si="140"/>
        <v>0</v>
      </c>
      <c r="BH139" s="504">
        <f t="shared" ca="1" si="140"/>
        <v>0</v>
      </c>
      <c r="BI139" s="504">
        <f t="shared" ca="1" si="140"/>
        <v>0</v>
      </c>
      <c r="BJ139" s="504">
        <f t="shared" ca="1" si="140"/>
        <v>0</v>
      </c>
      <c r="BK139" s="504">
        <f t="shared" ca="1" si="140"/>
        <v>0</v>
      </c>
      <c r="BL139" s="504">
        <f t="shared" ca="1" si="140"/>
        <v>0</v>
      </c>
      <c r="BM139" s="504">
        <f t="shared" ca="1" si="140"/>
        <v>0</v>
      </c>
      <c r="BN139" s="504"/>
      <c r="BO139" s="504"/>
      <c r="BP139" s="504">
        <f ca="1">IFERROR(BP136/BP121-1,0)</f>
        <v>6.4024115611436283E-3</v>
      </c>
      <c r="BS139" s="84" t="s">
        <v>234</v>
      </c>
      <c r="BT139" s="51" t="s">
        <v>17</v>
      </c>
    </row>
    <row r="140" spans="1:72" x14ac:dyDescent="0.25">
      <c r="B140" s="243" t="str">
        <f t="shared" si="136"/>
        <v>Low-Income</v>
      </c>
      <c r="C140" s="243" t="str">
        <f t="shared" si="136"/>
        <v>Rates</v>
      </c>
      <c r="D140" s="85"/>
      <c r="E140" s="84" t="s">
        <v>17</v>
      </c>
      <c r="F140" s="84"/>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S140" s="84"/>
      <c r="BT140" s="51" t="s">
        <v>17</v>
      </c>
    </row>
    <row r="141" spans="1:72" s="5" customFormat="1" ht="15.75" x14ac:dyDescent="0.25">
      <c r="A141" s="52"/>
      <c r="B141" s="241" t="str">
        <f t="shared" si="136"/>
        <v>Low-Income</v>
      </c>
      <c r="C141" s="63" t="s">
        <v>51</v>
      </c>
      <c r="D141" s="61"/>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2"/>
      <c r="BO141" s="62"/>
      <c r="BP141" s="62"/>
      <c r="BS141" s="62"/>
      <c r="BT141" s="51" t="s">
        <v>17</v>
      </c>
    </row>
    <row r="142" spans="1:72" x14ac:dyDescent="0.25">
      <c r="B142" s="243" t="str">
        <f t="shared" si="136"/>
        <v>Low-Income</v>
      </c>
      <c r="C142" s="243" t="str">
        <f>C141</f>
        <v>Bills</v>
      </c>
      <c r="D142" s="114" t="str">
        <f>"Bills before DSM ("&amp;Lookups!$D$22&amp;" Scenario, Non-Participant)"</f>
        <v>Bills before DSM (No EE Scenario, Non-Participant)</v>
      </c>
      <c r="E142" s="86"/>
      <c r="F142" s="84"/>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149"/>
      <c r="BS142" s="84"/>
      <c r="BT142" s="51" t="s">
        <v>17</v>
      </c>
    </row>
    <row r="143" spans="1:72" x14ac:dyDescent="0.25">
      <c r="B143" s="243" t="str">
        <f t="shared" si="136"/>
        <v>Low-Income</v>
      </c>
      <c r="C143" s="243" t="str">
        <f t="shared" si="136"/>
        <v>Bills</v>
      </c>
      <c r="D143" s="244" t="str">
        <f>D142</f>
        <v>Bills before DSM (No EE Scenario, Non-Participant)</v>
      </c>
      <c r="E143" s="86" t="s">
        <v>75</v>
      </c>
      <c r="F143" s="84" t="s">
        <v>31</v>
      </c>
      <c r="G143" s="659">
        <f>IF(G$8=0,0,INDEX('R&amp;B Inputs'!$H$45:$U$45,MATCH($B143,'R&amp;B Inputs'!$H$4:$U$4,0))*(1+INDEX('R&amp;B Inputs'!$H$46:$U$46,MATCH($B143,'R&amp;B Inputs'!$H$4:$U$4,0)))^(G$7-Year1)*12)</f>
        <v>72.960000000000008</v>
      </c>
      <c r="H143" s="659">
        <f>IF(H$8=0,0,INDEX('R&amp;B Inputs'!$H$45:$U$45,MATCH($B143,'R&amp;B Inputs'!$H$4:$U$4,0))*(1+INDEX('R&amp;B Inputs'!$H$46:$U$46,MATCH($B143,'R&amp;B Inputs'!$H$4:$U$4,0)))^(H$7-Year1)*12)</f>
        <v>72.960000000000008</v>
      </c>
      <c r="I143" s="659">
        <f>IF(I$8=0,0,INDEX('R&amp;B Inputs'!$H$45:$U$45,MATCH($B143,'R&amp;B Inputs'!$H$4:$U$4,0))*(1+INDEX('R&amp;B Inputs'!$H$46:$U$46,MATCH($B143,'R&amp;B Inputs'!$H$4:$U$4,0)))^(I$7-Year1)*12)</f>
        <v>72.960000000000008</v>
      </c>
      <c r="J143" s="659">
        <f>IF(J$8=0,0,INDEX('R&amp;B Inputs'!$H$45:$U$45,MATCH($B143,'R&amp;B Inputs'!$H$4:$U$4,0))*(1+INDEX('R&amp;B Inputs'!$H$46:$U$46,MATCH($B143,'R&amp;B Inputs'!$H$4:$U$4,0)))^(J$7-Year1)*12)</f>
        <v>72.960000000000008</v>
      </c>
      <c r="K143" s="659">
        <f>IF(K$8=0,0,INDEX('R&amp;B Inputs'!$H$45:$U$45,MATCH($B143,'R&amp;B Inputs'!$H$4:$U$4,0))*(1+INDEX('R&amp;B Inputs'!$H$46:$U$46,MATCH($B143,'R&amp;B Inputs'!$H$4:$U$4,0)))^(K$7-Year1)*12)</f>
        <v>72.960000000000008</v>
      </c>
      <c r="L143" s="659">
        <f>IF(L$8=0,0,INDEX('R&amp;B Inputs'!$H$45:$U$45,MATCH($B143,'R&amp;B Inputs'!$H$4:$U$4,0))*(1+INDEX('R&amp;B Inputs'!$H$46:$U$46,MATCH($B143,'R&amp;B Inputs'!$H$4:$U$4,0)))^(L$7-Year1)*12)</f>
        <v>72.960000000000008</v>
      </c>
      <c r="M143" s="659">
        <f>IF(M$8=0,0,INDEX('R&amp;B Inputs'!$H$45:$U$45,MATCH($B143,'R&amp;B Inputs'!$H$4:$U$4,0))*(1+INDEX('R&amp;B Inputs'!$H$46:$U$46,MATCH($B143,'R&amp;B Inputs'!$H$4:$U$4,0)))^(M$7-Year1)*12)</f>
        <v>72.960000000000008</v>
      </c>
      <c r="N143" s="659">
        <f>IF(N$8=0,0,INDEX('R&amp;B Inputs'!$H$45:$U$45,MATCH($B143,'R&amp;B Inputs'!$H$4:$U$4,0))*(1+INDEX('R&amp;B Inputs'!$H$46:$U$46,MATCH($B143,'R&amp;B Inputs'!$H$4:$U$4,0)))^(N$7-Year1)*12)</f>
        <v>72.960000000000008</v>
      </c>
      <c r="O143" s="659">
        <f>IF(O$8=0,0,INDEX('R&amp;B Inputs'!$H$45:$U$45,MATCH($B143,'R&amp;B Inputs'!$H$4:$U$4,0))*(1+INDEX('R&amp;B Inputs'!$H$46:$U$46,MATCH($B143,'R&amp;B Inputs'!$H$4:$U$4,0)))^(O$7-Year1)*12)</f>
        <v>72.960000000000008</v>
      </c>
      <c r="P143" s="659">
        <f>IF(P$8=0,0,INDEX('R&amp;B Inputs'!$H$45:$U$45,MATCH($B143,'R&amp;B Inputs'!$H$4:$U$4,0))*(1+INDEX('R&amp;B Inputs'!$H$46:$U$46,MATCH($B143,'R&amp;B Inputs'!$H$4:$U$4,0)))^(P$7-Year1)*12)</f>
        <v>72.960000000000008</v>
      </c>
      <c r="Q143" s="659">
        <f>IF(Q$8=0,0,INDEX('R&amp;B Inputs'!$H$45:$U$45,MATCH($B143,'R&amp;B Inputs'!$H$4:$U$4,0))*(1+INDEX('R&amp;B Inputs'!$H$46:$U$46,MATCH($B143,'R&amp;B Inputs'!$H$4:$U$4,0)))^(Q$7-Year1)*12)</f>
        <v>72.960000000000008</v>
      </c>
      <c r="R143" s="659">
        <f>IF(R$8=0,0,INDEX('R&amp;B Inputs'!$H$45:$U$45,MATCH($B143,'R&amp;B Inputs'!$H$4:$U$4,0))*(1+INDEX('R&amp;B Inputs'!$H$46:$U$46,MATCH($B143,'R&amp;B Inputs'!$H$4:$U$4,0)))^(R$7-Year1)*12)</f>
        <v>72.960000000000008</v>
      </c>
      <c r="S143" s="659">
        <f>IF(S$8=0,0,INDEX('R&amp;B Inputs'!$H$45:$U$45,MATCH($B143,'R&amp;B Inputs'!$H$4:$U$4,0))*(1+INDEX('R&amp;B Inputs'!$H$46:$U$46,MATCH($B143,'R&amp;B Inputs'!$H$4:$U$4,0)))^(S$7-Year1)*12)</f>
        <v>72.960000000000008</v>
      </c>
      <c r="T143" s="659">
        <f>IF(T$8=0,0,INDEX('R&amp;B Inputs'!$H$45:$U$45,MATCH($B143,'R&amp;B Inputs'!$H$4:$U$4,0))*(1+INDEX('R&amp;B Inputs'!$H$46:$U$46,MATCH($B143,'R&amp;B Inputs'!$H$4:$U$4,0)))^(T$7-Year1)*12)</f>
        <v>72.960000000000008</v>
      </c>
      <c r="U143" s="659">
        <f>IF(U$8=0,0,INDEX('R&amp;B Inputs'!$H$45:$U$45,MATCH($B143,'R&amp;B Inputs'!$H$4:$U$4,0))*(1+INDEX('R&amp;B Inputs'!$H$46:$U$46,MATCH($B143,'R&amp;B Inputs'!$H$4:$U$4,0)))^(U$7-Year1)*12)</f>
        <v>72.960000000000008</v>
      </c>
      <c r="V143" s="659">
        <f>IF(V$8=0,0,INDEX('R&amp;B Inputs'!$H$45:$U$45,MATCH($B143,'R&amp;B Inputs'!$H$4:$U$4,0))*(1+INDEX('R&amp;B Inputs'!$H$46:$U$46,MATCH($B143,'R&amp;B Inputs'!$H$4:$U$4,0)))^(V$7-Year1)*12)</f>
        <v>72.960000000000008</v>
      </c>
      <c r="W143" s="659">
        <f>IF(W$8=0,0,INDEX('R&amp;B Inputs'!$H$45:$U$45,MATCH($B143,'R&amp;B Inputs'!$H$4:$U$4,0))*(1+INDEX('R&amp;B Inputs'!$H$46:$U$46,MATCH($B143,'R&amp;B Inputs'!$H$4:$U$4,0)))^(W$7-Year1)*12)</f>
        <v>72.960000000000008</v>
      </c>
      <c r="X143" s="659">
        <f>IF(X$8=0,0,INDEX('R&amp;B Inputs'!$H$45:$U$45,MATCH($B143,'R&amp;B Inputs'!$H$4:$U$4,0))*(1+INDEX('R&amp;B Inputs'!$H$46:$U$46,MATCH($B143,'R&amp;B Inputs'!$H$4:$U$4,0)))^(X$7-Year1)*12)</f>
        <v>72.960000000000008</v>
      </c>
      <c r="Y143" s="659">
        <f>IF(Y$8=0,0,INDEX('R&amp;B Inputs'!$H$45:$U$45,MATCH($B143,'R&amp;B Inputs'!$H$4:$U$4,0))*(1+INDEX('R&amp;B Inputs'!$H$46:$U$46,MATCH($B143,'R&amp;B Inputs'!$H$4:$U$4,0)))^(Y$7-Year1)*12)</f>
        <v>72.960000000000008</v>
      </c>
      <c r="Z143" s="659">
        <f>IF(Z$8=0,0,INDEX('R&amp;B Inputs'!$H$45:$U$45,MATCH($B143,'R&amp;B Inputs'!$H$4:$U$4,0))*(1+INDEX('R&amp;B Inputs'!$H$46:$U$46,MATCH($B143,'R&amp;B Inputs'!$H$4:$U$4,0)))^(Z$7-Year1)*12)</f>
        <v>72.960000000000008</v>
      </c>
      <c r="AA143" s="659">
        <f>IF(AA$8=0,0,INDEX('R&amp;B Inputs'!$H$45:$U$45,MATCH($B143,'R&amp;B Inputs'!$H$4:$U$4,0))*(1+INDEX('R&amp;B Inputs'!$H$46:$U$46,MATCH($B143,'R&amp;B Inputs'!$H$4:$U$4,0)))^(AA$7-Year1)*12)</f>
        <v>72.960000000000008</v>
      </c>
      <c r="AB143" s="659">
        <f>IF(AB$8=0,0,INDEX('R&amp;B Inputs'!$H$45:$U$45,MATCH($B143,'R&amp;B Inputs'!$H$4:$U$4,0))*(1+INDEX('R&amp;B Inputs'!$H$46:$U$46,MATCH($B143,'R&amp;B Inputs'!$H$4:$U$4,0)))^(AB$7-Year1)*12)</f>
        <v>72.960000000000008</v>
      </c>
      <c r="AC143" s="659">
        <f>IF(AC$8=0,0,INDEX('R&amp;B Inputs'!$H$45:$U$45,MATCH($B143,'R&amp;B Inputs'!$H$4:$U$4,0))*(1+INDEX('R&amp;B Inputs'!$H$46:$U$46,MATCH($B143,'R&amp;B Inputs'!$H$4:$U$4,0)))^(AC$7-Year1)*12)</f>
        <v>72.960000000000008</v>
      </c>
      <c r="AD143" s="659">
        <f>IF(AD$8=0,0,INDEX('R&amp;B Inputs'!$H$45:$U$45,MATCH($B143,'R&amp;B Inputs'!$H$4:$U$4,0))*(1+INDEX('R&amp;B Inputs'!$H$46:$U$46,MATCH($B143,'R&amp;B Inputs'!$H$4:$U$4,0)))^(AD$7-Year1)*12)</f>
        <v>72.960000000000008</v>
      </c>
      <c r="AE143" s="659">
        <f>IF(AE$8=0,0,INDEX('R&amp;B Inputs'!$H$45:$U$45,MATCH($B143,'R&amp;B Inputs'!$H$4:$U$4,0))*(1+INDEX('R&amp;B Inputs'!$H$46:$U$46,MATCH($B143,'R&amp;B Inputs'!$H$4:$U$4,0)))^(AE$7-Year1)*12)</f>
        <v>72.960000000000008</v>
      </c>
      <c r="AF143" s="659">
        <f>IF(AF$8=0,0,INDEX('R&amp;B Inputs'!$H$45:$U$45,MATCH($B143,'R&amp;B Inputs'!$H$4:$U$4,0))*(1+INDEX('R&amp;B Inputs'!$H$46:$U$46,MATCH($B143,'R&amp;B Inputs'!$H$4:$U$4,0)))^(AF$7-Year1)*12)</f>
        <v>72.960000000000008</v>
      </c>
      <c r="AG143" s="659">
        <f>IF(AG$8=0,0,INDEX('R&amp;B Inputs'!$H$45:$U$45,MATCH($B143,'R&amp;B Inputs'!$H$4:$U$4,0))*(1+INDEX('R&amp;B Inputs'!$H$46:$U$46,MATCH($B143,'R&amp;B Inputs'!$H$4:$U$4,0)))^(AG$7-Year1)*12)</f>
        <v>72.960000000000008</v>
      </c>
      <c r="AH143" s="49"/>
      <c r="AI143" s="49"/>
      <c r="AJ143" s="103">
        <f>IF($C$4=Year1,-PMT(Lookups!$E$17,25,NPV(Lookups!$E$17,G143:AE143),0,1),IF($C$4=Year2,-PMT(Lookups!$F$17,25,NPV(Lookups!$F$17,H143:AF143),0,1),IF($C$4=Year3,-PMT(Lookups!$G$17,25,NPV(Lookups!$G$17,I143:AG143),0,1),-PMT(Lookups!$G$17,27,NPV(Lookups!$G$17,G143:AG143),0,1))))</f>
        <v>71.942446489104128</v>
      </c>
      <c r="AM143" s="705">
        <f>IF(AM$8=0,0,INDEX('R&amp;B Inputs'!$H$45:$U$45,MATCH($B143,'R&amp;B Inputs'!$H$4:$U$4,0))*(1+INDEX('R&amp;B Inputs'!$H$46:$U$46,MATCH($B143,'R&amp;B Inputs'!$H$4:$U$4,0)))^(AM$7-Year1)*12)</f>
        <v>72.960000000000008</v>
      </c>
      <c r="AN143" s="705">
        <f>IF(AN$8=0,0,INDEX('R&amp;B Inputs'!$H$45:$U$45,MATCH($B143,'R&amp;B Inputs'!$H$4:$U$4,0))*(1+INDEX('R&amp;B Inputs'!$H$46:$U$46,MATCH($B143,'R&amp;B Inputs'!$H$4:$U$4,0)))^(AN$7-Year1)*12)</f>
        <v>72.960000000000008</v>
      </c>
      <c r="AO143" s="705">
        <f>IF(AO$8=0,0,INDEX('R&amp;B Inputs'!$H$45:$U$45,MATCH($B143,'R&amp;B Inputs'!$H$4:$U$4,0))*(1+INDEX('R&amp;B Inputs'!$H$46:$U$46,MATCH($B143,'R&amp;B Inputs'!$H$4:$U$4,0)))^(AO$7-Year1)*12)</f>
        <v>72.960000000000008</v>
      </c>
      <c r="AP143" s="705">
        <f>IF(AP$8=0,0,INDEX('R&amp;B Inputs'!$H$45:$U$45,MATCH($B143,'R&amp;B Inputs'!$H$4:$U$4,0))*(1+INDEX('R&amp;B Inputs'!$H$46:$U$46,MATCH($B143,'R&amp;B Inputs'!$H$4:$U$4,0)))^(AP$7-Year1)*12)</f>
        <v>72.960000000000008</v>
      </c>
      <c r="AQ143" s="705">
        <f>IF(AQ$8=0,0,INDEX('R&amp;B Inputs'!$H$45:$U$45,MATCH($B143,'R&amp;B Inputs'!$H$4:$U$4,0))*(1+INDEX('R&amp;B Inputs'!$H$46:$U$46,MATCH($B143,'R&amp;B Inputs'!$H$4:$U$4,0)))^(AQ$7-Year1)*12)</f>
        <v>72.960000000000008</v>
      </c>
      <c r="AR143" s="705">
        <f>IF(AR$8=0,0,INDEX('R&amp;B Inputs'!$H$45:$U$45,MATCH($B143,'R&amp;B Inputs'!$H$4:$U$4,0))*(1+INDEX('R&amp;B Inputs'!$H$46:$U$46,MATCH($B143,'R&amp;B Inputs'!$H$4:$U$4,0)))^(AR$7-Year1)*12)</f>
        <v>72.960000000000008</v>
      </c>
      <c r="AS143" s="705">
        <f>IF(AS$8=0,0,INDEX('R&amp;B Inputs'!$H$45:$U$45,MATCH($B143,'R&amp;B Inputs'!$H$4:$U$4,0))*(1+INDEX('R&amp;B Inputs'!$H$46:$U$46,MATCH($B143,'R&amp;B Inputs'!$H$4:$U$4,0)))^(AS$7-Year1)*12)</f>
        <v>72.960000000000008</v>
      </c>
      <c r="AT143" s="705">
        <f>IF(AT$8=0,0,INDEX('R&amp;B Inputs'!$H$45:$U$45,MATCH($B143,'R&amp;B Inputs'!$H$4:$U$4,0))*(1+INDEX('R&amp;B Inputs'!$H$46:$U$46,MATCH($B143,'R&amp;B Inputs'!$H$4:$U$4,0)))^(AT$7-Year1)*12)</f>
        <v>72.960000000000008</v>
      </c>
      <c r="AU143" s="705">
        <f>IF(AU$8=0,0,INDEX('R&amp;B Inputs'!$H$45:$U$45,MATCH($B143,'R&amp;B Inputs'!$H$4:$U$4,0))*(1+INDEX('R&amp;B Inputs'!$H$46:$U$46,MATCH($B143,'R&amp;B Inputs'!$H$4:$U$4,0)))^(AU$7-Year1)*12)</f>
        <v>72.960000000000008</v>
      </c>
      <c r="AV143" s="705">
        <f>IF(AV$8=0,0,INDEX('R&amp;B Inputs'!$H$45:$U$45,MATCH($B143,'R&amp;B Inputs'!$H$4:$U$4,0))*(1+INDEX('R&amp;B Inputs'!$H$46:$U$46,MATCH($B143,'R&amp;B Inputs'!$H$4:$U$4,0)))^(AV$7-Year1)*12)</f>
        <v>72.960000000000008</v>
      </c>
      <c r="AW143" s="705">
        <f>IF(AW$8=0,0,INDEX('R&amp;B Inputs'!$H$45:$U$45,MATCH($B143,'R&amp;B Inputs'!$H$4:$U$4,0))*(1+INDEX('R&amp;B Inputs'!$H$46:$U$46,MATCH($B143,'R&amp;B Inputs'!$H$4:$U$4,0)))^(AW$7-Year1)*12)</f>
        <v>72.960000000000008</v>
      </c>
      <c r="AX143" s="705">
        <f>IF(AX$8=0,0,INDEX('R&amp;B Inputs'!$H$45:$U$45,MATCH($B143,'R&amp;B Inputs'!$H$4:$U$4,0))*(1+INDEX('R&amp;B Inputs'!$H$46:$U$46,MATCH($B143,'R&amp;B Inputs'!$H$4:$U$4,0)))^(AX$7-Year1)*12)</f>
        <v>72.960000000000008</v>
      </c>
      <c r="AY143" s="705">
        <f>IF(AY$8=0,0,INDEX('R&amp;B Inputs'!$H$45:$U$45,MATCH($B143,'R&amp;B Inputs'!$H$4:$U$4,0))*(1+INDEX('R&amp;B Inputs'!$H$46:$U$46,MATCH($B143,'R&amp;B Inputs'!$H$4:$U$4,0)))^(AY$7-Year1)*12)</f>
        <v>72.960000000000008</v>
      </c>
      <c r="AZ143" s="705">
        <f>IF(AZ$8=0,0,INDEX('R&amp;B Inputs'!$H$45:$U$45,MATCH($B143,'R&amp;B Inputs'!$H$4:$U$4,0))*(1+INDEX('R&amp;B Inputs'!$H$46:$U$46,MATCH($B143,'R&amp;B Inputs'!$H$4:$U$4,0)))^(AZ$7-Year1)*12)</f>
        <v>72.960000000000008</v>
      </c>
      <c r="BA143" s="705">
        <f>IF(BA$8=0,0,INDEX('R&amp;B Inputs'!$H$45:$U$45,MATCH($B143,'R&amp;B Inputs'!$H$4:$U$4,0))*(1+INDEX('R&amp;B Inputs'!$H$46:$U$46,MATCH($B143,'R&amp;B Inputs'!$H$4:$U$4,0)))^(BA$7-Year1)*12)</f>
        <v>72.960000000000008</v>
      </c>
      <c r="BB143" s="705">
        <f>IF(BB$8=0,0,INDEX('R&amp;B Inputs'!$H$45:$U$45,MATCH($B143,'R&amp;B Inputs'!$H$4:$U$4,0))*(1+INDEX('R&amp;B Inputs'!$H$46:$U$46,MATCH($B143,'R&amp;B Inputs'!$H$4:$U$4,0)))^(BB$7-Year1)*12)</f>
        <v>72.960000000000008</v>
      </c>
      <c r="BC143" s="705">
        <f>IF(BC$8=0,0,INDEX('R&amp;B Inputs'!$H$45:$U$45,MATCH($B143,'R&amp;B Inputs'!$H$4:$U$4,0))*(1+INDEX('R&amp;B Inputs'!$H$46:$U$46,MATCH($B143,'R&amp;B Inputs'!$H$4:$U$4,0)))^(BC$7-Year1)*12)</f>
        <v>72.960000000000008</v>
      </c>
      <c r="BD143" s="705">
        <f>IF(BD$8=0,0,INDEX('R&amp;B Inputs'!$H$45:$U$45,MATCH($B143,'R&amp;B Inputs'!$H$4:$U$4,0))*(1+INDEX('R&amp;B Inputs'!$H$46:$U$46,MATCH($B143,'R&amp;B Inputs'!$H$4:$U$4,0)))^(BD$7-Year1)*12)</f>
        <v>72.960000000000008</v>
      </c>
      <c r="BE143" s="705">
        <f>IF(BE$8=0,0,INDEX('R&amp;B Inputs'!$H$45:$U$45,MATCH($B143,'R&amp;B Inputs'!$H$4:$U$4,0))*(1+INDEX('R&amp;B Inputs'!$H$46:$U$46,MATCH($B143,'R&amp;B Inputs'!$H$4:$U$4,0)))^(BE$7-Year1)*12)</f>
        <v>72.960000000000008</v>
      </c>
      <c r="BF143" s="705">
        <f>IF(BF$8=0,0,INDEX('R&amp;B Inputs'!$H$45:$U$45,MATCH($B143,'R&amp;B Inputs'!$H$4:$U$4,0))*(1+INDEX('R&amp;B Inputs'!$H$46:$U$46,MATCH($B143,'R&amp;B Inputs'!$H$4:$U$4,0)))^(BF$7-Year1)*12)</f>
        <v>72.960000000000008</v>
      </c>
      <c r="BG143" s="705">
        <f>IF(BG$8=0,0,INDEX('R&amp;B Inputs'!$H$45:$U$45,MATCH($B143,'R&amp;B Inputs'!$H$4:$U$4,0))*(1+INDEX('R&amp;B Inputs'!$H$46:$U$46,MATCH($B143,'R&amp;B Inputs'!$H$4:$U$4,0)))^(BG$7-Year1)*12)</f>
        <v>72.960000000000008</v>
      </c>
      <c r="BH143" s="705">
        <f>IF(BH$8=0,0,INDEX('R&amp;B Inputs'!$H$45:$U$45,MATCH($B143,'R&amp;B Inputs'!$H$4:$U$4,0))*(1+INDEX('R&amp;B Inputs'!$H$46:$U$46,MATCH($B143,'R&amp;B Inputs'!$H$4:$U$4,0)))^(BH$7-Year1)*12)</f>
        <v>72.960000000000008</v>
      </c>
      <c r="BI143" s="705">
        <f>IF(BI$8=0,0,INDEX('R&amp;B Inputs'!$H$45:$U$45,MATCH($B143,'R&amp;B Inputs'!$H$4:$U$4,0))*(1+INDEX('R&amp;B Inputs'!$H$46:$U$46,MATCH($B143,'R&amp;B Inputs'!$H$4:$U$4,0)))^(BI$7-Year1)*12)</f>
        <v>72.960000000000008</v>
      </c>
      <c r="BJ143" s="705">
        <f>IF(BJ$8=0,0,INDEX('R&amp;B Inputs'!$H$45:$U$45,MATCH($B143,'R&amp;B Inputs'!$H$4:$U$4,0))*(1+INDEX('R&amp;B Inputs'!$H$46:$U$46,MATCH($B143,'R&amp;B Inputs'!$H$4:$U$4,0)))^(BJ$7-Year1)*12)</f>
        <v>72.960000000000008</v>
      </c>
      <c r="BK143" s="705">
        <f>IF(BK$8=0,0,INDEX('R&amp;B Inputs'!$H$45:$U$45,MATCH($B143,'R&amp;B Inputs'!$H$4:$U$4,0))*(1+INDEX('R&amp;B Inputs'!$H$46:$U$46,MATCH($B143,'R&amp;B Inputs'!$H$4:$U$4,0)))^(BK$7-Year1)*12)</f>
        <v>72.960000000000008</v>
      </c>
      <c r="BL143" s="705">
        <f>IF(BL$8=0,0,INDEX('R&amp;B Inputs'!$H$45:$U$45,MATCH($B143,'R&amp;B Inputs'!$H$4:$U$4,0))*(1+INDEX('R&amp;B Inputs'!$H$46:$U$46,MATCH($B143,'R&amp;B Inputs'!$H$4:$U$4,0)))^(BL$7-Year1)*12)</f>
        <v>72.960000000000008</v>
      </c>
      <c r="BM143" s="705">
        <f>IF(BM$8=0,0,INDEX('R&amp;B Inputs'!$H$45:$U$45,MATCH($B143,'R&amp;B Inputs'!$H$4:$U$4,0))*(1+INDEX('R&amp;B Inputs'!$H$46:$U$46,MATCH($B143,'R&amp;B Inputs'!$H$4:$U$4,0)))^(BM$7-Year1)*12)</f>
        <v>72.960000000000008</v>
      </c>
      <c r="BN143" s="74"/>
      <c r="BO143" s="74"/>
      <c r="BP143" s="149">
        <f>IF($C$4=Year1,-PMT(Lookups!$E$17,25,NPV(Lookups!$E$17,AM143:BK143),0,1),IF($C$4=Year2,-PMT(Lookups!$F$17,25,NPV(Lookups!$F$17,AN143:BL143),0,1),IF($C$4=Year3,-PMT(Lookups!$G$17,25,NPV(Lookups!$G$17,AO143:BM143),0,1),-PMT(Lookups!$G$17,27,NPV(Lookups!$G$17,AM143:BM143),0,1))))</f>
        <v>71.942446489104128</v>
      </c>
      <c r="BS143" s="84" t="str">
        <f t="shared" ref="BS143" si="141">E143&amp;" charge from the R&amp;B Inputs tab, escalated annually by the growth rate included on the R&amp;B Inputs tab."</f>
        <v>Customer Charge charge from the R&amp;B Inputs tab, escalated annually by the growth rate included on the R&amp;B Inputs tab.</v>
      </c>
      <c r="BT143" s="51" t="s">
        <v>17</v>
      </c>
    </row>
    <row r="144" spans="1:72" x14ac:dyDescent="0.25">
      <c r="B144" s="243" t="str">
        <f t="shared" si="136"/>
        <v>Low-Income</v>
      </c>
      <c r="C144" s="243" t="str">
        <f t="shared" si="136"/>
        <v>Bills</v>
      </c>
      <c r="D144" s="244" t="str">
        <f>D143</f>
        <v>Bills before DSM (No EE Scenario, Non-Participant)</v>
      </c>
      <c r="E144" s="84" t="s">
        <v>309</v>
      </c>
      <c r="F144" s="84" t="s">
        <v>195</v>
      </c>
      <c r="G144" s="64">
        <f>IF(G$8=0,0,INDEX('R&amp;B Inputs'!$I$27:$V$27,MATCH($B144,'R&amp;B Inputs'!$I$4:$V$4,0))+INDEX('R&amp;B Inputs'!$I$28:$V$28,MATCH($B144,'R&amp;B Inputs'!$I$4:$V$4,0)))</f>
        <v>666</v>
      </c>
      <c r="H144" s="64">
        <f>IF(H$8=0,0,INDEX('R&amp;B Inputs'!$I$27:$V$27,MATCH($B144,'R&amp;B Inputs'!$I$4:$V$4,0))+INDEX('R&amp;B Inputs'!$I$28:$V$28,MATCH($B144,'R&amp;B Inputs'!$I$4:$V$4,0)))</f>
        <v>666</v>
      </c>
      <c r="I144" s="64">
        <f>IF(I$8=0,0,INDEX('R&amp;B Inputs'!$I$27:$V$27,MATCH($B144,'R&amp;B Inputs'!$I$4:$V$4,0))+INDEX('R&amp;B Inputs'!$I$28:$V$28,MATCH($B144,'R&amp;B Inputs'!$I$4:$V$4,0)))</f>
        <v>666</v>
      </c>
      <c r="J144" s="64">
        <f>IF(J$8=0,0,INDEX('R&amp;B Inputs'!$I$27:$V$27,MATCH($B144,'R&amp;B Inputs'!$I$4:$V$4,0))+INDEX('R&amp;B Inputs'!$I$28:$V$28,MATCH($B144,'R&amp;B Inputs'!$I$4:$V$4,0)))</f>
        <v>666</v>
      </c>
      <c r="K144" s="64">
        <f>IF(K$8=0,0,INDEX('R&amp;B Inputs'!$I$27:$V$27,MATCH($B144,'R&amp;B Inputs'!$I$4:$V$4,0))+INDEX('R&amp;B Inputs'!$I$28:$V$28,MATCH($B144,'R&amp;B Inputs'!$I$4:$V$4,0)))</f>
        <v>666</v>
      </c>
      <c r="L144" s="64">
        <f>IF(L$8=0,0,INDEX('R&amp;B Inputs'!$I$27:$V$27,MATCH($B144,'R&amp;B Inputs'!$I$4:$V$4,0))+INDEX('R&amp;B Inputs'!$I$28:$V$28,MATCH($B144,'R&amp;B Inputs'!$I$4:$V$4,0)))</f>
        <v>666</v>
      </c>
      <c r="M144" s="64">
        <f>IF(M$8=0,0,INDEX('R&amp;B Inputs'!$I$27:$V$27,MATCH($B144,'R&amp;B Inputs'!$I$4:$V$4,0))+INDEX('R&amp;B Inputs'!$I$28:$V$28,MATCH($B144,'R&amp;B Inputs'!$I$4:$V$4,0)))</f>
        <v>666</v>
      </c>
      <c r="N144" s="64">
        <f>IF(N$8=0,0,INDEX('R&amp;B Inputs'!$I$27:$V$27,MATCH($B144,'R&amp;B Inputs'!$I$4:$V$4,0))+INDEX('R&amp;B Inputs'!$I$28:$V$28,MATCH($B144,'R&amp;B Inputs'!$I$4:$V$4,0)))</f>
        <v>666</v>
      </c>
      <c r="O144" s="64">
        <f>IF(O$8=0,0,INDEX('R&amp;B Inputs'!$I$27:$V$27,MATCH($B144,'R&amp;B Inputs'!$I$4:$V$4,0))+INDEX('R&amp;B Inputs'!$I$28:$V$28,MATCH($B144,'R&amp;B Inputs'!$I$4:$V$4,0)))</f>
        <v>666</v>
      </c>
      <c r="P144" s="64">
        <f>IF(P$8=0,0,INDEX('R&amp;B Inputs'!$I$27:$V$27,MATCH($B144,'R&amp;B Inputs'!$I$4:$V$4,0))+INDEX('R&amp;B Inputs'!$I$28:$V$28,MATCH($B144,'R&amp;B Inputs'!$I$4:$V$4,0)))</f>
        <v>666</v>
      </c>
      <c r="Q144" s="64">
        <f>IF(Q$8=0,0,INDEX('R&amp;B Inputs'!$I$27:$V$27,MATCH($B144,'R&amp;B Inputs'!$I$4:$V$4,0))+INDEX('R&amp;B Inputs'!$I$28:$V$28,MATCH($B144,'R&amp;B Inputs'!$I$4:$V$4,0)))</f>
        <v>666</v>
      </c>
      <c r="R144" s="64">
        <f>IF(R$8=0,0,INDEX('R&amp;B Inputs'!$I$27:$V$27,MATCH($B144,'R&amp;B Inputs'!$I$4:$V$4,0))+INDEX('R&amp;B Inputs'!$I$28:$V$28,MATCH($B144,'R&amp;B Inputs'!$I$4:$V$4,0)))</f>
        <v>666</v>
      </c>
      <c r="S144" s="64">
        <f>IF(S$8=0,0,INDEX('R&amp;B Inputs'!$I$27:$V$27,MATCH($B144,'R&amp;B Inputs'!$I$4:$V$4,0))+INDEX('R&amp;B Inputs'!$I$28:$V$28,MATCH($B144,'R&amp;B Inputs'!$I$4:$V$4,0)))</f>
        <v>666</v>
      </c>
      <c r="T144" s="64">
        <f>IF(T$8=0,0,INDEX('R&amp;B Inputs'!$I$27:$V$27,MATCH($B144,'R&amp;B Inputs'!$I$4:$V$4,0))+INDEX('R&amp;B Inputs'!$I$28:$V$28,MATCH($B144,'R&amp;B Inputs'!$I$4:$V$4,0)))</f>
        <v>666</v>
      </c>
      <c r="U144" s="64">
        <f>IF(U$8=0,0,INDEX('R&amp;B Inputs'!$I$27:$V$27,MATCH($B144,'R&amp;B Inputs'!$I$4:$V$4,0))+INDEX('R&amp;B Inputs'!$I$28:$V$28,MATCH($B144,'R&amp;B Inputs'!$I$4:$V$4,0)))</f>
        <v>666</v>
      </c>
      <c r="V144" s="64">
        <f>IF(V$8=0,0,INDEX('R&amp;B Inputs'!$I$27:$V$27,MATCH($B144,'R&amp;B Inputs'!$I$4:$V$4,0))+INDEX('R&amp;B Inputs'!$I$28:$V$28,MATCH($B144,'R&amp;B Inputs'!$I$4:$V$4,0)))</f>
        <v>666</v>
      </c>
      <c r="W144" s="64">
        <f>IF(W$8=0,0,INDEX('R&amp;B Inputs'!$I$27:$V$27,MATCH($B144,'R&amp;B Inputs'!$I$4:$V$4,0))+INDEX('R&amp;B Inputs'!$I$28:$V$28,MATCH($B144,'R&amp;B Inputs'!$I$4:$V$4,0)))</f>
        <v>666</v>
      </c>
      <c r="X144" s="64">
        <f>IF(X$8=0,0,INDEX('R&amp;B Inputs'!$I$27:$V$27,MATCH($B144,'R&amp;B Inputs'!$I$4:$V$4,0))+INDEX('R&amp;B Inputs'!$I$28:$V$28,MATCH($B144,'R&amp;B Inputs'!$I$4:$V$4,0)))</f>
        <v>666</v>
      </c>
      <c r="Y144" s="64">
        <f>IF(Y$8=0,0,INDEX('R&amp;B Inputs'!$I$27:$V$27,MATCH($B144,'R&amp;B Inputs'!$I$4:$V$4,0))+INDEX('R&amp;B Inputs'!$I$28:$V$28,MATCH($B144,'R&amp;B Inputs'!$I$4:$V$4,0)))</f>
        <v>666</v>
      </c>
      <c r="Z144" s="64">
        <f>IF(Z$8=0,0,INDEX('R&amp;B Inputs'!$I$27:$V$27,MATCH($B144,'R&amp;B Inputs'!$I$4:$V$4,0))+INDEX('R&amp;B Inputs'!$I$28:$V$28,MATCH($B144,'R&amp;B Inputs'!$I$4:$V$4,0)))</f>
        <v>666</v>
      </c>
      <c r="AA144" s="64">
        <f>IF(AA$8=0,0,INDEX('R&amp;B Inputs'!$I$27:$V$27,MATCH($B144,'R&amp;B Inputs'!$I$4:$V$4,0))+INDEX('R&amp;B Inputs'!$I$28:$V$28,MATCH($B144,'R&amp;B Inputs'!$I$4:$V$4,0)))</f>
        <v>666</v>
      </c>
      <c r="AB144" s="64">
        <f>IF(AB$8=0,0,INDEX('R&amp;B Inputs'!$I$27:$V$27,MATCH($B144,'R&amp;B Inputs'!$I$4:$V$4,0))+INDEX('R&amp;B Inputs'!$I$28:$V$28,MATCH($B144,'R&amp;B Inputs'!$I$4:$V$4,0)))</f>
        <v>666</v>
      </c>
      <c r="AC144" s="64">
        <f>IF(AC$8=0,0,INDEX('R&amp;B Inputs'!$I$27:$V$27,MATCH($B144,'R&amp;B Inputs'!$I$4:$V$4,0))+INDEX('R&amp;B Inputs'!$I$28:$V$28,MATCH($B144,'R&amp;B Inputs'!$I$4:$V$4,0)))</f>
        <v>666</v>
      </c>
      <c r="AD144" s="64">
        <f>IF(AD$8=0,0,INDEX('R&amp;B Inputs'!$I$27:$V$27,MATCH($B144,'R&amp;B Inputs'!$I$4:$V$4,0))+INDEX('R&amp;B Inputs'!$I$28:$V$28,MATCH($B144,'R&amp;B Inputs'!$I$4:$V$4,0)))</f>
        <v>666</v>
      </c>
      <c r="AE144" s="64">
        <f>IF(AE$8=0,0,INDEX('R&amp;B Inputs'!$I$27:$V$27,MATCH($B144,'R&amp;B Inputs'!$I$4:$V$4,0))+INDEX('R&amp;B Inputs'!$I$28:$V$28,MATCH($B144,'R&amp;B Inputs'!$I$4:$V$4,0)))</f>
        <v>666</v>
      </c>
      <c r="AF144" s="64">
        <f>IF(AF$8=0,0,INDEX('R&amp;B Inputs'!$I$27:$V$27,MATCH($B144,'R&amp;B Inputs'!$I$4:$V$4,0))+INDEX('R&amp;B Inputs'!$I$28:$V$28,MATCH($B144,'R&amp;B Inputs'!$I$4:$V$4,0)))</f>
        <v>666</v>
      </c>
      <c r="AG144" s="64">
        <f>IF(AG$8=0,0,INDEX('R&amp;B Inputs'!$I$27:$V$27,MATCH($B144,'R&amp;B Inputs'!$I$4:$V$4,0))+INDEX('R&amp;B Inputs'!$I$28:$V$28,MATCH($B144,'R&amp;B Inputs'!$I$4:$V$4,0)))</f>
        <v>666</v>
      </c>
      <c r="AH144" s="64"/>
      <c r="AI144" s="64"/>
      <c r="AJ144" s="103"/>
      <c r="AM144" s="71">
        <f>IF(AM$8=0,0,INDEX('R&amp;B Inputs'!$I$27:$V$27,MATCH($B144,'R&amp;B Inputs'!$I$4:$V$4,0))+INDEX('R&amp;B Inputs'!$I$28:$V$28,MATCH($B144,'R&amp;B Inputs'!$I$4:$V$4,0)))</f>
        <v>666</v>
      </c>
      <c r="AN144" s="71">
        <f>IF(AN$8=0,0,INDEX('R&amp;B Inputs'!$I$27:$V$27,MATCH($B144,'R&amp;B Inputs'!$I$4:$V$4,0))+INDEX('R&amp;B Inputs'!$I$28:$V$28,MATCH($B144,'R&amp;B Inputs'!$I$4:$V$4,0)))</f>
        <v>666</v>
      </c>
      <c r="AO144" s="71">
        <f>IF(AO$8=0,0,INDEX('R&amp;B Inputs'!$I$27:$V$27,MATCH($B144,'R&amp;B Inputs'!$I$4:$V$4,0))+INDEX('R&amp;B Inputs'!$I$28:$V$28,MATCH($B144,'R&amp;B Inputs'!$I$4:$V$4,0)))</f>
        <v>666</v>
      </c>
      <c r="AP144" s="71">
        <f>IF(AP$8=0,0,INDEX('R&amp;B Inputs'!$I$27:$V$27,MATCH($B144,'R&amp;B Inputs'!$I$4:$V$4,0))+INDEX('R&amp;B Inputs'!$I$28:$V$28,MATCH($B144,'R&amp;B Inputs'!$I$4:$V$4,0)))</f>
        <v>666</v>
      </c>
      <c r="AQ144" s="71">
        <f>IF(AQ$8=0,0,INDEX('R&amp;B Inputs'!$I$27:$V$27,MATCH($B144,'R&amp;B Inputs'!$I$4:$V$4,0))+INDEX('R&amp;B Inputs'!$I$28:$V$28,MATCH($B144,'R&amp;B Inputs'!$I$4:$V$4,0)))</f>
        <v>666</v>
      </c>
      <c r="AR144" s="71">
        <f>IF(AR$8=0,0,INDEX('R&amp;B Inputs'!$I$27:$V$27,MATCH($B144,'R&amp;B Inputs'!$I$4:$V$4,0))+INDEX('R&amp;B Inputs'!$I$28:$V$28,MATCH($B144,'R&amp;B Inputs'!$I$4:$V$4,0)))</f>
        <v>666</v>
      </c>
      <c r="AS144" s="71">
        <f>IF(AS$8=0,0,INDEX('R&amp;B Inputs'!$I$27:$V$27,MATCH($B144,'R&amp;B Inputs'!$I$4:$V$4,0))+INDEX('R&amp;B Inputs'!$I$28:$V$28,MATCH($B144,'R&amp;B Inputs'!$I$4:$V$4,0)))</f>
        <v>666</v>
      </c>
      <c r="AT144" s="71">
        <f>IF(AT$8=0,0,INDEX('R&amp;B Inputs'!$I$27:$V$27,MATCH($B144,'R&amp;B Inputs'!$I$4:$V$4,0))+INDEX('R&amp;B Inputs'!$I$28:$V$28,MATCH($B144,'R&amp;B Inputs'!$I$4:$V$4,0)))</f>
        <v>666</v>
      </c>
      <c r="AU144" s="71">
        <f>IF(AU$8=0,0,INDEX('R&amp;B Inputs'!$I$27:$V$27,MATCH($B144,'R&amp;B Inputs'!$I$4:$V$4,0))+INDEX('R&amp;B Inputs'!$I$28:$V$28,MATCH($B144,'R&amp;B Inputs'!$I$4:$V$4,0)))</f>
        <v>666</v>
      </c>
      <c r="AV144" s="71">
        <f>IF(AV$8=0,0,INDEX('R&amp;B Inputs'!$I$27:$V$27,MATCH($B144,'R&amp;B Inputs'!$I$4:$V$4,0))+INDEX('R&amp;B Inputs'!$I$28:$V$28,MATCH($B144,'R&amp;B Inputs'!$I$4:$V$4,0)))</f>
        <v>666</v>
      </c>
      <c r="AW144" s="71">
        <f>IF(AW$8=0,0,INDEX('R&amp;B Inputs'!$I$27:$V$27,MATCH($B144,'R&amp;B Inputs'!$I$4:$V$4,0))+INDEX('R&amp;B Inputs'!$I$28:$V$28,MATCH($B144,'R&amp;B Inputs'!$I$4:$V$4,0)))</f>
        <v>666</v>
      </c>
      <c r="AX144" s="71">
        <f>IF(AX$8=0,0,INDEX('R&amp;B Inputs'!$I$27:$V$27,MATCH($B144,'R&amp;B Inputs'!$I$4:$V$4,0))+INDEX('R&amp;B Inputs'!$I$28:$V$28,MATCH($B144,'R&amp;B Inputs'!$I$4:$V$4,0)))</f>
        <v>666</v>
      </c>
      <c r="AY144" s="71">
        <f>IF(AY$8=0,0,INDEX('R&amp;B Inputs'!$I$27:$V$27,MATCH($B144,'R&amp;B Inputs'!$I$4:$V$4,0))+INDEX('R&amp;B Inputs'!$I$28:$V$28,MATCH($B144,'R&amp;B Inputs'!$I$4:$V$4,0)))</f>
        <v>666</v>
      </c>
      <c r="AZ144" s="71">
        <f>IF(AZ$8=0,0,INDEX('R&amp;B Inputs'!$I$27:$V$27,MATCH($B144,'R&amp;B Inputs'!$I$4:$V$4,0))+INDEX('R&amp;B Inputs'!$I$28:$V$28,MATCH($B144,'R&amp;B Inputs'!$I$4:$V$4,0)))</f>
        <v>666</v>
      </c>
      <c r="BA144" s="71">
        <f>IF(BA$8=0,0,INDEX('R&amp;B Inputs'!$I$27:$V$27,MATCH($B144,'R&amp;B Inputs'!$I$4:$V$4,0))+INDEX('R&amp;B Inputs'!$I$28:$V$28,MATCH($B144,'R&amp;B Inputs'!$I$4:$V$4,0)))</f>
        <v>666</v>
      </c>
      <c r="BB144" s="71">
        <f>IF(BB$8=0,0,INDEX('R&amp;B Inputs'!$I$27:$V$27,MATCH($B144,'R&amp;B Inputs'!$I$4:$V$4,0))+INDEX('R&amp;B Inputs'!$I$28:$V$28,MATCH($B144,'R&amp;B Inputs'!$I$4:$V$4,0)))</f>
        <v>666</v>
      </c>
      <c r="BC144" s="71">
        <f>IF(BC$8=0,0,INDEX('R&amp;B Inputs'!$I$27:$V$27,MATCH($B144,'R&amp;B Inputs'!$I$4:$V$4,0))+INDEX('R&amp;B Inputs'!$I$28:$V$28,MATCH($B144,'R&amp;B Inputs'!$I$4:$V$4,0)))</f>
        <v>666</v>
      </c>
      <c r="BD144" s="71">
        <f>IF(BD$8=0,0,INDEX('R&amp;B Inputs'!$I$27:$V$27,MATCH($B144,'R&amp;B Inputs'!$I$4:$V$4,0))+INDEX('R&amp;B Inputs'!$I$28:$V$28,MATCH($B144,'R&amp;B Inputs'!$I$4:$V$4,0)))</f>
        <v>666</v>
      </c>
      <c r="BE144" s="71">
        <f>IF(BE$8=0,0,INDEX('R&amp;B Inputs'!$I$27:$V$27,MATCH($B144,'R&amp;B Inputs'!$I$4:$V$4,0))+INDEX('R&amp;B Inputs'!$I$28:$V$28,MATCH($B144,'R&amp;B Inputs'!$I$4:$V$4,0)))</f>
        <v>666</v>
      </c>
      <c r="BF144" s="71">
        <f>IF(BF$8=0,0,INDEX('R&amp;B Inputs'!$I$27:$V$27,MATCH($B144,'R&amp;B Inputs'!$I$4:$V$4,0))+INDEX('R&amp;B Inputs'!$I$28:$V$28,MATCH($B144,'R&amp;B Inputs'!$I$4:$V$4,0)))</f>
        <v>666</v>
      </c>
      <c r="BG144" s="71">
        <f>IF(BG$8=0,0,INDEX('R&amp;B Inputs'!$I$27:$V$27,MATCH($B144,'R&amp;B Inputs'!$I$4:$V$4,0))+INDEX('R&amp;B Inputs'!$I$28:$V$28,MATCH($B144,'R&amp;B Inputs'!$I$4:$V$4,0)))</f>
        <v>666</v>
      </c>
      <c r="BH144" s="71">
        <f>IF(BH$8=0,0,INDEX('R&amp;B Inputs'!$I$27:$V$27,MATCH($B144,'R&amp;B Inputs'!$I$4:$V$4,0))+INDEX('R&amp;B Inputs'!$I$28:$V$28,MATCH($B144,'R&amp;B Inputs'!$I$4:$V$4,0)))</f>
        <v>666</v>
      </c>
      <c r="BI144" s="71">
        <f>IF(BI$8=0,0,INDEX('R&amp;B Inputs'!$I$27:$V$27,MATCH($B144,'R&amp;B Inputs'!$I$4:$V$4,0))+INDEX('R&amp;B Inputs'!$I$28:$V$28,MATCH($B144,'R&amp;B Inputs'!$I$4:$V$4,0)))</f>
        <v>666</v>
      </c>
      <c r="BJ144" s="71">
        <f>IF(BJ$8=0,0,INDEX('R&amp;B Inputs'!$I$27:$V$27,MATCH($B144,'R&amp;B Inputs'!$I$4:$V$4,0))+INDEX('R&amp;B Inputs'!$I$28:$V$28,MATCH($B144,'R&amp;B Inputs'!$I$4:$V$4,0)))</f>
        <v>666</v>
      </c>
      <c r="BK144" s="71">
        <f>IF(BK$8=0,0,INDEX('R&amp;B Inputs'!$I$27:$V$27,MATCH($B144,'R&amp;B Inputs'!$I$4:$V$4,0))+INDEX('R&amp;B Inputs'!$I$28:$V$28,MATCH($B144,'R&amp;B Inputs'!$I$4:$V$4,0)))</f>
        <v>666</v>
      </c>
      <c r="BL144" s="71">
        <f>IF(BL$8=0,0,INDEX('R&amp;B Inputs'!$I$27:$V$27,MATCH($B144,'R&amp;B Inputs'!$I$4:$V$4,0))+INDEX('R&amp;B Inputs'!$I$28:$V$28,MATCH($B144,'R&amp;B Inputs'!$I$4:$V$4,0)))</f>
        <v>666</v>
      </c>
      <c r="BM144" s="71">
        <f>IF(BM$8=0,0,INDEX('R&amp;B Inputs'!$I$27:$V$27,MATCH($B144,'R&amp;B Inputs'!$I$4:$V$4,0))+INDEX('R&amp;B Inputs'!$I$28:$V$28,MATCH($B144,'R&amp;B Inputs'!$I$4:$V$4,0)))</f>
        <v>666</v>
      </c>
      <c r="BN144" s="71"/>
      <c r="BO144" s="71"/>
      <c r="BP144" s="149"/>
      <c r="BS144" s="76" t="s">
        <v>96</v>
      </c>
      <c r="BT144" s="51" t="s">
        <v>17</v>
      </c>
    </row>
    <row r="145" spans="1:72" x14ac:dyDescent="0.25">
      <c r="B145" s="243" t="str">
        <f t="shared" si="136"/>
        <v>Low-Income</v>
      </c>
      <c r="C145" s="243" t="str">
        <f t="shared" si="136"/>
        <v>Bills</v>
      </c>
      <c r="D145" s="244" t="str">
        <f>D144</f>
        <v>Bills before DSM (No EE Scenario, Non-Participant)</v>
      </c>
      <c r="E145" s="84" t="s">
        <v>77</v>
      </c>
      <c r="F145" s="84" t="s">
        <v>32</v>
      </c>
      <c r="G145" s="103">
        <f>G143+G144*(G121-G120)</f>
        <v>612.48659999999995</v>
      </c>
      <c r="H145" s="103">
        <f>H143+H144*(H121-H120)</f>
        <v>612.48659999999995</v>
      </c>
      <c r="I145" s="103">
        <f t="shared" ref="I145:AG145" si="142">I143+I144*(I121-I120)</f>
        <v>612.48659999999995</v>
      </c>
      <c r="J145" s="103">
        <f t="shared" si="142"/>
        <v>612.48659999999995</v>
      </c>
      <c r="K145" s="103">
        <f t="shared" si="142"/>
        <v>612.48659999999995</v>
      </c>
      <c r="L145" s="103">
        <f t="shared" si="142"/>
        <v>612.48659999999995</v>
      </c>
      <c r="M145" s="103">
        <f t="shared" si="142"/>
        <v>612.48659999999995</v>
      </c>
      <c r="N145" s="103">
        <f t="shared" si="142"/>
        <v>612.48659999999995</v>
      </c>
      <c r="O145" s="103">
        <f t="shared" si="142"/>
        <v>612.48659999999995</v>
      </c>
      <c r="P145" s="103">
        <f t="shared" si="142"/>
        <v>612.48659999999995</v>
      </c>
      <c r="Q145" s="103">
        <f t="shared" si="142"/>
        <v>612.48659999999995</v>
      </c>
      <c r="R145" s="103">
        <f t="shared" si="142"/>
        <v>612.48659999999995</v>
      </c>
      <c r="S145" s="103">
        <f t="shared" si="142"/>
        <v>612.48659999999995</v>
      </c>
      <c r="T145" s="103">
        <f t="shared" si="142"/>
        <v>612.48659999999995</v>
      </c>
      <c r="U145" s="103">
        <f t="shared" si="142"/>
        <v>612.48659999999995</v>
      </c>
      <c r="V145" s="103">
        <f t="shared" si="142"/>
        <v>612.48659999999995</v>
      </c>
      <c r="W145" s="103">
        <f t="shared" si="142"/>
        <v>612.48659999999995</v>
      </c>
      <c r="X145" s="103">
        <f t="shared" si="142"/>
        <v>612.48659999999995</v>
      </c>
      <c r="Y145" s="103">
        <f t="shared" si="142"/>
        <v>612.48659999999995</v>
      </c>
      <c r="Z145" s="103">
        <f t="shared" si="142"/>
        <v>612.48659999999995</v>
      </c>
      <c r="AA145" s="103">
        <f t="shared" si="142"/>
        <v>612.48659999999995</v>
      </c>
      <c r="AB145" s="103">
        <f t="shared" si="142"/>
        <v>612.48659999999995</v>
      </c>
      <c r="AC145" s="103">
        <f t="shared" si="142"/>
        <v>612.48659999999995</v>
      </c>
      <c r="AD145" s="103">
        <f t="shared" si="142"/>
        <v>612.48659999999995</v>
      </c>
      <c r="AE145" s="103">
        <f t="shared" si="142"/>
        <v>612.48659999999995</v>
      </c>
      <c r="AF145" s="103">
        <f t="shared" si="142"/>
        <v>612.48659999999995</v>
      </c>
      <c r="AG145" s="103">
        <f t="shared" si="142"/>
        <v>612.48659999999995</v>
      </c>
      <c r="AH145" s="103"/>
      <c r="AI145" s="103"/>
      <c r="AJ145" s="103">
        <f>IF($C$4=Year1,-PMT(Lookups!$E$17,25,NPV(Lookups!$E$17,G145:AE145),0,1),IF($C$4=Year2,-PMT(Lookups!$F$17,25,NPV(Lookups!$F$17,H145:AF145),0,1),IF($C$4=Year3,-PMT(Lookups!$G$17,25,NPV(Lookups!$G$17,I145:AG145),0,1),-PMT(Lookups!$G$17,27,NPV(Lookups!$G$17,G145:AG145),0,1))))</f>
        <v>603.94441400484254</v>
      </c>
      <c r="AM145" s="149">
        <f>AM143+AM144*(AM121-AM120)</f>
        <v>612.48659999999995</v>
      </c>
      <c r="AN145" s="149">
        <f t="shared" ref="AN145:BM145" si="143">AN143+AN144*(AN121-AN120)</f>
        <v>612.48659999999995</v>
      </c>
      <c r="AO145" s="149">
        <f t="shared" si="143"/>
        <v>612.48659999999995</v>
      </c>
      <c r="AP145" s="149">
        <f t="shared" si="143"/>
        <v>612.48659999999995</v>
      </c>
      <c r="AQ145" s="149">
        <f t="shared" si="143"/>
        <v>612.48659999999995</v>
      </c>
      <c r="AR145" s="149">
        <f t="shared" si="143"/>
        <v>612.48659999999995</v>
      </c>
      <c r="AS145" s="149">
        <f t="shared" si="143"/>
        <v>612.48659999999995</v>
      </c>
      <c r="AT145" s="149">
        <f t="shared" si="143"/>
        <v>612.48659999999995</v>
      </c>
      <c r="AU145" s="149">
        <f t="shared" si="143"/>
        <v>612.48659999999995</v>
      </c>
      <c r="AV145" s="149">
        <f t="shared" si="143"/>
        <v>612.48659999999995</v>
      </c>
      <c r="AW145" s="149">
        <f t="shared" si="143"/>
        <v>612.48659999999995</v>
      </c>
      <c r="AX145" s="149">
        <f t="shared" si="143"/>
        <v>612.48659999999995</v>
      </c>
      <c r="AY145" s="149">
        <f t="shared" si="143"/>
        <v>612.48659999999995</v>
      </c>
      <c r="AZ145" s="149">
        <f t="shared" si="143"/>
        <v>612.48659999999995</v>
      </c>
      <c r="BA145" s="149">
        <f t="shared" si="143"/>
        <v>612.48659999999995</v>
      </c>
      <c r="BB145" s="149">
        <f t="shared" si="143"/>
        <v>612.48659999999995</v>
      </c>
      <c r="BC145" s="149">
        <f t="shared" si="143"/>
        <v>612.48659999999995</v>
      </c>
      <c r="BD145" s="149">
        <f t="shared" si="143"/>
        <v>612.48659999999995</v>
      </c>
      <c r="BE145" s="149">
        <f t="shared" si="143"/>
        <v>612.48659999999995</v>
      </c>
      <c r="BF145" s="149">
        <f t="shared" si="143"/>
        <v>612.48659999999995</v>
      </c>
      <c r="BG145" s="149">
        <f t="shared" si="143"/>
        <v>612.48659999999995</v>
      </c>
      <c r="BH145" s="149">
        <f t="shared" si="143"/>
        <v>612.48659999999995</v>
      </c>
      <c r="BI145" s="149">
        <f t="shared" si="143"/>
        <v>612.48659999999995</v>
      </c>
      <c r="BJ145" s="149">
        <f t="shared" si="143"/>
        <v>612.48659999999995</v>
      </c>
      <c r="BK145" s="149">
        <f t="shared" si="143"/>
        <v>612.48659999999995</v>
      </c>
      <c r="BL145" s="149">
        <f t="shared" si="143"/>
        <v>612.48659999999995</v>
      </c>
      <c r="BM145" s="149">
        <f t="shared" si="143"/>
        <v>612.48659999999995</v>
      </c>
      <c r="BN145" s="149"/>
      <c r="BO145" s="149"/>
      <c r="BP145" s="149">
        <f>IF($C$4=Year1,-PMT(Lookups!$E$17,25,NPV(Lookups!$E$17,AM145:BK145),0,1),IF($C$4=Year2,-PMT(Lookups!$F$17,25,NPV(Lookups!$F$17,AN145:BL145),0,1),IF($C$4=Year3,-PMT(Lookups!$G$17,25,NPV(Lookups!$G$17,AO145:BM145),0,1),-PMT(Lookups!$G$17,27,NPV(Lookups!$G$17,AM145:BM145),0,1))))</f>
        <v>603.94441400484254</v>
      </c>
      <c r="BS145" s="84" t="s">
        <v>97</v>
      </c>
      <c r="BT145" s="51" t="s">
        <v>17</v>
      </c>
    </row>
    <row r="146" spans="1:72" x14ac:dyDescent="0.25">
      <c r="B146" s="243" t="str">
        <f t="shared" si="136"/>
        <v>Low-Income</v>
      </c>
      <c r="C146" s="243" t="str">
        <f t="shared" si="136"/>
        <v>Bills</v>
      </c>
      <c r="D146" s="114" t="s">
        <v>347</v>
      </c>
      <c r="E146" s="84"/>
      <c r="F146" s="84"/>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S146" s="84"/>
      <c r="BT146" s="51" t="s">
        <v>17</v>
      </c>
    </row>
    <row r="147" spans="1:72" x14ac:dyDescent="0.25">
      <c r="B147" s="243" t="str">
        <f t="shared" si="136"/>
        <v>Low-Income</v>
      </c>
      <c r="C147" s="243" t="str">
        <f t="shared" si="136"/>
        <v>Bills</v>
      </c>
      <c r="D147" s="244" t="str">
        <f>D146</f>
        <v>Annual Savings from DSM Scenario</v>
      </c>
      <c r="E147" s="84" t="s">
        <v>78</v>
      </c>
      <c r="F147" s="84" t="s">
        <v>195</v>
      </c>
      <c r="G147" s="65">
        <f t="shared" ref="G147:AG147" ca="1" si="144">IFERROR(G95/G90,0)</f>
        <v>14.995673420430562</v>
      </c>
      <c r="H147" s="65">
        <f t="shared" ca="1" si="144"/>
        <v>14.995673420430562</v>
      </c>
      <c r="I147" s="65">
        <f t="shared" ca="1" si="144"/>
        <v>14.995673420430562</v>
      </c>
      <c r="J147" s="65">
        <f t="shared" ca="1" si="144"/>
        <v>14.995673420430562</v>
      </c>
      <c r="K147" s="65">
        <f t="shared" ca="1" si="144"/>
        <v>14.995673420430562</v>
      </c>
      <c r="L147" s="65">
        <f t="shared" ca="1" si="144"/>
        <v>14.995673420430562</v>
      </c>
      <c r="M147" s="65">
        <f t="shared" ca="1" si="144"/>
        <v>14.995673420430562</v>
      </c>
      <c r="N147" s="65">
        <f t="shared" ca="1" si="144"/>
        <v>14.995673420430562</v>
      </c>
      <c r="O147" s="65">
        <f t="shared" ca="1" si="144"/>
        <v>14.995673420430562</v>
      </c>
      <c r="P147" s="65">
        <f t="shared" ca="1" si="144"/>
        <v>14.995673420430562</v>
      </c>
      <c r="Q147" s="65">
        <f t="shared" ca="1" si="144"/>
        <v>14.995673420430562</v>
      </c>
      <c r="R147" s="65">
        <f t="shared" ca="1" si="144"/>
        <v>14.995673420430562</v>
      </c>
      <c r="S147" s="65">
        <f t="shared" ca="1" si="144"/>
        <v>14.995673420430562</v>
      </c>
      <c r="T147" s="65">
        <f t="shared" ca="1" si="144"/>
        <v>14.995673420430562</v>
      </c>
      <c r="U147" s="65">
        <f t="shared" ca="1" si="144"/>
        <v>14.995673420430562</v>
      </c>
      <c r="V147" s="65">
        <f t="shared" ca="1" si="144"/>
        <v>14.995673420430562</v>
      </c>
      <c r="W147" s="65">
        <f t="shared" ca="1" si="144"/>
        <v>14.995673420430562</v>
      </c>
      <c r="X147" s="65">
        <f t="shared" ca="1" si="144"/>
        <v>14.995673420430562</v>
      </c>
      <c r="Y147" s="65">
        <f t="shared" ca="1" si="144"/>
        <v>14.995673420430562</v>
      </c>
      <c r="Z147" s="65">
        <f t="shared" ca="1" si="144"/>
        <v>14.995673420430562</v>
      </c>
      <c r="AA147" s="65">
        <f t="shared" ca="1" si="144"/>
        <v>0</v>
      </c>
      <c r="AB147" s="65">
        <f t="shared" ca="1" si="144"/>
        <v>0</v>
      </c>
      <c r="AC147" s="65">
        <f t="shared" ca="1" si="144"/>
        <v>0</v>
      </c>
      <c r="AD147" s="65">
        <f t="shared" ca="1" si="144"/>
        <v>0</v>
      </c>
      <c r="AE147" s="65">
        <f t="shared" ca="1" si="144"/>
        <v>0</v>
      </c>
      <c r="AF147" s="65">
        <f t="shared" ca="1" si="144"/>
        <v>0</v>
      </c>
      <c r="AG147" s="65">
        <f t="shared" ca="1" si="144"/>
        <v>0</v>
      </c>
      <c r="AH147" s="65"/>
      <c r="AI147" s="65"/>
      <c r="AJ147" s="65"/>
      <c r="AM147" s="645">
        <f ca="1">IFERROR(AM95/AM90,0)</f>
        <v>17.137912480492073</v>
      </c>
      <c r="AN147" s="645">
        <f t="shared" ref="AN147:BM147" ca="1" si="145">IFERROR(AN95/AN90,0)</f>
        <v>17.137912480492073</v>
      </c>
      <c r="AO147" s="645">
        <f t="shared" ca="1" si="145"/>
        <v>17.137912480492073</v>
      </c>
      <c r="AP147" s="645">
        <f t="shared" ca="1" si="145"/>
        <v>17.137912480492073</v>
      </c>
      <c r="AQ147" s="645">
        <f t="shared" ca="1" si="145"/>
        <v>17.137912480492073</v>
      </c>
      <c r="AR147" s="645">
        <f t="shared" ca="1" si="145"/>
        <v>17.137912480492073</v>
      </c>
      <c r="AS147" s="645">
        <f t="shared" ca="1" si="145"/>
        <v>17.137912480492073</v>
      </c>
      <c r="AT147" s="645">
        <f t="shared" ca="1" si="145"/>
        <v>17.137912480492073</v>
      </c>
      <c r="AU147" s="645">
        <f t="shared" ca="1" si="145"/>
        <v>17.137912480492073</v>
      </c>
      <c r="AV147" s="645">
        <f t="shared" ca="1" si="145"/>
        <v>17.137912480492073</v>
      </c>
      <c r="AW147" s="645">
        <f t="shared" ca="1" si="145"/>
        <v>17.137912480492073</v>
      </c>
      <c r="AX147" s="645">
        <f t="shared" ca="1" si="145"/>
        <v>17.137912480492073</v>
      </c>
      <c r="AY147" s="645">
        <f t="shared" ca="1" si="145"/>
        <v>17.137912480492073</v>
      </c>
      <c r="AZ147" s="645">
        <f t="shared" ca="1" si="145"/>
        <v>17.137912480492073</v>
      </c>
      <c r="BA147" s="645">
        <f t="shared" ca="1" si="145"/>
        <v>17.137912480492073</v>
      </c>
      <c r="BB147" s="645">
        <f t="shared" ca="1" si="145"/>
        <v>17.137912480492073</v>
      </c>
      <c r="BC147" s="645">
        <f t="shared" ca="1" si="145"/>
        <v>17.137912480492073</v>
      </c>
      <c r="BD147" s="645">
        <f t="shared" ca="1" si="145"/>
        <v>17.137912480492073</v>
      </c>
      <c r="BE147" s="645">
        <f t="shared" ca="1" si="145"/>
        <v>17.137912480492073</v>
      </c>
      <c r="BF147" s="645">
        <f t="shared" ca="1" si="145"/>
        <v>17.137912480492073</v>
      </c>
      <c r="BG147" s="645">
        <f t="shared" ca="1" si="145"/>
        <v>0</v>
      </c>
      <c r="BH147" s="645">
        <f t="shared" ca="1" si="145"/>
        <v>0</v>
      </c>
      <c r="BI147" s="645">
        <f t="shared" ca="1" si="145"/>
        <v>0</v>
      </c>
      <c r="BJ147" s="645">
        <f t="shared" ca="1" si="145"/>
        <v>0</v>
      </c>
      <c r="BK147" s="645">
        <f t="shared" ca="1" si="145"/>
        <v>0</v>
      </c>
      <c r="BL147" s="645">
        <f t="shared" ca="1" si="145"/>
        <v>0</v>
      </c>
      <c r="BM147" s="645">
        <f t="shared" ca="1" si="145"/>
        <v>0</v>
      </c>
      <c r="BN147" s="71"/>
      <c r="BO147" s="71"/>
      <c r="BP147" s="71"/>
      <c r="BS147" s="84" t="s">
        <v>104</v>
      </c>
      <c r="BT147" s="51" t="s">
        <v>17</v>
      </c>
    </row>
    <row r="148" spans="1:72" x14ac:dyDescent="0.25">
      <c r="A148" s="246"/>
      <c r="B148" s="243" t="str">
        <f t="shared" si="136"/>
        <v>Low-Income</v>
      </c>
      <c r="C148" s="243" t="str">
        <f t="shared" si="136"/>
        <v>Bills</v>
      </c>
      <c r="D148" s="244" t="str">
        <f>D147</f>
        <v>Annual Savings from DSM Scenario</v>
      </c>
      <c r="E148" s="84" t="str">
        <f>'EE Inputs'!$N$15&amp;" Participant"</f>
        <v>Low Savings Participant</v>
      </c>
      <c r="F148" s="84" t="s">
        <v>195</v>
      </c>
      <c r="G148" s="64" cm="1">
        <f t="array" aca="1" ref="G148" ca="1">IF($C$4=Lookups!$D$40,INDIRECT("'Yr1'!"&amp;ADDRESS(ROW(G148),COLUMN(G148))),
IF(G91=0,0,SUMIFS('EE Inputs'!$S$9:$S$32,'EE Inputs'!$C$9:$C$32,$G$6,'EE Inputs'!$D$9:$D$32,$C$4,'EE Inputs'!$E$9:$E$32,$B148)))</f>
        <v>6.66</v>
      </c>
      <c r="H148" s="64" cm="1">
        <f t="array" aca="1" ref="H148" ca="1">IF($C$4=Lookups!$D$40,INDIRECT("'Yr1'!"&amp;ADDRESS(ROW(H148),COLUMN(H148))),
IF(H91=0,0,SUMIFS('EE Inputs'!$S$9:$S$32,'EE Inputs'!$C$9:$C$32,$G$6,'EE Inputs'!$D$9:$D$32,$C$4,'EE Inputs'!$E$9:$E$32,$B148)))</f>
        <v>6.66</v>
      </c>
      <c r="I148" s="64" cm="1">
        <f t="array" aca="1" ref="I148" ca="1">IF($C$4=Lookups!$D$40,INDIRECT("'Yr1'!"&amp;ADDRESS(ROW(I148),COLUMN(I148))),
IF(I91=0,0,SUMIFS('EE Inputs'!$S$9:$S$32,'EE Inputs'!$C$9:$C$32,$G$6,'EE Inputs'!$D$9:$D$32,$C$4,'EE Inputs'!$E$9:$E$32,$B148)))</f>
        <v>6.66</v>
      </c>
      <c r="J148" s="64" cm="1">
        <f t="array" aca="1" ref="J148" ca="1">IF($C$4=Lookups!$D$40,INDIRECT("'Yr1'!"&amp;ADDRESS(ROW(J148),COLUMN(J148))),
IF(J91=0,0,SUMIFS('EE Inputs'!$S$9:$S$32,'EE Inputs'!$C$9:$C$32,$G$6,'EE Inputs'!$D$9:$D$32,$C$4,'EE Inputs'!$E$9:$E$32,$B148)))</f>
        <v>6.66</v>
      </c>
      <c r="K148" s="64" cm="1">
        <f t="array" aca="1" ref="K148" ca="1">IF($C$4=Lookups!$D$40,INDIRECT("'Yr1'!"&amp;ADDRESS(ROW(K148),COLUMN(K148))),
IF(K91=0,0,SUMIFS('EE Inputs'!$S$9:$S$32,'EE Inputs'!$C$9:$C$32,$G$6,'EE Inputs'!$D$9:$D$32,$C$4,'EE Inputs'!$E$9:$E$32,$B148)))</f>
        <v>6.66</v>
      </c>
      <c r="L148" s="64" cm="1">
        <f t="array" aca="1" ref="L148" ca="1">IF($C$4=Lookups!$D$40,INDIRECT("'Yr1'!"&amp;ADDRESS(ROW(L148),COLUMN(L148))),
IF(L91=0,0,SUMIFS('EE Inputs'!$S$9:$S$32,'EE Inputs'!$C$9:$C$32,$G$6,'EE Inputs'!$D$9:$D$32,$C$4,'EE Inputs'!$E$9:$E$32,$B148)))</f>
        <v>6.66</v>
      </c>
      <c r="M148" s="64" cm="1">
        <f t="array" aca="1" ref="M148" ca="1">IF($C$4=Lookups!$D$40,INDIRECT("'Yr1'!"&amp;ADDRESS(ROW(M148),COLUMN(M148))),
IF(M91=0,0,SUMIFS('EE Inputs'!$S$9:$S$32,'EE Inputs'!$C$9:$C$32,$G$6,'EE Inputs'!$D$9:$D$32,$C$4,'EE Inputs'!$E$9:$E$32,$B148)))</f>
        <v>6.66</v>
      </c>
      <c r="N148" s="64" cm="1">
        <f t="array" aca="1" ref="N148" ca="1">IF($C$4=Lookups!$D$40,INDIRECT("'Yr1'!"&amp;ADDRESS(ROW(N148),COLUMN(N148))),
IF(N91=0,0,SUMIFS('EE Inputs'!$S$9:$S$32,'EE Inputs'!$C$9:$C$32,$G$6,'EE Inputs'!$D$9:$D$32,$C$4,'EE Inputs'!$E$9:$E$32,$B148)))</f>
        <v>6.66</v>
      </c>
      <c r="O148" s="64" cm="1">
        <f t="array" aca="1" ref="O148" ca="1">IF($C$4=Lookups!$D$40,INDIRECT("'Yr1'!"&amp;ADDRESS(ROW(O148),COLUMN(O148))),
IF(O91=0,0,SUMIFS('EE Inputs'!$S$9:$S$32,'EE Inputs'!$C$9:$C$32,$G$6,'EE Inputs'!$D$9:$D$32,$C$4,'EE Inputs'!$E$9:$E$32,$B148)))</f>
        <v>6.66</v>
      </c>
      <c r="P148" s="64" cm="1">
        <f t="array" aca="1" ref="P148" ca="1">IF($C$4=Lookups!$D$40,INDIRECT("'Yr1'!"&amp;ADDRESS(ROW(P148),COLUMN(P148))),
IF(P91=0,0,SUMIFS('EE Inputs'!$S$9:$S$32,'EE Inputs'!$C$9:$C$32,$G$6,'EE Inputs'!$D$9:$D$32,$C$4,'EE Inputs'!$E$9:$E$32,$B148)))</f>
        <v>6.66</v>
      </c>
      <c r="Q148" s="64" cm="1">
        <f t="array" aca="1" ref="Q148" ca="1">IF($C$4=Lookups!$D$40,INDIRECT("'Yr1'!"&amp;ADDRESS(ROW(Q148),COLUMN(Q148))),
IF(Q91=0,0,SUMIFS('EE Inputs'!$S$9:$S$32,'EE Inputs'!$C$9:$C$32,$G$6,'EE Inputs'!$D$9:$D$32,$C$4,'EE Inputs'!$E$9:$E$32,$B148)))</f>
        <v>6.66</v>
      </c>
      <c r="R148" s="64" cm="1">
        <f t="array" aca="1" ref="R148" ca="1">IF($C$4=Lookups!$D$40,INDIRECT("'Yr1'!"&amp;ADDRESS(ROW(R148),COLUMN(R148))),
IF(R91=0,0,SUMIFS('EE Inputs'!$S$9:$S$32,'EE Inputs'!$C$9:$C$32,$G$6,'EE Inputs'!$D$9:$D$32,$C$4,'EE Inputs'!$E$9:$E$32,$B148)))</f>
        <v>6.66</v>
      </c>
      <c r="S148" s="64" cm="1">
        <f t="array" aca="1" ref="S148" ca="1">IF($C$4=Lookups!$D$40,INDIRECT("'Yr1'!"&amp;ADDRESS(ROW(S148),COLUMN(S148))),
IF(S91=0,0,SUMIFS('EE Inputs'!$S$9:$S$32,'EE Inputs'!$C$9:$C$32,$G$6,'EE Inputs'!$D$9:$D$32,$C$4,'EE Inputs'!$E$9:$E$32,$B148)))</f>
        <v>6.66</v>
      </c>
      <c r="T148" s="64" cm="1">
        <f t="array" aca="1" ref="T148" ca="1">IF($C$4=Lookups!$D$40,INDIRECT("'Yr1'!"&amp;ADDRESS(ROW(T148),COLUMN(T148))),
IF(T91=0,0,SUMIFS('EE Inputs'!$S$9:$S$32,'EE Inputs'!$C$9:$C$32,$G$6,'EE Inputs'!$D$9:$D$32,$C$4,'EE Inputs'!$E$9:$E$32,$B148)))</f>
        <v>6.66</v>
      </c>
      <c r="U148" s="64" cm="1">
        <f t="array" aca="1" ref="U148" ca="1">IF($C$4=Lookups!$D$40,INDIRECT("'Yr1'!"&amp;ADDRESS(ROW(U148),COLUMN(U148))),
IF(U91=0,0,SUMIFS('EE Inputs'!$S$9:$S$32,'EE Inputs'!$C$9:$C$32,$G$6,'EE Inputs'!$D$9:$D$32,$C$4,'EE Inputs'!$E$9:$E$32,$B148)))</f>
        <v>6.66</v>
      </c>
      <c r="V148" s="64" cm="1">
        <f t="array" aca="1" ref="V148" ca="1">IF($C$4=Lookups!$D$40,INDIRECT("'Yr1'!"&amp;ADDRESS(ROW(V148),COLUMN(V148))),
IF(V91=0,0,SUMIFS('EE Inputs'!$S$9:$S$32,'EE Inputs'!$C$9:$C$32,$G$6,'EE Inputs'!$D$9:$D$32,$C$4,'EE Inputs'!$E$9:$E$32,$B148)))</f>
        <v>6.66</v>
      </c>
      <c r="W148" s="64" cm="1">
        <f t="array" aca="1" ref="W148" ca="1">IF($C$4=Lookups!$D$40,INDIRECT("'Yr1'!"&amp;ADDRESS(ROW(W148),COLUMN(W148))),
IF(W91=0,0,SUMIFS('EE Inputs'!$S$9:$S$32,'EE Inputs'!$C$9:$C$32,$G$6,'EE Inputs'!$D$9:$D$32,$C$4,'EE Inputs'!$E$9:$E$32,$B148)))</f>
        <v>6.66</v>
      </c>
      <c r="X148" s="64" cm="1">
        <f t="array" aca="1" ref="X148" ca="1">IF($C$4=Lookups!$D$40,INDIRECT("'Yr1'!"&amp;ADDRESS(ROW(X148),COLUMN(X148))),
IF(X91=0,0,SUMIFS('EE Inputs'!$S$9:$S$32,'EE Inputs'!$C$9:$C$32,$G$6,'EE Inputs'!$D$9:$D$32,$C$4,'EE Inputs'!$E$9:$E$32,$B148)))</f>
        <v>6.66</v>
      </c>
      <c r="Y148" s="64" cm="1">
        <f t="array" aca="1" ref="Y148" ca="1">IF($C$4=Lookups!$D$40,INDIRECT("'Yr1'!"&amp;ADDRESS(ROW(Y148),COLUMN(Y148))),
IF(Y91=0,0,SUMIFS('EE Inputs'!$S$9:$S$32,'EE Inputs'!$C$9:$C$32,$G$6,'EE Inputs'!$D$9:$D$32,$C$4,'EE Inputs'!$E$9:$E$32,$B148)))</f>
        <v>6.66</v>
      </c>
      <c r="Z148" s="64" cm="1">
        <f t="array" aca="1" ref="Z148" ca="1">IF($C$4=Lookups!$D$40,INDIRECT("'Yr1'!"&amp;ADDRESS(ROW(Z148),COLUMN(Z148))),
IF(Z91=0,0,SUMIFS('EE Inputs'!$S$9:$S$32,'EE Inputs'!$C$9:$C$32,$G$6,'EE Inputs'!$D$9:$D$32,$C$4,'EE Inputs'!$E$9:$E$32,$B148)))</f>
        <v>6.66</v>
      </c>
      <c r="AA148" s="64" cm="1">
        <f t="array" aca="1" ref="AA148" ca="1">IF($C$4=Lookups!$D$40,INDIRECT("'Yr1'!"&amp;ADDRESS(ROW(AA148),COLUMN(AA148))),
IF(AA91=0,0,SUMIFS('EE Inputs'!$S$9:$S$32,'EE Inputs'!$C$9:$C$32,$G$6,'EE Inputs'!$D$9:$D$32,$C$4,'EE Inputs'!$E$9:$E$32,$B148)))</f>
        <v>0</v>
      </c>
      <c r="AB148" s="64" cm="1">
        <f t="array" aca="1" ref="AB148" ca="1">IF($C$4=Lookups!$D$40,INDIRECT("'Yr1'!"&amp;ADDRESS(ROW(AB148),COLUMN(AB148))),
IF(AB91=0,0,SUMIFS('EE Inputs'!$S$9:$S$32,'EE Inputs'!$C$9:$C$32,$G$6,'EE Inputs'!$D$9:$D$32,$C$4,'EE Inputs'!$E$9:$E$32,$B148)))</f>
        <v>0</v>
      </c>
      <c r="AC148" s="64" cm="1">
        <f t="array" aca="1" ref="AC148" ca="1">IF($C$4=Lookups!$D$40,INDIRECT("'Yr1'!"&amp;ADDRESS(ROW(AC148),COLUMN(AC148))),
IF(AC91=0,0,SUMIFS('EE Inputs'!$S$9:$S$32,'EE Inputs'!$C$9:$C$32,$G$6,'EE Inputs'!$D$9:$D$32,$C$4,'EE Inputs'!$E$9:$E$32,$B148)))</f>
        <v>0</v>
      </c>
      <c r="AD148" s="64" cm="1">
        <f t="array" aca="1" ref="AD148" ca="1">IF($C$4=Lookups!$D$40,INDIRECT("'Yr1'!"&amp;ADDRESS(ROW(AD148),COLUMN(AD148))),
IF(AD91=0,0,SUMIFS('EE Inputs'!$S$9:$S$32,'EE Inputs'!$C$9:$C$32,$G$6,'EE Inputs'!$D$9:$D$32,$C$4,'EE Inputs'!$E$9:$E$32,$B148)))</f>
        <v>0</v>
      </c>
      <c r="AE148" s="64" cm="1">
        <f t="array" aca="1" ref="AE148" ca="1">IF($C$4=Lookups!$D$40,INDIRECT("'Yr1'!"&amp;ADDRESS(ROW(AE148),COLUMN(AE148))),
IF(AE91=0,0,SUMIFS('EE Inputs'!$S$9:$S$32,'EE Inputs'!$C$9:$C$32,$G$6,'EE Inputs'!$D$9:$D$32,$C$4,'EE Inputs'!$E$9:$E$32,$B148)))</f>
        <v>0</v>
      </c>
      <c r="AF148" s="64" cm="1">
        <f t="array" aca="1" ref="AF148" ca="1">IF($C$4=Lookups!$D$40,INDIRECT("'Yr1'!"&amp;ADDRESS(ROW(AF148),COLUMN(AF148))),
IF(AF91=0,0,SUMIFS('EE Inputs'!$S$9:$S$32,'EE Inputs'!$C$9:$C$32,$G$6,'EE Inputs'!$D$9:$D$32,$C$4,'EE Inputs'!$E$9:$E$32,$B148)))</f>
        <v>0</v>
      </c>
      <c r="AG148" s="64" cm="1">
        <f t="array" aca="1" ref="AG148" ca="1">IF($C$4=Lookups!$D$40,INDIRECT("'Yr1'!"&amp;ADDRESS(ROW(AG148),COLUMN(AG148))),
IF(AG91=0,0,SUMIFS('EE Inputs'!$S$9:$S$32,'EE Inputs'!$C$9:$C$32,$G$6,'EE Inputs'!$D$9:$D$32,$C$4,'EE Inputs'!$E$9:$E$32,$B148)))</f>
        <v>0</v>
      </c>
      <c r="AH148" s="64"/>
      <c r="AI148" s="64"/>
      <c r="AJ148" s="64"/>
      <c r="AM148" s="645" cm="1">
        <f t="array" aca="1" ref="AM148" ca="1">IF($C$4=Lookups!$D$40,INDIRECT("'Yr1'!"&amp;ADDRESS(ROW(AM148),COLUMN(AM148))),
IF(AM91=0,0,SUMIFS('EE Inputs'!$S$9:$S$32,'EE Inputs'!$C$9:$C$32,$AM$6,'EE Inputs'!$D$9:$D$32,$C$4,'EE Inputs'!$E$9:$E$32,$B148)))</f>
        <v>7.992</v>
      </c>
      <c r="AN148" s="645" cm="1">
        <f t="array" aca="1" ref="AN148" ca="1">IF($C$4=Lookups!$D$40,INDIRECT("'Yr1'!"&amp;ADDRESS(ROW(AN148),COLUMN(AN148))),
IF(AN91=0,0,SUMIFS('EE Inputs'!$S$9:$S$32,'EE Inputs'!$C$9:$C$32,$AM$6,'EE Inputs'!$D$9:$D$32,$C$4,'EE Inputs'!$E$9:$E$32,$B148)))</f>
        <v>7.992</v>
      </c>
      <c r="AO148" s="645" cm="1">
        <f t="array" aca="1" ref="AO148" ca="1">IF($C$4=Lookups!$D$40,INDIRECT("'Yr1'!"&amp;ADDRESS(ROW(AO148),COLUMN(AO148))),
IF(AO91=0,0,SUMIFS('EE Inputs'!$S$9:$S$32,'EE Inputs'!$C$9:$C$32,$AM$6,'EE Inputs'!$D$9:$D$32,$C$4,'EE Inputs'!$E$9:$E$32,$B148)))</f>
        <v>7.992</v>
      </c>
      <c r="AP148" s="645" cm="1">
        <f t="array" aca="1" ref="AP148" ca="1">IF($C$4=Lookups!$D$40,INDIRECT("'Yr1'!"&amp;ADDRESS(ROW(AP148),COLUMN(AP148))),
IF(AP91=0,0,SUMIFS('EE Inputs'!$S$9:$S$32,'EE Inputs'!$C$9:$C$32,$AM$6,'EE Inputs'!$D$9:$D$32,$C$4,'EE Inputs'!$E$9:$E$32,$B148)))</f>
        <v>7.992</v>
      </c>
      <c r="AQ148" s="645" cm="1">
        <f t="array" aca="1" ref="AQ148" ca="1">IF($C$4=Lookups!$D$40,INDIRECT("'Yr1'!"&amp;ADDRESS(ROW(AQ148),COLUMN(AQ148))),
IF(AQ91=0,0,SUMIFS('EE Inputs'!$S$9:$S$32,'EE Inputs'!$C$9:$C$32,$AM$6,'EE Inputs'!$D$9:$D$32,$C$4,'EE Inputs'!$E$9:$E$32,$B148)))</f>
        <v>7.992</v>
      </c>
      <c r="AR148" s="645" cm="1">
        <f t="array" aca="1" ref="AR148" ca="1">IF($C$4=Lookups!$D$40,INDIRECT("'Yr1'!"&amp;ADDRESS(ROW(AR148),COLUMN(AR148))),
IF(AR91=0,0,SUMIFS('EE Inputs'!$S$9:$S$32,'EE Inputs'!$C$9:$C$32,$AM$6,'EE Inputs'!$D$9:$D$32,$C$4,'EE Inputs'!$E$9:$E$32,$B148)))</f>
        <v>7.992</v>
      </c>
      <c r="AS148" s="645" cm="1">
        <f t="array" aca="1" ref="AS148" ca="1">IF($C$4=Lookups!$D$40,INDIRECT("'Yr1'!"&amp;ADDRESS(ROW(AS148),COLUMN(AS148))),
IF(AS91=0,0,SUMIFS('EE Inputs'!$S$9:$S$32,'EE Inputs'!$C$9:$C$32,$AM$6,'EE Inputs'!$D$9:$D$32,$C$4,'EE Inputs'!$E$9:$E$32,$B148)))</f>
        <v>7.992</v>
      </c>
      <c r="AT148" s="645" cm="1">
        <f t="array" aca="1" ref="AT148" ca="1">IF($C$4=Lookups!$D$40,INDIRECT("'Yr1'!"&amp;ADDRESS(ROW(AT148),COLUMN(AT148))),
IF(AT91=0,0,SUMIFS('EE Inputs'!$S$9:$S$32,'EE Inputs'!$C$9:$C$32,$AM$6,'EE Inputs'!$D$9:$D$32,$C$4,'EE Inputs'!$E$9:$E$32,$B148)))</f>
        <v>7.992</v>
      </c>
      <c r="AU148" s="645" cm="1">
        <f t="array" aca="1" ref="AU148" ca="1">IF($C$4=Lookups!$D$40,INDIRECT("'Yr1'!"&amp;ADDRESS(ROW(AU148),COLUMN(AU148))),
IF(AU91=0,0,SUMIFS('EE Inputs'!$S$9:$S$32,'EE Inputs'!$C$9:$C$32,$AM$6,'EE Inputs'!$D$9:$D$32,$C$4,'EE Inputs'!$E$9:$E$32,$B148)))</f>
        <v>7.992</v>
      </c>
      <c r="AV148" s="645" cm="1">
        <f t="array" aca="1" ref="AV148" ca="1">IF($C$4=Lookups!$D$40,INDIRECT("'Yr1'!"&amp;ADDRESS(ROW(AV148),COLUMN(AV148))),
IF(AV91=0,0,SUMIFS('EE Inputs'!$S$9:$S$32,'EE Inputs'!$C$9:$C$32,$AM$6,'EE Inputs'!$D$9:$D$32,$C$4,'EE Inputs'!$E$9:$E$32,$B148)))</f>
        <v>7.992</v>
      </c>
      <c r="AW148" s="645" cm="1">
        <f t="array" aca="1" ref="AW148" ca="1">IF($C$4=Lookups!$D$40,INDIRECT("'Yr1'!"&amp;ADDRESS(ROW(AW148),COLUMN(AW148))),
IF(AW91=0,0,SUMIFS('EE Inputs'!$S$9:$S$32,'EE Inputs'!$C$9:$C$32,$AM$6,'EE Inputs'!$D$9:$D$32,$C$4,'EE Inputs'!$E$9:$E$32,$B148)))</f>
        <v>7.992</v>
      </c>
      <c r="AX148" s="645" cm="1">
        <f t="array" aca="1" ref="AX148" ca="1">IF($C$4=Lookups!$D$40,INDIRECT("'Yr1'!"&amp;ADDRESS(ROW(AX148),COLUMN(AX148))),
IF(AX91=0,0,SUMIFS('EE Inputs'!$S$9:$S$32,'EE Inputs'!$C$9:$C$32,$AM$6,'EE Inputs'!$D$9:$D$32,$C$4,'EE Inputs'!$E$9:$E$32,$B148)))</f>
        <v>7.992</v>
      </c>
      <c r="AY148" s="645" cm="1">
        <f t="array" aca="1" ref="AY148" ca="1">IF($C$4=Lookups!$D$40,INDIRECT("'Yr1'!"&amp;ADDRESS(ROW(AY148),COLUMN(AY148))),
IF(AY91=0,0,SUMIFS('EE Inputs'!$S$9:$S$32,'EE Inputs'!$C$9:$C$32,$AM$6,'EE Inputs'!$D$9:$D$32,$C$4,'EE Inputs'!$E$9:$E$32,$B148)))</f>
        <v>7.992</v>
      </c>
      <c r="AZ148" s="645" cm="1">
        <f t="array" aca="1" ref="AZ148" ca="1">IF($C$4=Lookups!$D$40,INDIRECT("'Yr1'!"&amp;ADDRESS(ROW(AZ148),COLUMN(AZ148))),
IF(AZ91=0,0,SUMIFS('EE Inputs'!$S$9:$S$32,'EE Inputs'!$C$9:$C$32,$AM$6,'EE Inputs'!$D$9:$D$32,$C$4,'EE Inputs'!$E$9:$E$32,$B148)))</f>
        <v>7.992</v>
      </c>
      <c r="BA148" s="645" cm="1">
        <f t="array" aca="1" ref="BA148" ca="1">IF($C$4=Lookups!$D$40,INDIRECT("'Yr1'!"&amp;ADDRESS(ROW(BA148),COLUMN(BA148))),
IF(BA91=0,0,SUMIFS('EE Inputs'!$S$9:$S$32,'EE Inputs'!$C$9:$C$32,$AM$6,'EE Inputs'!$D$9:$D$32,$C$4,'EE Inputs'!$E$9:$E$32,$B148)))</f>
        <v>7.992</v>
      </c>
      <c r="BB148" s="645" cm="1">
        <f t="array" aca="1" ref="BB148" ca="1">IF($C$4=Lookups!$D$40,INDIRECT("'Yr1'!"&amp;ADDRESS(ROW(BB148),COLUMN(BB148))),
IF(BB91=0,0,SUMIFS('EE Inputs'!$S$9:$S$32,'EE Inputs'!$C$9:$C$32,$AM$6,'EE Inputs'!$D$9:$D$32,$C$4,'EE Inputs'!$E$9:$E$32,$B148)))</f>
        <v>7.992</v>
      </c>
      <c r="BC148" s="645" cm="1">
        <f t="array" aca="1" ref="BC148" ca="1">IF($C$4=Lookups!$D$40,INDIRECT("'Yr1'!"&amp;ADDRESS(ROW(BC148),COLUMN(BC148))),
IF(BC91=0,0,SUMIFS('EE Inputs'!$S$9:$S$32,'EE Inputs'!$C$9:$C$32,$AM$6,'EE Inputs'!$D$9:$D$32,$C$4,'EE Inputs'!$E$9:$E$32,$B148)))</f>
        <v>7.992</v>
      </c>
      <c r="BD148" s="645" cm="1">
        <f t="array" aca="1" ref="BD148" ca="1">IF($C$4=Lookups!$D$40,INDIRECT("'Yr1'!"&amp;ADDRESS(ROW(BD148),COLUMN(BD148))),
IF(BD91=0,0,SUMIFS('EE Inputs'!$S$9:$S$32,'EE Inputs'!$C$9:$C$32,$AM$6,'EE Inputs'!$D$9:$D$32,$C$4,'EE Inputs'!$E$9:$E$32,$B148)))</f>
        <v>7.992</v>
      </c>
      <c r="BE148" s="645" cm="1">
        <f t="array" aca="1" ref="BE148" ca="1">IF($C$4=Lookups!$D$40,INDIRECT("'Yr1'!"&amp;ADDRESS(ROW(BE148),COLUMN(BE148))),
IF(BE91=0,0,SUMIFS('EE Inputs'!$S$9:$S$32,'EE Inputs'!$C$9:$C$32,$AM$6,'EE Inputs'!$D$9:$D$32,$C$4,'EE Inputs'!$E$9:$E$32,$B148)))</f>
        <v>7.992</v>
      </c>
      <c r="BF148" s="645" cm="1">
        <f t="array" aca="1" ref="BF148" ca="1">IF($C$4=Lookups!$D$40,INDIRECT("'Yr1'!"&amp;ADDRESS(ROW(BF148),COLUMN(BF148))),
IF(BF91=0,0,SUMIFS('EE Inputs'!$S$9:$S$32,'EE Inputs'!$C$9:$C$32,$AM$6,'EE Inputs'!$D$9:$D$32,$C$4,'EE Inputs'!$E$9:$E$32,$B148)))</f>
        <v>7.992</v>
      </c>
      <c r="BG148" s="645" cm="1">
        <f t="array" aca="1" ref="BG148" ca="1">IF($C$4=Lookups!$D$40,INDIRECT("'Yr1'!"&amp;ADDRESS(ROW(BG148),COLUMN(BG148))),
IF(BG91=0,0,SUMIFS('EE Inputs'!$S$9:$S$32,'EE Inputs'!$C$9:$C$32,$AM$6,'EE Inputs'!$D$9:$D$32,$C$4,'EE Inputs'!$E$9:$E$32,$B148)))</f>
        <v>0</v>
      </c>
      <c r="BH148" s="645" cm="1">
        <f t="array" aca="1" ref="BH148" ca="1">IF($C$4=Lookups!$D$40,INDIRECT("'Yr1'!"&amp;ADDRESS(ROW(BH148),COLUMN(BH148))),
IF(BH91=0,0,SUMIFS('EE Inputs'!$S$9:$S$32,'EE Inputs'!$C$9:$C$32,$AM$6,'EE Inputs'!$D$9:$D$32,$C$4,'EE Inputs'!$E$9:$E$32,$B148)))</f>
        <v>0</v>
      </c>
      <c r="BI148" s="645" cm="1">
        <f t="array" aca="1" ref="BI148" ca="1">IF($C$4=Lookups!$D$40,INDIRECT("'Yr1'!"&amp;ADDRESS(ROW(BI148),COLUMN(BI148))),
IF(BI91=0,0,SUMIFS('EE Inputs'!$S$9:$S$32,'EE Inputs'!$C$9:$C$32,$AM$6,'EE Inputs'!$D$9:$D$32,$C$4,'EE Inputs'!$E$9:$E$32,$B148)))</f>
        <v>0</v>
      </c>
      <c r="BJ148" s="645" cm="1">
        <f t="array" aca="1" ref="BJ148" ca="1">IF($C$4=Lookups!$D$40,INDIRECT("'Yr1'!"&amp;ADDRESS(ROW(BJ148),COLUMN(BJ148))),
IF(BJ91=0,0,SUMIFS('EE Inputs'!$S$9:$S$32,'EE Inputs'!$C$9:$C$32,$AM$6,'EE Inputs'!$D$9:$D$32,$C$4,'EE Inputs'!$E$9:$E$32,$B148)))</f>
        <v>0</v>
      </c>
      <c r="BK148" s="645" cm="1">
        <f t="array" aca="1" ref="BK148" ca="1">IF($C$4=Lookups!$D$40,INDIRECT("'Yr1'!"&amp;ADDRESS(ROW(BK148),COLUMN(BK148))),
IF(BK91=0,0,SUMIFS('EE Inputs'!$S$9:$S$32,'EE Inputs'!$C$9:$C$32,$AM$6,'EE Inputs'!$D$9:$D$32,$C$4,'EE Inputs'!$E$9:$E$32,$B148)))</f>
        <v>0</v>
      </c>
      <c r="BL148" s="645" cm="1">
        <f t="array" aca="1" ref="BL148" ca="1">IF($C$4=Lookups!$D$40,INDIRECT("'Yr1'!"&amp;ADDRESS(ROW(BL148),COLUMN(BL148))),
IF(BL91=0,0,SUMIFS('EE Inputs'!$S$9:$S$32,'EE Inputs'!$C$9:$C$32,$AM$6,'EE Inputs'!$D$9:$D$32,$C$4,'EE Inputs'!$E$9:$E$32,$B148)))</f>
        <v>0</v>
      </c>
      <c r="BM148" s="645" cm="1">
        <f t="array" aca="1" ref="BM148" ca="1">IF($C$4=Lookups!$D$40,INDIRECT("'Yr1'!"&amp;ADDRESS(ROW(BM148),COLUMN(BM148))),
IF(BM91=0,0,SUMIFS('EE Inputs'!$S$9:$S$32,'EE Inputs'!$C$9:$C$32,$AM$6,'EE Inputs'!$D$9:$D$32,$C$4,'EE Inputs'!$E$9:$E$32,$B148)))</f>
        <v>0</v>
      </c>
      <c r="BN148" s="71"/>
      <c r="BO148" s="71"/>
      <c r="BP148" s="71"/>
      <c r="BS148" s="76" t="s">
        <v>96</v>
      </c>
      <c r="BT148" s="51" t="s">
        <v>17</v>
      </c>
    </row>
    <row r="149" spans="1:72" x14ac:dyDescent="0.25">
      <c r="A149" s="246"/>
      <c r="B149" s="243" t="str">
        <f t="shared" si="136"/>
        <v>Low-Income</v>
      </c>
      <c r="C149" s="243" t="str">
        <f t="shared" si="136"/>
        <v>Bills</v>
      </c>
      <c r="D149" s="244" t="str">
        <f t="shared" si="136"/>
        <v>Annual Savings from DSM Scenario</v>
      </c>
      <c r="E149" s="84" t="str">
        <f>'EE Inputs'!$N$16&amp;" Participant"</f>
        <v>High Savings Participant</v>
      </c>
      <c r="F149" s="84" t="s">
        <v>195</v>
      </c>
      <c r="G149" s="704" cm="1">
        <f t="array" aca="1" ref="G149" ca="1">IF($C$4=Lookups!$D$40,INDIRECT("'Yr1'!"&amp;ADDRESS(ROW(G149),COLUMN(G149))),
IF(G91=0,0,SUMIFS('EE Inputs'!$T$9:$T$32,'EE Inputs'!$C$9:$C$32,$G$6,'EE Inputs'!$D$9:$D$32,$C$4,'EE Inputs'!$E$9:$E$32,$B149)))</f>
        <v>46.620000000000005</v>
      </c>
      <c r="H149" s="704" cm="1">
        <f t="array" aca="1" ref="H149" ca="1">IF($C$4=Lookups!$D$40,INDIRECT("'Yr1'!"&amp;ADDRESS(ROW(H149),COLUMN(H149))),
IF(H91=0,0,SUMIFS('EE Inputs'!$T$9:$T$32,'EE Inputs'!$C$9:$C$32,$G$6,'EE Inputs'!$D$9:$D$32,$C$4,'EE Inputs'!$E$9:$E$32,$B149)))</f>
        <v>46.620000000000005</v>
      </c>
      <c r="I149" s="704" cm="1">
        <f t="array" aca="1" ref="I149" ca="1">IF($C$4=Lookups!$D$40,INDIRECT("'Yr1'!"&amp;ADDRESS(ROW(I149),COLUMN(I149))),
IF(I91=0,0,SUMIFS('EE Inputs'!$T$9:$T$32,'EE Inputs'!$C$9:$C$32,$G$6,'EE Inputs'!$D$9:$D$32,$C$4,'EE Inputs'!$E$9:$E$32,$B149)))</f>
        <v>46.620000000000005</v>
      </c>
      <c r="J149" s="704" cm="1">
        <f t="array" aca="1" ref="J149" ca="1">IF($C$4=Lookups!$D$40,INDIRECT("'Yr1'!"&amp;ADDRESS(ROW(J149),COLUMN(J149))),
IF(J91=0,0,SUMIFS('EE Inputs'!$T$9:$T$32,'EE Inputs'!$C$9:$C$32,$G$6,'EE Inputs'!$D$9:$D$32,$C$4,'EE Inputs'!$E$9:$E$32,$B149)))</f>
        <v>46.620000000000005</v>
      </c>
      <c r="K149" s="704" cm="1">
        <f t="array" aca="1" ref="K149" ca="1">IF($C$4=Lookups!$D$40,INDIRECT("'Yr1'!"&amp;ADDRESS(ROW(K149),COLUMN(K149))),
IF(K91=0,0,SUMIFS('EE Inputs'!$T$9:$T$32,'EE Inputs'!$C$9:$C$32,$G$6,'EE Inputs'!$D$9:$D$32,$C$4,'EE Inputs'!$E$9:$E$32,$B149)))</f>
        <v>46.620000000000005</v>
      </c>
      <c r="L149" s="704" cm="1">
        <f t="array" aca="1" ref="L149" ca="1">IF($C$4=Lookups!$D$40,INDIRECT("'Yr1'!"&amp;ADDRESS(ROW(L149),COLUMN(L149))),
IF(L91=0,0,SUMIFS('EE Inputs'!$T$9:$T$32,'EE Inputs'!$C$9:$C$32,$G$6,'EE Inputs'!$D$9:$D$32,$C$4,'EE Inputs'!$E$9:$E$32,$B149)))</f>
        <v>46.620000000000005</v>
      </c>
      <c r="M149" s="704" cm="1">
        <f t="array" aca="1" ref="M149" ca="1">IF($C$4=Lookups!$D$40,INDIRECT("'Yr1'!"&amp;ADDRESS(ROW(M149),COLUMN(M149))),
IF(M91=0,0,SUMIFS('EE Inputs'!$T$9:$T$32,'EE Inputs'!$C$9:$C$32,$G$6,'EE Inputs'!$D$9:$D$32,$C$4,'EE Inputs'!$E$9:$E$32,$B149)))</f>
        <v>46.620000000000005</v>
      </c>
      <c r="N149" s="704" cm="1">
        <f t="array" aca="1" ref="N149" ca="1">IF($C$4=Lookups!$D$40,INDIRECT("'Yr1'!"&amp;ADDRESS(ROW(N149),COLUMN(N149))),
IF(N91=0,0,SUMIFS('EE Inputs'!$T$9:$T$32,'EE Inputs'!$C$9:$C$32,$G$6,'EE Inputs'!$D$9:$D$32,$C$4,'EE Inputs'!$E$9:$E$32,$B149)))</f>
        <v>46.620000000000005</v>
      </c>
      <c r="O149" s="704" cm="1">
        <f t="array" aca="1" ref="O149" ca="1">IF($C$4=Lookups!$D$40,INDIRECT("'Yr1'!"&amp;ADDRESS(ROW(O149),COLUMN(O149))),
IF(O91=0,0,SUMIFS('EE Inputs'!$T$9:$T$32,'EE Inputs'!$C$9:$C$32,$G$6,'EE Inputs'!$D$9:$D$32,$C$4,'EE Inputs'!$E$9:$E$32,$B149)))</f>
        <v>46.620000000000005</v>
      </c>
      <c r="P149" s="704" cm="1">
        <f t="array" aca="1" ref="P149" ca="1">IF($C$4=Lookups!$D$40,INDIRECT("'Yr1'!"&amp;ADDRESS(ROW(P149),COLUMN(P149))),
IF(P91=0,0,SUMIFS('EE Inputs'!$T$9:$T$32,'EE Inputs'!$C$9:$C$32,$G$6,'EE Inputs'!$D$9:$D$32,$C$4,'EE Inputs'!$E$9:$E$32,$B149)))</f>
        <v>46.620000000000005</v>
      </c>
      <c r="Q149" s="704" cm="1">
        <f t="array" aca="1" ref="Q149" ca="1">IF($C$4=Lookups!$D$40,INDIRECT("'Yr1'!"&amp;ADDRESS(ROW(Q149),COLUMN(Q149))),
IF(Q91=0,0,SUMIFS('EE Inputs'!$T$9:$T$32,'EE Inputs'!$C$9:$C$32,$G$6,'EE Inputs'!$D$9:$D$32,$C$4,'EE Inputs'!$E$9:$E$32,$B149)))</f>
        <v>46.620000000000005</v>
      </c>
      <c r="R149" s="704" cm="1">
        <f t="array" aca="1" ref="R149" ca="1">IF($C$4=Lookups!$D$40,INDIRECT("'Yr1'!"&amp;ADDRESS(ROW(R149),COLUMN(R149))),
IF(R91=0,0,SUMIFS('EE Inputs'!$T$9:$T$32,'EE Inputs'!$C$9:$C$32,$G$6,'EE Inputs'!$D$9:$D$32,$C$4,'EE Inputs'!$E$9:$E$32,$B149)))</f>
        <v>46.620000000000005</v>
      </c>
      <c r="S149" s="704" cm="1">
        <f t="array" aca="1" ref="S149" ca="1">IF($C$4=Lookups!$D$40,INDIRECT("'Yr1'!"&amp;ADDRESS(ROW(S149),COLUMN(S149))),
IF(S91=0,0,SUMIFS('EE Inputs'!$T$9:$T$32,'EE Inputs'!$C$9:$C$32,$G$6,'EE Inputs'!$D$9:$D$32,$C$4,'EE Inputs'!$E$9:$E$32,$B149)))</f>
        <v>46.620000000000005</v>
      </c>
      <c r="T149" s="704" cm="1">
        <f t="array" aca="1" ref="T149" ca="1">IF($C$4=Lookups!$D$40,INDIRECT("'Yr1'!"&amp;ADDRESS(ROW(T149),COLUMN(T149))),
IF(T91=0,0,SUMIFS('EE Inputs'!$T$9:$T$32,'EE Inputs'!$C$9:$C$32,$G$6,'EE Inputs'!$D$9:$D$32,$C$4,'EE Inputs'!$E$9:$E$32,$B149)))</f>
        <v>46.620000000000005</v>
      </c>
      <c r="U149" s="704" cm="1">
        <f t="array" aca="1" ref="U149" ca="1">IF($C$4=Lookups!$D$40,INDIRECT("'Yr1'!"&amp;ADDRESS(ROW(U149),COLUMN(U149))),
IF(U91=0,0,SUMIFS('EE Inputs'!$T$9:$T$32,'EE Inputs'!$C$9:$C$32,$G$6,'EE Inputs'!$D$9:$D$32,$C$4,'EE Inputs'!$E$9:$E$32,$B149)))</f>
        <v>46.620000000000005</v>
      </c>
      <c r="V149" s="704" cm="1">
        <f t="array" aca="1" ref="V149" ca="1">IF($C$4=Lookups!$D$40,INDIRECT("'Yr1'!"&amp;ADDRESS(ROW(V149),COLUMN(V149))),
IF(V91=0,0,SUMIFS('EE Inputs'!$T$9:$T$32,'EE Inputs'!$C$9:$C$32,$G$6,'EE Inputs'!$D$9:$D$32,$C$4,'EE Inputs'!$E$9:$E$32,$B149)))</f>
        <v>46.620000000000005</v>
      </c>
      <c r="W149" s="704" cm="1">
        <f t="array" aca="1" ref="W149" ca="1">IF($C$4=Lookups!$D$40,INDIRECT("'Yr1'!"&amp;ADDRESS(ROW(W149),COLUMN(W149))),
IF(W91=0,0,SUMIFS('EE Inputs'!$T$9:$T$32,'EE Inputs'!$C$9:$C$32,$G$6,'EE Inputs'!$D$9:$D$32,$C$4,'EE Inputs'!$E$9:$E$32,$B149)))</f>
        <v>46.620000000000005</v>
      </c>
      <c r="X149" s="704" cm="1">
        <f t="array" aca="1" ref="X149" ca="1">IF($C$4=Lookups!$D$40,INDIRECT("'Yr1'!"&amp;ADDRESS(ROW(X149),COLUMN(X149))),
IF(X91=0,0,SUMIFS('EE Inputs'!$T$9:$T$32,'EE Inputs'!$C$9:$C$32,$G$6,'EE Inputs'!$D$9:$D$32,$C$4,'EE Inputs'!$E$9:$E$32,$B149)))</f>
        <v>46.620000000000005</v>
      </c>
      <c r="Y149" s="704" cm="1">
        <f t="array" aca="1" ref="Y149" ca="1">IF($C$4=Lookups!$D$40,INDIRECT("'Yr1'!"&amp;ADDRESS(ROW(Y149),COLUMN(Y149))),
IF(Y91=0,0,SUMIFS('EE Inputs'!$T$9:$T$32,'EE Inputs'!$C$9:$C$32,$G$6,'EE Inputs'!$D$9:$D$32,$C$4,'EE Inputs'!$E$9:$E$32,$B149)))</f>
        <v>46.620000000000005</v>
      </c>
      <c r="Z149" s="704" cm="1">
        <f t="array" aca="1" ref="Z149" ca="1">IF($C$4=Lookups!$D$40,INDIRECT("'Yr1'!"&amp;ADDRESS(ROW(Z149),COLUMN(Z149))),
IF(Z91=0,0,SUMIFS('EE Inputs'!$T$9:$T$32,'EE Inputs'!$C$9:$C$32,$G$6,'EE Inputs'!$D$9:$D$32,$C$4,'EE Inputs'!$E$9:$E$32,$B149)))</f>
        <v>46.620000000000005</v>
      </c>
      <c r="AA149" s="704" cm="1">
        <f t="array" aca="1" ref="AA149" ca="1">IF($C$4=Lookups!$D$40,INDIRECT("'Yr1'!"&amp;ADDRESS(ROW(AA149),COLUMN(AA149))),
IF(AA91=0,0,SUMIFS('EE Inputs'!$T$9:$T$32,'EE Inputs'!$C$9:$C$32,$G$6,'EE Inputs'!$D$9:$D$32,$C$4,'EE Inputs'!$E$9:$E$32,$B149)))</f>
        <v>0</v>
      </c>
      <c r="AB149" s="704" cm="1">
        <f t="array" aca="1" ref="AB149" ca="1">IF($C$4=Lookups!$D$40,INDIRECT("'Yr1'!"&amp;ADDRESS(ROW(AB149),COLUMN(AB149))),
IF(AB91=0,0,SUMIFS('EE Inputs'!$T$9:$T$32,'EE Inputs'!$C$9:$C$32,$G$6,'EE Inputs'!$D$9:$D$32,$C$4,'EE Inputs'!$E$9:$E$32,$B149)))</f>
        <v>0</v>
      </c>
      <c r="AC149" s="704" cm="1">
        <f t="array" aca="1" ref="AC149" ca="1">IF($C$4=Lookups!$D$40,INDIRECT("'Yr1'!"&amp;ADDRESS(ROW(AC149),COLUMN(AC149))),
IF(AC91=0,0,SUMIFS('EE Inputs'!$T$9:$T$32,'EE Inputs'!$C$9:$C$32,$G$6,'EE Inputs'!$D$9:$D$32,$C$4,'EE Inputs'!$E$9:$E$32,$B149)))</f>
        <v>0</v>
      </c>
      <c r="AD149" s="704" cm="1">
        <f t="array" aca="1" ref="AD149" ca="1">IF($C$4=Lookups!$D$40,INDIRECT("'Yr1'!"&amp;ADDRESS(ROW(AD149),COLUMN(AD149))),
IF(AD91=0,0,SUMIFS('EE Inputs'!$T$9:$T$32,'EE Inputs'!$C$9:$C$32,$G$6,'EE Inputs'!$D$9:$D$32,$C$4,'EE Inputs'!$E$9:$E$32,$B149)))</f>
        <v>0</v>
      </c>
      <c r="AE149" s="704" cm="1">
        <f t="array" aca="1" ref="AE149" ca="1">IF($C$4=Lookups!$D$40,INDIRECT("'Yr1'!"&amp;ADDRESS(ROW(AE149),COLUMN(AE149))),
IF(AE91=0,0,SUMIFS('EE Inputs'!$T$9:$T$32,'EE Inputs'!$C$9:$C$32,$G$6,'EE Inputs'!$D$9:$D$32,$C$4,'EE Inputs'!$E$9:$E$32,$B149)))</f>
        <v>0</v>
      </c>
      <c r="AF149" s="704" cm="1">
        <f t="array" aca="1" ref="AF149" ca="1">IF($C$4=Lookups!$D$40,INDIRECT("'Yr1'!"&amp;ADDRESS(ROW(AF149),COLUMN(AF149))),
IF(AF91=0,0,SUMIFS('EE Inputs'!$T$9:$T$32,'EE Inputs'!$C$9:$C$32,$G$6,'EE Inputs'!$D$9:$D$32,$C$4,'EE Inputs'!$E$9:$E$32,$B149)))</f>
        <v>0</v>
      </c>
      <c r="AG149" s="704" cm="1">
        <f t="array" aca="1" ref="AG149" ca="1">IF($C$4=Lookups!$D$40,INDIRECT("'Yr1'!"&amp;ADDRESS(ROW(AG149),COLUMN(AG149))),
IF(AG91=0,0,SUMIFS('EE Inputs'!$T$9:$T$32,'EE Inputs'!$C$9:$C$32,$G$6,'EE Inputs'!$D$9:$D$32,$C$4,'EE Inputs'!$E$9:$E$32,$B149)))</f>
        <v>0</v>
      </c>
      <c r="AH149" s="64"/>
      <c r="AI149" s="64"/>
      <c r="AJ149" s="64"/>
      <c r="AM149" s="645" cm="1">
        <f t="array" aca="1" ref="AM149" ca="1">IF($C$4=Lookups!$D$40,INDIRECT("'Yr1'!"&amp;ADDRESS(ROW(AM149),COLUMN(AM149))),
IF(AM91=0,0,SUMIFS('EE Inputs'!$T$9:$T$32,'EE Inputs'!$C$9:$C$32,$AM$6,'EE Inputs'!$D$9:$D$32,$C$4,'EE Inputs'!$E$9:$E$32,$B149)))</f>
        <v>55.944000000000003</v>
      </c>
      <c r="AN149" s="645" cm="1">
        <f t="array" aca="1" ref="AN149" ca="1">IF($C$4=Lookups!$D$40,INDIRECT("'Yr1'!"&amp;ADDRESS(ROW(AN149),COLUMN(AN149))),
IF(AN91=0,0,SUMIFS('EE Inputs'!$T$9:$T$32,'EE Inputs'!$C$9:$C$32,$AM$6,'EE Inputs'!$D$9:$D$32,$C$4,'EE Inputs'!$E$9:$E$32,$B149)))</f>
        <v>55.944000000000003</v>
      </c>
      <c r="AO149" s="645" cm="1">
        <f t="array" aca="1" ref="AO149" ca="1">IF($C$4=Lookups!$D$40,INDIRECT("'Yr1'!"&amp;ADDRESS(ROW(AO149),COLUMN(AO149))),
IF(AO91=0,0,SUMIFS('EE Inputs'!$T$9:$T$32,'EE Inputs'!$C$9:$C$32,$AM$6,'EE Inputs'!$D$9:$D$32,$C$4,'EE Inputs'!$E$9:$E$32,$B149)))</f>
        <v>55.944000000000003</v>
      </c>
      <c r="AP149" s="645" cm="1">
        <f t="array" aca="1" ref="AP149" ca="1">IF($C$4=Lookups!$D$40,INDIRECT("'Yr1'!"&amp;ADDRESS(ROW(AP149),COLUMN(AP149))),
IF(AP91=0,0,SUMIFS('EE Inputs'!$T$9:$T$32,'EE Inputs'!$C$9:$C$32,$AM$6,'EE Inputs'!$D$9:$D$32,$C$4,'EE Inputs'!$E$9:$E$32,$B149)))</f>
        <v>55.944000000000003</v>
      </c>
      <c r="AQ149" s="645" cm="1">
        <f t="array" aca="1" ref="AQ149" ca="1">IF($C$4=Lookups!$D$40,INDIRECT("'Yr1'!"&amp;ADDRESS(ROW(AQ149),COLUMN(AQ149))),
IF(AQ91=0,0,SUMIFS('EE Inputs'!$T$9:$T$32,'EE Inputs'!$C$9:$C$32,$AM$6,'EE Inputs'!$D$9:$D$32,$C$4,'EE Inputs'!$E$9:$E$32,$B149)))</f>
        <v>55.944000000000003</v>
      </c>
      <c r="AR149" s="645" cm="1">
        <f t="array" aca="1" ref="AR149" ca="1">IF($C$4=Lookups!$D$40,INDIRECT("'Yr1'!"&amp;ADDRESS(ROW(AR149),COLUMN(AR149))),
IF(AR91=0,0,SUMIFS('EE Inputs'!$T$9:$T$32,'EE Inputs'!$C$9:$C$32,$AM$6,'EE Inputs'!$D$9:$D$32,$C$4,'EE Inputs'!$E$9:$E$32,$B149)))</f>
        <v>55.944000000000003</v>
      </c>
      <c r="AS149" s="645" cm="1">
        <f t="array" aca="1" ref="AS149" ca="1">IF($C$4=Lookups!$D$40,INDIRECT("'Yr1'!"&amp;ADDRESS(ROW(AS149),COLUMN(AS149))),
IF(AS91=0,0,SUMIFS('EE Inputs'!$T$9:$T$32,'EE Inputs'!$C$9:$C$32,$AM$6,'EE Inputs'!$D$9:$D$32,$C$4,'EE Inputs'!$E$9:$E$32,$B149)))</f>
        <v>55.944000000000003</v>
      </c>
      <c r="AT149" s="645" cm="1">
        <f t="array" aca="1" ref="AT149" ca="1">IF($C$4=Lookups!$D$40,INDIRECT("'Yr1'!"&amp;ADDRESS(ROW(AT149),COLUMN(AT149))),
IF(AT91=0,0,SUMIFS('EE Inputs'!$T$9:$T$32,'EE Inputs'!$C$9:$C$32,$AM$6,'EE Inputs'!$D$9:$D$32,$C$4,'EE Inputs'!$E$9:$E$32,$B149)))</f>
        <v>55.944000000000003</v>
      </c>
      <c r="AU149" s="645" cm="1">
        <f t="array" aca="1" ref="AU149" ca="1">IF($C$4=Lookups!$D$40,INDIRECT("'Yr1'!"&amp;ADDRESS(ROW(AU149),COLUMN(AU149))),
IF(AU91=0,0,SUMIFS('EE Inputs'!$T$9:$T$32,'EE Inputs'!$C$9:$C$32,$AM$6,'EE Inputs'!$D$9:$D$32,$C$4,'EE Inputs'!$E$9:$E$32,$B149)))</f>
        <v>55.944000000000003</v>
      </c>
      <c r="AV149" s="645" cm="1">
        <f t="array" aca="1" ref="AV149" ca="1">IF($C$4=Lookups!$D$40,INDIRECT("'Yr1'!"&amp;ADDRESS(ROW(AV149),COLUMN(AV149))),
IF(AV91=0,0,SUMIFS('EE Inputs'!$T$9:$T$32,'EE Inputs'!$C$9:$C$32,$AM$6,'EE Inputs'!$D$9:$D$32,$C$4,'EE Inputs'!$E$9:$E$32,$B149)))</f>
        <v>55.944000000000003</v>
      </c>
      <c r="AW149" s="645" cm="1">
        <f t="array" aca="1" ref="AW149" ca="1">IF($C$4=Lookups!$D$40,INDIRECT("'Yr1'!"&amp;ADDRESS(ROW(AW149),COLUMN(AW149))),
IF(AW91=0,0,SUMIFS('EE Inputs'!$T$9:$T$32,'EE Inputs'!$C$9:$C$32,$AM$6,'EE Inputs'!$D$9:$D$32,$C$4,'EE Inputs'!$E$9:$E$32,$B149)))</f>
        <v>55.944000000000003</v>
      </c>
      <c r="AX149" s="645" cm="1">
        <f t="array" aca="1" ref="AX149" ca="1">IF($C$4=Lookups!$D$40,INDIRECT("'Yr1'!"&amp;ADDRESS(ROW(AX149),COLUMN(AX149))),
IF(AX91=0,0,SUMIFS('EE Inputs'!$T$9:$T$32,'EE Inputs'!$C$9:$C$32,$AM$6,'EE Inputs'!$D$9:$D$32,$C$4,'EE Inputs'!$E$9:$E$32,$B149)))</f>
        <v>55.944000000000003</v>
      </c>
      <c r="AY149" s="645" cm="1">
        <f t="array" aca="1" ref="AY149" ca="1">IF($C$4=Lookups!$D$40,INDIRECT("'Yr1'!"&amp;ADDRESS(ROW(AY149),COLUMN(AY149))),
IF(AY91=0,0,SUMIFS('EE Inputs'!$T$9:$T$32,'EE Inputs'!$C$9:$C$32,$AM$6,'EE Inputs'!$D$9:$D$32,$C$4,'EE Inputs'!$E$9:$E$32,$B149)))</f>
        <v>55.944000000000003</v>
      </c>
      <c r="AZ149" s="645" cm="1">
        <f t="array" aca="1" ref="AZ149" ca="1">IF($C$4=Lookups!$D$40,INDIRECT("'Yr1'!"&amp;ADDRESS(ROW(AZ149),COLUMN(AZ149))),
IF(AZ91=0,0,SUMIFS('EE Inputs'!$T$9:$T$32,'EE Inputs'!$C$9:$C$32,$AM$6,'EE Inputs'!$D$9:$D$32,$C$4,'EE Inputs'!$E$9:$E$32,$B149)))</f>
        <v>55.944000000000003</v>
      </c>
      <c r="BA149" s="645" cm="1">
        <f t="array" aca="1" ref="BA149" ca="1">IF($C$4=Lookups!$D$40,INDIRECT("'Yr1'!"&amp;ADDRESS(ROW(BA149),COLUMN(BA149))),
IF(BA91=0,0,SUMIFS('EE Inputs'!$T$9:$T$32,'EE Inputs'!$C$9:$C$32,$AM$6,'EE Inputs'!$D$9:$D$32,$C$4,'EE Inputs'!$E$9:$E$32,$B149)))</f>
        <v>55.944000000000003</v>
      </c>
      <c r="BB149" s="645" cm="1">
        <f t="array" aca="1" ref="BB149" ca="1">IF($C$4=Lookups!$D$40,INDIRECT("'Yr1'!"&amp;ADDRESS(ROW(BB149),COLUMN(BB149))),
IF(BB91=0,0,SUMIFS('EE Inputs'!$T$9:$T$32,'EE Inputs'!$C$9:$C$32,$AM$6,'EE Inputs'!$D$9:$D$32,$C$4,'EE Inputs'!$E$9:$E$32,$B149)))</f>
        <v>55.944000000000003</v>
      </c>
      <c r="BC149" s="645" cm="1">
        <f t="array" aca="1" ref="BC149" ca="1">IF($C$4=Lookups!$D$40,INDIRECT("'Yr1'!"&amp;ADDRESS(ROW(BC149),COLUMN(BC149))),
IF(BC91=0,0,SUMIFS('EE Inputs'!$T$9:$T$32,'EE Inputs'!$C$9:$C$32,$AM$6,'EE Inputs'!$D$9:$D$32,$C$4,'EE Inputs'!$E$9:$E$32,$B149)))</f>
        <v>55.944000000000003</v>
      </c>
      <c r="BD149" s="645" cm="1">
        <f t="array" aca="1" ref="BD149" ca="1">IF($C$4=Lookups!$D$40,INDIRECT("'Yr1'!"&amp;ADDRESS(ROW(BD149),COLUMN(BD149))),
IF(BD91=0,0,SUMIFS('EE Inputs'!$T$9:$T$32,'EE Inputs'!$C$9:$C$32,$AM$6,'EE Inputs'!$D$9:$D$32,$C$4,'EE Inputs'!$E$9:$E$32,$B149)))</f>
        <v>55.944000000000003</v>
      </c>
      <c r="BE149" s="645" cm="1">
        <f t="array" aca="1" ref="BE149" ca="1">IF($C$4=Lookups!$D$40,INDIRECT("'Yr1'!"&amp;ADDRESS(ROW(BE149),COLUMN(BE149))),
IF(BE91=0,0,SUMIFS('EE Inputs'!$T$9:$T$32,'EE Inputs'!$C$9:$C$32,$AM$6,'EE Inputs'!$D$9:$D$32,$C$4,'EE Inputs'!$E$9:$E$32,$B149)))</f>
        <v>55.944000000000003</v>
      </c>
      <c r="BF149" s="645" cm="1">
        <f t="array" aca="1" ref="BF149" ca="1">IF($C$4=Lookups!$D$40,INDIRECT("'Yr1'!"&amp;ADDRESS(ROW(BF149),COLUMN(BF149))),
IF(BF91=0,0,SUMIFS('EE Inputs'!$T$9:$T$32,'EE Inputs'!$C$9:$C$32,$AM$6,'EE Inputs'!$D$9:$D$32,$C$4,'EE Inputs'!$E$9:$E$32,$B149)))</f>
        <v>55.944000000000003</v>
      </c>
      <c r="BG149" s="645" cm="1">
        <f t="array" aca="1" ref="BG149" ca="1">IF($C$4=Lookups!$D$40,INDIRECT("'Yr1'!"&amp;ADDRESS(ROW(BG149),COLUMN(BG149))),
IF(BG91=0,0,SUMIFS('EE Inputs'!$T$9:$T$32,'EE Inputs'!$C$9:$C$32,$AM$6,'EE Inputs'!$D$9:$D$32,$C$4,'EE Inputs'!$E$9:$E$32,$B149)))</f>
        <v>0</v>
      </c>
      <c r="BH149" s="645" cm="1">
        <f t="array" aca="1" ref="BH149" ca="1">IF($C$4=Lookups!$D$40,INDIRECT("'Yr1'!"&amp;ADDRESS(ROW(BH149),COLUMN(BH149))),
IF(BH91=0,0,SUMIFS('EE Inputs'!$T$9:$T$32,'EE Inputs'!$C$9:$C$32,$AM$6,'EE Inputs'!$D$9:$D$32,$C$4,'EE Inputs'!$E$9:$E$32,$B149)))</f>
        <v>0</v>
      </c>
      <c r="BI149" s="645" cm="1">
        <f t="array" aca="1" ref="BI149" ca="1">IF($C$4=Lookups!$D$40,INDIRECT("'Yr1'!"&amp;ADDRESS(ROW(BI149),COLUMN(BI149))),
IF(BI91=0,0,SUMIFS('EE Inputs'!$T$9:$T$32,'EE Inputs'!$C$9:$C$32,$AM$6,'EE Inputs'!$D$9:$D$32,$C$4,'EE Inputs'!$E$9:$E$32,$B149)))</f>
        <v>0</v>
      </c>
      <c r="BJ149" s="645" cm="1">
        <f t="array" aca="1" ref="BJ149" ca="1">IF($C$4=Lookups!$D$40,INDIRECT("'Yr1'!"&amp;ADDRESS(ROW(BJ149),COLUMN(BJ149))),
IF(BJ91=0,0,SUMIFS('EE Inputs'!$T$9:$T$32,'EE Inputs'!$C$9:$C$32,$AM$6,'EE Inputs'!$D$9:$D$32,$C$4,'EE Inputs'!$E$9:$E$32,$B149)))</f>
        <v>0</v>
      </c>
      <c r="BK149" s="645" cm="1">
        <f t="array" aca="1" ref="BK149" ca="1">IF($C$4=Lookups!$D$40,INDIRECT("'Yr1'!"&amp;ADDRESS(ROW(BK149),COLUMN(BK149))),
IF(BK91=0,0,SUMIFS('EE Inputs'!$T$9:$T$32,'EE Inputs'!$C$9:$C$32,$AM$6,'EE Inputs'!$D$9:$D$32,$C$4,'EE Inputs'!$E$9:$E$32,$B149)))</f>
        <v>0</v>
      </c>
      <c r="BL149" s="645" cm="1">
        <f t="array" aca="1" ref="BL149" ca="1">IF($C$4=Lookups!$D$40,INDIRECT("'Yr1'!"&amp;ADDRESS(ROW(BL149),COLUMN(BL149))),
IF(BL91=0,0,SUMIFS('EE Inputs'!$T$9:$T$32,'EE Inputs'!$C$9:$C$32,$AM$6,'EE Inputs'!$D$9:$D$32,$C$4,'EE Inputs'!$E$9:$E$32,$B149)))</f>
        <v>0</v>
      </c>
      <c r="BM149" s="645" cm="1">
        <f t="array" aca="1" ref="BM149" ca="1">IF($C$4=Lookups!$D$40,INDIRECT("'Yr1'!"&amp;ADDRESS(ROW(BM149),COLUMN(BM149))),
IF(BM91=0,0,SUMIFS('EE Inputs'!$T$9:$T$32,'EE Inputs'!$C$9:$C$32,$AM$6,'EE Inputs'!$D$9:$D$32,$C$4,'EE Inputs'!$E$9:$E$32,$B149)))</f>
        <v>0</v>
      </c>
      <c r="BN149" s="71"/>
      <c r="BO149" s="71"/>
      <c r="BP149" s="71"/>
      <c r="BS149" s="76" t="s">
        <v>96</v>
      </c>
      <c r="BT149" s="51" t="s">
        <v>17</v>
      </c>
    </row>
    <row r="150" spans="1:72" x14ac:dyDescent="0.25">
      <c r="B150" s="243" t="str">
        <f t="shared" si="136"/>
        <v>Low-Income</v>
      </c>
      <c r="C150" s="243" t="str">
        <f t="shared" si="136"/>
        <v>Bills</v>
      </c>
      <c r="D150" s="114" t="s">
        <v>111</v>
      </c>
      <c r="E150" s="84"/>
      <c r="F150" s="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49"/>
      <c r="AI150" s="184"/>
      <c r="AJ150" s="49"/>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S150" s="84"/>
      <c r="BT150" s="51" t="s">
        <v>17</v>
      </c>
    </row>
    <row r="151" spans="1:72" x14ac:dyDescent="0.25">
      <c r="B151" s="243" t="str">
        <f t="shared" si="136"/>
        <v>Low-Income</v>
      </c>
      <c r="C151" s="243" t="str">
        <f t="shared" si="136"/>
        <v>Bills</v>
      </c>
      <c r="D151" s="244" t="str">
        <f t="shared" si="136"/>
        <v>Bills after DSM Scenario</v>
      </c>
      <c r="E151" s="84" t="s">
        <v>348</v>
      </c>
      <c r="F151" s="84" t="s">
        <v>32</v>
      </c>
      <c r="G151" s="103">
        <f ca="1">G143+G144*(G136-G135)</f>
        <v>657.05234577695774</v>
      </c>
      <c r="H151" s="103">
        <f ca="1">H143+H144*(H136-H135)</f>
        <v>613.97120538038007</v>
      </c>
      <c r="I151" s="103">
        <f t="shared" ref="I151:AG151" ca="1" si="146">I143+I144*(I136-I135)</f>
        <v>613.97120538038007</v>
      </c>
      <c r="J151" s="103">
        <f t="shared" ca="1" si="146"/>
        <v>613.97120538038007</v>
      </c>
      <c r="K151" s="103">
        <f t="shared" ca="1" si="146"/>
        <v>613.97120538038007</v>
      </c>
      <c r="L151" s="103">
        <f t="shared" ca="1" si="146"/>
        <v>613.97120538038007</v>
      </c>
      <c r="M151" s="103">
        <f t="shared" ca="1" si="146"/>
        <v>613.97120538038007</v>
      </c>
      <c r="N151" s="103">
        <f t="shared" ca="1" si="146"/>
        <v>613.97120538038007</v>
      </c>
      <c r="O151" s="103">
        <f t="shared" ca="1" si="146"/>
        <v>613.97120538038007</v>
      </c>
      <c r="P151" s="103">
        <f t="shared" ca="1" si="146"/>
        <v>613.97120538038007</v>
      </c>
      <c r="Q151" s="103">
        <f t="shared" ca="1" si="146"/>
        <v>613.97120538038007</v>
      </c>
      <c r="R151" s="103">
        <f t="shared" ca="1" si="146"/>
        <v>613.97120538038007</v>
      </c>
      <c r="S151" s="103">
        <f t="shared" ca="1" si="146"/>
        <v>613.97120538038007</v>
      </c>
      <c r="T151" s="103">
        <f t="shared" ca="1" si="146"/>
        <v>613.97120538038007</v>
      </c>
      <c r="U151" s="103">
        <f t="shared" ca="1" si="146"/>
        <v>613.97120538038007</v>
      </c>
      <c r="V151" s="103">
        <f t="shared" ca="1" si="146"/>
        <v>613.97120538038007</v>
      </c>
      <c r="W151" s="103">
        <f t="shared" ca="1" si="146"/>
        <v>613.97120538038007</v>
      </c>
      <c r="X151" s="103">
        <f t="shared" ca="1" si="146"/>
        <v>613.97120538038007</v>
      </c>
      <c r="Y151" s="103">
        <f t="shared" ca="1" si="146"/>
        <v>613.97120538038007</v>
      </c>
      <c r="Z151" s="103">
        <f t="shared" ca="1" si="146"/>
        <v>613.97120538038007</v>
      </c>
      <c r="AA151" s="103">
        <f t="shared" ca="1" si="146"/>
        <v>612.48659999999995</v>
      </c>
      <c r="AB151" s="103">
        <f t="shared" ca="1" si="146"/>
        <v>612.48659999999995</v>
      </c>
      <c r="AC151" s="103">
        <f t="shared" ca="1" si="146"/>
        <v>612.48659999999995</v>
      </c>
      <c r="AD151" s="103">
        <f t="shared" ca="1" si="146"/>
        <v>612.48659999999995</v>
      </c>
      <c r="AE151" s="103">
        <f t="shared" ca="1" si="146"/>
        <v>612.48659999999995</v>
      </c>
      <c r="AF151" s="103">
        <f t="shared" ca="1" si="146"/>
        <v>612.48659999999995</v>
      </c>
      <c r="AG151" s="103">
        <f t="shared" ca="1" si="146"/>
        <v>612.48659999999995</v>
      </c>
      <c r="AH151" s="103"/>
      <c r="AI151" s="103"/>
      <c r="AJ151" s="103">
        <f ca="1">IF($C$4=Year1,-PMT(Lookups!$E$17,25,NPV(Lookups!$E$17,G151:AE151),0,1),IF($C$4=Year2,-PMT(Lookups!$F$17,25,NPV(Lookups!$F$17,H151:AF151),0,1),IF($C$4=Year3,-PMT(Lookups!$G$17,25,NPV(Lookups!$G$17,I151:AG151),0,1),-PMT(Lookups!$G$17,27,NPV(Lookups!$G$17,G151:AG151),0,1))))</f>
        <v>607.15601347507345</v>
      </c>
      <c r="AM151" s="149">
        <f ca="1">AM143+AM144*(AM136-AM135)</f>
        <v>665.88529034660701</v>
      </c>
      <c r="AN151" s="149">
        <f t="shared" ref="AN151:BM151" ca="1" si="147">AN143+AN144*(AN136-AN135)</f>
        <v>614.18792187071369</v>
      </c>
      <c r="AO151" s="149">
        <f t="shared" ca="1" si="147"/>
        <v>614.18792187071369</v>
      </c>
      <c r="AP151" s="149">
        <f t="shared" ca="1" si="147"/>
        <v>614.18792187071369</v>
      </c>
      <c r="AQ151" s="149">
        <f t="shared" ca="1" si="147"/>
        <v>614.18792187071369</v>
      </c>
      <c r="AR151" s="149">
        <f t="shared" ca="1" si="147"/>
        <v>614.18792187071369</v>
      </c>
      <c r="AS151" s="149">
        <f t="shared" ca="1" si="147"/>
        <v>614.18792187071369</v>
      </c>
      <c r="AT151" s="149">
        <f t="shared" ca="1" si="147"/>
        <v>614.18792187071369</v>
      </c>
      <c r="AU151" s="149">
        <f t="shared" ca="1" si="147"/>
        <v>614.18792187071369</v>
      </c>
      <c r="AV151" s="149">
        <f t="shared" ca="1" si="147"/>
        <v>614.18792187071369</v>
      </c>
      <c r="AW151" s="149">
        <f t="shared" ca="1" si="147"/>
        <v>614.18792187071369</v>
      </c>
      <c r="AX151" s="149">
        <f t="shared" ca="1" si="147"/>
        <v>614.18792187071369</v>
      </c>
      <c r="AY151" s="149">
        <f t="shared" ca="1" si="147"/>
        <v>614.18792187071369</v>
      </c>
      <c r="AZ151" s="149">
        <f t="shared" ca="1" si="147"/>
        <v>614.18792187071369</v>
      </c>
      <c r="BA151" s="149">
        <f t="shared" ca="1" si="147"/>
        <v>614.18792187071369</v>
      </c>
      <c r="BB151" s="149">
        <f t="shared" ca="1" si="147"/>
        <v>614.18792187071369</v>
      </c>
      <c r="BC151" s="149">
        <f t="shared" ca="1" si="147"/>
        <v>614.18792187071369</v>
      </c>
      <c r="BD151" s="149">
        <f t="shared" ca="1" si="147"/>
        <v>614.18792187071369</v>
      </c>
      <c r="BE151" s="149">
        <f t="shared" ca="1" si="147"/>
        <v>614.18792187071369</v>
      </c>
      <c r="BF151" s="149">
        <f t="shared" ca="1" si="147"/>
        <v>614.18792187071369</v>
      </c>
      <c r="BG151" s="149">
        <f t="shared" ca="1" si="147"/>
        <v>612.48659999999995</v>
      </c>
      <c r="BH151" s="149">
        <f t="shared" ca="1" si="147"/>
        <v>612.48659999999995</v>
      </c>
      <c r="BI151" s="149">
        <f t="shared" ca="1" si="147"/>
        <v>612.48659999999995</v>
      </c>
      <c r="BJ151" s="149">
        <f t="shared" ca="1" si="147"/>
        <v>612.48659999999995</v>
      </c>
      <c r="BK151" s="149">
        <f t="shared" ca="1" si="147"/>
        <v>612.48659999999995</v>
      </c>
      <c r="BL151" s="149">
        <f t="shared" ca="1" si="147"/>
        <v>612.48659999999995</v>
      </c>
      <c r="BM151" s="149">
        <f t="shared" ca="1" si="147"/>
        <v>612.48659999999995</v>
      </c>
      <c r="BN151" s="149"/>
      <c r="BO151" s="149"/>
      <c r="BP151" s="149">
        <f ca="1">IF($C$4=Year1,-PMT(Lookups!$E$17,25,NPV(Lookups!$E$17,AM151:BK151),0,1),IF($C$4=Year2,-PMT(Lookups!$F$17,25,NPV(Lookups!$F$17,AN151:BL151),0,1),IF($C$4=Year3,-PMT(Lookups!$G$17,25,NPV(Lookups!$G$17,AO151:BM151),0,1),-PMT(Lookups!$G$17,27,NPV(Lookups!$G$17,AM151:BM151),0,1))))</f>
        <v>607.73292447173583</v>
      </c>
      <c r="BS151" s="84" t="s">
        <v>239</v>
      </c>
      <c r="BT151" s="51" t="s">
        <v>17</v>
      </c>
    </row>
    <row r="152" spans="1:72" x14ac:dyDescent="0.25">
      <c r="B152" s="243" t="str">
        <f t="shared" si="136"/>
        <v>Low-Income</v>
      </c>
      <c r="C152" s="243" t="str">
        <f t="shared" si="136"/>
        <v>Bills</v>
      </c>
      <c r="D152" s="244" t="str">
        <f t="shared" si="136"/>
        <v>Bills after DSM Scenario</v>
      </c>
      <c r="E152" s="84" t="s">
        <v>349</v>
      </c>
      <c r="F152" s="84" t="s">
        <v>32</v>
      </c>
      <c r="G152" s="103">
        <f ca="1">G143+(G144-G147)*(G136-G135)</f>
        <v>643.90090724145557</v>
      </c>
      <c r="H152" s="103">
        <f ca="1">H143+(H144-H147)*(H136-H135)</f>
        <v>601.78978292891213</v>
      </c>
      <c r="I152" s="103">
        <f t="shared" ref="I152:AG152" ca="1" si="148">I143+(I144-I147)*(I136-I135)</f>
        <v>601.78978292891213</v>
      </c>
      <c r="J152" s="103">
        <f t="shared" ca="1" si="148"/>
        <v>601.78978292891213</v>
      </c>
      <c r="K152" s="103">
        <f t="shared" ca="1" si="148"/>
        <v>601.78978292891213</v>
      </c>
      <c r="L152" s="103">
        <f t="shared" ca="1" si="148"/>
        <v>601.78978292891213</v>
      </c>
      <c r="M152" s="103">
        <f t="shared" ca="1" si="148"/>
        <v>601.78978292891213</v>
      </c>
      <c r="N152" s="103">
        <f t="shared" ca="1" si="148"/>
        <v>601.78978292891213</v>
      </c>
      <c r="O152" s="103">
        <f t="shared" ca="1" si="148"/>
        <v>601.78978292891213</v>
      </c>
      <c r="P152" s="103">
        <f t="shared" ca="1" si="148"/>
        <v>601.78978292891213</v>
      </c>
      <c r="Q152" s="103">
        <f t="shared" ca="1" si="148"/>
        <v>601.78978292891213</v>
      </c>
      <c r="R152" s="103">
        <f t="shared" ca="1" si="148"/>
        <v>601.78978292891213</v>
      </c>
      <c r="S152" s="103">
        <f t="shared" ca="1" si="148"/>
        <v>601.78978292891213</v>
      </c>
      <c r="T152" s="103">
        <f t="shared" ca="1" si="148"/>
        <v>601.78978292891213</v>
      </c>
      <c r="U152" s="103">
        <f t="shared" ca="1" si="148"/>
        <v>601.78978292891213</v>
      </c>
      <c r="V152" s="103">
        <f t="shared" ca="1" si="148"/>
        <v>601.78978292891213</v>
      </c>
      <c r="W152" s="103">
        <f t="shared" ca="1" si="148"/>
        <v>601.78978292891213</v>
      </c>
      <c r="X152" s="103">
        <f t="shared" ca="1" si="148"/>
        <v>601.78978292891213</v>
      </c>
      <c r="Y152" s="103">
        <f t="shared" ca="1" si="148"/>
        <v>601.78978292891213</v>
      </c>
      <c r="Z152" s="103">
        <f t="shared" ca="1" si="148"/>
        <v>601.78978292891213</v>
      </c>
      <c r="AA152" s="103">
        <f t="shared" ca="1" si="148"/>
        <v>612.48659999999995</v>
      </c>
      <c r="AB152" s="103">
        <f t="shared" ca="1" si="148"/>
        <v>612.48659999999995</v>
      </c>
      <c r="AC152" s="103">
        <f t="shared" ca="1" si="148"/>
        <v>612.48659999999995</v>
      </c>
      <c r="AD152" s="103">
        <f t="shared" ca="1" si="148"/>
        <v>612.48659999999995</v>
      </c>
      <c r="AE152" s="103">
        <f t="shared" ca="1" si="148"/>
        <v>612.48659999999995</v>
      </c>
      <c r="AF152" s="103">
        <f t="shared" ca="1" si="148"/>
        <v>612.48659999999995</v>
      </c>
      <c r="AG152" s="103">
        <f t="shared" ca="1" si="148"/>
        <v>612.48659999999995</v>
      </c>
      <c r="AH152" s="103"/>
      <c r="AI152" s="103"/>
      <c r="AJ152" s="103">
        <f ca="1">IF($C$4=Year1,-PMT(Lookups!$E$17,25,NPV(Lookups!$E$17,G152:AE152),0,1),IF($C$4=Year2,-PMT(Lookups!$F$17,25,NPV(Lookups!$F$17,H152:AF152),0,1),IF($C$4=Year3,-PMT(Lookups!$G$17,25,NPV(Lookups!$G$17,I152:AG152),0,1),-PMT(Lookups!$G$17,27,NPV(Lookups!$G$17,G152:AG152),0,1))))</f>
        <v>597.17669939774578</v>
      </c>
      <c r="AM152" s="149">
        <f ca="1">AM143+(AM144-AM147)*(AM136-AM135)</f>
        <v>650.62778023635087</v>
      </c>
      <c r="AN152" s="149">
        <f t="shared" ref="AN152:BM152" ca="1" si="149">AN143+(AN144-AN147)*(AN136-AN135)</f>
        <v>600.26071953284747</v>
      </c>
      <c r="AO152" s="149">
        <f t="shared" ca="1" si="149"/>
        <v>600.26071953284747</v>
      </c>
      <c r="AP152" s="149">
        <f t="shared" ca="1" si="149"/>
        <v>600.26071953284747</v>
      </c>
      <c r="AQ152" s="149">
        <f t="shared" ca="1" si="149"/>
        <v>600.26071953284747</v>
      </c>
      <c r="AR152" s="149">
        <f t="shared" ca="1" si="149"/>
        <v>600.26071953284747</v>
      </c>
      <c r="AS152" s="149">
        <f t="shared" ca="1" si="149"/>
        <v>600.26071953284747</v>
      </c>
      <c r="AT152" s="149">
        <f t="shared" ca="1" si="149"/>
        <v>600.26071953284747</v>
      </c>
      <c r="AU152" s="149">
        <f t="shared" ca="1" si="149"/>
        <v>600.26071953284747</v>
      </c>
      <c r="AV152" s="149">
        <f t="shared" ca="1" si="149"/>
        <v>600.26071953284747</v>
      </c>
      <c r="AW152" s="149">
        <f t="shared" ca="1" si="149"/>
        <v>600.26071953284747</v>
      </c>
      <c r="AX152" s="149">
        <f t="shared" ca="1" si="149"/>
        <v>600.26071953284747</v>
      </c>
      <c r="AY152" s="149">
        <f t="shared" ca="1" si="149"/>
        <v>600.26071953284747</v>
      </c>
      <c r="AZ152" s="149">
        <f t="shared" ca="1" si="149"/>
        <v>600.26071953284747</v>
      </c>
      <c r="BA152" s="149">
        <f t="shared" ca="1" si="149"/>
        <v>600.26071953284747</v>
      </c>
      <c r="BB152" s="149">
        <f t="shared" ca="1" si="149"/>
        <v>600.26071953284747</v>
      </c>
      <c r="BC152" s="149">
        <f t="shared" ca="1" si="149"/>
        <v>600.26071953284747</v>
      </c>
      <c r="BD152" s="149">
        <f t="shared" ca="1" si="149"/>
        <v>600.26071953284747</v>
      </c>
      <c r="BE152" s="149">
        <f t="shared" ca="1" si="149"/>
        <v>600.26071953284747</v>
      </c>
      <c r="BF152" s="149">
        <f t="shared" ca="1" si="149"/>
        <v>600.26071953284747</v>
      </c>
      <c r="BG152" s="149">
        <f t="shared" ca="1" si="149"/>
        <v>612.48659999999995</v>
      </c>
      <c r="BH152" s="149">
        <f t="shared" ca="1" si="149"/>
        <v>612.48659999999995</v>
      </c>
      <c r="BI152" s="149">
        <f t="shared" ca="1" si="149"/>
        <v>612.48659999999995</v>
      </c>
      <c r="BJ152" s="149">
        <f t="shared" ca="1" si="149"/>
        <v>612.48659999999995</v>
      </c>
      <c r="BK152" s="149">
        <f t="shared" ca="1" si="149"/>
        <v>612.48659999999995</v>
      </c>
      <c r="BL152" s="149">
        <f t="shared" ca="1" si="149"/>
        <v>612.48659999999995</v>
      </c>
      <c r="BM152" s="149">
        <f t="shared" ca="1" si="149"/>
        <v>612.48659999999995</v>
      </c>
      <c r="BN152" s="149"/>
      <c r="BO152" s="149"/>
      <c r="BP152" s="149">
        <f ca="1">IF($C$4=Year1,-PMT(Lookups!$E$17,25,NPV(Lookups!$E$17,AM152:BK152),0,1),IF($C$4=Year2,-PMT(Lookups!$F$17,25,NPV(Lookups!$F$17,AN152:BL152),0,1),IF($C$4=Year3,-PMT(Lookups!$G$17,25,NPV(Lookups!$G$17,AO152:BM152),0,1),-PMT(Lookups!$G$17,27,NPV(Lookups!$G$17,AM152:BM152),0,1))))</f>
        <v>596.31314867697142</v>
      </c>
      <c r="BS152" s="84" t="s">
        <v>240</v>
      </c>
      <c r="BT152" s="51" t="s">
        <v>17</v>
      </c>
    </row>
    <row r="153" spans="1:72" x14ac:dyDescent="0.25">
      <c r="B153" s="243" t="str">
        <f t="shared" si="136"/>
        <v>Low-Income</v>
      </c>
      <c r="C153" s="243" t="str">
        <f t="shared" si="136"/>
        <v>Bills</v>
      </c>
      <c r="D153" s="244" t="str">
        <f t="shared" si="136"/>
        <v>Bills after DSM Scenario</v>
      </c>
      <c r="E153" s="84" t="str">
        <f>'EE Inputs'!$N$15&amp;" Participant Annual Bill"</f>
        <v>Low Savings Participant Annual Bill</v>
      </c>
      <c r="F153" s="84" t="s">
        <v>32</v>
      </c>
      <c r="G153" s="103">
        <f ca="1">G143+(G144-G148)*(G136-G135)</f>
        <v>651.21142231918816</v>
      </c>
      <c r="H153" s="103">
        <f ca="1">H143+(H144-H148)*(H136-H135)</f>
        <v>608.56109332657638</v>
      </c>
      <c r="I153" s="103">
        <f t="shared" ref="I153:AG153" ca="1" si="150">I143+(I144-I148)*(I136-I135)</f>
        <v>608.56109332657638</v>
      </c>
      <c r="J153" s="103">
        <f t="shared" ca="1" si="150"/>
        <v>608.56109332657638</v>
      </c>
      <c r="K153" s="103">
        <f t="shared" ca="1" si="150"/>
        <v>608.56109332657638</v>
      </c>
      <c r="L153" s="103">
        <f t="shared" ca="1" si="150"/>
        <v>608.56109332657638</v>
      </c>
      <c r="M153" s="103">
        <f t="shared" ca="1" si="150"/>
        <v>608.56109332657638</v>
      </c>
      <c r="N153" s="103">
        <f t="shared" ca="1" si="150"/>
        <v>608.56109332657638</v>
      </c>
      <c r="O153" s="103">
        <f t="shared" ca="1" si="150"/>
        <v>608.56109332657638</v>
      </c>
      <c r="P153" s="103">
        <f t="shared" ca="1" si="150"/>
        <v>608.56109332657638</v>
      </c>
      <c r="Q153" s="103">
        <f t="shared" ca="1" si="150"/>
        <v>608.56109332657638</v>
      </c>
      <c r="R153" s="103">
        <f t="shared" ca="1" si="150"/>
        <v>608.56109332657638</v>
      </c>
      <c r="S153" s="103">
        <f t="shared" ca="1" si="150"/>
        <v>608.56109332657638</v>
      </c>
      <c r="T153" s="103">
        <f t="shared" ca="1" si="150"/>
        <v>608.56109332657638</v>
      </c>
      <c r="U153" s="103">
        <f t="shared" ca="1" si="150"/>
        <v>608.56109332657638</v>
      </c>
      <c r="V153" s="103">
        <f t="shared" ca="1" si="150"/>
        <v>608.56109332657638</v>
      </c>
      <c r="W153" s="103">
        <f t="shared" ca="1" si="150"/>
        <v>608.56109332657638</v>
      </c>
      <c r="X153" s="103">
        <f t="shared" ca="1" si="150"/>
        <v>608.56109332657638</v>
      </c>
      <c r="Y153" s="103">
        <f t="shared" ca="1" si="150"/>
        <v>608.56109332657638</v>
      </c>
      <c r="Z153" s="103">
        <f t="shared" ca="1" si="150"/>
        <v>608.56109332657638</v>
      </c>
      <c r="AA153" s="103">
        <f t="shared" ca="1" si="150"/>
        <v>612.48659999999995</v>
      </c>
      <c r="AB153" s="103">
        <f t="shared" ca="1" si="150"/>
        <v>612.48659999999995</v>
      </c>
      <c r="AC153" s="103">
        <f t="shared" ca="1" si="150"/>
        <v>612.48659999999995</v>
      </c>
      <c r="AD153" s="103">
        <f t="shared" ca="1" si="150"/>
        <v>612.48659999999995</v>
      </c>
      <c r="AE153" s="103">
        <f t="shared" ca="1" si="150"/>
        <v>612.48659999999995</v>
      </c>
      <c r="AF153" s="103">
        <f t="shared" ca="1" si="150"/>
        <v>612.48659999999995</v>
      </c>
      <c r="AG153" s="103">
        <f t="shared" ca="1" si="150"/>
        <v>612.48659999999995</v>
      </c>
      <c r="AH153" s="103"/>
      <c r="AI153" s="103"/>
      <c r="AJ153" s="103">
        <f ca="1">IF($C$4=Year1,-PMT(Lookups!$E$17,25,NPV(Lookups!$E$17,G153:AE153),0,1),IF($C$4=Year2,-PMT(Lookups!$F$17,25,NPV(Lookups!$F$17,H153:AF153),0,1),IF($C$4=Year3,-PMT(Lookups!$G$17,25,NPV(Lookups!$G$17,I153:AG153),0,1),-PMT(Lookups!$G$17,27,NPV(Lookups!$G$17,G153:AG153),0,1))))</f>
        <v>602.72391963763027</v>
      </c>
      <c r="AM153" s="149">
        <f ca="1">AM143+(AM144-AM148)*(AM136-AM135)</f>
        <v>658.77018686244776</v>
      </c>
      <c r="AN153" s="149">
        <f t="shared" ref="AN153:BM153" ca="1" si="151">AN143+(AN144-AN148)*(AN136-AN135)</f>
        <v>607.69318680826518</v>
      </c>
      <c r="AO153" s="149">
        <f t="shared" ca="1" si="151"/>
        <v>607.69318680826518</v>
      </c>
      <c r="AP153" s="149">
        <f t="shared" ca="1" si="151"/>
        <v>607.69318680826518</v>
      </c>
      <c r="AQ153" s="149">
        <f t="shared" ca="1" si="151"/>
        <v>607.69318680826518</v>
      </c>
      <c r="AR153" s="149">
        <f t="shared" ca="1" si="151"/>
        <v>607.69318680826518</v>
      </c>
      <c r="AS153" s="149">
        <f t="shared" ca="1" si="151"/>
        <v>607.69318680826518</v>
      </c>
      <c r="AT153" s="149">
        <f t="shared" ca="1" si="151"/>
        <v>607.69318680826518</v>
      </c>
      <c r="AU153" s="149">
        <f t="shared" ca="1" si="151"/>
        <v>607.69318680826518</v>
      </c>
      <c r="AV153" s="149">
        <f t="shared" ca="1" si="151"/>
        <v>607.69318680826518</v>
      </c>
      <c r="AW153" s="149">
        <f t="shared" ca="1" si="151"/>
        <v>607.69318680826518</v>
      </c>
      <c r="AX153" s="149">
        <f t="shared" ca="1" si="151"/>
        <v>607.69318680826518</v>
      </c>
      <c r="AY153" s="149">
        <f t="shared" ca="1" si="151"/>
        <v>607.69318680826518</v>
      </c>
      <c r="AZ153" s="149">
        <f t="shared" ca="1" si="151"/>
        <v>607.69318680826518</v>
      </c>
      <c r="BA153" s="149">
        <f t="shared" ca="1" si="151"/>
        <v>607.69318680826518</v>
      </c>
      <c r="BB153" s="149">
        <f t="shared" ca="1" si="151"/>
        <v>607.69318680826518</v>
      </c>
      <c r="BC153" s="149">
        <f t="shared" ca="1" si="151"/>
        <v>607.69318680826518</v>
      </c>
      <c r="BD153" s="149">
        <f t="shared" ca="1" si="151"/>
        <v>607.69318680826518</v>
      </c>
      <c r="BE153" s="149">
        <f t="shared" ca="1" si="151"/>
        <v>607.69318680826518</v>
      </c>
      <c r="BF153" s="149">
        <f t="shared" ca="1" si="151"/>
        <v>607.69318680826518</v>
      </c>
      <c r="BG153" s="149">
        <f t="shared" ca="1" si="151"/>
        <v>612.48659999999995</v>
      </c>
      <c r="BH153" s="149">
        <f t="shared" ca="1" si="151"/>
        <v>612.48659999999995</v>
      </c>
      <c r="BI153" s="149">
        <f t="shared" ca="1" si="151"/>
        <v>612.48659999999995</v>
      </c>
      <c r="BJ153" s="149">
        <f t="shared" ca="1" si="151"/>
        <v>612.48659999999995</v>
      </c>
      <c r="BK153" s="149">
        <f t="shared" ca="1" si="151"/>
        <v>612.48659999999995</v>
      </c>
      <c r="BL153" s="149">
        <f t="shared" ca="1" si="151"/>
        <v>612.48659999999995</v>
      </c>
      <c r="BM153" s="149">
        <f t="shared" ca="1" si="151"/>
        <v>612.48659999999995</v>
      </c>
      <c r="BN153" s="149"/>
      <c r="BO153" s="149"/>
      <c r="BP153" s="149">
        <f ca="1">IF($C$4=Year1,-PMT(Lookups!$E$17,25,NPV(Lookups!$E$17,AM153:BK153),0,1),IF($C$4=Year2,-PMT(Lookups!$F$17,25,NPV(Lookups!$F$17,AN153:BL153),0,1),IF($C$4=Year3,-PMT(Lookups!$G$17,25,NPV(Lookups!$G$17,AO153:BM153),0,1),-PMT(Lookups!$G$17,27,NPV(Lookups!$G$17,AM153:BM153),0,1))))</f>
        <v>602.40748893484397</v>
      </c>
      <c r="BS153" s="84" t="s">
        <v>240</v>
      </c>
      <c r="BT153" s="51" t="s">
        <v>17</v>
      </c>
    </row>
    <row r="154" spans="1:72" x14ac:dyDescent="0.25">
      <c r="B154" s="243" t="str">
        <f t="shared" ref="B154:D164" si="152">B153</f>
        <v>Low-Income</v>
      </c>
      <c r="C154" s="243" t="str">
        <f t="shared" si="152"/>
        <v>Bills</v>
      </c>
      <c r="D154" s="244" t="str">
        <f t="shared" si="152"/>
        <v>Bills after DSM Scenario</v>
      </c>
      <c r="E154" s="84" t="str">
        <f>'EE Inputs'!$N$16&amp;" Participant Annual Bill"</f>
        <v>High Savings Participant Annual Bill</v>
      </c>
      <c r="F154" s="84" t="s">
        <v>32</v>
      </c>
      <c r="G154" s="103">
        <f ca="1">G143+(G144-G149)*(G136-G135)</f>
        <v>616.1658815725707</v>
      </c>
      <c r="H154" s="103">
        <f ca="1">H143+(H144-H149)*(H136-H135)</f>
        <v>576.10042100375347</v>
      </c>
      <c r="I154" s="103">
        <f t="shared" ref="I154:AG154" ca="1" si="153">I143+(I144-I149)*(I136-I135)</f>
        <v>576.10042100375347</v>
      </c>
      <c r="J154" s="103">
        <f t="shared" ca="1" si="153"/>
        <v>576.10042100375347</v>
      </c>
      <c r="K154" s="103">
        <f t="shared" ca="1" si="153"/>
        <v>576.10042100375347</v>
      </c>
      <c r="L154" s="103">
        <f t="shared" ca="1" si="153"/>
        <v>576.10042100375347</v>
      </c>
      <c r="M154" s="103">
        <f t="shared" ca="1" si="153"/>
        <v>576.10042100375347</v>
      </c>
      <c r="N154" s="103">
        <f t="shared" ca="1" si="153"/>
        <v>576.10042100375347</v>
      </c>
      <c r="O154" s="103">
        <f t="shared" ca="1" si="153"/>
        <v>576.10042100375347</v>
      </c>
      <c r="P154" s="103">
        <f t="shared" ca="1" si="153"/>
        <v>576.10042100375347</v>
      </c>
      <c r="Q154" s="103">
        <f t="shared" ca="1" si="153"/>
        <v>576.10042100375347</v>
      </c>
      <c r="R154" s="103">
        <f t="shared" ca="1" si="153"/>
        <v>576.10042100375347</v>
      </c>
      <c r="S154" s="103">
        <f t="shared" ca="1" si="153"/>
        <v>576.10042100375347</v>
      </c>
      <c r="T154" s="103">
        <f t="shared" ca="1" si="153"/>
        <v>576.10042100375347</v>
      </c>
      <c r="U154" s="103">
        <f t="shared" ca="1" si="153"/>
        <v>576.10042100375347</v>
      </c>
      <c r="V154" s="103">
        <f t="shared" ca="1" si="153"/>
        <v>576.10042100375347</v>
      </c>
      <c r="W154" s="103">
        <f t="shared" ca="1" si="153"/>
        <v>576.10042100375347</v>
      </c>
      <c r="X154" s="103">
        <f t="shared" ca="1" si="153"/>
        <v>576.10042100375347</v>
      </c>
      <c r="Y154" s="103">
        <f t="shared" ca="1" si="153"/>
        <v>576.10042100375347</v>
      </c>
      <c r="Z154" s="103">
        <f t="shared" ca="1" si="153"/>
        <v>576.10042100375347</v>
      </c>
      <c r="AA154" s="103">
        <f t="shared" ca="1" si="153"/>
        <v>612.48659999999995</v>
      </c>
      <c r="AB154" s="103">
        <f t="shared" ca="1" si="153"/>
        <v>612.48659999999995</v>
      </c>
      <c r="AC154" s="103">
        <f t="shared" ca="1" si="153"/>
        <v>612.48659999999995</v>
      </c>
      <c r="AD154" s="103">
        <f t="shared" ca="1" si="153"/>
        <v>612.48659999999995</v>
      </c>
      <c r="AE154" s="103">
        <f t="shared" ca="1" si="153"/>
        <v>612.48659999999995</v>
      </c>
      <c r="AF154" s="103">
        <f t="shared" ca="1" si="153"/>
        <v>612.48659999999995</v>
      </c>
      <c r="AG154" s="103">
        <f t="shared" ca="1" si="153"/>
        <v>612.48659999999995</v>
      </c>
      <c r="AH154" s="103"/>
      <c r="AI154" s="103"/>
      <c r="AJ154" s="103">
        <f ca="1">IF($C$4=Year1,-PMT(Lookups!$E$17,25,NPV(Lookups!$E$17,G154:AE154),0,1),IF($C$4=Year2,-PMT(Lookups!$F$17,25,NPV(Lookups!$F$17,H154:AF154),0,1),IF($C$4=Year3,-PMT(Lookups!$G$17,25,NPV(Lookups!$G$17,I154:AG154),0,1),-PMT(Lookups!$G$17,27,NPV(Lookups!$G$17,G154:AG154),0,1))))</f>
        <v>576.13135661297031</v>
      </c>
      <c r="AM154" s="149">
        <f ca="1">AM143+(AM144-AM149)*(AM136-AM135)</f>
        <v>616.07956595749204</v>
      </c>
      <c r="AN154" s="149">
        <f t="shared" ref="AN154:BM154" ca="1" si="154">AN143+(AN144-AN149)*(AN136-AN135)</f>
        <v>568.72477643357377</v>
      </c>
      <c r="AO154" s="149">
        <f t="shared" ca="1" si="154"/>
        <v>568.72477643357377</v>
      </c>
      <c r="AP154" s="149">
        <f t="shared" ca="1" si="154"/>
        <v>568.72477643357377</v>
      </c>
      <c r="AQ154" s="149">
        <f t="shared" ca="1" si="154"/>
        <v>568.72477643357377</v>
      </c>
      <c r="AR154" s="149">
        <f t="shared" ca="1" si="154"/>
        <v>568.72477643357377</v>
      </c>
      <c r="AS154" s="149">
        <f t="shared" ca="1" si="154"/>
        <v>568.72477643357377</v>
      </c>
      <c r="AT154" s="149">
        <f t="shared" ca="1" si="154"/>
        <v>568.72477643357377</v>
      </c>
      <c r="AU154" s="149">
        <f t="shared" ca="1" si="154"/>
        <v>568.72477643357377</v>
      </c>
      <c r="AV154" s="149">
        <f t="shared" ca="1" si="154"/>
        <v>568.72477643357377</v>
      </c>
      <c r="AW154" s="149">
        <f t="shared" ca="1" si="154"/>
        <v>568.72477643357377</v>
      </c>
      <c r="AX154" s="149">
        <f t="shared" ca="1" si="154"/>
        <v>568.72477643357377</v>
      </c>
      <c r="AY154" s="149">
        <f t="shared" ca="1" si="154"/>
        <v>568.72477643357377</v>
      </c>
      <c r="AZ154" s="149">
        <f t="shared" ca="1" si="154"/>
        <v>568.72477643357377</v>
      </c>
      <c r="BA154" s="149">
        <f t="shared" ca="1" si="154"/>
        <v>568.72477643357377</v>
      </c>
      <c r="BB154" s="149">
        <f t="shared" ca="1" si="154"/>
        <v>568.72477643357377</v>
      </c>
      <c r="BC154" s="149">
        <f t="shared" ca="1" si="154"/>
        <v>568.72477643357377</v>
      </c>
      <c r="BD154" s="149">
        <f t="shared" ca="1" si="154"/>
        <v>568.72477643357377</v>
      </c>
      <c r="BE154" s="149">
        <f t="shared" ca="1" si="154"/>
        <v>568.72477643357377</v>
      </c>
      <c r="BF154" s="149">
        <f t="shared" ca="1" si="154"/>
        <v>568.72477643357377</v>
      </c>
      <c r="BG154" s="149">
        <f t="shared" ca="1" si="154"/>
        <v>612.48659999999995</v>
      </c>
      <c r="BH154" s="149">
        <f t="shared" ca="1" si="154"/>
        <v>612.48659999999995</v>
      </c>
      <c r="BI154" s="149">
        <f t="shared" ca="1" si="154"/>
        <v>612.48659999999995</v>
      </c>
      <c r="BJ154" s="149">
        <f t="shared" ca="1" si="154"/>
        <v>612.48659999999995</v>
      </c>
      <c r="BK154" s="149">
        <f t="shared" ca="1" si="154"/>
        <v>612.48659999999995</v>
      </c>
      <c r="BL154" s="149">
        <f t="shared" ca="1" si="154"/>
        <v>612.48659999999995</v>
      </c>
      <c r="BM154" s="149">
        <f t="shared" ca="1" si="154"/>
        <v>612.48659999999995</v>
      </c>
      <c r="BN154" s="149"/>
      <c r="BO154" s="149"/>
      <c r="BP154" s="149">
        <f ca="1">IF($C$4=Year1,-PMT(Lookups!$E$17,25,NPV(Lookups!$E$17,AM154:BK154),0,1),IF($C$4=Year2,-PMT(Lookups!$F$17,25,NPV(Lookups!$F$17,AN154:BL154),0,1),IF($C$4=Year3,-PMT(Lookups!$G$17,25,NPV(Lookups!$G$17,AO154:BM154),0,1),-PMT(Lookups!$G$17,27,NPV(Lookups!$G$17,AM154:BM154),0,1))))</f>
        <v>570.45487571349247</v>
      </c>
      <c r="BS154" s="84" t="s">
        <v>240</v>
      </c>
      <c r="BT154" s="51" t="s">
        <v>17</v>
      </c>
    </row>
    <row r="155" spans="1:72" x14ac:dyDescent="0.25">
      <c r="B155" s="243" t="str">
        <f t="shared" si="152"/>
        <v>Low-Income</v>
      </c>
      <c r="C155" s="243" t="str">
        <f t="shared" si="152"/>
        <v>Bills</v>
      </c>
      <c r="D155" s="114" t="s">
        <v>115</v>
      </c>
      <c r="E155" s="84"/>
      <c r="F155" s="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49"/>
      <c r="AI155" s="184"/>
      <c r="AJ155" s="49"/>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S155" s="84"/>
      <c r="BT155" s="51" t="s">
        <v>17</v>
      </c>
    </row>
    <row r="156" spans="1:72" x14ac:dyDescent="0.25">
      <c r="B156" s="243" t="str">
        <f t="shared" si="152"/>
        <v>Low-Income</v>
      </c>
      <c r="C156" s="243" t="str">
        <f t="shared" si="152"/>
        <v>Bills</v>
      </c>
      <c r="D156" s="244" t="str">
        <f t="shared" si="152"/>
        <v>Change in Bills</v>
      </c>
      <c r="E156" s="84" t="s">
        <v>348</v>
      </c>
      <c r="F156" s="84" t="s">
        <v>32</v>
      </c>
      <c r="G156" s="103">
        <f ca="1">G151-G145</f>
        <v>44.565745776957783</v>
      </c>
      <c r="H156" s="103">
        <f t="shared" ref="H156:AG156" ca="1" si="155">H151-H145</f>
        <v>1.4846053803801169</v>
      </c>
      <c r="I156" s="103">
        <f t="shared" ca="1" si="155"/>
        <v>1.4846053803801169</v>
      </c>
      <c r="J156" s="103">
        <f t="shared" ca="1" si="155"/>
        <v>1.4846053803801169</v>
      </c>
      <c r="K156" s="103">
        <f t="shared" ca="1" si="155"/>
        <v>1.4846053803801169</v>
      </c>
      <c r="L156" s="103">
        <f t="shared" ca="1" si="155"/>
        <v>1.4846053803801169</v>
      </c>
      <c r="M156" s="103">
        <f t="shared" ca="1" si="155"/>
        <v>1.4846053803801169</v>
      </c>
      <c r="N156" s="103">
        <f t="shared" ca="1" si="155"/>
        <v>1.4846053803801169</v>
      </c>
      <c r="O156" s="103">
        <f t="shared" ca="1" si="155"/>
        <v>1.4846053803801169</v>
      </c>
      <c r="P156" s="103">
        <f t="shared" ca="1" si="155"/>
        <v>1.4846053803801169</v>
      </c>
      <c r="Q156" s="103">
        <f t="shared" ca="1" si="155"/>
        <v>1.4846053803801169</v>
      </c>
      <c r="R156" s="103">
        <f t="shared" ca="1" si="155"/>
        <v>1.4846053803801169</v>
      </c>
      <c r="S156" s="103">
        <f t="shared" ca="1" si="155"/>
        <v>1.4846053803801169</v>
      </c>
      <c r="T156" s="103">
        <f t="shared" ca="1" si="155"/>
        <v>1.4846053803801169</v>
      </c>
      <c r="U156" s="103">
        <f t="shared" ca="1" si="155"/>
        <v>1.4846053803801169</v>
      </c>
      <c r="V156" s="103">
        <f t="shared" ca="1" si="155"/>
        <v>1.4846053803801169</v>
      </c>
      <c r="W156" s="103">
        <f t="shared" ca="1" si="155"/>
        <v>1.4846053803801169</v>
      </c>
      <c r="X156" s="103">
        <f t="shared" ca="1" si="155"/>
        <v>1.4846053803801169</v>
      </c>
      <c r="Y156" s="103">
        <f t="shared" ca="1" si="155"/>
        <v>1.4846053803801169</v>
      </c>
      <c r="Z156" s="103">
        <f t="shared" ca="1" si="155"/>
        <v>1.4846053803801169</v>
      </c>
      <c r="AA156" s="103">
        <f t="shared" ca="1" si="155"/>
        <v>0</v>
      </c>
      <c r="AB156" s="103">
        <f t="shared" ca="1" si="155"/>
        <v>0</v>
      </c>
      <c r="AC156" s="103">
        <f t="shared" ca="1" si="155"/>
        <v>0</v>
      </c>
      <c r="AD156" s="103">
        <f t="shared" ca="1" si="155"/>
        <v>0</v>
      </c>
      <c r="AE156" s="103">
        <f t="shared" ca="1" si="155"/>
        <v>0</v>
      </c>
      <c r="AF156" s="103">
        <f t="shared" ca="1" si="155"/>
        <v>0</v>
      </c>
      <c r="AG156" s="103">
        <f t="shared" ca="1" si="155"/>
        <v>0</v>
      </c>
      <c r="AH156" s="103"/>
      <c r="AI156" s="103">
        <f ca="1">NPV(Lookups!$E$17,G156:AG156)</f>
        <v>68.185339566145927</v>
      </c>
      <c r="AJ156" s="103">
        <f ca="1">IF($C$4=Year1,-PMT(Lookups!$E$17,25,NPV(Lookups!$E$17,G156:AE156),0,1),IF($C$4=Year2,-PMT(Lookups!$F$17,25,NPV(Lookups!$F$17,H156:AF156),0,1),IF($C$4=Year3,-PMT(Lookups!$G$17,25,NPV(Lookups!$G$17,I156:AG156),0,1),-PMT(Lookups!$G$17,27,NPV(Lookups!$G$17,G156:AG156),0,1))))</f>
        <v>3.2115994702308921</v>
      </c>
      <c r="AM156" s="149">
        <f ca="1">AM151-AM145</f>
        <v>53.398690346607054</v>
      </c>
      <c r="AN156" s="149">
        <f t="shared" ref="AN156:BM156" ca="1" si="156">AN151-AN145</f>
        <v>1.7013218707137412</v>
      </c>
      <c r="AO156" s="149">
        <f t="shared" ca="1" si="156"/>
        <v>1.7013218707137412</v>
      </c>
      <c r="AP156" s="149">
        <f t="shared" ca="1" si="156"/>
        <v>1.7013218707137412</v>
      </c>
      <c r="AQ156" s="149">
        <f t="shared" ca="1" si="156"/>
        <v>1.7013218707137412</v>
      </c>
      <c r="AR156" s="149">
        <f t="shared" ca="1" si="156"/>
        <v>1.7013218707137412</v>
      </c>
      <c r="AS156" s="149">
        <f t="shared" ca="1" si="156"/>
        <v>1.7013218707137412</v>
      </c>
      <c r="AT156" s="149">
        <f t="shared" ca="1" si="156"/>
        <v>1.7013218707137412</v>
      </c>
      <c r="AU156" s="149">
        <f t="shared" ca="1" si="156"/>
        <v>1.7013218707137412</v>
      </c>
      <c r="AV156" s="149">
        <f t="shared" ca="1" si="156"/>
        <v>1.7013218707137412</v>
      </c>
      <c r="AW156" s="149">
        <f t="shared" ca="1" si="156"/>
        <v>1.7013218707137412</v>
      </c>
      <c r="AX156" s="149">
        <f t="shared" ca="1" si="156"/>
        <v>1.7013218707137412</v>
      </c>
      <c r="AY156" s="149">
        <f t="shared" ca="1" si="156"/>
        <v>1.7013218707137412</v>
      </c>
      <c r="AZ156" s="149">
        <f t="shared" ca="1" si="156"/>
        <v>1.7013218707137412</v>
      </c>
      <c r="BA156" s="149">
        <f t="shared" ca="1" si="156"/>
        <v>1.7013218707137412</v>
      </c>
      <c r="BB156" s="149">
        <f t="shared" ca="1" si="156"/>
        <v>1.7013218707137412</v>
      </c>
      <c r="BC156" s="149">
        <f t="shared" ca="1" si="156"/>
        <v>1.7013218707137412</v>
      </c>
      <c r="BD156" s="149">
        <f t="shared" ca="1" si="156"/>
        <v>1.7013218707137412</v>
      </c>
      <c r="BE156" s="149">
        <f t="shared" ca="1" si="156"/>
        <v>1.7013218707137412</v>
      </c>
      <c r="BF156" s="149">
        <f t="shared" ca="1" si="156"/>
        <v>1.7013218707137412</v>
      </c>
      <c r="BG156" s="149">
        <f t="shared" ca="1" si="156"/>
        <v>0</v>
      </c>
      <c r="BH156" s="149">
        <f t="shared" ca="1" si="156"/>
        <v>0</v>
      </c>
      <c r="BI156" s="149">
        <f t="shared" ca="1" si="156"/>
        <v>0</v>
      </c>
      <c r="BJ156" s="149">
        <f t="shared" ca="1" si="156"/>
        <v>0</v>
      </c>
      <c r="BK156" s="149">
        <f t="shared" ca="1" si="156"/>
        <v>0</v>
      </c>
      <c r="BL156" s="149">
        <f t="shared" ca="1" si="156"/>
        <v>0</v>
      </c>
      <c r="BM156" s="149">
        <f t="shared" ca="1" si="156"/>
        <v>0</v>
      </c>
      <c r="BN156" s="149"/>
      <c r="BO156" s="149">
        <f ca="1">NPV(Lookups!$E$17,AM156:BM156)</f>
        <v>80.433713801938907</v>
      </c>
      <c r="BP156" s="149">
        <f ca="1">IF($C$4=Year1,-PMT(Lookups!$E$17,25,NPV(Lookups!$E$17,AM156:BK156),0,1),IF($C$4=Year2,-PMT(Lookups!$F$17,25,NPV(Lookups!$F$17,AN156:BL156),0,1),IF($C$4=Year3,-PMT(Lookups!$G$17,25,NPV(Lookups!$G$17,AO156:BM156),0,1),-PMT(Lookups!$G$17,27,NPV(Lookups!$G$17,AM156:BM156),0,1))))</f>
        <v>3.7885104668931895</v>
      </c>
      <c r="BS156" s="84" t="s">
        <v>241</v>
      </c>
      <c r="BT156" s="51" t="s">
        <v>17</v>
      </c>
    </row>
    <row r="157" spans="1:72" x14ac:dyDescent="0.25">
      <c r="B157" s="243" t="str">
        <f t="shared" si="152"/>
        <v>Low-Income</v>
      </c>
      <c r="C157" s="243" t="str">
        <f t="shared" si="152"/>
        <v>Bills</v>
      </c>
      <c r="D157" s="244" t="str">
        <f t="shared" si="152"/>
        <v>Change in Bills</v>
      </c>
      <c r="E157" s="84" t="s">
        <v>348</v>
      </c>
      <c r="F157" s="84" t="s">
        <v>16</v>
      </c>
      <c r="G157" s="223">
        <f ca="1">IFERROR(G151/G145-1,0)</f>
        <v>7.2761993122719471E-2</v>
      </c>
      <c r="H157" s="223">
        <f t="shared" ref="H157:AG157" ca="1" si="157">IFERROR(H151/H145-1,0)</f>
        <v>2.423898547952108E-3</v>
      </c>
      <c r="I157" s="223">
        <f t="shared" ca="1" si="157"/>
        <v>2.423898547952108E-3</v>
      </c>
      <c r="J157" s="223">
        <f t="shared" ca="1" si="157"/>
        <v>2.423898547952108E-3</v>
      </c>
      <c r="K157" s="223">
        <f t="shared" ca="1" si="157"/>
        <v>2.423898547952108E-3</v>
      </c>
      <c r="L157" s="223">
        <f t="shared" ca="1" si="157"/>
        <v>2.423898547952108E-3</v>
      </c>
      <c r="M157" s="223">
        <f t="shared" ca="1" si="157"/>
        <v>2.423898547952108E-3</v>
      </c>
      <c r="N157" s="223">
        <f t="shared" ca="1" si="157"/>
        <v>2.423898547952108E-3</v>
      </c>
      <c r="O157" s="223">
        <f t="shared" ca="1" si="157"/>
        <v>2.423898547952108E-3</v>
      </c>
      <c r="P157" s="223">
        <f t="shared" ca="1" si="157"/>
        <v>2.423898547952108E-3</v>
      </c>
      <c r="Q157" s="223">
        <f t="shared" ca="1" si="157"/>
        <v>2.423898547952108E-3</v>
      </c>
      <c r="R157" s="223">
        <f t="shared" ca="1" si="157"/>
        <v>2.423898547952108E-3</v>
      </c>
      <c r="S157" s="224">
        <f t="shared" ca="1" si="157"/>
        <v>2.423898547952108E-3</v>
      </c>
      <c r="T157" s="224">
        <f t="shared" ca="1" si="157"/>
        <v>2.423898547952108E-3</v>
      </c>
      <c r="U157" s="224">
        <f t="shared" ca="1" si="157"/>
        <v>2.423898547952108E-3</v>
      </c>
      <c r="V157" s="224">
        <f t="shared" ca="1" si="157"/>
        <v>2.423898547952108E-3</v>
      </c>
      <c r="W157" s="224">
        <f t="shared" ca="1" si="157"/>
        <v>2.423898547952108E-3</v>
      </c>
      <c r="X157" s="224">
        <f t="shared" ca="1" si="157"/>
        <v>2.423898547952108E-3</v>
      </c>
      <c r="Y157" s="224">
        <f t="shared" ca="1" si="157"/>
        <v>2.423898547952108E-3</v>
      </c>
      <c r="Z157" s="224">
        <f t="shared" ca="1" si="157"/>
        <v>2.423898547952108E-3</v>
      </c>
      <c r="AA157" s="224">
        <f t="shared" ca="1" si="157"/>
        <v>0</v>
      </c>
      <c r="AB157" s="224">
        <f t="shared" ca="1" si="157"/>
        <v>0</v>
      </c>
      <c r="AC157" s="224">
        <f t="shared" ca="1" si="157"/>
        <v>0</v>
      </c>
      <c r="AD157" s="224">
        <f t="shared" ca="1" si="157"/>
        <v>0</v>
      </c>
      <c r="AE157" s="224">
        <f t="shared" ca="1" si="157"/>
        <v>0</v>
      </c>
      <c r="AF157" s="224">
        <f t="shared" ca="1" si="157"/>
        <v>0</v>
      </c>
      <c r="AG157" s="224">
        <f t="shared" ca="1" si="157"/>
        <v>0</v>
      </c>
      <c r="AH157" s="224"/>
      <c r="AI157" s="224"/>
      <c r="AJ157" s="224">
        <f t="shared" ref="AJ157" ca="1" si="158">IFERROR(AJ151/AJ145-1,0)</f>
        <v>5.3177070534262683E-3</v>
      </c>
      <c r="AK157" s="212"/>
      <c r="AL157" s="212"/>
      <c r="AM157" s="504">
        <f ca="1">IFERROR(AM151/AM145-1,0)</f>
        <v>8.7183442619980678E-2</v>
      </c>
      <c r="AN157" s="504">
        <f t="shared" ref="AN157:BM157" ca="1" si="159">IFERROR(AN151/AN145-1,0)</f>
        <v>2.777729130259754E-3</v>
      </c>
      <c r="AO157" s="504">
        <f t="shared" ca="1" si="159"/>
        <v>2.777729130259754E-3</v>
      </c>
      <c r="AP157" s="504">
        <f t="shared" ca="1" si="159"/>
        <v>2.777729130259754E-3</v>
      </c>
      <c r="AQ157" s="504">
        <f t="shared" ca="1" si="159"/>
        <v>2.777729130259754E-3</v>
      </c>
      <c r="AR157" s="504">
        <f t="shared" ca="1" si="159"/>
        <v>2.777729130259754E-3</v>
      </c>
      <c r="AS157" s="504">
        <f t="shared" ca="1" si="159"/>
        <v>2.777729130259754E-3</v>
      </c>
      <c r="AT157" s="504">
        <f t="shared" ca="1" si="159"/>
        <v>2.777729130259754E-3</v>
      </c>
      <c r="AU157" s="504">
        <f t="shared" ca="1" si="159"/>
        <v>2.777729130259754E-3</v>
      </c>
      <c r="AV157" s="504">
        <f t="shared" ca="1" si="159"/>
        <v>2.777729130259754E-3</v>
      </c>
      <c r="AW157" s="504">
        <f t="shared" ca="1" si="159"/>
        <v>2.777729130259754E-3</v>
      </c>
      <c r="AX157" s="504">
        <f t="shared" ca="1" si="159"/>
        <v>2.777729130259754E-3</v>
      </c>
      <c r="AY157" s="504">
        <f t="shared" ca="1" si="159"/>
        <v>2.777729130259754E-3</v>
      </c>
      <c r="AZ157" s="504">
        <f t="shared" ca="1" si="159"/>
        <v>2.777729130259754E-3</v>
      </c>
      <c r="BA157" s="504">
        <f t="shared" ca="1" si="159"/>
        <v>2.777729130259754E-3</v>
      </c>
      <c r="BB157" s="504">
        <f t="shared" ca="1" si="159"/>
        <v>2.777729130259754E-3</v>
      </c>
      <c r="BC157" s="504">
        <f t="shared" ca="1" si="159"/>
        <v>2.777729130259754E-3</v>
      </c>
      <c r="BD157" s="504">
        <f t="shared" ca="1" si="159"/>
        <v>2.777729130259754E-3</v>
      </c>
      <c r="BE157" s="504">
        <f t="shared" ca="1" si="159"/>
        <v>2.777729130259754E-3</v>
      </c>
      <c r="BF157" s="504">
        <f t="shared" ca="1" si="159"/>
        <v>2.777729130259754E-3</v>
      </c>
      <c r="BG157" s="504">
        <f t="shared" ca="1" si="159"/>
        <v>0</v>
      </c>
      <c r="BH157" s="504">
        <f t="shared" ca="1" si="159"/>
        <v>0</v>
      </c>
      <c r="BI157" s="504">
        <f t="shared" ca="1" si="159"/>
        <v>0</v>
      </c>
      <c r="BJ157" s="504">
        <f t="shared" ca="1" si="159"/>
        <v>0</v>
      </c>
      <c r="BK157" s="504">
        <f t="shared" ca="1" si="159"/>
        <v>0</v>
      </c>
      <c r="BL157" s="504">
        <f t="shared" ca="1" si="159"/>
        <v>0</v>
      </c>
      <c r="BM157" s="504">
        <f t="shared" ca="1" si="159"/>
        <v>0</v>
      </c>
      <c r="BN157" s="504"/>
      <c r="BO157" s="504"/>
      <c r="BP157" s="504">
        <f t="shared" ref="BP157" ca="1" si="160">IFERROR(BP151/BP145-1,0)</f>
        <v>6.272945620559911E-3</v>
      </c>
      <c r="BS157" s="84" t="s">
        <v>242</v>
      </c>
      <c r="BT157" s="51" t="s">
        <v>17</v>
      </c>
    </row>
    <row r="158" spans="1:72" x14ac:dyDescent="0.25">
      <c r="B158" s="243" t="str">
        <f t="shared" si="152"/>
        <v>Low-Income</v>
      </c>
      <c r="C158" s="243" t="str">
        <f t="shared" si="152"/>
        <v>Bills</v>
      </c>
      <c r="D158" s="244" t="str">
        <f t="shared" si="152"/>
        <v>Change in Bills</v>
      </c>
      <c r="E158" s="84" t="s">
        <v>349</v>
      </c>
      <c r="F158" s="84" t="s">
        <v>32</v>
      </c>
      <c r="G158" s="103">
        <f ca="1">G152-G145</f>
        <v>31.414307241455617</v>
      </c>
      <c r="H158" s="103">
        <f t="shared" ref="H158:AG158" ca="1" si="161">H152-H145</f>
        <v>-10.696817071087821</v>
      </c>
      <c r="I158" s="103">
        <f t="shared" ca="1" si="161"/>
        <v>-10.696817071087821</v>
      </c>
      <c r="J158" s="103">
        <f t="shared" ca="1" si="161"/>
        <v>-10.696817071087821</v>
      </c>
      <c r="K158" s="103">
        <f t="shared" ca="1" si="161"/>
        <v>-10.696817071087821</v>
      </c>
      <c r="L158" s="103">
        <f t="shared" ca="1" si="161"/>
        <v>-10.696817071087821</v>
      </c>
      <c r="M158" s="103">
        <f t="shared" ca="1" si="161"/>
        <v>-10.696817071087821</v>
      </c>
      <c r="N158" s="103">
        <f t="shared" ca="1" si="161"/>
        <v>-10.696817071087821</v>
      </c>
      <c r="O158" s="103">
        <f t="shared" ca="1" si="161"/>
        <v>-10.696817071087821</v>
      </c>
      <c r="P158" s="103">
        <f t="shared" ca="1" si="161"/>
        <v>-10.696817071087821</v>
      </c>
      <c r="Q158" s="103">
        <f t="shared" ca="1" si="161"/>
        <v>-10.696817071087821</v>
      </c>
      <c r="R158" s="103">
        <f t="shared" ca="1" si="161"/>
        <v>-10.696817071087821</v>
      </c>
      <c r="S158" s="103">
        <f t="shared" ca="1" si="161"/>
        <v>-10.696817071087821</v>
      </c>
      <c r="T158" s="103">
        <f t="shared" ca="1" si="161"/>
        <v>-10.696817071087821</v>
      </c>
      <c r="U158" s="103">
        <f t="shared" ca="1" si="161"/>
        <v>-10.696817071087821</v>
      </c>
      <c r="V158" s="103">
        <f t="shared" ca="1" si="161"/>
        <v>-10.696817071087821</v>
      </c>
      <c r="W158" s="103">
        <f t="shared" ca="1" si="161"/>
        <v>-10.696817071087821</v>
      </c>
      <c r="X158" s="103">
        <f t="shared" ca="1" si="161"/>
        <v>-10.696817071087821</v>
      </c>
      <c r="Y158" s="103">
        <f t="shared" ca="1" si="161"/>
        <v>-10.696817071087821</v>
      </c>
      <c r="Z158" s="103">
        <f t="shared" ca="1" si="161"/>
        <v>-10.696817071087821</v>
      </c>
      <c r="AA158" s="103">
        <f t="shared" ca="1" si="161"/>
        <v>0</v>
      </c>
      <c r="AB158" s="103">
        <f t="shared" ca="1" si="161"/>
        <v>0</v>
      </c>
      <c r="AC158" s="103">
        <f t="shared" ca="1" si="161"/>
        <v>0</v>
      </c>
      <c r="AD158" s="103">
        <f t="shared" ca="1" si="161"/>
        <v>0</v>
      </c>
      <c r="AE158" s="103">
        <f t="shared" ca="1" si="161"/>
        <v>0</v>
      </c>
      <c r="AF158" s="103">
        <f t="shared" ca="1" si="161"/>
        <v>0</v>
      </c>
      <c r="AG158" s="103">
        <f t="shared" ca="1" si="161"/>
        <v>0</v>
      </c>
      <c r="AH158" s="103"/>
      <c r="AI158" s="103">
        <f ca="1">NPV(Lookups!$E$17,G158:AG158)</f>
        <v>-143.68507743541355</v>
      </c>
      <c r="AJ158" s="103">
        <f ca="1">IF($C$4=Year1,-PMT(Lookups!$E$17,25,NPV(Lookups!$E$17,G158:AE158),0,1),IF($C$4=Year2,-PMT(Lookups!$F$17,25,NPV(Lookups!$F$17,H158:AF158),0,1),IF($C$4=Year3,-PMT(Lookups!$G$17,25,NPV(Lookups!$G$17,I158:AG158),0,1),-PMT(Lookups!$G$17,27,NPV(Lookups!$G$17,G158:AG158),0,1))))</f>
        <v>-6.7677146070967664</v>
      </c>
      <c r="AM158" s="149">
        <f ca="1">AM152-AM145</f>
        <v>38.14118023635092</v>
      </c>
      <c r="AN158" s="149">
        <f t="shared" ref="AN158:BM158" ca="1" si="162">AN152-AN145</f>
        <v>-12.225880467152479</v>
      </c>
      <c r="AO158" s="149">
        <f t="shared" ca="1" si="162"/>
        <v>-12.225880467152479</v>
      </c>
      <c r="AP158" s="149">
        <f t="shared" ca="1" si="162"/>
        <v>-12.225880467152479</v>
      </c>
      <c r="AQ158" s="149">
        <f t="shared" ca="1" si="162"/>
        <v>-12.225880467152479</v>
      </c>
      <c r="AR158" s="149">
        <f t="shared" ca="1" si="162"/>
        <v>-12.225880467152479</v>
      </c>
      <c r="AS158" s="149">
        <f t="shared" ca="1" si="162"/>
        <v>-12.225880467152479</v>
      </c>
      <c r="AT158" s="149">
        <f t="shared" ca="1" si="162"/>
        <v>-12.225880467152479</v>
      </c>
      <c r="AU158" s="149">
        <f t="shared" ca="1" si="162"/>
        <v>-12.225880467152479</v>
      </c>
      <c r="AV158" s="149">
        <f t="shared" ca="1" si="162"/>
        <v>-12.225880467152479</v>
      </c>
      <c r="AW158" s="149">
        <f t="shared" ca="1" si="162"/>
        <v>-12.225880467152479</v>
      </c>
      <c r="AX158" s="149">
        <f t="shared" ca="1" si="162"/>
        <v>-12.225880467152479</v>
      </c>
      <c r="AY158" s="149">
        <f t="shared" ca="1" si="162"/>
        <v>-12.225880467152479</v>
      </c>
      <c r="AZ158" s="149">
        <f t="shared" ca="1" si="162"/>
        <v>-12.225880467152479</v>
      </c>
      <c r="BA158" s="149">
        <f t="shared" ca="1" si="162"/>
        <v>-12.225880467152479</v>
      </c>
      <c r="BB158" s="149">
        <f t="shared" ca="1" si="162"/>
        <v>-12.225880467152479</v>
      </c>
      <c r="BC158" s="149">
        <f t="shared" ca="1" si="162"/>
        <v>-12.225880467152479</v>
      </c>
      <c r="BD158" s="149">
        <f t="shared" ca="1" si="162"/>
        <v>-12.225880467152479</v>
      </c>
      <c r="BE158" s="149">
        <f t="shared" ca="1" si="162"/>
        <v>-12.225880467152479</v>
      </c>
      <c r="BF158" s="149">
        <f t="shared" ca="1" si="162"/>
        <v>-12.225880467152479</v>
      </c>
      <c r="BG158" s="149">
        <f t="shared" ca="1" si="162"/>
        <v>0</v>
      </c>
      <c r="BH158" s="149">
        <f t="shared" ca="1" si="162"/>
        <v>0</v>
      </c>
      <c r="BI158" s="149">
        <f t="shared" ca="1" si="162"/>
        <v>0</v>
      </c>
      <c r="BJ158" s="149">
        <f t="shared" ca="1" si="162"/>
        <v>0</v>
      </c>
      <c r="BK158" s="149">
        <f t="shared" ca="1" si="162"/>
        <v>0</v>
      </c>
      <c r="BL158" s="149">
        <f t="shared" ca="1" si="162"/>
        <v>0</v>
      </c>
      <c r="BM158" s="149">
        <f t="shared" ca="1" si="162"/>
        <v>0</v>
      </c>
      <c r="BN158" s="149"/>
      <c r="BO158" s="149">
        <f ca="1">NPV(Lookups!$E$17,AM158:BM158)</f>
        <v>-162.01908815946877</v>
      </c>
      <c r="BP158" s="149">
        <f ca="1">IF($C$4=Year1,-PMT(Lookups!$E$17,25,NPV(Lookups!$E$17,AM158:BK158),0,1),IF($C$4=Year2,-PMT(Lookups!$F$17,25,NPV(Lookups!$F$17,AN158:BL158),0,1),IF($C$4=Year3,-PMT(Lookups!$G$17,25,NPV(Lookups!$G$17,AO158:BM158),0,1),-PMT(Lookups!$G$17,27,NPV(Lookups!$G$17,AM158:BM158),0,1))))</f>
        <v>-7.6312653278710298</v>
      </c>
      <c r="BS158" s="84" t="s">
        <v>241</v>
      </c>
      <c r="BT158" s="51" t="s">
        <v>17</v>
      </c>
    </row>
    <row r="159" spans="1:72" x14ac:dyDescent="0.25">
      <c r="B159" s="243" t="str">
        <f t="shared" si="152"/>
        <v>Low-Income</v>
      </c>
      <c r="C159" s="243" t="str">
        <f t="shared" si="152"/>
        <v>Bills</v>
      </c>
      <c r="D159" s="244" t="str">
        <f t="shared" si="152"/>
        <v>Change in Bills</v>
      </c>
      <c r="E159" s="84" t="s">
        <v>349</v>
      </c>
      <c r="F159" s="84" t="s">
        <v>16</v>
      </c>
      <c r="G159" s="223">
        <f ca="1">IFERROR(G152/G145-1,0)</f>
        <v>5.1289786978940599E-2</v>
      </c>
      <c r="H159" s="223">
        <f t="shared" ref="H159:AG159" ca="1" si="163">IFERROR(H152/H145-1,0)</f>
        <v>-1.7464573218561541E-2</v>
      </c>
      <c r="I159" s="223">
        <f t="shared" ca="1" si="163"/>
        <v>-1.7464573218561541E-2</v>
      </c>
      <c r="J159" s="223">
        <f t="shared" ca="1" si="163"/>
        <v>-1.7464573218561541E-2</v>
      </c>
      <c r="K159" s="223">
        <f t="shared" ca="1" si="163"/>
        <v>-1.7464573218561541E-2</v>
      </c>
      <c r="L159" s="223">
        <f t="shared" ca="1" si="163"/>
        <v>-1.7464573218561541E-2</v>
      </c>
      <c r="M159" s="223">
        <f t="shared" ca="1" si="163"/>
        <v>-1.7464573218561541E-2</v>
      </c>
      <c r="N159" s="223">
        <f t="shared" ca="1" si="163"/>
        <v>-1.7464573218561541E-2</v>
      </c>
      <c r="O159" s="223">
        <f t="shared" ca="1" si="163"/>
        <v>-1.7464573218561541E-2</v>
      </c>
      <c r="P159" s="223">
        <f t="shared" ca="1" si="163"/>
        <v>-1.7464573218561541E-2</v>
      </c>
      <c r="Q159" s="223">
        <f t="shared" ca="1" si="163"/>
        <v>-1.7464573218561541E-2</v>
      </c>
      <c r="R159" s="223">
        <f t="shared" ca="1" si="163"/>
        <v>-1.7464573218561541E-2</v>
      </c>
      <c r="S159" s="224">
        <f t="shared" ca="1" si="163"/>
        <v>-1.7464573218561541E-2</v>
      </c>
      <c r="T159" s="224">
        <f t="shared" ca="1" si="163"/>
        <v>-1.7464573218561541E-2</v>
      </c>
      <c r="U159" s="224">
        <f t="shared" ca="1" si="163"/>
        <v>-1.7464573218561541E-2</v>
      </c>
      <c r="V159" s="224">
        <f t="shared" ca="1" si="163"/>
        <v>-1.7464573218561541E-2</v>
      </c>
      <c r="W159" s="224">
        <f t="shared" ca="1" si="163"/>
        <v>-1.7464573218561541E-2</v>
      </c>
      <c r="X159" s="224">
        <f t="shared" ca="1" si="163"/>
        <v>-1.7464573218561541E-2</v>
      </c>
      <c r="Y159" s="224">
        <f t="shared" ca="1" si="163"/>
        <v>-1.7464573218561541E-2</v>
      </c>
      <c r="Z159" s="224">
        <f t="shared" ca="1" si="163"/>
        <v>-1.7464573218561541E-2</v>
      </c>
      <c r="AA159" s="224">
        <f t="shared" ca="1" si="163"/>
        <v>0</v>
      </c>
      <c r="AB159" s="224">
        <f t="shared" ca="1" si="163"/>
        <v>0</v>
      </c>
      <c r="AC159" s="224">
        <f t="shared" ca="1" si="163"/>
        <v>0</v>
      </c>
      <c r="AD159" s="224">
        <f t="shared" ca="1" si="163"/>
        <v>0</v>
      </c>
      <c r="AE159" s="224">
        <f t="shared" ca="1" si="163"/>
        <v>0</v>
      </c>
      <c r="AF159" s="224">
        <f t="shared" ca="1" si="163"/>
        <v>0</v>
      </c>
      <c r="AG159" s="224">
        <f t="shared" ca="1" si="163"/>
        <v>0</v>
      </c>
      <c r="AH159" s="224"/>
      <c r="AI159" s="224"/>
      <c r="AJ159" s="224">
        <f t="shared" ref="AJ159" ca="1" si="164">IFERROR(AJ152/AJ145-1,0)</f>
        <v>-1.1205856781121737E-2</v>
      </c>
      <c r="AK159" s="212"/>
      <c r="AL159" s="212"/>
      <c r="AM159" s="504">
        <f ca="1">IFERROR(AM152/AM145-1,0)</f>
        <v>6.2272677045262625E-2</v>
      </c>
      <c r="AN159" s="504">
        <f t="shared" ref="AN159:BM159" ca="1" si="165">IFERROR(AN152/AN145-1,0)</f>
        <v>-1.9961057869923193E-2</v>
      </c>
      <c r="AO159" s="504">
        <f t="shared" ca="1" si="165"/>
        <v>-1.9961057869923193E-2</v>
      </c>
      <c r="AP159" s="504">
        <f t="shared" ca="1" si="165"/>
        <v>-1.9961057869923193E-2</v>
      </c>
      <c r="AQ159" s="504">
        <f t="shared" ca="1" si="165"/>
        <v>-1.9961057869923193E-2</v>
      </c>
      <c r="AR159" s="504">
        <f t="shared" ca="1" si="165"/>
        <v>-1.9961057869923193E-2</v>
      </c>
      <c r="AS159" s="504">
        <f t="shared" ca="1" si="165"/>
        <v>-1.9961057869923193E-2</v>
      </c>
      <c r="AT159" s="504">
        <f t="shared" ca="1" si="165"/>
        <v>-1.9961057869923193E-2</v>
      </c>
      <c r="AU159" s="504">
        <f t="shared" ca="1" si="165"/>
        <v>-1.9961057869923193E-2</v>
      </c>
      <c r="AV159" s="504">
        <f t="shared" ca="1" si="165"/>
        <v>-1.9961057869923193E-2</v>
      </c>
      <c r="AW159" s="504">
        <f t="shared" ca="1" si="165"/>
        <v>-1.9961057869923193E-2</v>
      </c>
      <c r="AX159" s="504">
        <f t="shared" ca="1" si="165"/>
        <v>-1.9961057869923193E-2</v>
      </c>
      <c r="AY159" s="504">
        <f t="shared" ca="1" si="165"/>
        <v>-1.9961057869923193E-2</v>
      </c>
      <c r="AZ159" s="504">
        <f t="shared" ca="1" si="165"/>
        <v>-1.9961057869923193E-2</v>
      </c>
      <c r="BA159" s="504">
        <f t="shared" ca="1" si="165"/>
        <v>-1.9961057869923193E-2</v>
      </c>
      <c r="BB159" s="504">
        <f t="shared" ca="1" si="165"/>
        <v>-1.9961057869923193E-2</v>
      </c>
      <c r="BC159" s="504">
        <f t="shared" ca="1" si="165"/>
        <v>-1.9961057869923193E-2</v>
      </c>
      <c r="BD159" s="504">
        <f t="shared" ca="1" si="165"/>
        <v>-1.9961057869923193E-2</v>
      </c>
      <c r="BE159" s="504">
        <f t="shared" ca="1" si="165"/>
        <v>-1.9961057869923193E-2</v>
      </c>
      <c r="BF159" s="504">
        <f t="shared" ca="1" si="165"/>
        <v>-1.9961057869923193E-2</v>
      </c>
      <c r="BG159" s="504">
        <f t="shared" ca="1" si="165"/>
        <v>0</v>
      </c>
      <c r="BH159" s="504">
        <f t="shared" ca="1" si="165"/>
        <v>0</v>
      </c>
      <c r="BI159" s="504">
        <f t="shared" ca="1" si="165"/>
        <v>0</v>
      </c>
      <c r="BJ159" s="504">
        <f t="shared" ca="1" si="165"/>
        <v>0</v>
      </c>
      <c r="BK159" s="504">
        <f t="shared" ca="1" si="165"/>
        <v>0</v>
      </c>
      <c r="BL159" s="504">
        <f t="shared" ca="1" si="165"/>
        <v>0</v>
      </c>
      <c r="BM159" s="504">
        <f t="shared" ca="1" si="165"/>
        <v>0</v>
      </c>
      <c r="BN159" s="504"/>
      <c r="BO159" s="504"/>
      <c r="BP159" s="504">
        <f t="shared" ref="BP159" ca="1" si="166">IFERROR(BP152/BP145-1,0)</f>
        <v>-1.2635708106425003E-2</v>
      </c>
      <c r="BS159" s="84" t="s">
        <v>242</v>
      </c>
      <c r="BT159" s="51" t="s">
        <v>17</v>
      </c>
    </row>
    <row r="160" spans="1:72" x14ac:dyDescent="0.25">
      <c r="B160" s="243" t="str">
        <f t="shared" si="152"/>
        <v>Low-Income</v>
      </c>
      <c r="C160" s="243" t="str">
        <f t="shared" si="152"/>
        <v>Bills</v>
      </c>
      <c r="D160" s="244" t="str">
        <f t="shared" si="152"/>
        <v>Change in Bills</v>
      </c>
      <c r="E160" s="84" t="str">
        <f>'EE Inputs'!$N$15&amp;" Participant Annual Bill"</f>
        <v>Low Savings Participant Annual Bill</v>
      </c>
      <c r="F160" s="84" t="s">
        <v>32</v>
      </c>
      <c r="G160" s="103">
        <f ca="1">G153-G145</f>
        <v>38.724822319188206</v>
      </c>
      <c r="H160" s="103">
        <f t="shared" ref="H160:AG160" ca="1" si="167">H153-H145</f>
        <v>-3.9255066734235697</v>
      </c>
      <c r="I160" s="103">
        <f t="shared" ca="1" si="167"/>
        <v>-3.9255066734235697</v>
      </c>
      <c r="J160" s="103">
        <f t="shared" ca="1" si="167"/>
        <v>-3.9255066734235697</v>
      </c>
      <c r="K160" s="103">
        <f t="shared" ca="1" si="167"/>
        <v>-3.9255066734235697</v>
      </c>
      <c r="L160" s="103">
        <f t="shared" ca="1" si="167"/>
        <v>-3.9255066734235697</v>
      </c>
      <c r="M160" s="103">
        <f t="shared" ca="1" si="167"/>
        <v>-3.9255066734235697</v>
      </c>
      <c r="N160" s="103">
        <f t="shared" ca="1" si="167"/>
        <v>-3.9255066734235697</v>
      </c>
      <c r="O160" s="103">
        <f t="shared" ca="1" si="167"/>
        <v>-3.9255066734235697</v>
      </c>
      <c r="P160" s="103">
        <f t="shared" ca="1" si="167"/>
        <v>-3.9255066734235697</v>
      </c>
      <c r="Q160" s="103">
        <f t="shared" ca="1" si="167"/>
        <v>-3.9255066734235697</v>
      </c>
      <c r="R160" s="103">
        <f t="shared" ca="1" si="167"/>
        <v>-3.9255066734235697</v>
      </c>
      <c r="S160" s="103">
        <f t="shared" ca="1" si="167"/>
        <v>-3.9255066734235697</v>
      </c>
      <c r="T160" s="103">
        <f t="shared" ca="1" si="167"/>
        <v>-3.9255066734235697</v>
      </c>
      <c r="U160" s="103">
        <f t="shared" ca="1" si="167"/>
        <v>-3.9255066734235697</v>
      </c>
      <c r="V160" s="103">
        <f t="shared" ca="1" si="167"/>
        <v>-3.9255066734235697</v>
      </c>
      <c r="W160" s="103">
        <f t="shared" ca="1" si="167"/>
        <v>-3.9255066734235697</v>
      </c>
      <c r="X160" s="103">
        <f t="shared" ca="1" si="167"/>
        <v>-3.9255066734235697</v>
      </c>
      <c r="Y160" s="103">
        <f t="shared" ca="1" si="167"/>
        <v>-3.9255066734235697</v>
      </c>
      <c r="Z160" s="103">
        <f t="shared" ca="1" si="167"/>
        <v>-3.9255066734235697</v>
      </c>
      <c r="AA160" s="103">
        <f t="shared" ca="1" si="167"/>
        <v>0</v>
      </c>
      <c r="AB160" s="103">
        <f t="shared" ca="1" si="167"/>
        <v>0</v>
      </c>
      <c r="AC160" s="103">
        <f t="shared" ca="1" si="167"/>
        <v>0</v>
      </c>
      <c r="AD160" s="103">
        <f t="shared" ca="1" si="167"/>
        <v>0</v>
      </c>
      <c r="AE160" s="103">
        <f t="shared" ca="1" si="167"/>
        <v>0</v>
      </c>
      <c r="AF160" s="103">
        <f t="shared" ca="1" si="167"/>
        <v>0</v>
      </c>
      <c r="AG160" s="103">
        <f t="shared" ca="1" si="167"/>
        <v>0</v>
      </c>
      <c r="AH160" s="103"/>
      <c r="AI160" s="103">
        <f ca="1">NPV(Lookups!$E$17,G160:AG160)</f>
        <v>-25.912266968009064</v>
      </c>
      <c r="AJ160" s="103">
        <f ca="1">IF($C$4=Year1,-PMT(Lookups!$E$17,25,NPV(Lookups!$E$17,G160:AE160),0,1),IF($C$4=Year2,-PMT(Lookups!$F$17,25,NPV(Lookups!$F$17,H160:AF160),0,1),IF($C$4=Year3,-PMT(Lookups!$G$17,25,NPV(Lookups!$G$17,I160:AG160),0,1),-PMT(Lookups!$G$17,27,NPV(Lookups!$G$17,G160:AG160),0,1))))</f>
        <v>-1.2204943672123041</v>
      </c>
      <c r="AM160" s="149">
        <f ca="1">AM153-AM145</f>
        <v>46.283586862447805</v>
      </c>
      <c r="AN160" s="149">
        <f t="shared" ref="AN160:BM160" ca="1" si="168">AN153-AN145</f>
        <v>-4.7934131917347713</v>
      </c>
      <c r="AO160" s="149">
        <f t="shared" ca="1" si="168"/>
        <v>-4.7934131917347713</v>
      </c>
      <c r="AP160" s="149">
        <f t="shared" ca="1" si="168"/>
        <v>-4.7934131917347713</v>
      </c>
      <c r="AQ160" s="149">
        <f t="shared" ca="1" si="168"/>
        <v>-4.7934131917347713</v>
      </c>
      <c r="AR160" s="149">
        <f t="shared" ca="1" si="168"/>
        <v>-4.7934131917347713</v>
      </c>
      <c r="AS160" s="149">
        <f t="shared" ca="1" si="168"/>
        <v>-4.7934131917347713</v>
      </c>
      <c r="AT160" s="149">
        <f t="shared" ca="1" si="168"/>
        <v>-4.7934131917347713</v>
      </c>
      <c r="AU160" s="149">
        <f t="shared" ca="1" si="168"/>
        <v>-4.7934131917347713</v>
      </c>
      <c r="AV160" s="149">
        <f t="shared" ca="1" si="168"/>
        <v>-4.7934131917347713</v>
      </c>
      <c r="AW160" s="149">
        <f t="shared" ca="1" si="168"/>
        <v>-4.7934131917347713</v>
      </c>
      <c r="AX160" s="149">
        <f t="shared" ca="1" si="168"/>
        <v>-4.7934131917347713</v>
      </c>
      <c r="AY160" s="149">
        <f t="shared" ca="1" si="168"/>
        <v>-4.7934131917347713</v>
      </c>
      <c r="AZ160" s="149">
        <f t="shared" ca="1" si="168"/>
        <v>-4.7934131917347713</v>
      </c>
      <c r="BA160" s="149">
        <f t="shared" ca="1" si="168"/>
        <v>-4.7934131917347713</v>
      </c>
      <c r="BB160" s="149">
        <f t="shared" ca="1" si="168"/>
        <v>-4.7934131917347713</v>
      </c>
      <c r="BC160" s="149">
        <f t="shared" ca="1" si="168"/>
        <v>-4.7934131917347713</v>
      </c>
      <c r="BD160" s="149">
        <f t="shared" ca="1" si="168"/>
        <v>-4.7934131917347713</v>
      </c>
      <c r="BE160" s="149">
        <f t="shared" ca="1" si="168"/>
        <v>-4.7934131917347713</v>
      </c>
      <c r="BF160" s="149">
        <f t="shared" ca="1" si="168"/>
        <v>-4.7934131917347713</v>
      </c>
      <c r="BG160" s="149">
        <f t="shared" ca="1" si="168"/>
        <v>0</v>
      </c>
      <c r="BH160" s="149">
        <f t="shared" ca="1" si="168"/>
        <v>0</v>
      </c>
      <c r="BI160" s="149">
        <f t="shared" ca="1" si="168"/>
        <v>0</v>
      </c>
      <c r="BJ160" s="149">
        <f t="shared" ca="1" si="168"/>
        <v>0</v>
      </c>
      <c r="BK160" s="149">
        <f t="shared" ca="1" si="168"/>
        <v>0</v>
      </c>
      <c r="BL160" s="149">
        <f t="shared" ca="1" si="168"/>
        <v>0</v>
      </c>
      <c r="BM160" s="149">
        <f t="shared" ca="1" si="168"/>
        <v>0</v>
      </c>
      <c r="BN160" s="149"/>
      <c r="BO160" s="149">
        <f ca="1">NPV(Lookups!$E$17,AM160:BM160)</f>
        <v>-32.630394529877968</v>
      </c>
      <c r="BP160" s="149">
        <f ca="1">IF($C$4=Year1,-PMT(Lookups!$E$17,25,NPV(Lookups!$E$17,AM160:BK160),0,1),IF($C$4=Year2,-PMT(Lookups!$F$17,25,NPV(Lookups!$F$17,AN160:BL160),0,1),IF($C$4=Year3,-PMT(Lookups!$G$17,25,NPV(Lookups!$G$17,AO160:BM160),0,1),-PMT(Lookups!$G$17,27,NPV(Lookups!$G$17,AM160:BM160),0,1))))</f>
        <v>-1.5369250699986576</v>
      </c>
      <c r="BS160" s="84" t="s">
        <v>241</v>
      </c>
      <c r="BT160" s="51" t="s">
        <v>17</v>
      </c>
    </row>
    <row r="161" spans="1:72" x14ac:dyDescent="0.25">
      <c r="B161" s="243" t="str">
        <f t="shared" si="152"/>
        <v>Low-Income</v>
      </c>
      <c r="C161" s="243" t="str">
        <f t="shared" si="152"/>
        <v>Bills</v>
      </c>
      <c r="D161" s="244" t="str">
        <f t="shared" si="152"/>
        <v>Change in Bills</v>
      </c>
      <c r="E161" s="84" t="str">
        <f>'EE Inputs'!$N$15&amp;" Participant Annual Bill"</f>
        <v>Low Savings Participant Annual Bill</v>
      </c>
      <c r="F161" s="84" t="s">
        <v>16</v>
      </c>
      <c r="G161" s="223">
        <f ca="1">IFERROR(G153/G145-1,0)</f>
        <v>6.3225582925713342E-2</v>
      </c>
      <c r="H161" s="223">
        <f t="shared" ref="H161:AG161" ca="1" si="169">IFERROR(H153/H145-1,0)</f>
        <v>-6.4091307033060652E-3</v>
      </c>
      <c r="I161" s="223">
        <f t="shared" ca="1" si="169"/>
        <v>-6.4091307033060652E-3</v>
      </c>
      <c r="J161" s="223">
        <f t="shared" ca="1" si="169"/>
        <v>-6.4091307033060652E-3</v>
      </c>
      <c r="K161" s="223">
        <f t="shared" ca="1" si="169"/>
        <v>-6.4091307033060652E-3</v>
      </c>
      <c r="L161" s="223">
        <f t="shared" ca="1" si="169"/>
        <v>-6.4091307033060652E-3</v>
      </c>
      <c r="M161" s="223">
        <f t="shared" ca="1" si="169"/>
        <v>-6.4091307033060652E-3</v>
      </c>
      <c r="N161" s="223">
        <f t="shared" ca="1" si="169"/>
        <v>-6.4091307033060652E-3</v>
      </c>
      <c r="O161" s="223">
        <f t="shared" ca="1" si="169"/>
        <v>-6.4091307033060652E-3</v>
      </c>
      <c r="P161" s="223">
        <f t="shared" ca="1" si="169"/>
        <v>-6.4091307033060652E-3</v>
      </c>
      <c r="Q161" s="223">
        <f t="shared" ca="1" si="169"/>
        <v>-6.4091307033060652E-3</v>
      </c>
      <c r="R161" s="223">
        <f t="shared" ca="1" si="169"/>
        <v>-6.4091307033060652E-3</v>
      </c>
      <c r="S161" s="224">
        <f t="shared" ca="1" si="169"/>
        <v>-6.4091307033060652E-3</v>
      </c>
      <c r="T161" s="224">
        <f t="shared" ca="1" si="169"/>
        <v>-6.4091307033060652E-3</v>
      </c>
      <c r="U161" s="224">
        <f t="shared" ca="1" si="169"/>
        <v>-6.4091307033060652E-3</v>
      </c>
      <c r="V161" s="224">
        <f t="shared" ca="1" si="169"/>
        <v>-6.4091307033060652E-3</v>
      </c>
      <c r="W161" s="224">
        <f t="shared" ca="1" si="169"/>
        <v>-6.4091307033060652E-3</v>
      </c>
      <c r="X161" s="224">
        <f t="shared" ca="1" si="169"/>
        <v>-6.4091307033060652E-3</v>
      </c>
      <c r="Y161" s="224">
        <f t="shared" ca="1" si="169"/>
        <v>-6.4091307033060652E-3</v>
      </c>
      <c r="Z161" s="224">
        <f t="shared" ca="1" si="169"/>
        <v>-6.4091307033060652E-3</v>
      </c>
      <c r="AA161" s="224">
        <f t="shared" ca="1" si="169"/>
        <v>0</v>
      </c>
      <c r="AB161" s="224">
        <f t="shared" ca="1" si="169"/>
        <v>0</v>
      </c>
      <c r="AC161" s="224">
        <f t="shared" ca="1" si="169"/>
        <v>0</v>
      </c>
      <c r="AD161" s="224">
        <f t="shared" ca="1" si="169"/>
        <v>0</v>
      </c>
      <c r="AE161" s="224">
        <f t="shared" ca="1" si="169"/>
        <v>0</v>
      </c>
      <c r="AF161" s="224">
        <f t="shared" ca="1" si="169"/>
        <v>0</v>
      </c>
      <c r="AG161" s="224">
        <f t="shared" ca="1" si="169"/>
        <v>0</v>
      </c>
      <c r="AH161" s="224"/>
      <c r="AI161" s="224"/>
      <c r="AJ161" s="224">
        <f t="shared" ref="AJ161" ca="1" si="170">IFERROR(AJ153/AJ145-1,0)</f>
        <v>-2.0208720188651386E-3</v>
      </c>
      <c r="AK161" s="212"/>
      <c r="AL161" s="212"/>
      <c r="AM161" s="504">
        <f ca="1">IFERROR(AM153/AM145-1,0)</f>
        <v>7.5566692989606388E-2</v>
      </c>
      <c r="AN161" s="504">
        <f t="shared" ref="AN161:BM161" ca="1" si="171">IFERROR(AN153/AN145-1,0)</f>
        <v>-7.8261519382379907E-3</v>
      </c>
      <c r="AO161" s="504">
        <f t="shared" ca="1" si="171"/>
        <v>-7.8261519382379907E-3</v>
      </c>
      <c r="AP161" s="504">
        <f t="shared" ca="1" si="171"/>
        <v>-7.8261519382379907E-3</v>
      </c>
      <c r="AQ161" s="504">
        <f t="shared" ca="1" si="171"/>
        <v>-7.8261519382379907E-3</v>
      </c>
      <c r="AR161" s="504">
        <f t="shared" ca="1" si="171"/>
        <v>-7.8261519382379907E-3</v>
      </c>
      <c r="AS161" s="504">
        <f t="shared" ca="1" si="171"/>
        <v>-7.8261519382379907E-3</v>
      </c>
      <c r="AT161" s="504">
        <f t="shared" ca="1" si="171"/>
        <v>-7.8261519382379907E-3</v>
      </c>
      <c r="AU161" s="504">
        <f t="shared" ca="1" si="171"/>
        <v>-7.8261519382379907E-3</v>
      </c>
      <c r="AV161" s="504">
        <f t="shared" ca="1" si="171"/>
        <v>-7.8261519382379907E-3</v>
      </c>
      <c r="AW161" s="504">
        <f t="shared" ca="1" si="171"/>
        <v>-7.8261519382379907E-3</v>
      </c>
      <c r="AX161" s="504">
        <f t="shared" ca="1" si="171"/>
        <v>-7.8261519382379907E-3</v>
      </c>
      <c r="AY161" s="504">
        <f t="shared" ca="1" si="171"/>
        <v>-7.8261519382379907E-3</v>
      </c>
      <c r="AZ161" s="504">
        <f t="shared" ca="1" si="171"/>
        <v>-7.8261519382379907E-3</v>
      </c>
      <c r="BA161" s="504">
        <f t="shared" ca="1" si="171"/>
        <v>-7.8261519382379907E-3</v>
      </c>
      <c r="BB161" s="504">
        <f t="shared" ca="1" si="171"/>
        <v>-7.8261519382379907E-3</v>
      </c>
      <c r="BC161" s="504">
        <f t="shared" ca="1" si="171"/>
        <v>-7.8261519382379907E-3</v>
      </c>
      <c r="BD161" s="504">
        <f t="shared" ca="1" si="171"/>
        <v>-7.8261519382379907E-3</v>
      </c>
      <c r="BE161" s="504">
        <f t="shared" ca="1" si="171"/>
        <v>-7.8261519382379907E-3</v>
      </c>
      <c r="BF161" s="504">
        <f t="shared" ca="1" si="171"/>
        <v>-7.8261519382379907E-3</v>
      </c>
      <c r="BG161" s="504">
        <f t="shared" ca="1" si="171"/>
        <v>0</v>
      </c>
      <c r="BH161" s="504">
        <f t="shared" ca="1" si="171"/>
        <v>0</v>
      </c>
      <c r="BI161" s="504">
        <f t="shared" ca="1" si="171"/>
        <v>0</v>
      </c>
      <c r="BJ161" s="504">
        <f t="shared" ca="1" si="171"/>
        <v>0</v>
      </c>
      <c r="BK161" s="504">
        <f t="shared" ca="1" si="171"/>
        <v>0</v>
      </c>
      <c r="BL161" s="504">
        <f t="shared" ca="1" si="171"/>
        <v>0</v>
      </c>
      <c r="BM161" s="504">
        <f t="shared" ca="1" si="171"/>
        <v>0</v>
      </c>
      <c r="BN161" s="504"/>
      <c r="BO161" s="504"/>
      <c r="BP161" s="504">
        <f t="shared" ref="BP161" ca="1" si="172">IFERROR(BP153/BP145-1,0)</f>
        <v>-2.5448121289954884E-3</v>
      </c>
      <c r="BS161" s="84" t="s">
        <v>242</v>
      </c>
      <c r="BT161" s="51" t="s">
        <v>17</v>
      </c>
    </row>
    <row r="162" spans="1:72" x14ac:dyDescent="0.25">
      <c r="B162" s="243" t="str">
        <f t="shared" si="152"/>
        <v>Low-Income</v>
      </c>
      <c r="C162" s="243" t="str">
        <f t="shared" si="152"/>
        <v>Bills</v>
      </c>
      <c r="D162" s="244" t="str">
        <f t="shared" si="152"/>
        <v>Change in Bills</v>
      </c>
      <c r="E162" s="84" t="str">
        <f>'EE Inputs'!$N$16&amp;" Participant Annual Bill"</f>
        <v>High Savings Participant Annual Bill</v>
      </c>
      <c r="F162" s="84" t="s">
        <v>32</v>
      </c>
      <c r="G162" s="103">
        <f ca="1">G154-G145</f>
        <v>3.6792815725707442</v>
      </c>
      <c r="H162" s="103">
        <f t="shared" ref="H162:AG162" ca="1" si="173">H154-H145</f>
        <v>-36.386178996246485</v>
      </c>
      <c r="I162" s="103">
        <f t="shared" ca="1" si="173"/>
        <v>-36.386178996246485</v>
      </c>
      <c r="J162" s="103">
        <f t="shared" ca="1" si="173"/>
        <v>-36.386178996246485</v>
      </c>
      <c r="K162" s="103">
        <f t="shared" ca="1" si="173"/>
        <v>-36.386178996246485</v>
      </c>
      <c r="L162" s="103">
        <f t="shared" ca="1" si="173"/>
        <v>-36.386178996246485</v>
      </c>
      <c r="M162" s="103">
        <f t="shared" ca="1" si="173"/>
        <v>-36.386178996246485</v>
      </c>
      <c r="N162" s="103">
        <f t="shared" ca="1" si="173"/>
        <v>-36.386178996246485</v>
      </c>
      <c r="O162" s="103">
        <f t="shared" ca="1" si="173"/>
        <v>-36.386178996246485</v>
      </c>
      <c r="P162" s="103">
        <f t="shared" ca="1" si="173"/>
        <v>-36.386178996246485</v>
      </c>
      <c r="Q162" s="103">
        <f t="shared" ca="1" si="173"/>
        <v>-36.386178996246485</v>
      </c>
      <c r="R162" s="103">
        <f t="shared" ca="1" si="173"/>
        <v>-36.386178996246485</v>
      </c>
      <c r="S162" s="103">
        <f t="shared" ca="1" si="173"/>
        <v>-36.386178996246485</v>
      </c>
      <c r="T162" s="103">
        <f t="shared" ca="1" si="173"/>
        <v>-36.386178996246485</v>
      </c>
      <c r="U162" s="103">
        <f t="shared" ca="1" si="173"/>
        <v>-36.386178996246485</v>
      </c>
      <c r="V162" s="103">
        <f t="shared" ca="1" si="173"/>
        <v>-36.386178996246485</v>
      </c>
      <c r="W162" s="103">
        <f t="shared" ca="1" si="173"/>
        <v>-36.386178996246485</v>
      </c>
      <c r="X162" s="103">
        <f t="shared" ca="1" si="173"/>
        <v>-36.386178996246485</v>
      </c>
      <c r="Y162" s="103">
        <f t="shared" ca="1" si="173"/>
        <v>-36.386178996246485</v>
      </c>
      <c r="Z162" s="103">
        <f t="shared" ca="1" si="173"/>
        <v>-36.386178996246485</v>
      </c>
      <c r="AA162" s="103">
        <f t="shared" ca="1" si="173"/>
        <v>0</v>
      </c>
      <c r="AB162" s="103">
        <f t="shared" ca="1" si="173"/>
        <v>0</v>
      </c>
      <c r="AC162" s="103">
        <f t="shared" ca="1" si="173"/>
        <v>0</v>
      </c>
      <c r="AD162" s="103">
        <f t="shared" ca="1" si="173"/>
        <v>0</v>
      </c>
      <c r="AE162" s="103">
        <f t="shared" ca="1" si="173"/>
        <v>0</v>
      </c>
      <c r="AF162" s="103">
        <f t="shared" ca="1" si="173"/>
        <v>0</v>
      </c>
      <c r="AG162" s="103">
        <f t="shared" ca="1" si="173"/>
        <v>0</v>
      </c>
      <c r="AH162" s="103"/>
      <c r="AI162" s="103">
        <f ca="1">NPV(Lookups!$E$17,G162:AG162)</f>
        <v>-590.49790617295196</v>
      </c>
      <c r="AJ162" s="103">
        <f ca="1">IF($C$4=Year1,-PMT(Lookups!$E$17,25,NPV(Lookups!$E$17,G162:AE162),0,1),IF($C$4=Year2,-PMT(Lookups!$F$17,25,NPV(Lookups!$F$17,H162:AF162),0,1),IF($C$4=Year3,-PMT(Lookups!$G$17,25,NPV(Lookups!$G$17,I162:AG162),0,1),-PMT(Lookups!$G$17,27,NPV(Lookups!$G$17,G162:AG162),0,1))))</f>
        <v>-27.813057391872093</v>
      </c>
      <c r="AM162" s="149">
        <f ca="1">AM154-AM145</f>
        <v>3.5929659574920834</v>
      </c>
      <c r="AN162" s="149">
        <f t="shared" ref="AN162:BM162" ca="1" si="174">AN154-AN145</f>
        <v>-43.761823566426187</v>
      </c>
      <c r="AO162" s="149">
        <f t="shared" ca="1" si="174"/>
        <v>-43.761823566426187</v>
      </c>
      <c r="AP162" s="149">
        <f t="shared" ca="1" si="174"/>
        <v>-43.761823566426187</v>
      </c>
      <c r="AQ162" s="149">
        <f t="shared" ca="1" si="174"/>
        <v>-43.761823566426187</v>
      </c>
      <c r="AR162" s="149">
        <f t="shared" ca="1" si="174"/>
        <v>-43.761823566426187</v>
      </c>
      <c r="AS162" s="149">
        <f t="shared" ca="1" si="174"/>
        <v>-43.761823566426187</v>
      </c>
      <c r="AT162" s="149">
        <f t="shared" ca="1" si="174"/>
        <v>-43.761823566426187</v>
      </c>
      <c r="AU162" s="149">
        <f t="shared" ca="1" si="174"/>
        <v>-43.761823566426187</v>
      </c>
      <c r="AV162" s="149">
        <f t="shared" ca="1" si="174"/>
        <v>-43.761823566426187</v>
      </c>
      <c r="AW162" s="149">
        <f t="shared" ca="1" si="174"/>
        <v>-43.761823566426187</v>
      </c>
      <c r="AX162" s="149">
        <f t="shared" ca="1" si="174"/>
        <v>-43.761823566426187</v>
      </c>
      <c r="AY162" s="149">
        <f t="shared" ca="1" si="174"/>
        <v>-43.761823566426187</v>
      </c>
      <c r="AZ162" s="149">
        <f t="shared" ca="1" si="174"/>
        <v>-43.761823566426187</v>
      </c>
      <c r="BA162" s="149">
        <f t="shared" ca="1" si="174"/>
        <v>-43.761823566426187</v>
      </c>
      <c r="BB162" s="149">
        <f t="shared" ca="1" si="174"/>
        <v>-43.761823566426187</v>
      </c>
      <c r="BC162" s="149">
        <f t="shared" ca="1" si="174"/>
        <v>-43.761823566426187</v>
      </c>
      <c r="BD162" s="149">
        <f t="shared" ca="1" si="174"/>
        <v>-43.761823566426187</v>
      </c>
      <c r="BE162" s="149">
        <f t="shared" ca="1" si="174"/>
        <v>-43.761823566426187</v>
      </c>
      <c r="BF162" s="149">
        <f t="shared" ca="1" si="174"/>
        <v>-43.761823566426187</v>
      </c>
      <c r="BG162" s="149">
        <f t="shared" ca="1" si="174"/>
        <v>0</v>
      </c>
      <c r="BH162" s="149">
        <f t="shared" ca="1" si="174"/>
        <v>0</v>
      </c>
      <c r="BI162" s="149">
        <f t="shared" ca="1" si="174"/>
        <v>0</v>
      </c>
      <c r="BJ162" s="149">
        <f t="shared" ca="1" si="174"/>
        <v>0</v>
      </c>
      <c r="BK162" s="149">
        <f t="shared" ca="1" si="174"/>
        <v>0</v>
      </c>
      <c r="BL162" s="149">
        <f t="shared" ca="1" si="174"/>
        <v>0</v>
      </c>
      <c r="BM162" s="149">
        <f t="shared" ca="1" si="174"/>
        <v>0</v>
      </c>
      <c r="BN162" s="149"/>
      <c r="BO162" s="149">
        <f ca="1">NPV(Lookups!$E$17,AM162:BM162)</f>
        <v>-711.01504452078507</v>
      </c>
      <c r="BP162" s="149">
        <f ca="1">IF($C$4=Year1,-PMT(Lookups!$E$17,25,NPV(Lookups!$E$17,AM162:BK162),0,1),IF($C$4=Year2,-PMT(Lookups!$F$17,25,NPV(Lookups!$F$17,AN162:BL162),0,1),IF($C$4=Year3,-PMT(Lookups!$G$17,25,NPV(Lookups!$G$17,AO162:BM162),0,1),-PMT(Lookups!$G$17,27,NPV(Lookups!$G$17,AM162:BM162),0,1))))</f>
        <v>-33.489538291350023</v>
      </c>
      <c r="BS162" s="84" t="s">
        <v>241</v>
      </c>
      <c r="BT162" s="51" t="s">
        <v>17</v>
      </c>
    </row>
    <row r="163" spans="1:72" x14ac:dyDescent="0.25">
      <c r="B163" s="243" t="str">
        <f t="shared" si="152"/>
        <v>Low-Income</v>
      </c>
      <c r="C163" s="243" t="str">
        <f t="shared" si="152"/>
        <v>Bills</v>
      </c>
      <c r="D163" s="244" t="str">
        <f t="shared" si="152"/>
        <v>Change in Bills</v>
      </c>
      <c r="E163" s="84" t="str">
        <f>'EE Inputs'!$N$16&amp;" Participant Annual Bill"</f>
        <v>High Savings Participant Annual Bill</v>
      </c>
      <c r="F163" s="84" t="s">
        <v>16</v>
      </c>
      <c r="G163" s="223">
        <f ca="1">IFERROR(G154/G145-1,0)</f>
        <v>6.007121743677013E-3</v>
      </c>
      <c r="H163" s="223">
        <f t="shared" ref="H163:AG163" ca="1" si="175">IFERROR(H154/H145-1,0)</f>
        <v>-5.9407306210856659E-2</v>
      </c>
      <c r="I163" s="223">
        <f t="shared" ca="1" si="175"/>
        <v>-5.9407306210856659E-2</v>
      </c>
      <c r="J163" s="223">
        <f t="shared" ca="1" si="175"/>
        <v>-5.9407306210856659E-2</v>
      </c>
      <c r="K163" s="223">
        <f t="shared" ca="1" si="175"/>
        <v>-5.9407306210856659E-2</v>
      </c>
      <c r="L163" s="223">
        <f t="shared" ca="1" si="175"/>
        <v>-5.9407306210856659E-2</v>
      </c>
      <c r="M163" s="223">
        <f t="shared" ca="1" si="175"/>
        <v>-5.9407306210856659E-2</v>
      </c>
      <c r="N163" s="223">
        <f t="shared" ca="1" si="175"/>
        <v>-5.9407306210856659E-2</v>
      </c>
      <c r="O163" s="223">
        <f t="shared" ca="1" si="175"/>
        <v>-5.9407306210856659E-2</v>
      </c>
      <c r="P163" s="223">
        <f t="shared" ca="1" si="175"/>
        <v>-5.9407306210856659E-2</v>
      </c>
      <c r="Q163" s="223">
        <f t="shared" ca="1" si="175"/>
        <v>-5.9407306210856659E-2</v>
      </c>
      <c r="R163" s="223">
        <f t="shared" ca="1" si="175"/>
        <v>-5.9407306210856659E-2</v>
      </c>
      <c r="S163" s="224">
        <f t="shared" ca="1" si="175"/>
        <v>-5.9407306210856659E-2</v>
      </c>
      <c r="T163" s="224">
        <f t="shared" ca="1" si="175"/>
        <v>-5.9407306210856659E-2</v>
      </c>
      <c r="U163" s="224">
        <f t="shared" ca="1" si="175"/>
        <v>-5.9407306210856659E-2</v>
      </c>
      <c r="V163" s="224">
        <f t="shared" ca="1" si="175"/>
        <v>-5.9407306210856659E-2</v>
      </c>
      <c r="W163" s="224">
        <f t="shared" ca="1" si="175"/>
        <v>-5.9407306210856659E-2</v>
      </c>
      <c r="X163" s="224">
        <f t="shared" ca="1" si="175"/>
        <v>-5.9407306210856659E-2</v>
      </c>
      <c r="Y163" s="224">
        <f t="shared" ca="1" si="175"/>
        <v>-5.9407306210856659E-2</v>
      </c>
      <c r="Z163" s="224">
        <f t="shared" ca="1" si="175"/>
        <v>-5.9407306210856659E-2</v>
      </c>
      <c r="AA163" s="224">
        <f t="shared" ca="1" si="175"/>
        <v>0</v>
      </c>
      <c r="AB163" s="224">
        <f t="shared" ca="1" si="175"/>
        <v>0</v>
      </c>
      <c r="AC163" s="224">
        <f t="shared" ca="1" si="175"/>
        <v>0</v>
      </c>
      <c r="AD163" s="224">
        <f t="shared" ca="1" si="175"/>
        <v>0</v>
      </c>
      <c r="AE163" s="224">
        <f t="shared" ca="1" si="175"/>
        <v>0</v>
      </c>
      <c r="AF163" s="224">
        <f t="shared" ca="1" si="175"/>
        <v>0</v>
      </c>
      <c r="AG163" s="224">
        <f t="shared" ca="1" si="175"/>
        <v>0</v>
      </c>
      <c r="AH163" s="224"/>
      <c r="AI163" s="224"/>
      <c r="AJ163" s="224">
        <f t="shared" ref="AJ163" ca="1" si="176">IFERROR(AJ154/AJ145-1,0)</f>
        <v>-4.6052346452614468E-2</v>
      </c>
      <c r="AK163" s="212"/>
      <c r="AL163" s="212"/>
      <c r="AM163" s="504">
        <f ca="1">IFERROR(AM154/AM145-1,0)</f>
        <v>5.866195207359759E-3</v>
      </c>
      <c r="AN163" s="504">
        <f t="shared" ref="AN163:BM163" ca="1" si="177">IFERROR(AN154/AN145-1,0)</f>
        <v>-7.144943834922457E-2</v>
      </c>
      <c r="AO163" s="504">
        <f t="shared" ca="1" si="177"/>
        <v>-7.144943834922457E-2</v>
      </c>
      <c r="AP163" s="504">
        <f t="shared" ca="1" si="177"/>
        <v>-7.144943834922457E-2</v>
      </c>
      <c r="AQ163" s="504">
        <f t="shared" ca="1" si="177"/>
        <v>-7.144943834922457E-2</v>
      </c>
      <c r="AR163" s="504">
        <f t="shared" ca="1" si="177"/>
        <v>-7.144943834922457E-2</v>
      </c>
      <c r="AS163" s="504">
        <f t="shared" ca="1" si="177"/>
        <v>-7.144943834922457E-2</v>
      </c>
      <c r="AT163" s="504">
        <f t="shared" ca="1" si="177"/>
        <v>-7.144943834922457E-2</v>
      </c>
      <c r="AU163" s="504">
        <f t="shared" ca="1" si="177"/>
        <v>-7.144943834922457E-2</v>
      </c>
      <c r="AV163" s="504">
        <f t="shared" ca="1" si="177"/>
        <v>-7.144943834922457E-2</v>
      </c>
      <c r="AW163" s="504">
        <f t="shared" ca="1" si="177"/>
        <v>-7.144943834922457E-2</v>
      </c>
      <c r="AX163" s="504">
        <f t="shared" ca="1" si="177"/>
        <v>-7.144943834922457E-2</v>
      </c>
      <c r="AY163" s="504">
        <f t="shared" ca="1" si="177"/>
        <v>-7.144943834922457E-2</v>
      </c>
      <c r="AZ163" s="504">
        <f t="shared" ca="1" si="177"/>
        <v>-7.144943834922457E-2</v>
      </c>
      <c r="BA163" s="504">
        <f t="shared" ca="1" si="177"/>
        <v>-7.144943834922457E-2</v>
      </c>
      <c r="BB163" s="504">
        <f t="shared" ca="1" si="177"/>
        <v>-7.144943834922457E-2</v>
      </c>
      <c r="BC163" s="504">
        <f t="shared" ca="1" si="177"/>
        <v>-7.144943834922457E-2</v>
      </c>
      <c r="BD163" s="504">
        <f t="shared" ca="1" si="177"/>
        <v>-7.144943834922457E-2</v>
      </c>
      <c r="BE163" s="504">
        <f t="shared" ca="1" si="177"/>
        <v>-7.144943834922457E-2</v>
      </c>
      <c r="BF163" s="504">
        <f t="shared" ca="1" si="177"/>
        <v>-7.144943834922457E-2</v>
      </c>
      <c r="BG163" s="504">
        <f t="shared" ca="1" si="177"/>
        <v>0</v>
      </c>
      <c r="BH163" s="504">
        <f t="shared" ca="1" si="177"/>
        <v>0</v>
      </c>
      <c r="BI163" s="504">
        <f t="shared" ca="1" si="177"/>
        <v>0</v>
      </c>
      <c r="BJ163" s="504">
        <f t="shared" ca="1" si="177"/>
        <v>0</v>
      </c>
      <c r="BK163" s="504">
        <f t="shared" ca="1" si="177"/>
        <v>0</v>
      </c>
      <c r="BL163" s="504">
        <f t="shared" ca="1" si="177"/>
        <v>0</v>
      </c>
      <c r="BM163" s="504">
        <f t="shared" ca="1" si="177"/>
        <v>0</v>
      </c>
      <c r="BN163" s="504"/>
      <c r="BO163" s="504"/>
      <c r="BP163" s="504">
        <f t="shared" ref="BP163" ca="1" si="178">IFERROR(BP154/BP145-1,0)</f>
        <v>-5.5451358626328107E-2</v>
      </c>
      <c r="BS163" s="84" t="s">
        <v>242</v>
      </c>
      <c r="BT163" s="51" t="s">
        <v>17</v>
      </c>
    </row>
    <row r="164" spans="1:72" x14ac:dyDescent="0.25">
      <c r="B164" s="243" t="str">
        <f t="shared" si="152"/>
        <v>Low-Income</v>
      </c>
      <c r="C164" s="243" t="str">
        <f t="shared" si="152"/>
        <v>Bills</v>
      </c>
      <c r="D164" s="244" t="str">
        <f t="shared" si="152"/>
        <v>Change in Bills</v>
      </c>
      <c r="E164" s="84" t="s">
        <v>17</v>
      </c>
      <c r="F164" s="84"/>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S164" s="84"/>
      <c r="BT164" s="51" t="s">
        <v>17</v>
      </c>
    </row>
    <row r="165" spans="1:72" x14ac:dyDescent="0.25">
      <c r="B165" t="s">
        <v>17</v>
      </c>
      <c r="AM165" s="725"/>
      <c r="AN165" s="725"/>
      <c r="BT165" s="51" t="s">
        <v>17</v>
      </c>
    </row>
    <row r="166" spans="1:72" x14ac:dyDescent="0.25">
      <c r="B166" t="s">
        <v>17</v>
      </c>
      <c r="AM166" s="725"/>
      <c r="AN166" s="725"/>
      <c r="BT166" s="51" t="s">
        <v>17</v>
      </c>
    </row>
    <row r="167" spans="1:72" s="51" customFormat="1" ht="23.25" x14ac:dyDescent="0.25">
      <c r="A167" s="52"/>
      <c r="B167" s="195" t="str">
        <f>Lookups!$D$28</f>
        <v>Small C&amp;I</v>
      </c>
      <c r="C167" s="196"/>
      <c r="D167" s="196"/>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51" t="s">
        <v>17</v>
      </c>
    </row>
    <row r="168" spans="1:72" s="5" customFormat="1" ht="15.75" x14ac:dyDescent="0.25">
      <c r="A168" s="52"/>
      <c r="B168" s="241" t="str">
        <f>B167</f>
        <v>Small C&amp;I</v>
      </c>
      <c r="C168" s="63" t="s">
        <v>3</v>
      </c>
      <c r="D168" s="61"/>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M168" s="63"/>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S168" s="62"/>
      <c r="BT168" s="51" t="s">
        <v>17</v>
      </c>
    </row>
    <row r="169" spans="1:72" s="5" customFormat="1" x14ac:dyDescent="0.25">
      <c r="A169" s="52"/>
      <c r="B169" s="242" t="str">
        <f t="shared" ref="B169:C180" si="179">B168</f>
        <v>Small C&amp;I</v>
      </c>
      <c r="C169" s="242" t="str">
        <f>C168</f>
        <v>Customers</v>
      </c>
      <c r="D169" s="244" t="s">
        <v>3</v>
      </c>
      <c r="E169" s="77" t="s">
        <v>3</v>
      </c>
      <c r="F169" s="76" t="s">
        <v>48</v>
      </c>
      <c r="G169" s="64">
        <f>IF(G$8=0,0,INDEX('Multi-Year Inputs'!$E$12:$AE$15,MATCH($B169,'Multi-Year Inputs'!$D$12:$D$15,0),MATCH(G$7,'Multi-Year Inputs'!$E$4:$AE$4,0)))</f>
        <v>8983.683460097729</v>
      </c>
      <c r="H169" s="64">
        <f>IF(H$8=0,0,INDEX('Multi-Year Inputs'!$E$12:$AE$15,MATCH($B169,'Multi-Year Inputs'!$D$12:$D$15,0),MATCH(H$7,'Multi-Year Inputs'!$E$4:$AE$4,0)))</f>
        <v>8983.683460097729</v>
      </c>
      <c r="I169" s="64">
        <f>IF(I$8=0,0,INDEX('Multi-Year Inputs'!$E$12:$AE$15,MATCH($B169,'Multi-Year Inputs'!$D$12:$D$15,0),MATCH(I$7,'Multi-Year Inputs'!$E$4:$AE$4,0)))</f>
        <v>8983.683460097729</v>
      </c>
      <c r="J169" s="64">
        <f>IF(J$8=0,0,INDEX('Multi-Year Inputs'!$E$12:$AE$15,MATCH($B169,'Multi-Year Inputs'!$D$12:$D$15,0),MATCH(J$7,'Multi-Year Inputs'!$E$4:$AE$4,0)))</f>
        <v>8983.683460097729</v>
      </c>
      <c r="K169" s="64">
        <f>IF(K$8=0,0,INDEX('Multi-Year Inputs'!$E$12:$AE$15,MATCH($B169,'Multi-Year Inputs'!$D$12:$D$15,0),MATCH(K$7,'Multi-Year Inputs'!$E$4:$AE$4,0)))</f>
        <v>8983.683460097729</v>
      </c>
      <c r="L169" s="64">
        <f>IF(L$8=0,0,INDEX('Multi-Year Inputs'!$E$12:$AE$15,MATCH($B169,'Multi-Year Inputs'!$D$12:$D$15,0),MATCH(L$7,'Multi-Year Inputs'!$E$4:$AE$4,0)))</f>
        <v>8983.683460097729</v>
      </c>
      <c r="M169" s="64">
        <f>IF(M$8=0,0,INDEX('Multi-Year Inputs'!$E$12:$AE$15,MATCH($B169,'Multi-Year Inputs'!$D$12:$D$15,0),MATCH(M$7,'Multi-Year Inputs'!$E$4:$AE$4,0)))</f>
        <v>8983.683460097729</v>
      </c>
      <c r="N169" s="64">
        <f>IF(N$8=0,0,INDEX('Multi-Year Inputs'!$E$12:$AE$15,MATCH($B169,'Multi-Year Inputs'!$D$12:$D$15,0),MATCH(N$7,'Multi-Year Inputs'!$E$4:$AE$4,0)))</f>
        <v>8983.683460097729</v>
      </c>
      <c r="O169" s="64">
        <f>IF(O$8=0,0,INDEX('Multi-Year Inputs'!$E$12:$AE$15,MATCH($B169,'Multi-Year Inputs'!$D$12:$D$15,0),MATCH(O$7,'Multi-Year Inputs'!$E$4:$AE$4,0)))</f>
        <v>8983.683460097729</v>
      </c>
      <c r="P169" s="64">
        <f>IF(P$8=0,0,INDEX('Multi-Year Inputs'!$E$12:$AE$15,MATCH($B169,'Multi-Year Inputs'!$D$12:$D$15,0),MATCH(P$7,'Multi-Year Inputs'!$E$4:$AE$4,0)))</f>
        <v>8983.683460097729</v>
      </c>
      <c r="Q169" s="64">
        <f>IF(Q$8=0,0,INDEX('Multi-Year Inputs'!$E$12:$AE$15,MATCH($B169,'Multi-Year Inputs'!$D$12:$D$15,0),MATCH(Q$7,'Multi-Year Inputs'!$E$4:$AE$4,0)))</f>
        <v>8983.683460097729</v>
      </c>
      <c r="R169" s="64">
        <f>IF(R$8=0,0,INDEX('Multi-Year Inputs'!$E$12:$AE$15,MATCH($B169,'Multi-Year Inputs'!$D$12:$D$15,0),MATCH(R$7,'Multi-Year Inputs'!$E$4:$AE$4,0)))</f>
        <v>8983.683460097729</v>
      </c>
      <c r="S169" s="64">
        <f>IF(S$8=0,0,INDEX('Multi-Year Inputs'!$E$12:$AE$15,MATCH($B169,'Multi-Year Inputs'!$D$12:$D$15,0),MATCH(S$7,'Multi-Year Inputs'!$E$4:$AE$4,0)))</f>
        <v>8983.683460097729</v>
      </c>
      <c r="T169" s="64">
        <f>IF(T$8=0,0,INDEX('Multi-Year Inputs'!$E$12:$AE$15,MATCH($B169,'Multi-Year Inputs'!$D$12:$D$15,0),MATCH(T$7,'Multi-Year Inputs'!$E$4:$AE$4,0)))</f>
        <v>8983.683460097729</v>
      </c>
      <c r="U169" s="64">
        <f>IF(U$8=0,0,INDEX('Multi-Year Inputs'!$E$12:$AE$15,MATCH($B169,'Multi-Year Inputs'!$D$12:$D$15,0),MATCH(U$7,'Multi-Year Inputs'!$E$4:$AE$4,0)))</f>
        <v>8983.683460097729</v>
      </c>
      <c r="V169" s="64">
        <f>IF(V$8=0,0,INDEX('Multi-Year Inputs'!$E$12:$AE$15,MATCH($B169,'Multi-Year Inputs'!$D$12:$D$15,0),MATCH(V$7,'Multi-Year Inputs'!$E$4:$AE$4,0)))</f>
        <v>8983.683460097729</v>
      </c>
      <c r="W169" s="64">
        <f>IF(W$8=0,0,INDEX('Multi-Year Inputs'!$E$12:$AE$15,MATCH($B169,'Multi-Year Inputs'!$D$12:$D$15,0),MATCH(W$7,'Multi-Year Inputs'!$E$4:$AE$4,0)))</f>
        <v>8983.683460097729</v>
      </c>
      <c r="X169" s="64">
        <f>IF(X$8=0,0,INDEX('Multi-Year Inputs'!$E$12:$AE$15,MATCH($B169,'Multi-Year Inputs'!$D$12:$D$15,0),MATCH(X$7,'Multi-Year Inputs'!$E$4:$AE$4,0)))</f>
        <v>8983.683460097729</v>
      </c>
      <c r="Y169" s="64">
        <f>IF(Y$8=0,0,INDEX('Multi-Year Inputs'!$E$12:$AE$15,MATCH($B169,'Multi-Year Inputs'!$D$12:$D$15,0),MATCH(Y$7,'Multi-Year Inputs'!$E$4:$AE$4,0)))</f>
        <v>8983.683460097729</v>
      </c>
      <c r="Z169" s="64">
        <f>IF(Z$8=0,0,INDEX('Multi-Year Inputs'!$E$12:$AE$15,MATCH($B169,'Multi-Year Inputs'!$D$12:$D$15,0),MATCH(Z$7,'Multi-Year Inputs'!$E$4:$AE$4,0)))</f>
        <v>8983.683460097729</v>
      </c>
      <c r="AA169" s="64">
        <f>IF(AA$8=0,0,INDEX('Multi-Year Inputs'!$E$12:$AE$15,MATCH($B169,'Multi-Year Inputs'!$D$12:$D$15,0),MATCH(AA$7,'Multi-Year Inputs'!$E$4:$AE$4,0)))</f>
        <v>8983.683460097729</v>
      </c>
      <c r="AB169" s="64">
        <f>IF(AB$8=0,0,INDEX('Multi-Year Inputs'!$E$12:$AE$15,MATCH($B169,'Multi-Year Inputs'!$D$12:$D$15,0),MATCH(AB$7,'Multi-Year Inputs'!$E$4:$AE$4,0)))</f>
        <v>8983.683460097729</v>
      </c>
      <c r="AC169" s="64">
        <f>IF(AC$8=0,0,INDEX('Multi-Year Inputs'!$E$12:$AE$15,MATCH($B169,'Multi-Year Inputs'!$D$12:$D$15,0),MATCH(AC$7,'Multi-Year Inputs'!$E$4:$AE$4,0)))</f>
        <v>8983.683460097729</v>
      </c>
      <c r="AD169" s="64">
        <f>IF(AD$8=0,0,INDEX('Multi-Year Inputs'!$E$12:$AE$15,MATCH($B169,'Multi-Year Inputs'!$D$12:$D$15,0),MATCH(AD$7,'Multi-Year Inputs'!$E$4:$AE$4,0)))</f>
        <v>8983.683460097729</v>
      </c>
      <c r="AE169" s="64">
        <f>IF(AE$8=0,0,INDEX('Multi-Year Inputs'!$E$12:$AE$15,MATCH($B169,'Multi-Year Inputs'!$D$12:$D$15,0),MATCH(AE$7,'Multi-Year Inputs'!$E$4:$AE$4,0)))</f>
        <v>8983.683460097729</v>
      </c>
      <c r="AF169" s="64">
        <f>IF(AF$8=0,0,INDEX('Multi-Year Inputs'!$E$12:$AE$15,MATCH($B169,'Multi-Year Inputs'!$D$12:$D$15,0),MATCH(AF$7,'Multi-Year Inputs'!$E$4:$AE$4,0)))</f>
        <v>8983.683460097729</v>
      </c>
      <c r="AG169" s="64">
        <f>IF(AG$8=0,0,INDEX('Multi-Year Inputs'!$E$12:$AE$15,MATCH($B169,'Multi-Year Inputs'!$D$12:$D$15,0),MATCH(AG$7,'Multi-Year Inputs'!$E$4:$AE$4,0)))</f>
        <v>8983.683460097729</v>
      </c>
      <c r="AH169" s="64"/>
      <c r="AI169" s="64"/>
      <c r="AJ169" s="64"/>
      <c r="AM169" s="71">
        <f>IF(AM$8=0,0,INDEX('Multi-Year Inputs'!$E$12:$AE$15,MATCH($B169,'Multi-Year Inputs'!$D$12:$D$15,0),MATCH(AM$7,'Multi-Year Inputs'!$E$4:$AE$4,0)))</f>
        <v>8983.683460097729</v>
      </c>
      <c r="AN169" s="71">
        <f>IF(AN$8=0,0,INDEX('Multi-Year Inputs'!$E$12:$AE$15,MATCH($B169,'Multi-Year Inputs'!$D$12:$D$15,0),MATCH(AN$7,'Multi-Year Inputs'!$E$4:$AE$4,0)))</f>
        <v>8983.683460097729</v>
      </c>
      <c r="AO169" s="71">
        <f>IF(AO$8=0,0,INDEX('Multi-Year Inputs'!$E$12:$AE$15,MATCH($B169,'Multi-Year Inputs'!$D$12:$D$15,0),MATCH(AO$7,'Multi-Year Inputs'!$E$4:$AE$4,0)))</f>
        <v>8983.683460097729</v>
      </c>
      <c r="AP169" s="71">
        <f>IF(AP$8=0,0,INDEX('Multi-Year Inputs'!$E$12:$AE$15,MATCH($B169,'Multi-Year Inputs'!$D$12:$D$15,0),MATCH(AP$7,'Multi-Year Inputs'!$E$4:$AE$4,0)))</f>
        <v>8983.683460097729</v>
      </c>
      <c r="AQ169" s="71">
        <f>IF(AQ$8=0,0,INDEX('Multi-Year Inputs'!$E$12:$AE$15,MATCH($B169,'Multi-Year Inputs'!$D$12:$D$15,0),MATCH(AQ$7,'Multi-Year Inputs'!$E$4:$AE$4,0)))</f>
        <v>8983.683460097729</v>
      </c>
      <c r="AR169" s="71">
        <f>IF(AR$8=0,0,INDEX('Multi-Year Inputs'!$E$12:$AE$15,MATCH($B169,'Multi-Year Inputs'!$D$12:$D$15,0),MATCH(AR$7,'Multi-Year Inputs'!$E$4:$AE$4,0)))</f>
        <v>8983.683460097729</v>
      </c>
      <c r="AS169" s="71">
        <f>IF(AS$8=0,0,INDEX('Multi-Year Inputs'!$E$12:$AE$15,MATCH($B169,'Multi-Year Inputs'!$D$12:$D$15,0),MATCH(AS$7,'Multi-Year Inputs'!$E$4:$AE$4,0)))</f>
        <v>8983.683460097729</v>
      </c>
      <c r="AT169" s="71">
        <f>IF(AT$8=0,0,INDEX('Multi-Year Inputs'!$E$12:$AE$15,MATCH($B169,'Multi-Year Inputs'!$D$12:$D$15,0),MATCH(AT$7,'Multi-Year Inputs'!$E$4:$AE$4,0)))</f>
        <v>8983.683460097729</v>
      </c>
      <c r="AU169" s="71">
        <f>IF(AU$8=0,0,INDEX('Multi-Year Inputs'!$E$12:$AE$15,MATCH($B169,'Multi-Year Inputs'!$D$12:$D$15,0),MATCH(AU$7,'Multi-Year Inputs'!$E$4:$AE$4,0)))</f>
        <v>8983.683460097729</v>
      </c>
      <c r="AV169" s="71">
        <f>IF(AV$8=0,0,INDEX('Multi-Year Inputs'!$E$12:$AE$15,MATCH($B169,'Multi-Year Inputs'!$D$12:$D$15,0),MATCH(AV$7,'Multi-Year Inputs'!$E$4:$AE$4,0)))</f>
        <v>8983.683460097729</v>
      </c>
      <c r="AW169" s="71">
        <f>IF(AW$8=0,0,INDEX('Multi-Year Inputs'!$E$12:$AE$15,MATCH($B169,'Multi-Year Inputs'!$D$12:$D$15,0),MATCH(AW$7,'Multi-Year Inputs'!$E$4:$AE$4,0)))</f>
        <v>8983.683460097729</v>
      </c>
      <c r="AX169" s="71">
        <f>IF(AX$8=0,0,INDEX('Multi-Year Inputs'!$E$12:$AE$15,MATCH($B169,'Multi-Year Inputs'!$D$12:$D$15,0),MATCH(AX$7,'Multi-Year Inputs'!$E$4:$AE$4,0)))</f>
        <v>8983.683460097729</v>
      </c>
      <c r="AY169" s="71">
        <f>IF(AY$8=0,0,INDEX('Multi-Year Inputs'!$E$12:$AE$15,MATCH($B169,'Multi-Year Inputs'!$D$12:$D$15,0),MATCH(AY$7,'Multi-Year Inputs'!$E$4:$AE$4,0)))</f>
        <v>8983.683460097729</v>
      </c>
      <c r="AZ169" s="71">
        <f>IF(AZ$8=0,0,INDEX('Multi-Year Inputs'!$E$12:$AE$15,MATCH($B169,'Multi-Year Inputs'!$D$12:$D$15,0),MATCH(AZ$7,'Multi-Year Inputs'!$E$4:$AE$4,0)))</f>
        <v>8983.683460097729</v>
      </c>
      <c r="BA169" s="71">
        <f>IF(BA$8=0,0,INDEX('Multi-Year Inputs'!$E$12:$AE$15,MATCH($B169,'Multi-Year Inputs'!$D$12:$D$15,0),MATCH(BA$7,'Multi-Year Inputs'!$E$4:$AE$4,0)))</f>
        <v>8983.683460097729</v>
      </c>
      <c r="BB169" s="71">
        <f>IF(BB$8=0,0,INDEX('Multi-Year Inputs'!$E$12:$AE$15,MATCH($B169,'Multi-Year Inputs'!$D$12:$D$15,0),MATCH(BB$7,'Multi-Year Inputs'!$E$4:$AE$4,0)))</f>
        <v>8983.683460097729</v>
      </c>
      <c r="BC169" s="71">
        <f>IF(BC$8=0,0,INDEX('Multi-Year Inputs'!$E$12:$AE$15,MATCH($B169,'Multi-Year Inputs'!$D$12:$D$15,0),MATCH(BC$7,'Multi-Year Inputs'!$E$4:$AE$4,0)))</f>
        <v>8983.683460097729</v>
      </c>
      <c r="BD169" s="71">
        <f>IF(BD$8=0,0,INDEX('Multi-Year Inputs'!$E$12:$AE$15,MATCH($B169,'Multi-Year Inputs'!$D$12:$D$15,0),MATCH(BD$7,'Multi-Year Inputs'!$E$4:$AE$4,0)))</f>
        <v>8983.683460097729</v>
      </c>
      <c r="BE169" s="71">
        <f>IF(BE$8=0,0,INDEX('Multi-Year Inputs'!$E$12:$AE$15,MATCH($B169,'Multi-Year Inputs'!$D$12:$D$15,0),MATCH(BE$7,'Multi-Year Inputs'!$E$4:$AE$4,0)))</f>
        <v>8983.683460097729</v>
      </c>
      <c r="BF169" s="71">
        <f>IF(BF$8=0,0,INDEX('Multi-Year Inputs'!$E$12:$AE$15,MATCH($B169,'Multi-Year Inputs'!$D$12:$D$15,0),MATCH(BF$7,'Multi-Year Inputs'!$E$4:$AE$4,0)))</f>
        <v>8983.683460097729</v>
      </c>
      <c r="BG169" s="71">
        <f>IF(BG$8=0,0,INDEX('Multi-Year Inputs'!$E$12:$AE$15,MATCH($B169,'Multi-Year Inputs'!$D$12:$D$15,0),MATCH(BG$7,'Multi-Year Inputs'!$E$4:$AE$4,0)))</f>
        <v>8983.683460097729</v>
      </c>
      <c r="BH169" s="71">
        <f>IF(BH$8=0,0,INDEX('Multi-Year Inputs'!$E$12:$AE$15,MATCH($B169,'Multi-Year Inputs'!$D$12:$D$15,0),MATCH(BH$7,'Multi-Year Inputs'!$E$4:$AE$4,0)))</f>
        <v>8983.683460097729</v>
      </c>
      <c r="BI169" s="71">
        <f>IF(BI$8=0,0,INDEX('Multi-Year Inputs'!$E$12:$AE$15,MATCH($B169,'Multi-Year Inputs'!$D$12:$D$15,0),MATCH(BI$7,'Multi-Year Inputs'!$E$4:$AE$4,0)))</f>
        <v>8983.683460097729</v>
      </c>
      <c r="BJ169" s="71">
        <f>IF(BJ$8=0,0,INDEX('Multi-Year Inputs'!$E$12:$AE$15,MATCH($B169,'Multi-Year Inputs'!$D$12:$D$15,0),MATCH(BJ$7,'Multi-Year Inputs'!$E$4:$AE$4,0)))</f>
        <v>8983.683460097729</v>
      </c>
      <c r="BK169" s="71">
        <f>IF(BK$8=0,0,INDEX('Multi-Year Inputs'!$E$12:$AE$15,MATCH($B169,'Multi-Year Inputs'!$D$12:$D$15,0),MATCH(BK$7,'Multi-Year Inputs'!$E$4:$AE$4,0)))</f>
        <v>8983.683460097729</v>
      </c>
      <c r="BL169" s="71">
        <f>IF(BL$8=0,0,INDEX('Multi-Year Inputs'!$E$12:$AE$15,MATCH($B169,'Multi-Year Inputs'!$D$12:$D$15,0),MATCH(BL$7,'Multi-Year Inputs'!$E$4:$AE$4,0)))</f>
        <v>8983.683460097729</v>
      </c>
      <c r="BM169" s="71">
        <f>IF(BM$8=0,0,INDEX('Multi-Year Inputs'!$E$12:$AE$15,MATCH($B169,'Multi-Year Inputs'!$D$12:$D$15,0),MATCH(BM$7,'Multi-Year Inputs'!$E$4:$AE$4,0)))</f>
        <v>8983.683460097729</v>
      </c>
      <c r="BN169" s="72"/>
      <c r="BO169" s="72"/>
      <c r="BP169" s="72"/>
      <c r="BS169" s="76" t="s">
        <v>89</v>
      </c>
      <c r="BT169" s="51" t="s">
        <v>17</v>
      </c>
    </row>
    <row r="170" spans="1:72" s="5" customFormat="1" x14ac:dyDescent="0.25">
      <c r="A170" s="52"/>
      <c r="B170" s="242" t="str">
        <f t="shared" si="179"/>
        <v>Small C&amp;I</v>
      </c>
      <c r="C170" s="242" t="str">
        <f>C169</f>
        <v>Customers</v>
      </c>
      <c r="D170" s="244" t="s">
        <v>40</v>
      </c>
      <c r="E170" s="77" t="s">
        <v>40</v>
      </c>
      <c r="F170" s="76" t="s">
        <v>2</v>
      </c>
      <c r="G170" s="65">
        <f ca="1">IF($C$4=Lookups!$D$40,IF(SUM(INDIRECT("'Yr1'!"&amp;ADDRESS(ROW(G170),COLUMN(G170))),INDIRECT("'Yr2'!"&amp;ADDRESS(ROW(G170),COLUMN(G170))),INDIRECT("'Yr3'!"&amp;ADDRESS(ROW(G170),COLUMN(G170))))&gt;0,"3 Yr. total",0),
IF(G$7&lt;$C$4,0,IF(G$8&lt;=SUMIFS('EE Inputs'!$V$9:$V$32,'EE Inputs'!$C$9:$C$32,$G$6,'EE Inputs'!$D$9:$D$32,$C$4,'EE Inputs'!$E$9:$E$32,$B170),SUMIFS('EE Inputs'!$V$9:$V$32,'EE Inputs'!$C$9:$C$32,$G$6,'EE Inputs'!$D$9:$D$32,$C$4,'EE Inputs'!$E$9:$E$32,$B170),0)))</f>
        <v>16</v>
      </c>
      <c r="H170" s="65">
        <f ca="1">IF($C$4=Lookups!$D$40,IF(SUM(INDIRECT("'Yr1'!"&amp;ADDRESS(ROW(H170),COLUMN(H170))),INDIRECT("'Yr2'!"&amp;ADDRESS(ROW(H170),COLUMN(H170))),INDIRECT("'Yr3'!"&amp;ADDRESS(ROW(H170),COLUMN(H170))))&gt;0,"3 Yr. total",0),
IF(H$7&lt;$C$4,0,IF(H$8&lt;=SUMIFS('EE Inputs'!$V$9:$V$32,'EE Inputs'!$C$9:$C$32,$G$6,'EE Inputs'!$D$9:$D$32,$C$4,'EE Inputs'!$E$9:$E$32,$B170),SUMIFS('EE Inputs'!$V$9:$V$32,'EE Inputs'!$C$9:$C$32,$G$6,'EE Inputs'!$D$9:$D$32,$C$4,'EE Inputs'!$E$9:$E$32,$B170),0)))</f>
        <v>16</v>
      </c>
      <c r="I170" s="65">
        <f ca="1">IF($C$4=Lookups!$D$40,IF(SUM(INDIRECT("'Yr1'!"&amp;ADDRESS(ROW(I170),COLUMN(I170))),INDIRECT("'Yr2'!"&amp;ADDRESS(ROW(I170),COLUMN(I170))),INDIRECT("'Yr3'!"&amp;ADDRESS(ROW(I170),COLUMN(I170))))&gt;0,"3 Yr. total",0),
IF(I$7&lt;$C$4,0,IF(I$8&lt;=SUMIFS('EE Inputs'!$V$9:$V$32,'EE Inputs'!$C$9:$C$32,$G$6,'EE Inputs'!$D$9:$D$32,$C$4,'EE Inputs'!$E$9:$E$32,$B170),SUMIFS('EE Inputs'!$V$9:$V$32,'EE Inputs'!$C$9:$C$32,$G$6,'EE Inputs'!$D$9:$D$32,$C$4,'EE Inputs'!$E$9:$E$32,$B170),0)))</f>
        <v>16</v>
      </c>
      <c r="J170" s="65">
        <f ca="1">IF($C$4=Lookups!$D$40,IF(SUM(INDIRECT("'Yr1'!"&amp;ADDRESS(ROW(J170),COLUMN(J170))),INDIRECT("'Yr2'!"&amp;ADDRESS(ROW(J170),COLUMN(J170))),INDIRECT("'Yr3'!"&amp;ADDRESS(ROW(J170),COLUMN(J170))))&gt;0,"3 Yr. total",0),
IF(J$7&lt;$C$4,0,IF(J$8&lt;=SUMIFS('EE Inputs'!$V$9:$V$32,'EE Inputs'!$C$9:$C$32,$G$6,'EE Inputs'!$D$9:$D$32,$C$4,'EE Inputs'!$E$9:$E$32,$B170),SUMIFS('EE Inputs'!$V$9:$V$32,'EE Inputs'!$C$9:$C$32,$G$6,'EE Inputs'!$D$9:$D$32,$C$4,'EE Inputs'!$E$9:$E$32,$B170),0)))</f>
        <v>16</v>
      </c>
      <c r="K170" s="65">
        <f ca="1">IF($C$4=Lookups!$D$40,IF(SUM(INDIRECT("'Yr1'!"&amp;ADDRESS(ROW(K170),COLUMN(K170))),INDIRECT("'Yr2'!"&amp;ADDRESS(ROW(K170),COLUMN(K170))),INDIRECT("'Yr3'!"&amp;ADDRESS(ROW(K170),COLUMN(K170))))&gt;0,"3 Yr. total",0),
IF(K$7&lt;$C$4,0,IF(K$8&lt;=SUMIFS('EE Inputs'!$V$9:$V$32,'EE Inputs'!$C$9:$C$32,$G$6,'EE Inputs'!$D$9:$D$32,$C$4,'EE Inputs'!$E$9:$E$32,$B170),SUMIFS('EE Inputs'!$V$9:$V$32,'EE Inputs'!$C$9:$C$32,$G$6,'EE Inputs'!$D$9:$D$32,$C$4,'EE Inputs'!$E$9:$E$32,$B170),0)))</f>
        <v>16</v>
      </c>
      <c r="L170" s="65">
        <f ca="1">IF($C$4=Lookups!$D$40,IF(SUM(INDIRECT("'Yr1'!"&amp;ADDRESS(ROW(L170),COLUMN(L170))),INDIRECT("'Yr2'!"&amp;ADDRESS(ROW(L170),COLUMN(L170))),INDIRECT("'Yr3'!"&amp;ADDRESS(ROW(L170),COLUMN(L170))))&gt;0,"3 Yr. total",0),
IF(L$7&lt;$C$4,0,IF(L$8&lt;=SUMIFS('EE Inputs'!$V$9:$V$32,'EE Inputs'!$C$9:$C$32,$G$6,'EE Inputs'!$D$9:$D$32,$C$4,'EE Inputs'!$E$9:$E$32,$B170),SUMIFS('EE Inputs'!$V$9:$V$32,'EE Inputs'!$C$9:$C$32,$G$6,'EE Inputs'!$D$9:$D$32,$C$4,'EE Inputs'!$E$9:$E$32,$B170),0)))</f>
        <v>16</v>
      </c>
      <c r="M170" s="65">
        <f ca="1">IF($C$4=Lookups!$D$40,IF(SUM(INDIRECT("'Yr1'!"&amp;ADDRESS(ROW(M170),COLUMN(M170))),INDIRECT("'Yr2'!"&amp;ADDRESS(ROW(M170),COLUMN(M170))),INDIRECT("'Yr3'!"&amp;ADDRESS(ROW(M170),COLUMN(M170))))&gt;0,"3 Yr. total",0),
IF(M$7&lt;$C$4,0,IF(M$8&lt;=SUMIFS('EE Inputs'!$V$9:$V$32,'EE Inputs'!$C$9:$C$32,$G$6,'EE Inputs'!$D$9:$D$32,$C$4,'EE Inputs'!$E$9:$E$32,$B170),SUMIFS('EE Inputs'!$V$9:$V$32,'EE Inputs'!$C$9:$C$32,$G$6,'EE Inputs'!$D$9:$D$32,$C$4,'EE Inputs'!$E$9:$E$32,$B170),0)))</f>
        <v>16</v>
      </c>
      <c r="N170" s="65">
        <f ca="1">IF($C$4=Lookups!$D$40,IF(SUM(INDIRECT("'Yr1'!"&amp;ADDRESS(ROW(N170),COLUMN(N170))),INDIRECT("'Yr2'!"&amp;ADDRESS(ROW(N170),COLUMN(N170))),INDIRECT("'Yr3'!"&amp;ADDRESS(ROW(N170),COLUMN(N170))))&gt;0,"3 Yr. total",0),
IF(N$7&lt;$C$4,0,IF(N$8&lt;=SUMIFS('EE Inputs'!$V$9:$V$32,'EE Inputs'!$C$9:$C$32,$G$6,'EE Inputs'!$D$9:$D$32,$C$4,'EE Inputs'!$E$9:$E$32,$B170),SUMIFS('EE Inputs'!$V$9:$V$32,'EE Inputs'!$C$9:$C$32,$G$6,'EE Inputs'!$D$9:$D$32,$C$4,'EE Inputs'!$E$9:$E$32,$B170),0)))</f>
        <v>16</v>
      </c>
      <c r="O170" s="65">
        <f ca="1">IF($C$4=Lookups!$D$40,IF(SUM(INDIRECT("'Yr1'!"&amp;ADDRESS(ROW(O170),COLUMN(O170))),INDIRECT("'Yr2'!"&amp;ADDRESS(ROW(O170),COLUMN(O170))),INDIRECT("'Yr3'!"&amp;ADDRESS(ROW(O170),COLUMN(O170))))&gt;0,"3 Yr. total",0),
IF(O$7&lt;$C$4,0,IF(O$8&lt;=SUMIFS('EE Inputs'!$V$9:$V$32,'EE Inputs'!$C$9:$C$32,$G$6,'EE Inputs'!$D$9:$D$32,$C$4,'EE Inputs'!$E$9:$E$32,$B170),SUMIFS('EE Inputs'!$V$9:$V$32,'EE Inputs'!$C$9:$C$32,$G$6,'EE Inputs'!$D$9:$D$32,$C$4,'EE Inputs'!$E$9:$E$32,$B170),0)))</f>
        <v>16</v>
      </c>
      <c r="P170" s="65">
        <f ca="1">IF($C$4=Lookups!$D$40,IF(SUM(INDIRECT("'Yr1'!"&amp;ADDRESS(ROW(P170),COLUMN(P170))),INDIRECT("'Yr2'!"&amp;ADDRESS(ROW(P170),COLUMN(P170))),INDIRECT("'Yr3'!"&amp;ADDRESS(ROW(P170),COLUMN(P170))))&gt;0,"3 Yr. total",0),
IF(P$7&lt;$C$4,0,IF(P$8&lt;=SUMIFS('EE Inputs'!$V$9:$V$32,'EE Inputs'!$C$9:$C$32,$G$6,'EE Inputs'!$D$9:$D$32,$C$4,'EE Inputs'!$E$9:$E$32,$B170),SUMIFS('EE Inputs'!$V$9:$V$32,'EE Inputs'!$C$9:$C$32,$G$6,'EE Inputs'!$D$9:$D$32,$C$4,'EE Inputs'!$E$9:$E$32,$B170),0)))</f>
        <v>16</v>
      </c>
      <c r="Q170" s="65">
        <f ca="1">IF($C$4=Lookups!$D$40,IF(SUM(INDIRECT("'Yr1'!"&amp;ADDRESS(ROW(Q170),COLUMN(Q170))),INDIRECT("'Yr2'!"&amp;ADDRESS(ROW(Q170),COLUMN(Q170))),INDIRECT("'Yr3'!"&amp;ADDRESS(ROW(Q170),COLUMN(Q170))))&gt;0,"3 Yr. total",0),
IF(Q$7&lt;$C$4,0,IF(Q$8&lt;=SUMIFS('EE Inputs'!$V$9:$V$32,'EE Inputs'!$C$9:$C$32,$G$6,'EE Inputs'!$D$9:$D$32,$C$4,'EE Inputs'!$E$9:$E$32,$B170),SUMIFS('EE Inputs'!$V$9:$V$32,'EE Inputs'!$C$9:$C$32,$G$6,'EE Inputs'!$D$9:$D$32,$C$4,'EE Inputs'!$E$9:$E$32,$B170),0)))</f>
        <v>16</v>
      </c>
      <c r="R170" s="65">
        <f ca="1">IF($C$4=Lookups!$D$40,IF(SUM(INDIRECT("'Yr1'!"&amp;ADDRESS(ROW(R170),COLUMN(R170))),INDIRECT("'Yr2'!"&amp;ADDRESS(ROW(R170),COLUMN(R170))),INDIRECT("'Yr3'!"&amp;ADDRESS(ROW(R170),COLUMN(R170))))&gt;0,"3 Yr. total",0),
IF(R$7&lt;$C$4,0,IF(R$8&lt;=SUMIFS('EE Inputs'!$V$9:$V$32,'EE Inputs'!$C$9:$C$32,$G$6,'EE Inputs'!$D$9:$D$32,$C$4,'EE Inputs'!$E$9:$E$32,$B170),SUMIFS('EE Inputs'!$V$9:$V$32,'EE Inputs'!$C$9:$C$32,$G$6,'EE Inputs'!$D$9:$D$32,$C$4,'EE Inputs'!$E$9:$E$32,$B170),0)))</f>
        <v>16</v>
      </c>
      <c r="S170" s="65">
        <f ca="1">IF($C$4=Lookups!$D$40,IF(SUM(INDIRECT("'Yr1'!"&amp;ADDRESS(ROW(S170),COLUMN(S170))),INDIRECT("'Yr2'!"&amp;ADDRESS(ROW(S170),COLUMN(S170))),INDIRECT("'Yr3'!"&amp;ADDRESS(ROW(S170),COLUMN(S170))))&gt;0,"3 Yr. total",0),
IF(S$7&lt;$C$4,0,IF(S$8&lt;=SUMIFS('EE Inputs'!$V$9:$V$32,'EE Inputs'!$C$9:$C$32,$G$6,'EE Inputs'!$D$9:$D$32,$C$4,'EE Inputs'!$E$9:$E$32,$B170),SUMIFS('EE Inputs'!$V$9:$V$32,'EE Inputs'!$C$9:$C$32,$G$6,'EE Inputs'!$D$9:$D$32,$C$4,'EE Inputs'!$E$9:$E$32,$B170),0)))</f>
        <v>16</v>
      </c>
      <c r="T170" s="65">
        <f ca="1">IF($C$4=Lookups!$D$40,IF(SUM(INDIRECT("'Yr1'!"&amp;ADDRESS(ROW(T170),COLUMN(T170))),INDIRECT("'Yr2'!"&amp;ADDRESS(ROW(T170),COLUMN(T170))),INDIRECT("'Yr3'!"&amp;ADDRESS(ROW(T170),COLUMN(T170))))&gt;0,"3 Yr. total",0),
IF(T$7&lt;$C$4,0,IF(T$8&lt;=SUMIFS('EE Inputs'!$V$9:$V$32,'EE Inputs'!$C$9:$C$32,$G$6,'EE Inputs'!$D$9:$D$32,$C$4,'EE Inputs'!$E$9:$E$32,$B170),SUMIFS('EE Inputs'!$V$9:$V$32,'EE Inputs'!$C$9:$C$32,$G$6,'EE Inputs'!$D$9:$D$32,$C$4,'EE Inputs'!$E$9:$E$32,$B170),0)))</f>
        <v>16</v>
      </c>
      <c r="U170" s="65">
        <f ca="1">IF($C$4=Lookups!$D$40,IF(SUM(INDIRECT("'Yr1'!"&amp;ADDRESS(ROW(U170),COLUMN(U170))),INDIRECT("'Yr2'!"&amp;ADDRESS(ROW(U170),COLUMN(U170))),INDIRECT("'Yr3'!"&amp;ADDRESS(ROW(U170),COLUMN(U170))))&gt;0,"3 Yr. total",0),
IF(U$7&lt;$C$4,0,IF(U$8&lt;=SUMIFS('EE Inputs'!$V$9:$V$32,'EE Inputs'!$C$9:$C$32,$G$6,'EE Inputs'!$D$9:$D$32,$C$4,'EE Inputs'!$E$9:$E$32,$B170),SUMIFS('EE Inputs'!$V$9:$V$32,'EE Inputs'!$C$9:$C$32,$G$6,'EE Inputs'!$D$9:$D$32,$C$4,'EE Inputs'!$E$9:$E$32,$B170),0)))</f>
        <v>16</v>
      </c>
      <c r="V170" s="65">
        <f ca="1">IF($C$4=Lookups!$D$40,IF(SUM(INDIRECT("'Yr1'!"&amp;ADDRESS(ROW(V170),COLUMN(V170))),INDIRECT("'Yr2'!"&amp;ADDRESS(ROW(V170),COLUMN(V170))),INDIRECT("'Yr3'!"&amp;ADDRESS(ROW(V170),COLUMN(V170))))&gt;0,"3 Yr. total",0),
IF(V$7&lt;$C$4,0,IF(V$8&lt;=SUMIFS('EE Inputs'!$V$9:$V$32,'EE Inputs'!$C$9:$C$32,$G$6,'EE Inputs'!$D$9:$D$32,$C$4,'EE Inputs'!$E$9:$E$32,$B170),SUMIFS('EE Inputs'!$V$9:$V$32,'EE Inputs'!$C$9:$C$32,$G$6,'EE Inputs'!$D$9:$D$32,$C$4,'EE Inputs'!$E$9:$E$32,$B170),0)))</f>
        <v>16</v>
      </c>
      <c r="W170" s="65">
        <f ca="1">IF($C$4=Lookups!$D$40,IF(SUM(INDIRECT("'Yr1'!"&amp;ADDRESS(ROW(W170),COLUMN(W170))),INDIRECT("'Yr2'!"&amp;ADDRESS(ROW(W170),COLUMN(W170))),INDIRECT("'Yr3'!"&amp;ADDRESS(ROW(W170),COLUMN(W170))))&gt;0,"3 Yr. total",0),
IF(W$7&lt;$C$4,0,IF(W$8&lt;=SUMIFS('EE Inputs'!$V$9:$V$32,'EE Inputs'!$C$9:$C$32,$G$6,'EE Inputs'!$D$9:$D$32,$C$4,'EE Inputs'!$E$9:$E$32,$B170),SUMIFS('EE Inputs'!$V$9:$V$32,'EE Inputs'!$C$9:$C$32,$G$6,'EE Inputs'!$D$9:$D$32,$C$4,'EE Inputs'!$E$9:$E$32,$B170),0)))</f>
        <v>0</v>
      </c>
      <c r="X170" s="65">
        <f ca="1">IF($C$4=Lookups!$D$40,IF(SUM(INDIRECT("'Yr1'!"&amp;ADDRESS(ROW(X170),COLUMN(X170))),INDIRECT("'Yr2'!"&amp;ADDRESS(ROW(X170),COLUMN(X170))),INDIRECT("'Yr3'!"&amp;ADDRESS(ROW(X170),COLUMN(X170))))&gt;0,"3 Yr. total",0),
IF(X$7&lt;$C$4,0,IF(X$8&lt;=SUMIFS('EE Inputs'!$V$9:$V$32,'EE Inputs'!$C$9:$C$32,$G$6,'EE Inputs'!$D$9:$D$32,$C$4,'EE Inputs'!$E$9:$E$32,$B170),SUMIFS('EE Inputs'!$V$9:$V$32,'EE Inputs'!$C$9:$C$32,$G$6,'EE Inputs'!$D$9:$D$32,$C$4,'EE Inputs'!$E$9:$E$32,$B170),0)))</f>
        <v>0</v>
      </c>
      <c r="Y170" s="65">
        <f ca="1">IF($C$4=Lookups!$D$40,IF(SUM(INDIRECT("'Yr1'!"&amp;ADDRESS(ROW(Y170),COLUMN(Y170))),INDIRECT("'Yr2'!"&amp;ADDRESS(ROW(Y170),COLUMN(Y170))),INDIRECT("'Yr3'!"&amp;ADDRESS(ROW(Y170),COLUMN(Y170))))&gt;0,"3 Yr. total",0),
IF(Y$7&lt;$C$4,0,IF(Y$8&lt;=SUMIFS('EE Inputs'!$V$9:$V$32,'EE Inputs'!$C$9:$C$32,$G$6,'EE Inputs'!$D$9:$D$32,$C$4,'EE Inputs'!$E$9:$E$32,$B170),SUMIFS('EE Inputs'!$V$9:$V$32,'EE Inputs'!$C$9:$C$32,$G$6,'EE Inputs'!$D$9:$D$32,$C$4,'EE Inputs'!$E$9:$E$32,$B170),0)))</f>
        <v>0</v>
      </c>
      <c r="Z170" s="65">
        <f ca="1">IF($C$4=Lookups!$D$40,IF(SUM(INDIRECT("'Yr1'!"&amp;ADDRESS(ROW(Z170),COLUMN(Z170))),INDIRECT("'Yr2'!"&amp;ADDRESS(ROW(Z170),COLUMN(Z170))),INDIRECT("'Yr3'!"&amp;ADDRESS(ROW(Z170),COLUMN(Z170))))&gt;0,"3 Yr. total",0),
IF(Z$7&lt;$C$4,0,IF(Z$8&lt;=SUMIFS('EE Inputs'!$V$9:$V$32,'EE Inputs'!$C$9:$C$32,$G$6,'EE Inputs'!$D$9:$D$32,$C$4,'EE Inputs'!$E$9:$E$32,$B170),SUMIFS('EE Inputs'!$V$9:$V$32,'EE Inputs'!$C$9:$C$32,$G$6,'EE Inputs'!$D$9:$D$32,$C$4,'EE Inputs'!$E$9:$E$32,$B170),0)))</f>
        <v>0</v>
      </c>
      <c r="AA170" s="65">
        <f ca="1">IF($C$4=Lookups!$D$40,IF(SUM(INDIRECT("'Yr1'!"&amp;ADDRESS(ROW(AA170),COLUMN(AA170))),INDIRECT("'Yr2'!"&amp;ADDRESS(ROW(AA170),COLUMN(AA170))),INDIRECT("'Yr3'!"&amp;ADDRESS(ROW(AA170),COLUMN(AA170))))&gt;0,"3 Yr. total",0),
IF(AA$7&lt;$C$4,0,IF(AA$8&lt;=SUMIFS('EE Inputs'!$V$9:$V$32,'EE Inputs'!$C$9:$C$32,$G$6,'EE Inputs'!$D$9:$D$32,$C$4,'EE Inputs'!$E$9:$E$32,$B170),SUMIFS('EE Inputs'!$V$9:$V$32,'EE Inputs'!$C$9:$C$32,$G$6,'EE Inputs'!$D$9:$D$32,$C$4,'EE Inputs'!$E$9:$E$32,$B170),0)))</f>
        <v>0</v>
      </c>
      <c r="AB170" s="65">
        <f ca="1">IF($C$4=Lookups!$D$40,IF(SUM(INDIRECT("'Yr1'!"&amp;ADDRESS(ROW(AB170),COLUMN(AB170))),INDIRECT("'Yr2'!"&amp;ADDRESS(ROW(AB170),COLUMN(AB170))),INDIRECT("'Yr3'!"&amp;ADDRESS(ROW(AB170),COLUMN(AB170))))&gt;0,"3 Yr. total",0),
IF(AB$7&lt;$C$4,0,IF(AB$8&lt;=SUMIFS('EE Inputs'!$V$9:$V$32,'EE Inputs'!$C$9:$C$32,$G$6,'EE Inputs'!$D$9:$D$32,$C$4,'EE Inputs'!$E$9:$E$32,$B170),SUMIFS('EE Inputs'!$V$9:$V$32,'EE Inputs'!$C$9:$C$32,$G$6,'EE Inputs'!$D$9:$D$32,$C$4,'EE Inputs'!$E$9:$E$32,$B170),0)))</f>
        <v>0</v>
      </c>
      <c r="AC170" s="65">
        <f ca="1">IF($C$4=Lookups!$D$40,IF(SUM(INDIRECT("'Yr1'!"&amp;ADDRESS(ROW(AC170),COLUMN(AC170))),INDIRECT("'Yr2'!"&amp;ADDRESS(ROW(AC170),COLUMN(AC170))),INDIRECT("'Yr3'!"&amp;ADDRESS(ROW(AC170),COLUMN(AC170))))&gt;0,"3 Yr. total",0),
IF(AC$7&lt;$C$4,0,IF(AC$8&lt;=SUMIFS('EE Inputs'!$V$9:$V$32,'EE Inputs'!$C$9:$C$32,$G$6,'EE Inputs'!$D$9:$D$32,$C$4,'EE Inputs'!$E$9:$E$32,$B170),SUMIFS('EE Inputs'!$V$9:$V$32,'EE Inputs'!$C$9:$C$32,$G$6,'EE Inputs'!$D$9:$D$32,$C$4,'EE Inputs'!$E$9:$E$32,$B170),0)))</f>
        <v>0</v>
      </c>
      <c r="AD170" s="65">
        <f ca="1">IF($C$4=Lookups!$D$40,IF(SUM(INDIRECT("'Yr1'!"&amp;ADDRESS(ROW(AD170),COLUMN(AD170))),INDIRECT("'Yr2'!"&amp;ADDRESS(ROW(AD170),COLUMN(AD170))),INDIRECT("'Yr3'!"&amp;ADDRESS(ROW(AD170),COLUMN(AD170))))&gt;0,"3 Yr. total",0),
IF(AD$7&lt;$C$4,0,IF(AD$8&lt;=SUMIFS('EE Inputs'!$V$9:$V$32,'EE Inputs'!$C$9:$C$32,$G$6,'EE Inputs'!$D$9:$D$32,$C$4,'EE Inputs'!$E$9:$E$32,$B170),SUMIFS('EE Inputs'!$V$9:$V$32,'EE Inputs'!$C$9:$C$32,$G$6,'EE Inputs'!$D$9:$D$32,$C$4,'EE Inputs'!$E$9:$E$32,$B170),0)))</f>
        <v>0</v>
      </c>
      <c r="AE170" s="65">
        <f ca="1">IF($C$4=Lookups!$D$40,IF(SUM(INDIRECT("'Yr1'!"&amp;ADDRESS(ROW(AE170),COLUMN(AE170))),INDIRECT("'Yr2'!"&amp;ADDRESS(ROW(AE170),COLUMN(AE170))),INDIRECT("'Yr3'!"&amp;ADDRESS(ROW(AE170),COLUMN(AE170))))&gt;0,"3 Yr. total",0),
IF(AE$7&lt;$C$4,0,IF(AE$8&lt;=SUMIFS('EE Inputs'!$V$9:$V$32,'EE Inputs'!$C$9:$C$32,$G$6,'EE Inputs'!$D$9:$D$32,$C$4,'EE Inputs'!$E$9:$E$32,$B170),SUMIFS('EE Inputs'!$V$9:$V$32,'EE Inputs'!$C$9:$C$32,$G$6,'EE Inputs'!$D$9:$D$32,$C$4,'EE Inputs'!$E$9:$E$32,$B170),0)))</f>
        <v>0</v>
      </c>
      <c r="AF170" s="65">
        <f ca="1">IF($C$4=Lookups!$D$40,IF(SUM(INDIRECT("'Yr1'!"&amp;ADDRESS(ROW(AF170),COLUMN(AF170))),INDIRECT("'Yr2'!"&amp;ADDRESS(ROW(AF170),COLUMN(AF170))),INDIRECT("'Yr3'!"&amp;ADDRESS(ROW(AF170),COLUMN(AF170))))&gt;0,"3 Yr. total",0),
IF(AF$7&lt;$C$4,0,IF(AF$8&lt;=SUMIFS('EE Inputs'!$V$9:$V$32,'EE Inputs'!$C$9:$C$32,$G$6,'EE Inputs'!$D$9:$D$32,$C$4,'EE Inputs'!$E$9:$E$32,$B170),SUMIFS('EE Inputs'!$V$9:$V$32,'EE Inputs'!$C$9:$C$32,$G$6,'EE Inputs'!$D$9:$D$32,$C$4,'EE Inputs'!$E$9:$E$32,$B170),0)))</f>
        <v>0</v>
      </c>
      <c r="AG170" s="65">
        <f ca="1">IF($C$4=Lookups!$D$40,IF(SUM(INDIRECT("'Yr1'!"&amp;ADDRESS(ROW(AG170),COLUMN(AG170))),INDIRECT("'Yr2'!"&amp;ADDRESS(ROW(AG170),COLUMN(AG170))),INDIRECT("'Yr3'!"&amp;ADDRESS(ROW(AG170),COLUMN(AG170))))&gt;0,"3 Yr. total",0),
IF(AG$7&lt;$C$4,0,IF(AG$8&lt;=SUMIFS('EE Inputs'!$V$9:$V$32,'EE Inputs'!$C$9:$C$32,$G$6,'EE Inputs'!$D$9:$D$32,$C$4,'EE Inputs'!$E$9:$E$32,$B170),SUMIFS('EE Inputs'!$V$9:$V$32,'EE Inputs'!$C$9:$C$32,$G$6,'EE Inputs'!$D$9:$D$32,$C$4,'EE Inputs'!$E$9:$E$32,$B170),0)))</f>
        <v>0</v>
      </c>
      <c r="AH170" s="65"/>
      <c r="AI170" s="65"/>
      <c r="AJ170" s="65"/>
      <c r="AM170" s="72">
        <f ca="1">IF($C$4=Lookups!$D$40,IF(SUM(INDIRECT("'Yr1'!"&amp;ADDRESS(ROW(AM170),COLUMN(AM170))),INDIRECT("'Yr2'!"&amp;ADDRESS(ROW(AM170),COLUMN(AM170))),INDIRECT("'Yr3'!"&amp;ADDRESS(ROW(AM170),COLUMN(AM170))))&gt;0,"3 Yr. total",0),
IF(AM$7&lt;$C$4,0,IF(AM$8&lt;=SUMIFS('EE Inputs'!$V$9:$V$32,'EE Inputs'!$C$9:$C$32,$AM$6,'EE Inputs'!$D$9:$D$32,$C$4,'EE Inputs'!$E$9:$E$32,$B170),SUMIFS('EE Inputs'!$V$9:$V$32,'EE Inputs'!$C$9:$C$32,$AM$6,'EE Inputs'!$D$9:$D$32,$C$4,'EE Inputs'!$E$9:$E$32,$B170),0)))</f>
        <v>16</v>
      </c>
      <c r="AN170" s="72">
        <f ca="1">IF($C$4=Lookups!$D$40,IF(SUM(INDIRECT("'Yr1'!"&amp;ADDRESS(ROW(AN170),COLUMN(AN170))),INDIRECT("'Yr2'!"&amp;ADDRESS(ROW(AN170),COLUMN(AN170))),INDIRECT("'Yr3'!"&amp;ADDRESS(ROW(AN170),COLUMN(AN170))))&gt;0,"3 Yr. total",0),
IF(AN$7&lt;$C$4,0,IF(AN$8&lt;=SUMIFS('EE Inputs'!$V$9:$V$32,'EE Inputs'!$C$9:$C$32,$AM$6,'EE Inputs'!$D$9:$D$32,$C$4,'EE Inputs'!$E$9:$E$32,$B170),SUMIFS('EE Inputs'!$V$9:$V$32,'EE Inputs'!$C$9:$C$32,$AM$6,'EE Inputs'!$D$9:$D$32,$C$4,'EE Inputs'!$E$9:$E$32,$B170),0)))</f>
        <v>16</v>
      </c>
      <c r="AO170" s="72">
        <f ca="1">IF($C$4=Lookups!$D$40,IF(SUM(INDIRECT("'Yr1'!"&amp;ADDRESS(ROW(AO170),COLUMN(AO170))),INDIRECT("'Yr2'!"&amp;ADDRESS(ROW(AO170),COLUMN(AO170))),INDIRECT("'Yr3'!"&amp;ADDRESS(ROW(AO170),COLUMN(AO170))))&gt;0,"3 Yr. total",0),
IF(AO$7&lt;$C$4,0,IF(AO$8&lt;=SUMIFS('EE Inputs'!$V$9:$V$32,'EE Inputs'!$C$9:$C$32,$AM$6,'EE Inputs'!$D$9:$D$32,$C$4,'EE Inputs'!$E$9:$E$32,$B170),SUMIFS('EE Inputs'!$V$9:$V$32,'EE Inputs'!$C$9:$C$32,$AM$6,'EE Inputs'!$D$9:$D$32,$C$4,'EE Inputs'!$E$9:$E$32,$B170),0)))</f>
        <v>16</v>
      </c>
      <c r="AP170" s="72">
        <f ca="1">IF($C$4=Lookups!$D$40,IF(SUM(INDIRECT("'Yr1'!"&amp;ADDRESS(ROW(AP170),COLUMN(AP170))),INDIRECT("'Yr2'!"&amp;ADDRESS(ROW(AP170),COLUMN(AP170))),INDIRECT("'Yr3'!"&amp;ADDRESS(ROW(AP170),COLUMN(AP170))))&gt;0,"3 Yr. total",0),
IF(AP$7&lt;$C$4,0,IF(AP$8&lt;=SUMIFS('EE Inputs'!$V$9:$V$32,'EE Inputs'!$C$9:$C$32,$AM$6,'EE Inputs'!$D$9:$D$32,$C$4,'EE Inputs'!$E$9:$E$32,$B170),SUMIFS('EE Inputs'!$V$9:$V$32,'EE Inputs'!$C$9:$C$32,$AM$6,'EE Inputs'!$D$9:$D$32,$C$4,'EE Inputs'!$E$9:$E$32,$B170),0)))</f>
        <v>16</v>
      </c>
      <c r="AQ170" s="72">
        <f ca="1">IF($C$4=Lookups!$D$40,IF(SUM(INDIRECT("'Yr1'!"&amp;ADDRESS(ROW(AQ170),COLUMN(AQ170))),INDIRECT("'Yr2'!"&amp;ADDRESS(ROW(AQ170),COLUMN(AQ170))),INDIRECT("'Yr3'!"&amp;ADDRESS(ROW(AQ170),COLUMN(AQ170))))&gt;0,"3 Yr. total",0),
IF(AQ$7&lt;$C$4,0,IF(AQ$8&lt;=SUMIFS('EE Inputs'!$V$9:$V$32,'EE Inputs'!$C$9:$C$32,$AM$6,'EE Inputs'!$D$9:$D$32,$C$4,'EE Inputs'!$E$9:$E$32,$B170),SUMIFS('EE Inputs'!$V$9:$V$32,'EE Inputs'!$C$9:$C$32,$AM$6,'EE Inputs'!$D$9:$D$32,$C$4,'EE Inputs'!$E$9:$E$32,$B170),0)))</f>
        <v>16</v>
      </c>
      <c r="AR170" s="72">
        <f ca="1">IF($C$4=Lookups!$D$40,IF(SUM(INDIRECT("'Yr1'!"&amp;ADDRESS(ROW(AR170),COLUMN(AR170))),INDIRECT("'Yr2'!"&amp;ADDRESS(ROW(AR170),COLUMN(AR170))),INDIRECT("'Yr3'!"&amp;ADDRESS(ROW(AR170),COLUMN(AR170))))&gt;0,"3 Yr. total",0),
IF(AR$7&lt;$C$4,0,IF(AR$8&lt;=SUMIFS('EE Inputs'!$V$9:$V$32,'EE Inputs'!$C$9:$C$32,$AM$6,'EE Inputs'!$D$9:$D$32,$C$4,'EE Inputs'!$E$9:$E$32,$B170),SUMIFS('EE Inputs'!$V$9:$V$32,'EE Inputs'!$C$9:$C$32,$AM$6,'EE Inputs'!$D$9:$D$32,$C$4,'EE Inputs'!$E$9:$E$32,$B170),0)))</f>
        <v>16</v>
      </c>
      <c r="AS170" s="72">
        <f ca="1">IF($C$4=Lookups!$D$40,IF(SUM(INDIRECT("'Yr1'!"&amp;ADDRESS(ROW(AS170),COLUMN(AS170))),INDIRECT("'Yr2'!"&amp;ADDRESS(ROW(AS170),COLUMN(AS170))),INDIRECT("'Yr3'!"&amp;ADDRESS(ROW(AS170),COLUMN(AS170))))&gt;0,"3 Yr. total",0),
IF(AS$7&lt;$C$4,0,IF(AS$8&lt;=SUMIFS('EE Inputs'!$V$9:$V$32,'EE Inputs'!$C$9:$C$32,$AM$6,'EE Inputs'!$D$9:$D$32,$C$4,'EE Inputs'!$E$9:$E$32,$B170),SUMIFS('EE Inputs'!$V$9:$V$32,'EE Inputs'!$C$9:$C$32,$AM$6,'EE Inputs'!$D$9:$D$32,$C$4,'EE Inputs'!$E$9:$E$32,$B170),0)))</f>
        <v>16</v>
      </c>
      <c r="AT170" s="72">
        <f ca="1">IF($C$4=Lookups!$D$40,IF(SUM(INDIRECT("'Yr1'!"&amp;ADDRESS(ROW(AT170),COLUMN(AT170))),INDIRECT("'Yr2'!"&amp;ADDRESS(ROW(AT170),COLUMN(AT170))),INDIRECT("'Yr3'!"&amp;ADDRESS(ROW(AT170),COLUMN(AT170))))&gt;0,"3 Yr. total",0),
IF(AT$7&lt;$C$4,0,IF(AT$8&lt;=SUMIFS('EE Inputs'!$V$9:$V$32,'EE Inputs'!$C$9:$C$32,$AM$6,'EE Inputs'!$D$9:$D$32,$C$4,'EE Inputs'!$E$9:$E$32,$B170),SUMIFS('EE Inputs'!$V$9:$V$32,'EE Inputs'!$C$9:$C$32,$AM$6,'EE Inputs'!$D$9:$D$32,$C$4,'EE Inputs'!$E$9:$E$32,$B170),0)))</f>
        <v>16</v>
      </c>
      <c r="AU170" s="72">
        <f ca="1">IF($C$4=Lookups!$D$40,IF(SUM(INDIRECT("'Yr1'!"&amp;ADDRESS(ROW(AU170),COLUMN(AU170))),INDIRECT("'Yr2'!"&amp;ADDRESS(ROW(AU170),COLUMN(AU170))),INDIRECT("'Yr3'!"&amp;ADDRESS(ROW(AU170),COLUMN(AU170))))&gt;0,"3 Yr. total",0),
IF(AU$7&lt;$C$4,0,IF(AU$8&lt;=SUMIFS('EE Inputs'!$V$9:$V$32,'EE Inputs'!$C$9:$C$32,$AM$6,'EE Inputs'!$D$9:$D$32,$C$4,'EE Inputs'!$E$9:$E$32,$B170),SUMIFS('EE Inputs'!$V$9:$V$32,'EE Inputs'!$C$9:$C$32,$AM$6,'EE Inputs'!$D$9:$D$32,$C$4,'EE Inputs'!$E$9:$E$32,$B170),0)))</f>
        <v>16</v>
      </c>
      <c r="AV170" s="72">
        <f ca="1">IF($C$4=Lookups!$D$40,IF(SUM(INDIRECT("'Yr1'!"&amp;ADDRESS(ROW(AV170),COLUMN(AV170))),INDIRECT("'Yr2'!"&amp;ADDRESS(ROW(AV170),COLUMN(AV170))),INDIRECT("'Yr3'!"&amp;ADDRESS(ROW(AV170),COLUMN(AV170))))&gt;0,"3 Yr. total",0),
IF(AV$7&lt;$C$4,0,IF(AV$8&lt;=SUMIFS('EE Inputs'!$V$9:$V$32,'EE Inputs'!$C$9:$C$32,$AM$6,'EE Inputs'!$D$9:$D$32,$C$4,'EE Inputs'!$E$9:$E$32,$B170),SUMIFS('EE Inputs'!$V$9:$V$32,'EE Inputs'!$C$9:$C$32,$AM$6,'EE Inputs'!$D$9:$D$32,$C$4,'EE Inputs'!$E$9:$E$32,$B170),0)))</f>
        <v>16</v>
      </c>
      <c r="AW170" s="72">
        <f ca="1">IF($C$4=Lookups!$D$40,IF(SUM(INDIRECT("'Yr1'!"&amp;ADDRESS(ROW(AW170),COLUMN(AW170))),INDIRECT("'Yr2'!"&amp;ADDRESS(ROW(AW170),COLUMN(AW170))),INDIRECT("'Yr3'!"&amp;ADDRESS(ROW(AW170),COLUMN(AW170))))&gt;0,"3 Yr. total",0),
IF(AW$7&lt;$C$4,0,IF(AW$8&lt;=SUMIFS('EE Inputs'!$V$9:$V$32,'EE Inputs'!$C$9:$C$32,$AM$6,'EE Inputs'!$D$9:$D$32,$C$4,'EE Inputs'!$E$9:$E$32,$B170),SUMIFS('EE Inputs'!$V$9:$V$32,'EE Inputs'!$C$9:$C$32,$AM$6,'EE Inputs'!$D$9:$D$32,$C$4,'EE Inputs'!$E$9:$E$32,$B170),0)))</f>
        <v>16</v>
      </c>
      <c r="AX170" s="72">
        <f ca="1">IF($C$4=Lookups!$D$40,IF(SUM(INDIRECT("'Yr1'!"&amp;ADDRESS(ROW(AX170),COLUMN(AX170))),INDIRECT("'Yr2'!"&amp;ADDRESS(ROW(AX170),COLUMN(AX170))),INDIRECT("'Yr3'!"&amp;ADDRESS(ROW(AX170),COLUMN(AX170))))&gt;0,"3 Yr. total",0),
IF(AX$7&lt;$C$4,0,IF(AX$8&lt;=SUMIFS('EE Inputs'!$V$9:$V$32,'EE Inputs'!$C$9:$C$32,$AM$6,'EE Inputs'!$D$9:$D$32,$C$4,'EE Inputs'!$E$9:$E$32,$B170),SUMIFS('EE Inputs'!$V$9:$V$32,'EE Inputs'!$C$9:$C$32,$AM$6,'EE Inputs'!$D$9:$D$32,$C$4,'EE Inputs'!$E$9:$E$32,$B170),0)))</f>
        <v>16</v>
      </c>
      <c r="AY170" s="72">
        <f ca="1">IF($C$4=Lookups!$D$40,IF(SUM(INDIRECT("'Yr1'!"&amp;ADDRESS(ROW(AY170),COLUMN(AY170))),INDIRECT("'Yr2'!"&amp;ADDRESS(ROW(AY170),COLUMN(AY170))),INDIRECT("'Yr3'!"&amp;ADDRESS(ROW(AY170),COLUMN(AY170))))&gt;0,"3 Yr. total",0),
IF(AY$7&lt;$C$4,0,IF(AY$8&lt;=SUMIFS('EE Inputs'!$V$9:$V$32,'EE Inputs'!$C$9:$C$32,$AM$6,'EE Inputs'!$D$9:$D$32,$C$4,'EE Inputs'!$E$9:$E$32,$B170),SUMIFS('EE Inputs'!$V$9:$V$32,'EE Inputs'!$C$9:$C$32,$AM$6,'EE Inputs'!$D$9:$D$32,$C$4,'EE Inputs'!$E$9:$E$32,$B170),0)))</f>
        <v>16</v>
      </c>
      <c r="AZ170" s="72">
        <f ca="1">IF($C$4=Lookups!$D$40,IF(SUM(INDIRECT("'Yr1'!"&amp;ADDRESS(ROW(AZ170),COLUMN(AZ170))),INDIRECT("'Yr2'!"&amp;ADDRESS(ROW(AZ170),COLUMN(AZ170))),INDIRECT("'Yr3'!"&amp;ADDRESS(ROW(AZ170),COLUMN(AZ170))))&gt;0,"3 Yr. total",0),
IF(AZ$7&lt;$C$4,0,IF(AZ$8&lt;=SUMIFS('EE Inputs'!$V$9:$V$32,'EE Inputs'!$C$9:$C$32,$AM$6,'EE Inputs'!$D$9:$D$32,$C$4,'EE Inputs'!$E$9:$E$32,$B170),SUMIFS('EE Inputs'!$V$9:$V$32,'EE Inputs'!$C$9:$C$32,$AM$6,'EE Inputs'!$D$9:$D$32,$C$4,'EE Inputs'!$E$9:$E$32,$B170),0)))</f>
        <v>16</v>
      </c>
      <c r="BA170" s="72">
        <f ca="1">IF($C$4=Lookups!$D$40,IF(SUM(INDIRECT("'Yr1'!"&amp;ADDRESS(ROW(BA170),COLUMN(BA170))),INDIRECT("'Yr2'!"&amp;ADDRESS(ROW(BA170),COLUMN(BA170))),INDIRECT("'Yr3'!"&amp;ADDRESS(ROW(BA170),COLUMN(BA170))))&gt;0,"3 Yr. total",0),
IF(BA$7&lt;$C$4,0,IF(BA$8&lt;=SUMIFS('EE Inputs'!$V$9:$V$32,'EE Inputs'!$C$9:$C$32,$AM$6,'EE Inputs'!$D$9:$D$32,$C$4,'EE Inputs'!$E$9:$E$32,$B170),SUMIFS('EE Inputs'!$V$9:$V$32,'EE Inputs'!$C$9:$C$32,$AM$6,'EE Inputs'!$D$9:$D$32,$C$4,'EE Inputs'!$E$9:$E$32,$B170),0)))</f>
        <v>16</v>
      </c>
      <c r="BB170" s="72">
        <f ca="1">IF($C$4=Lookups!$D$40,IF(SUM(INDIRECT("'Yr1'!"&amp;ADDRESS(ROW(BB170),COLUMN(BB170))),INDIRECT("'Yr2'!"&amp;ADDRESS(ROW(BB170),COLUMN(BB170))),INDIRECT("'Yr3'!"&amp;ADDRESS(ROW(BB170),COLUMN(BB170))))&gt;0,"3 Yr. total",0),
IF(BB$7&lt;$C$4,0,IF(BB$8&lt;=SUMIFS('EE Inputs'!$V$9:$V$32,'EE Inputs'!$C$9:$C$32,$AM$6,'EE Inputs'!$D$9:$D$32,$C$4,'EE Inputs'!$E$9:$E$32,$B170),SUMIFS('EE Inputs'!$V$9:$V$32,'EE Inputs'!$C$9:$C$32,$AM$6,'EE Inputs'!$D$9:$D$32,$C$4,'EE Inputs'!$E$9:$E$32,$B170),0)))</f>
        <v>16</v>
      </c>
      <c r="BC170" s="72">
        <f ca="1">IF($C$4=Lookups!$D$40,IF(SUM(INDIRECT("'Yr1'!"&amp;ADDRESS(ROW(BC170),COLUMN(BC170))),INDIRECT("'Yr2'!"&amp;ADDRESS(ROW(BC170),COLUMN(BC170))),INDIRECT("'Yr3'!"&amp;ADDRESS(ROW(BC170),COLUMN(BC170))))&gt;0,"3 Yr. total",0),
IF(BC$7&lt;$C$4,0,IF(BC$8&lt;=SUMIFS('EE Inputs'!$V$9:$V$32,'EE Inputs'!$C$9:$C$32,$AM$6,'EE Inputs'!$D$9:$D$32,$C$4,'EE Inputs'!$E$9:$E$32,$B170),SUMIFS('EE Inputs'!$V$9:$V$32,'EE Inputs'!$C$9:$C$32,$AM$6,'EE Inputs'!$D$9:$D$32,$C$4,'EE Inputs'!$E$9:$E$32,$B170),0)))</f>
        <v>0</v>
      </c>
      <c r="BD170" s="72">
        <f ca="1">IF($C$4=Lookups!$D$40,IF(SUM(INDIRECT("'Yr1'!"&amp;ADDRESS(ROW(BD170),COLUMN(BD170))),INDIRECT("'Yr2'!"&amp;ADDRESS(ROW(BD170),COLUMN(BD170))),INDIRECT("'Yr3'!"&amp;ADDRESS(ROW(BD170),COLUMN(BD170))))&gt;0,"3 Yr. total",0),
IF(BD$7&lt;$C$4,0,IF(BD$8&lt;=SUMIFS('EE Inputs'!$V$9:$V$32,'EE Inputs'!$C$9:$C$32,$AM$6,'EE Inputs'!$D$9:$D$32,$C$4,'EE Inputs'!$E$9:$E$32,$B170),SUMIFS('EE Inputs'!$V$9:$V$32,'EE Inputs'!$C$9:$C$32,$AM$6,'EE Inputs'!$D$9:$D$32,$C$4,'EE Inputs'!$E$9:$E$32,$B170),0)))</f>
        <v>0</v>
      </c>
      <c r="BE170" s="72">
        <f ca="1">IF($C$4=Lookups!$D$40,IF(SUM(INDIRECT("'Yr1'!"&amp;ADDRESS(ROW(BE170),COLUMN(BE170))),INDIRECT("'Yr2'!"&amp;ADDRESS(ROW(BE170),COLUMN(BE170))),INDIRECT("'Yr3'!"&amp;ADDRESS(ROW(BE170),COLUMN(BE170))))&gt;0,"3 Yr. total",0),
IF(BE$7&lt;$C$4,0,IF(BE$8&lt;=SUMIFS('EE Inputs'!$V$9:$V$32,'EE Inputs'!$C$9:$C$32,$AM$6,'EE Inputs'!$D$9:$D$32,$C$4,'EE Inputs'!$E$9:$E$32,$B170),SUMIFS('EE Inputs'!$V$9:$V$32,'EE Inputs'!$C$9:$C$32,$AM$6,'EE Inputs'!$D$9:$D$32,$C$4,'EE Inputs'!$E$9:$E$32,$B170),0)))</f>
        <v>0</v>
      </c>
      <c r="BF170" s="72">
        <f ca="1">IF($C$4=Lookups!$D$40,IF(SUM(INDIRECT("'Yr1'!"&amp;ADDRESS(ROW(BF170),COLUMN(BF170))),INDIRECT("'Yr2'!"&amp;ADDRESS(ROW(BF170),COLUMN(BF170))),INDIRECT("'Yr3'!"&amp;ADDRESS(ROW(BF170),COLUMN(BF170))))&gt;0,"3 Yr. total",0),
IF(BF$7&lt;$C$4,0,IF(BF$8&lt;=SUMIFS('EE Inputs'!$V$9:$V$32,'EE Inputs'!$C$9:$C$32,$AM$6,'EE Inputs'!$D$9:$D$32,$C$4,'EE Inputs'!$E$9:$E$32,$B170),SUMIFS('EE Inputs'!$V$9:$V$32,'EE Inputs'!$C$9:$C$32,$AM$6,'EE Inputs'!$D$9:$D$32,$C$4,'EE Inputs'!$E$9:$E$32,$B170),0)))</f>
        <v>0</v>
      </c>
      <c r="BG170" s="72">
        <f ca="1">IF($C$4=Lookups!$D$40,IF(SUM(INDIRECT("'Yr1'!"&amp;ADDRESS(ROW(BG170),COLUMN(BG170))),INDIRECT("'Yr2'!"&amp;ADDRESS(ROW(BG170),COLUMN(BG170))),INDIRECT("'Yr3'!"&amp;ADDRESS(ROW(BG170),COLUMN(BG170))))&gt;0,"3 Yr. total",0),
IF(BG$7&lt;$C$4,0,IF(BG$8&lt;=SUMIFS('EE Inputs'!$V$9:$V$32,'EE Inputs'!$C$9:$C$32,$AM$6,'EE Inputs'!$D$9:$D$32,$C$4,'EE Inputs'!$E$9:$E$32,$B170),SUMIFS('EE Inputs'!$V$9:$V$32,'EE Inputs'!$C$9:$C$32,$AM$6,'EE Inputs'!$D$9:$D$32,$C$4,'EE Inputs'!$E$9:$E$32,$B170),0)))</f>
        <v>0</v>
      </c>
      <c r="BH170" s="72">
        <f ca="1">IF($C$4=Lookups!$D$40,IF(SUM(INDIRECT("'Yr1'!"&amp;ADDRESS(ROW(BH170),COLUMN(BH170))),INDIRECT("'Yr2'!"&amp;ADDRESS(ROW(BH170),COLUMN(BH170))),INDIRECT("'Yr3'!"&amp;ADDRESS(ROW(BH170),COLUMN(BH170))))&gt;0,"3 Yr. total",0),
IF(BH$7&lt;$C$4,0,IF(BH$8&lt;=SUMIFS('EE Inputs'!$V$9:$V$32,'EE Inputs'!$C$9:$C$32,$AM$6,'EE Inputs'!$D$9:$D$32,$C$4,'EE Inputs'!$E$9:$E$32,$B170),SUMIFS('EE Inputs'!$V$9:$V$32,'EE Inputs'!$C$9:$C$32,$AM$6,'EE Inputs'!$D$9:$D$32,$C$4,'EE Inputs'!$E$9:$E$32,$B170),0)))</f>
        <v>0</v>
      </c>
      <c r="BI170" s="72">
        <f ca="1">IF($C$4=Lookups!$D$40,IF(SUM(INDIRECT("'Yr1'!"&amp;ADDRESS(ROW(BI170),COLUMN(BI170))),INDIRECT("'Yr2'!"&amp;ADDRESS(ROW(BI170),COLUMN(BI170))),INDIRECT("'Yr3'!"&amp;ADDRESS(ROW(BI170),COLUMN(BI170))))&gt;0,"3 Yr. total",0),
IF(BI$7&lt;$C$4,0,IF(BI$8&lt;=SUMIFS('EE Inputs'!$V$9:$V$32,'EE Inputs'!$C$9:$C$32,$AM$6,'EE Inputs'!$D$9:$D$32,$C$4,'EE Inputs'!$E$9:$E$32,$B170),SUMIFS('EE Inputs'!$V$9:$V$32,'EE Inputs'!$C$9:$C$32,$AM$6,'EE Inputs'!$D$9:$D$32,$C$4,'EE Inputs'!$E$9:$E$32,$B170),0)))</f>
        <v>0</v>
      </c>
      <c r="BJ170" s="72">
        <f ca="1">IF($C$4=Lookups!$D$40,IF(SUM(INDIRECT("'Yr1'!"&amp;ADDRESS(ROW(BJ170),COLUMN(BJ170))),INDIRECT("'Yr2'!"&amp;ADDRESS(ROW(BJ170),COLUMN(BJ170))),INDIRECT("'Yr3'!"&amp;ADDRESS(ROW(BJ170),COLUMN(BJ170))))&gt;0,"3 Yr. total",0),
IF(BJ$7&lt;$C$4,0,IF(BJ$8&lt;=SUMIFS('EE Inputs'!$V$9:$V$32,'EE Inputs'!$C$9:$C$32,$AM$6,'EE Inputs'!$D$9:$D$32,$C$4,'EE Inputs'!$E$9:$E$32,$B170),SUMIFS('EE Inputs'!$V$9:$V$32,'EE Inputs'!$C$9:$C$32,$AM$6,'EE Inputs'!$D$9:$D$32,$C$4,'EE Inputs'!$E$9:$E$32,$B170),0)))</f>
        <v>0</v>
      </c>
      <c r="BK170" s="72">
        <f ca="1">IF($C$4=Lookups!$D$40,IF(SUM(INDIRECT("'Yr1'!"&amp;ADDRESS(ROW(BK170),COLUMN(BK170))),INDIRECT("'Yr2'!"&amp;ADDRESS(ROW(BK170),COLUMN(BK170))),INDIRECT("'Yr3'!"&amp;ADDRESS(ROW(BK170),COLUMN(BK170))))&gt;0,"3 Yr. total",0),
IF(BK$7&lt;$C$4,0,IF(BK$8&lt;=SUMIFS('EE Inputs'!$V$9:$V$32,'EE Inputs'!$C$9:$C$32,$AM$6,'EE Inputs'!$D$9:$D$32,$C$4,'EE Inputs'!$E$9:$E$32,$B170),SUMIFS('EE Inputs'!$V$9:$V$32,'EE Inputs'!$C$9:$C$32,$AM$6,'EE Inputs'!$D$9:$D$32,$C$4,'EE Inputs'!$E$9:$E$32,$B170),0)))</f>
        <v>0</v>
      </c>
      <c r="BL170" s="72">
        <f ca="1">IF($C$4=Lookups!$D$40,IF(SUM(INDIRECT("'Yr1'!"&amp;ADDRESS(ROW(BL170),COLUMN(BL170))),INDIRECT("'Yr2'!"&amp;ADDRESS(ROW(BL170),COLUMN(BL170))),INDIRECT("'Yr3'!"&amp;ADDRESS(ROW(BL170),COLUMN(BL170))))&gt;0,"3 Yr. total",0),
IF(BL$7&lt;$C$4,0,IF(BL$8&lt;=SUMIFS('EE Inputs'!$V$9:$V$32,'EE Inputs'!$C$9:$C$32,$AM$6,'EE Inputs'!$D$9:$D$32,$C$4,'EE Inputs'!$E$9:$E$32,$B170),SUMIFS('EE Inputs'!$V$9:$V$32,'EE Inputs'!$C$9:$C$32,$AM$6,'EE Inputs'!$D$9:$D$32,$C$4,'EE Inputs'!$E$9:$E$32,$B170),0)))</f>
        <v>0</v>
      </c>
      <c r="BM170" s="72">
        <f ca="1">IF($C$4=Lookups!$D$40,IF(SUM(INDIRECT("'Yr1'!"&amp;ADDRESS(ROW(BM170),COLUMN(BM170))),INDIRECT("'Yr2'!"&amp;ADDRESS(ROW(BM170),COLUMN(BM170))),INDIRECT("'Yr3'!"&amp;ADDRESS(ROW(BM170),COLUMN(BM170))))&gt;0,"3 Yr. total",0),
IF(BM$7&lt;$C$4,0,IF(BM$8&lt;=SUMIFS('EE Inputs'!$V$9:$V$32,'EE Inputs'!$C$9:$C$32,$AM$6,'EE Inputs'!$D$9:$D$32,$C$4,'EE Inputs'!$E$9:$E$32,$B170),SUMIFS('EE Inputs'!$V$9:$V$32,'EE Inputs'!$C$9:$C$32,$AM$6,'EE Inputs'!$D$9:$D$32,$C$4,'EE Inputs'!$E$9:$E$32,$B170),0)))</f>
        <v>0</v>
      </c>
      <c r="BN170" s="72"/>
      <c r="BO170" s="72"/>
      <c r="BP170" s="72"/>
      <c r="BS170" s="76" t="s">
        <v>90</v>
      </c>
      <c r="BT170" s="51" t="s">
        <v>17</v>
      </c>
    </row>
    <row r="171" spans="1:72" s="5" customFormat="1" x14ac:dyDescent="0.25">
      <c r="A171" s="52"/>
      <c r="B171" s="242" t="str">
        <f t="shared" si="179"/>
        <v>Small C&amp;I</v>
      </c>
      <c r="C171" s="242" t="str">
        <f>C170</f>
        <v>Customers</v>
      </c>
      <c r="D171" s="77" t="s">
        <v>17</v>
      </c>
      <c r="E171" s="76"/>
      <c r="F171" s="76"/>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S171" s="76"/>
      <c r="BT171" s="51" t="s">
        <v>17</v>
      </c>
    </row>
    <row r="172" spans="1:72" s="5" customFormat="1" ht="15.75" x14ac:dyDescent="0.25">
      <c r="A172" s="52"/>
      <c r="B172" s="241" t="str">
        <f t="shared" si="179"/>
        <v>Small C&amp;I</v>
      </c>
      <c r="C172" s="63" t="s">
        <v>4</v>
      </c>
      <c r="D172" s="61"/>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2"/>
      <c r="BO172" s="62"/>
      <c r="BP172" s="62"/>
      <c r="BS172" s="62"/>
      <c r="BT172" s="51" t="s">
        <v>17</v>
      </c>
    </row>
    <row r="173" spans="1:72" x14ac:dyDescent="0.25">
      <c r="B173" s="243" t="str">
        <f t="shared" si="179"/>
        <v>Small C&amp;I</v>
      </c>
      <c r="C173" s="243" t="str">
        <f>C172</f>
        <v>Sales</v>
      </c>
      <c r="D173" s="244" t="str">
        <f>"Sales before DSM ("&amp;Lookups!$D$22&amp;" Scenario)"</f>
        <v>Sales before DSM (No EE Scenario)</v>
      </c>
      <c r="E173" s="85" t="str">
        <f>"Sales before DSM ("&amp;Lookups!$D$22&amp;" Scenario)"</f>
        <v>Sales before DSM (No EE Scenario)</v>
      </c>
      <c r="F173" s="84" t="s">
        <v>195</v>
      </c>
      <c r="G173" s="64">
        <f>IF(G$8=0,0,INDEX('Multi-Year Inputs'!$E$41:$AE$44,MATCH($B173,'Multi-Year Inputs'!$D$41:$D$44,0),MATCH(G$7,'Multi-Year Inputs'!$E$4:$AE$4,0)))</f>
        <v>21353625.848446414</v>
      </c>
      <c r="H173" s="64">
        <f>IF(H$8=0,0,INDEX('Multi-Year Inputs'!$E$41:$AE$44,MATCH($B173,'Multi-Year Inputs'!$D$41:$D$44,0),MATCH(H$7,'Multi-Year Inputs'!$E$4:$AE$4,0)))</f>
        <v>21353625.848446414</v>
      </c>
      <c r="I173" s="64">
        <f>IF(I$8=0,0,INDEX('Multi-Year Inputs'!$E$41:$AE$44,MATCH($B173,'Multi-Year Inputs'!$D$41:$D$44,0),MATCH(I$7,'Multi-Year Inputs'!$E$4:$AE$4,0)))</f>
        <v>21353625.848446414</v>
      </c>
      <c r="J173" s="64">
        <f>IF(J$8=0,0,INDEX('Multi-Year Inputs'!$E$41:$AE$44,MATCH($B173,'Multi-Year Inputs'!$D$41:$D$44,0),MATCH(J$7,'Multi-Year Inputs'!$E$4:$AE$4,0)))</f>
        <v>21353625.848446414</v>
      </c>
      <c r="K173" s="64">
        <f>IF(K$8=0,0,INDEX('Multi-Year Inputs'!$E$41:$AE$44,MATCH($B173,'Multi-Year Inputs'!$D$41:$D$44,0),MATCH(K$7,'Multi-Year Inputs'!$E$4:$AE$4,0)))</f>
        <v>21353625.848446414</v>
      </c>
      <c r="L173" s="64">
        <f>IF(L$8=0,0,INDEX('Multi-Year Inputs'!$E$41:$AE$44,MATCH($B173,'Multi-Year Inputs'!$D$41:$D$44,0),MATCH(L$7,'Multi-Year Inputs'!$E$4:$AE$4,0)))</f>
        <v>21353625.848446414</v>
      </c>
      <c r="M173" s="64">
        <f>IF(M$8=0,0,INDEX('Multi-Year Inputs'!$E$41:$AE$44,MATCH($B173,'Multi-Year Inputs'!$D$41:$D$44,0),MATCH(M$7,'Multi-Year Inputs'!$E$4:$AE$4,0)))</f>
        <v>21353625.848446414</v>
      </c>
      <c r="N173" s="64">
        <f>IF(N$8=0,0,INDEX('Multi-Year Inputs'!$E$41:$AE$44,MATCH($B173,'Multi-Year Inputs'!$D$41:$D$44,0),MATCH(N$7,'Multi-Year Inputs'!$E$4:$AE$4,0)))</f>
        <v>21353625.848446414</v>
      </c>
      <c r="O173" s="64">
        <f>IF(O$8=0,0,INDEX('Multi-Year Inputs'!$E$41:$AE$44,MATCH($B173,'Multi-Year Inputs'!$D$41:$D$44,0),MATCH(O$7,'Multi-Year Inputs'!$E$4:$AE$4,0)))</f>
        <v>21353625.848446414</v>
      </c>
      <c r="P173" s="64">
        <f>IF(P$8=0,0,INDEX('Multi-Year Inputs'!$E$41:$AE$44,MATCH($B173,'Multi-Year Inputs'!$D$41:$D$44,0),MATCH(P$7,'Multi-Year Inputs'!$E$4:$AE$4,0)))</f>
        <v>21353625.848446414</v>
      </c>
      <c r="Q173" s="64">
        <f>IF(Q$8=0,0,INDEX('Multi-Year Inputs'!$E$41:$AE$44,MATCH($B173,'Multi-Year Inputs'!$D$41:$D$44,0),MATCH(Q$7,'Multi-Year Inputs'!$E$4:$AE$4,0)))</f>
        <v>21353625.848446414</v>
      </c>
      <c r="R173" s="64">
        <f>IF(R$8=0,0,INDEX('Multi-Year Inputs'!$E$41:$AE$44,MATCH($B173,'Multi-Year Inputs'!$D$41:$D$44,0),MATCH(R$7,'Multi-Year Inputs'!$E$4:$AE$4,0)))</f>
        <v>21353625.848446414</v>
      </c>
      <c r="S173" s="64">
        <f>IF(S$8=0,0,INDEX('Multi-Year Inputs'!$E$41:$AE$44,MATCH($B173,'Multi-Year Inputs'!$D$41:$D$44,0),MATCH(S$7,'Multi-Year Inputs'!$E$4:$AE$4,0)))</f>
        <v>21353625.848446414</v>
      </c>
      <c r="T173" s="64">
        <f>IF(T$8=0,0,INDEX('Multi-Year Inputs'!$E$41:$AE$44,MATCH($B173,'Multi-Year Inputs'!$D$41:$D$44,0),MATCH(T$7,'Multi-Year Inputs'!$E$4:$AE$4,0)))</f>
        <v>21353625.848446414</v>
      </c>
      <c r="U173" s="64">
        <f>IF(U$8=0,0,INDEX('Multi-Year Inputs'!$E$41:$AE$44,MATCH($B173,'Multi-Year Inputs'!$D$41:$D$44,0),MATCH(U$7,'Multi-Year Inputs'!$E$4:$AE$4,0)))</f>
        <v>21353625.848446414</v>
      </c>
      <c r="V173" s="64">
        <f>IF(V$8=0,0,INDEX('Multi-Year Inputs'!$E$41:$AE$44,MATCH($B173,'Multi-Year Inputs'!$D$41:$D$44,0),MATCH(V$7,'Multi-Year Inputs'!$E$4:$AE$4,0)))</f>
        <v>21353625.848446414</v>
      </c>
      <c r="W173" s="64">
        <f>IF(W$8=0,0,INDEX('Multi-Year Inputs'!$E$41:$AE$44,MATCH($B173,'Multi-Year Inputs'!$D$41:$D$44,0),MATCH(W$7,'Multi-Year Inputs'!$E$4:$AE$4,0)))</f>
        <v>21353625.848446414</v>
      </c>
      <c r="X173" s="64">
        <f>IF(X$8=0,0,INDEX('Multi-Year Inputs'!$E$41:$AE$44,MATCH($B173,'Multi-Year Inputs'!$D$41:$D$44,0),MATCH(X$7,'Multi-Year Inputs'!$E$4:$AE$4,0)))</f>
        <v>21353625.848446414</v>
      </c>
      <c r="Y173" s="64">
        <f>IF(Y$8=0,0,INDEX('Multi-Year Inputs'!$E$41:$AE$44,MATCH($B173,'Multi-Year Inputs'!$D$41:$D$44,0),MATCH(Y$7,'Multi-Year Inputs'!$E$4:$AE$4,0)))</f>
        <v>21353625.848446414</v>
      </c>
      <c r="Z173" s="64">
        <f>IF(Z$8=0,0,INDEX('Multi-Year Inputs'!$E$41:$AE$44,MATCH($B173,'Multi-Year Inputs'!$D$41:$D$44,0),MATCH(Z$7,'Multi-Year Inputs'!$E$4:$AE$4,0)))</f>
        <v>21353625.848446414</v>
      </c>
      <c r="AA173" s="64">
        <f>IF(AA$8=0,0,INDEX('Multi-Year Inputs'!$E$41:$AE$44,MATCH($B173,'Multi-Year Inputs'!$D$41:$D$44,0),MATCH(AA$7,'Multi-Year Inputs'!$E$4:$AE$4,0)))</f>
        <v>21353625.848446414</v>
      </c>
      <c r="AB173" s="64">
        <f>IF(AB$8=0,0,INDEX('Multi-Year Inputs'!$E$41:$AE$44,MATCH($B173,'Multi-Year Inputs'!$D$41:$D$44,0),MATCH(AB$7,'Multi-Year Inputs'!$E$4:$AE$4,0)))</f>
        <v>21353625.848446414</v>
      </c>
      <c r="AC173" s="64">
        <f>IF(AC$8=0,0,INDEX('Multi-Year Inputs'!$E$41:$AE$44,MATCH($B173,'Multi-Year Inputs'!$D$41:$D$44,0),MATCH(AC$7,'Multi-Year Inputs'!$E$4:$AE$4,0)))</f>
        <v>21353625.848446414</v>
      </c>
      <c r="AD173" s="64">
        <f>IF(AD$8=0,0,INDEX('Multi-Year Inputs'!$E$41:$AE$44,MATCH($B173,'Multi-Year Inputs'!$D$41:$D$44,0),MATCH(AD$7,'Multi-Year Inputs'!$E$4:$AE$4,0)))</f>
        <v>21353625.848446414</v>
      </c>
      <c r="AE173" s="64">
        <f>IF(AE$8=0,0,INDEX('Multi-Year Inputs'!$E$41:$AE$44,MATCH($B173,'Multi-Year Inputs'!$D$41:$D$44,0),MATCH(AE$7,'Multi-Year Inputs'!$E$4:$AE$4,0)))</f>
        <v>21353625.848446414</v>
      </c>
      <c r="AF173" s="64">
        <f>IF(AF$8=0,0,INDEX('Multi-Year Inputs'!$E$41:$AE$44,MATCH($B173,'Multi-Year Inputs'!$D$41:$D$44,0),MATCH(AF$7,'Multi-Year Inputs'!$E$4:$AE$4,0)))</f>
        <v>21353625.848446414</v>
      </c>
      <c r="AG173" s="64">
        <f>IF(AG$8=0,0,INDEX('Multi-Year Inputs'!$E$41:$AE$44,MATCH($B173,'Multi-Year Inputs'!$D$41:$D$44,0),MATCH(AG$7,'Multi-Year Inputs'!$E$4:$AE$4,0)))</f>
        <v>21353625.848446414</v>
      </c>
      <c r="AH173" s="64"/>
      <c r="AI173" s="64">
        <f t="shared" ref="AI173:AI175" si="180">SUM(G173:AG173)</f>
        <v>576547897.9080534</v>
      </c>
      <c r="AJ173" s="64"/>
      <c r="AM173" s="71">
        <f>IF(AM$8=0,0,INDEX('Multi-Year Inputs'!$E$41:$AE$44,MATCH($B173,'Multi-Year Inputs'!$D$41:$D$44,0),MATCH(AM$7,'Multi-Year Inputs'!$E$4:$AE$4,0)))</f>
        <v>21353625.848446414</v>
      </c>
      <c r="AN173" s="71">
        <f>IF(AN$8=0,0,INDEX('Multi-Year Inputs'!$E$41:$AE$44,MATCH($B173,'Multi-Year Inputs'!$D$41:$D$44,0),MATCH(AN$7,'Multi-Year Inputs'!$E$4:$AE$4,0)))</f>
        <v>21353625.848446414</v>
      </c>
      <c r="AO173" s="71">
        <f>IF(AO$8=0,0,INDEX('Multi-Year Inputs'!$E$41:$AE$44,MATCH($B173,'Multi-Year Inputs'!$D$41:$D$44,0),MATCH(AO$7,'Multi-Year Inputs'!$E$4:$AE$4,0)))</f>
        <v>21353625.848446414</v>
      </c>
      <c r="AP173" s="71">
        <f>IF(AP$8=0,0,INDEX('Multi-Year Inputs'!$E$41:$AE$44,MATCH($B173,'Multi-Year Inputs'!$D$41:$D$44,0),MATCH(AP$7,'Multi-Year Inputs'!$E$4:$AE$4,0)))</f>
        <v>21353625.848446414</v>
      </c>
      <c r="AQ173" s="71">
        <f>IF(AQ$8=0,0,INDEX('Multi-Year Inputs'!$E$41:$AE$44,MATCH($B173,'Multi-Year Inputs'!$D$41:$D$44,0),MATCH(AQ$7,'Multi-Year Inputs'!$E$4:$AE$4,0)))</f>
        <v>21353625.848446414</v>
      </c>
      <c r="AR173" s="71">
        <f>IF(AR$8=0,0,INDEX('Multi-Year Inputs'!$E$41:$AE$44,MATCH($B173,'Multi-Year Inputs'!$D$41:$D$44,0),MATCH(AR$7,'Multi-Year Inputs'!$E$4:$AE$4,0)))</f>
        <v>21353625.848446414</v>
      </c>
      <c r="AS173" s="71">
        <f>IF(AS$8=0,0,INDEX('Multi-Year Inputs'!$E$41:$AE$44,MATCH($B173,'Multi-Year Inputs'!$D$41:$D$44,0),MATCH(AS$7,'Multi-Year Inputs'!$E$4:$AE$4,0)))</f>
        <v>21353625.848446414</v>
      </c>
      <c r="AT173" s="71">
        <f>IF(AT$8=0,0,INDEX('Multi-Year Inputs'!$E$41:$AE$44,MATCH($B173,'Multi-Year Inputs'!$D$41:$D$44,0),MATCH(AT$7,'Multi-Year Inputs'!$E$4:$AE$4,0)))</f>
        <v>21353625.848446414</v>
      </c>
      <c r="AU173" s="71">
        <f>IF(AU$8=0,0,INDEX('Multi-Year Inputs'!$E$41:$AE$44,MATCH($B173,'Multi-Year Inputs'!$D$41:$D$44,0),MATCH(AU$7,'Multi-Year Inputs'!$E$4:$AE$4,0)))</f>
        <v>21353625.848446414</v>
      </c>
      <c r="AV173" s="71">
        <f>IF(AV$8=0,0,INDEX('Multi-Year Inputs'!$E$41:$AE$44,MATCH($B173,'Multi-Year Inputs'!$D$41:$D$44,0),MATCH(AV$7,'Multi-Year Inputs'!$E$4:$AE$4,0)))</f>
        <v>21353625.848446414</v>
      </c>
      <c r="AW173" s="71">
        <f>IF(AW$8=0,0,INDEX('Multi-Year Inputs'!$E$41:$AE$44,MATCH($B173,'Multi-Year Inputs'!$D$41:$D$44,0),MATCH(AW$7,'Multi-Year Inputs'!$E$4:$AE$4,0)))</f>
        <v>21353625.848446414</v>
      </c>
      <c r="AX173" s="71">
        <f>IF(AX$8=0,0,INDEX('Multi-Year Inputs'!$E$41:$AE$44,MATCH($B173,'Multi-Year Inputs'!$D$41:$D$44,0),MATCH(AX$7,'Multi-Year Inputs'!$E$4:$AE$4,0)))</f>
        <v>21353625.848446414</v>
      </c>
      <c r="AY173" s="71">
        <f>IF(AY$8=0,0,INDEX('Multi-Year Inputs'!$E$41:$AE$44,MATCH($B173,'Multi-Year Inputs'!$D$41:$D$44,0),MATCH(AY$7,'Multi-Year Inputs'!$E$4:$AE$4,0)))</f>
        <v>21353625.848446414</v>
      </c>
      <c r="AZ173" s="71">
        <f>IF(AZ$8=0,0,INDEX('Multi-Year Inputs'!$E$41:$AE$44,MATCH($B173,'Multi-Year Inputs'!$D$41:$D$44,0),MATCH(AZ$7,'Multi-Year Inputs'!$E$4:$AE$4,0)))</f>
        <v>21353625.848446414</v>
      </c>
      <c r="BA173" s="71">
        <f>IF(BA$8=0,0,INDEX('Multi-Year Inputs'!$E$41:$AE$44,MATCH($B173,'Multi-Year Inputs'!$D$41:$D$44,0),MATCH(BA$7,'Multi-Year Inputs'!$E$4:$AE$4,0)))</f>
        <v>21353625.848446414</v>
      </c>
      <c r="BB173" s="71">
        <f>IF(BB$8=0,0,INDEX('Multi-Year Inputs'!$E$41:$AE$44,MATCH($B173,'Multi-Year Inputs'!$D$41:$D$44,0),MATCH(BB$7,'Multi-Year Inputs'!$E$4:$AE$4,0)))</f>
        <v>21353625.848446414</v>
      </c>
      <c r="BC173" s="71">
        <f>IF(BC$8=0,0,INDEX('Multi-Year Inputs'!$E$41:$AE$44,MATCH($B173,'Multi-Year Inputs'!$D$41:$D$44,0),MATCH(BC$7,'Multi-Year Inputs'!$E$4:$AE$4,0)))</f>
        <v>21353625.848446414</v>
      </c>
      <c r="BD173" s="71">
        <f>IF(BD$8=0,0,INDEX('Multi-Year Inputs'!$E$41:$AE$44,MATCH($B173,'Multi-Year Inputs'!$D$41:$D$44,0),MATCH(BD$7,'Multi-Year Inputs'!$E$4:$AE$4,0)))</f>
        <v>21353625.848446414</v>
      </c>
      <c r="BE173" s="71">
        <f>IF(BE$8=0,0,INDEX('Multi-Year Inputs'!$E$41:$AE$44,MATCH($B173,'Multi-Year Inputs'!$D$41:$D$44,0),MATCH(BE$7,'Multi-Year Inputs'!$E$4:$AE$4,0)))</f>
        <v>21353625.848446414</v>
      </c>
      <c r="BF173" s="71">
        <f>IF(BF$8=0,0,INDEX('Multi-Year Inputs'!$E$41:$AE$44,MATCH($B173,'Multi-Year Inputs'!$D$41:$D$44,0),MATCH(BF$7,'Multi-Year Inputs'!$E$4:$AE$4,0)))</f>
        <v>21353625.848446414</v>
      </c>
      <c r="BG173" s="71">
        <f>IF(BG$8=0,0,INDEX('Multi-Year Inputs'!$E$41:$AE$44,MATCH($B173,'Multi-Year Inputs'!$D$41:$D$44,0),MATCH(BG$7,'Multi-Year Inputs'!$E$4:$AE$4,0)))</f>
        <v>21353625.848446414</v>
      </c>
      <c r="BH173" s="71">
        <f>IF(BH$8=0,0,INDEX('Multi-Year Inputs'!$E$41:$AE$44,MATCH($B173,'Multi-Year Inputs'!$D$41:$D$44,0),MATCH(BH$7,'Multi-Year Inputs'!$E$4:$AE$4,0)))</f>
        <v>21353625.848446414</v>
      </c>
      <c r="BI173" s="71">
        <f>IF(BI$8=0,0,INDEX('Multi-Year Inputs'!$E$41:$AE$44,MATCH($B173,'Multi-Year Inputs'!$D$41:$D$44,0),MATCH(BI$7,'Multi-Year Inputs'!$E$4:$AE$4,0)))</f>
        <v>21353625.848446414</v>
      </c>
      <c r="BJ173" s="71">
        <f>IF(BJ$8=0,0,INDEX('Multi-Year Inputs'!$E$41:$AE$44,MATCH($B173,'Multi-Year Inputs'!$D$41:$D$44,0),MATCH(BJ$7,'Multi-Year Inputs'!$E$4:$AE$4,0)))</f>
        <v>21353625.848446414</v>
      </c>
      <c r="BK173" s="71">
        <f>IF(BK$8=0,0,INDEX('Multi-Year Inputs'!$E$41:$AE$44,MATCH($B173,'Multi-Year Inputs'!$D$41:$D$44,0),MATCH(BK$7,'Multi-Year Inputs'!$E$4:$AE$4,0)))</f>
        <v>21353625.848446414</v>
      </c>
      <c r="BL173" s="71">
        <f>IF(BL$8=0,0,INDEX('Multi-Year Inputs'!$E$41:$AE$44,MATCH($B173,'Multi-Year Inputs'!$D$41:$D$44,0),MATCH(BL$7,'Multi-Year Inputs'!$E$4:$AE$4,0)))</f>
        <v>21353625.848446414</v>
      </c>
      <c r="BM173" s="71">
        <f>IF(BM$8=0,0,INDEX('Multi-Year Inputs'!$E$41:$AE$44,MATCH($B173,'Multi-Year Inputs'!$D$41:$D$44,0),MATCH(BM$7,'Multi-Year Inputs'!$E$4:$AE$4,0)))</f>
        <v>21353625.848446414</v>
      </c>
      <c r="BN173" s="72"/>
      <c r="BO173" s="72">
        <f t="shared" ref="BO173:BO175" si="181">SUM(AM173:BM173)</f>
        <v>576547897.9080534</v>
      </c>
      <c r="BP173" s="72"/>
      <c r="BS173" s="76" t="s">
        <v>91</v>
      </c>
      <c r="BT173" s="51" t="s">
        <v>17</v>
      </c>
    </row>
    <row r="174" spans="1:72" x14ac:dyDescent="0.25">
      <c r="A174" s="246"/>
      <c r="B174" s="243" t="str">
        <f t="shared" si="179"/>
        <v>Small C&amp;I</v>
      </c>
      <c r="C174" s="243" t="str">
        <f>C173</f>
        <v>Sales</v>
      </c>
      <c r="D174" s="244" t="s">
        <v>108</v>
      </c>
      <c r="E174" s="85" t="s">
        <v>108</v>
      </c>
      <c r="F174" s="84" t="s">
        <v>195</v>
      </c>
      <c r="G174" s="64">
        <f ca="1">IF($C$4=Lookups!$D$40,SUM(INDIRECT("'Yr1'!"&amp;ADDRESS(ROW(G174),COLUMN(G174))),INDIRECT("'Yr2'!"&amp;ADDRESS(ROW(G174),COLUMN(G174))),INDIRECT("'Yr3'!"&amp;ADDRESS(ROW(G174),COLUMN(G174)))),
IF(G170&gt;0,SUMIFS('EE Inputs'!$I$9:$I$32,'EE Inputs'!$C$9:$C$32,$G$6,'EE Inputs'!$D$9:$D$32,$C$4,'EE Inputs'!$E$9:$E$32,$B174)/SUMIFS('EE Inputs'!$V$9:$V$32,'EE Inputs'!$C$9:$C$32,$G$6,'EE Inputs'!$D$9:$D$32,$C$4,'EE Inputs'!$E$9:$E$32,$B174)*10,0))</f>
        <v>343434.8876884483</v>
      </c>
      <c r="H174" s="64">
        <f ca="1">IF($C$4=Lookups!$D$40,SUM(INDIRECT("'Yr1'!"&amp;ADDRESS(ROW(H174),COLUMN(H174))),INDIRECT("'Yr2'!"&amp;ADDRESS(ROW(H174),COLUMN(H174))),INDIRECT("'Yr3'!"&amp;ADDRESS(ROW(H174),COLUMN(H174)))),
IF(H170&gt;0,SUMIFS('EE Inputs'!$I$9:$I$32,'EE Inputs'!$C$9:$C$32,$G$6,'EE Inputs'!$D$9:$D$32,$C$4,'EE Inputs'!$E$9:$E$32,$B174)/SUMIFS('EE Inputs'!$V$9:$V$32,'EE Inputs'!$C$9:$C$32,$G$6,'EE Inputs'!$D$9:$D$32,$C$4,'EE Inputs'!$E$9:$E$32,$B174)*10,0))</f>
        <v>343434.8876884483</v>
      </c>
      <c r="I174" s="64">
        <f ca="1">IF($C$4=Lookups!$D$40,SUM(INDIRECT("'Yr1'!"&amp;ADDRESS(ROW(I174),COLUMN(I174))),INDIRECT("'Yr2'!"&amp;ADDRESS(ROW(I174),COLUMN(I174))),INDIRECT("'Yr3'!"&amp;ADDRESS(ROW(I174),COLUMN(I174)))),
IF(I170&gt;0,SUMIFS('EE Inputs'!$I$9:$I$32,'EE Inputs'!$C$9:$C$32,$G$6,'EE Inputs'!$D$9:$D$32,$C$4,'EE Inputs'!$E$9:$E$32,$B174)/SUMIFS('EE Inputs'!$V$9:$V$32,'EE Inputs'!$C$9:$C$32,$G$6,'EE Inputs'!$D$9:$D$32,$C$4,'EE Inputs'!$E$9:$E$32,$B174)*10,0))</f>
        <v>343434.8876884483</v>
      </c>
      <c r="J174" s="64">
        <f ca="1">IF($C$4=Lookups!$D$40,SUM(INDIRECT("'Yr1'!"&amp;ADDRESS(ROW(J174),COLUMN(J174))),INDIRECT("'Yr2'!"&amp;ADDRESS(ROW(J174),COLUMN(J174))),INDIRECT("'Yr3'!"&amp;ADDRESS(ROW(J174),COLUMN(J174)))),
IF(J170&gt;0,SUMIFS('EE Inputs'!$I$9:$I$32,'EE Inputs'!$C$9:$C$32,$G$6,'EE Inputs'!$D$9:$D$32,$C$4,'EE Inputs'!$E$9:$E$32,$B174)/SUMIFS('EE Inputs'!$V$9:$V$32,'EE Inputs'!$C$9:$C$32,$G$6,'EE Inputs'!$D$9:$D$32,$C$4,'EE Inputs'!$E$9:$E$32,$B174)*10,0))</f>
        <v>343434.8876884483</v>
      </c>
      <c r="K174" s="64">
        <f ca="1">IF($C$4=Lookups!$D$40,SUM(INDIRECT("'Yr1'!"&amp;ADDRESS(ROW(K174),COLUMN(K174))),INDIRECT("'Yr2'!"&amp;ADDRESS(ROW(K174),COLUMN(K174))),INDIRECT("'Yr3'!"&amp;ADDRESS(ROW(K174),COLUMN(K174)))),
IF(K170&gt;0,SUMIFS('EE Inputs'!$I$9:$I$32,'EE Inputs'!$C$9:$C$32,$G$6,'EE Inputs'!$D$9:$D$32,$C$4,'EE Inputs'!$E$9:$E$32,$B174)/SUMIFS('EE Inputs'!$V$9:$V$32,'EE Inputs'!$C$9:$C$32,$G$6,'EE Inputs'!$D$9:$D$32,$C$4,'EE Inputs'!$E$9:$E$32,$B174)*10,0))</f>
        <v>343434.8876884483</v>
      </c>
      <c r="L174" s="64">
        <f ca="1">IF($C$4=Lookups!$D$40,SUM(INDIRECT("'Yr1'!"&amp;ADDRESS(ROW(L174),COLUMN(L174))),INDIRECT("'Yr2'!"&amp;ADDRESS(ROW(L174),COLUMN(L174))),INDIRECT("'Yr3'!"&amp;ADDRESS(ROW(L174),COLUMN(L174)))),
IF(L170&gt;0,SUMIFS('EE Inputs'!$I$9:$I$32,'EE Inputs'!$C$9:$C$32,$G$6,'EE Inputs'!$D$9:$D$32,$C$4,'EE Inputs'!$E$9:$E$32,$B174)/SUMIFS('EE Inputs'!$V$9:$V$32,'EE Inputs'!$C$9:$C$32,$G$6,'EE Inputs'!$D$9:$D$32,$C$4,'EE Inputs'!$E$9:$E$32,$B174)*10,0))</f>
        <v>343434.8876884483</v>
      </c>
      <c r="M174" s="64">
        <f ca="1">IF($C$4=Lookups!$D$40,SUM(INDIRECT("'Yr1'!"&amp;ADDRESS(ROW(M174),COLUMN(M174))),INDIRECT("'Yr2'!"&amp;ADDRESS(ROW(M174),COLUMN(M174))),INDIRECT("'Yr3'!"&amp;ADDRESS(ROW(M174),COLUMN(M174)))),
IF(M170&gt;0,SUMIFS('EE Inputs'!$I$9:$I$32,'EE Inputs'!$C$9:$C$32,$G$6,'EE Inputs'!$D$9:$D$32,$C$4,'EE Inputs'!$E$9:$E$32,$B174)/SUMIFS('EE Inputs'!$V$9:$V$32,'EE Inputs'!$C$9:$C$32,$G$6,'EE Inputs'!$D$9:$D$32,$C$4,'EE Inputs'!$E$9:$E$32,$B174)*10,0))</f>
        <v>343434.8876884483</v>
      </c>
      <c r="N174" s="64">
        <f ca="1">IF($C$4=Lookups!$D$40,SUM(INDIRECT("'Yr1'!"&amp;ADDRESS(ROW(N174),COLUMN(N174))),INDIRECT("'Yr2'!"&amp;ADDRESS(ROW(N174),COLUMN(N174))),INDIRECT("'Yr3'!"&amp;ADDRESS(ROW(N174),COLUMN(N174)))),
IF(N170&gt;0,SUMIFS('EE Inputs'!$I$9:$I$32,'EE Inputs'!$C$9:$C$32,$G$6,'EE Inputs'!$D$9:$D$32,$C$4,'EE Inputs'!$E$9:$E$32,$B174)/SUMIFS('EE Inputs'!$V$9:$V$32,'EE Inputs'!$C$9:$C$32,$G$6,'EE Inputs'!$D$9:$D$32,$C$4,'EE Inputs'!$E$9:$E$32,$B174)*10,0))</f>
        <v>343434.8876884483</v>
      </c>
      <c r="O174" s="64">
        <f ca="1">IF($C$4=Lookups!$D$40,SUM(INDIRECT("'Yr1'!"&amp;ADDRESS(ROW(O174),COLUMN(O174))),INDIRECT("'Yr2'!"&amp;ADDRESS(ROW(O174),COLUMN(O174))),INDIRECT("'Yr3'!"&amp;ADDRESS(ROW(O174),COLUMN(O174)))),
IF(O170&gt;0,SUMIFS('EE Inputs'!$I$9:$I$32,'EE Inputs'!$C$9:$C$32,$G$6,'EE Inputs'!$D$9:$D$32,$C$4,'EE Inputs'!$E$9:$E$32,$B174)/SUMIFS('EE Inputs'!$V$9:$V$32,'EE Inputs'!$C$9:$C$32,$G$6,'EE Inputs'!$D$9:$D$32,$C$4,'EE Inputs'!$E$9:$E$32,$B174)*10,0))</f>
        <v>343434.8876884483</v>
      </c>
      <c r="P174" s="64">
        <f ca="1">IF($C$4=Lookups!$D$40,SUM(INDIRECT("'Yr1'!"&amp;ADDRESS(ROW(P174),COLUMN(P174))),INDIRECT("'Yr2'!"&amp;ADDRESS(ROW(P174),COLUMN(P174))),INDIRECT("'Yr3'!"&amp;ADDRESS(ROW(P174),COLUMN(P174)))),
IF(P170&gt;0,SUMIFS('EE Inputs'!$I$9:$I$32,'EE Inputs'!$C$9:$C$32,$G$6,'EE Inputs'!$D$9:$D$32,$C$4,'EE Inputs'!$E$9:$E$32,$B174)/SUMIFS('EE Inputs'!$V$9:$V$32,'EE Inputs'!$C$9:$C$32,$G$6,'EE Inputs'!$D$9:$D$32,$C$4,'EE Inputs'!$E$9:$E$32,$B174)*10,0))</f>
        <v>343434.8876884483</v>
      </c>
      <c r="Q174" s="64">
        <f ca="1">IF($C$4=Lookups!$D$40,SUM(INDIRECT("'Yr1'!"&amp;ADDRESS(ROW(Q174),COLUMN(Q174))),INDIRECT("'Yr2'!"&amp;ADDRESS(ROW(Q174),COLUMN(Q174))),INDIRECT("'Yr3'!"&amp;ADDRESS(ROW(Q174),COLUMN(Q174)))),
IF(Q170&gt;0,SUMIFS('EE Inputs'!$I$9:$I$32,'EE Inputs'!$C$9:$C$32,$G$6,'EE Inputs'!$D$9:$D$32,$C$4,'EE Inputs'!$E$9:$E$32,$B174)/SUMIFS('EE Inputs'!$V$9:$V$32,'EE Inputs'!$C$9:$C$32,$G$6,'EE Inputs'!$D$9:$D$32,$C$4,'EE Inputs'!$E$9:$E$32,$B174)*10,0))</f>
        <v>343434.8876884483</v>
      </c>
      <c r="R174" s="64">
        <f ca="1">IF($C$4=Lookups!$D$40,SUM(INDIRECT("'Yr1'!"&amp;ADDRESS(ROW(R174),COLUMN(R174))),INDIRECT("'Yr2'!"&amp;ADDRESS(ROW(R174),COLUMN(R174))),INDIRECT("'Yr3'!"&amp;ADDRESS(ROW(R174),COLUMN(R174)))),
IF(R170&gt;0,SUMIFS('EE Inputs'!$I$9:$I$32,'EE Inputs'!$C$9:$C$32,$G$6,'EE Inputs'!$D$9:$D$32,$C$4,'EE Inputs'!$E$9:$E$32,$B174)/SUMIFS('EE Inputs'!$V$9:$V$32,'EE Inputs'!$C$9:$C$32,$G$6,'EE Inputs'!$D$9:$D$32,$C$4,'EE Inputs'!$E$9:$E$32,$B174)*10,0))</f>
        <v>343434.8876884483</v>
      </c>
      <c r="S174" s="64">
        <f ca="1">IF($C$4=Lookups!$D$40,SUM(INDIRECT("'Yr1'!"&amp;ADDRESS(ROW(S174),COLUMN(S174))),INDIRECT("'Yr2'!"&amp;ADDRESS(ROW(S174),COLUMN(S174))),INDIRECT("'Yr3'!"&amp;ADDRESS(ROW(S174),COLUMN(S174)))),
IF(S170&gt;0,SUMIFS('EE Inputs'!$I$9:$I$32,'EE Inputs'!$C$9:$C$32,$G$6,'EE Inputs'!$D$9:$D$32,$C$4,'EE Inputs'!$E$9:$E$32,$B174)/SUMIFS('EE Inputs'!$V$9:$V$32,'EE Inputs'!$C$9:$C$32,$G$6,'EE Inputs'!$D$9:$D$32,$C$4,'EE Inputs'!$E$9:$E$32,$B174)*10,0))</f>
        <v>343434.8876884483</v>
      </c>
      <c r="T174" s="64">
        <f ca="1">IF($C$4=Lookups!$D$40,SUM(INDIRECT("'Yr1'!"&amp;ADDRESS(ROW(T174),COLUMN(T174))),INDIRECT("'Yr2'!"&amp;ADDRESS(ROW(T174),COLUMN(T174))),INDIRECT("'Yr3'!"&amp;ADDRESS(ROW(T174),COLUMN(T174)))),
IF(T170&gt;0,SUMIFS('EE Inputs'!$I$9:$I$32,'EE Inputs'!$C$9:$C$32,$G$6,'EE Inputs'!$D$9:$D$32,$C$4,'EE Inputs'!$E$9:$E$32,$B174)/SUMIFS('EE Inputs'!$V$9:$V$32,'EE Inputs'!$C$9:$C$32,$G$6,'EE Inputs'!$D$9:$D$32,$C$4,'EE Inputs'!$E$9:$E$32,$B174)*10,0))</f>
        <v>343434.8876884483</v>
      </c>
      <c r="U174" s="64">
        <f ca="1">IF($C$4=Lookups!$D$40,SUM(INDIRECT("'Yr1'!"&amp;ADDRESS(ROW(U174),COLUMN(U174))),INDIRECT("'Yr2'!"&amp;ADDRESS(ROW(U174),COLUMN(U174))),INDIRECT("'Yr3'!"&amp;ADDRESS(ROW(U174),COLUMN(U174)))),
IF(U170&gt;0,SUMIFS('EE Inputs'!$I$9:$I$32,'EE Inputs'!$C$9:$C$32,$G$6,'EE Inputs'!$D$9:$D$32,$C$4,'EE Inputs'!$E$9:$E$32,$B174)/SUMIFS('EE Inputs'!$V$9:$V$32,'EE Inputs'!$C$9:$C$32,$G$6,'EE Inputs'!$D$9:$D$32,$C$4,'EE Inputs'!$E$9:$E$32,$B174)*10,0))</f>
        <v>343434.8876884483</v>
      </c>
      <c r="V174" s="64">
        <f ca="1">IF($C$4=Lookups!$D$40,SUM(INDIRECT("'Yr1'!"&amp;ADDRESS(ROW(V174),COLUMN(V174))),INDIRECT("'Yr2'!"&amp;ADDRESS(ROW(V174),COLUMN(V174))),INDIRECT("'Yr3'!"&amp;ADDRESS(ROW(V174),COLUMN(V174)))),
IF(V170&gt;0,SUMIFS('EE Inputs'!$I$9:$I$32,'EE Inputs'!$C$9:$C$32,$G$6,'EE Inputs'!$D$9:$D$32,$C$4,'EE Inputs'!$E$9:$E$32,$B174)/SUMIFS('EE Inputs'!$V$9:$V$32,'EE Inputs'!$C$9:$C$32,$G$6,'EE Inputs'!$D$9:$D$32,$C$4,'EE Inputs'!$E$9:$E$32,$B174)*10,0))</f>
        <v>343434.8876884483</v>
      </c>
      <c r="W174" s="64">
        <f ca="1">IF($C$4=Lookups!$D$40,SUM(INDIRECT("'Yr1'!"&amp;ADDRESS(ROW(W174),COLUMN(W174))),INDIRECT("'Yr2'!"&amp;ADDRESS(ROW(W174),COLUMN(W174))),INDIRECT("'Yr3'!"&amp;ADDRESS(ROW(W174),COLUMN(W174)))),
IF(W170&gt;0,SUMIFS('EE Inputs'!$I$9:$I$32,'EE Inputs'!$C$9:$C$32,$G$6,'EE Inputs'!$D$9:$D$32,$C$4,'EE Inputs'!$E$9:$E$32,$B174)/SUMIFS('EE Inputs'!$V$9:$V$32,'EE Inputs'!$C$9:$C$32,$G$6,'EE Inputs'!$D$9:$D$32,$C$4,'EE Inputs'!$E$9:$E$32,$B174)*10,0))</f>
        <v>0</v>
      </c>
      <c r="X174" s="64">
        <f ca="1">IF($C$4=Lookups!$D$40,SUM(INDIRECT("'Yr1'!"&amp;ADDRESS(ROW(X174),COLUMN(X174))),INDIRECT("'Yr2'!"&amp;ADDRESS(ROW(X174),COLUMN(X174))),INDIRECT("'Yr3'!"&amp;ADDRESS(ROW(X174),COLUMN(X174)))),
IF(X170&gt;0,SUMIFS('EE Inputs'!$I$9:$I$32,'EE Inputs'!$C$9:$C$32,$G$6,'EE Inputs'!$D$9:$D$32,$C$4,'EE Inputs'!$E$9:$E$32,$B174)/SUMIFS('EE Inputs'!$V$9:$V$32,'EE Inputs'!$C$9:$C$32,$G$6,'EE Inputs'!$D$9:$D$32,$C$4,'EE Inputs'!$E$9:$E$32,$B174)*10,0))</f>
        <v>0</v>
      </c>
      <c r="Y174" s="64">
        <f ca="1">IF($C$4=Lookups!$D$40,SUM(INDIRECT("'Yr1'!"&amp;ADDRESS(ROW(Y174),COLUMN(Y174))),INDIRECT("'Yr2'!"&amp;ADDRESS(ROW(Y174),COLUMN(Y174))),INDIRECT("'Yr3'!"&amp;ADDRESS(ROW(Y174),COLUMN(Y174)))),
IF(Y170&gt;0,SUMIFS('EE Inputs'!$I$9:$I$32,'EE Inputs'!$C$9:$C$32,$G$6,'EE Inputs'!$D$9:$D$32,$C$4,'EE Inputs'!$E$9:$E$32,$B174)/SUMIFS('EE Inputs'!$V$9:$V$32,'EE Inputs'!$C$9:$C$32,$G$6,'EE Inputs'!$D$9:$D$32,$C$4,'EE Inputs'!$E$9:$E$32,$B174)*10,0))</f>
        <v>0</v>
      </c>
      <c r="Z174" s="64">
        <f ca="1">IF($C$4=Lookups!$D$40,SUM(INDIRECT("'Yr1'!"&amp;ADDRESS(ROW(Z174),COLUMN(Z174))),INDIRECT("'Yr2'!"&amp;ADDRESS(ROW(Z174),COLUMN(Z174))),INDIRECT("'Yr3'!"&amp;ADDRESS(ROW(Z174),COLUMN(Z174)))),
IF(Z170&gt;0,SUMIFS('EE Inputs'!$I$9:$I$32,'EE Inputs'!$C$9:$C$32,$G$6,'EE Inputs'!$D$9:$D$32,$C$4,'EE Inputs'!$E$9:$E$32,$B174)/SUMIFS('EE Inputs'!$V$9:$V$32,'EE Inputs'!$C$9:$C$32,$G$6,'EE Inputs'!$D$9:$D$32,$C$4,'EE Inputs'!$E$9:$E$32,$B174)*10,0))</f>
        <v>0</v>
      </c>
      <c r="AA174" s="64">
        <f ca="1">IF($C$4=Lookups!$D$40,SUM(INDIRECT("'Yr1'!"&amp;ADDRESS(ROW(AA174),COLUMN(AA174))),INDIRECT("'Yr2'!"&amp;ADDRESS(ROW(AA174),COLUMN(AA174))),INDIRECT("'Yr3'!"&amp;ADDRESS(ROW(AA174),COLUMN(AA174)))),
IF(AA170&gt;0,SUMIFS('EE Inputs'!$I$9:$I$32,'EE Inputs'!$C$9:$C$32,$G$6,'EE Inputs'!$D$9:$D$32,$C$4,'EE Inputs'!$E$9:$E$32,$B174)/SUMIFS('EE Inputs'!$V$9:$V$32,'EE Inputs'!$C$9:$C$32,$G$6,'EE Inputs'!$D$9:$D$32,$C$4,'EE Inputs'!$E$9:$E$32,$B174)*10,0))</f>
        <v>0</v>
      </c>
      <c r="AB174" s="64">
        <f ca="1">IF($C$4=Lookups!$D$40,SUM(INDIRECT("'Yr1'!"&amp;ADDRESS(ROW(AB174),COLUMN(AB174))),INDIRECT("'Yr2'!"&amp;ADDRESS(ROW(AB174),COLUMN(AB174))),INDIRECT("'Yr3'!"&amp;ADDRESS(ROW(AB174),COLUMN(AB174)))),
IF(AB170&gt;0,SUMIFS('EE Inputs'!$I$9:$I$32,'EE Inputs'!$C$9:$C$32,$G$6,'EE Inputs'!$D$9:$D$32,$C$4,'EE Inputs'!$E$9:$E$32,$B174)/SUMIFS('EE Inputs'!$V$9:$V$32,'EE Inputs'!$C$9:$C$32,$G$6,'EE Inputs'!$D$9:$D$32,$C$4,'EE Inputs'!$E$9:$E$32,$B174)*10,0))</f>
        <v>0</v>
      </c>
      <c r="AC174" s="64">
        <f ca="1">IF($C$4=Lookups!$D$40,SUM(INDIRECT("'Yr1'!"&amp;ADDRESS(ROW(AC174),COLUMN(AC174))),INDIRECT("'Yr2'!"&amp;ADDRESS(ROW(AC174),COLUMN(AC174))),INDIRECT("'Yr3'!"&amp;ADDRESS(ROW(AC174),COLUMN(AC174)))),
IF(AC170&gt;0,SUMIFS('EE Inputs'!$I$9:$I$32,'EE Inputs'!$C$9:$C$32,$G$6,'EE Inputs'!$D$9:$D$32,$C$4,'EE Inputs'!$E$9:$E$32,$B174)/SUMIFS('EE Inputs'!$V$9:$V$32,'EE Inputs'!$C$9:$C$32,$G$6,'EE Inputs'!$D$9:$D$32,$C$4,'EE Inputs'!$E$9:$E$32,$B174)*10,0))</f>
        <v>0</v>
      </c>
      <c r="AD174" s="64">
        <f ca="1">IF($C$4=Lookups!$D$40,SUM(INDIRECT("'Yr1'!"&amp;ADDRESS(ROW(AD174),COLUMN(AD174))),INDIRECT("'Yr2'!"&amp;ADDRESS(ROW(AD174),COLUMN(AD174))),INDIRECT("'Yr3'!"&amp;ADDRESS(ROW(AD174),COLUMN(AD174)))),
IF(AD170&gt;0,SUMIFS('EE Inputs'!$I$9:$I$32,'EE Inputs'!$C$9:$C$32,$G$6,'EE Inputs'!$D$9:$D$32,$C$4,'EE Inputs'!$E$9:$E$32,$B174)/SUMIFS('EE Inputs'!$V$9:$V$32,'EE Inputs'!$C$9:$C$32,$G$6,'EE Inputs'!$D$9:$D$32,$C$4,'EE Inputs'!$E$9:$E$32,$B174)*10,0))</f>
        <v>0</v>
      </c>
      <c r="AE174" s="64">
        <f ca="1">IF($C$4=Lookups!$D$40,SUM(INDIRECT("'Yr1'!"&amp;ADDRESS(ROW(AE174),COLUMN(AE174))),INDIRECT("'Yr2'!"&amp;ADDRESS(ROW(AE174),COLUMN(AE174))),INDIRECT("'Yr3'!"&amp;ADDRESS(ROW(AE174),COLUMN(AE174)))),
IF(AE170&gt;0,SUMIFS('EE Inputs'!$I$9:$I$32,'EE Inputs'!$C$9:$C$32,$G$6,'EE Inputs'!$D$9:$D$32,$C$4,'EE Inputs'!$E$9:$E$32,$B174)/SUMIFS('EE Inputs'!$V$9:$V$32,'EE Inputs'!$C$9:$C$32,$G$6,'EE Inputs'!$D$9:$D$32,$C$4,'EE Inputs'!$E$9:$E$32,$B174)*10,0))</f>
        <v>0</v>
      </c>
      <c r="AF174" s="64">
        <f ca="1">IF($C$4=Lookups!$D$40,SUM(INDIRECT("'Yr1'!"&amp;ADDRESS(ROW(AF174),COLUMN(AF174))),INDIRECT("'Yr2'!"&amp;ADDRESS(ROW(AF174),COLUMN(AF174))),INDIRECT("'Yr3'!"&amp;ADDRESS(ROW(AF174),COLUMN(AF174)))),
IF(AF170&gt;0,SUMIFS('EE Inputs'!$I$9:$I$32,'EE Inputs'!$C$9:$C$32,$G$6,'EE Inputs'!$D$9:$D$32,$C$4,'EE Inputs'!$E$9:$E$32,$B174)/SUMIFS('EE Inputs'!$V$9:$V$32,'EE Inputs'!$C$9:$C$32,$G$6,'EE Inputs'!$D$9:$D$32,$C$4,'EE Inputs'!$E$9:$E$32,$B174)*10,0))</f>
        <v>0</v>
      </c>
      <c r="AG174" s="64">
        <f ca="1">IF($C$4=Lookups!$D$40,SUM(INDIRECT("'Yr1'!"&amp;ADDRESS(ROW(AG174),COLUMN(AG174))),INDIRECT("'Yr2'!"&amp;ADDRESS(ROW(AG174),COLUMN(AG174))),INDIRECT("'Yr3'!"&amp;ADDRESS(ROW(AG174),COLUMN(AG174)))),
IF(AG170&gt;0,SUMIFS('EE Inputs'!$I$9:$I$32,'EE Inputs'!$C$9:$C$32,$G$6,'EE Inputs'!$D$9:$D$32,$C$4,'EE Inputs'!$E$9:$E$32,$B174)/SUMIFS('EE Inputs'!$V$9:$V$32,'EE Inputs'!$C$9:$C$32,$G$6,'EE Inputs'!$D$9:$D$32,$C$4,'EE Inputs'!$E$9:$E$32,$B174)*10,0))</f>
        <v>0</v>
      </c>
      <c r="AH174" s="64"/>
      <c r="AI174" s="64">
        <f t="shared" ca="1" si="180"/>
        <v>5494958.2030151729</v>
      </c>
      <c r="AJ174" s="64"/>
      <c r="AM174" s="71">
        <f ca="1">IF($C$4=Lookups!$D$40,SUM(INDIRECT("'Yr1'!"&amp;ADDRESS(ROW(AM174),COLUMN(AM174))),INDIRECT("'Yr2'!"&amp;ADDRESS(ROW(AM174),COLUMN(AM174))),INDIRECT("'Yr3'!"&amp;ADDRESS(ROW(AM174),COLUMN(AM174)))),
IF(AM170&gt;0,SUMIFS('EE Inputs'!$I$9:$I$32,'EE Inputs'!$C$9:$C$32,$AM$6,'EE Inputs'!$D$9:$D$32,$C$4,'EE Inputs'!$E$9:$E$32,$B174)/SUMIFS('EE Inputs'!$V$9:$V$32,'EE Inputs'!$C$9:$C$32,$AM$6,'EE Inputs'!$D$9:$D$32,$C$4,'EE Inputs'!$E$9:$E$32,$B174)*10,0))</f>
        <v>392497.01450108376</v>
      </c>
      <c r="AN174" s="71">
        <f ca="1">IF($C$4=Lookups!$D$40,SUM(INDIRECT("'Yr1'!"&amp;ADDRESS(ROW(AN174),COLUMN(AN174))),INDIRECT("'Yr2'!"&amp;ADDRESS(ROW(AN174),COLUMN(AN174))),INDIRECT("'Yr3'!"&amp;ADDRESS(ROW(AN174),COLUMN(AN174)))),
IF(AN170&gt;0,SUMIFS('EE Inputs'!$I$9:$I$32,'EE Inputs'!$C$9:$C$32,$AM$6,'EE Inputs'!$D$9:$D$32,$C$4,'EE Inputs'!$E$9:$E$32,$B174)/SUMIFS('EE Inputs'!$V$9:$V$32,'EE Inputs'!$C$9:$C$32,$AM$6,'EE Inputs'!$D$9:$D$32,$C$4,'EE Inputs'!$E$9:$E$32,$B174)*10,0))</f>
        <v>392497.01450108376</v>
      </c>
      <c r="AO174" s="71">
        <f ca="1">IF($C$4=Lookups!$D$40,SUM(INDIRECT("'Yr1'!"&amp;ADDRESS(ROW(AO174),COLUMN(AO174))),INDIRECT("'Yr2'!"&amp;ADDRESS(ROW(AO174),COLUMN(AO174))),INDIRECT("'Yr3'!"&amp;ADDRESS(ROW(AO174),COLUMN(AO174)))),
IF(AO170&gt;0,SUMIFS('EE Inputs'!$I$9:$I$32,'EE Inputs'!$C$9:$C$32,$AM$6,'EE Inputs'!$D$9:$D$32,$C$4,'EE Inputs'!$E$9:$E$32,$B174)/SUMIFS('EE Inputs'!$V$9:$V$32,'EE Inputs'!$C$9:$C$32,$AM$6,'EE Inputs'!$D$9:$D$32,$C$4,'EE Inputs'!$E$9:$E$32,$B174)*10,0))</f>
        <v>392497.01450108376</v>
      </c>
      <c r="AP174" s="71">
        <f ca="1">IF($C$4=Lookups!$D$40,SUM(INDIRECT("'Yr1'!"&amp;ADDRESS(ROW(AP174),COLUMN(AP174))),INDIRECT("'Yr2'!"&amp;ADDRESS(ROW(AP174),COLUMN(AP174))),INDIRECT("'Yr3'!"&amp;ADDRESS(ROW(AP174),COLUMN(AP174)))),
IF(AP170&gt;0,SUMIFS('EE Inputs'!$I$9:$I$32,'EE Inputs'!$C$9:$C$32,$AM$6,'EE Inputs'!$D$9:$D$32,$C$4,'EE Inputs'!$E$9:$E$32,$B174)/SUMIFS('EE Inputs'!$V$9:$V$32,'EE Inputs'!$C$9:$C$32,$AM$6,'EE Inputs'!$D$9:$D$32,$C$4,'EE Inputs'!$E$9:$E$32,$B174)*10,0))</f>
        <v>392497.01450108376</v>
      </c>
      <c r="AQ174" s="71">
        <f ca="1">IF($C$4=Lookups!$D$40,SUM(INDIRECT("'Yr1'!"&amp;ADDRESS(ROW(AQ174),COLUMN(AQ174))),INDIRECT("'Yr2'!"&amp;ADDRESS(ROW(AQ174),COLUMN(AQ174))),INDIRECT("'Yr3'!"&amp;ADDRESS(ROW(AQ174),COLUMN(AQ174)))),
IF(AQ170&gt;0,SUMIFS('EE Inputs'!$I$9:$I$32,'EE Inputs'!$C$9:$C$32,$AM$6,'EE Inputs'!$D$9:$D$32,$C$4,'EE Inputs'!$E$9:$E$32,$B174)/SUMIFS('EE Inputs'!$V$9:$V$32,'EE Inputs'!$C$9:$C$32,$AM$6,'EE Inputs'!$D$9:$D$32,$C$4,'EE Inputs'!$E$9:$E$32,$B174)*10,0))</f>
        <v>392497.01450108376</v>
      </c>
      <c r="AR174" s="71">
        <f ca="1">IF($C$4=Lookups!$D$40,SUM(INDIRECT("'Yr1'!"&amp;ADDRESS(ROW(AR174),COLUMN(AR174))),INDIRECT("'Yr2'!"&amp;ADDRESS(ROW(AR174),COLUMN(AR174))),INDIRECT("'Yr3'!"&amp;ADDRESS(ROW(AR174),COLUMN(AR174)))),
IF(AR170&gt;0,SUMIFS('EE Inputs'!$I$9:$I$32,'EE Inputs'!$C$9:$C$32,$AM$6,'EE Inputs'!$D$9:$D$32,$C$4,'EE Inputs'!$E$9:$E$32,$B174)/SUMIFS('EE Inputs'!$V$9:$V$32,'EE Inputs'!$C$9:$C$32,$AM$6,'EE Inputs'!$D$9:$D$32,$C$4,'EE Inputs'!$E$9:$E$32,$B174)*10,0))</f>
        <v>392497.01450108376</v>
      </c>
      <c r="AS174" s="71">
        <f ca="1">IF($C$4=Lookups!$D$40,SUM(INDIRECT("'Yr1'!"&amp;ADDRESS(ROW(AS174),COLUMN(AS174))),INDIRECT("'Yr2'!"&amp;ADDRESS(ROW(AS174),COLUMN(AS174))),INDIRECT("'Yr3'!"&amp;ADDRESS(ROW(AS174),COLUMN(AS174)))),
IF(AS170&gt;0,SUMIFS('EE Inputs'!$I$9:$I$32,'EE Inputs'!$C$9:$C$32,$AM$6,'EE Inputs'!$D$9:$D$32,$C$4,'EE Inputs'!$E$9:$E$32,$B174)/SUMIFS('EE Inputs'!$V$9:$V$32,'EE Inputs'!$C$9:$C$32,$AM$6,'EE Inputs'!$D$9:$D$32,$C$4,'EE Inputs'!$E$9:$E$32,$B174)*10,0))</f>
        <v>392497.01450108376</v>
      </c>
      <c r="AT174" s="71">
        <f ca="1">IF($C$4=Lookups!$D$40,SUM(INDIRECT("'Yr1'!"&amp;ADDRESS(ROW(AT174),COLUMN(AT174))),INDIRECT("'Yr2'!"&amp;ADDRESS(ROW(AT174),COLUMN(AT174))),INDIRECT("'Yr3'!"&amp;ADDRESS(ROW(AT174),COLUMN(AT174)))),
IF(AT170&gt;0,SUMIFS('EE Inputs'!$I$9:$I$32,'EE Inputs'!$C$9:$C$32,$AM$6,'EE Inputs'!$D$9:$D$32,$C$4,'EE Inputs'!$E$9:$E$32,$B174)/SUMIFS('EE Inputs'!$V$9:$V$32,'EE Inputs'!$C$9:$C$32,$AM$6,'EE Inputs'!$D$9:$D$32,$C$4,'EE Inputs'!$E$9:$E$32,$B174)*10,0))</f>
        <v>392497.01450108376</v>
      </c>
      <c r="AU174" s="71">
        <f ca="1">IF($C$4=Lookups!$D$40,SUM(INDIRECT("'Yr1'!"&amp;ADDRESS(ROW(AU174),COLUMN(AU174))),INDIRECT("'Yr2'!"&amp;ADDRESS(ROW(AU174),COLUMN(AU174))),INDIRECT("'Yr3'!"&amp;ADDRESS(ROW(AU174),COLUMN(AU174)))),
IF(AU170&gt;0,SUMIFS('EE Inputs'!$I$9:$I$32,'EE Inputs'!$C$9:$C$32,$AM$6,'EE Inputs'!$D$9:$D$32,$C$4,'EE Inputs'!$E$9:$E$32,$B174)/SUMIFS('EE Inputs'!$V$9:$V$32,'EE Inputs'!$C$9:$C$32,$AM$6,'EE Inputs'!$D$9:$D$32,$C$4,'EE Inputs'!$E$9:$E$32,$B174)*10,0))</f>
        <v>392497.01450108376</v>
      </c>
      <c r="AV174" s="71">
        <f ca="1">IF($C$4=Lookups!$D$40,SUM(INDIRECT("'Yr1'!"&amp;ADDRESS(ROW(AV174),COLUMN(AV174))),INDIRECT("'Yr2'!"&amp;ADDRESS(ROW(AV174),COLUMN(AV174))),INDIRECT("'Yr3'!"&amp;ADDRESS(ROW(AV174),COLUMN(AV174)))),
IF(AV170&gt;0,SUMIFS('EE Inputs'!$I$9:$I$32,'EE Inputs'!$C$9:$C$32,$AM$6,'EE Inputs'!$D$9:$D$32,$C$4,'EE Inputs'!$E$9:$E$32,$B174)/SUMIFS('EE Inputs'!$V$9:$V$32,'EE Inputs'!$C$9:$C$32,$AM$6,'EE Inputs'!$D$9:$D$32,$C$4,'EE Inputs'!$E$9:$E$32,$B174)*10,0))</f>
        <v>392497.01450108376</v>
      </c>
      <c r="AW174" s="71">
        <f ca="1">IF($C$4=Lookups!$D$40,SUM(INDIRECT("'Yr1'!"&amp;ADDRESS(ROW(AW174),COLUMN(AW174))),INDIRECT("'Yr2'!"&amp;ADDRESS(ROW(AW174),COLUMN(AW174))),INDIRECT("'Yr3'!"&amp;ADDRESS(ROW(AW174),COLUMN(AW174)))),
IF(AW170&gt;0,SUMIFS('EE Inputs'!$I$9:$I$32,'EE Inputs'!$C$9:$C$32,$AM$6,'EE Inputs'!$D$9:$D$32,$C$4,'EE Inputs'!$E$9:$E$32,$B174)/SUMIFS('EE Inputs'!$V$9:$V$32,'EE Inputs'!$C$9:$C$32,$AM$6,'EE Inputs'!$D$9:$D$32,$C$4,'EE Inputs'!$E$9:$E$32,$B174)*10,0))</f>
        <v>392497.01450108376</v>
      </c>
      <c r="AX174" s="71">
        <f ca="1">IF($C$4=Lookups!$D$40,SUM(INDIRECT("'Yr1'!"&amp;ADDRESS(ROW(AX174),COLUMN(AX174))),INDIRECT("'Yr2'!"&amp;ADDRESS(ROW(AX174),COLUMN(AX174))),INDIRECT("'Yr3'!"&amp;ADDRESS(ROW(AX174),COLUMN(AX174)))),
IF(AX170&gt;0,SUMIFS('EE Inputs'!$I$9:$I$32,'EE Inputs'!$C$9:$C$32,$AM$6,'EE Inputs'!$D$9:$D$32,$C$4,'EE Inputs'!$E$9:$E$32,$B174)/SUMIFS('EE Inputs'!$V$9:$V$32,'EE Inputs'!$C$9:$C$32,$AM$6,'EE Inputs'!$D$9:$D$32,$C$4,'EE Inputs'!$E$9:$E$32,$B174)*10,0))</f>
        <v>392497.01450108376</v>
      </c>
      <c r="AY174" s="71">
        <f ca="1">IF($C$4=Lookups!$D$40,SUM(INDIRECT("'Yr1'!"&amp;ADDRESS(ROW(AY174),COLUMN(AY174))),INDIRECT("'Yr2'!"&amp;ADDRESS(ROW(AY174),COLUMN(AY174))),INDIRECT("'Yr3'!"&amp;ADDRESS(ROW(AY174),COLUMN(AY174)))),
IF(AY170&gt;0,SUMIFS('EE Inputs'!$I$9:$I$32,'EE Inputs'!$C$9:$C$32,$AM$6,'EE Inputs'!$D$9:$D$32,$C$4,'EE Inputs'!$E$9:$E$32,$B174)/SUMIFS('EE Inputs'!$V$9:$V$32,'EE Inputs'!$C$9:$C$32,$AM$6,'EE Inputs'!$D$9:$D$32,$C$4,'EE Inputs'!$E$9:$E$32,$B174)*10,0))</f>
        <v>392497.01450108376</v>
      </c>
      <c r="AZ174" s="71">
        <f ca="1">IF($C$4=Lookups!$D$40,SUM(INDIRECT("'Yr1'!"&amp;ADDRESS(ROW(AZ174),COLUMN(AZ174))),INDIRECT("'Yr2'!"&amp;ADDRESS(ROW(AZ174),COLUMN(AZ174))),INDIRECT("'Yr3'!"&amp;ADDRESS(ROW(AZ174),COLUMN(AZ174)))),
IF(AZ170&gt;0,SUMIFS('EE Inputs'!$I$9:$I$32,'EE Inputs'!$C$9:$C$32,$AM$6,'EE Inputs'!$D$9:$D$32,$C$4,'EE Inputs'!$E$9:$E$32,$B174)/SUMIFS('EE Inputs'!$V$9:$V$32,'EE Inputs'!$C$9:$C$32,$AM$6,'EE Inputs'!$D$9:$D$32,$C$4,'EE Inputs'!$E$9:$E$32,$B174)*10,0))</f>
        <v>392497.01450108376</v>
      </c>
      <c r="BA174" s="71">
        <f ca="1">IF($C$4=Lookups!$D$40,SUM(INDIRECT("'Yr1'!"&amp;ADDRESS(ROW(BA174),COLUMN(BA174))),INDIRECT("'Yr2'!"&amp;ADDRESS(ROW(BA174),COLUMN(BA174))),INDIRECT("'Yr3'!"&amp;ADDRESS(ROW(BA174),COLUMN(BA174)))),
IF(BA170&gt;0,SUMIFS('EE Inputs'!$I$9:$I$32,'EE Inputs'!$C$9:$C$32,$AM$6,'EE Inputs'!$D$9:$D$32,$C$4,'EE Inputs'!$E$9:$E$32,$B174)/SUMIFS('EE Inputs'!$V$9:$V$32,'EE Inputs'!$C$9:$C$32,$AM$6,'EE Inputs'!$D$9:$D$32,$C$4,'EE Inputs'!$E$9:$E$32,$B174)*10,0))</f>
        <v>392497.01450108376</v>
      </c>
      <c r="BB174" s="71">
        <f ca="1">IF($C$4=Lookups!$D$40,SUM(INDIRECT("'Yr1'!"&amp;ADDRESS(ROW(BB174),COLUMN(BB174))),INDIRECT("'Yr2'!"&amp;ADDRESS(ROW(BB174),COLUMN(BB174))),INDIRECT("'Yr3'!"&amp;ADDRESS(ROW(BB174),COLUMN(BB174)))),
IF(BB170&gt;0,SUMIFS('EE Inputs'!$I$9:$I$32,'EE Inputs'!$C$9:$C$32,$AM$6,'EE Inputs'!$D$9:$D$32,$C$4,'EE Inputs'!$E$9:$E$32,$B174)/SUMIFS('EE Inputs'!$V$9:$V$32,'EE Inputs'!$C$9:$C$32,$AM$6,'EE Inputs'!$D$9:$D$32,$C$4,'EE Inputs'!$E$9:$E$32,$B174)*10,0))</f>
        <v>392497.01450108376</v>
      </c>
      <c r="BC174" s="71">
        <f ca="1">IF($C$4=Lookups!$D$40,SUM(INDIRECT("'Yr1'!"&amp;ADDRESS(ROW(BC174),COLUMN(BC174))),INDIRECT("'Yr2'!"&amp;ADDRESS(ROW(BC174),COLUMN(BC174))),INDIRECT("'Yr3'!"&amp;ADDRESS(ROW(BC174),COLUMN(BC174)))),
IF(BC170&gt;0,SUMIFS('EE Inputs'!$I$9:$I$32,'EE Inputs'!$C$9:$C$32,$AM$6,'EE Inputs'!$D$9:$D$32,$C$4,'EE Inputs'!$E$9:$E$32,$B174)/SUMIFS('EE Inputs'!$V$9:$V$32,'EE Inputs'!$C$9:$C$32,$AM$6,'EE Inputs'!$D$9:$D$32,$C$4,'EE Inputs'!$E$9:$E$32,$B174)*10,0))</f>
        <v>0</v>
      </c>
      <c r="BD174" s="71">
        <f ca="1">IF($C$4=Lookups!$D$40,SUM(INDIRECT("'Yr1'!"&amp;ADDRESS(ROW(BD174),COLUMN(BD174))),INDIRECT("'Yr2'!"&amp;ADDRESS(ROW(BD174),COLUMN(BD174))),INDIRECT("'Yr3'!"&amp;ADDRESS(ROW(BD174),COLUMN(BD174)))),
IF(BD170&gt;0,SUMIFS('EE Inputs'!$I$9:$I$32,'EE Inputs'!$C$9:$C$32,$AM$6,'EE Inputs'!$D$9:$D$32,$C$4,'EE Inputs'!$E$9:$E$32,$B174)/SUMIFS('EE Inputs'!$V$9:$V$32,'EE Inputs'!$C$9:$C$32,$AM$6,'EE Inputs'!$D$9:$D$32,$C$4,'EE Inputs'!$E$9:$E$32,$B174)*10,0))</f>
        <v>0</v>
      </c>
      <c r="BE174" s="71">
        <f ca="1">IF($C$4=Lookups!$D$40,SUM(INDIRECT("'Yr1'!"&amp;ADDRESS(ROW(BE174),COLUMN(BE174))),INDIRECT("'Yr2'!"&amp;ADDRESS(ROW(BE174),COLUMN(BE174))),INDIRECT("'Yr3'!"&amp;ADDRESS(ROW(BE174),COLUMN(BE174)))),
IF(BE170&gt;0,SUMIFS('EE Inputs'!$I$9:$I$32,'EE Inputs'!$C$9:$C$32,$AM$6,'EE Inputs'!$D$9:$D$32,$C$4,'EE Inputs'!$E$9:$E$32,$B174)/SUMIFS('EE Inputs'!$V$9:$V$32,'EE Inputs'!$C$9:$C$32,$AM$6,'EE Inputs'!$D$9:$D$32,$C$4,'EE Inputs'!$E$9:$E$32,$B174)*10,0))</f>
        <v>0</v>
      </c>
      <c r="BF174" s="71">
        <f ca="1">IF($C$4=Lookups!$D$40,SUM(INDIRECT("'Yr1'!"&amp;ADDRESS(ROW(BF174),COLUMN(BF174))),INDIRECT("'Yr2'!"&amp;ADDRESS(ROW(BF174),COLUMN(BF174))),INDIRECT("'Yr3'!"&amp;ADDRESS(ROW(BF174),COLUMN(BF174)))),
IF(BF170&gt;0,SUMIFS('EE Inputs'!$I$9:$I$32,'EE Inputs'!$C$9:$C$32,$AM$6,'EE Inputs'!$D$9:$D$32,$C$4,'EE Inputs'!$E$9:$E$32,$B174)/SUMIFS('EE Inputs'!$V$9:$V$32,'EE Inputs'!$C$9:$C$32,$AM$6,'EE Inputs'!$D$9:$D$32,$C$4,'EE Inputs'!$E$9:$E$32,$B174)*10,0))</f>
        <v>0</v>
      </c>
      <c r="BG174" s="71">
        <f ca="1">IF($C$4=Lookups!$D$40,SUM(INDIRECT("'Yr1'!"&amp;ADDRESS(ROW(BG174),COLUMN(BG174))),INDIRECT("'Yr2'!"&amp;ADDRESS(ROW(BG174),COLUMN(BG174))),INDIRECT("'Yr3'!"&amp;ADDRESS(ROW(BG174),COLUMN(BG174)))),
IF(BG170&gt;0,SUMIFS('EE Inputs'!$I$9:$I$32,'EE Inputs'!$C$9:$C$32,$AM$6,'EE Inputs'!$D$9:$D$32,$C$4,'EE Inputs'!$E$9:$E$32,$B174)/SUMIFS('EE Inputs'!$V$9:$V$32,'EE Inputs'!$C$9:$C$32,$AM$6,'EE Inputs'!$D$9:$D$32,$C$4,'EE Inputs'!$E$9:$E$32,$B174)*10,0))</f>
        <v>0</v>
      </c>
      <c r="BH174" s="71">
        <f ca="1">IF($C$4=Lookups!$D$40,SUM(INDIRECT("'Yr1'!"&amp;ADDRESS(ROW(BH174),COLUMN(BH174))),INDIRECT("'Yr2'!"&amp;ADDRESS(ROW(BH174),COLUMN(BH174))),INDIRECT("'Yr3'!"&amp;ADDRESS(ROW(BH174),COLUMN(BH174)))),
IF(BH170&gt;0,SUMIFS('EE Inputs'!$I$9:$I$32,'EE Inputs'!$C$9:$C$32,$AM$6,'EE Inputs'!$D$9:$D$32,$C$4,'EE Inputs'!$E$9:$E$32,$B174)/SUMIFS('EE Inputs'!$V$9:$V$32,'EE Inputs'!$C$9:$C$32,$AM$6,'EE Inputs'!$D$9:$D$32,$C$4,'EE Inputs'!$E$9:$E$32,$B174)*10,0))</f>
        <v>0</v>
      </c>
      <c r="BI174" s="71">
        <f ca="1">IF($C$4=Lookups!$D$40,SUM(INDIRECT("'Yr1'!"&amp;ADDRESS(ROW(BI174),COLUMN(BI174))),INDIRECT("'Yr2'!"&amp;ADDRESS(ROW(BI174),COLUMN(BI174))),INDIRECT("'Yr3'!"&amp;ADDRESS(ROW(BI174),COLUMN(BI174)))),
IF(BI170&gt;0,SUMIFS('EE Inputs'!$I$9:$I$32,'EE Inputs'!$C$9:$C$32,$AM$6,'EE Inputs'!$D$9:$D$32,$C$4,'EE Inputs'!$E$9:$E$32,$B174)/SUMIFS('EE Inputs'!$V$9:$V$32,'EE Inputs'!$C$9:$C$32,$AM$6,'EE Inputs'!$D$9:$D$32,$C$4,'EE Inputs'!$E$9:$E$32,$B174)*10,0))</f>
        <v>0</v>
      </c>
      <c r="BJ174" s="71">
        <f ca="1">IF($C$4=Lookups!$D$40,SUM(INDIRECT("'Yr1'!"&amp;ADDRESS(ROW(BJ174),COLUMN(BJ174))),INDIRECT("'Yr2'!"&amp;ADDRESS(ROW(BJ174),COLUMN(BJ174))),INDIRECT("'Yr3'!"&amp;ADDRESS(ROW(BJ174),COLUMN(BJ174)))),
IF(BJ170&gt;0,SUMIFS('EE Inputs'!$I$9:$I$32,'EE Inputs'!$C$9:$C$32,$AM$6,'EE Inputs'!$D$9:$D$32,$C$4,'EE Inputs'!$E$9:$E$32,$B174)/SUMIFS('EE Inputs'!$V$9:$V$32,'EE Inputs'!$C$9:$C$32,$AM$6,'EE Inputs'!$D$9:$D$32,$C$4,'EE Inputs'!$E$9:$E$32,$B174)*10,0))</f>
        <v>0</v>
      </c>
      <c r="BK174" s="71">
        <f ca="1">IF($C$4=Lookups!$D$40,SUM(INDIRECT("'Yr1'!"&amp;ADDRESS(ROW(BK174),COLUMN(BK174))),INDIRECT("'Yr2'!"&amp;ADDRESS(ROW(BK174),COLUMN(BK174))),INDIRECT("'Yr3'!"&amp;ADDRESS(ROW(BK174),COLUMN(BK174)))),
IF(BK170&gt;0,SUMIFS('EE Inputs'!$I$9:$I$32,'EE Inputs'!$C$9:$C$32,$AM$6,'EE Inputs'!$D$9:$D$32,$C$4,'EE Inputs'!$E$9:$E$32,$B174)/SUMIFS('EE Inputs'!$V$9:$V$32,'EE Inputs'!$C$9:$C$32,$AM$6,'EE Inputs'!$D$9:$D$32,$C$4,'EE Inputs'!$E$9:$E$32,$B174)*10,0))</f>
        <v>0</v>
      </c>
      <c r="BL174" s="71">
        <f ca="1">IF($C$4=Lookups!$D$40,SUM(INDIRECT("'Yr1'!"&amp;ADDRESS(ROW(BL174),COLUMN(BL174))),INDIRECT("'Yr2'!"&amp;ADDRESS(ROW(BL174),COLUMN(BL174))),INDIRECT("'Yr3'!"&amp;ADDRESS(ROW(BL174),COLUMN(BL174)))),
IF(BL170&gt;0,SUMIFS('EE Inputs'!$I$9:$I$32,'EE Inputs'!$C$9:$C$32,$AM$6,'EE Inputs'!$D$9:$D$32,$C$4,'EE Inputs'!$E$9:$E$32,$B174)/SUMIFS('EE Inputs'!$V$9:$V$32,'EE Inputs'!$C$9:$C$32,$AM$6,'EE Inputs'!$D$9:$D$32,$C$4,'EE Inputs'!$E$9:$E$32,$B174)*10,0))</f>
        <v>0</v>
      </c>
      <c r="BM174" s="71">
        <f ca="1">IF($C$4=Lookups!$D$40,SUM(INDIRECT("'Yr1'!"&amp;ADDRESS(ROW(BM174),COLUMN(BM174))),INDIRECT("'Yr2'!"&amp;ADDRESS(ROW(BM174),COLUMN(BM174))),INDIRECT("'Yr3'!"&amp;ADDRESS(ROW(BM174),COLUMN(BM174)))),
IF(BM170&gt;0,SUMIFS('EE Inputs'!$I$9:$I$32,'EE Inputs'!$C$9:$C$32,$AM$6,'EE Inputs'!$D$9:$D$32,$C$4,'EE Inputs'!$E$9:$E$32,$B174)/SUMIFS('EE Inputs'!$V$9:$V$32,'EE Inputs'!$C$9:$C$32,$AM$6,'EE Inputs'!$D$9:$D$32,$C$4,'EE Inputs'!$E$9:$E$32,$B174)*10,0))</f>
        <v>0</v>
      </c>
      <c r="BN174" s="71"/>
      <c r="BO174" s="71">
        <f t="shared" ca="1" si="181"/>
        <v>6279952.2320173392</v>
      </c>
      <c r="BP174" s="71"/>
      <c r="BS174" s="84" t="s">
        <v>92</v>
      </c>
      <c r="BT174" s="51" t="s">
        <v>17</v>
      </c>
    </row>
    <row r="175" spans="1:72" x14ac:dyDescent="0.25">
      <c r="B175" s="243" t="str">
        <f t="shared" si="179"/>
        <v>Small C&amp;I</v>
      </c>
      <c r="C175" s="243" t="str">
        <f>C174</f>
        <v>Sales</v>
      </c>
      <c r="D175" s="244" t="s">
        <v>109</v>
      </c>
      <c r="E175" s="85" t="s">
        <v>109</v>
      </c>
      <c r="F175" s="84" t="s">
        <v>195</v>
      </c>
      <c r="G175" s="65">
        <f ca="1">G173-G174</f>
        <v>21010190.960757967</v>
      </c>
      <c r="H175" s="65">
        <f t="shared" ref="H175:AG175" ca="1" si="182">H173-H174</f>
        <v>21010190.960757967</v>
      </c>
      <c r="I175" s="65">
        <f t="shared" ca="1" si="182"/>
        <v>21010190.960757967</v>
      </c>
      <c r="J175" s="65">
        <f t="shared" ca="1" si="182"/>
        <v>21010190.960757967</v>
      </c>
      <c r="K175" s="65">
        <f t="shared" ca="1" si="182"/>
        <v>21010190.960757967</v>
      </c>
      <c r="L175" s="65">
        <f t="shared" ca="1" si="182"/>
        <v>21010190.960757967</v>
      </c>
      <c r="M175" s="65">
        <f t="shared" ca="1" si="182"/>
        <v>21010190.960757967</v>
      </c>
      <c r="N175" s="65">
        <f t="shared" ca="1" si="182"/>
        <v>21010190.960757967</v>
      </c>
      <c r="O175" s="65">
        <f t="shared" ca="1" si="182"/>
        <v>21010190.960757967</v>
      </c>
      <c r="P175" s="65">
        <f t="shared" ca="1" si="182"/>
        <v>21010190.960757967</v>
      </c>
      <c r="Q175" s="65">
        <f t="shared" ca="1" si="182"/>
        <v>21010190.960757967</v>
      </c>
      <c r="R175" s="65">
        <f t="shared" ca="1" si="182"/>
        <v>21010190.960757967</v>
      </c>
      <c r="S175" s="65">
        <f t="shared" ca="1" si="182"/>
        <v>21010190.960757967</v>
      </c>
      <c r="T175" s="65">
        <f t="shared" ca="1" si="182"/>
        <v>21010190.960757967</v>
      </c>
      <c r="U175" s="65">
        <f t="shared" ca="1" si="182"/>
        <v>21010190.960757967</v>
      </c>
      <c r="V175" s="65">
        <f t="shared" ca="1" si="182"/>
        <v>21010190.960757967</v>
      </c>
      <c r="W175" s="65">
        <f t="shared" ca="1" si="182"/>
        <v>21353625.848446414</v>
      </c>
      <c r="X175" s="65">
        <f t="shared" ca="1" si="182"/>
        <v>21353625.848446414</v>
      </c>
      <c r="Y175" s="65">
        <f t="shared" ca="1" si="182"/>
        <v>21353625.848446414</v>
      </c>
      <c r="Z175" s="65">
        <f t="shared" ca="1" si="182"/>
        <v>21353625.848446414</v>
      </c>
      <c r="AA175" s="65">
        <f t="shared" ca="1" si="182"/>
        <v>21353625.848446414</v>
      </c>
      <c r="AB175" s="65">
        <f t="shared" ca="1" si="182"/>
        <v>21353625.848446414</v>
      </c>
      <c r="AC175" s="65">
        <f t="shared" ca="1" si="182"/>
        <v>21353625.848446414</v>
      </c>
      <c r="AD175" s="65">
        <f t="shared" ca="1" si="182"/>
        <v>21353625.848446414</v>
      </c>
      <c r="AE175" s="65">
        <f t="shared" ca="1" si="182"/>
        <v>21353625.848446414</v>
      </c>
      <c r="AF175" s="65">
        <f t="shared" ca="1" si="182"/>
        <v>21353625.848446414</v>
      </c>
      <c r="AG175" s="65">
        <f t="shared" ca="1" si="182"/>
        <v>21353625.848446414</v>
      </c>
      <c r="AH175" s="65"/>
      <c r="AI175" s="65">
        <f t="shared" ca="1" si="180"/>
        <v>571052939.70503807</v>
      </c>
      <c r="AJ175" s="65"/>
      <c r="AM175" s="72">
        <f ca="1">AM173-AM174</f>
        <v>20961128.83394533</v>
      </c>
      <c r="AN175" s="72">
        <f t="shared" ref="AN175:BM175" ca="1" si="183">AN173-AN174</f>
        <v>20961128.83394533</v>
      </c>
      <c r="AO175" s="72">
        <f t="shared" ca="1" si="183"/>
        <v>20961128.83394533</v>
      </c>
      <c r="AP175" s="72">
        <f t="shared" ca="1" si="183"/>
        <v>20961128.83394533</v>
      </c>
      <c r="AQ175" s="72">
        <f t="shared" ca="1" si="183"/>
        <v>20961128.83394533</v>
      </c>
      <c r="AR175" s="72">
        <f t="shared" ca="1" si="183"/>
        <v>20961128.83394533</v>
      </c>
      <c r="AS175" s="72">
        <f t="shared" ca="1" si="183"/>
        <v>20961128.83394533</v>
      </c>
      <c r="AT175" s="72">
        <f t="shared" ca="1" si="183"/>
        <v>20961128.83394533</v>
      </c>
      <c r="AU175" s="72">
        <f t="shared" ca="1" si="183"/>
        <v>20961128.83394533</v>
      </c>
      <c r="AV175" s="72">
        <f t="shared" ca="1" si="183"/>
        <v>20961128.83394533</v>
      </c>
      <c r="AW175" s="72">
        <f t="shared" ca="1" si="183"/>
        <v>20961128.83394533</v>
      </c>
      <c r="AX175" s="72">
        <f t="shared" ca="1" si="183"/>
        <v>20961128.83394533</v>
      </c>
      <c r="AY175" s="72">
        <f t="shared" ca="1" si="183"/>
        <v>20961128.83394533</v>
      </c>
      <c r="AZ175" s="72">
        <f t="shared" ca="1" si="183"/>
        <v>20961128.83394533</v>
      </c>
      <c r="BA175" s="72">
        <f t="shared" ca="1" si="183"/>
        <v>20961128.83394533</v>
      </c>
      <c r="BB175" s="72">
        <f t="shared" ca="1" si="183"/>
        <v>20961128.83394533</v>
      </c>
      <c r="BC175" s="72">
        <f t="shared" ca="1" si="183"/>
        <v>21353625.848446414</v>
      </c>
      <c r="BD175" s="72">
        <f t="shared" ca="1" si="183"/>
        <v>21353625.848446414</v>
      </c>
      <c r="BE175" s="72">
        <f t="shared" ca="1" si="183"/>
        <v>21353625.848446414</v>
      </c>
      <c r="BF175" s="72">
        <f t="shared" ca="1" si="183"/>
        <v>21353625.848446414</v>
      </c>
      <c r="BG175" s="72">
        <f t="shared" ca="1" si="183"/>
        <v>21353625.848446414</v>
      </c>
      <c r="BH175" s="72">
        <f t="shared" ca="1" si="183"/>
        <v>21353625.848446414</v>
      </c>
      <c r="BI175" s="72">
        <f t="shared" ca="1" si="183"/>
        <v>21353625.848446414</v>
      </c>
      <c r="BJ175" s="72">
        <f t="shared" ca="1" si="183"/>
        <v>21353625.848446414</v>
      </c>
      <c r="BK175" s="72">
        <f t="shared" ca="1" si="183"/>
        <v>21353625.848446414</v>
      </c>
      <c r="BL175" s="72">
        <f t="shared" ca="1" si="183"/>
        <v>21353625.848446414</v>
      </c>
      <c r="BM175" s="72">
        <f t="shared" ca="1" si="183"/>
        <v>21353625.848446414</v>
      </c>
      <c r="BN175" s="72"/>
      <c r="BO175" s="72">
        <f t="shared" ca="1" si="181"/>
        <v>570267945.67603588</v>
      </c>
      <c r="BP175" s="72"/>
      <c r="BS175" s="84" t="s">
        <v>93</v>
      </c>
      <c r="BT175" s="51" t="s">
        <v>17</v>
      </c>
    </row>
    <row r="176" spans="1:72" s="5" customFormat="1" x14ac:dyDescent="0.25">
      <c r="A176" s="52"/>
      <c r="B176" s="242" t="str">
        <f t="shared" si="179"/>
        <v>Small C&amp;I</v>
      </c>
      <c r="C176" s="243" t="str">
        <f>C175</f>
        <v>Sales</v>
      </c>
      <c r="D176" s="77" t="s">
        <v>17</v>
      </c>
      <c r="E176" s="76"/>
      <c r="F176" s="76"/>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c r="AG176" s="468"/>
      <c r="AH176" s="48"/>
      <c r="AI176" s="235"/>
      <c r="AJ176" s="48"/>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S176" s="76"/>
      <c r="BT176" s="51" t="s">
        <v>17</v>
      </c>
    </row>
    <row r="177" spans="1:72" s="5" customFormat="1" ht="15.75" x14ac:dyDescent="0.25">
      <c r="A177" s="52"/>
      <c r="B177" s="241" t="str">
        <f t="shared" si="179"/>
        <v>Small C&amp;I</v>
      </c>
      <c r="C177" s="63" t="s">
        <v>124</v>
      </c>
      <c r="D177" s="61"/>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2"/>
      <c r="BO177" s="62"/>
      <c r="BP177" s="62"/>
      <c r="BS177" s="62"/>
      <c r="BT177" s="51" t="s">
        <v>17</v>
      </c>
    </row>
    <row r="178" spans="1:72" x14ac:dyDescent="0.25">
      <c r="B178" s="243" t="str">
        <f t="shared" si="179"/>
        <v>Small C&amp;I</v>
      </c>
      <c r="C178" s="243" t="str">
        <f t="shared" si="179"/>
        <v>Revenue Requirements</v>
      </c>
      <c r="D178" s="114" t="str">
        <f>"Revenue Requirement before DSM ("&amp;Lookups!$D$22&amp;" Scenario)"</f>
        <v>Revenue Requirement before DSM (No EE Scenario)</v>
      </c>
      <c r="E178" s="84"/>
      <c r="F178" s="84"/>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S178" s="84"/>
      <c r="BT178" s="51" t="s">
        <v>17</v>
      </c>
    </row>
    <row r="179" spans="1:72" x14ac:dyDescent="0.25">
      <c r="B179" s="243" t="str">
        <f t="shared" si="179"/>
        <v>Small C&amp;I</v>
      </c>
      <c r="C179" s="243" t="str">
        <f t="shared" si="179"/>
        <v>Revenue Requirements</v>
      </c>
      <c r="D179" s="244" t="str">
        <f>D178</f>
        <v>Revenue Requirement before DSM (No EE Scenario)</v>
      </c>
      <c r="E179" s="84" t="s">
        <v>26</v>
      </c>
      <c r="F179" s="84" t="s">
        <v>32</v>
      </c>
      <c r="G179" s="65">
        <f>G196*G173</f>
        <v>8373024.9487512652</v>
      </c>
      <c r="H179" s="65">
        <f t="shared" ref="H179:AG179" si="184">H196*H173</f>
        <v>8373024.9487512652</v>
      </c>
      <c r="I179" s="65">
        <f t="shared" si="184"/>
        <v>8373024.9487512652</v>
      </c>
      <c r="J179" s="65">
        <f t="shared" si="184"/>
        <v>8373024.9487512652</v>
      </c>
      <c r="K179" s="65">
        <f t="shared" si="184"/>
        <v>8373024.9487512652</v>
      </c>
      <c r="L179" s="65">
        <f t="shared" si="184"/>
        <v>8373024.9487512652</v>
      </c>
      <c r="M179" s="65">
        <f t="shared" si="184"/>
        <v>8373024.9487512652</v>
      </c>
      <c r="N179" s="65">
        <f t="shared" si="184"/>
        <v>8373024.9487512652</v>
      </c>
      <c r="O179" s="65">
        <f t="shared" si="184"/>
        <v>8373024.9487512652</v>
      </c>
      <c r="P179" s="65">
        <f t="shared" si="184"/>
        <v>8373024.9487512652</v>
      </c>
      <c r="Q179" s="65">
        <f t="shared" si="184"/>
        <v>8373024.9487512652</v>
      </c>
      <c r="R179" s="65">
        <f t="shared" si="184"/>
        <v>8373024.9487512652</v>
      </c>
      <c r="S179" s="65">
        <f t="shared" si="184"/>
        <v>8373024.9487512652</v>
      </c>
      <c r="T179" s="65">
        <f t="shared" si="184"/>
        <v>8373024.9487512652</v>
      </c>
      <c r="U179" s="65">
        <f t="shared" si="184"/>
        <v>8373024.9487512652</v>
      </c>
      <c r="V179" s="65">
        <f t="shared" si="184"/>
        <v>8373024.9487512652</v>
      </c>
      <c r="W179" s="65">
        <f t="shared" si="184"/>
        <v>8373024.9487512652</v>
      </c>
      <c r="X179" s="65">
        <f t="shared" si="184"/>
        <v>8373024.9487512652</v>
      </c>
      <c r="Y179" s="65">
        <f t="shared" si="184"/>
        <v>8373024.9487512652</v>
      </c>
      <c r="Z179" s="65">
        <f t="shared" si="184"/>
        <v>8373024.9487512652</v>
      </c>
      <c r="AA179" s="65">
        <f t="shared" si="184"/>
        <v>8373024.9487512652</v>
      </c>
      <c r="AB179" s="65">
        <f t="shared" si="184"/>
        <v>8373024.9487512652</v>
      </c>
      <c r="AC179" s="65">
        <f t="shared" si="184"/>
        <v>8373024.9487512652</v>
      </c>
      <c r="AD179" s="65">
        <f t="shared" si="184"/>
        <v>8373024.9487512652</v>
      </c>
      <c r="AE179" s="65">
        <f t="shared" si="184"/>
        <v>8373024.9487512652</v>
      </c>
      <c r="AF179" s="65">
        <f t="shared" si="184"/>
        <v>8373024.9487512652</v>
      </c>
      <c r="AG179" s="65">
        <f t="shared" si="184"/>
        <v>8373024.9487512652</v>
      </c>
      <c r="AH179" s="65"/>
      <c r="AI179" s="65">
        <f>NPV(Lookups!$E$17,G179:AG179)</f>
        <v>186830136.87604639</v>
      </c>
      <c r="AJ179" s="65"/>
      <c r="AM179" s="72">
        <f>AM196*AM173</f>
        <v>8373024.9487512652</v>
      </c>
      <c r="AN179" s="72">
        <f t="shared" ref="AN179:BM179" si="185">AN196*AN173</f>
        <v>8373024.9487512652</v>
      </c>
      <c r="AO179" s="72">
        <f t="shared" si="185"/>
        <v>8373024.9487512652</v>
      </c>
      <c r="AP179" s="72">
        <f t="shared" si="185"/>
        <v>8373024.9487512652</v>
      </c>
      <c r="AQ179" s="72">
        <f t="shared" si="185"/>
        <v>8373024.9487512652</v>
      </c>
      <c r="AR179" s="72">
        <f t="shared" si="185"/>
        <v>8373024.9487512652</v>
      </c>
      <c r="AS179" s="72">
        <f t="shared" si="185"/>
        <v>8373024.9487512652</v>
      </c>
      <c r="AT179" s="72">
        <f t="shared" si="185"/>
        <v>8373024.9487512652</v>
      </c>
      <c r="AU179" s="72">
        <f t="shared" si="185"/>
        <v>8373024.9487512652</v>
      </c>
      <c r="AV179" s="72">
        <f t="shared" si="185"/>
        <v>8373024.9487512652</v>
      </c>
      <c r="AW179" s="72">
        <f t="shared" si="185"/>
        <v>8373024.9487512652</v>
      </c>
      <c r="AX179" s="72">
        <f t="shared" si="185"/>
        <v>8373024.9487512652</v>
      </c>
      <c r="AY179" s="72">
        <f t="shared" si="185"/>
        <v>8373024.9487512652</v>
      </c>
      <c r="AZ179" s="72">
        <f t="shared" si="185"/>
        <v>8373024.9487512652</v>
      </c>
      <c r="BA179" s="72">
        <f t="shared" si="185"/>
        <v>8373024.9487512652</v>
      </c>
      <c r="BB179" s="72">
        <f t="shared" si="185"/>
        <v>8373024.9487512652</v>
      </c>
      <c r="BC179" s="72">
        <f t="shared" si="185"/>
        <v>8373024.9487512652</v>
      </c>
      <c r="BD179" s="72">
        <f t="shared" si="185"/>
        <v>8373024.9487512652</v>
      </c>
      <c r="BE179" s="72">
        <f t="shared" si="185"/>
        <v>8373024.9487512652</v>
      </c>
      <c r="BF179" s="72">
        <f t="shared" si="185"/>
        <v>8373024.9487512652</v>
      </c>
      <c r="BG179" s="72">
        <f t="shared" si="185"/>
        <v>8373024.9487512652</v>
      </c>
      <c r="BH179" s="72">
        <f t="shared" si="185"/>
        <v>8373024.9487512652</v>
      </c>
      <c r="BI179" s="72">
        <f t="shared" si="185"/>
        <v>8373024.9487512652</v>
      </c>
      <c r="BJ179" s="72">
        <f t="shared" si="185"/>
        <v>8373024.9487512652</v>
      </c>
      <c r="BK179" s="72">
        <f t="shared" si="185"/>
        <v>8373024.9487512652</v>
      </c>
      <c r="BL179" s="72">
        <f t="shared" si="185"/>
        <v>8373024.9487512652</v>
      </c>
      <c r="BM179" s="72">
        <f t="shared" si="185"/>
        <v>8373024.9487512652</v>
      </c>
      <c r="BN179" s="72"/>
      <c r="BO179" s="72">
        <f>NPV(Lookups!$E$17,AM179:BM179)</f>
        <v>186830136.87604639</v>
      </c>
      <c r="BP179" s="72"/>
      <c r="BS179" s="84" t="str">
        <f>"No EE Scenario "&amp;E179&amp;" rate multiplied by No EE Scenario sales."</f>
        <v>No EE Scenario Distribution rate multiplied by No EE Scenario sales.</v>
      </c>
      <c r="BT179" s="51" t="s">
        <v>17</v>
      </c>
    </row>
    <row r="180" spans="1:72" x14ac:dyDescent="0.25">
      <c r="B180" s="243" t="str">
        <f t="shared" si="179"/>
        <v>Small C&amp;I</v>
      </c>
      <c r="C180" s="243" t="str">
        <f t="shared" si="179"/>
        <v>Revenue Requirements</v>
      </c>
      <c r="D180" s="244" t="str">
        <f>D179</f>
        <v>Revenue Requirement before DSM (No EE Scenario)</v>
      </c>
      <c r="E180" s="84" t="s">
        <v>407</v>
      </c>
      <c r="F180" s="84" t="s">
        <v>32</v>
      </c>
      <c r="G180" s="65">
        <f>G197*G173</f>
        <v>111038.85441192142</v>
      </c>
      <c r="H180" s="65">
        <f t="shared" ref="H180:AG180" si="186">H197*H173</f>
        <v>111038.85441192142</v>
      </c>
      <c r="I180" s="65">
        <f t="shared" si="186"/>
        <v>111038.85441192142</v>
      </c>
      <c r="J180" s="65">
        <f t="shared" si="186"/>
        <v>111038.85441192142</v>
      </c>
      <c r="K180" s="65">
        <f t="shared" si="186"/>
        <v>111038.85441192142</v>
      </c>
      <c r="L180" s="65">
        <f t="shared" si="186"/>
        <v>111038.85441192142</v>
      </c>
      <c r="M180" s="65">
        <f t="shared" si="186"/>
        <v>111038.85441192142</v>
      </c>
      <c r="N180" s="65">
        <f t="shared" si="186"/>
        <v>111038.85441192142</v>
      </c>
      <c r="O180" s="65">
        <f t="shared" si="186"/>
        <v>111038.85441192142</v>
      </c>
      <c r="P180" s="65">
        <f t="shared" si="186"/>
        <v>111038.85441192142</v>
      </c>
      <c r="Q180" s="65">
        <f t="shared" si="186"/>
        <v>111038.85441192142</v>
      </c>
      <c r="R180" s="65">
        <f t="shared" si="186"/>
        <v>111038.85441192142</v>
      </c>
      <c r="S180" s="65">
        <f t="shared" si="186"/>
        <v>111038.85441192142</v>
      </c>
      <c r="T180" s="65">
        <f t="shared" si="186"/>
        <v>111038.85441192142</v>
      </c>
      <c r="U180" s="65">
        <f t="shared" si="186"/>
        <v>111038.85441192142</v>
      </c>
      <c r="V180" s="65">
        <f t="shared" si="186"/>
        <v>111038.85441192142</v>
      </c>
      <c r="W180" s="65">
        <f t="shared" si="186"/>
        <v>111038.85441192142</v>
      </c>
      <c r="X180" s="65">
        <f t="shared" si="186"/>
        <v>111038.85441192142</v>
      </c>
      <c r="Y180" s="65">
        <f t="shared" si="186"/>
        <v>111038.85441192142</v>
      </c>
      <c r="Z180" s="65">
        <f t="shared" si="186"/>
        <v>111038.85441192142</v>
      </c>
      <c r="AA180" s="65">
        <f t="shared" si="186"/>
        <v>111038.85441192142</v>
      </c>
      <c r="AB180" s="65">
        <f t="shared" si="186"/>
        <v>111038.85441192142</v>
      </c>
      <c r="AC180" s="65">
        <f t="shared" si="186"/>
        <v>111038.85441192142</v>
      </c>
      <c r="AD180" s="65">
        <f t="shared" si="186"/>
        <v>111038.85441192142</v>
      </c>
      <c r="AE180" s="65">
        <f t="shared" si="186"/>
        <v>111038.85441192142</v>
      </c>
      <c r="AF180" s="65">
        <f t="shared" si="186"/>
        <v>111038.85441192142</v>
      </c>
      <c r="AG180" s="65">
        <f t="shared" si="186"/>
        <v>111038.85441192142</v>
      </c>
      <c r="AH180" s="65"/>
      <c r="AI180" s="65">
        <f>NPV(Lookups!$E$17,G180:AG180)</f>
        <v>2477647.5043744599</v>
      </c>
      <c r="AJ180" s="65"/>
      <c r="AM180" s="72">
        <f>AM197*AM173</f>
        <v>111038.85441192142</v>
      </c>
      <c r="AN180" s="72">
        <f t="shared" ref="AN180:BM180" si="187">AN197*AN173</f>
        <v>111038.85441192142</v>
      </c>
      <c r="AO180" s="72">
        <f t="shared" si="187"/>
        <v>111038.85441192142</v>
      </c>
      <c r="AP180" s="72">
        <f t="shared" si="187"/>
        <v>111038.85441192142</v>
      </c>
      <c r="AQ180" s="72">
        <f t="shared" si="187"/>
        <v>111038.85441192142</v>
      </c>
      <c r="AR180" s="72">
        <f t="shared" si="187"/>
        <v>111038.85441192142</v>
      </c>
      <c r="AS180" s="72">
        <f t="shared" si="187"/>
        <v>111038.85441192142</v>
      </c>
      <c r="AT180" s="72">
        <f t="shared" si="187"/>
        <v>111038.85441192142</v>
      </c>
      <c r="AU180" s="72">
        <f t="shared" si="187"/>
        <v>111038.85441192142</v>
      </c>
      <c r="AV180" s="72">
        <f t="shared" si="187"/>
        <v>111038.85441192142</v>
      </c>
      <c r="AW180" s="72">
        <f t="shared" si="187"/>
        <v>111038.85441192142</v>
      </c>
      <c r="AX180" s="72">
        <f t="shared" si="187"/>
        <v>111038.85441192142</v>
      </c>
      <c r="AY180" s="72">
        <f t="shared" si="187"/>
        <v>111038.85441192142</v>
      </c>
      <c r="AZ180" s="72">
        <f t="shared" si="187"/>
        <v>111038.85441192142</v>
      </c>
      <c r="BA180" s="72">
        <f t="shared" si="187"/>
        <v>111038.85441192142</v>
      </c>
      <c r="BB180" s="72">
        <f t="shared" si="187"/>
        <v>111038.85441192142</v>
      </c>
      <c r="BC180" s="72">
        <f t="shared" si="187"/>
        <v>111038.85441192142</v>
      </c>
      <c r="BD180" s="72">
        <f t="shared" si="187"/>
        <v>111038.85441192142</v>
      </c>
      <c r="BE180" s="72">
        <f t="shared" si="187"/>
        <v>111038.85441192142</v>
      </c>
      <c r="BF180" s="72">
        <f t="shared" si="187"/>
        <v>111038.85441192142</v>
      </c>
      <c r="BG180" s="72">
        <f t="shared" si="187"/>
        <v>111038.85441192142</v>
      </c>
      <c r="BH180" s="72">
        <f t="shared" si="187"/>
        <v>111038.85441192142</v>
      </c>
      <c r="BI180" s="72">
        <f t="shared" si="187"/>
        <v>111038.85441192142</v>
      </c>
      <c r="BJ180" s="72">
        <f t="shared" si="187"/>
        <v>111038.85441192142</v>
      </c>
      <c r="BK180" s="72">
        <f t="shared" si="187"/>
        <v>111038.85441192142</v>
      </c>
      <c r="BL180" s="72">
        <f t="shared" si="187"/>
        <v>111038.85441192142</v>
      </c>
      <c r="BM180" s="72">
        <f t="shared" si="187"/>
        <v>111038.85441192142</v>
      </c>
      <c r="BN180" s="72"/>
      <c r="BO180" s="72">
        <f>NPV(Lookups!$E$17,AM180:BM180)</f>
        <v>2477647.5043744599</v>
      </c>
      <c r="BP180" s="72"/>
      <c r="BS180" s="84" t="str">
        <f>"No EE Scenario "&amp;E180&amp;" rate multiplied by No EE Scenario sales."</f>
        <v>No EE Scenario LDAC, Non-EE rate multiplied by No EE Scenario sales.</v>
      </c>
      <c r="BT180" s="51" t="s">
        <v>17</v>
      </c>
    </row>
    <row r="181" spans="1:72" x14ac:dyDescent="0.25">
      <c r="A181" s="1"/>
      <c r="B181" s="243" t="str">
        <f>B179</f>
        <v>Small C&amp;I</v>
      </c>
      <c r="C181" s="243" t="str">
        <f>C179</f>
        <v>Revenue Requirements</v>
      </c>
      <c r="D181" s="244" t="str">
        <f>D179</f>
        <v>Revenue Requirement before DSM (No EE Scenario)</v>
      </c>
      <c r="E181" s="84" t="s">
        <v>197</v>
      </c>
      <c r="F181" s="84" t="s">
        <v>32</v>
      </c>
      <c r="G181" s="65">
        <f>G198*G173</f>
        <v>13217894.400188331</v>
      </c>
      <c r="H181" s="65">
        <f t="shared" ref="H181:AG181" si="188">H198*H173</f>
        <v>13217894.400188331</v>
      </c>
      <c r="I181" s="65">
        <f t="shared" si="188"/>
        <v>13217894.400188331</v>
      </c>
      <c r="J181" s="65">
        <f t="shared" si="188"/>
        <v>13217894.400188331</v>
      </c>
      <c r="K181" s="65">
        <f t="shared" si="188"/>
        <v>13217894.400188331</v>
      </c>
      <c r="L181" s="65">
        <f t="shared" si="188"/>
        <v>13217894.400188331</v>
      </c>
      <c r="M181" s="65">
        <f t="shared" si="188"/>
        <v>13217894.400188331</v>
      </c>
      <c r="N181" s="65">
        <f t="shared" si="188"/>
        <v>13217894.400188331</v>
      </c>
      <c r="O181" s="65">
        <f t="shared" si="188"/>
        <v>13217894.400188331</v>
      </c>
      <c r="P181" s="65">
        <f t="shared" si="188"/>
        <v>13217894.400188331</v>
      </c>
      <c r="Q181" s="65">
        <f t="shared" si="188"/>
        <v>13217894.400188331</v>
      </c>
      <c r="R181" s="65">
        <f t="shared" si="188"/>
        <v>13217894.400188331</v>
      </c>
      <c r="S181" s="65">
        <f t="shared" si="188"/>
        <v>13217894.400188331</v>
      </c>
      <c r="T181" s="65">
        <f t="shared" si="188"/>
        <v>13217894.400188331</v>
      </c>
      <c r="U181" s="65">
        <f t="shared" si="188"/>
        <v>13217894.400188331</v>
      </c>
      <c r="V181" s="65">
        <f t="shared" si="188"/>
        <v>13217894.400188331</v>
      </c>
      <c r="W181" s="65">
        <f t="shared" si="188"/>
        <v>13217894.400188331</v>
      </c>
      <c r="X181" s="65">
        <f t="shared" si="188"/>
        <v>13217894.400188331</v>
      </c>
      <c r="Y181" s="65">
        <f t="shared" si="188"/>
        <v>13217894.400188331</v>
      </c>
      <c r="Z181" s="65">
        <f t="shared" si="188"/>
        <v>13217894.400188331</v>
      </c>
      <c r="AA181" s="65">
        <f t="shared" si="188"/>
        <v>13217894.400188331</v>
      </c>
      <c r="AB181" s="65">
        <f t="shared" si="188"/>
        <v>13217894.400188331</v>
      </c>
      <c r="AC181" s="65">
        <f t="shared" si="188"/>
        <v>13217894.400188331</v>
      </c>
      <c r="AD181" s="65">
        <f t="shared" si="188"/>
        <v>13217894.400188331</v>
      </c>
      <c r="AE181" s="65">
        <f t="shared" si="188"/>
        <v>13217894.400188331</v>
      </c>
      <c r="AF181" s="65">
        <f t="shared" si="188"/>
        <v>13217894.400188331</v>
      </c>
      <c r="AG181" s="65">
        <f t="shared" si="188"/>
        <v>13217894.400188331</v>
      </c>
      <c r="AH181" s="65"/>
      <c r="AI181" s="65">
        <f>NPV(Lookups!$E$17,G181:AG181)</f>
        <v>294935347.15534425</v>
      </c>
      <c r="AJ181" s="65"/>
      <c r="AM181" s="72">
        <f>AM198*AM173</f>
        <v>13217894.400188331</v>
      </c>
      <c r="AN181" s="72">
        <f t="shared" ref="AN181:BM181" si="189">AN198*AN173</f>
        <v>13217894.400188331</v>
      </c>
      <c r="AO181" s="72">
        <f t="shared" si="189"/>
        <v>13217894.400188331</v>
      </c>
      <c r="AP181" s="72">
        <f t="shared" si="189"/>
        <v>13217894.400188331</v>
      </c>
      <c r="AQ181" s="72">
        <f t="shared" si="189"/>
        <v>13217894.400188331</v>
      </c>
      <c r="AR181" s="72">
        <f t="shared" si="189"/>
        <v>13217894.400188331</v>
      </c>
      <c r="AS181" s="72">
        <f t="shared" si="189"/>
        <v>13217894.400188331</v>
      </c>
      <c r="AT181" s="72">
        <f t="shared" si="189"/>
        <v>13217894.400188331</v>
      </c>
      <c r="AU181" s="72">
        <f t="shared" si="189"/>
        <v>13217894.400188331</v>
      </c>
      <c r="AV181" s="72">
        <f t="shared" si="189"/>
        <v>13217894.400188331</v>
      </c>
      <c r="AW181" s="72">
        <f t="shared" si="189"/>
        <v>13217894.400188331</v>
      </c>
      <c r="AX181" s="72">
        <f t="shared" si="189"/>
        <v>13217894.400188331</v>
      </c>
      <c r="AY181" s="72">
        <f t="shared" si="189"/>
        <v>13217894.400188331</v>
      </c>
      <c r="AZ181" s="72">
        <f t="shared" si="189"/>
        <v>13217894.400188331</v>
      </c>
      <c r="BA181" s="72">
        <f t="shared" si="189"/>
        <v>13217894.400188331</v>
      </c>
      <c r="BB181" s="72">
        <f t="shared" si="189"/>
        <v>13217894.400188331</v>
      </c>
      <c r="BC181" s="72">
        <f t="shared" si="189"/>
        <v>13217894.400188331</v>
      </c>
      <c r="BD181" s="72">
        <f t="shared" si="189"/>
        <v>13217894.400188331</v>
      </c>
      <c r="BE181" s="72">
        <f t="shared" si="189"/>
        <v>13217894.400188331</v>
      </c>
      <c r="BF181" s="72">
        <f t="shared" si="189"/>
        <v>13217894.400188331</v>
      </c>
      <c r="BG181" s="72">
        <f t="shared" si="189"/>
        <v>13217894.400188331</v>
      </c>
      <c r="BH181" s="72">
        <f t="shared" si="189"/>
        <v>13217894.400188331</v>
      </c>
      <c r="BI181" s="72">
        <f t="shared" si="189"/>
        <v>13217894.400188331</v>
      </c>
      <c r="BJ181" s="72">
        <f t="shared" si="189"/>
        <v>13217894.400188331</v>
      </c>
      <c r="BK181" s="72">
        <f t="shared" si="189"/>
        <v>13217894.400188331</v>
      </c>
      <c r="BL181" s="72">
        <f t="shared" si="189"/>
        <v>13217894.400188331</v>
      </c>
      <c r="BM181" s="72">
        <f t="shared" si="189"/>
        <v>13217894.400188331</v>
      </c>
      <c r="BN181" s="72"/>
      <c r="BO181" s="72">
        <f>NPV(Lookups!$E$17,AM181:BM181)</f>
        <v>294935347.15534425</v>
      </c>
      <c r="BP181" s="72"/>
      <c r="BS181" s="84" t="str">
        <f>"No EE Scenario "&amp;E181&amp;" rate multiplied by No EE Scenario sales."</f>
        <v>No EE Scenario Cost of Gas rate multiplied by No EE Scenario sales.</v>
      </c>
      <c r="BT181" s="51" t="s">
        <v>17</v>
      </c>
    </row>
    <row r="182" spans="1:72" x14ac:dyDescent="0.25">
      <c r="B182" s="243" t="str">
        <f t="shared" ref="B182:C184" si="190">B181</f>
        <v>Small C&amp;I</v>
      </c>
      <c r="C182" s="243" t="str">
        <f t="shared" si="190"/>
        <v>Revenue Requirements</v>
      </c>
      <c r="D182" s="114" t="s">
        <v>24</v>
      </c>
      <c r="E182" s="84"/>
      <c r="F182" s="84"/>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S182" s="84"/>
      <c r="BT182" s="51" t="s">
        <v>17</v>
      </c>
    </row>
    <row r="183" spans="1:72" x14ac:dyDescent="0.25">
      <c r="A183" s="246"/>
      <c r="B183" s="243" t="str">
        <f t="shared" si="190"/>
        <v>Small C&amp;I</v>
      </c>
      <c r="C183" s="243" t="str">
        <f t="shared" si="190"/>
        <v>Revenue Requirements</v>
      </c>
      <c r="D183" s="244" t="str">
        <f>D182</f>
        <v>Avoided Costs</v>
      </c>
      <c r="E183" s="84" t="s">
        <v>45</v>
      </c>
      <c r="F183" s="84" t="s">
        <v>32</v>
      </c>
      <c r="G183" s="65">
        <f ca="1">IF($C$4=Lookups!$D$40,SUM(INDIRECT("'Yr1'!"&amp;ADDRESS(ROW(G183),COLUMN(G183))),INDIRECT("'Yr2'!"&amp;ADDRESS(ROW(G183),COLUMN(G183))),INDIRECT("'Yr3'!"&amp;ADDRESS(ROW(G183),COLUMN(G183)))),
IF(G170=0,0,-PMT(INDEX(Lookups!$E$17:$G$17,MATCH($C$4,Lookups!$E$14:$G$14,0)),G170,SUMIFS('EE Inputs'!$J$9:$J$32,'EE Inputs'!$C$9:$C$32,$G$6,'EE Inputs'!$D$9:$D$32,$C$4,'EE Inputs'!$E$9:$E$32,$B183),0,1)))-G184</f>
        <v>218145.00850767971</v>
      </c>
      <c r="H183" s="65">
        <f ca="1">IF($C$4=Lookups!$D$40,SUM(INDIRECT("'Yr1'!"&amp;ADDRESS(ROW(H183),COLUMN(H183))),INDIRECT("'Yr2'!"&amp;ADDRESS(ROW(H183),COLUMN(H183))),INDIRECT("'Yr3'!"&amp;ADDRESS(ROW(H183),COLUMN(H183)))),
IF(H170=0,0,-PMT(INDEX(Lookups!$E$17:$G$17,MATCH($C$4,Lookups!$E$14:$G$14,0)),H170,SUMIFS('EE Inputs'!$J$9:$J$32,'EE Inputs'!$C$9:$C$32,$G$6,'EE Inputs'!$D$9:$D$32,$C$4,'EE Inputs'!$E$9:$E$32,$B183),0,1)))-H184</f>
        <v>218145.00850767971</v>
      </c>
      <c r="I183" s="65">
        <f ca="1">IF($C$4=Lookups!$D$40,SUM(INDIRECT("'Yr1'!"&amp;ADDRESS(ROW(I183),COLUMN(I183))),INDIRECT("'Yr2'!"&amp;ADDRESS(ROW(I183),COLUMN(I183))),INDIRECT("'Yr3'!"&amp;ADDRESS(ROW(I183),COLUMN(I183)))),
IF(I170=0,0,-PMT(INDEX(Lookups!$E$17:$G$17,MATCH($C$4,Lookups!$E$14:$G$14,0)),I170,SUMIFS('EE Inputs'!$J$9:$J$32,'EE Inputs'!$C$9:$C$32,$G$6,'EE Inputs'!$D$9:$D$32,$C$4,'EE Inputs'!$E$9:$E$32,$B183),0,1)))-I184</f>
        <v>218145.00850767971</v>
      </c>
      <c r="J183" s="65">
        <f ca="1">IF($C$4=Lookups!$D$40,SUM(INDIRECT("'Yr1'!"&amp;ADDRESS(ROW(J183),COLUMN(J183))),INDIRECT("'Yr2'!"&amp;ADDRESS(ROW(J183),COLUMN(J183))),INDIRECT("'Yr3'!"&amp;ADDRESS(ROW(J183),COLUMN(J183)))),
IF(J170=0,0,-PMT(INDEX(Lookups!$E$17:$G$17,MATCH($C$4,Lookups!$E$14:$G$14,0)),J170,SUMIFS('EE Inputs'!$J$9:$J$32,'EE Inputs'!$C$9:$C$32,$G$6,'EE Inputs'!$D$9:$D$32,$C$4,'EE Inputs'!$E$9:$E$32,$B183),0,1)))-J184</f>
        <v>218145.00850767971</v>
      </c>
      <c r="K183" s="65">
        <f ca="1">IF($C$4=Lookups!$D$40,SUM(INDIRECT("'Yr1'!"&amp;ADDRESS(ROW(K183),COLUMN(K183))),INDIRECT("'Yr2'!"&amp;ADDRESS(ROW(K183),COLUMN(K183))),INDIRECT("'Yr3'!"&amp;ADDRESS(ROW(K183),COLUMN(K183)))),
IF(K170=0,0,-PMT(INDEX(Lookups!$E$17:$G$17,MATCH($C$4,Lookups!$E$14:$G$14,0)),K170,SUMIFS('EE Inputs'!$J$9:$J$32,'EE Inputs'!$C$9:$C$32,$G$6,'EE Inputs'!$D$9:$D$32,$C$4,'EE Inputs'!$E$9:$E$32,$B183),0,1)))-K184</f>
        <v>218145.00850767971</v>
      </c>
      <c r="L183" s="65">
        <f ca="1">IF($C$4=Lookups!$D$40,SUM(INDIRECT("'Yr1'!"&amp;ADDRESS(ROW(L183),COLUMN(L183))),INDIRECT("'Yr2'!"&amp;ADDRESS(ROW(L183),COLUMN(L183))),INDIRECT("'Yr3'!"&amp;ADDRESS(ROW(L183),COLUMN(L183)))),
IF(L170=0,0,-PMT(INDEX(Lookups!$E$17:$G$17,MATCH($C$4,Lookups!$E$14:$G$14,0)),L170,SUMIFS('EE Inputs'!$J$9:$J$32,'EE Inputs'!$C$9:$C$32,$G$6,'EE Inputs'!$D$9:$D$32,$C$4,'EE Inputs'!$E$9:$E$32,$B183),0,1)))-L184</f>
        <v>218145.00850767971</v>
      </c>
      <c r="M183" s="65">
        <f ca="1">IF($C$4=Lookups!$D$40,SUM(INDIRECT("'Yr1'!"&amp;ADDRESS(ROW(M183),COLUMN(M183))),INDIRECT("'Yr2'!"&amp;ADDRESS(ROW(M183),COLUMN(M183))),INDIRECT("'Yr3'!"&amp;ADDRESS(ROW(M183),COLUMN(M183)))),
IF(M170=0,0,-PMT(INDEX(Lookups!$E$17:$G$17,MATCH($C$4,Lookups!$E$14:$G$14,0)),M170,SUMIFS('EE Inputs'!$J$9:$J$32,'EE Inputs'!$C$9:$C$32,$G$6,'EE Inputs'!$D$9:$D$32,$C$4,'EE Inputs'!$E$9:$E$32,$B183),0,1)))-M184</f>
        <v>218145.00850767971</v>
      </c>
      <c r="N183" s="65">
        <f ca="1">IF($C$4=Lookups!$D$40,SUM(INDIRECT("'Yr1'!"&amp;ADDRESS(ROW(N183),COLUMN(N183))),INDIRECT("'Yr2'!"&amp;ADDRESS(ROW(N183),COLUMN(N183))),INDIRECT("'Yr3'!"&amp;ADDRESS(ROW(N183),COLUMN(N183)))),
IF(N170=0,0,-PMT(INDEX(Lookups!$E$17:$G$17,MATCH($C$4,Lookups!$E$14:$G$14,0)),N170,SUMIFS('EE Inputs'!$J$9:$J$32,'EE Inputs'!$C$9:$C$32,$G$6,'EE Inputs'!$D$9:$D$32,$C$4,'EE Inputs'!$E$9:$E$32,$B183),0,1)))-N184</f>
        <v>218145.00850767971</v>
      </c>
      <c r="O183" s="65">
        <f ca="1">IF($C$4=Lookups!$D$40,SUM(INDIRECT("'Yr1'!"&amp;ADDRESS(ROW(O183),COLUMN(O183))),INDIRECT("'Yr2'!"&amp;ADDRESS(ROW(O183),COLUMN(O183))),INDIRECT("'Yr3'!"&amp;ADDRESS(ROW(O183),COLUMN(O183)))),
IF(O170=0,0,-PMT(INDEX(Lookups!$E$17:$G$17,MATCH($C$4,Lookups!$E$14:$G$14,0)),O170,SUMIFS('EE Inputs'!$J$9:$J$32,'EE Inputs'!$C$9:$C$32,$G$6,'EE Inputs'!$D$9:$D$32,$C$4,'EE Inputs'!$E$9:$E$32,$B183),0,1)))-O184</f>
        <v>218145.00850767971</v>
      </c>
      <c r="P183" s="65">
        <f ca="1">IF($C$4=Lookups!$D$40,SUM(INDIRECT("'Yr1'!"&amp;ADDRESS(ROW(P183),COLUMN(P183))),INDIRECT("'Yr2'!"&amp;ADDRESS(ROW(P183),COLUMN(P183))),INDIRECT("'Yr3'!"&amp;ADDRESS(ROW(P183),COLUMN(P183)))),
IF(P170=0,0,-PMT(INDEX(Lookups!$E$17:$G$17,MATCH($C$4,Lookups!$E$14:$G$14,0)),P170,SUMIFS('EE Inputs'!$J$9:$J$32,'EE Inputs'!$C$9:$C$32,$G$6,'EE Inputs'!$D$9:$D$32,$C$4,'EE Inputs'!$E$9:$E$32,$B183),0,1)))-P184</f>
        <v>218145.00850767971</v>
      </c>
      <c r="Q183" s="65">
        <f ca="1">IF($C$4=Lookups!$D$40,SUM(INDIRECT("'Yr1'!"&amp;ADDRESS(ROW(Q183),COLUMN(Q183))),INDIRECT("'Yr2'!"&amp;ADDRESS(ROW(Q183),COLUMN(Q183))),INDIRECT("'Yr3'!"&amp;ADDRESS(ROW(Q183),COLUMN(Q183)))),
IF(Q170=0,0,-PMT(INDEX(Lookups!$E$17:$G$17,MATCH($C$4,Lookups!$E$14:$G$14,0)),Q170,SUMIFS('EE Inputs'!$J$9:$J$32,'EE Inputs'!$C$9:$C$32,$G$6,'EE Inputs'!$D$9:$D$32,$C$4,'EE Inputs'!$E$9:$E$32,$B183),0,1)))-Q184</f>
        <v>218145.00850767971</v>
      </c>
      <c r="R183" s="65">
        <f ca="1">IF($C$4=Lookups!$D$40,SUM(INDIRECT("'Yr1'!"&amp;ADDRESS(ROW(R183),COLUMN(R183))),INDIRECT("'Yr2'!"&amp;ADDRESS(ROW(R183),COLUMN(R183))),INDIRECT("'Yr3'!"&amp;ADDRESS(ROW(R183),COLUMN(R183)))),
IF(R170=0,0,-PMT(INDEX(Lookups!$E$17:$G$17,MATCH($C$4,Lookups!$E$14:$G$14,0)),R170,SUMIFS('EE Inputs'!$J$9:$J$32,'EE Inputs'!$C$9:$C$32,$G$6,'EE Inputs'!$D$9:$D$32,$C$4,'EE Inputs'!$E$9:$E$32,$B183),0,1)))-R184</f>
        <v>218145.00850767971</v>
      </c>
      <c r="S183" s="65">
        <f ca="1">IF($C$4=Lookups!$D$40,SUM(INDIRECT("'Yr1'!"&amp;ADDRESS(ROW(S183),COLUMN(S183))),INDIRECT("'Yr2'!"&amp;ADDRESS(ROW(S183),COLUMN(S183))),INDIRECT("'Yr3'!"&amp;ADDRESS(ROW(S183),COLUMN(S183)))),
IF(S170=0,0,-PMT(INDEX(Lookups!$E$17:$G$17,MATCH($C$4,Lookups!$E$14:$G$14,0)),S170,SUMIFS('EE Inputs'!$J$9:$J$32,'EE Inputs'!$C$9:$C$32,$G$6,'EE Inputs'!$D$9:$D$32,$C$4,'EE Inputs'!$E$9:$E$32,$B183),0,1)))-S184</f>
        <v>218145.00850767971</v>
      </c>
      <c r="T183" s="65">
        <f ca="1">IF($C$4=Lookups!$D$40,SUM(INDIRECT("'Yr1'!"&amp;ADDRESS(ROW(T183),COLUMN(T183))),INDIRECT("'Yr2'!"&amp;ADDRESS(ROW(T183),COLUMN(T183))),INDIRECT("'Yr3'!"&amp;ADDRESS(ROW(T183),COLUMN(T183)))),
IF(T170=0,0,-PMT(INDEX(Lookups!$E$17:$G$17,MATCH($C$4,Lookups!$E$14:$G$14,0)),T170,SUMIFS('EE Inputs'!$J$9:$J$32,'EE Inputs'!$C$9:$C$32,$G$6,'EE Inputs'!$D$9:$D$32,$C$4,'EE Inputs'!$E$9:$E$32,$B183),0,1)))-T184</f>
        <v>218145.00850767971</v>
      </c>
      <c r="U183" s="65">
        <f ca="1">IF($C$4=Lookups!$D$40,SUM(INDIRECT("'Yr1'!"&amp;ADDRESS(ROW(U183),COLUMN(U183))),INDIRECT("'Yr2'!"&amp;ADDRESS(ROW(U183),COLUMN(U183))),INDIRECT("'Yr3'!"&amp;ADDRESS(ROW(U183),COLUMN(U183)))),
IF(U170=0,0,-PMT(INDEX(Lookups!$E$17:$G$17,MATCH($C$4,Lookups!$E$14:$G$14,0)),U170,SUMIFS('EE Inputs'!$J$9:$J$32,'EE Inputs'!$C$9:$C$32,$G$6,'EE Inputs'!$D$9:$D$32,$C$4,'EE Inputs'!$E$9:$E$32,$B183),0,1)))-U184</f>
        <v>218145.00850767971</v>
      </c>
      <c r="V183" s="65">
        <f ca="1">IF($C$4=Lookups!$D$40,SUM(INDIRECT("'Yr1'!"&amp;ADDRESS(ROW(V183),COLUMN(V183))),INDIRECT("'Yr2'!"&amp;ADDRESS(ROW(V183),COLUMN(V183))),INDIRECT("'Yr3'!"&amp;ADDRESS(ROW(V183),COLUMN(V183)))),
IF(V170=0,0,-PMT(INDEX(Lookups!$E$17:$G$17,MATCH($C$4,Lookups!$E$14:$G$14,0)),V170,SUMIFS('EE Inputs'!$J$9:$J$32,'EE Inputs'!$C$9:$C$32,$G$6,'EE Inputs'!$D$9:$D$32,$C$4,'EE Inputs'!$E$9:$E$32,$B183),0,1)))-V184</f>
        <v>218145.00850767971</v>
      </c>
      <c r="W183" s="65">
        <f ca="1">IF($C$4=Lookups!$D$40,SUM(INDIRECT("'Yr1'!"&amp;ADDRESS(ROW(W183),COLUMN(W183))),INDIRECT("'Yr2'!"&amp;ADDRESS(ROW(W183),COLUMN(W183))),INDIRECT("'Yr3'!"&amp;ADDRESS(ROW(W183),COLUMN(W183)))),
IF(W170=0,0,-PMT(INDEX(Lookups!$E$17:$G$17,MATCH($C$4,Lookups!$E$14:$G$14,0)),W170,SUMIFS('EE Inputs'!$J$9:$J$32,'EE Inputs'!$C$9:$C$32,$G$6,'EE Inputs'!$D$9:$D$32,$C$4,'EE Inputs'!$E$9:$E$32,$B183),0,1)))-W184</f>
        <v>0</v>
      </c>
      <c r="X183" s="65">
        <f ca="1">IF($C$4=Lookups!$D$40,SUM(INDIRECT("'Yr1'!"&amp;ADDRESS(ROW(X183),COLUMN(X183))),INDIRECT("'Yr2'!"&amp;ADDRESS(ROW(X183),COLUMN(X183))),INDIRECT("'Yr3'!"&amp;ADDRESS(ROW(X183),COLUMN(X183)))),
IF(X170=0,0,-PMT(INDEX(Lookups!$E$17:$G$17,MATCH($C$4,Lookups!$E$14:$G$14,0)),X170,SUMIFS('EE Inputs'!$J$9:$J$32,'EE Inputs'!$C$9:$C$32,$G$6,'EE Inputs'!$D$9:$D$32,$C$4,'EE Inputs'!$E$9:$E$32,$B183),0,1)))-X184</f>
        <v>0</v>
      </c>
      <c r="Y183" s="65">
        <f ca="1">IF($C$4=Lookups!$D$40,SUM(INDIRECT("'Yr1'!"&amp;ADDRESS(ROW(Y183),COLUMN(Y183))),INDIRECT("'Yr2'!"&amp;ADDRESS(ROW(Y183),COLUMN(Y183))),INDIRECT("'Yr3'!"&amp;ADDRESS(ROW(Y183),COLUMN(Y183)))),
IF(Y170=0,0,-PMT(INDEX(Lookups!$E$17:$G$17,MATCH($C$4,Lookups!$E$14:$G$14,0)),Y170,SUMIFS('EE Inputs'!$J$9:$J$32,'EE Inputs'!$C$9:$C$32,$G$6,'EE Inputs'!$D$9:$D$32,$C$4,'EE Inputs'!$E$9:$E$32,$B183),0,1)))-Y184</f>
        <v>0</v>
      </c>
      <c r="Z183" s="65">
        <f ca="1">IF($C$4=Lookups!$D$40,SUM(INDIRECT("'Yr1'!"&amp;ADDRESS(ROW(Z183),COLUMN(Z183))),INDIRECT("'Yr2'!"&amp;ADDRESS(ROW(Z183),COLUMN(Z183))),INDIRECT("'Yr3'!"&amp;ADDRESS(ROW(Z183),COLUMN(Z183)))),
IF(Z170=0,0,-PMT(INDEX(Lookups!$E$17:$G$17,MATCH($C$4,Lookups!$E$14:$G$14,0)),Z170,SUMIFS('EE Inputs'!$J$9:$J$32,'EE Inputs'!$C$9:$C$32,$G$6,'EE Inputs'!$D$9:$D$32,$C$4,'EE Inputs'!$E$9:$E$32,$B183),0,1)))-Z184</f>
        <v>0</v>
      </c>
      <c r="AA183" s="65">
        <f ca="1">IF($C$4=Lookups!$D$40,SUM(INDIRECT("'Yr1'!"&amp;ADDRESS(ROW(AA183),COLUMN(AA183))),INDIRECT("'Yr2'!"&amp;ADDRESS(ROW(AA183),COLUMN(AA183))),INDIRECT("'Yr3'!"&amp;ADDRESS(ROW(AA183),COLUMN(AA183)))),
IF(AA170=0,0,-PMT(INDEX(Lookups!$E$17:$G$17,MATCH($C$4,Lookups!$E$14:$G$14,0)),AA170,SUMIFS('EE Inputs'!$J$9:$J$32,'EE Inputs'!$C$9:$C$32,$G$6,'EE Inputs'!$D$9:$D$32,$C$4,'EE Inputs'!$E$9:$E$32,$B183),0,1)))-AA184</f>
        <v>0</v>
      </c>
      <c r="AB183" s="65">
        <f ca="1">IF($C$4=Lookups!$D$40,SUM(INDIRECT("'Yr1'!"&amp;ADDRESS(ROW(AB183),COLUMN(AB183))),INDIRECT("'Yr2'!"&amp;ADDRESS(ROW(AB183),COLUMN(AB183))),INDIRECT("'Yr3'!"&amp;ADDRESS(ROW(AB183),COLUMN(AB183)))),
IF(AB170=0,0,-PMT(INDEX(Lookups!$E$17:$G$17,MATCH($C$4,Lookups!$E$14:$G$14,0)),AB170,SUMIFS('EE Inputs'!$J$9:$J$32,'EE Inputs'!$C$9:$C$32,$G$6,'EE Inputs'!$D$9:$D$32,$C$4,'EE Inputs'!$E$9:$E$32,$B183),0,1)))-AB184</f>
        <v>0</v>
      </c>
      <c r="AC183" s="65">
        <f ca="1">IF($C$4=Lookups!$D$40,SUM(INDIRECT("'Yr1'!"&amp;ADDRESS(ROW(AC183),COLUMN(AC183))),INDIRECT("'Yr2'!"&amp;ADDRESS(ROW(AC183),COLUMN(AC183))),INDIRECT("'Yr3'!"&amp;ADDRESS(ROW(AC183),COLUMN(AC183)))),
IF(AC170=0,0,-PMT(INDEX(Lookups!$E$17:$G$17,MATCH($C$4,Lookups!$E$14:$G$14,0)),AC170,SUMIFS('EE Inputs'!$J$9:$J$32,'EE Inputs'!$C$9:$C$32,$G$6,'EE Inputs'!$D$9:$D$32,$C$4,'EE Inputs'!$E$9:$E$32,$B183),0,1)))-AC184</f>
        <v>0</v>
      </c>
      <c r="AD183" s="65">
        <f ca="1">IF($C$4=Lookups!$D$40,SUM(INDIRECT("'Yr1'!"&amp;ADDRESS(ROW(AD183),COLUMN(AD183))),INDIRECT("'Yr2'!"&amp;ADDRESS(ROW(AD183),COLUMN(AD183))),INDIRECT("'Yr3'!"&amp;ADDRESS(ROW(AD183),COLUMN(AD183)))),
IF(AD170=0,0,-PMT(INDEX(Lookups!$E$17:$G$17,MATCH($C$4,Lookups!$E$14:$G$14,0)),AD170,SUMIFS('EE Inputs'!$J$9:$J$32,'EE Inputs'!$C$9:$C$32,$G$6,'EE Inputs'!$D$9:$D$32,$C$4,'EE Inputs'!$E$9:$E$32,$B183),0,1)))-AD184</f>
        <v>0</v>
      </c>
      <c r="AE183" s="65">
        <f ca="1">IF($C$4=Lookups!$D$40,SUM(INDIRECT("'Yr1'!"&amp;ADDRESS(ROW(AE183),COLUMN(AE183))),INDIRECT("'Yr2'!"&amp;ADDRESS(ROW(AE183),COLUMN(AE183))),INDIRECT("'Yr3'!"&amp;ADDRESS(ROW(AE183),COLUMN(AE183)))),
IF(AE170=0,0,-PMT(INDEX(Lookups!$E$17:$G$17,MATCH($C$4,Lookups!$E$14:$G$14,0)),AE170,SUMIFS('EE Inputs'!$J$9:$J$32,'EE Inputs'!$C$9:$C$32,$G$6,'EE Inputs'!$D$9:$D$32,$C$4,'EE Inputs'!$E$9:$E$32,$B183),0,1)))-AE184</f>
        <v>0</v>
      </c>
      <c r="AF183" s="65">
        <f ca="1">IF($C$4=Lookups!$D$40,SUM(INDIRECT("'Yr1'!"&amp;ADDRESS(ROW(AF183),COLUMN(AF183))),INDIRECT("'Yr2'!"&amp;ADDRESS(ROW(AF183),COLUMN(AF183))),INDIRECT("'Yr3'!"&amp;ADDRESS(ROW(AF183),COLUMN(AF183)))),
IF(AF170=0,0,-PMT(INDEX(Lookups!$E$17:$G$17,MATCH($C$4,Lookups!$E$14:$G$14,0)),AF170,SUMIFS('EE Inputs'!$J$9:$J$32,'EE Inputs'!$C$9:$C$32,$G$6,'EE Inputs'!$D$9:$D$32,$C$4,'EE Inputs'!$E$9:$E$32,$B183),0,1)))-AF184</f>
        <v>0</v>
      </c>
      <c r="AG183" s="65">
        <f ca="1">IF($C$4=Lookups!$D$40,SUM(INDIRECT("'Yr1'!"&amp;ADDRESS(ROW(AG183),COLUMN(AG183))),INDIRECT("'Yr2'!"&amp;ADDRESS(ROW(AG183),COLUMN(AG183))),INDIRECT("'Yr3'!"&amp;ADDRESS(ROW(AG183),COLUMN(AG183)))),
IF(AG170=0,0,-PMT(INDEX(Lookups!$E$17:$G$17,MATCH($C$4,Lookups!$E$14:$G$14,0)),AG170,SUMIFS('EE Inputs'!$J$9:$J$32,'EE Inputs'!$C$9:$C$32,$G$6,'EE Inputs'!$D$9:$D$32,$C$4,'EE Inputs'!$E$9:$E$32,$B183),0,1)))-AG184</f>
        <v>0</v>
      </c>
      <c r="AH183" s="65"/>
      <c r="AI183" s="65">
        <f ca="1">NPV(Lookups!$E$17,G183:AG183)</f>
        <v>3104047.1742033674</v>
      </c>
      <c r="AJ183" s="65"/>
      <c r="AM183" s="72">
        <f ca="1">IF($C$4=Lookups!$D$40,SUM(INDIRECT("'Yr1'!"&amp;ADDRESS(ROW(AM183),COLUMN(AM183))),INDIRECT("'Yr2'!"&amp;ADDRESS(ROW(AM183),COLUMN(AM183))),INDIRECT("'Yr3'!"&amp;ADDRESS(ROW(AM183),COLUMN(AM183)))),
IF(AM170=0,0,-PMT(INDEX(Lookups!$E$17:$G$17,MATCH($C$4,Lookups!$E$14:$G$14,0)),AM170,SUMIFS('EE Inputs'!$J$9:$J$32,'EE Inputs'!$C$9:$C$32,$AM$6,'EE Inputs'!$D$9:$D$32,$C$4,'EE Inputs'!$E$9:$E$32,$B183),0,1)))-AM184</f>
        <v>249308.58115163396</v>
      </c>
      <c r="AN183" s="72">
        <f ca="1">IF($C$4=Lookups!$D$40,SUM(INDIRECT("'Yr1'!"&amp;ADDRESS(ROW(AN183),COLUMN(AN183))),INDIRECT("'Yr2'!"&amp;ADDRESS(ROW(AN183),COLUMN(AN183))),INDIRECT("'Yr3'!"&amp;ADDRESS(ROW(AN183),COLUMN(AN183)))),
IF(AN170=0,0,-PMT(INDEX(Lookups!$E$17:$G$17,MATCH($C$4,Lookups!$E$14:$G$14,0)),AN170,SUMIFS('EE Inputs'!$J$9:$J$32,'EE Inputs'!$C$9:$C$32,$AM$6,'EE Inputs'!$D$9:$D$32,$C$4,'EE Inputs'!$E$9:$E$32,$B183),0,1)))-AN184</f>
        <v>249308.58115163396</v>
      </c>
      <c r="AO183" s="72">
        <f ca="1">IF($C$4=Lookups!$D$40,SUM(INDIRECT("'Yr1'!"&amp;ADDRESS(ROW(AO183),COLUMN(AO183))),INDIRECT("'Yr2'!"&amp;ADDRESS(ROW(AO183),COLUMN(AO183))),INDIRECT("'Yr3'!"&amp;ADDRESS(ROW(AO183),COLUMN(AO183)))),
IF(AO170=0,0,-PMT(INDEX(Lookups!$E$17:$G$17,MATCH($C$4,Lookups!$E$14:$G$14,0)),AO170,SUMIFS('EE Inputs'!$J$9:$J$32,'EE Inputs'!$C$9:$C$32,$AM$6,'EE Inputs'!$D$9:$D$32,$C$4,'EE Inputs'!$E$9:$E$32,$B183),0,1)))-AO184</f>
        <v>249308.58115163396</v>
      </c>
      <c r="AP183" s="72">
        <f ca="1">IF($C$4=Lookups!$D$40,SUM(INDIRECT("'Yr1'!"&amp;ADDRESS(ROW(AP183),COLUMN(AP183))),INDIRECT("'Yr2'!"&amp;ADDRESS(ROW(AP183),COLUMN(AP183))),INDIRECT("'Yr3'!"&amp;ADDRESS(ROW(AP183),COLUMN(AP183)))),
IF(AP170=0,0,-PMT(INDEX(Lookups!$E$17:$G$17,MATCH($C$4,Lookups!$E$14:$G$14,0)),AP170,SUMIFS('EE Inputs'!$J$9:$J$32,'EE Inputs'!$C$9:$C$32,$AM$6,'EE Inputs'!$D$9:$D$32,$C$4,'EE Inputs'!$E$9:$E$32,$B183),0,1)))-AP184</f>
        <v>249308.58115163396</v>
      </c>
      <c r="AQ183" s="72">
        <f ca="1">IF($C$4=Lookups!$D$40,SUM(INDIRECT("'Yr1'!"&amp;ADDRESS(ROW(AQ183),COLUMN(AQ183))),INDIRECT("'Yr2'!"&amp;ADDRESS(ROW(AQ183),COLUMN(AQ183))),INDIRECT("'Yr3'!"&amp;ADDRESS(ROW(AQ183),COLUMN(AQ183)))),
IF(AQ170=0,0,-PMT(INDEX(Lookups!$E$17:$G$17,MATCH($C$4,Lookups!$E$14:$G$14,0)),AQ170,SUMIFS('EE Inputs'!$J$9:$J$32,'EE Inputs'!$C$9:$C$32,$AM$6,'EE Inputs'!$D$9:$D$32,$C$4,'EE Inputs'!$E$9:$E$32,$B183),0,1)))-AQ184</f>
        <v>249308.58115163396</v>
      </c>
      <c r="AR183" s="72">
        <f ca="1">IF($C$4=Lookups!$D$40,SUM(INDIRECT("'Yr1'!"&amp;ADDRESS(ROW(AR183),COLUMN(AR183))),INDIRECT("'Yr2'!"&amp;ADDRESS(ROW(AR183),COLUMN(AR183))),INDIRECT("'Yr3'!"&amp;ADDRESS(ROW(AR183),COLUMN(AR183)))),
IF(AR170=0,0,-PMT(INDEX(Lookups!$E$17:$G$17,MATCH($C$4,Lookups!$E$14:$G$14,0)),AR170,SUMIFS('EE Inputs'!$J$9:$J$32,'EE Inputs'!$C$9:$C$32,$AM$6,'EE Inputs'!$D$9:$D$32,$C$4,'EE Inputs'!$E$9:$E$32,$B183),0,1)))-AR184</f>
        <v>249308.58115163396</v>
      </c>
      <c r="AS183" s="72">
        <f ca="1">IF($C$4=Lookups!$D$40,SUM(INDIRECT("'Yr1'!"&amp;ADDRESS(ROW(AS183),COLUMN(AS183))),INDIRECT("'Yr2'!"&amp;ADDRESS(ROW(AS183),COLUMN(AS183))),INDIRECT("'Yr3'!"&amp;ADDRESS(ROW(AS183),COLUMN(AS183)))),
IF(AS170=0,0,-PMT(INDEX(Lookups!$E$17:$G$17,MATCH($C$4,Lookups!$E$14:$G$14,0)),AS170,SUMIFS('EE Inputs'!$J$9:$J$32,'EE Inputs'!$C$9:$C$32,$AM$6,'EE Inputs'!$D$9:$D$32,$C$4,'EE Inputs'!$E$9:$E$32,$B183),0,1)))-AS184</f>
        <v>249308.58115163396</v>
      </c>
      <c r="AT183" s="72">
        <f ca="1">IF($C$4=Lookups!$D$40,SUM(INDIRECT("'Yr1'!"&amp;ADDRESS(ROW(AT183),COLUMN(AT183))),INDIRECT("'Yr2'!"&amp;ADDRESS(ROW(AT183),COLUMN(AT183))),INDIRECT("'Yr3'!"&amp;ADDRESS(ROW(AT183),COLUMN(AT183)))),
IF(AT170=0,0,-PMT(INDEX(Lookups!$E$17:$G$17,MATCH($C$4,Lookups!$E$14:$G$14,0)),AT170,SUMIFS('EE Inputs'!$J$9:$J$32,'EE Inputs'!$C$9:$C$32,$AM$6,'EE Inputs'!$D$9:$D$32,$C$4,'EE Inputs'!$E$9:$E$32,$B183),0,1)))-AT184</f>
        <v>249308.58115163396</v>
      </c>
      <c r="AU183" s="72">
        <f ca="1">IF($C$4=Lookups!$D$40,SUM(INDIRECT("'Yr1'!"&amp;ADDRESS(ROW(AU183),COLUMN(AU183))),INDIRECT("'Yr2'!"&amp;ADDRESS(ROW(AU183),COLUMN(AU183))),INDIRECT("'Yr3'!"&amp;ADDRESS(ROW(AU183),COLUMN(AU183)))),
IF(AU170=0,0,-PMT(INDEX(Lookups!$E$17:$G$17,MATCH($C$4,Lookups!$E$14:$G$14,0)),AU170,SUMIFS('EE Inputs'!$J$9:$J$32,'EE Inputs'!$C$9:$C$32,$AM$6,'EE Inputs'!$D$9:$D$32,$C$4,'EE Inputs'!$E$9:$E$32,$B183),0,1)))-AU184</f>
        <v>249308.58115163396</v>
      </c>
      <c r="AV183" s="72">
        <f ca="1">IF($C$4=Lookups!$D$40,SUM(INDIRECT("'Yr1'!"&amp;ADDRESS(ROW(AV183),COLUMN(AV183))),INDIRECT("'Yr2'!"&amp;ADDRESS(ROW(AV183),COLUMN(AV183))),INDIRECT("'Yr3'!"&amp;ADDRESS(ROW(AV183),COLUMN(AV183)))),
IF(AV170=0,0,-PMT(INDEX(Lookups!$E$17:$G$17,MATCH($C$4,Lookups!$E$14:$G$14,0)),AV170,SUMIFS('EE Inputs'!$J$9:$J$32,'EE Inputs'!$C$9:$C$32,$AM$6,'EE Inputs'!$D$9:$D$32,$C$4,'EE Inputs'!$E$9:$E$32,$B183),0,1)))-AV184</f>
        <v>249308.58115163396</v>
      </c>
      <c r="AW183" s="72">
        <f ca="1">IF($C$4=Lookups!$D$40,SUM(INDIRECT("'Yr1'!"&amp;ADDRESS(ROW(AW183),COLUMN(AW183))),INDIRECT("'Yr2'!"&amp;ADDRESS(ROW(AW183),COLUMN(AW183))),INDIRECT("'Yr3'!"&amp;ADDRESS(ROW(AW183),COLUMN(AW183)))),
IF(AW170=0,0,-PMT(INDEX(Lookups!$E$17:$G$17,MATCH($C$4,Lookups!$E$14:$G$14,0)),AW170,SUMIFS('EE Inputs'!$J$9:$J$32,'EE Inputs'!$C$9:$C$32,$AM$6,'EE Inputs'!$D$9:$D$32,$C$4,'EE Inputs'!$E$9:$E$32,$B183),0,1)))-AW184</f>
        <v>249308.58115163396</v>
      </c>
      <c r="AX183" s="72">
        <f ca="1">IF($C$4=Lookups!$D$40,SUM(INDIRECT("'Yr1'!"&amp;ADDRESS(ROW(AX183),COLUMN(AX183))),INDIRECT("'Yr2'!"&amp;ADDRESS(ROW(AX183),COLUMN(AX183))),INDIRECT("'Yr3'!"&amp;ADDRESS(ROW(AX183),COLUMN(AX183)))),
IF(AX170=0,0,-PMT(INDEX(Lookups!$E$17:$G$17,MATCH($C$4,Lookups!$E$14:$G$14,0)),AX170,SUMIFS('EE Inputs'!$J$9:$J$32,'EE Inputs'!$C$9:$C$32,$AM$6,'EE Inputs'!$D$9:$D$32,$C$4,'EE Inputs'!$E$9:$E$32,$B183),0,1)))-AX184</f>
        <v>249308.58115163396</v>
      </c>
      <c r="AY183" s="72">
        <f ca="1">IF($C$4=Lookups!$D$40,SUM(INDIRECT("'Yr1'!"&amp;ADDRESS(ROW(AY183),COLUMN(AY183))),INDIRECT("'Yr2'!"&amp;ADDRESS(ROW(AY183),COLUMN(AY183))),INDIRECT("'Yr3'!"&amp;ADDRESS(ROW(AY183),COLUMN(AY183)))),
IF(AY170=0,0,-PMT(INDEX(Lookups!$E$17:$G$17,MATCH($C$4,Lookups!$E$14:$G$14,0)),AY170,SUMIFS('EE Inputs'!$J$9:$J$32,'EE Inputs'!$C$9:$C$32,$AM$6,'EE Inputs'!$D$9:$D$32,$C$4,'EE Inputs'!$E$9:$E$32,$B183),0,1)))-AY184</f>
        <v>249308.58115163396</v>
      </c>
      <c r="AZ183" s="72">
        <f ca="1">IF($C$4=Lookups!$D$40,SUM(INDIRECT("'Yr1'!"&amp;ADDRESS(ROW(AZ183),COLUMN(AZ183))),INDIRECT("'Yr2'!"&amp;ADDRESS(ROW(AZ183),COLUMN(AZ183))),INDIRECT("'Yr3'!"&amp;ADDRESS(ROW(AZ183),COLUMN(AZ183)))),
IF(AZ170=0,0,-PMT(INDEX(Lookups!$E$17:$G$17,MATCH($C$4,Lookups!$E$14:$G$14,0)),AZ170,SUMIFS('EE Inputs'!$J$9:$J$32,'EE Inputs'!$C$9:$C$32,$AM$6,'EE Inputs'!$D$9:$D$32,$C$4,'EE Inputs'!$E$9:$E$32,$B183),0,1)))-AZ184</f>
        <v>249308.58115163396</v>
      </c>
      <c r="BA183" s="72">
        <f ca="1">IF($C$4=Lookups!$D$40,SUM(INDIRECT("'Yr1'!"&amp;ADDRESS(ROW(BA183),COLUMN(BA183))),INDIRECT("'Yr2'!"&amp;ADDRESS(ROW(BA183),COLUMN(BA183))),INDIRECT("'Yr3'!"&amp;ADDRESS(ROW(BA183),COLUMN(BA183)))),
IF(BA170=0,0,-PMT(INDEX(Lookups!$E$17:$G$17,MATCH($C$4,Lookups!$E$14:$G$14,0)),BA170,SUMIFS('EE Inputs'!$J$9:$J$32,'EE Inputs'!$C$9:$C$32,$AM$6,'EE Inputs'!$D$9:$D$32,$C$4,'EE Inputs'!$E$9:$E$32,$B183),0,1)))-BA184</f>
        <v>249308.58115163396</v>
      </c>
      <c r="BB183" s="72">
        <f ca="1">IF($C$4=Lookups!$D$40,SUM(INDIRECT("'Yr1'!"&amp;ADDRESS(ROW(BB183),COLUMN(BB183))),INDIRECT("'Yr2'!"&amp;ADDRESS(ROW(BB183),COLUMN(BB183))),INDIRECT("'Yr3'!"&amp;ADDRESS(ROW(BB183),COLUMN(BB183)))),
IF(BB170=0,0,-PMT(INDEX(Lookups!$E$17:$G$17,MATCH($C$4,Lookups!$E$14:$G$14,0)),BB170,SUMIFS('EE Inputs'!$J$9:$J$32,'EE Inputs'!$C$9:$C$32,$AM$6,'EE Inputs'!$D$9:$D$32,$C$4,'EE Inputs'!$E$9:$E$32,$B183),0,1)))-BB184</f>
        <v>249308.58115163396</v>
      </c>
      <c r="BC183" s="72">
        <f ca="1">IF($C$4=Lookups!$D$40,SUM(INDIRECT("'Yr1'!"&amp;ADDRESS(ROW(BC183),COLUMN(BC183))),INDIRECT("'Yr2'!"&amp;ADDRESS(ROW(BC183),COLUMN(BC183))),INDIRECT("'Yr3'!"&amp;ADDRESS(ROW(BC183),COLUMN(BC183)))),
IF(BC170=0,0,-PMT(INDEX(Lookups!$E$17:$G$17,MATCH($C$4,Lookups!$E$14:$G$14,0)),BC170,SUMIFS('EE Inputs'!$J$9:$J$32,'EE Inputs'!$C$9:$C$32,$AM$6,'EE Inputs'!$D$9:$D$32,$C$4,'EE Inputs'!$E$9:$E$32,$B183),0,1)))-BC184</f>
        <v>0</v>
      </c>
      <c r="BD183" s="72">
        <f ca="1">IF($C$4=Lookups!$D$40,SUM(INDIRECT("'Yr1'!"&amp;ADDRESS(ROW(BD183),COLUMN(BD183))),INDIRECT("'Yr2'!"&amp;ADDRESS(ROW(BD183),COLUMN(BD183))),INDIRECT("'Yr3'!"&amp;ADDRESS(ROW(BD183),COLUMN(BD183)))),
IF(BD170=0,0,-PMT(INDEX(Lookups!$E$17:$G$17,MATCH($C$4,Lookups!$E$14:$G$14,0)),BD170,SUMIFS('EE Inputs'!$J$9:$J$32,'EE Inputs'!$C$9:$C$32,$AM$6,'EE Inputs'!$D$9:$D$32,$C$4,'EE Inputs'!$E$9:$E$32,$B183),0,1)))-BD184</f>
        <v>0</v>
      </c>
      <c r="BE183" s="72">
        <f ca="1">IF($C$4=Lookups!$D$40,SUM(INDIRECT("'Yr1'!"&amp;ADDRESS(ROW(BE183),COLUMN(BE183))),INDIRECT("'Yr2'!"&amp;ADDRESS(ROW(BE183),COLUMN(BE183))),INDIRECT("'Yr3'!"&amp;ADDRESS(ROW(BE183),COLUMN(BE183)))),
IF(BE170=0,0,-PMT(INDEX(Lookups!$E$17:$G$17,MATCH($C$4,Lookups!$E$14:$G$14,0)),BE170,SUMIFS('EE Inputs'!$J$9:$J$32,'EE Inputs'!$C$9:$C$32,$AM$6,'EE Inputs'!$D$9:$D$32,$C$4,'EE Inputs'!$E$9:$E$32,$B183),0,1)))-BE184</f>
        <v>0</v>
      </c>
      <c r="BF183" s="72">
        <f ca="1">IF($C$4=Lookups!$D$40,SUM(INDIRECT("'Yr1'!"&amp;ADDRESS(ROW(BF183),COLUMN(BF183))),INDIRECT("'Yr2'!"&amp;ADDRESS(ROW(BF183),COLUMN(BF183))),INDIRECT("'Yr3'!"&amp;ADDRESS(ROW(BF183),COLUMN(BF183)))),
IF(BF170=0,0,-PMT(INDEX(Lookups!$E$17:$G$17,MATCH($C$4,Lookups!$E$14:$G$14,0)),BF170,SUMIFS('EE Inputs'!$J$9:$J$32,'EE Inputs'!$C$9:$C$32,$AM$6,'EE Inputs'!$D$9:$D$32,$C$4,'EE Inputs'!$E$9:$E$32,$B183),0,1)))-BF184</f>
        <v>0</v>
      </c>
      <c r="BG183" s="72">
        <f ca="1">IF($C$4=Lookups!$D$40,SUM(INDIRECT("'Yr1'!"&amp;ADDRESS(ROW(BG183),COLUMN(BG183))),INDIRECT("'Yr2'!"&amp;ADDRESS(ROW(BG183),COLUMN(BG183))),INDIRECT("'Yr3'!"&amp;ADDRESS(ROW(BG183),COLUMN(BG183)))),
IF(BG170=0,0,-PMT(INDEX(Lookups!$E$17:$G$17,MATCH($C$4,Lookups!$E$14:$G$14,0)),BG170,SUMIFS('EE Inputs'!$J$9:$J$32,'EE Inputs'!$C$9:$C$32,$AM$6,'EE Inputs'!$D$9:$D$32,$C$4,'EE Inputs'!$E$9:$E$32,$B183),0,1)))-BG184</f>
        <v>0</v>
      </c>
      <c r="BH183" s="72">
        <f ca="1">IF($C$4=Lookups!$D$40,SUM(INDIRECT("'Yr1'!"&amp;ADDRESS(ROW(BH183),COLUMN(BH183))),INDIRECT("'Yr2'!"&amp;ADDRESS(ROW(BH183),COLUMN(BH183))),INDIRECT("'Yr3'!"&amp;ADDRESS(ROW(BH183),COLUMN(BH183)))),
IF(BH170=0,0,-PMT(INDEX(Lookups!$E$17:$G$17,MATCH($C$4,Lookups!$E$14:$G$14,0)),BH170,SUMIFS('EE Inputs'!$J$9:$J$32,'EE Inputs'!$C$9:$C$32,$AM$6,'EE Inputs'!$D$9:$D$32,$C$4,'EE Inputs'!$E$9:$E$32,$B183),0,1)))-BH184</f>
        <v>0</v>
      </c>
      <c r="BI183" s="72">
        <f ca="1">IF($C$4=Lookups!$D$40,SUM(INDIRECT("'Yr1'!"&amp;ADDRESS(ROW(BI183),COLUMN(BI183))),INDIRECT("'Yr2'!"&amp;ADDRESS(ROW(BI183),COLUMN(BI183))),INDIRECT("'Yr3'!"&amp;ADDRESS(ROW(BI183),COLUMN(BI183)))),
IF(BI170=0,0,-PMT(INDEX(Lookups!$E$17:$G$17,MATCH($C$4,Lookups!$E$14:$G$14,0)),BI170,SUMIFS('EE Inputs'!$J$9:$J$32,'EE Inputs'!$C$9:$C$32,$AM$6,'EE Inputs'!$D$9:$D$32,$C$4,'EE Inputs'!$E$9:$E$32,$B183),0,1)))-BI184</f>
        <v>0</v>
      </c>
      <c r="BJ183" s="72">
        <f ca="1">IF($C$4=Lookups!$D$40,SUM(INDIRECT("'Yr1'!"&amp;ADDRESS(ROW(BJ183),COLUMN(BJ183))),INDIRECT("'Yr2'!"&amp;ADDRESS(ROW(BJ183),COLUMN(BJ183))),INDIRECT("'Yr3'!"&amp;ADDRESS(ROW(BJ183),COLUMN(BJ183)))),
IF(BJ170=0,0,-PMT(INDEX(Lookups!$E$17:$G$17,MATCH($C$4,Lookups!$E$14:$G$14,0)),BJ170,SUMIFS('EE Inputs'!$J$9:$J$32,'EE Inputs'!$C$9:$C$32,$AM$6,'EE Inputs'!$D$9:$D$32,$C$4,'EE Inputs'!$E$9:$E$32,$B183),0,1)))-BJ184</f>
        <v>0</v>
      </c>
      <c r="BK183" s="72">
        <f ca="1">IF($C$4=Lookups!$D$40,SUM(INDIRECT("'Yr1'!"&amp;ADDRESS(ROW(BK183),COLUMN(BK183))),INDIRECT("'Yr2'!"&amp;ADDRESS(ROW(BK183),COLUMN(BK183))),INDIRECT("'Yr3'!"&amp;ADDRESS(ROW(BK183),COLUMN(BK183)))),
IF(BK170=0,0,-PMT(INDEX(Lookups!$E$17:$G$17,MATCH($C$4,Lookups!$E$14:$G$14,0)),BK170,SUMIFS('EE Inputs'!$J$9:$J$32,'EE Inputs'!$C$9:$C$32,$AM$6,'EE Inputs'!$D$9:$D$32,$C$4,'EE Inputs'!$E$9:$E$32,$B183),0,1)))-BK184</f>
        <v>0</v>
      </c>
      <c r="BL183" s="72">
        <f ca="1">IF($C$4=Lookups!$D$40,SUM(INDIRECT("'Yr1'!"&amp;ADDRESS(ROW(BL183),COLUMN(BL183))),INDIRECT("'Yr2'!"&amp;ADDRESS(ROW(BL183),COLUMN(BL183))),INDIRECT("'Yr3'!"&amp;ADDRESS(ROW(BL183),COLUMN(BL183)))),
IF(BL170=0,0,-PMT(INDEX(Lookups!$E$17:$G$17,MATCH($C$4,Lookups!$E$14:$G$14,0)),BL170,SUMIFS('EE Inputs'!$J$9:$J$32,'EE Inputs'!$C$9:$C$32,$AM$6,'EE Inputs'!$D$9:$D$32,$C$4,'EE Inputs'!$E$9:$E$32,$B183),0,1)))-BL184</f>
        <v>0</v>
      </c>
      <c r="BM183" s="72">
        <f ca="1">IF($C$4=Lookups!$D$40,SUM(INDIRECT("'Yr1'!"&amp;ADDRESS(ROW(BM183),COLUMN(BM183))),INDIRECT("'Yr2'!"&amp;ADDRESS(ROW(BM183),COLUMN(BM183))),INDIRECT("'Yr3'!"&amp;ADDRESS(ROW(BM183),COLUMN(BM183)))),
IF(BM170=0,0,-PMT(INDEX(Lookups!$E$17:$G$17,MATCH($C$4,Lookups!$E$14:$G$14,0)),BM170,SUMIFS('EE Inputs'!$J$9:$J$32,'EE Inputs'!$C$9:$C$32,$AM$6,'EE Inputs'!$D$9:$D$32,$C$4,'EE Inputs'!$E$9:$E$32,$B183),0,1)))-BM184</f>
        <v>0</v>
      </c>
      <c r="BN183" s="72"/>
      <c r="BO183" s="72">
        <f ca="1">NPV(Lookups!$E$17,AM183:BM183)</f>
        <v>3547482.4848038489</v>
      </c>
      <c r="BP183" s="72"/>
      <c r="BS183" s="84" t="str">
        <f>"Avoided "&amp;E183&amp;" costs, less the retail margin."</f>
        <v>Avoided Gas costs, less the retail margin.</v>
      </c>
      <c r="BT183" s="51" t="s">
        <v>17</v>
      </c>
    </row>
    <row r="184" spans="1:72" x14ac:dyDescent="0.25">
      <c r="A184" s="246"/>
      <c r="B184" s="243" t="str">
        <f t="shared" si="190"/>
        <v>Small C&amp;I</v>
      </c>
      <c r="C184" s="243" t="str">
        <f t="shared" si="190"/>
        <v>Revenue Requirements</v>
      </c>
      <c r="D184" s="244" t="str">
        <f>D183</f>
        <v>Avoided Costs</v>
      </c>
      <c r="E184" s="84" t="s">
        <v>412</v>
      </c>
      <c r="F184" s="84" t="s">
        <v>32</v>
      </c>
      <c r="G184" s="65">
        <f ca="1">IF($C$4=Lookups!$D$40,SUM(INDIRECT("'Yr1'!"&amp;ADDRESS(ROW(G184),COLUMN(G184))),INDIRECT("'Yr2'!"&amp;ADDRESS(ROW(G184),COLUMN(G184))),INDIRECT("'Yr3'!"&amp;ADDRESS(ROW(G184),COLUMN(G184)))),
IF(G170=0,0,-PMT(INDEX(Lookups!$E$17:$G$17,MATCH($C$4,Lookups!$E$14:$G$14,0)),G170,SUMIFS('EE Inputs'!$W$9:$W$32,'EE Inputs'!$C$9:$C$32,$G$6,'EE Inputs'!$D$9:$D$32,$C$4,'EE Inputs'!$E$9:$E$32,$B184),0,1)))</f>
        <v>13924.149479213598</v>
      </c>
      <c r="H184" s="65">
        <f ca="1">IF($C$4=Lookups!$D$40,SUM(INDIRECT("'Yr1'!"&amp;ADDRESS(ROW(H184),COLUMN(H184))),INDIRECT("'Yr2'!"&amp;ADDRESS(ROW(H184),COLUMN(H184))),INDIRECT("'Yr3'!"&amp;ADDRESS(ROW(H184),COLUMN(H184)))),
IF(H170=0,0,-PMT(INDEX(Lookups!$E$17:$G$17,MATCH($C$4,Lookups!$E$14:$G$14,0)),H170,SUMIFS('EE Inputs'!$W$9:$W$32,'EE Inputs'!$C$9:$C$32,$G$6,'EE Inputs'!$D$9:$D$32,$C$4,'EE Inputs'!$E$9:$E$32,$B184),0,1)))</f>
        <v>13924.149479213598</v>
      </c>
      <c r="I184" s="65">
        <f ca="1">IF($C$4=Lookups!$D$40,SUM(INDIRECT("'Yr1'!"&amp;ADDRESS(ROW(I184),COLUMN(I184))),INDIRECT("'Yr2'!"&amp;ADDRESS(ROW(I184),COLUMN(I184))),INDIRECT("'Yr3'!"&amp;ADDRESS(ROW(I184),COLUMN(I184)))),
IF(I170=0,0,-PMT(INDEX(Lookups!$E$17:$G$17,MATCH($C$4,Lookups!$E$14:$G$14,0)),I170,SUMIFS('EE Inputs'!$W$9:$W$32,'EE Inputs'!$C$9:$C$32,$G$6,'EE Inputs'!$D$9:$D$32,$C$4,'EE Inputs'!$E$9:$E$32,$B184),0,1)))</f>
        <v>13924.149479213598</v>
      </c>
      <c r="J184" s="65">
        <f ca="1">IF($C$4=Lookups!$D$40,SUM(INDIRECT("'Yr1'!"&amp;ADDRESS(ROW(J184),COLUMN(J184))),INDIRECT("'Yr2'!"&amp;ADDRESS(ROW(J184),COLUMN(J184))),INDIRECT("'Yr3'!"&amp;ADDRESS(ROW(J184),COLUMN(J184)))),
IF(J170=0,0,-PMT(INDEX(Lookups!$E$17:$G$17,MATCH($C$4,Lookups!$E$14:$G$14,0)),J170,SUMIFS('EE Inputs'!$W$9:$W$32,'EE Inputs'!$C$9:$C$32,$G$6,'EE Inputs'!$D$9:$D$32,$C$4,'EE Inputs'!$E$9:$E$32,$B184),0,1)))</f>
        <v>13924.149479213598</v>
      </c>
      <c r="K184" s="65">
        <f ca="1">IF($C$4=Lookups!$D$40,SUM(INDIRECT("'Yr1'!"&amp;ADDRESS(ROW(K184),COLUMN(K184))),INDIRECT("'Yr2'!"&amp;ADDRESS(ROW(K184),COLUMN(K184))),INDIRECT("'Yr3'!"&amp;ADDRESS(ROW(K184),COLUMN(K184)))),
IF(K170=0,0,-PMT(INDEX(Lookups!$E$17:$G$17,MATCH($C$4,Lookups!$E$14:$G$14,0)),K170,SUMIFS('EE Inputs'!$W$9:$W$32,'EE Inputs'!$C$9:$C$32,$G$6,'EE Inputs'!$D$9:$D$32,$C$4,'EE Inputs'!$E$9:$E$32,$B184),0,1)))</f>
        <v>13924.149479213598</v>
      </c>
      <c r="L184" s="65">
        <f ca="1">IF($C$4=Lookups!$D$40,SUM(INDIRECT("'Yr1'!"&amp;ADDRESS(ROW(L184),COLUMN(L184))),INDIRECT("'Yr2'!"&amp;ADDRESS(ROW(L184),COLUMN(L184))),INDIRECT("'Yr3'!"&amp;ADDRESS(ROW(L184),COLUMN(L184)))),
IF(L170=0,0,-PMT(INDEX(Lookups!$E$17:$G$17,MATCH($C$4,Lookups!$E$14:$G$14,0)),L170,SUMIFS('EE Inputs'!$W$9:$W$32,'EE Inputs'!$C$9:$C$32,$G$6,'EE Inputs'!$D$9:$D$32,$C$4,'EE Inputs'!$E$9:$E$32,$B184),0,1)))</f>
        <v>13924.149479213598</v>
      </c>
      <c r="M184" s="65">
        <f ca="1">IF($C$4=Lookups!$D$40,SUM(INDIRECT("'Yr1'!"&amp;ADDRESS(ROW(M184),COLUMN(M184))),INDIRECT("'Yr2'!"&amp;ADDRESS(ROW(M184),COLUMN(M184))),INDIRECT("'Yr3'!"&amp;ADDRESS(ROW(M184),COLUMN(M184)))),
IF(M170=0,0,-PMT(INDEX(Lookups!$E$17:$G$17,MATCH($C$4,Lookups!$E$14:$G$14,0)),M170,SUMIFS('EE Inputs'!$W$9:$W$32,'EE Inputs'!$C$9:$C$32,$G$6,'EE Inputs'!$D$9:$D$32,$C$4,'EE Inputs'!$E$9:$E$32,$B184),0,1)))</f>
        <v>13924.149479213598</v>
      </c>
      <c r="N184" s="65">
        <f ca="1">IF($C$4=Lookups!$D$40,SUM(INDIRECT("'Yr1'!"&amp;ADDRESS(ROW(N184),COLUMN(N184))),INDIRECT("'Yr2'!"&amp;ADDRESS(ROW(N184),COLUMN(N184))),INDIRECT("'Yr3'!"&amp;ADDRESS(ROW(N184),COLUMN(N184)))),
IF(N170=0,0,-PMT(INDEX(Lookups!$E$17:$G$17,MATCH($C$4,Lookups!$E$14:$G$14,0)),N170,SUMIFS('EE Inputs'!$W$9:$W$32,'EE Inputs'!$C$9:$C$32,$G$6,'EE Inputs'!$D$9:$D$32,$C$4,'EE Inputs'!$E$9:$E$32,$B184),0,1)))</f>
        <v>13924.149479213598</v>
      </c>
      <c r="O184" s="65">
        <f ca="1">IF($C$4=Lookups!$D$40,SUM(INDIRECT("'Yr1'!"&amp;ADDRESS(ROW(O184),COLUMN(O184))),INDIRECT("'Yr2'!"&amp;ADDRESS(ROW(O184),COLUMN(O184))),INDIRECT("'Yr3'!"&amp;ADDRESS(ROW(O184),COLUMN(O184)))),
IF(O170=0,0,-PMT(INDEX(Lookups!$E$17:$G$17,MATCH($C$4,Lookups!$E$14:$G$14,0)),O170,SUMIFS('EE Inputs'!$W$9:$W$32,'EE Inputs'!$C$9:$C$32,$G$6,'EE Inputs'!$D$9:$D$32,$C$4,'EE Inputs'!$E$9:$E$32,$B184),0,1)))</f>
        <v>13924.149479213598</v>
      </c>
      <c r="P184" s="65">
        <f ca="1">IF($C$4=Lookups!$D$40,SUM(INDIRECT("'Yr1'!"&amp;ADDRESS(ROW(P184),COLUMN(P184))),INDIRECT("'Yr2'!"&amp;ADDRESS(ROW(P184),COLUMN(P184))),INDIRECT("'Yr3'!"&amp;ADDRESS(ROW(P184),COLUMN(P184)))),
IF(P170=0,0,-PMT(INDEX(Lookups!$E$17:$G$17,MATCH($C$4,Lookups!$E$14:$G$14,0)),P170,SUMIFS('EE Inputs'!$W$9:$W$32,'EE Inputs'!$C$9:$C$32,$G$6,'EE Inputs'!$D$9:$D$32,$C$4,'EE Inputs'!$E$9:$E$32,$B184),0,1)))</f>
        <v>13924.149479213598</v>
      </c>
      <c r="Q184" s="65">
        <f ca="1">IF($C$4=Lookups!$D$40,SUM(INDIRECT("'Yr1'!"&amp;ADDRESS(ROW(Q184),COLUMN(Q184))),INDIRECT("'Yr2'!"&amp;ADDRESS(ROW(Q184),COLUMN(Q184))),INDIRECT("'Yr3'!"&amp;ADDRESS(ROW(Q184),COLUMN(Q184)))),
IF(Q170=0,0,-PMT(INDEX(Lookups!$E$17:$G$17,MATCH($C$4,Lookups!$E$14:$G$14,0)),Q170,SUMIFS('EE Inputs'!$W$9:$W$32,'EE Inputs'!$C$9:$C$32,$G$6,'EE Inputs'!$D$9:$D$32,$C$4,'EE Inputs'!$E$9:$E$32,$B184),0,1)))</f>
        <v>13924.149479213598</v>
      </c>
      <c r="R184" s="65">
        <f ca="1">IF($C$4=Lookups!$D$40,SUM(INDIRECT("'Yr1'!"&amp;ADDRESS(ROW(R184),COLUMN(R184))),INDIRECT("'Yr2'!"&amp;ADDRESS(ROW(R184),COLUMN(R184))),INDIRECT("'Yr3'!"&amp;ADDRESS(ROW(R184),COLUMN(R184)))),
IF(R170=0,0,-PMT(INDEX(Lookups!$E$17:$G$17,MATCH($C$4,Lookups!$E$14:$G$14,0)),R170,SUMIFS('EE Inputs'!$W$9:$W$32,'EE Inputs'!$C$9:$C$32,$G$6,'EE Inputs'!$D$9:$D$32,$C$4,'EE Inputs'!$E$9:$E$32,$B184),0,1)))</f>
        <v>13924.149479213598</v>
      </c>
      <c r="S184" s="65">
        <f ca="1">IF($C$4=Lookups!$D$40,SUM(INDIRECT("'Yr1'!"&amp;ADDRESS(ROW(S184),COLUMN(S184))),INDIRECT("'Yr2'!"&amp;ADDRESS(ROW(S184),COLUMN(S184))),INDIRECT("'Yr3'!"&amp;ADDRESS(ROW(S184),COLUMN(S184)))),
IF(S170=0,0,-PMT(INDEX(Lookups!$E$17:$G$17,MATCH($C$4,Lookups!$E$14:$G$14,0)),S170,SUMIFS('EE Inputs'!$W$9:$W$32,'EE Inputs'!$C$9:$C$32,$G$6,'EE Inputs'!$D$9:$D$32,$C$4,'EE Inputs'!$E$9:$E$32,$B184),0,1)))</f>
        <v>13924.149479213598</v>
      </c>
      <c r="T184" s="65">
        <f ca="1">IF($C$4=Lookups!$D$40,SUM(INDIRECT("'Yr1'!"&amp;ADDRESS(ROW(T184),COLUMN(T184))),INDIRECT("'Yr2'!"&amp;ADDRESS(ROW(T184),COLUMN(T184))),INDIRECT("'Yr3'!"&amp;ADDRESS(ROW(T184),COLUMN(T184)))),
IF(T170=0,0,-PMT(INDEX(Lookups!$E$17:$G$17,MATCH($C$4,Lookups!$E$14:$G$14,0)),T170,SUMIFS('EE Inputs'!$W$9:$W$32,'EE Inputs'!$C$9:$C$32,$G$6,'EE Inputs'!$D$9:$D$32,$C$4,'EE Inputs'!$E$9:$E$32,$B184),0,1)))</f>
        <v>13924.149479213598</v>
      </c>
      <c r="U184" s="65">
        <f ca="1">IF($C$4=Lookups!$D$40,SUM(INDIRECT("'Yr1'!"&amp;ADDRESS(ROW(U184),COLUMN(U184))),INDIRECT("'Yr2'!"&amp;ADDRESS(ROW(U184),COLUMN(U184))),INDIRECT("'Yr3'!"&amp;ADDRESS(ROW(U184),COLUMN(U184)))),
IF(U170=0,0,-PMT(INDEX(Lookups!$E$17:$G$17,MATCH($C$4,Lookups!$E$14:$G$14,0)),U170,SUMIFS('EE Inputs'!$W$9:$W$32,'EE Inputs'!$C$9:$C$32,$G$6,'EE Inputs'!$D$9:$D$32,$C$4,'EE Inputs'!$E$9:$E$32,$B184),0,1)))</f>
        <v>13924.149479213598</v>
      </c>
      <c r="V184" s="65">
        <f ca="1">IF($C$4=Lookups!$D$40,SUM(INDIRECT("'Yr1'!"&amp;ADDRESS(ROW(V184),COLUMN(V184))),INDIRECT("'Yr2'!"&amp;ADDRESS(ROW(V184),COLUMN(V184))),INDIRECT("'Yr3'!"&amp;ADDRESS(ROW(V184),COLUMN(V184)))),
IF(V170=0,0,-PMT(INDEX(Lookups!$E$17:$G$17,MATCH($C$4,Lookups!$E$14:$G$14,0)),V170,SUMIFS('EE Inputs'!$W$9:$W$32,'EE Inputs'!$C$9:$C$32,$G$6,'EE Inputs'!$D$9:$D$32,$C$4,'EE Inputs'!$E$9:$E$32,$B184),0,1)))</f>
        <v>13924.149479213598</v>
      </c>
      <c r="W184" s="65">
        <f ca="1">IF($C$4=Lookups!$D$40,SUM(INDIRECT("'Yr1'!"&amp;ADDRESS(ROW(W184),COLUMN(W184))),INDIRECT("'Yr2'!"&amp;ADDRESS(ROW(W184),COLUMN(W184))),INDIRECT("'Yr3'!"&amp;ADDRESS(ROW(W184),COLUMN(W184)))),
IF(W170=0,0,-PMT(INDEX(Lookups!$E$17:$G$17,MATCH($C$4,Lookups!$E$14:$G$14,0)),W170,SUMIFS('EE Inputs'!$W$9:$W$32,'EE Inputs'!$C$9:$C$32,$G$6,'EE Inputs'!$D$9:$D$32,$C$4,'EE Inputs'!$E$9:$E$32,$B184),0,1)))</f>
        <v>0</v>
      </c>
      <c r="X184" s="65">
        <f ca="1">IF($C$4=Lookups!$D$40,SUM(INDIRECT("'Yr1'!"&amp;ADDRESS(ROW(X184),COLUMN(X184))),INDIRECT("'Yr2'!"&amp;ADDRESS(ROW(X184),COLUMN(X184))),INDIRECT("'Yr3'!"&amp;ADDRESS(ROW(X184),COLUMN(X184)))),
IF(X170=0,0,-PMT(INDEX(Lookups!$E$17:$G$17,MATCH($C$4,Lookups!$E$14:$G$14,0)),X170,SUMIFS('EE Inputs'!$W$9:$W$32,'EE Inputs'!$C$9:$C$32,$G$6,'EE Inputs'!$D$9:$D$32,$C$4,'EE Inputs'!$E$9:$E$32,$B184),0,1)))</f>
        <v>0</v>
      </c>
      <c r="Y184" s="65">
        <f ca="1">IF($C$4=Lookups!$D$40,SUM(INDIRECT("'Yr1'!"&amp;ADDRESS(ROW(Y184),COLUMN(Y184))),INDIRECT("'Yr2'!"&amp;ADDRESS(ROW(Y184),COLUMN(Y184))),INDIRECT("'Yr3'!"&amp;ADDRESS(ROW(Y184),COLUMN(Y184)))),
IF(Y170=0,0,-PMT(INDEX(Lookups!$E$17:$G$17,MATCH($C$4,Lookups!$E$14:$G$14,0)),Y170,SUMIFS('EE Inputs'!$W$9:$W$32,'EE Inputs'!$C$9:$C$32,$G$6,'EE Inputs'!$D$9:$D$32,$C$4,'EE Inputs'!$E$9:$E$32,$B184),0,1)))</f>
        <v>0</v>
      </c>
      <c r="Z184" s="65">
        <f ca="1">IF($C$4=Lookups!$D$40,SUM(INDIRECT("'Yr1'!"&amp;ADDRESS(ROW(Z184),COLUMN(Z184))),INDIRECT("'Yr2'!"&amp;ADDRESS(ROW(Z184),COLUMN(Z184))),INDIRECT("'Yr3'!"&amp;ADDRESS(ROW(Z184),COLUMN(Z184)))),
IF(Z170=0,0,-PMT(INDEX(Lookups!$E$17:$G$17,MATCH($C$4,Lookups!$E$14:$G$14,0)),Z170,SUMIFS('EE Inputs'!$W$9:$W$32,'EE Inputs'!$C$9:$C$32,$G$6,'EE Inputs'!$D$9:$D$32,$C$4,'EE Inputs'!$E$9:$E$32,$B184),0,1)))</f>
        <v>0</v>
      </c>
      <c r="AA184" s="65">
        <f ca="1">IF($C$4=Lookups!$D$40,SUM(INDIRECT("'Yr1'!"&amp;ADDRESS(ROW(AA184),COLUMN(AA184))),INDIRECT("'Yr2'!"&amp;ADDRESS(ROW(AA184),COLUMN(AA184))),INDIRECT("'Yr3'!"&amp;ADDRESS(ROW(AA184),COLUMN(AA184)))),
IF(AA170=0,0,-PMT(INDEX(Lookups!$E$17:$G$17,MATCH($C$4,Lookups!$E$14:$G$14,0)),AA170,SUMIFS('EE Inputs'!$W$9:$W$32,'EE Inputs'!$C$9:$C$32,$G$6,'EE Inputs'!$D$9:$D$32,$C$4,'EE Inputs'!$E$9:$E$32,$B184),0,1)))</f>
        <v>0</v>
      </c>
      <c r="AB184" s="65">
        <f ca="1">IF($C$4=Lookups!$D$40,SUM(INDIRECT("'Yr1'!"&amp;ADDRESS(ROW(AB184),COLUMN(AB184))),INDIRECT("'Yr2'!"&amp;ADDRESS(ROW(AB184),COLUMN(AB184))),INDIRECT("'Yr3'!"&amp;ADDRESS(ROW(AB184),COLUMN(AB184)))),
IF(AB170=0,0,-PMT(INDEX(Lookups!$E$17:$G$17,MATCH($C$4,Lookups!$E$14:$G$14,0)),AB170,SUMIFS('EE Inputs'!$W$9:$W$32,'EE Inputs'!$C$9:$C$32,$G$6,'EE Inputs'!$D$9:$D$32,$C$4,'EE Inputs'!$E$9:$E$32,$B184),0,1)))</f>
        <v>0</v>
      </c>
      <c r="AC184" s="65">
        <f ca="1">IF($C$4=Lookups!$D$40,SUM(INDIRECT("'Yr1'!"&amp;ADDRESS(ROW(AC184),COLUMN(AC184))),INDIRECT("'Yr2'!"&amp;ADDRESS(ROW(AC184),COLUMN(AC184))),INDIRECT("'Yr3'!"&amp;ADDRESS(ROW(AC184),COLUMN(AC184)))),
IF(AC170=0,0,-PMT(INDEX(Lookups!$E$17:$G$17,MATCH($C$4,Lookups!$E$14:$G$14,0)),AC170,SUMIFS('EE Inputs'!$W$9:$W$32,'EE Inputs'!$C$9:$C$32,$G$6,'EE Inputs'!$D$9:$D$32,$C$4,'EE Inputs'!$E$9:$E$32,$B184),0,1)))</f>
        <v>0</v>
      </c>
      <c r="AD184" s="65">
        <f ca="1">IF($C$4=Lookups!$D$40,SUM(INDIRECT("'Yr1'!"&amp;ADDRESS(ROW(AD184),COLUMN(AD184))),INDIRECT("'Yr2'!"&amp;ADDRESS(ROW(AD184),COLUMN(AD184))),INDIRECT("'Yr3'!"&amp;ADDRESS(ROW(AD184),COLUMN(AD184)))),
IF(AD170=0,0,-PMT(INDEX(Lookups!$E$17:$G$17,MATCH($C$4,Lookups!$E$14:$G$14,0)),AD170,SUMIFS('EE Inputs'!$W$9:$W$32,'EE Inputs'!$C$9:$C$32,$G$6,'EE Inputs'!$D$9:$D$32,$C$4,'EE Inputs'!$E$9:$E$32,$B184),0,1)))</f>
        <v>0</v>
      </c>
      <c r="AE184" s="65">
        <f ca="1">IF($C$4=Lookups!$D$40,SUM(INDIRECT("'Yr1'!"&amp;ADDRESS(ROW(AE184),COLUMN(AE184))),INDIRECT("'Yr2'!"&amp;ADDRESS(ROW(AE184),COLUMN(AE184))),INDIRECT("'Yr3'!"&amp;ADDRESS(ROW(AE184),COLUMN(AE184)))),
IF(AE170=0,0,-PMT(INDEX(Lookups!$E$17:$G$17,MATCH($C$4,Lookups!$E$14:$G$14,0)),AE170,SUMIFS('EE Inputs'!$W$9:$W$32,'EE Inputs'!$C$9:$C$32,$G$6,'EE Inputs'!$D$9:$D$32,$C$4,'EE Inputs'!$E$9:$E$32,$B184),0,1)))</f>
        <v>0</v>
      </c>
      <c r="AF184" s="65">
        <f ca="1">IF($C$4=Lookups!$D$40,SUM(INDIRECT("'Yr1'!"&amp;ADDRESS(ROW(AF184),COLUMN(AF184))),INDIRECT("'Yr2'!"&amp;ADDRESS(ROW(AF184),COLUMN(AF184))),INDIRECT("'Yr3'!"&amp;ADDRESS(ROW(AF184),COLUMN(AF184)))),
IF(AF170=0,0,-PMT(INDEX(Lookups!$E$17:$G$17,MATCH($C$4,Lookups!$E$14:$G$14,0)),AF170,SUMIFS('EE Inputs'!$W$9:$W$32,'EE Inputs'!$C$9:$C$32,$G$6,'EE Inputs'!$D$9:$D$32,$C$4,'EE Inputs'!$E$9:$E$32,$B184),0,1)))</f>
        <v>0</v>
      </c>
      <c r="AG184" s="65">
        <f ca="1">IF($C$4=Lookups!$D$40,SUM(INDIRECT("'Yr1'!"&amp;ADDRESS(ROW(AG184),COLUMN(AG184))),INDIRECT("'Yr2'!"&amp;ADDRESS(ROW(AG184),COLUMN(AG184))),INDIRECT("'Yr3'!"&amp;ADDRESS(ROW(AG184),COLUMN(AG184)))),
IF(AG170=0,0,-PMT(INDEX(Lookups!$E$17:$G$17,MATCH($C$4,Lookups!$E$14:$G$14,0)),AG170,SUMIFS('EE Inputs'!$W$9:$W$32,'EE Inputs'!$C$9:$C$32,$G$6,'EE Inputs'!$D$9:$D$32,$C$4,'EE Inputs'!$E$9:$E$32,$B184),0,1)))</f>
        <v>0</v>
      </c>
      <c r="AH184" s="65"/>
      <c r="AI184" s="65">
        <f ca="1">NPV(Lookups!$E$17,G184:AG184)</f>
        <v>198130.67069383198</v>
      </c>
      <c r="AJ184" s="65"/>
      <c r="AM184" s="72">
        <f ca="1">IF($C$4=Lookups!$D$40,SUM(INDIRECT("'Yr1'!"&amp;ADDRESS(ROW(AM184),COLUMN(AM184))),INDIRECT("'Yr2'!"&amp;ADDRESS(ROW(AM184),COLUMN(AM184))),INDIRECT("'Yr3'!"&amp;ADDRESS(ROW(AM184),COLUMN(AM184)))),
IF(AM170=0,0,-PMT(INDEX(Lookups!$E$17:$G$17,MATCH($C$4,Lookups!$E$14:$G$14,0)),AM170,SUMIFS('EE Inputs'!$W$9:$W$32,'EE Inputs'!$C$9:$C$32,$AM$6,'EE Inputs'!$D$9:$D$32,$C$4,'EE Inputs'!$E$9:$E$32,$B184),0,1)))</f>
        <v>15913.313690529827</v>
      </c>
      <c r="AN184" s="72">
        <f ca="1">IF($C$4=Lookups!$D$40,SUM(INDIRECT("'Yr1'!"&amp;ADDRESS(ROW(AN184),COLUMN(AN184))),INDIRECT("'Yr2'!"&amp;ADDRESS(ROW(AN184),COLUMN(AN184))),INDIRECT("'Yr3'!"&amp;ADDRESS(ROW(AN184),COLUMN(AN184)))),
IF(AN170=0,0,-PMT(INDEX(Lookups!$E$17:$G$17,MATCH($C$4,Lookups!$E$14:$G$14,0)),AN170,SUMIFS('EE Inputs'!$W$9:$W$32,'EE Inputs'!$C$9:$C$32,$AM$6,'EE Inputs'!$D$9:$D$32,$C$4,'EE Inputs'!$E$9:$E$32,$B184),0,1)))</f>
        <v>15913.313690529827</v>
      </c>
      <c r="AO184" s="72">
        <f ca="1">IF($C$4=Lookups!$D$40,SUM(INDIRECT("'Yr1'!"&amp;ADDRESS(ROW(AO184),COLUMN(AO184))),INDIRECT("'Yr2'!"&amp;ADDRESS(ROW(AO184),COLUMN(AO184))),INDIRECT("'Yr3'!"&amp;ADDRESS(ROW(AO184),COLUMN(AO184)))),
IF(AO170=0,0,-PMT(INDEX(Lookups!$E$17:$G$17,MATCH($C$4,Lookups!$E$14:$G$14,0)),AO170,SUMIFS('EE Inputs'!$W$9:$W$32,'EE Inputs'!$C$9:$C$32,$AM$6,'EE Inputs'!$D$9:$D$32,$C$4,'EE Inputs'!$E$9:$E$32,$B184),0,1)))</f>
        <v>15913.313690529827</v>
      </c>
      <c r="AP184" s="72">
        <f ca="1">IF($C$4=Lookups!$D$40,SUM(INDIRECT("'Yr1'!"&amp;ADDRESS(ROW(AP184),COLUMN(AP184))),INDIRECT("'Yr2'!"&amp;ADDRESS(ROW(AP184),COLUMN(AP184))),INDIRECT("'Yr3'!"&amp;ADDRESS(ROW(AP184),COLUMN(AP184)))),
IF(AP170=0,0,-PMT(INDEX(Lookups!$E$17:$G$17,MATCH($C$4,Lookups!$E$14:$G$14,0)),AP170,SUMIFS('EE Inputs'!$W$9:$W$32,'EE Inputs'!$C$9:$C$32,$AM$6,'EE Inputs'!$D$9:$D$32,$C$4,'EE Inputs'!$E$9:$E$32,$B184),0,1)))</f>
        <v>15913.313690529827</v>
      </c>
      <c r="AQ184" s="72">
        <f ca="1">IF($C$4=Lookups!$D$40,SUM(INDIRECT("'Yr1'!"&amp;ADDRESS(ROW(AQ184),COLUMN(AQ184))),INDIRECT("'Yr2'!"&amp;ADDRESS(ROW(AQ184),COLUMN(AQ184))),INDIRECT("'Yr3'!"&amp;ADDRESS(ROW(AQ184),COLUMN(AQ184)))),
IF(AQ170=0,0,-PMT(INDEX(Lookups!$E$17:$G$17,MATCH($C$4,Lookups!$E$14:$G$14,0)),AQ170,SUMIFS('EE Inputs'!$W$9:$W$32,'EE Inputs'!$C$9:$C$32,$AM$6,'EE Inputs'!$D$9:$D$32,$C$4,'EE Inputs'!$E$9:$E$32,$B184),0,1)))</f>
        <v>15913.313690529827</v>
      </c>
      <c r="AR184" s="72">
        <f ca="1">IF($C$4=Lookups!$D$40,SUM(INDIRECT("'Yr1'!"&amp;ADDRESS(ROW(AR184),COLUMN(AR184))),INDIRECT("'Yr2'!"&amp;ADDRESS(ROW(AR184),COLUMN(AR184))),INDIRECT("'Yr3'!"&amp;ADDRESS(ROW(AR184),COLUMN(AR184)))),
IF(AR170=0,0,-PMT(INDEX(Lookups!$E$17:$G$17,MATCH($C$4,Lookups!$E$14:$G$14,0)),AR170,SUMIFS('EE Inputs'!$W$9:$W$32,'EE Inputs'!$C$9:$C$32,$AM$6,'EE Inputs'!$D$9:$D$32,$C$4,'EE Inputs'!$E$9:$E$32,$B184),0,1)))</f>
        <v>15913.313690529827</v>
      </c>
      <c r="AS184" s="72">
        <f ca="1">IF($C$4=Lookups!$D$40,SUM(INDIRECT("'Yr1'!"&amp;ADDRESS(ROW(AS184),COLUMN(AS184))),INDIRECT("'Yr2'!"&amp;ADDRESS(ROW(AS184),COLUMN(AS184))),INDIRECT("'Yr3'!"&amp;ADDRESS(ROW(AS184),COLUMN(AS184)))),
IF(AS170=0,0,-PMT(INDEX(Lookups!$E$17:$G$17,MATCH($C$4,Lookups!$E$14:$G$14,0)),AS170,SUMIFS('EE Inputs'!$W$9:$W$32,'EE Inputs'!$C$9:$C$32,$AM$6,'EE Inputs'!$D$9:$D$32,$C$4,'EE Inputs'!$E$9:$E$32,$B184),0,1)))</f>
        <v>15913.313690529827</v>
      </c>
      <c r="AT184" s="72">
        <f ca="1">IF($C$4=Lookups!$D$40,SUM(INDIRECT("'Yr1'!"&amp;ADDRESS(ROW(AT184),COLUMN(AT184))),INDIRECT("'Yr2'!"&amp;ADDRESS(ROW(AT184),COLUMN(AT184))),INDIRECT("'Yr3'!"&amp;ADDRESS(ROW(AT184),COLUMN(AT184)))),
IF(AT170=0,0,-PMT(INDEX(Lookups!$E$17:$G$17,MATCH($C$4,Lookups!$E$14:$G$14,0)),AT170,SUMIFS('EE Inputs'!$W$9:$W$32,'EE Inputs'!$C$9:$C$32,$AM$6,'EE Inputs'!$D$9:$D$32,$C$4,'EE Inputs'!$E$9:$E$32,$B184),0,1)))</f>
        <v>15913.313690529827</v>
      </c>
      <c r="AU184" s="72">
        <f ca="1">IF($C$4=Lookups!$D$40,SUM(INDIRECT("'Yr1'!"&amp;ADDRESS(ROW(AU184),COLUMN(AU184))),INDIRECT("'Yr2'!"&amp;ADDRESS(ROW(AU184),COLUMN(AU184))),INDIRECT("'Yr3'!"&amp;ADDRESS(ROW(AU184),COLUMN(AU184)))),
IF(AU170=0,0,-PMT(INDEX(Lookups!$E$17:$G$17,MATCH($C$4,Lookups!$E$14:$G$14,0)),AU170,SUMIFS('EE Inputs'!$W$9:$W$32,'EE Inputs'!$C$9:$C$32,$AM$6,'EE Inputs'!$D$9:$D$32,$C$4,'EE Inputs'!$E$9:$E$32,$B184),0,1)))</f>
        <v>15913.313690529827</v>
      </c>
      <c r="AV184" s="72">
        <f ca="1">IF($C$4=Lookups!$D$40,SUM(INDIRECT("'Yr1'!"&amp;ADDRESS(ROW(AV184),COLUMN(AV184))),INDIRECT("'Yr2'!"&amp;ADDRESS(ROW(AV184),COLUMN(AV184))),INDIRECT("'Yr3'!"&amp;ADDRESS(ROW(AV184),COLUMN(AV184)))),
IF(AV170=0,0,-PMT(INDEX(Lookups!$E$17:$G$17,MATCH($C$4,Lookups!$E$14:$G$14,0)),AV170,SUMIFS('EE Inputs'!$W$9:$W$32,'EE Inputs'!$C$9:$C$32,$AM$6,'EE Inputs'!$D$9:$D$32,$C$4,'EE Inputs'!$E$9:$E$32,$B184),0,1)))</f>
        <v>15913.313690529827</v>
      </c>
      <c r="AW184" s="72">
        <f ca="1">IF($C$4=Lookups!$D$40,SUM(INDIRECT("'Yr1'!"&amp;ADDRESS(ROW(AW184),COLUMN(AW184))),INDIRECT("'Yr2'!"&amp;ADDRESS(ROW(AW184),COLUMN(AW184))),INDIRECT("'Yr3'!"&amp;ADDRESS(ROW(AW184),COLUMN(AW184)))),
IF(AW170=0,0,-PMT(INDEX(Lookups!$E$17:$G$17,MATCH($C$4,Lookups!$E$14:$G$14,0)),AW170,SUMIFS('EE Inputs'!$W$9:$W$32,'EE Inputs'!$C$9:$C$32,$AM$6,'EE Inputs'!$D$9:$D$32,$C$4,'EE Inputs'!$E$9:$E$32,$B184),0,1)))</f>
        <v>15913.313690529827</v>
      </c>
      <c r="AX184" s="72">
        <f ca="1">IF($C$4=Lookups!$D$40,SUM(INDIRECT("'Yr1'!"&amp;ADDRESS(ROW(AX184),COLUMN(AX184))),INDIRECT("'Yr2'!"&amp;ADDRESS(ROW(AX184),COLUMN(AX184))),INDIRECT("'Yr3'!"&amp;ADDRESS(ROW(AX184),COLUMN(AX184)))),
IF(AX170=0,0,-PMT(INDEX(Lookups!$E$17:$G$17,MATCH($C$4,Lookups!$E$14:$G$14,0)),AX170,SUMIFS('EE Inputs'!$W$9:$W$32,'EE Inputs'!$C$9:$C$32,$AM$6,'EE Inputs'!$D$9:$D$32,$C$4,'EE Inputs'!$E$9:$E$32,$B184),0,1)))</f>
        <v>15913.313690529827</v>
      </c>
      <c r="AY184" s="72">
        <f ca="1">IF($C$4=Lookups!$D$40,SUM(INDIRECT("'Yr1'!"&amp;ADDRESS(ROW(AY184),COLUMN(AY184))),INDIRECT("'Yr2'!"&amp;ADDRESS(ROW(AY184),COLUMN(AY184))),INDIRECT("'Yr3'!"&amp;ADDRESS(ROW(AY184),COLUMN(AY184)))),
IF(AY170=0,0,-PMT(INDEX(Lookups!$E$17:$G$17,MATCH($C$4,Lookups!$E$14:$G$14,0)),AY170,SUMIFS('EE Inputs'!$W$9:$W$32,'EE Inputs'!$C$9:$C$32,$AM$6,'EE Inputs'!$D$9:$D$32,$C$4,'EE Inputs'!$E$9:$E$32,$B184),0,1)))</f>
        <v>15913.313690529827</v>
      </c>
      <c r="AZ184" s="72">
        <f ca="1">IF($C$4=Lookups!$D$40,SUM(INDIRECT("'Yr1'!"&amp;ADDRESS(ROW(AZ184),COLUMN(AZ184))),INDIRECT("'Yr2'!"&amp;ADDRESS(ROW(AZ184),COLUMN(AZ184))),INDIRECT("'Yr3'!"&amp;ADDRESS(ROW(AZ184),COLUMN(AZ184)))),
IF(AZ170=0,0,-PMT(INDEX(Lookups!$E$17:$G$17,MATCH($C$4,Lookups!$E$14:$G$14,0)),AZ170,SUMIFS('EE Inputs'!$W$9:$W$32,'EE Inputs'!$C$9:$C$32,$AM$6,'EE Inputs'!$D$9:$D$32,$C$4,'EE Inputs'!$E$9:$E$32,$B184),0,1)))</f>
        <v>15913.313690529827</v>
      </c>
      <c r="BA184" s="72">
        <f ca="1">IF($C$4=Lookups!$D$40,SUM(INDIRECT("'Yr1'!"&amp;ADDRESS(ROW(BA184),COLUMN(BA184))),INDIRECT("'Yr2'!"&amp;ADDRESS(ROW(BA184),COLUMN(BA184))),INDIRECT("'Yr3'!"&amp;ADDRESS(ROW(BA184),COLUMN(BA184)))),
IF(BA170=0,0,-PMT(INDEX(Lookups!$E$17:$G$17,MATCH($C$4,Lookups!$E$14:$G$14,0)),BA170,SUMIFS('EE Inputs'!$W$9:$W$32,'EE Inputs'!$C$9:$C$32,$AM$6,'EE Inputs'!$D$9:$D$32,$C$4,'EE Inputs'!$E$9:$E$32,$B184),0,1)))</f>
        <v>15913.313690529827</v>
      </c>
      <c r="BB184" s="72">
        <f ca="1">IF($C$4=Lookups!$D$40,SUM(INDIRECT("'Yr1'!"&amp;ADDRESS(ROW(BB184),COLUMN(BB184))),INDIRECT("'Yr2'!"&amp;ADDRESS(ROW(BB184),COLUMN(BB184))),INDIRECT("'Yr3'!"&amp;ADDRESS(ROW(BB184),COLUMN(BB184)))),
IF(BB170=0,0,-PMT(INDEX(Lookups!$E$17:$G$17,MATCH($C$4,Lookups!$E$14:$G$14,0)),BB170,SUMIFS('EE Inputs'!$W$9:$W$32,'EE Inputs'!$C$9:$C$32,$AM$6,'EE Inputs'!$D$9:$D$32,$C$4,'EE Inputs'!$E$9:$E$32,$B184),0,1)))</f>
        <v>15913.313690529827</v>
      </c>
      <c r="BC184" s="72">
        <f ca="1">IF($C$4=Lookups!$D$40,SUM(INDIRECT("'Yr1'!"&amp;ADDRESS(ROW(BC184),COLUMN(BC184))),INDIRECT("'Yr2'!"&amp;ADDRESS(ROW(BC184),COLUMN(BC184))),INDIRECT("'Yr3'!"&amp;ADDRESS(ROW(BC184),COLUMN(BC184)))),
IF(BC170=0,0,-PMT(INDEX(Lookups!$E$17:$G$17,MATCH($C$4,Lookups!$E$14:$G$14,0)),BC170,SUMIFS('EE Inputs'!$W$9:$W$32,'EE Inputs'!$C$9:$C$32,$AM$6,'EE Inputs'!$D$9:$D$32,$C$4,'EE Inputs'!$E$9:$E$32,$B184),0,1)))</f>
        <v>0</v>
      </c>
      <c r="BD184" s="72">
        <f ca="1">IF($C$4=Lookups!$D$40,SUM(INDIRECT("'Yr1'!"&amp;ADDRESS(ROW(BD184),COLUMN(BD184))),INDIRECT("'Yr2'!"&amp;ADDRESS(ROW(BD184),COLUMN(BD184))),INDIRECT("'Yr3'!"&amp;ADDRESS(ROW(BD184),COLUMN(BD184)))),
IF(BD170=0,0,-PMT(INDEX(Lookups!$E$17:$G$17,MATCH($C$4,Lookups!$E$14:$G$14,0)),BD170,SUMIFS('EE Inputs'!$W$9:$W$32,'EE Inputs'!$C$9:$C$32,$AM$6,'EE Inputs'!$D$9:$D$32,$C$4,'EE Inputs'!$E$9:$E$32,$B184),0,1)))</f>
        <v>0</v>
      </c>
      <c r="BE184" s="72">
        <f ca="1">IF($C$4=Lookups!$D$40,SUM(INDIRECT("'Yr1'!"&amp;ADDRESS(ROW(BE184),COLUMN(BE184))),INDIRECT("'Yr2'!"&amp;ADDRESS(ROW(BE184),COLUMN(BE184))),INDIRECT("'Yr3'!"&amp;ADDRESS(ROW(BE184),COLUMN(BE184)))),
IF(BE170=0,0,-PMT(INDEX(Lookups!$E$17:$G$17,MATCH($C$4,Lookups!$E$14:$G$14,0)),BE170,SUMIFS('EE Inputs'!$W$9:$W$32,'EE Inputs'!$C$9:$C$32,$AM$6,'EE Inputs'!$D$9:$D$32,$C$4,'EE Inputs'!$E$9:$E$32,$B184),0,1)))</f>
        <v>0</v>
      </c>
      <c r="BF184" s="72">
        <f ca="1">IF($C$4=Lookups!$D$40,SUM(INDIRECT("'Yr1'!"&amp;ADDRESS(ROW(BF184),COLUMN(BF184))),INDIRECT("'Yr2'!"&amp;ADDRESS(ROW(BF184),COLUMN(BF184))),INDIRECT("'Yr3'!"&amp;ADDRESS(ROW(BF184),COLUMN(BF184)))),
IF(BF170=0,0,-PMT(INDEX(Lookups!$E$17:$G$17,MATCH($C$4,Lookups!$E$14:$G$14,0)),BF170,SUMIFS('EE Inputs'!$W$9:$W$32,'EE Inputs'!$C$9:$C$32,$AM$6,'EE Inputs'!$D$9:$D$32,$C$4,'EE Inputs'!$E$9:$E$32,$B184),0,1)))</f>
        <v>0</v>
      </c>
      <c r="BG184" s="72">
        <f ca="1">IF($C$4=Lookups!$D$40,SUM(INDIRECT("'Yr1'!"&amp;ADDRESS(ROW(BG184),COLUMN(BG184))),INDIRECT("'Yr2'!"&amp;ADDRESS(ROW(BG184),COLUMN(BG184))),INDIRECT("'Yr3'!"&amp;ADDRESS(ROW(BG184),COLUMN(BG184)))),
IF(BG170=0,0,-PMT(INDEX(Lookups!$E$17:$G$17,MATCH($C$4,Lookups!$E$14:$G$14,0)),BG170,SUMIFS('EE Inputs'!$W$9:$W$32,'EE Inputs'!$C$9:$C$32,$AM$6,'EE Inputs'!$D$9:$D$32,$C$4,'EE Inputs'!$E$9:$E$32,$B184),0,1)))</f>
        <v>0</v>
      </c>
      <c r="BH184" s="72">
        <f ca="1">IF($C$4=Lookups!$D$40,SUM(INDIRECT("'Yr1'!"&amp;ADDRESS(ROW(BH184),COLUMN(BH184))),INDIRECT("'Yr2'!"&amp;ADDRESS(ROW(BH184),COLUMN(BH184))),INDIRECT("'Yr3'!"&amp;ADDRESS(ROW(BH184),COLUMN(BH184)))),
IF(BH170=0,0,-PMT(INDEX(Lookups!$E$17:$G$17,MATCH($C$4,Lookups!$E$14:$G$14,0)),BH170,SUMIFS('EE Inputs'!$W$9:$W$32,'EE Inputs'!$C$9:$C$32,$AM$6,'EE Inputs'!$D$9:$D$32,$C$4,'EE Inputs'!$E$9:$E$32,$B184),0,1)))</f>
        <v>0</v>
      </c>
      <c r="BI184" s="72">
        <f ca="1">IF($C$4=Lookups!$D$40,SUM(INDIRECT("'Yr1'!"&amp;ADDRESS(ROW(BI184),COLUMN(BI184))),INDIRECT("'Yr2'!"&amp;ADDRESS(ROW(BI184),COLUMN(BI184))),INDIRECT("'Yr3'!"&amp;ADDRESS(ROW(BI184),COLUMN(BI184)))),
IF(BI170=0,0,-PMT(INDEX(Lookups!$E$17:$G$17,MATCH($C$4,Lookups!$E$14:$G$14,0)),BI170,SUMIFS('EE Inputs'!$W$9:$W$32,'EE Inputs'!$C$9:$C$32,$AM$6,'EE Inputs'!$D$9:$D$32,$C$4,'EE Inputs'!$E$9:$E$32,$B184),0,1)))</f>
        <v>0</v>
      </c>
      <c r="BJ184" s="72">
        <f ca="1">IF($C$4=Lookups!$D$40,SUM(INDIRECT("'Yr1'!"&amp;ADDRESS(ROW(BJ184),COLUMN(BJ184))),INDIRECT("'Yr2'!"&amp;ADDRESS(ROW(BJ184),COLUMN(BJ184))),INDIRECT("'Yr3'!"&amp;ADDRESS(ROW(BJ184),COLUMN(BJ184)))),
IF(BJ170=0,0,-PMT(INDEX(Lookups!$E$17:$G$17,MATCH($C$4,Lookups!$E$14:$G$14,0)),BJ170,SUMIFS('EE Inputs'!$W$9:$W$32,'EE Inputs'!$C$9:$C$32,$AM$6,'EE Inputs'!$D$9:$D$32,$C$4,'EE Inputs'!$E$9:$E$32,$B184),0,1)))</f>
        <v>0</v>
      </c>
      <c r="BK184" s="72">
        <f ca="1">IF($C$4=Lookups!$D$40,SUM(INDIRECT("'Yr1'!"&amp;ADDRESS(ROW(BK184),COLUMN(BK184))),INDIRECT("'Yr2'!"&amp;ADDRESS(ROW(BK184),COLUMN(BK184))),INDIRECT("'Yr3'!"&amp;ADDRESS(ROW(BK184),COLUMN(BK184)))),
IF(BK170=0,0,-PMT(INDEX(Lookups!$E$17:$G$17,MATCH($C$4,Lookups!$E$14:$G$14,0)),BK170,SUMIFS('EE Inputs'!$W$9:$W$32,'EE Inputs'!$C$9:$C$32,$AM$6,'EE Inputs'!$D$9:$D$32,$C$4,'EE Inputs'!$E$9:$E$32,$B184),0,1)))</f>
        <v>0</v>
      </c>
      <c r="BL184" s="72">
        <f ca="1">IF($C$4=Lookups!$D$40,SUM(INDIRECT("'Yr1'!"&amp;ADDRESS(ROW(BL184),COLUMN(BL184))),INDIRECT("'Yr2'!"&amp;ADDRESS(ROW(BL184),COLUMN(BL184))),INDIRECT("'Yr3'!"&amp;ADDRESS(ROW(BL184),COLUMN(BL184)))),
IF(BL170=0,0,-PMT(INDEX(Lookups!$E$17:$G$17,MATCH($C$4,Lookups!$E$14:$G$14,0)),BL170,SUMIFS('EE Inputs'!$W$9:$W$32,'EE Inputs'!$C$9:$C$32,$AM$6,'EE Inputs'!$D$9:$D$32,$C$4,'EE Inputs'!$E$9:$E$32,$B184),0,1)))</f>
        <v>0</v>
      </c>
      <c r="BM184" s="72">
        <f ca="1">IF($C$4=Lookups!$D$40,SUM(INDIRECT("'Yr1'!"&amp;ADDRESS(ROW(BM184),COLUMN(BM184))),INDIRECT("'Yr2'!"&amp;ADDRESS(ROW(BM184),COLUMN(BM184))),INDIRECT("'Yr3'!"&amp;ADDRESS(ROW(BM184),COLUMN(BM184)))),
IF(BM170=0,0,-PMT(INDEX(Lookups!$E$17:$G$17,MATCH($C$4,Lookups!$E$14:$G$14,0)),BM170,SUMIFS('EE Inputs'!$W$9:$W$32,'EE Inputs'!$C$9:$C$32,$AM$6,'EE Inputs'!$D$9:$D$32,$C$4,'EE Inputs'!$E$9:$E$32,$B184),0,1)))</f>
        <v>0</v>
      </c>
      <c r="BN184" s="72"/>
      <c r="BO184" s="72">
        <f ca="1">NPV(Lookups!$E$17,AM184:BM184)</f>
        <v>226435.05222152226</v>
      </c>
      <c r="BP184" s="72"/>
      <c r="BS184" s="84" t="s">
        <v>413</v>
      </c>
      <c r="BT184" s="51"/>
    </row>
    <row r="185" spans="1:72" x14ac:dyDescent="0.25">
      <c r="A185" s="246"/>
      <c r="B185" s="243" t="str">
        <f t="shared" ref="B185:C185" si="191">B183</f>
        <v>Small C&amp;I</v>
      </c>
      <c r="C185" s="243" t="str">
        <f t="shared" si="191"/>
        <v>Revenue Requirements</v>
      </c>
      <c r="D185" s="244" t="str">
        <f>D183</f>
        <v>Avoided Costs</v>
      </c>
      <c r="E185" s="86" t="s">
        <v>175</v>
      </c>
      <c r="F185" s="84" t="s">
        <v>32</v>
      </c>
      <c r="G185" s="65">
        <f ca="1">IF($C$4=Lookups!$D$40,SUM(INDIRECT("'Yr1'!"&amp;ADDRESS(ROW(G185),COLUMN(G185))),INDIRECT("'Yr2'!"&amp;ADDRESS(ROW(G185),COLUMN(G185))),INDIRECT("'Yr3'!"&amp;ADDRESS(ROW(G185),COLUMN(G185)))),
IF(G170=0,0,-PMT(INDEX(Lookups!$E$17:$G$17,MATCH($C$4,Lookups!$E$14:$G$14,0)),G170,SUMIFS('EE Inputs'!$K$9:$K$32,'EE Inputs'!$C$9:$C$32,$G$6,'EE Inputs'!$D$9:$D$32,$C$4,'EE Inputs'!$E$9:$E$32,$B185),0,1)))</f>
        <v>8175.0837003515289</v>
      </c>
      <c r="H185" s="65">
        <f ca="1">IF($C$4=Lookups!$D$40,SUM(INDIRECT("'Yr1'!"&amp;ADDRESS(ROW(H185),COLUMN(H185))),INDIRECT("'Yr2'!"&amp;ADDRESS(ROW(H185),COLUMN(H185))),INDIRECT("'Yr3'!"&amp;ADDRESS(ROW(H185),COLUMN(H185)))),
IF(H170=0,0,-PMT(INDEX(Lookups!$E$17:$G$17,MATCH($C$4,Lookups!$E$14:$G$14,0)),H170,SUMIFS('EE Inputs'!$K$9:$K$32,'EE Inputs'!$C$9:$C$32,$G$6,'EE Inputs'!$D$9:$D$32,$C$4,'EE Inputs'!$E$9:$E$32,$B185),0,1)))</f>
        <v>8175.0837003515289</v>
      </c>
      <c r="I185" s="65">
        <f ca="1">IF($C$4=Lookups!$D$40,SUM(INDIRECT("'Yr1'!"&amp;ADDRESS(ROW(I185),COLUMN(I185))),INDIRECT("'Yr2'!"&amp;ADDRESS(ROW(I185),COLUMN(I185))),INDIRECT("'Yr3'!"&amp;ADDRESS(ROW(I185),COLUMN(I185)))),
IF(I170=0,0,-PMT(INDEX(Lookups!$E$17:$G$17,MATCH($C$4,Lookups!$E$14:$G$14,0)),I170,SUMIFS('EE Inputs'!$K$9:$K$32,'EE Inputs'!$C$9:$C$32,$G$6,'EE Inputs'!$D$9:$D$32,$C$4,'EE Inputs'!$E$9:$E$32,$B185),0,1)))</f>
        <v>8175.0837003515289</v>
      </c>
      <c r="J185" s="65">
        <f ca="1">IF($C$4=Lookups!$D$40,SUM(INDIRECT("'Yr1'!"&amp;ADDRESS(ROW(J185),COLUMN(J185))),INDIRECT("'Yr2'!"&amp;ADDRESS(ROW(J185),COLUMN(J185))),INDIRECT("'Yr3'!"&amp;ADDRESS(ROW(J185),COLUMN(J185)))),
IF(J170=0,0,-PMT(INDEX(Lookups!$E$17:$G$17,MATCH($C$4,Lookups!$E$14:$G$14,0)),J170,SUMIFS('EE Inputs'!$K$9:$K$32,'EE Inputs'!$C$9:$C$32,$G$6,'EE Inputs'!$D$9:$D$32,$C$4,'EE Inputs'!$E$9:$E$32,$B185),0,1)))</f>
        <v>8175.0837003515289</v>
      </c>
      <c r="K185" s="65">
        <f ca="1">IF($C$4=Lookups!$D$40,SUM(INDIRECT("'Yr1'!"&amp;ADDRESS(ROW(K185),COLUMN(K185))),INDIRECT("'Yr2'!"&amp;ADDRESS(ROW(K185),COLUMN(K185))),INDIRECT("'Yr3'!"&amp;ADDRESS(ROW(K185),COLUMN(K185)))),
IF(K170=0,0,-PMT(INDEX(Lookups!$E$17:$G$17,MATCH($C$4,Lookups!$E$14:$G$14,0)),K170,SUMIFS('EE Inputs'!$K$9:$K$32,'EE Inputs'!$C$9:$C$32,$G$6,'EE Inputs'!$D$9:$D$32,$C$4,'EE Inputs'!$E$9:$E$32,$B185),0,1)))</f>
        <v>8175.0837003515289</v>
      </c>
      <c r="L185" s="65">
        <f ca="1">IF($C$4=Lookups!$D$40,SUM(INDIRECT("'Yr1'!"&amp;ADDRESS(ROW(L185),COLUMN(L185))),INDIRECT("'Yr2'!"&amp;ADDRESS(ROW(L185),COLUMN(L185))),INDIRECT("'Yr3'!"&amp;ADDRESS(ROW(L185),COLUMN(L185)))),
IF(L170=0,0,-PMT(INDEX(Lookups!$E$17:$G$17,MATCH($C$4,Lookups!$E$14:$G$14,0)),L170,SUMIFS('EE Inputs'!$K$9:$K$32,'EE Inputs'!$C$9:$C$32,$G$6,'EE Inputs'!$D$9:$D$32,$C$4,'EE Inputs'!$E$9:$E$32,$B185),0,1)))</f>
        <v>8175.0837003515289</v>
      </c>
      <c r="M185" s="65">
        <f ca="1">IF($C$4=Lookups!$D$40,SUM(INDIRECT("'Yr1'!"&amp;ADDRESS(ROW(M185),COLUMN(M185))),INDIRECT("'Yr2'!"&amp;ADDRESS(ROW(M185),COLUMN(M185))),INDIRECT("'Yr3'!"&amp;ADDRESS(ROW(M185),COLUMN(M185)))),
IF(M170=0,0,-PMT(INDEX(Lookups!$E$17:$G$17,MATCH($C$4,Lookups!$E$14:$G$14,0)),M170,SUMIFS('EE Inputs'!$K$9:$K$32,'EE Inputs'!$C$9:$C$32,$G$6,'EE Inputs'!$D$9:$D$32,$C$4,'EE Inputs'!$E$9:$E$32,$B185),0,1)))</f>
        <v>8175.0837003515289</v>
      </c>
      <c r="N185" s="65">
        <f ca="1">IF($C$4=Lookups!$D$40,SUM(INDIRECT("'Yr1'!"&amp;ADDRESS(ROW(N185),COLUMN(N185))),INDIRECT("'Yr2'!"&amp;ADDRESS(ROW(N185),COLUMN(N185))),INDIRECT("'Yr3'!"&amp;ADDRESS(ROW(N185),COLUMN(N185)))),
IF(N170=0,0,-PMT(INDEX(Lookups!$E$17:$G$17,MATCH($C$4,Lookups!$E$14:$G$14,0)),N170,SUMIFS('EE Inputs'!$K$9:$K$32,'EE Inputs'!$C$9:$C$32,$G$6,'EE Inputs'!$D$9:$D$32,$C$4,'EE Inputs'!$E$9:$E$32,$B185),0,1)))</f>
        <v>8175.0837003515289</v>
      </c>
      <c r="O185" s="65">
        <f ca="1">IF($C$4=Lookups!$D$40,SUM(INDIRECT("'Yr1'!"&amp;ADDRESS(ROW(O185),COLUMN(O185))),INDIRECT("'Yr2'!"&amp;ADDRESS(ROW(O185),COLUMN(O185))),INDIRECT("'Yr3'!"&amp;ADDRESS(ROW(O185),COLUMN(O185)))),
IF(O170=0,0,-PMT(INDEX(Lookups!$E$17:$G$17,MATCH($C$4,Lookups!$E$14:$G$14,0)),O170,SUMIFS('EE Inputs'!$K$9:$K$32,'EE Inputs'!$C$9:$C$32,$G$6,'EE Inputs'!$D$9:$D$32,$C$4,'EE Inputs'!$E$9:$E$32,$B185),0,1)))</f>
        <v>8175.0837003515289</v>
      </c>
      <c r="P185" s="65">
        <f ca="1">IF($C$4=Lookups!$D$40,SUM(INDIRECT("'Yr1'!"&amp;ADDRESS(ROW(P185),COLUMN(P185))),INDIRECT("'Yr2'!"&amp;ADDRESS(ROW(P185),COLUMN(P185))),INDIRECT("'Yr3'!"&amp;ADDRESS(ROW(P185),COLUMN(P185)))),
IF(P170=0,0,-PMT(INDEX(Lookups!$E$17:$G$17,MATCH($C$4,Lookups!$E$14:$G$14,0)),P170,SUMIFS('EE Inputs'!$K$9:$K$32,'EE Inputs'!$C$9:$C$32,$G$6,'EE Inputs'!$D$9:$D$32,$C$4,'EE Inputs'!$E$9:$E$32,$B185),0,1)))</f>
        <v>8175.0837003515289</v>
      </c>
      <c r="Q185" s="65">
        <f ca="1">IF($C$4=Lookups!$D$40,SUM(INDIRECT("'Yr1'!"&amp;ADDRESS(ROW(Q185),COLUMN(Q185))),INDIRECT("'Yr2'!"&amp;ADDRESS(ROW(Q185),COLUMN(Q185))),INDIRECT("'Yr3'!"&amp;ADDRESS(ROW(Q185),COLUMN(Q185)))),
IF(Q170=0,0,-PMT(INDEX(Lookups!$E$17:$G$17,MATCH($C$4,Lookups!$E$14:$G$14,0)),Q170,SUMIFS('EE Inputs'!$K$9:$K$32,'EE Inputs'!$C$9:$C$32,$G$6,'EE Inputs'!$D$9:$D$32,$C$4,'EE Inputs'!$E$9:$E$32,$B185),0,1)))</f>
        <v>8175.0837003515289</v>
      </c>
      <c r="R185" s="65">
        <f ca="1">IF($C$4=Lookups!$D$40,SUM(INDIRECT("'Yr1'!"&amp;ADDRESS(ROW(R185),COLUMN(R185))),INDIRECT("'Yr2'!"&amp;ADDRESS(ROW(R185),COLUMN(R185))),INDIRECT("'Yr3'!"&amp;ADDRESS(ROW(R185),COLUMN(R185)))),
IF(R170=0,0,-PMT(INDEX(Lookups!$E$17:$G$17,MATCH($C$4,Lookups!$E$14:$G$14,0)),R170,SUMIFS('EE Inputs'!$K$9:$K$32,'EE Inputs'!$C$9:$C$32,$G$6,'EE Inputs'!$D$9:$D$32,$C$4,'EE Inputs'!$E$9:$E$32,$B185),0,1)))</f>
        <v>8175.0837003515289</v>
      </c>
      <c r="S185" s="65">
        <f ca="1">IF($C$4=Lookups!$D$40,SUM(INDIRECT("'Yr1'!"&amp;ADDRESS(ROW(S185),COLUMN(S185))),INDIRECT("'Yr2'!"&amp;ADDRESS(ROW(S185),COLUMN(S185))),INDIRECT("'Yr3'!"&amp;ADDRESS(ROW(S185),COLUMN(S185)))),
IF(S170=0,0,-PMT(INDEX(Lookups!$E$17:$G$17,MATCH($C$4,Lookups!$E$14:$G$14,0)),S170,SUMIFS('EE Inputs'!$K$9:$K$32,'EE Inputs'!$C$9:$C$32,$G$6,'EE Inputs'!$D$9:$D$32,$C$4,'EE Inputs'!$E$9:$E$32,$B185),0,1)))</f>
        <v>8175.0837003515289</v>
      </c>
      <c r="T185" s="65">
        <f ca="1">IF($C$4=Lookups!$D$40,SUM(INDIRECT("'Yr1'!"&amp;ADDRESS(ROW(T185),COLUMN(T185))),INDIRECT("'Yr2'!"&amp;ADDRESS(ROW(T185),COLUMN(T185))),INDIRECT("'Yr3'!"&amp;ADDRESS(ROW(T185),COLUMN(T185)))),
IF(T170=0,0,-PMT(INDEX(Lookups!$E$17:$G$17,MATCH($C$4,Lookups!$E$14:$G$14,0)),T170,SUMIFS('EE Inputs'!$K$9:$K$32,'EE Inputs'!$C$9:$C$32,$G$6,'EE Inputs'!$D$9:$D$32,$C$4,'EE Inputs'!$E$9:$E$32,$B185),0,1)))</f>
        <v>8175.0837003515289</v>
      </c>
      <c r="U185" s="65">
        <f ca="1">IF($C$4=Lookups!$D$40,SUM(INDIRECT("'Yr1'!"&amp;ADDRESS(ROW(U185),COLUMN(U185))),INDIRECT("'Yr2'!"&amp;ADDRESS(ROW(U185),COLUMN(U185))),INDIRECT("'Yr3'!"&amp;ADDRESS(ROW(U185),COLUMN(U185)))),
IF(U170=0,0,-PMT(INDEX(Lookups!$E$17:$G$17,MATCH($C$4,Lookups!$E$14:$G$14,0)),U170,SUMIFS('EE Inputs'!$K$9:$K$32,'EE Inputs'!$C$9:$C$32,$G$6,'EE Inputs'!$D$9:$D$32,$C$4,'EE Inputs'!$E$9:$E$32,$B185),0,1)))</f>
        <v>8175.0837003515289</v>
      </c>
      <c r="V185" s="65">
        <f ca="1">IF($C$4=Lookups!$D$40,SUM(INDIRECT("'Yr1'!"&amp;ADDRESS(ROW(V185),COLUMN(V185))),INDIRECT("'Yr2'!"&amp;ADDRESS(ROW(V185),COLUMN(V185))),INDIRECT("'Yr3'!"&amp;ADDRESS(ROW(V185),COLUMN(V185)))),
IF(V170=0,0,-PMT(INDEX(Lookups!$E$17:$G$17,MATCH($C$4,Lookups!$E$14:$G$14,0)),V170,SUMIFS('EE Inputs'!$K$9:$K$32,'EE Inputs'!$C$9:$C$32,$G$6,'EE Inputs'!$D$9:$D$32,$C$4,'EE Inputs'!$E$9:$E$32,$B185),0,1)))</f>
        <v>8175.0837003515289</v>
      </c>
      <c r="W185" s="65">
        <f ca="1">IF($C$4=Lookups!$D$40,SUM(INDIRECT("'Yr1'!"&amp;ADDRESS(ROW(W185),COLUMN(W185))),INDIRECT("'Yr2'!"&amp;ADDRESS(ROW(W185),COLUMN(W185))),INDIRECT("'Yr3'!"&amp;ADDRESS(ROW(W185),COLUMN(W185)))),
IF(W170=0,0,-PMT(INDEX(Lookups!$E$17:$G$17,MATCH($C$4,Lookups!$E$14:$G$14,0)),W170,SUMIFS('EE Inputs'!$K$9:$K$32,'EE Inputs'!$C$9:$C$32,$G$6,'EE Inputs'!$D$9:$D$32,$C$4,'EE Inputs'!$E$9:$E$32,$B185),0,1)))</f>
        <v>0</v>
      </c>
      <c r="X185" s="65">
        <f ca="1">IF($C$4=Lookups!$D$40,SUM(INDIRECT("'Yr1'!"&amp;ADDRESS(ROW(X185),COLUMN(X185))),INDIRECT("'Yr2'!"&amp;ADDRESS(ROW(X185),COLUMN(X185))),INDIRECT("'Yr3'!"&amp;ADDRESS(ROW(X185),COLUMN(X185)))),
IF(X170=0,0,-PMT(INDEX(Lookups!$E$17:$G$17,MATCH($C$4,Lookups!$E$14:$G$14,0)),X170,SUMIFS('EE Inputs'!$K$9:$K$32,'EE Inputs'!$C$9:$C$32,$G$6,'EE Inputs'!$D$9:$D$32,$C$4,'EE Inputs'!$E$9:$E$32,$B185),0,1)))</f>
        <v>0</v>
      </c>
      <c r="Y185" s="65">
        <f ca="1">IF($C$4=Lookups!$D$40,SUM(INDIRECT("'Yr1'!"&amp;ADDRESS(ROW(Y185),COLUMN(Y185))),INDIRECT("'Yr2'!"&amp;ADDRESS(ROW(Y185),COLUMN(Y185))),INDIRECT("'Yr3'!"&amp;ADDRESS(ROW(Y185),COLUMN(Y185)))),
IF(Y170=0,0,-PMT(INDEX(Lookups!$E$17:$G$17,MATCH($C$4,Lookups!$E$14:$G$14,0)),Y170,SUMIFS('EE Inputs'!$K$9:$K$32,'EE Inputs'!$C$9:$C$32,$G$6,'EE Inputs'!$D$9:$D$32,$C$4,'EE Inputs'!$E$9:$E$32,$B185),0,1)))</f>
        <v>0</v>
      </c>
      <c r="Z185" s="65">
        <f ca="1">IF($C$4=Lookups!$D$40,SUM(INDIRECT("'Yr1'!"&amp;ADDRESS(ROW(Z185),COLUMN(Z185))),INDIRECT("'Yr2'!"&amp;ADDRESS(ROW(Z185),COLUMN(Z185))),INDIRECT("'Yr3'!"&amp;ADDRESS(ROW(Z185),COLUMN(Z185)))),
IF(Z170=0,0,-PMT(INDEX(Lookups!$E$17:$G$17,MATCH($C$4,Lookups!$E$14:$G$14,0)),Z170,SUMIFS('EE Inputs'!$K$9:$K$32,'EE Inputs'!$C$9:$C$32,$G$6,'EE Inputs'!$D$9:$D$32,$C$4,'EE Inputs'!$E$9:$E$32,$B185),0,1)))</f>
        <v>0</v>
      </c>
      <c r="AA185" s="65">
        <f ca="1">IF($C$4=Lookups!$D$40,SUM(INDIRECT("'Yr1'!"&amp;ADDRESS(ROW(AA185),COLUMN(AA185))),INDIRECT("'Yr2'!"&amp;ADDRESS(ROW(AA185),COLUMN(AA185))),INDIRECT("'Yr3'!"&amp;ADDRESS(ROW(AA185),COLUMN(AA185)))),
IF(AA170=0,0,-PMT(INDEX(Lookups!$E$17:$G$17,MATCH($C$4,Lookups!$E$14:$G$14,0)),AA170,SUMIFS('EE Inputs'!$K$9:$K$32,'EE Inputs'!$C$9:$C$32,$G$6,'EE Inputs'!$D$9:$D$32,$C$4,'EE Inputs'!$E$9:$E$32,$B185),0,1)))</f>
        <v>0</v>
      </c>
      <c r="AB185" s="65">
        <f ca="1">IF($C$4=Lookups!$D$40,SUM(INDIRECT("'Yr1'!"&amp;ADDRESS(ROW(AB185),COLUMN(AB185))),INDIRECT("'Yr2'!"&amp;ADDRESS(ROW(AB185),COLUMN(AB185))),INDIRECT("'Yr3'!"&amp;ADDRESS(ROW(AB185),COLUMN(AB185)))),
IF(AB170=0,0,-PMT(INDEX(Lookups!$E$17:$G$17,MATCH($C$4,Lookups!$E$14:$G$14,0)),AB170,SUMIFS('EE Inputs'!$K$9:$K$32,'EE Inputs'!$C$9:$C$32,$G$6,'EE Inputs'!$D$9:$D$32,$C$4,'EE Inputs'!$E$9:$E$32,$B185),0,1)))</f>
        <v>0</v>
      </c>
      <c r="AC185" s="65">
        <f ca="1">IF($C$4=Lookups!$D$40,SUM(INDIRECT("'Yr1'!"&amp;ADDRESS(ROW(AC185),COLUMN(AC185))),INDIRECT("'Yr2'!"&amp;ADDRESS(ROW(AC185),COLUMN(AC185))),INDIRECT("'Yr3'!"&amp;ADDRESS(ROW(AC185),COLUMN(AC185)))),
IF(AC170=0,0,-PMT(INDEX(Lookups!$E$17:$G$17,MATCH($C$4,Lookups!$E$14:$G$14,0)),AC170,SUMIFS('EE Inputs'!$K$9:$K$32,'EE Inputs'!$C$9:$C$32,$G$6,'EE Inputs'!$D$9:$D$32,$C$4,'EE Inputs'!$E$9:$E$32,$B185),0,1)))</f>
        <v>0</v>
      </c>
      <c r="AD185" s="65">
        <f ca="1">IF($C$4=Lookups!$D$40,SUM(INDIRECT("'Yr1'!"&amp;ADDRESS(ROW(AD185),COLUMN(AD185))),INDIRECT("'Yr2'!"&amp;ADDRESS(ROW(AD185),COLUMN(AD185))),INDIRECT("'Yr3'!"&amp;ADDRESS(ROW(AD185),COLUMN(AD185)))),
IF(AD170=0,0,-PMT(INDEX(Lookups!$E$17:$G$17,MATCH($C$4,Lookups!$E$14:$G$14,0)),AD170,SUMIFS('EE Inputs'!$K$9:$K$32,'EE Inputs'!$C$9:$C$32,$G$6,'EE Inputs'!$D$9:$D$32,$C$4,'EE Inputs'!$E$9:$E$32,$B185),0,1)))</f>
        <v>0</v>
      </c>
      <c r="AE185" s="65">
        <f ca="1">IF($C$4=Lookups!$D$40,SUM(INDIRECT("'Yr1'!"&amp;ADDRESS(ROW(AE185),COLUMN(AE185))),INDIRECT("'Yr2'!"&amp;ADDRESS(ROW(AE185),COLUMN(AE185))),INDIRECT("'Yr3'!"&amp;ADDRESS(ROW(AE185),COLUMN(AE185)))),
IF(AE170=0,0,-PMT(INDEX(Lookups!$E$17:$G$17,MATCH($C$4,Lookups!$E$14:$G$14,0)),AE170,SUMIFS('EE Inputs'!$K$9:$K$32,'EE Inputs'!$C$9:$C$32,$G$6,'EE Inputs'!$D$9:$D$32,$C$4,'EE Inputs'!$E$9:$E$32,$B185),0,1)))</f>
        <v>0</v>
      </c>
      <c r="AF185" s="65">
        <f ca="1">IF($C$4=Lookups!$D$40,SUM(INDIRECT("'Yr1'!"&amp;ADDRESS(ROW(AF185),COLUMN(AF185))),INDIRECT("'Yr2'!"&amp;ADDRESS(ROW(AF185),COLUMN(AF185))),INDIRECT("'Yr3'!"&amp;ADDRESS(ROW(AF185),COLUMN(AF185)))),
IF(AF170=0,0,-PMT(INDEX(Lookups!$E$17:$G$17,MATCH($C$4,Lookups!$E$14:$G$14,0)),AF170,SUMIFS('EE Inputs'!$K$9:$K$32,'EE Inputs'!$C$9:$C$32,$G$6,'EE Inputs'!$D$9:$D$32,$C$4,'EE Inputs'!$E$9:$E$32,$B185),0,1)))</f>
        <v>0</v>
      </c>
      <c r="AG185" s="65">
        <f ca="1">IF($C$4=Lookups!$D$40,SUM(INDIRECT("'Yr1'!"&amp;ADDRESS(ROW(AG185),COLUMN(AG185))),INDIRECT("'Yr2'!"&amp;ADDRESS(ROW(AG185),COLUMN(AG185))),INDIRECT("'Yr3'!"&amp;ADDRESS(ROW(AG185),COLUMN(AG185)))),
IF(AG170=0,0,-PMT(INDEX(Lookups!$E$17:$G$17,MATCH($C$4,Lookups!$E$14:$G$14,0)),AG170,SUMIFS('EE Inputs'!$K$9:$K$32,'EE Inputs'!$C$9:$C$32,$G$6,'EE Inputs'!$D$9:$D$32,$C$4,'EE Inputs'!$E$9:$E$32,$B185),0,1)))</f>
        <v>0</v>
      </c>
      <c r="AH185" s="65"/>
      <c r="AI185" s="65">
        <f ca="1">NPV(Lookups!$E$17,G185:AG185)</f>
        <v>116325.5837598449</v>
      </c>
      <c r="AJ185" s="65"/>
      <c r="AM185" s="72">
        <f ca="1">IF($C$4=Lookups!$D$40,SUM(INDIRECT("'Yr1'!"&amp;ADDRESS(ROW(AM185),COLUMN(AM185))),INDIRECT("'Yr2'!"&amp;ADDRESS(ROW(AM185),COLUMN(AM185))),INDIRECT("'Yr3'!"&amp;ADDRESS(ROW(AM185),COLUMN(AM185)))),
IF(AM170=0,0,-PMT(INDEX(Lookups!$E$17:$G$17,MATCH($C$4,Lookups!$E$14:$G$14,0)),AM170,SUMIFS('EE Inputs'!$K$9:$K$32,'EE Inputs'!$C$9:$C$32,$AM$6,'EE Inputs'!$D$9:$D$32,$C$4,'EE Inputs'!$E$9:$E$32,$B185),0,1)))</f>
        <v>9342.9528004017484</v>
      </c>
      <c r="AN185" s="72">
        <f ca="1">IF($C$4=Lookups!$D$40,SUM(INDIRECT("'Yr1'!"&amp;ADDRESS(ROW(AN185),COLUMN(AN185))),INDIRECT("'Yr2'!"&amp;ADDRESS(ROW(AN185),COLUMN(AN185))),INDIRECT("'Yr3'!"&amp;ADDRESS(ROW(AN185),COLUMN(AN185)))),
IF(AN170=0,0,-PMT(INDEX(Lookups!$E$17:$G$17,MATCH($C$4,Lookups!$E$14:$G$14,0)),AN170,SUMIFS('EE Inputs'!$K$9:$K$32,'EE Inputs'!$C$9:$C$32,$AM$6,'EE Inputs'!$D$9:$D$32,$C$4,'EE Inputs'!$E$9:$E$32,$B185),0,1)))</f>
        <v>9342.9528004017484</v>
      </c>
      <c r="AO185" s="72">
        <f ca="1">IF($C$4=Lookups!$D$40,SUM(INDIRECT("'Yr1'!"&amp;ADDRESS(ROW(AO185),COLUMN(AO185))),INDIRECT("'Yr2'!"&amp;ADDRESS(ROW(AO185),COLUMN(AO185))),INDIRECT("'Yr3'!"&amp;ADDRESS(ROW(AO185),COLUMN(AO185)))),
IF(AO170=0,0,-PMT(INDEX(Lookups!$E$17:$G$17,MATCH($C$4,Lookups!$E$14:$G$14,0)),AO170,SUMIFS('EE Inputs'!$K$9:$K$32,'EE Inputs'!$C$9:$C$32,$AM$6,'EE Inputs'!$D$9:$D$32,$C$4,'EE Inputs'!$E$9:$E$32,$B185),0,1)))</f>
        <v>9342.9528004017484</v>
      </c>
      <c r="AP185" s="72">
        <f ca="1">IF($C$4=Lookups!$D$40,SUM(INDIRECT("'Yr1'!"&amp;ADDRESS(ROW(AP185),COLUMN(AP185))),INDIRECT("'Yr2'!"&amp;ADDRESS(ROW(AP185),COLUMN(AP185))),INDIRECT("'Yr3'!"&amp;ADDRESS(ROW(AP185),COLUMN(AP185)))),
IF(AP170=0,0,-PMT(INDEX(Lookups!$E$17:$G$17,MATCH($C$4,Lookups!$E$14:$G$14,0)),AP170,SUMIFS('EE Inputs'!$K$9:$K$32,'EE Inputs'!$C$9:$C$32,$AM$6,'EE Inputs'!$D$9:$D$32,$C$4,'EE Inputs'!$E$9:$E$32,$B185),0,1)))</f>
        <v>9342.9528004017484</v>
      </c>
      <c r="AQ185" s="72">
        <f ca="1">IF($C$4=Lookups!$D$40,SUM(INDIRECT("'Yr1'!"&amp;ADDRESS(ROW(AQ185),COLUMN(AQ185))),INDIRECT("'Yr2'!"&amp;ADDRESS(ROW(AQ185),COLUMN(AQ185))),INDIRECT("'Yr3'!"&amp;ADDRESS(ROW(AQ185),COLUMN(AQ185)))),
IF(AQ170=0,0,-PMT(INDEX(Lookups!$E$17:$G$17,MATCH($C$4,Lookups!$E$14:$G$14,0)),AQ170,SUMIFS('EE Inputs'!$K$9:$K$32,'EE Inputs'!$C$9:$C$32,$AM$6,'EE Inputs'!$D$9:$D$32,$C$4,'EE Inputs'!$E$9:$E$32,$B185),0,1)))</f>
        <v>9342.9528004017484</v>
      </c>
      <c r="AR185" s="72">
        <f ca="1">IF($C$4=Lookups!$D$40,SUM(INDIRECT("'Yr1'!"&amp;ADDRESS(ROW(AR185),COLUMN(AR185))),INDIRECT("'Yr2'!"&amp;ADDRESS(ROW(AR185),COLUMN(AR185))),INDIRECT("'Yr3'!"&amp;ADDRESS(ROW(AR185),COLUMN(AR185)))),
IF(AR170=0,0,-PMT(INDEX(Lookups!$E$17:$G$17,MATCH($C$4,Lookups!$E$14:$G$14,0)),AR170,SUMIFS('EE Inputs'!$K$9:$K$32,'EE Inputs'!$C$9:$C$32,$AM$6,'EE Inputs'!$D$9:$D$32,$C$4,'EE Inputs'!$E$9:$E$32,$B185),0,1)))</f>
        <v>9342.9528004017484</v>
      </c>
      <c r="AS185" s="72">
        <f ca="1">IF($C$4=Lookups!$D$40,SUM(INDIRECT("'Yr1'!"&amp;ADDRESS(ROW(AS185),COLUMN(AS185))),INDIRECT("'Yr2'!"&amp;ADDRESS(ROW(AS185),COLUMN(AS185))),INDIRECT("'Yr3'!"&amp;ADDRESS(ROW(AS185),COLUMN(AS185)))),
IF(AS170=0,0,-PMT(INDEX(Lookups!$E$17:$G$17,MATCH($C$4,Lookups!$E$14:$G$14,0)),AS170,SUMIFS('EE Inputs'!$K$9:$K$32,'EE Inputs'!$C$9:$C$32,$AM$6,'EE Inputs'!$D$9:$D$32,$C$4,'EE Inputs'!$E$9:$E$32,$B185),0,1)))</f>
        <v>9342.9528004017484</v>
      </c>
      <c r="AT185" s="72">
        <f ca="1">IF($C$4=Lookups!$D$40,SUM(INDIRECT("'Yr1'!"&amp;ADDRESS(ROW(AT185),COLUMN(AT185))),INDIRECT("'Yr2'!"&amp;ADDRESS(ROW(AT185),COLUMN(AT185))),INDIRECT("'Yr3'!"&amp;ADDRESS(ROW(AT185),COLUMN(AT185)))),
IF(AT170=0,0,-PMT(INDEX(Lookups!$E$17:$G$17,MATCH($C$4,Lookups!$E$14:$G$14,0)),AT170,SUMIFS('EE Inputs'!$K$9:$K$32,'EE Inputs'!$C$9:$C$32,$AM$6,'EE Inputs'!$D$9:$D$32,$C$4,'EE Inputs'!$E$9:$E$32,$B185),0,1)))</f>
        <v>9342.9528004017484</v>
      </c>
      <c r="AU185" s="72">
        <f ca="1">IF($C$4=Lookups!$D$40,SUM(INDIRECT("'Yr1'!"&amp;ADDRESS(ROW(AU185),COLUMN(AU185))),INDIRECT("'Yr2'!"&amp;ADDRESS(ROW(AU185),COLUMN(AU185))),INDIRECT("'Yr3'!"&amp;ADDRESS(ROW(AU185),COLUMN(AU185)))),
IF(AU170=0,0,-PMT(INDEX(Lookups!$E$17:$G$17,MATCH($C$4,Lookups!$E$14:$G$14,0)),AU170,SUMIFS('EE Inputs'!$K$9:$K$32,'EE Inputs'!$C$9:$C$32,$AM$6,'EE Inputs'!$D$9:$D$32,$C$4,'EE Inputs'!$E$9:$E$32,$B185),0,1)))</f>
        <v>9342.9528004017484</v>
      </c>
      <c r="AV185" s="72">
        <f ca="1">IF($C$4=Lookups!$D$40,SUM(INDIRECT("'Yr1'!"&amp;ADDRESS(ROW(AV185),COLUMN(AV185))),INDIRECT("'Yr2'!"&amp;ADDRESS(ROW(AV185),COLUMN(AV185))),INDIRECT("'Yr3'!"&amp;ADDRESS(ROW(AV185),COLUMN(AV185)))),
IF(AV170=0,0,-PMT(INDEX(Lookups!$E$17:$G$17,MATCH($C$4,Lookups!$E$14:$G$14,0)),AV170,SUMIFS('EE Inputs'!$K$9:$K$32,'EE Inputs'!$C$9:$C$32,$AM$6,'EE Inputs'!$D$9:$D$32,$C$4,'EE Inputs'!$E$9:$E$32,$B185),0,1)))</f>
        <v>9342.9528004017484</v>
      </c>
      <c r="AW185" s="72">
        <f ca="1">IF($C$4=Lookups!$D$40,SUM(INDIRECT("'Yr1'!"&amp;ADDRESS(ROW(AW185),COLUMN(AW185))),INDIRECT("'Yr2'!"&amp;ADDRESS(ROW(AW185),COLUMN(AW185))),INDIRECT("'Yr3'!"&amp;ADDRESS(ROW(AW185),COLUMN(AW185)))),
IF(AW170=0,0,-PMT(INDEX(Lookups!$E$17:$G$17,MATCH($C$4,Lookups!$E$14:$G$14,0)),AW170,SUMIFS('EE Inputs'!$K$9:$K$32,'EE Inputs'!$C$9:$C$32,$AM$6,'EE Inputs'!$D$9:$D$32,$C$4,'EE Inputs'!$E$9:$E$32,$B185),0,1)))</f>
        <v>9342.9528004017484</v>
      </c>
      <c r="AX185" s="72">
        <f ca="1">IF($C$4=Lookups!$D$40,SUM(INDIRECT("'Yr1'!"&amp;ADDRESS(ROW(AX185),COLUMN(AX185))),INDIRECT("'Yr2'!"&amp;ADDRESS(ROW(AX185),COLUMN(AX185))),INDIRECT("'Yr3'!"&amp;ADDRESS(ROW(AX185),COLUMN(AX185)))),
IF(AX170=0,0,-PMT(INDEX(Lookups!$E$17:$G$17,MATCH($C$4,Lookups!$E$14:$G$14,0)),AX170,SUMIFS('EE Inputs'!$K$9:$K$32,'EE Inputs'!$C$9:$C$32,$AM$6,'EE Inputs'!$D$9:$D$32,$C$4,'EE Inputs'!$E$9:$E$32,$B185),0,1)))</f>
        <v>9342.9528004017484</v>
      </c>
      <c r="AY185" s="72">
        <f ca="1">IF($C$4=Lookups!$D$40,SUM(INDIRECT("'Yr1'!"&amp;ADDRESS(ROW(AY185),COLUMN(AY185))),INDIRECT("'Yr2'!"&amp;ADDRESS(ROW(AY185),COLUMN(AY185))),INDIRECT("'Yr3'!"&amp;ADDRESS(ROW(AY185),COLUMN(AY185)))),
IF(AY170=0,0,-PMT(INDEX(Lookups!$E$17:$G$17,MATCH($C$4,Lookups!$E$14:$G$14,0)),AY170,SUMIFS('EE Inputs'!$K$9:$K$32,'EE Inputs'!$C$9:$C$32,$AM$6,'EE Inputs'!$D$9:$D$32,$C$4,'EE Inputs'!$E$9:$E$32,$B185),0,1)))</f>
        <v>9342.9528004017484</v>
      </c>
      <c r="AZ185" s="72">
        <f ca="1">IF($C$4=Lookups!$D$40,SUM(INDIRECT("'Yr1'!"&amp;ADDRESS(ROW(AZ185),COLUMN(AZ185))),INDIRECT("'Yr2'!"&amp;ADDRESS(ROW(AZ185),COLUMN(AZ185))),INDIRECT("'Yr3'!"&amp;ADDRESS(ROW(AZ185),COLUMN(AZ185)))),
IF(AZ170=0,0,-PMT(INDEX(Lookups!$E$17:$G$17,MATCH($C$4,Lookups!$E$14:$G$14,0)),AZ170,SUMIFS('EE Inputs'!$K$9:$K$32,'EE Inputs'!$C$9:$C$32,$AM$6,'EE Inputs'!$D$9:$D$32,$C$4,'EE Inputs'!$E$9:$E$32,$B185),0,1)))</f>
        <v>9342.9528004017484</v>
      </c>
      <c r="BA185" s="72">
        <f ca="1">IF($C$4=Lookups!$D$40,SUM(INDIRECT("'Yr1'!"&amp;ADDRESS(ROW(BA185),COLUMN(BA185))),INDIRECT("'Yr2'!"&amp;ADDRESS(ROW(BA185),COLUMN(BA185))),INDIRECT("'Yr3'!"&amp;ADDRESS(ROW(BA185),COLUMN(BA185)))),
IF(BA170=0,0,-PMT(INDEX(Lookups!$E$17:$G$17,MATCH($C$4,Lookups!$E$14:$G$14,0)),BA170,SUMIFS('EE Inputs'!$K$9:$K$32,'EE Inputs'!$C$9:$C$32,$AM$6,'EE Inputs'!$D$9:$D$32,$C$4,'EE Inputs'!$E$9:$E$32,$B185),0,1)))</f>
        <v>9342.9528004017484</v>
      </c>
      <c r="BB185" s="72">
        <f ca="1">IF($C$4=Lookups!$D$40,SUM(INDIRECT("'Yr1'!"&amp;ADDRESS(ROW(BB185),COLUMN(BB185))),INDIRECT("'Yr2'!"&amp;ADDRESS(ROW(BB185),COLUMN(BB185))),INDIRECT("'Yr3'!"&amp;ADDRESS(ROW(BB185),COLUMN(BB185)))),
IF(BB170=0,0,-PMT(INDEX(Lookups!$E$17:$G$17,MATCH($C$4,Lookups!$E$14:$G$14,0)),BB170,SUMIFS('EE Inputs'!$K$9:$K$32,'EE Inputs'!$C$9:$C$32,$AM$6,'EE Inputs'!$D$9:$D$32,$C$4,'EE Inputs'!$E$9:$E$32,$B185),0,1)))</f>
        <v>9342.9528004017484</v>
      </c>
      <c r="BC185" s="72">
        <f ca="1">IF($C$4=Lookups!$D$40,SUM(INDIRECT("'Yr1'!"&amp;ADDRESS(ROW(BC185),COLUMN(BC185))),INDIRECT("'Yr2'!"&amp;ADDRESS(ROW(BC185),COLUMN(BC185))),INDIRECT("'Yr3'!"&amp;ADDRESS(ROW(BC185),COLUMN(BC185)))),
IF(BC170=0,0,-PMT(INDEX(Lookups!$E$17:$G$17,MATCH($C$4,Lookups!$E$14:$G$14,0)),BC170,SUMIFS('EE Inputs'!$K$9:$K$32,'EE Inputs'!$C$9:$C$32,$AM$6,'EE Inputs'!$D$9:$D$32,$C$4,'EE Inputs'!$E$9:$E$32,$B185),0,1)))</f>
        <v>0</v>
      </c>
      <c r="BD185" s="72">
        <f ca="1">IF($C$4=Lookups!$D$40,SUM(INDIRECT("'Yr1'!"&amp;ADDRESS(ROW(BD185),COLUMN(BD185))),INDIRECT("'Yr2'!"&amp;ADDRESS(ROW(BD185),COLUMN(BD185))),INDIRECT("'Yr3'!"&amp;ADDRESS(ROW(BD185),COLUMN(BD185)))),
IF(BD170=0,0,-PMT(INDEX(Lookups!$E$17:$G$17,MATCH($C$4,Lookups!$E$14:$G$14,0)),BD170,SUMIFS('EE Inputs'!$K$9:$K$32,'EE Inputs'!$C$9:$C$32,$AM$6,'EE Inputs'!$D$9:$D$32,$C$4,'EE Inputs'!$E$9:$E$32,$B185),0,1)))</f>
        <v>0</v>
      </c>
      <c r="BE185" s="72">
        <f ca="1">IF($C$4=Lookups!$D$40,SUM(INDIRECT("'Yr1'!"&amp;ADDRESS(ROW(BE185),COLUMN(BE185))),INDIRECT("'Yr2'!"&amp;ADDRESS(ROW(BE185),COLUMN(BE185))),INDIRECT("'Yr3'!"&amp;ADDRESS(ROW(BE185),COLUMN(BE185)))),
IF(BE170=0,0,-PMT(INDEX(Lookups!$E$17:$G$17,MATCH($C$4,Lookups!$E$14:$G$14,0)),BE170,SUMIFS('EE Inputs'!$K$9:$K$32,'EE Inputs'!$C$9:$C$32,$AM$6,'EE Inputs'!$D$9:$D$32,$C$4,'EE Inputs'!$E$9:$E$32,$B185),0,1)))</f>
        <v>0</v>
      </c>
      <c r="BF185" s="72">
        <f ca="1">IF($C$4=Lookups!$D$40,SUM(INDIRECT("'Yr1'!"&amp;ADDRESS(ROW(BF185),COLUMN(BF185))),INDIRECT("'Yr2'!"&amp;ADDRESS(ROW(BF185),COLUMN(BF185))),INDIRECT("'Yr3'!"&amp;ADDRESS(ROW(BF185),COLUMN(BF185)))),
IF(BF170=0,0,-PMT(INDEX(Lookups!$E$17:$G$17,MATCH($C$4,Lookups!$E$14:$G$14,0)),BF170,SUMIFS('EE Inputs'!$K$9:$K$32,'EE Inputs'!$C$9:$C$32,$AM$6,'EE Inputs'!$D$9:$D$32,$C$4,'EE Inputs'!$E$9:$E$32,$B185),0,1)))</f>
        <v>0</v>
      </c>
      <c r="BG185" s="72">
        <f ca="1">IF($C$4=Lookups!$D$40,SUM(INDIRECT("'Yr1'!"&amp;ADDRESS(ROW(BG185),COLUMN(BG185))),INDIRECT("'Yr2'!"&amp;ADDRESS(ROW(BG185),COLUMN(BG185))),INDIRECT("'Yr3'!"&amp;ADDRESS(ROW(BG185),COLUMN(BG185)))),
IF(BG170=0,0,-PMT(INDEX(Lookups!$E$17:$G$17,MATCH($C$4,Lookups!$E$14:$G$14,0)),BG170,SUMIFS('EE Inputs'!$K$9:$K$32,'EE Inputs'!$C$9:$C$32,$AM$6,'EE Inputs'!$D$9:$D$32,$C$4,'EE Inputs'!$E$9:$E$32,$B185),0,1)))</f>
        <v>0</v>
      </c>
      <c r="BH185" s="72">
        <f ca="1">IF($C$4=Lookups!$D$40,SUM(INDIRECT("'Yr1'!"&amp;ADDRESS(ROW(BH185),COLUMN(BH185))),INDIRECT("'Yr2'!"&amp;ADDRESS(ROW(BH185),COLUMN(BH185))),INDIRECT("'Yr3'!"&amp;ADDRESS(ROW(BH185),COLUMN(BH185)))),
IF(BH170=0,0,-PMT(INDEX(Lookups!$E$17:$G$17,MATCH($C$4,Lookups!$E$14:$G$14,0)),BH170,SUMIFS('EE Inputs'!$K$9:$K$32,'EE Inputs'!$C$9:$C$32,$AM$6,'EE Inputs'!$D$9:$D$32,$C$4,'EE Inputs'!$E$9:$E$32,$B185),0,1)))</f>
        <v>0</v>
      </c>
      <c r="BI185" s="72">
        <f ca="1">IF($C$4=Lookups!$D$40,SUM(INDIRECT("'Yr1'!"&amp;ADDRESS(ROW(BI185),COLUMN(BI185))),INDIRECT("'Yr2'!"&amp;ADDRESS(ROW(BI185),COLUMN(BI185))),INDIRECT("'Yr3'!"&amp;ADDRESS(ROW(BI185),COLUMN(BI185)))),
IF(BI170=0,0,-PMT(INDEX(Lookups!$E$17:$G$17,MATCH($C$4,Lookups!$E$14:$G$14,0)),BI170,SUMIFS('EE Inputs'!$K$9:$K$32,'EE Inputs'!$C$9:$C$32,$AM$6,'EE Inputs'!$D$9:$D$32,$C$4,'EE Inputs'!$E$9:$E$32,$B185),0,1)))</f>
        <v>0</v>
      </c>
      <c r="BJ185" s="72">
        <f ca="1">IF($C$4=Lookups!$D$40,SUM(INDIRECT("'Yr1'!"&amp;ADDRESS(ROW(BJ185),COLUMN(BJ185))),INDIRECT("'Yr2'!"&amp;ADDRESS(ROW(BJ185),COLUMN(BJ185))),INDIRECT("'Yr3'!"&amp;ADDRESS(ROW(BJ185),COLUMN(BJ185)))),
IF(BJ170=0,0,-PMT(INDEX(Lookups!$E$17:$G$17,MATCH($C$4,Lookups!$E$14:$G$14,0)),BJ170,SUMIFS('EE Inputs'!$K$9:$K$32,'EE Inputs'!$C$9:$C$32,$AM$6,'EE Inputs'!$D$9:$D$32,$C$4,'EE Inputs'!$E$9:$E$32,$B185),0,1)))</f>
        <v>0</v>
      </c>
      <c r="BK185" s="72">
        <f ca="1">IF($C$4=Lookups!$D$40,SUM(INDIRECT("'Yr1'!"&amp;ADDRESS(ROW(BK185),COLUMN(BK185))),INDIRECT("'Yr2'!"&amp;ADDRESS(ROW(BK185),COLUMN(BK185))),INDIRECT("'Yr3'!"&amp;ADDRESS(ROW(BK185),COLUMN(BK185)))),
IF(BK170=0,0,-PMT(INDEX(Lookups!$E$17:$G$17,MATCH($C$4,Lookups!$E$14:$G$14,0)),BK170,SUMIFS('EE Inputs'!$K$9:$K$32,'EE Inputs'!$C$9:$C$32,$AM$6,'EE Inputs'!$D$9:$D$32,$C$4,'EE Inputs'!$E$9:$E$32,$B185),0,1)))</f>
        <v>0</v>
      </c>
      <c r="BL185" s="72">
        <f ca="1">IF($C$4=Lookups!$D$40,SUM(INDIRECT("'Yr1'!"&amp;ADDRESS(ROW(BL185),COLUMN(BL185))),INDIRECT("'Yr2'!"&amp;ADDRESS(ROW(BL185),COLUMN(BL185))),INDIRECT("'Yr3'!"&amp;ADDRESS(ROW(BL185),COLUMN(BL185)))),
IF(BL170=0,0,-PMT(INDEX(Lookups!$E$17:$G$17,MATCH($C$4,Lookups!$E$14:$G$14,0)),BL170,SUMIFS('EE Inputs'!$K$9:$K$32,'EE Inputs'!$C$9:$C$32,$AM$6,'EE Inputs'!$D$9:$D$32,$C$4,'EE Inputs'!$E$9:$E$32,$B185),0,1)))</f>
        <v>0</v>
      </c>
      <c r="BM185" s="72">
        <f ca="1">IF($C$4=Lookups!$D$40,SUM(INDIRECT("'Yr1'!"&amp;ADDRESS(ROW(BM185),COLUMN(BM185))),INDIRECT("'Yr2'!"&amp;ADDRESS(ROW(BM185),COLUMN(BM185))),INDIRECT("'Yr3'!"&amp;ADDRESS(ROW(BM185),COLUMN(BM185)))),
IF(BM170=0,0,-PMT(INDEX(Lookups!$E$17:$G$17,MATCH($C$4,Lookups!$E$14:$G$14,0)),BM170,SUMIFS('EE Inputs'!$K$9:$K$32,'EE Inputs'!$C$9:$C$32,$AM$6,'EE Inputs'!$D$9:$D$32,$C$4,'EE Inputs'!$E$9:$E$32,$B185),0,1)))</f>
        <v>0</v>
      </c>
      <c r="BN185" s="72"/>
      <c r="BO185" s="72">
        <f ca="1">NPV(Lookups!$E$17,AM185:BM185)</f>
        <v>132943.5242969656</v>
      </c>
      <c r="BP185" s="72"/>
      <c r="BS185" s="84" t="str">
        <f>"Avoided "&amp;E185&amp;" costs."</f>
        <v>Avoided Gas DRIPE costs.</v>
      </c>
      <c r="BT185" s="51" t="s">
        <v>17</v>
      </c>
    </row>
    <row r="186" spans="1:72" x14ac:dyDescent="0.25">
      <c r="B186" s="243" t="str">
        <f t="shared" ref="B186:C188" si="192">B185</f>
        <v>Small C&amp;I</v>
      </c>
      <c r="C186" s="243" t="str">
        <f t="shared" si="192"/>
        <v>Revenue Requirements</v>
      </c>
      <c r="D186" s="114" t="s">
        <v>165</v>
      </c>
      <c r="E186" s="84"/>
      <c r="F186" s="84"/>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S186" s="84"/>
      <c r="BT186" s="51" t="s">
        <v>17</v>
      </c>
    </row>
    <row r="187" spans="1:72" x14ac:dyDescent="0.25">
      <c r="A187" s="476"/>
      <c r="B187" s="243" t="str">
        <f t="shared" si="192"/>
        <v>Small C&amp;I</v>
      </c>
      <c r="C187" s="243" t="str">
        <f t="shared" si="192"/>
        <v>Revenue Requirements</v>
      </c>
      <c r="D187" s="244" t="str">
        <f>D186</f>
        <v>Increased Costs and Cost Shifting</v>
      </c>
      <c r="E187" s="84" t="s">
        <v>406</v>
      </c>
      <c r="F187" s="84" t="s">
        <v>32</v>
      </c>
      <c r="G187" s="64">
        <f ca="1">IF($C$4=Lookups!$D$40,SUM(INDIRECT("'Yr1'!"&amp;ADDRESS(ROW(G187),COLUMN(G187))),INDIRECT("'Yr2'!"&amp;ADDRESS(ROW(G187),COLUMN(G187))),INDIRECT("'Yr3'!"&amp;ADDRESS(ROW(G187),COLUMN(G187)))),
IF($C$4=G$7,G207*G175,0))</f>
        <v>2992955.9193929015</v>
      </c>
      <c r="H187" s="64">
        <f ca="1">IF($C$4=Lookups!$D$40,SUM(INDIRECT("'Yr1'!"&amp;ADDRESS(ROW(H187),COLUMN(H187))),INDIRECT("'Yr2'!"&amp;ADDRESS(ROW(H187),COLUMN(H187))),INDIRECT("'Yr3'!"&amp;ADDRESS(ROW(H187),COLUMN(H187)))),
IF($C$4=H$7,H207*H175,0))</f>
        <v>0</v>
      </c>
      <c r="I187" s="64">
        <f ca="1">IF($C$4=Lookups!$D$40,SUM(INDIRECT("'Yr1'!"&amp;ADDRESS(ROW(I187),COLUMN(I187))),INDIRECT("'Yr2'!"&amp;ADDRESS(ROW(I187),COLUMN(I187))),INDIRECT("'Yr3'!"&amp;ADDRESS(ROW(I187),COLUMN(I187)))),
IF($C$4=I$7,I207*I175,0))</f>
        <v>0</v>
      </c>
      <c r="J187" s="64">
        <f ca="1">IF($C$4=Lookups!$D$40,SUM(INDIRECT("'Yr1'!"&amp;ADDRESS(ROW(J187),COLUMN(J187))),INDIRECT("'Yr2'!"&amp;ADDRESS(ROW(J187),COLUMN(J187))),INDIRECT("'Yr3'!"&amp;ADDRESS(ROW(J187),COLUMN(J187)))),
IF($C$4=J$7,J207*J175,0))</f>
        <v>0</v>
      </c>
      <c r="K187" s="64">
        <f ca="1">IF($C$4=Lookups!$D$40,SUM(INDIRECT("'Yr1'!"&amp;ADDRESS(ROW(K187),COLUMN(K187))),INDIRECT("'Yr2'!"&amp;ADDRESS(ROW(K187),COLUMN(K187))),INDIRECT("'Yr3'!"&amp;ADDRESS(ROW(K187),COLUMN(K187)))),
IF($C$4=K$7,K207*K175,0))</f>
        <v>0</v>
      </c>
      <c r="L187" s="64">
        <f ca="1">IF($C$4=Lookups!$D$40,SUM(INDIRECT("'Yr1'!"&amp;ADDRESS(ROW(L187),COLUMN(L187))),INDIRECT("'Yr2'!"&amp;ADDRESS(ROW(L187),COLUMN(L187))),INDIRECT("'Yr3'!"&amp;ADDRESS(ROW(L187),COLUMN(L187)))),
IF($C$4=L$7,L207*L175,0))</f>
        <v>0</v>
      </c>
      <c r="M187" s="64">
        <f ca="1">IF($C$4=Lookups!$D$40,SUM(INDIRECT("'Yr1'!"&amp;ADDRESS(ROW(M187),COLUMN(M187))),INDIRECT("'Yr2'!"&amp;ADDRESS(ROW(M187),COLUMN(M187))),INDIRECT("'Yr3'!"&amp;ADDRESS(ROW(M187),COLUMN(M187)))),
IF($C$4=M$7,M207*M175,0))</f>
        <v>0</v>
      </c>
      <c r="N187" s="64">
        <f ca="1">IF($C$4=Lookups!$D$40,SUM(INDIRECT("'Yr1'!"&amp;ADDRESS(ROW(N187),COLUMN(N187))),INDIRECT("'Yr2'!"&amp;ADDRESS(ROW(N187),COLUMN(N187))),INDIRECT("'Yr3'!"&amp;ADDRESS(ROW(N187),COLUMN(N187)))),
IF($C$4=N$7,N207*N175,0))</f>
        <v>0</v>
      </c>
      <c r="O187" s="64">
        <f ca="1">IF($C$4=Lookups!$D$40,SUM(INDIRECT("'Yr1'!"&amp;ADDRESS(ROW(O187),COLUMN(O187))),INDIRECT("'Yr2'!"&amp;ADDRESS(ROW(O187),COLUMN(O187))),INDIRECT("'Yr3'!"&amp;ADDRESS(ROW(O187),COLUMN(O187)))),
IF($C$4=O$7,O207*O175,0))</f>
        <v>0</v>
      </c>
      <c r="P187" s="64">
        <f ca="1">IF($C$4=Lookups!$D$40,SUM(INDIRECT("'Yr1'!"&amp;ADDRESS(ROW(P187),COLUMN(P187))),INDIRECT("'Yr2'!"&amp;ADDRESS(ROW(P187),COLUMN(P187))),INDIRECT("'Yr3'!"&amp;ADDRESS(ROW(P187),COLUMN(P187)))),
IF($C$4=P$7,P207*P175,0))</f>
        <v>0</v>
      </c>
      <c r="Q187" s="64">
        <f ca="1">IF($C$4=Lookups!$D$40,SUM(INDIRECT("'Yr1'!"&amp;ADDRESS(ROW(Q187),COLUMN(Q187))),INDIRECT("'Yr2'!"&amp;ADDRESS(ROW(Q187),COLUMN(Q187))),INDIRECT("'Yr3'!"&amp;ADDRESS(ROW(Q187),COLUMN(Q187)))),
IF($C$4=Q$7,Q207*Q175,0))</f>
        <v>0</v>
      </c>
      <c r="R187" s="64">
        <f ca="1">IF($C$4=Lookups!$D$40,SUM(INDIRECT("'Yr1'!"&amp;ADDRESS(ROW(R187),COLUMN(R187))),INDIRECT("'Yr2'!"&amp;ADDRESS(ROW(R187),COLUMN(R187))),INDIRECT("'Yr3'!"&amp;ADDRESS(ROW(R187),COLUMN(R187)))),
IF($C$4=R$7,R207*R175,0))</f>
        <v>0</v>
      </c>
      <c r="S187" s="64">
        <f ca="1">IF($C$4=Lookups!$D$40,SUM(INDIRECT("'Yr1'!"&amp;ADDRESS(ROW(S187),COLUMN(S187))),INDIRECT("'Yr2'!"&amp;ADDRESS(ROW(S187),COLUMN(S187))),INDIRECT("'Yr3'!"&amp;ADDRESS(ROW(S187),COLUMN(S187)))),
IF($C$4=S$7,S207*S175,0))</f>
        <v>0</v>
      </c>
      <c r="T187" s="64">
        <f ca="1">IF($C$4=Lookups!$D$40,SUM(INDIRECT("'Yr1'!"&amp;ADDRESS(ROW(T187),COLUMN(T187))),INDIRECT("'Yr2'!"&amp;ADDRESS(ROW(T187),COLUMN(T187))),INDIRECT("'Yr3'!"&amp;ADDRESS(ROW(T187),COLUMN(T187)))),
IF($C$4=T$7,T207*T175,0))</f>
        <v>0</v>
      </c>
      <c r="U187" s="64">
        <f ca="1">IF($C$4=Lookups!$D$40,SUM(INDIRECT("'Yr1'!"&amp;ADDRESS(ROW(U187),COLUMN(U187))),INDIRECT("'Yr2'!"&amp;ADDRESS(ROW(U187),COLUMN(U187))),INDIRECT("'Yr3'!"&amp;ADDRESS(ROW(U187),COLUMN(U187)))),
IF($C$4=U$7,U207*U175,0))</f>
        <v>0</v>
      </c>
      <c r="V187" s="64">
        <f ca="1">IF($C$4=Lookups!$D$40,SUM(INDIRECT("'Yr1'!"&amp;ADDRESS(ROW(V187),COLUMN(V187))),INDIRECT("'Yr2'!"&amp;ADDRESS(ROW(V187),COLUMN(V187))),INDIRECT("'Yr3'!"&amp;ADDRESS(ROW(V187),COLUMN(V187)))),
IF($C$4=V$7,V207*V175,0))</f>
        <v>0</v>
      </c>
      <c r="W187" s="64">
        <f ca="1">IF($C$4=Lookups!$D$40,SUM(INDIRECT("'Yr1'!"&amp;ADDRESS(ROW(W187),COLUMN(W187))),INDIRECT("'Yr2'!"&amp;ADDRESS(ROW(W187),COLUMN(W187))),INDIRECT("'Yr3'!"&amp;ADDRESS(ROW(W187),COLUMN(W187)))),
IF($C$4=W$7,W207*W175,0))</f>
        <v>0</v>
      </c>
      <c r="X187" s="64">
        <f ca="1">IF($C$4=Lookups!$D$40,SUM(INDIRECT("'Yr1'!"&amp;ADDRESS(ROW(X187),COLUMN(X187))),INDIRECT("'Yr2'!"&amp;ADDRESS(ROW(X187),COLUMN(X187))),INDIRECT("'Yr3'!"&amp;ADDRESS(ROW(X187),COLUMN(X187)))),
IF($C$4=X$7,X207*X175,0))</f>
        <v>0</v>
      </c>
      <c r="Y187" s="64">
        <f ca="1">IF($C$4=Lookups!$D$40,SUM(INDIRECT("'Yr1'!"&amp;ADDRESS(ROW(Y187),COLUMN(Y187))),INDIRECT("'Yr2'!"&amp;ADDRESS(ROW(Y187),COLUMN(Y187))),INDIRECT("'Yr3'!"&amp;ADDRESS(ROW(Y187),COLUMN(Y187)))),
IF($C$4=Y$7,Y207*Y175,0))</f>
        <v>0</v>
      </c>
      <c r="Z187" s="64">
        <f ca="1">IF($C$4=Lookups!$D$40,SUM(INDIRECT("'Yr1'!"&amp;ADDRESS(ROW(Z187),COLUMN(Z187))),INDIRECT("'Yr2'!"&amp;ADDRESS(ROW(Z187),COLUMN(Z187))),INDIRECT("'Yr3'!"&amp;ADDRESS(ROW(Z187),COLUMN(Z187)))),
IF($C$4=Z$7,Z207*Z175,0))</f>
        <v>0</v>
      </c>
      <c r="AA187" s="64">
        <f ca="1">IF($C$4=Lookups!$D$40,SUM(INDIRECT("'Yr1'!"&amp;ADDRESS(ROW(AA187),COLUMN(AA187))),INDIRECT("'Yr2'!"&amp;ADDRESS(ROW(AA187),COLUMN(AA187))),INDIRECT("'Yr3'!"&amp;ADDRESS(ROW(AA187),COLUMN(AA187)))),
IF($C$4=AA$7,AA207*AA175,0))</f>
        <v>0</v>
      </c>
      <c r="AB187" s="64">
        <f ca="1">IF($C$4=Lookups!$D$40,SUM(INDIRECT("'Yr1'!"&amp;ADDRESS(ROW(AB187),COLUMN(AB187))),INDIRECT("'Yr2'!"&amp;ADDRESS(ROW(AB187),COLUMN(AB187))),INDIRECT("'Yr3'!"&amp;ADDRESS(ROW(AB187),COLUMN(AB187)))),
IF($C$4=AB$7,AB207*AB175,0))</f>
        <v>0</v>
      </c>
      <c r="AC187" s="64">
        <f ca="1">IF($C$4=Lookups!$D$40,SUM(INDIRECT("'Yr1'!"&amp;ADDRESS(ROW(AC187),COLUMN(AC187))),INDIRECT("'Yr2'!"&amp;ADDRESS(ROW(AC187),COLUMN(AC187))),INDIRECT("'Yr3'!"&amp;ADDRESS(ROW(AC187),COLUMN(AC187)))),
IF($C$4=AC$7,AC207*AC175,0))</f>
        <v>0</v>
      </c>
      <c r="AD187" s="64">
        <f ca="1">IF($C$4=Lookups!$D$40,SUM(INDIRECT("'Yr1'!"&amp;ADDRESS(ROW(AD187),COLUMN(AD187))),INDIRECT("'Yr2'!"&amp;ADDRESS(ROW(AD187),COLUMN(AD187))),INDIRECT("'Yr3'!"&amp;ADDRESS(ROW(AD187),COLUMN(AD187)))),
IF($C$4=AD$7,AD207*AD175,0))</f>
        <v>0</v>
      </c>
      <c r="AE187" s="64">
        <f ca="1">IF($C$4=Lookups!$D$40,SUM(INDIRECT("'Yr1'!"&amp;ADDRESS(ROW(AE187),COLUMN(AE187))),INDIRECT("'Yr2'!"&amp;ADDRESS(ROW(AE187),COLUMN(AE187))),INDIRECT("'Yr3'!"&amp;ADDRESS(ROW(AE187),COLUMN(AE187)))),
IF($C$4=AE$7,AE207*AE175,0))</f>
        <v>0</v>
      </c>
      <c r="AF187" s="64">
        <f ca="1">IF($C$4=Lookups!$D$40,SUM(INDIRECT("'Yr1'!"&amp;ADDRESS(ROW(AF187),COLUMN(AF187))),INDIRECT("'Yr2'!"&amp;ADDRESS(ROW(AF187),COLUMN(AF187))),INDIRECT("'Yr3'!"&amp;ADDRESS(ROW(AF187),COLUMN(AF187)))),
IF($C$4=AF$7,AF207*AF175,0))</f>
        <v>0</v>
      </c>
      <c r="AG187" s="64">
        <f ca="1">IF($C$4=Lookups!$D$40,SUM(INDIRECT("'Yr1'!"&amp;ADDRESS(ROW(AG187),COLUMN(AG187))),INDIRECT("'Yr2'!"&amp;ADDRESS(ROW(AG187),COLUMN(AG187))),INDIRECT("'Yr3'!"&amp;ADDRESS(ROW(AG187),COLUMN(AG187)))),
IF($C$4=AG$7,AG207*AG175,0))</f>
        <v>0</v>
      </c>
      <c r="AH187" s="49"/>
      <c r="AI187" s="64">
        <f ca="1">NPV(Lookups!$E$17,G187:AG187)</f>
        <v>2951213.9675873248</v>
      </c>
      <c r="AJ187" s="65"/>
      <c r="AM187" s="71">
        <f ca="1">IF($C$4=Lookups!$D$40,SUM(INDIRECT("'Yr1'!"&amp;ADDRESS(ROW(AM187),COLUMN(AM187))),INDIRECT("'Yr2'!"&amp;ADDRESS(ROW(AM187),COLUMN(AM187))),INDIRECT("'Yr3'!"&amp;ADDRESS(ROW(AM187),COLUMN(AM187)))),
IF($C$4=AM$7,AM207*AM175,0))</f>
        <v>3583160.2713876888</v>
      </c>
      <c r="AN187" s="71">
        <f ca="1">IF($C$4=Lookups!$D$40,SUM(INDIRECT("'Yr1'!"&amp;ADDRESS(ROW(AN187),COLUMN(AN187))),INDIRECT("'Yr2'!"&amp;ADDRESS(ROW(AN187),COLUMN(AN187))),INDIRECT("'Yr3'!"&amp;ADDRESS(ROW(AN187),COLUMN(AN187)))),
IF($C$4=AN$7,AN207*AN175,0))</f>
        <v>0</v>
      </c>
      <c r="AO187" s="71">
        <f ca="1">IF($C$4=Lookups!$D$40,SUM(INDIRECT("'Yr1'!"&amp;ADDRESS(ROW(AO187),COLUMN(AO187))),INDIRECT("'Yr2'!"&amp;ADDRESS(ROW(AO187),COLUMN(AO187))),INDIRECT("'Yr3'!"&amp;ADDRESS(ROW(AO187),COLUMN(AO187)))),
IF($C$4=AO$7,AO207*AO175,0))</f>
        <v>0</v>
      </c>
      <c r="AP187" s="71">
        <f ca="1">IF($C$4=Lookups!$D$40,SUM(INDIRECT("'Yr1'!"&amp;ADDRESS(ROW(AP187),COLUMN(AP187))),INDIRECT("'Yr2'!"&amp;ADDRESS(ROW(AP187),COLUMN(AP187))),INDIRECT("'Yr3'!"&amp;ADDRESS(ROW(AP187),COLUMN(AP187)))),
IF($C$4=AP$7,AP207*AP175,0))</f>
        <v>0</v>
      </c>
      <c r="AQ187" s="71">
        <f ca="1">IF($C$4=Lookups!$D$40,SUM(INDIRECT("'Yr1'!"&amp;ADDRESS(ROW(AQ187),COLUMN(AQ187))),INDIRECT("'Yr2'!"&amp;ADDRESS(ROW(AQ187),COLUMN(AQ187))),INDIRECT("'Yr3'!"&amp;ADDRESS(ROW(AQ187),COLUMN(AQ187)))),
IF($C$4=AQ$7,AQ207*AQ175,0))</f>
        <v>0</v>
      </c>
      <c r="AR187" s="71">
        <f ca="1">IF($C$4=Lookups!$D$40,SUM(INDIRECT("'Yr1'!"&amp;ADDRESS(ROW(AR187),COLUMN(AR187))),INDIRECT("'Yr2'!"&amp;ADDRESS(ROW(AR187),COLUMN(AR187))),INDIRECT("'Yr3'!"&amp;ADDRESS(ROW(AR187),COLUMN(AR187)))),
IF($C$4=AR$7,AR207*AR175,0))</f>
        <v>0</v>
      </c>
      <c r="AS187" s="71">
        <f ca="1">IF($C$4=Lookups!$D$40,SUM(INDIRECT("'Yr1'!"&amp;ADDRESS(ROW(AS187),COLUMN(AS187))),INDIRECT("'Yr2'!"&amp;ADDRESS(ROW(AS187),COLUMN(AS187))),INDIRECT("'Yr3'!"&amp;ADDRESS(ROW(AS187),COLUMN(AS187)))),
IF($C$4=AS$7,AS207*AS175,0))</f>
        <v>0</v>
      </c>
      <c r="AT187" s="71">
        <f ca="1">IF($C$4=Lookups!$D$40,SUM(INDIRECT("'Yr1'!"&amp;ADDRESS(ROW(AT187),COLUMN(AT187))),INDIRECT("'Yr2'!"&amp;ADDRESS(ROW(AT187),COLUMN(AT187))),INDIRECT("'Yr3'!"&amp;ADDRESS(ROW(AT187),COLUMN(AT187)))),
IF($C$4=AT$7,AT207*AT175,0))</f>
        <v>0</v>
      </c>
      <c r="AU187" s="71">
        <f ca="1">IF($C$4=Lookups!$D$40,SUM(INDIRECT("'Yr1'!"&amp;ADDRESS(ROW(AU187),COLUMN(AU187))),INDIRECT("'Yr2'!"&amp;ADDRESS(ROW(AU187),COLUMN(AU187))),INDIRECT("'Yr3'!"&amp;ADDRESS(ROW(AU187),COLUMN(AU187)))),
IF($C$4=AU$7,AU207*AU175,0))</f>
        <v>0</v>
      </c>
      <c r="AV187" s="71">
        <f ca="1">IF($C$4=Lookups!$D$40,SUM(INDIRECT("'Yr1'!"&amp;ADDRESS(ROW(AV187),COLUMN(AV187))),INDIRECT("'Yr2'!"&amp;ADDRESS(ROW(AV187),COLUMN(AV187))),INDIRECT("'Yr3'!"&amp;ADDRESS(ROW(AV187),COLUMN(AV187)))),
IF($C$4=AV$7,AV207*AV175,0))</f>
        <v>0</v>
      </c>
      <c r="AW187" s="71">
        <f ca="1">IF($C$4=Lookups!$D$40,SUM(INDIRECT("'Yr1'!"&amp;ADDRESS(ROW(AW187),COLUMN(AW187))),INDIRECT("'Yr2'!"&amp;ADDRESS(ROW(AW187),COLUMN(AW187))),INDIRECT("'Yr3'!"&amp;ADDRESS(ROW(AW187),COLUMN(AW187)))),
IF($C$4=AW$7,AW207*AW175,0))</f>
        <v>0</v>
      </c>
      <c r="AX187" s="71">
        <f ca="1">IF($C$4=Lookups!$D$40,SUM(INDIRECT("'Yr1'!"&amp;ADDRESS(ROW(AX187),COLUMN(AX187))),INDIRECT("'Yr2'!"&amp;ADDRESS(ROW(AX187),COLUMN(AX187))),INDIRECT("'Yr3'!"&amp;ADDRESS(ROW(AX187),COLUMN(AX187)))),
IF($C$4=AX$7,AX207*AX175,0))</f>
        <v>0</v>
      </c>
      <c r="AY187" s="71">
        <f ca="1">IF($C$4=Lookups!$D$40,SUM(INDIRECT("'Yr1'!"&amp;ADDRESS(ROW(AY187),COLUMN(AY187))),INDIRECT("'Yr2'!"&amp;ADDRESS(ROW(AY187),COLUMN(AY187))),INDIRECT("'Yr3'!"&amp;ADDRESS(ROW(AY187),COLUMN(AY187)))),
IF($C$4=AY$7,AY207*AY175,0))</f>
        <v>0</v>
      </c>
      <c r="AZ187" s="71">
        <f ca="1">IF($C$4=Lookups!$D$40,SUM(INDIRECT("'Yr1'!"&amp;ADDRESS(ROW(AZ187),COLUMN(AZ187))),INDIRECT("'Yr2'!"&amp;ADDRESS(ROW(AZ187),COLUMN(AZ187))),INDIRECT("'Yr3'!"&amp;ADDRESS(ROW(AZ187),COLUMN(AZ187)))),
IF($C$4=AZ$7,AZ207*AZ175,0))</f>
        <v>0</v>
      </c>
      <c r="BA187" s="71">
        <f ca="1">IF($C$4=Lookups!$D$40,SUM(INDIRECT("'Yr1'!"&amp;ADDRESS(ROW(BA187),COLUMN(BA187))),INDIRECT("'Yr2'!"&amp;ADDRESS(ROW(BA187),COLUMN(BA187))),INDIRECT("'Yr3'!"&amp;ADDRESS(ROW(BA187),COLUMN(BA187)))),
IF($C$4=BA$7,BA207*BA175,0))</f>
        <v>0</v>
      </c>
      <c r="BB187" s="71">
        <f ca="1">IF($C$4=Lookups!$D$40,SUM(INDIRECT("'Yr1'!"&amp;ADDRESS(ROW(BB187),COLUMN(BB187))),INDIRECT("'Yr2'!"&amp;ADDRESS(ROW(BB187),COLUMN(BB187))),INDIRECT("'Yr3'!"&amp;ADDRESS(ROW(BB187),COLUMN(BB187)))),
IF($C$4=BB$7,BB207*BB175,0))</f>
        <v>0</v>
      </c>
      <c r="BC187" s="71">
        <f ca="1">IF($C$4=Lookups!$D$40,SUM(INDIRECT("'Yr1'!"&amp;ADDRESS(ROW(BC187),COLUMN(BC187))),INDIRECT("'Yr2'!"&amp;ADDRESS(ROW(BC187),COLUMN(BC187))),INDIRECT("'Yr3'!"&amp;ADDRESS(ROW(BC187),COLUMN(BC187)))),
IF($C$4=BC$7,BC207*BC175,0))</f>
        <v>0</v>
      </c>
      <c r="BD187" s="71">
        <f ca="1">IF($C$4=Lookups!$D$40,SUM(INDIRECT("'Yr1'!"&amp;ADDRESS(ROW(BD187),COLUMN(BD187))),INDIRECT("'Yr2'!"&amp;ADDRESS(ROW(BD187),COLUMN(BD187))),INDIRECT("'Yr3'!"&amp;ADDRESS(ROW(BD187),COLUMN(BD187)))),
IF($C$4=BD$7,BD207*BD175,0))</f>
        <v>0</v>
      </c>
      <c r="BE187" s="71">
        <f ca="1">IF($C$4=Lookups!$D$40,SUM(INDIRECT("'Yr1'!"&amp;ADDRESS(ROW(BE187),COLUMN(BE187))),INDIRECT("'Yr2'!"&amp;ADDRESS(ROW(BE187),COLUMN(BE187))),INDIRECT("'Yr3'!"&amp;ADDRESS(ROW(BE187),COLUMN(BE187)))),
IF($C$4=BE$7,BE207*BE175,0))</f>
        <v>0</v>
      </c>
      <c r="BF187" s="71">
        <f ca="1">IF($C$4=Lookups!$D$40,SUM(INDIRECT("'Yr1'!"&amp;ADDRESS(ROW(BF187),COLUMN(BF187))),INDIRECT("'Yr2'!"&amp;ADDRESS(ROW(BF187),COLUMN(BF187))),INDIRECT("'Yr3'!"&amp;ADDRESS(ROW(BF187),COLUMN(BF187)))),
IF($C$4=BF$7,BF207*BF175,0))</f>
        <v>0</v>
      </c>
      <c r="BG187" s="71">
        <f ca="1">IF($C$4=Lookups!$D$40,SUM(INDIRECT("'Yr1'!"&amp;ADDRESS(ROW(BG187),COLUMN(BG187))),INDIRECT("'Yr2'!"&amp;ADDRESS(ROW(BG187),COLUMN(BG187))),INDIRECT("'Yr3'!"&amp;ADDRESS(ROW(BG187),COLUMN(BG187)))),
IF($C$4=BG$7,BG207*BG175,0))</f>
        <v>0</v>
      </c>
      <c r="BH187" s="71">
        <f ca="1">IF($C$4=Lookups!$D$40,SUM(INDIRECT("'Yr1'!"&amp;ADDRESS(ROW(BH187),COLUMN(BH187))),INDIRECT("'Yr2'!"&amp;ADDRESS(ROW(BH187),COLUMN(BH187))),INDIRECT("'Yr3'!"&amp;ADDRESS(ROW(BH187),COLUMN(BH187)))),
IF($C$4=BH$7,BH207*BH175,0))</f>
        <v>0</v>
      </c>
      <c r="BI187" s="71">
        <f ca="1">IF($C$4=Lookups!$D$40,SUM(INDIRECT("'Yr1'!"&amp;ADDRESS(ROW(BI187),COLUMN(BI187))),INDIRECT("'Yr2'!"&amp;ADDRESS(ROW(BI187),COLUMN(BI187))),INDIRECT("'Yr3'!"&amp;ADDRESS(ROW(BI187),COLUMN(BI187)))),
IF($C$4=BI$7,BI207*BI175,0))</f>
        <v>0</v>
      </c>
      <c r="BJ187" s="71">
        <f ca="1">IF($C$4=Lookups!$D$40,SUM(INDIRECT("'Yr1'!"&amp;ADDRESS(ROW(BJ187),COLUMN(BJ187))),INDIRECT("'Yr2'!"&amp;ADDRESS(ROW(BJ187),COLUMN(BJ187))),INDIRECT("'Yr3'!"&amp;ADDRESS(ROW(BJ187),COLUMN(BJ187)))),
IF($C$4=BJ$7,BJ207*BJ175,0))</f>
        <v>0</v>
      </c>
      <c r="BK187" s="71">
        <f ca="1">IF($C$4=Lookups!$D$40,SUM(INDIRECT("'Yr1'!"&amp;ADDRESS(ROW(BK187),COLUMN(BK187))),INDIRECT("'Yr2'!"&amp;ADDRESS(ROW(BK187),COLUMN(BK187))),INDIRECT("'Yr3'!"&amp;ADDRESS(ROW(BK187),COLUMN(BK187)))),
IF($C$4=BK$7,BK207*BK175,0))</f>
        <v>0</v>
      </c>
      <c r="BL187" s="71">
        <f ca="1">IF($C$4=Lookups!$D$40,SUM(INDIRECT("'Yr1'!"&amp;ADDRESS(ROW(BL187),COLUMN(BL187))),INDIRECT("'Yr2'!"&amp;ADDRESS(ROW(BL187),COLUMN(BL187))),INDIRECT("'Yr3'!"&amp;ADDRESS(ROW(BL187),COLUMN(BL187)))),
IF($C$4=BL$7,BL207*BL175,0))</f>
        <v>0</v>
      </c>
      <c r="BM187" s="71">
        <f ca="1">IF($C$4=Lookups!$D$40,SUM(INDIRECT("'Yr1'!"&amp;ADDRESS(ROW(BM187),COLUMN(BM187))),INDIRECT("'Yr2'!"&amp;ADDRESS(ROW(BM187),COLUMN(BM187))),INDIRECT("'Yr3'!"&amp;ADDRESS(ROW(BM187),COLUMN(BM187)))),
IF($C$4=BM$7,BM207*BM175,0))</f>
        <v>0</v>
      </c>
      <c r="BN187" s="71"/>
      <c r="BO187" s="71">
        <f ca="1">NPV(Lookups!$E$17,AM187:BM187)</f>
        <v>3533186.898111192</v>
      </c>
      <c r="BP187" s="72"/>
      <c r="BS187" s="84" t="str">
        <f>E187&amp;" rate multiplied by After DSM sales."</f>
        <v>LDAC, EE Only rate multiplied by After DSM sales.</v>
      </c>
      <c r="BT187" s="51" t="s">
        <v>17</v>
      </c>
    </row>
    <row r="188" spans="1:72" x14ac:dyDescent="0.25">
      <c r="A188" s="476"/>
      <c r="B188" s="243" t="str">
        <f t="shared" si="192"/>
        <v>Small C&amp;I</v>
      </c>
      <c r="C188" s="243" t="str">
        <f t="shared" si="192"/>
        <v>Revenue Requirements</v>
      </c>
      <c r="D188" s="244" t="str">
        <f>D187</f>
        <v>Increased Costs and Cost Shifting</v>
      </c>
      <c r="E188" s="86" t="s">
        <v>198</v>
      </c>
      <c r="F188" s="84" t="s">
        <v>32</v>
      </c>
      <c r="G188" s="64">
        <f ca="1">IF($C$4=Lookups!$D$40,SUM(INDIRECT("'Yr1'!"&amp;ADDRESS(ROW(G188),COLUMN(G188))),INDIRECT("'Yr2'!"&amp;ADDRESS(ROW(G188),COLUMN(G188))),INDIRECT("'Yr3'!"&amp;ADDRESS(ROW(G188),COLUMN(G188)))),
G208*G175)</f>
        <v>134441.1887961996</v>
      </c>
      <c r="H188" s="64">
        <f ca="1">IF($C$4=Lookups!$D$40,SUM(INDIRECT("'Yr1'!"&amp;ADDRESS(ROW(H188),COLUMN(H188))),INDIRECT("'Yr2'!"&amp;ADDRESS(ROW(H188),COLUMN(H188))),INDIRECT("'Yr3'!"&amp;ADDRESS(ROW(H188),COLUMN(H188)))),
H208*H175)</f>
        <v>134441.1887961996</v>
      </c>
      <c r="I188" s="64">
        <f ca="1">IF($C$4=Lookups!$D$40,SUM(INDIRECT("'Yr1'!"&amp;ADDRESS(ROW(I188),COLUMN(I188))),INDIRECT("'Yr2'!"&amp;ADDRESS(ROW(I188),COLUMN(I188))),INDIRECT("'Yr3'!"&amp;ADDRESS(ROW(I188),COLUMN(I188)))),
I208*I175)</f>
        <v>134441.1887961996</v>
      </c>
      <c r="J188" s="64">
        <f ca="1">IF($C$4=Lookups!$D$40,SUM(INDIRECT("'Yr1'!"&amp;ADDRESS(ROW(J188),COLUMN(J188))),INDIRECT("'Yr2'!"&amp;ADDRESS(ROW(J188),COLUMN(J188))),INDIRECT("'Yr3'!"&amp;ADDRESS(ROW(J188),COLUMN(J188)))),
J208*J175)</f>
        <v>134441.1887961996</v>
      </c>
      <c r="K188" s="64">
        <f ca="1">IF($C$4=Lookups!$D$40,SUM(INDIRECT("'Yr1'!"&amp;ADDRESS(ROW(K188),COLUMN(K188))),INDIRECT("'Yr2'!"&amp;ADDRESS(ROW(K188),COLUMN(K188))),INDIRECT("'Yr3'!"&amp;ADDRESS(ROW(K188),COLUMN(K188)))),
K208*K175)</f>
        <v>134441.1887961996</v>
      </c>
      <c r="L188" s="64">
        <f ca="1">IF($C$4=Lookups!$D$40,SUM(INDIRECT("'Yr1'!"&amp;ADDRESS(ROW(L188),COLUMN(L188))),INDIRECT("'Yr2'!"&amp;ADDRESS(ROW(L188),COLUMN(L188))),INDIRECT("'Yr3'!"&amp;ADDRESS(ROW(L188),COLUMN(L188)))),
L208*L175)</f>
        <v>134441.1887961996</v>
      </c>
      <c r="M188" s="64">
        <f ca="1">IF($C$4=Lookups!$D$40,SUM(INDIRECT("'Yr1'!"&amp;ADDRESS(ROW(M188),COLUMN(M188))),INDIRECT("'Yr2'!"&amp;ADDRESS(ROW(M188),COLUMN(M188))),INDIRECT("'Yr3'!"&amp;ADDRESS(ROW(M188),COLUMN(M188)))),
M208*M175)</f>
        <v>134441.1887961996</v>
      </c>
      <c r="N188" s="64">
        <f ca="1">IF($C$4=Lookups!$D$40,SUM(INDIRECT("'Yr1'!"&amp;ADDRESS(ROW(N188),COLUMN(N188))),INDIRECT("'Yr2'!"&amp;ADDRESS(ROW(N188),COLUMN(N188))),INDIRECT("'Yr3'!"&amp;ADDRESS(ROW(N188),COLUMN(N188)))),
N208*N175)</f>
        <v>134441.1887961996</v>
      </c>
      <c r="O188" s="64">
        <f ca="1">IF($C$4=Lookups!$D$40,SUM(INDIRECT("'Yr1'!"&amp;ADDRESS(ROW(O188),COLUMN(O188))),INDIRECT("'Yr2'!"&amp;ADDRESS(ROW(O188),COLUMN(O188))),INDIRECT("'Yr3'!"&amp;ADDRESS(ROW(O188),COLUMN(O188)))),
O208*O175)</f>
        <v>134441.1887961996</v>
      </c>
      <c r="P188" s="64">
        <f ca="1">IF($C$4=Lookups!$D$40,SUM(INDIRECT("'Yr1'!"&amp;ADDRESS(ROW(P188),COLUMN(P188))),INDIRECT("'Yr2'!"&amp;ADDRESS(ROW(P188),COLUMN(P188))),INDIRECT("'Yr3'!"&amp;ADDRESS(ROW(P188),COLUMN(P188)))),
P208*P175)</f>
        <v>134441.1887961996</v>
      </c>
      <c r="Q188" s="64">
        <f ca="1">IF($C$4=Lookups!$D$40,SUM(INDIRECT("'Yr1'!"&amp;ADDRESS(ROW(Q188),COLUMN(Q188))),INDIRECT("'Yr2'!"&amp;ADDRESS(ROW(Q188),COLUMN(Q188))),INDIRECT("'Yr3'!"&amp;ADDRESS(ROW(Q188),COLUMN(Q188)))),
Q208*Q175)</f>
        <v>134441.1887961996</v>
      </c>
      <c r="R188" s="64">
        <f ca="1">IF($C$4=Lookups!$D$40,SUM(INDIRECT("'Yr1'!"&amp;ADDRESS(ROW(R188),COLUMN(R188))),INDIRECT("'Yr2'!"&amp;ADDRESS(ROW(R188),COLUMN(R188))),INDIRECT("'Yr3'!"&amp;ADDRESS(ROW(R188),COLUMN(R188)))),
R208*R175)</f>
        <v>134441.1887961996</v>
      </c>
      <c r="S188" s="64">
        <f ca="1">IF($C$4=Lookups!$D$40,SUM(INDIRECT("'Yr1'!"&amp;ADDRESS(ROW(S188),COLUMN(S188))),INDIRECT("'Yr2'!"&amp;ADDRESS(ROW(S188),COLUMN(S188))),INDIRECT("'Yr3'!"&amp;ADDRESS(ROW(S188),COLUMN(S188)))),
S208*S175)</f>
        <v>134441.1887961996</v>
      </c>
      <c r="T188" s="64">
        <f ca="1">IF($C$4=Lookups!$D$40,SUM(INDIRECT("'Yr1'!"&amp;ADDRESS(ROW(T188),COLUMN(T188))),INDIRECT("'Yr2'!"&amp;ADDRESS(ROW(T188),COLUMN(T188))),INDIRECT("'Yr3'!"&amp;ADDRESS(ROW(T188),COLUMN(T188)))),
T208*T175)</f>
        <v>134441.1887961996</v>
      </c>
      <c r="U188" s="64">
        <f ca="1">IF($C$4=Lookups!$D$40,SUM(INDIRECT("'Yr1'!"&amp;ADDRESS(ROW(U188),COLUMN(U188))),INDIRECT("'Yr2'!"&amp;ADDRESS(ROW(U188),COLUMN(U188))),INDIRECT("'Yr3'!"&amp;ADDRESS(ROW(U188),COLUMN(U188)))),
U208*U175)</f>
        <v>134441.1887961996</v>
      </c>
      <c r="V188" s="64">
        <f ca="1">IF($C$4=Lookups!$D$40,SUM(INDIRECT("'Yr1'!"&amp;ADDRESS(ROW(V188),COLUMN(V188))),INDIRECT("'Yr2'!"&amp;ADDRESS(ROW(V188),COLUMN(V188))),INDIRECT("'Yr3'!"&amp;ADDRESS(ROW(V188),COLUMN(V188)))),
V208*V175)</f>
        <v>134441.1887961996</v>
      </c>
      <c r="W188" s="64">
        <f ca="1">IF($C$4=Lookups!$D$40,SUM(INDIRECT("'Yr1'!"&amp;ADDRESS(ROW(W188),COLUMN(W188))),INDIRECT("'Yr2'!"&amp;ADDRESS(ROW(W188),COLUMN(W188))),INDIRECT("'Yr3'!"&amp;ADDRESS(ROW(W188),COLUMN(W188)))),
W208*W175)</f>
        <v>0</v>
      </c>
      <c r="X188" s="64">
        <f ca="1">IF($C$4=Lookups!$D$40,SUM(INDIRECT("'Yr1'!"&amp;ADDRESS(ROW(X188),COLUMN(X188))),INDIRECT("'Yr2'!"&amp;ADDRESS(ROW(X188),COLUMN(X188))),INDIRECT("'Yr3'!"&amp;ADDRESS(ROW(X188),COLUMN(X188)))),
X208*X175)</f>
        <v>0</v>
      </c>
      <c r="Y188" s="64">
        <f ca="1">IF($C$4=Lookups!$D$40,SUM(INDIRECT("'Yr1'!"&amp;ADDRESS(ROW(Y188),COLUMN(Y188))),INDIRECT("'Yr2'!"&amp;ADDRESS(ROW(Y188),COLUMN(Y188))),INDIRECT("'Yr3'!"&amp;ADDRESS(ROW(Y188),COLUMN(Y188)))),
Y208*Y175)</f>
        <v>0</v>
      </c>
      <c r="Z188" s="64">
        <f ca="1">IF($C$4=Lookups!$D$40,SUM(INDIRECT("'Yr1'!"&amp;ADDRESS(ROW(Z188),COLUMN(Z188))),INDIRECT("'Yr2'!"&amp;ADDRESS(ROW(Z188),COLUMN(Z188))),INDIRECT("'Yr3'!"&amp;ADDRESS(ROW(Z188),COLUMN(Z188)))),
Z208*Z175)</f>
        <v>0</v>
      </c>
      <c r="AA188" s="64">
        <f ca="1">IF($C$4=Lookups!$D$40,SUM(INDIRECT("'Yr1'!"&amp;ADDRESS(ROW(AA188),COLUMN(AA188))),INDIRECT("'Yr2'!"&amp;ADDRESS(ROW(AA188),COLUMN(AA188))),INDIRECT("'Yr3'!"&amp;ADDRESS(ROW(AA188),COLUMN(AA188)))),
AA208*AA175)</f>
        <v>0</v>
      </c>
      <c r="AB188" s="64">
        <f ca="1">IF($C$4=Lookups!$D$40,SUM(INDIRECT("'Yr1'!"&amp;ADDRESS(ROW(AB188),COLUMN(AB188))),INDIRECT("'Yr2'!"&amp;ADDRESS(ROW(AB188),COLUMN(AB188))),INDIRECT("'Yr3'!"&amp;ADDRESS(ROW(AB188),COLUMN(AB188)))),
AB208*AB175)</f>
        <v>0</v>
      </c>
      <c r="AC188" s="64">
        <f ca="1">IF($C$4=Lookups!$D$40,SUM(INDIRECT("'Yr1'!"&amp;ADDRESS(ROW(AC188),COLUMN(AC188))),INDIRECT("'Yr2'!"&amp;ADDRESS(ROW(AC188),COLUMN(AC188))),INDIRECT("'Yr3'!"&amp;ADDRESS(ROW(AC188),COLUMN(AC188)))),
AC208*AC175)</f>
        <v>0</v>
      </c>
      <c r="AD188" s="64">
        <f ca="1">IF($C$4=Lookups!$D$40,SUM(INDIRECT("'Yr1'!"&amp;ADDRESS(ROW(AD188),COLUMN(AD188))),INDIRECT("'Yr2'!"&amp;ADDRESS(ROW(AD188),COLUMN(AD188))),INDIRECT("'Yr3'!"&amp;ADDRESS(ROW(AD188),COLUMN(AD188)))),
AD208*AD175)</f>
        <v>0</v>
      </c>
      <c r="AE188" s="64">
        <f ca="1">IF($C$4=Lookups!$D$40,SUM(INDIRECT("'Yr1'!"&amp;ADDRESS(ROW(AE188),COLUMN(AE188))),INDIRECT("'Yr2'!"&amp;ADDRESS(ROW(AE188),COLUMN(AE188))),INDIRECT("'Yr3'!"&amp;ADDRESS(ROW(AE188),COLUMN(AE188)))),
AE208*AE175)</f>
        <v>0</v>
      </c>
      <c r="AF188" s="64">
        <f ca="1">IF($C$4=Lookups!$D$40,SUM(INDIRECT("'Yr1'!"&amp;ADDRESS(ROW(AF188),COLUMN(AF188))),INDIRECT("'Yr2'!"&amp;ADDRESS(ROW(AF188),COLUMN(AF188))),INDIRECT("'Yr3'!"&amp;ADDRESS(ROW(AF188),COLUMN(AF188)))),
AF208*AF175)</f>
        <v>0</v>
      </c>
      <c r="AG188" s="64">
        <f ca="1">IF($C$4=Lookups!$D$40,SUM(INDIRECT("'Yr1'!"&amp;ADDRESS(ROW(AG188),COLUMN(AG188))),INDIRECT("'Yr2'!"&amp;ADDRESS(ROW(AG188),COLUMN(AG188))),INDIRECT("'Yr3'!"&amp;ADDRESS(ROW(AG188),COLUMN(AG188)))),
AG208*AG175)</f>
        <v>0</v>
      </c>
      <c r="AH188" s="49"/>
      <c r="AI188" s="64">
        <f ca="1">NPV(Lookups!$E$17,G188:AG188)</f>
        <v>1913001.7919465418</v>
      </c>
      <c r="AJ188" s="65"/>
      <c r="AM188" s="71">
        <f ca="1">IF($C$4=Lookups!$D$40,SUM(INDIRECT("'Yr1'!"&amp;ADDRESS(ROW(AM188),COLUMN(AM188))),INDIRECT("'Yr2'!"&amp;ADDRESS(ROW(AM188),COLUMN(AM188))),INDIRECT("'Yr3'!"&amp;ADDRESS(ROW(AM188),COLUMN(AM188)))),
AM208*AM175)</f>
        <v>153610.51045353391</v>
      </c>
      <c r="AN188" s="71">
        <f ca="1">IF($C$4=Lookups!$D$40,SUM(INDIRECT("'Yr1'!"&amp;ADDRESS(ROW(AN188),COLUMN(AN188))),INDIRECT("'Yr2'!"&amp;ADDRESS(ROW(AN188),COLUMN(AN188))),INDIRECT("'Yr3'!"&amp;ADDRESS(ROW(AN188),COLUMN(AN188)))),
AN208*AN175)</f>
        <v>153610.51045353391</v>
      </c>
      <c r="AO188" s="71">
        <f ca="1">IF($C$4=Lookups!$D$40,SUM(INDIRECT("'Yr1'!"&amp;ADDRESS(ROW(AO188),COLUMN(AO188))),INDIRECT("'Yr2'!"&amp;ADDRESS(ROW(AO188),COLUMN(AO188))),INDIRECT("'Yr3'!"&amp;ADDRESS(ROW(AO188),COLUMN(AO188)))),
AO208*AO175)</f>
        <v>153610.51045353391</v>
      </c>
      <c r="AP188" s="71">
        <f ca="1">IF($C$4=Lookups!$D$40,SUM(INDIRECT("'Yr1'!"&amp;ADDRESS(ROW(AP188),COLUMN(AP188))),INDIRECT("'Yr2'!"&amp;ADDRESS(ROW(AP188),COLUMN(AP188))),INDIRECT("'Yr3'!"&amp;ADDRESS(ROW(AP188),COLUMN(AP188)))),
AP208*AP175)</f>
        <v>153610.51045353391</v>
      </c>
      <c r="AQ188" s="71">
        <f ca="1">IF($C$4=Lookups!$D$40,SUM(INDIRECT("'Yr1'!"&amp;ADDRESS(ROW(AQ188),COLUMN(AQ188))),INDIRECT("'Yr2'!"&amp;ADDRESS(ROW(AQ188),COLUMN(AQ188))),INDIRECT("'Yr3'!"&amp;ADDRESS(ROW(AQ188),COLUMN(AQ188)))),
AQ208*AQ175)</f>
        <v>153610.51045353391</v>
      </c>
      <c r="AR188" s="71">
        <f ca="1">IF($C$4=Lookups!$D$40,SUM(INDIRECT("'Yr1'!"&amp;ADDRESS(ROW(AR188),COLUMN(AR188))),INDIRECT("'Yr2'!"&amp;ADDRESS(ROW(AR188),COLUMN(AR188))),INDIRECT("'Yr3'!"&amp;ADDRESS(ROW(AR188),COLUMN(AR188)))),
AR208*AR175)</f>
        <v>153610.51045353391</v>
      </c>
      <c r="AS188" s="71">
        <f ca="1">IF($C$4=Lookups!$D$40,SUM(INDIRECT("'Yr1'!"&amp;ADDRESS(ROW(AS188),COLUMN(AS188))),INDIRECT("'Yr2'!"&amp;ADDRESS(ROW(AS188),COLUMN(AS188))),INDIRECT("'Yr3'!"&amp;ADDRESS(ROW(AS188),COLUMN(AS188)))),
AS208*AS175)</f>
        <v>153610.51045353391</v>
      </c>
      <c r="AT188" s="71">
        <f ca="1">IF($C$4=Lookups!$D$40,SUM(INDIRECT("'Yr1'!"&amp;ADDRESS(ROW(AT188),COLUMN(AT188))),INDIRECT("'Yr2'!"&amp;ADDRESS(ROW(AT188),COLUMN(AT188))),INDIRECT("'Yr3'!"&amp;ADDRESS(ROW(AT188),COLUMN(AT188)))),
AT208*AT175)</f>
        <v>153610.51045353391</v>
      </c>
      <c r="AU188" s="71">
        <f ca="1">IF($C$4=Lookups!$D$40,SUM(INDIRECT("'Yr1'!"&amp;ADDRESS(ROW(AU188),COLUMN(AU188))),INDIRECT("'Yr2'!"&amp;ADDRESS(ROW(AU188),COLUMN(AU188))),INDIRECT("'Yr3'!"&amp;ADDRESS(ROW(AU188),COLUMN(AU188)))),
AU208*AU175)</f>
        <v>153610.51045353391</v>
      </c>
      <c r="AV188" s="71">
        <f ca="1">IF($C$4=Lookups!$D$40,SUM(INDIRECT("'Yr1'!"&amp;ADDRESS(ROW(AV188),COLUMN(AV188))),INDIRECT("'Yr2'!"&amp;ADDRESS(ROW(AV188),COLUMN(AV188))),INDIRECT("'Yr3'!"&amp;ADDRESS(ROW(AV188),COLUMN(AV188)))),
AV208*AV175)</f>
        <v>153610.51045353391</v>
      </c>
      <c r="AW188" s="71">
        <f ca="1">IF($C$4=Lookups!$D$40,SUM(INDIRECT("'Yr1'!"&amp;ADDRESS(ROW(AW188),COLUMN(AW188))),INDIRECT("'Yr2'!"&amp;ADDRESS(ROW(AW188),COLUMN(AW188))),INDIRECT("'Yr3'!"&amp;ADDRESS(ROW(AW188),COLUMN(AW188)))),
AW208*AW175)</f>
        <v>153610.51045353391</v>
      </c>
      <c r="AX188" s="71">
        <f ca="1">IF($C$4=Lookups!$D$40,SUM(INDIRECT("'Yr1'!"&amp;ADDRESS(ROW(AX188),COLUMN(AX188))),INDIRECT("'Yr2'!"&amp;ADDRESS(ROW(AX188),COLUMN(AX188))),INDIRECT("'Yr3'!"&amp;ADDRESS(ROW(AX188),COLUMN(AX188)))),
AX208*AX175)</f>
        <v>153610.51045353391</v>
      </c>
      <c r="AY188" s="71">
        <f ca="1">IF($C$4=Lookups!$D$40,SUM(INDIRECT("'Yr1'!"&amp;ADDRESS(ROW(AY188),COLUMN(AY188))),INDIRECT("'Yr2'!"&amp;ADDRESS(ROW(AY188),COLUMN(AY188))),INDIRECT("'Yr3'!"&amp;ADDRESS(ROW(AY188),COLUMN(AY188)))),
AY208*AY175)</f>
        <v>153610.51045353391</v>
      </c>
      <c r="AZ188" s="71">
        <f ca="1">IF($C$4=Lookups!$D$40,SUM(INDIRECT("'Yr1'!"&amp;ADDRESS(ROW(AZ188),COLUMN(AZ188))),INDIRECT("'Yr2'!"&amp;ADDRESS(ROW(AZ188),COLUMN(AZ188))),INDIRECT("'Yr3'!"&amp;ADDRESS(ROW(AZ188),COLUMN(AZ188)))),
AZ208*AZ175)</f>
        <v>153610.51045353391</v>
      </c>
      <c r="BA188" s="71">
        <f ca="1">IF($C$4=Lookups!$D$40,SUM(INDIRECT("'Yr1'!"&amp;ADDRESS(ROW(BA188),COLUMN(BA188))),INDIRECT("'Yr2'!"&amp;ADDRESS(ROW(BA188),COLUMN(BA188))),INDIRECT("'Yr3'!"&amp;ADDRESS(ROW(BA188),COLUMN(BA188)))),
BA208*BA175)</f>
        <v>153610.51045353391</v>
      </c>
      <c r="BB188" s="71">
        <f ca="1">IF($C$4=Lookups!$D$40,SUM(INDIRECT("'Yr1'!"&amp;ADDRESS(ROW(BB188),COLUMN(BB188))),INDIRECT("'Yr2'!"&amp;ADDRESS(ROW(BB188),COLUMN(BB188))),INDIRECT("'Yr3'!"&amp;ADDRESS(ROW(BB188),COLUMN(BB188)))),
BB208*BB175)</f>
        <v>153610.51045353391</v>
      </c>
      <c r="BC188" s="71">
        <f ca="1">IF($C$4=Lookups!$D$40,SUM(INDIRECT("'Yr1'!"&amp;ADDRESS(ROW(BC188),COLUMN(BC188))),INDIRECT("'Yr2'!"&amp;ADDRESS(ROW(BC188),COLUMN(BC188))),INDIRECT("'Yr3'!"&amp;ADDRESS(ROW(BC188),COLUMN(BC188)))),
BC208*BC175)</f>
        <v>0</v>
      </c>
      <c r="BD188" s="71">
        <f ca="1">IF($C$4=Lookups!$D$40,SUM(INDIRECT("'Yr1'!"&amp;ADDRESS(ROW(BD188),COLUMN(BD188))),INDIRECT("'Yr2'!"&amp;ADDRESS(ROW(BD188),COLUMN(BD188))),INDIRECT("'Yr3'!"&amp;ADDRESS(ROW(BD188),COLUMN(BD188)))),
BD208*BD175)</f>
        <v>0</v>
      </c>
      <c r="BE188" s="71">
        <f ca="1">IF($C$4=Lookups!$D$40,SUM(INDIRECT("'Yr1'!"&amp;ADDRESS(ROW(BE188),COLUMN(BE188))),INDIRECT("'Yr2'!"&amp;ADDRESS(ROW(BE188),COLUMN(BE188))),INDIRECT("'Yr3'!"&amp;ADDRESS(ROW(BE188),COLUMN(BE188)))),
BE208*BE175)</f>
        <v>0</v>
      </c>
      <c r="BF188" s="71">
        <f ca="1">IF($C$4=Lookups!$D$40,SUM(INDIRECT("'Yr1'!"&amp;ADDRESS(ROW(BF188),COLUMN(BF188))),INDIRECT("'Yr2'!"&amp;ADDRESS(ROW(BF188),COLUMN(BF188))),INDIRECT("'Yr3'!"&amp;ADDRESS(ROW(BF188),COLUMN(BF188)))),
BF208*BF175)</f>
        <v>0</v>
      </c>
      <c r="BG188" s="71">
        <f ca="1">IF($C$4=Lookups!$D$40,SUM(INDIRECT("'Yr1'!"&amp;ADDRESS(ROW(BG188),COLUMN(BG188))),INDIRECT("'Yr2'!"&amp;ADDRESS(ROW(BG188),COLUMN(BG188))),INDIRECT("'Yr3'!"&amp;ADDRESS(ROW(BG188),COLUMN(BG188)))),
BG208*BG175)</f>
        <v>0</v>
      </c>
      <c r="BH188" s="71">
        <f ca="1">IF($C$4=Lookups!$D$40,SUM(INDIRECT("'Yr1'!"&amp;ADDRESS(ROW(BH188),COLUMN(BH188))),INDIRECT("'Yr2'!"&amp;ADDRESS(ROW(BH188),COLUMN(BH188))),INDIRECT("'Yr3'!"&amp;ADDRESS(ROW(BH188),COLUMN(BH188)))),
BH208*BH175)</f>
        <v>0</v>
      </c>
      <c r="BI188" s="71">
        <f ca="1">IF($C$4=Lookups!$D$40,SUM(INDIRECT("'Yr1'!"&amp;ADDRESS(ROW(BI188),COLUMN(BI188))),INDIRECT("'Yr2'!"&amp;ADDRESS(ROW(BI188),COLUMN(BI188))),INDIRECT("'Yr3'!"&amp;ADDRESS(ROW(BI188),COLUMN(BI188)))),
BI208*BI175)</f>
        <v>0</v>
      </c>
      <c r="BJ188" s="71">
        <f ca="1">IF($C$4=Lookups!$D$40,SUM(INDIRECT("'Yr1'!"&amp;ADDRESS(ROW(BJ188),COLUMN(BJ188))),INDIRECT("'Yr2'!"&amp;ADDRESS(ROW(BJ188),COLUMN(BJ188))),INDIRECT("'Yr3'!"&amp;ADDRESS(ROW(BJ188),COLUMN(BJ188)))),
BJ208*BJ175)</f>
        <v>0</v>
      </c>
      <c r="BK188" s="71">
        <f ca="1">IF($C$4=Lookups!$D$40,SUM(INDIRECT("'Yr1'!"&amp;ADDRESS(ROW(BK188),COLUMN(BK188))),INDIRECT("'Yr2'!"&amp;ADDRESS(ROW(BK188),COLUMN(BK188))),INDIRECT("'Yr3'!"&amp;ADDRESS(ROW(BK188),COLUMN(BK188)))),
BK208*BK175)</f>
        <v>0</v>
      </c>
      <c r="BL188" s="71">
        <f ca="1">IF($C$4=Lookups!$D$40,SUM(INDIRECT("'Yr1'!"&amp;ADDRESS(ROW(BL188),COLUMN(BL188))),INDIRECT("'Yr2'!"&amp;ADDRESS(ROW(BL188),COLUMN(BL188))),INDIRECT("'Yr3'!"&amp;ADDRESS(ROW(BL188),COLUMN(BL188)))),
BL208*BL175)</f>
        <v>0</v>
      </c>
      <c r="BM188" s="71">
        <f ca="1">IF($C$4=Lookups!$D$40,SUM(INDIRECT("'Yr1'!"&amp;ADDRESS(ROW(BM188),COLUMN(BM188))),INDIRECT("'Yr2'!"&amp;ADDRESS(ROW(BM188),COLUMN(BM188))),INDIRECT("'Yr3'!"&amp;ADDRESS(ROW(BM188),COLUMN(BM188)))),
BM208*BM175)</f>
        <v>0</v>
      </c>
      <c r="BN188" s="71"/>
      <c r="BO188" s="71">
        <f ca="1">NPV(Lookups!$E$17,AM188:BM188)</f>
        <v>2185767.5046662493</v>
      </c>
      <c r="BP188" s="72"/>
      <c r="BS188" s="84" t="str">
        <f>E188&amp;" rate multiplied by After DSM sales."</f>
        <v>Distribution Lost Revenue rate multiplied by After DSM sales.</v>
      </c>
      <c r="BT188" s="51" t="s">
        <v>17</v>
      </c>
    </row>
    <row r="189" spans="1:72" x14ac:dyDescent="0.25">
      <c r="B189" s="243" t="str">
        <f>B187</f>
        <v>Small C&amp;I</v>
      </c>
      <c r="C189" s="243" t="str">
        <f>C187</f>
        <v>Revenue Requirements</v>
      </c>
      <c r="D189" s="114" t="s">
        <v>125</v>
      </c>
      <c r="E189" s="84"/>
      <c r="F189" s="84"/>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S189" s="84"/>
      <c r="BT189" s="51" t="s">
        <v>17</v>
      </c>
    </row>
    <row r="190" spans="1:72" x14ac:dyDescent="0.25">
      <c r="A190" s="1"/>
      <c r="B190" s="243" t="str">
        <f t="shared" ref="B190:C191" si="193">B189</f>
        <v>Small C&amp;I</v>
      </c>
      <c r="C190" s="243" t="str">
        <f t="shared" si="193"/>
        <v>Revenue Requirements</v>
      </c>
      <c r="D190" s="244" t="str">
        <f>D189</f>
        <v>Revenue Requirement after DSM Scenario</v>
      </c>
      <c r="E190" s="84" t="s">
        <v>26</v>
      </c>
      <c r="F190" s="84" t="s">
        <v>32</v>
      </c>
      <c r="G190" s="64">
        <f ca="1">G179-G184</f>
        <v>8359100.799272052</v>
      </c>
      <c r="H190" s="64">
        <f t="shared" ref="H190:AG190" ca="1" si="194">H179-H184</f>
        <v>8359100.799272052</v>
      </c>
      <c r="I190" s="64">
        <f t="shared" ca="1" si="194"/>
        <v>8359100.799272052</v>
      </c>
      <c r="J190" s="64">
        <f t="shared" ca="1" si="194"/>
        <v>8359100.799272052</v>
      </c>
      <c r="K190" s="64">
        <f t="shared" ca="1" si="194"/>
        <v>8359100.799272052</v>
      </c>
      <c r="L190" s="64">
        <f t="shared" ca="1" si="194"/>
        <v>8359100.799272052</v>
      </c>
      <c r="M190" s="64">
        <f t="shared" ca="1" si="194"/>
        <v>8359100.799272052</v>
      </c>
      <c r="N190" s="64">
        <f t="shared" ca="1" si="194"/>
        <v>8359100.799272052</v>
      </c>
      <c r="O190" s="64">
        <f t="shared" ca="1" si="194"/>
        <v>8359100.799272052</v>
      </c>
      <c r="P190" s="64">
        <f t="shared" ca="1" si="194"/>
        <v>8359100.799272052</v>
      </c>
      <c r="Q190" s="64">
        <f t="shared" ca="1" si="194"/>
        <v>8359100.799272052</v>
      </c>
      <c r="R190" s="64">
        <f t="shared" ca="1" si="194"/>
        <v>8359100.799272052</v>
      </c>
      <c r="S190" s="64">
        <f t="shared" ca="1" si="194"/>
        <v>8359100.799272052</v>
      </c>
      <c r="T190" s="64">
        <f t="shared" ca="1" si="194"/>
        <v>8359100.799272052</v>
      </c>
      <c r="U190" s="64">
        <f t="shared" ca="1" si="194"/>
        <v>8359100.799272052</v>
      </c>
      <c r="V190" s="64">
        <f t="shared" ca="1" si="194"/>
        <v>8359100.799272052</v>
      </c>
      <c r="W190" s="64">
        <f t="shared" ca="1" si="194"/>
        <v>8373024.9487512652</v>
      </c>
      <c r="X190" s="64">
        <f t="shared" ca="1" si="194"/>
        <v>8373024.9487512652</v>
      </c>
      <c r="Y190" s="64">
        <f t="shared" ca="1" si="194"/>
        <v>8373024.9487512652</v>
      </c>
      <c r="Z190" s="64">
        <f t="shared" ca="1" si="194"/>
        <v>8373024.9487512652</v>
      </c>
      <c r="AA190" s="64">
        <f t="shared" ca="1" si="194"/>
        <v>8373024.9487512652</v>
      </c>
      <c r="AB190" s="64">
        <f t="shared" ca="1" si="194"/>
        <v>8373024.9487512652</v>
      </c>
      <c r="AC190" s="64">
        <f t="shared" ca="1" si="194"/>
        <v>8373024.9487512652</v>
      </c>
      <c r="AD190" s="64">
        <f t="shared" ca="1" si="194"/>
        <v>8373024.9487512652</v>
      </c>
      <c r="AE190" s="64">
        <f t="shared" ca="1" si="194"/>
        <v>8373024.9487512652</v>
      </c>
      <c r="AF190" s="64">
        <f t="shared" ca="1" si="194"/>
        <v>8373024.9487512652</v>
      </c>
      <c r="AG190" s="64">
        <f t="shared" ca="1" si="194"/>
        <v>8373024.9487512652</v>
      </c>
      <c r="AH190" s="64"/>
      <c r="AI190" s="64">
        <f ca="1">NPV(Lookups!$E$17,G190:AG190)</f>
        <v>186632006.20535251</v>
      </c>
      <c r="AJ190" s="64"/>
      <c r="AM190" s="71">
        <f ca="1">AM179-AM184</f>
        <v>8357111.635060735</v>
      </c>
      <c r="AN190" s="71">
        <f t="shared" ref="AN190:BM190" ca="1" si="195">AN179-AN184</f>
        <v>8357111.635060735</v>
      </c>
      <c r="AO190" s="71">
        <f t="shared" ca="1" si="195"/>
        <v>8357111.635060735</v>
      </c>
      <c r="AP190" s="71">
        <f t="shared" ca="1" si="195"/>
        <v>8357111.635060735</v>
      </c>
      <c r="AQ190" s="71">
        <f t="shared" ca="1" si="195"/>
        <v>8357111.635060735</v>
      </c>
      <c r="AR190" s="71">
        <f t="shared" ca="1" si="195"/>
        <v>8357111.635060735</v>
      </c>
      <c r="AS190" s="71">
        <f t="shared" ca="1" si="195"/>
        <v>8357111.635060735</v>
      </c>
      <c r="AT190" s="71">
        <f t="shared" ca="1" si="195"/>
        <v>8357111.635060735</v>
      </c>
      <c r="AU190" s="71">
        <f t="shared" ca="1" si="195"/>
        <v>8357111.635060735</v>
      </c>
      <c r="AV190" s="71">
        <f t="shared" ca="1" si="195"/>
        <v>8357111.635060735</v>
      </c>
      <c r="AW190" s="71">
        <f t="shared" ca="1" si="195"/>
        <v>8357111.635060735</v>
      </c>
      <c r="AX190" s="71">
        <f t="shared" ca="1" si="195"/>
        <v>8357111.635060735</v>
      </c>
      <c r="AY190" s="71">
        <f t="shared" ca="1" si="195"/>
        <v>8357111.635060735</v>
      </c>
      <c r="AZ190" s="71">
        <f t="shared" ca="1" si="195"/>
        <v>8357111.635060735</v>
      </c>
      <c r="BA190" s="71">
        <f t="shared" ca="1" si="195"/>
        <v>8357111.635060735</v>
      </c>
      <c r="BB190" s="71">
        <f t="shared" ca="1" si="195"/>
        <v>8357111.635060735</v>
      </c>
      <c r="BC190" s="71">
        <f t="shared" ca="1" si="195"/>
        <v>8373024.9487512652</v>
      </c>
      <c r="BD190" s="71">
        <f t="shared" ca="1" si="195"/>
        <v>8373024.9487512652</v>
      </c>
      <c r="BE190" s="71">
        <f t="shared" ca="1" si="195"/>
        <v>8373024.9487512652</v>
      </c>
      <c r="BF190" s="71">
        <f t="shared" ca="1" si="195"/>
        <v>8373024.9487512652</v>
      </c>
      <c r="BG190" s="71">
        <f t="shared" ca="1" si="195"/>
        <v>8373024.9487512652</v>
      </c>
      <c r="BH190" s="71">
        <f t="shared" ca="1" si="195"/>
        <v>8373024.9487512652</v>
      </c>
      <c r="BI190" s="71">
        <f t="shared" ca="1" si="195"/>
        <v>8373024.9487512652</v>
      </c>
      <c r="BJ190" s="71">
        <f t="shared" ca="1" si="195"/>
        <v>8373024.9487512652</v>
      </c>
      <c r="BK190" s="71">
        <f t="shared" ca="1" si="195"/>
        <v>8373024.9487512652</v>
      </c>
      <c r="BL190" s="71">
        <f t="shared" ca="1" si="195"/>
        <v>8373024.9487512652</v>
      </c>
      <c r="BM190" s="71">
        <f t="shared" ca="1" si="195"/>
        <v>8373024.9487512652</v>
      </c>
      <c r="BN190" s="71"/>
      <c r="BO190" s="71">
        <f ca="1">NPV(Lookups!$E$17,AM190:BM190)</f>
        <v>186603701.82382485</v>
      </c>
      <c r="BP190" s="71"/>
      <c r="BS190" s="84" t="s">
        <v>229</v>
      </c>
      <c r="BT190" s="51" t="s">
        <v>17</v>
      </c>
    </row>
    <row r="191" spans="1:72" x14ac:dyDescent="0.25">
      <c r="A191" s="1"/>
      <c r="B191" s="243" t="str">
        <f t="shared" si="193"/>
        <v>Small C&amp;I</v>
      </c>
      <c r="C191" s="243" t="str">
        <f t="shared" si="193"/>
        <v>Revenue Requirements</v>
      </c>
      <c r="D191" s="244" t="str">
        <f>D190</f>
        <v>Revenue Requirement after DSM Scenario</v>
      </c>
      <c r="E191" s="84" t="s">
        <v>407</v>
      </c>
      <c r="F191" s="84" t="s">
        <v>32</v>
      </c>
      <c r="G191" s="64">
        <f>G180</f>
        <v>111038.85441192142</v>
      </c>
      <c r="H191" s="64">
        <f t="shared" ref="H191:AG191" si="196">H180</f>
        <v>111038.85441192142</v>
      </c>
      <c r="I191" s="64">
        <f t="shared" si="196"/>
        <v>111038.85441192142</v>
      </c>
      <c r="J191" s="64">
        <f t="shared" si="196"/>
        <v>111038.85441192142</v>
      </c>
      <c r="K191" s="64">
        <f t="shared" si="196"/>
        <v>111038.85441192142</v>
      </c>
      <c r="L191" s="64">
        <f t="shared" si="196"/>
        <v>111038.85441192142</v>
      </c>
      <c r="M191" s="64">
        <f t="shared" si="196"/>
        <v>111038.85441192142</v>
      </c>
      <c r="N191" s="64">
        <f t="shared" si="196"/>
        <v>111038.85441192142</v>
      </c>
      <c r="O191" s="64">
        <f t="shared" si="196"/>
        <v>111038.85441192142</v>
      </c>
      <c r="P191" s="64">
        <f t="shared" si="196"/>
        <v>111038.85441192142</v>
      </c>
      <c r="Q191" s="64">
        <f t="shared" si="196"/>
        <v>111038.85441192142</v>
      </c>
      <c r="R191" s="64">
        <f t="shared" si="196"/>
        <v>111038.85441192142</v>
      </c>
      <c r="S191" s="64">
        <f t="shared" si="196"/>
        <v>111038.85441192142</v>
      </c>
      <c r="T191" s="64">
        <f t="shared" si="196"/>
        <v>111038.85441192142</v>
      </c>
      <c r="U191" s="64">
        <f t="shared" si="196"/>
        <v>111038.85441192142</v>
      </c>
      <c r="V191" s="64">
        <f t="shared" si="196"/>
        <v>111038.85441192142</v>
      </c>
      <c r="W191" s="64">
        <f t="shared" si="196"/>
        <v>111038.85441192142</v>
      </c>
      <c r="X191" s="64">
        <f t="shared" si="196"/>
        <v>111038.85441192142</v>
      </c>
      <c r="Y191" s="64">
        <f t="shared" si="196"/>
        <v>111038.85441192142</v>
      </c>
      <c r="Z191" s="64">
        <f t="shared" si="196"/>
        <v>111038.85441192142</v>
      </c>
      <c r="AA191" s="64">
        <f t="shared" si="196"/>
        <v>111038.85441192142</v>
      </c>
      <c r="AB191" s="64">
        <f t="shared" si="196"/>
        <v>111038.85441192142</v>
      </c>
      <c r="AC191" s="64">
        <f t="shared" si="196"/>
        <v>111038.85441192142</v>
      </c>
      <c r="AD191" s="64">
        <f t="shared" si="196"/>
        <v>111038.85441192142</v>
      </c>
      <c r="AE191" s="64">
        <f t="shared" si="196"/>
        <v>111038.85441192142</v>
      </c>
      <c r="AF191" s="64">
        <f t="shared" si="196"/>
        <v>111038.85441192142</v>
      </c>
      <c r="AG191" s="64">
        <f t="shared" si="196"/>
        <v>111038.85441192142</v>
      </c>
      <c r="AH191" s="64"/>
      <c r="AI191" s="64">
        <f>NPV(Lookups!$E$17,G191:AG191)</f>
        <v>2477647.5043744599</v>
      </c>
      <c r="AJ191" s="64"/>
      <c r="AM191" s="71">
        <f>AM180</f>
        <v>111038.85441192142</v>
      </c>
      <c r="AN191" s="71">
        <f t="shared" ref="AN191:BM191" si="197">AN180</f>
        <v>111038.85441192142</v>
      </c>
      <c r="AO191" s="71">
        <f t="shared" si="197"/>
        <v>111038.85441192142</v>
      </c>
      <c r="AP191" s="71">
        <f t="shared" si="197"/>
        <v>111038.85441192142</v>
      </c>
      <c r="AQ191" s="71">
        <f t="shared" si="197"/>
        <v>111038.85441192142</v>
      </c>
      <c r="AR191" s="71">
        <f t="shared" si="197"/>
        <v>111038.85441192142</v>
      </c>
      <c r="AS191" s="71">
        <f t="shared" si="197"/>
        <v>111038.85441192142</v>
      </c>
      <c r="AT191" s="71">
        <f t="shared" si="197"/>
        <v>111038.85441192142</v>
      </c>
      <c r="AU191" s="71">
        <f t="shared" si="197"/>
        <v>111038.85441192142</v>
      </c>
      <c r="AV191" s="71">
        <f t="shared" si="197"/>
        <v>111038.85441192142</v>
      </c>
      <c r="AW191" s="71">
        <f t="shared" si="197"/>
        <v>111038.85441192142</v>
      </c>
      <c r="AX191" s="71">
        <f t="shared" si="197"/>
        <v>111038.85441192142</v>
      </c>
      <c r="AY191" s="71">
        <f t="shared" si="197"/>
        <v>111038.85441192142</v>
      </c>
      <c r="AZ191" s="71">
        <f t="shared" si="197"/>
        <v>111038.85441192142</v>
      </c>
      <c r="BA191" s="71">
        <f t="shared" si="197"/>
        <v>111038.85441192142</v>
      </c>
      <c r="BB191" s="71">
        <f t="shared" si="197"/>
        <v>111038.85441192142</v>
      </c>
      <c r="BC191" s="71">
        <f t="shared" si="197"/>
        <v>111038.85441192142</v>
      </c>
      <c r="BD191" s="71">
        <f t="shared" si="197"/>
        <v>111038.85441192142</v>
      </c>
      <c r="BE191" s="71">
        <f t="shared" si="197"/>
        <v>111038.85441192142</v>
      </c>
      <c r="BF191" s="71">
        <f t="shared" si="197"/>
        <v>111038.85441192142</v>
      </c>
      <c r="BG191" s="71">
        <f t="shared" si="197"/>
        <v>111038.85441192142</v>
      </c>
      <c r="BH191" s="71">
        <f t="shared" si="197"/>
        <v>111038.85441192142</v>
      </c>
      <c r="BI191" s="71">
        <f t="shared" si="197"/>
        <v>111038.85441192142</v>
      </c>
      <c r="BJ191" s="71">
        <f t="shared" si="197"/>
        <v>111038.85441192142</v>
      </c>
      <c r="BK191" s="71">
        <f t="shared" si="197"/>
        <v>111038.85441192142</v>
      </c>
      <c r="BL191" s="71">
        <f t="shared" si="197"/>
        <v>111038.85441192142</v>
      </c>
      <c r="BM191" s="71">
        <f t="shared" si="197"/>
        <v>111038.85441192142</v>
      </c>
      <c r="BN191" s="71"/>
      <c r="BO191" s="71">
        <f>NPV(Lookups!$E$17,AM191:BM191)</f>
        <v>2477647.5043744599</v>
      </c>
      <c r="BP191" s="71"/>
      <c r="BS191" s="84" t="s">
        <v>230</v>
      </c>
      <c r="BT191" s="51" t="s">
        <v>17</v>
      </c>
    </row>
    <row r="192" spans="1:72" x14ac:dyDescent="0.25">
      <c r="A192" s="1"/>
      <c r="B192" s="243" t="str">
        <f>B190</f>
        <v>Small C&amp;I</v>
      </c>
      <c r="C192" s="243" t="str">
        <f>C190</f>
        <v>Revenue Requirements</v>
      </c>
      <c r="D192" s="244" t="str">
        <f>D190</f>
        <v>Revenue Requirement after DSM Scenario</v>
      </c>
      <c r="E192" s="84" t="s">
        <v>197</v>
      </c>
      <c r="F192" s="84" t="s">
        <v>32</v>
      </c>
      <c r="G192" s="64">
        <f ca="1">G181-G183-G185</f>
        <v>12991574.307980299</v>
      </c>
      <c r="H192" s="64">
        <f t="shared" ref="H192:AG192" ca="1" si="198">H181-H183-H185</f>
        <v>12991574.307980299</v>
      </c>
      <c r="I192" s="64">
        <f t="shared" ca="1" si="198"/>
        <v>12991574.307980299</v>
      </c>
      <c r="J192" s="64">
        <f t="shared" ca="1" si="198"/>
        <v>12991574.307980299</v>
      </c>
      <c r="K192" s="64">
        <f t="shared" ca="1" si="198"/>
        <v>12991574.307980299</v>
      </c>
      <c r="L192" s="64">
        <f t="shared" ca="1" si="198"/>
        <v>12991574.307980299</v>
      </c>
      <c r="M192" s="64">
        <f t="shared" ca="1" si="198"/>
        <v>12991574.307980299</v>
      </c>
      <c r="N192" s="64">
        <f t="shared" ca="1" si="198"/>
        <v>12991574.307980299</v>
      </c>
      <c r="O192" s="64">
        <f t="shared" ca="1" si="198"/>
        <v>12991574.307980299</v>
      </c>
      <c r="P192" s="64">
        <f t="shared" ca="1" si="198"/>
        <v>12991574.307980299</v>
      </c>
      <c r="Q192" s="64">
        <f t="shared" ca="1" si="198"/>
        <v>12991574.307980299</v>
      </c>
      <c r="R192" s="64">
        <f t="shared" ca="1" si="198"/>
        <v>12991574.307980299</v>
      </c>
      <c r="S192" s="64">
        <f t="shared" ca="1" si="198"/>
        <v>12991574.307980299</v>
      </c>
      <c r="T192" s="64">
        <f t="shared" ca="1" si="198"/>
        <v>12991574.307980299</v>
      </c>
      <c r="U192" s="64">
        <f t="shared" ca="1" si="198"/>
        <v>12991574.307980299</v>
      </c>
      <c r="V192" s="64">
        <f t="shared" ca="1" si="198"/>
        <v>12991574.307980299</v>
      </c>
      <c r="W192" s="64">
        <f t="shared" ca="1" si="198"/>
        <v>13217894.400188331</v>
      </c>
      <c r="X192" s="64">
        <f t="shared" ca="1" si="198"/>
        <v>13217894.400188331</v>
      </c>
      <c r="Y192" s="64">
        <f t="shared" ca="1" si="198"/>
        <v>13217894.400188331</v>
      </c>
      <c r="Z192" s="64">
        <f t="shared" ca="1" si="198"/>
        <v>13217894.400188331</v>
      </c>
      <c r="AA192" s="64">
        <f t="shared" ca="1" si="198"/>
        <v>13217894.400188331</v>
      </c>
      <c r="AB192" s="64">
        <f t="shared" ca="1" si="198"/>
        <v>13217894.400188331</v>
      </c>
      <c r="AC192" s="64">
        <f t="shared" ca="1" si="198"/>
        <v>13217894.400188331</v>
      </c>
      <c r="AD192" s="64">
        <f t="shared" ca="1" si="198"/>
        <v>13217894.400188331</v>
      </c>
      <c r="AE192" s="64">
        <f t="shared" ca="1" si="198"/>
        <v>13217894.400188331</v>
      </c>
      <c r="AF192" s="64">
        <f t="shared" ca="1" si="198"/>
        <v>13217894.400188331</v>
      </c>
      <c r="AG192" s="64">
        <f t="shared" ca="1" si="198"/>
        <v>13217894.400188331</v>
      </c>
      <c r="AH192" s="64"/>
      <c r="AI192" s="64">
        <f ca="1">NPV(Lookups!$E$17,G192:AG192)</f>
        <v>291714974.39738101</v>
      </c>
      <c r="AJ192" s="64"/>
      <c r="AM192" s="71">
        <f ca="1">AM181-AM183-AM185</f>
        <v>12959242.866236294</v>
      </c>
      <c r="AN192" s="71">
        <f t="shared" ref="AN192:BM192" ca="1" si="199">AN181-AN183-AN185</f>
        <v>12959242.866236294</v>
      </c>
      <c r="AO192" s="71">
        <f t="shared" ca="1" si="199"/>
        <v>12959242.866236294</v>
      </c>
      <c r="AP192" s="71">
        <f t="shared" ca="1" si="199"/>
        <v>12959242.866236294</v>
      </c>
      <c r="AQ192" s="71">
        <f t="shared" ca="1" si="199"/>
        <v>12959242.866236294</v>
      </c>
      <c r="AR192" s="71">
        <f t="shared" ca="1" si="199"/>
        <v>12959242.866236294</v>
      </c>
      <c r="AS192" s="71">
        <f t="shared" ca="1" si="199"/>
        <v>12959242.866236294</v>
      </c>
      <c r="AT192" s="71">
        <f t="shared" ca="1" si="199"/>
        <v>12959242.866236294</v>
      </c>
      <c r="AU192" s="71">
        <f t="shared" ca="1" si="199"/>
        <v>12959242.866236294</v>
      </c>
      <c r="AV192" s="71">
        <f t="shared" ca="1" si="199"/>
        <v>12959242.866236294</v>
      </c>
      <c r="AW192" s="71">
        <f t="shared" ca="1" si="199"/>
        <v>12959242.866236294</v>
      </c>
      <c r="AX192" s="71">
        <f t="shared" ca="1" si="199"/>
        <v>12959242.866236294</v>
      </c>
      <c r="AY192" s="71">
        <f t="shared" ca="1" si="199"/>
        <v>12959242.866236294</v>
      </c>
      <c r="AZ192" s="71">
        <f t="shared" ca="1" si="199"/>
        <v>12959242.866236294</v>
      </c>
      <c r="BA192" s="71">
        <f t="shared" ca="1" si="199"/>
        <v>12959242.866236294</v>
      </c>
      <c r="BB192" s="71">
        <f t="shared" ca="1" si="199"/>
        <v>12959242.866236294</v>
      </c>
      <c r="BC192" s="71">
        <f t="shared" ca="1" si="199"/>
        <v>13217894.400188331</v>
      </c>
      <c r="BD192" s="71">
        <f t="shared" ca="1" si="199"/>
        <v>13217894.400188331</v>
      </c>
      <c r="BE192" s="71">
        <f t="shared" ca="1" si="199"/>
        <v>13217894.400188331</v>
      </c>
      <c r="BF192" s="71">
        <f t="shared" ca="1" si="199"/>
        <v>13217894.400188331</v>
      </c>
      <c r="BG192" s="71">
        <f t="shared" ca="1" si="199"/>
        <v>13217894.400188331</v>
      </c>
      <c r="BH192" s="71">
        <f t="shared" ca="1" si="199"/>
        <v>13217894.400188331</v>
      </c>
      <c r="BI192" s="71">
        <f t="shared" ca="1" si="199"/>
        <v>13217894.400188331</v>
      </c>
      <c r="BJ192" s="71">
        <f t="shared" ca="1" si="199"/>
        <v>13217894.400188331</v>
      </c>
      <c r="BK192" s="71">
        <f t="shared" ca="1" si="199"/>
        <v>13217894.400188331</v>
      </c>
      <c r="BL192" s="71">
        <f t="shared" ca="1" si="199"/>
        <v>13217894.400188331</v>
      </c>
      <c r="BM192" s="71">
        <f t="shared" ca="1" si="199"/>
        <v>13217894.400188331</v>
      </c>
      <c r="BN192" s="71"/>
      <c r="BO192" s="71">
        <f ca="1">NPV(Lookups!$E$17,AM192:BM192)</f>
        <v>291254921.14624327</v>
      </c>
      <c r="BP192" s="71"/>
      <c r="BS192" s="84" t="s">
        <v>231</v>
      </c>
      <c r="BT192" s="51" t="s">
        <v>17</v>
      </c>
    </row>
    <row r="193" spans="1:72" x14ac:dyDescent="0.25">
      <c r="B193" s="243" t="str">
        <f t="shared" ref="B193:C197" si="200">B192</f>
        <v>Small C&amp;I</v>
      </c>
      <c r="C193" s="243" t="str">
        <f t="shared" si="200"/>
        <v>Revenue Requirements</v>
      </c>
      <c r="D193" s="244"/>
      <c r="E193" s="84" t="s">
        <v>17</v>
      </c>
      <c r="F193" s="84"/>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S193" s="84"/>
      <c r="BT193" s="51" t="s">
        <v>17</v>
      </c>
    </row>
    <row r="194" spans="1:72" s="5" customFormat="1" ht="15.75" x14ac:dyDescent="0.25">
      <c r="A194" s="52"/>
      <c r="B194" s="241" t="str">
        <f t="shared" si="200"/>
        <v>Small C&amp;I</v>
      </c>
      <c r="C194" s="63" t="s">
        <v>30</v>
      </c>
      <c r="D194" s="61"/>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2"/>
      <c r="BO194" s="62"/>
      <c r="BP194" s="62"/>
      <c r="BS194" s="62"/>
      <c r="BT194" s="51" t="s">
        <v>17</v>
      </c>
    </row>
    <row r="195" spans="1:72" x14ac:dyDescent="0.25">
      <c r="B195" s="243" t="str">
        <f t="shared" si="200"/>
        <v>Small C&amp;I</v>
      </c>
      <c r="C195" s="243" t="str">
        <f t="shared" si="200"/>
        <v>Rates</v>
      </c>
      <c r="D195" s="114" t="str">
        <f>"Rates before DSM ("&amp;Lookups!$D$22&amp;" Scenario)"</f>
        <v>Rates before DSM (No EE Scenario)</v>
      </c>
      <c r="E195" s="84"/>
      <c r="F195" s="84"/>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S195" s="84"/>
      <c r="BT195" s="51" t="s">
        <v>17</v>
      </c>
    </row>
    <row r="196" spans="1:72" x14ac:dyDescent="0.25">
      <c r="B196" s="243" t="str">
        <f t="shared" si="200"/>
        <v>Small C&amp;I</v>
      </c>
      <c r="C196" s="243" t="str">
        <f t="shared" si="200"/>
        <v>Rates</v>
      </c>
      <c r="D196" s="244" t="str">
        <f>D195</f>
        <v>Rates before DSM (No EE Scenario)</v>
      </c>
      <c r="E196" s="84" t="s">
        <v>26</v>
      </c>
      <c r="F196" s="84" t="s">
        <v>182</v>
      </c>
      <c r="G196" s="506">
        <f>IF(G$8=0,0,INDEX('R&amp;B Inputs'!$I$78:$V$78,MATCH($B196,'R&amp;B Inputs'!$I$4:$V$4,0))*(1+INDEX('R&amp;B Inputs'!$I$48:$V$48,MATCH($B196,'R&amp;B Inputs'!$I$4:$V$4,0)))^(G$7-Year1))</f>
        <v>0.39211256243681192</v>
      </c>
      <c r="H196" s="506">
        <f>IF(H$8=0,0,INDEX('R&amp;B Inputs'!$I$78:$V$78,MATCH($B196,'R&amp;B Inputs'!$I$4:$V$4,0))*(1+INDEX('R&amp;B Inputs'!$I$48:$V$48,MATCH($B196,'R&amp;B Inputs'!$I$4:$V$4,0)))^(H$7-Year1))</f>
        <v>0.39211256243681192</v>
      </c>
      <c r="I196" s="506">
        <f>IF(I$8=0,0,INDEX('R&amp;B Inputs'!$I$78:$V$78,MATCH($B196,'R&amp;B Inputs'!$I$4:$V$4,0))*(1+INDEX('R&amp;B Inputs'!$I$48:$V$48,MATCH($B196,'R&amp;B Inputs'!$I$4:$V$4,0)))^(I$7-Year1))</f>
        <v>0.39211256243681192</v>
      </c>
      <c r="J196" s="506">
        <f>IF(J$8=0,0,INDEX('R&amp;B Inputs'!$I$78:$V$78,MATCH($B196,'R&amp;B Inputs'!$I$4:$V$4,0))*(1+INDEX('R&amp;B Inputs'!$I$48:$V$48,MATCH($B196,'R&amp;B Inputs'!$I$4:$V$4,0)))^(J$7-Year1))</f>
        <v>0.39211256243681192</v>
      </c>
      <c r="K196" s="506">
        <f>IF(K$8=0,0,INDEX('R&amp;B Inputs'!$I$78:$V$78,MATCH($B196,'R&amp;B Inputs'!$I$4:$V$4,0))*(1+INDEX('R&amp;B Inputs'!$I$48:$V$48,MATCH($B196,'R&amp;B Inputs'!$I$4:$V$4,0)))^(K$7-Year1))</f>
        <v>0.39211256243681192</v>
      </c>
      <c r="L196" s="506">
        <f>IF(L$8=0,0,INDEX('R&amp;B Inputs'!$I$78:$V$78,MATCH($B196,'R&amp;B Inputs'!$I$4:$V$4,0))*(1+INDEX('R&amp;B Inputs'!$I$48:$V$48,MATCH($B196,'R&amp;B Inputs'!$I$4:$V$4,0)))^(L$7-Year1))</f>
        <v>0.39211256243681192</v>
      </c>
      <c r="M196" s="506">
        <f>IF(M$8=0,0,INDEX('R&amp;B Inputs'!$I$78:$V$78,MATCH($B196,'R&amp;B Inputs'!$I$4:$V$4,0))*(1+INDEX('R&amp;B Inputs'!$I$48:$V$48,MATCH($B196,'R&amp;B Inputs'!$I$4:$V$4,0)))^(M$7-Year1))</f>
        <v>0.39211256243681192</v>
      </c>
      <c r="N196" s="506">
        <f>IF(N$8=0,0,INDEX('R&amp;B Inputs'!$I$78:$V$78,MATCH($B196,'R&amp;B Inputs'!$I$4:$V$4,0))*(1+INDEX('R&amp;B Inputs'!$I$48:$V$48,MATCH($B196,'R&amp;B Inputs'!$I$4:$V$4,0)))^(N$7-Year1))</f>
        <v>0.39211256243681192</v>
      </c>
      <c r="O196" s="506">
        <f>IF(O$8=0,0,INDEX('R&amp;B Inputs'!$I$78:$V$78,MATCH($B196,'R&amp;B Inputs'!$I$4:$V$4,0))*(1+INDEX('R&amp;B Inputs'!$I$48:$V$48,MATCH($B196,'R&amp;B Inputs'!$I$4:$V$4,0)))^(O$7-Year1))</f>
        <v>0.39211256243681192</v>
      </c>
      <c r="P196" s="506">
        <f>IF(P$8=0,0,INDEX('R&amp;B Inputs'!$I$78:$V$78,MATCH($B196,'R&amp;B Inputs'!$I$4:$V$4,0))*(1+INDEX('R&amp;B Inputs'!$I$48:$V$48,MATCH($B196,'R&amp;B Inputs'!$I$4:$V$4,0)))^(P$7-Year1))</f>
        <v>0.39211256243681192</v>
      </c>
      <c r="Q196" s="506">
        <f>IF(Q$8=0,0,INDEX('R&amp;B Inputs'!$I$78:$V$78,MATCH($B196,'R&amp;B Inputs'!$I$4:$V$4,0))*(1+INDEX('R&amp;B Inputs'!$I$48:$V$48,MATCH($B196,'R&amp;B Inputs'!$I$4:$V$4,0)))^(Q$7-Year1))</f>
        <v>0.39211256243681192</v>
      </c>
      <c r="R196" s="506">
        <f>IF(R$8=0,0,INDEX('R&amp;B Inputs'!$I$78:$V$78,MATCH($B196,'R&amp;B Inputs'!$I$4:$V$4,0))*(1+INDEX('R&amp;B Inputs'!$I$48:$V$48,MATCH($B196,'R&amp;B Inputs'!$I$4:$V$4,0)))^(R$7-Year1))</f>
        <v>0.39211256243681192</v>
      </c>
      <c r="S196" s="506">
        <f>IF(S$8=0,0,INDEX('R&amp;B Inputs'!$I$78:$V$78,MATCH($B196,'R&amp;B Inputs'!$I$4:$V$4,0))*(1+INDEX('R&amp;B Inputs'!$I$48:$V$48,MATCH($B196,'R&amp;B Inputs'!$I$4:$V$4,0)))^(S$7-Year1))</f>
        <v>0.39211256243681192</v>
      </c>
      <c r="T196" s="506">
        <f>IF(T$8=0,0,INDEX('R&amp;B Inputs'!$I$78:$V$78,MATCH($B196,'R&amp;B Inputs'!$I$4:$V$4,0))*(1+INDEX('R&amp;B Inputs'!$I$48:$V$48,MATCH($B196,'R&amp;B Inputs'!$I$4:$V$4,0)))^(T$7-Year1))</f>
        <v>0.39211256243681192</v>
      </c>
      <c r="U196" s="506">
        <f>IF(U$8=0,0,INDEX('R&amp;B Inputs'!$I$78:$V$78,MATCH($B196,'R&amp;B Inputs'!$I$4:$V$4,0))*(1+INDEX('R&amp;B Inputs'!$I$48:$V$48,MATCH($B196,'R&amp;B Inputs'!$I$4:$V$4,0)))^(U$7-Year1))</f>
        <v>0.39211256243681192</v>
      </c>
      <c r="V196" s="506">
        <f>IF(V$8=0,0,INDEX('R&amp;B Inputs'!$I$78:$V$78,MATCH($B196,'R&amp;B Inputs'!$I$4:$V$4,0))*(1+INDEX('R&amp;B Inputs'!$I$48:$V$48,MATCH($B196,'R&amp;B Inputs'!$I$4:$V$4,0)))^(V$7-Year1))</f>
        <v>0.39211256243681192</v>
      </c>
      <c r="W196" s="506">
        <f>IF(W$8=0,0,INDEX('R&amp;B Inputs'!$I$78:$V$78,MATCH($B196,'R&amp;B Inputs'!$I$4:$V$4,0))*(1+INDEX('R&amp;B Inputs'!$I$48:$V$48,MATCH($B196,'R&amp;B Inputs'!$I$4:$V$4,0)))^(W$7-Year1))</f>
        <v>0.39211256243681192</v>
      </c>
      <c r="X196" s="506">
        <f>IF(X$8=0,0,INDEX('R&amp;B Inputs'!$I$78:$V$78,MATCH($B196,'R&amp;B Inputs'!$I$4:$V$4,0))*(1+INDEX('R&amp;B Inputs'!$I$48:$V$48,MATCH($B196,'R&amp;B Inputs'!$I$4:$V$4,0)))^(X$7-Year1))</f>
        <v>0.39211256243681192</v>
      </c>
      <c r="Y196" s="506">
        <f>IF(Y$8=0,0,INDEX('R&amp;B Inputs'!$I$78:$V$78,MATCH($B196,'R&amp;B Inputs'!$I$4:$V$4,0))*(1+INDEX('R&amp;B Inputs'!$I$48:$V$48,MATCH($B196,'R&amp;B Inputs'!$I$4:$V$4,0)))^(Y$7-Year1))</f>
        <v>0.39211256243681192</v>
      </c>
      <c r="Z196" s="506">
        <f>IF(Z$8=0,0,INDEX('R&amp;B Inputs'!$I$78:$V$78,MATCH($B196,'R&amp;B Inputs'!$I$4:$V$4,0))*(1+INDEX('R&amp;B Inputs'!$I$48:$V$48,MATCH($B196,'R&amp;B Inputs'!$I$4:$V$4,0)))^(Z$7-Year1))</f>
        <v>0.39211256243681192</v>
      </c>
      <c r="AA196" s="506">
        <f>IF(AA$8=0,0,INDEX('R&amp;B Inputs'!$I$78:$V$78,MATCH($B196,'R&amp;B Inputs'!$I$4:$V$4,0))*(1+INDEX('R&amp;B Inputs'!$I$48:$V$48,MATCH($B196,'R&amp;B Inputs'!$I$4:$V$4,0)))^(AA$7-Year1))</f>
        <v>0.39211256243681192</v>
      </c>
      <c r="AB196" s="506">
        <f>IF(AB$8=0,0,INDEX('R&amp;B Inputs'!$I$78:$V$78,MATCH($B196,'R&amp;B Inputs'!$I$4:$V$4,0))*(1+INDEX('R&amp;B Inputs'!$I$48:$V$48,MATCH($B196,'R&amp;B Inputs'!$I$4:$V$4,0)))^(AB$7-Year1))</f>
        <v>0.39211256243681192</v>
      </c>
      <c r="AC196" s="506">
        <f>IF(AC$8=0,0,INDEX('R&amp;B Inputs'!$I$78:$V$78,MATCH($B196,'R&amp;B Inputs'!$I$4:$V$4,0))*(1+INDEX('R&amp;B Inputs'!$I$48:$V$48,MATCH($B196,'R&amp;B Inputs'!$I$4:$V$4,0)))^(AC$7-Year1))</f>
        <v>0.39211256243681192</v>
      </c>
      <c r="AD196" s="506">
        <f>IF(AD$8=0,0,INDEX('R&amp;B Inputs'!$I$78:$V$78,MATCH($B196,'R&amp;B Inputs'!$I$4:$V$4,0))*(1+INDEX('R&amp;B Inputs'!$I$48:$V$48,MATCH($B196,'R&amp;B Inputs'!$I$4:$V$4,0)))^(AD$7-Year1))</f>
        <v>0.39211256243681192</v>
      </c>
      <c r="AE196" s="506">
        <f>IF(AE$8=0,0,INDEX('R&amp;B Inputs'!$I$78:$V$78,MATCH($B196,'R&amp;B Inputs'!$I$4:$V$4,0))*(1+INDEX('R&amp;B Inputs'!$I$48:$V$48,MATCH($B196,'R&amp;B Inputs'!$I$4:$V$4,0)))^(AE$7-Year1))</f>
        <v>0.39211256243681192</v>
      </c>
      <c r="AF196" s="506">
        <f>IF(AF$8=0,0,INDEX('R&amp;B Inputs'!$I$78:$V$78,MATCH($B196,'R&amp;B Inputs'!$I$4:$V$4,0))*(1+INDEX('R&amp;B Inputs'!$I$48:$V$48,MATCH($B196,'R&amp;B Inputs'!$I$4:$V$4,0)))^(AF$7-Year1))</f>
        <v>0.39211256243681192</v>
      </c>
      <c r="AG196" s="506">
        <f>IF(AG$8=0,0,INDEX('R&amp;B Inputs'!$I$78:$V$78,MATCH($B196,'R&amp;B Inputs'!$I$4:$V$4,0))*(1+INDEX('R&amp;B Inputs'!$I$48:$V$48,MATCH($B196,'R&amp;B Inputs'!$I$4:$V$4,0)))^(AG$7-Year1))</f>
        <v>0.39211256243681192</v>
      </c>
      <c r="AH196" s="506"/>
      <c r="AI196" s="506"/>
      <c r="AJ196" s="506">
        <f>IF($C$4=Year1,-PMT(Lookups!$E$17,25,NPV(Lookups!$E$17,G196:AE196),0,1),IF($C$4=Year2,-PMT(Lookups!$F$17,25,NPV(Lookups!$F$17,H196:AF196),0,1),IF($C$4=Year3,-PMT(Lookups!$G$17,25,NPV(Lookups!$G$17,I196:AG196),0,1),-PMT(Lookups!$G$17,27,NPV(Lookups!$G$17,G196:AG196),0,1))))</f>
        <v>0.38664387391469068</v>
      </c>
      <c r="AK196" s="507"/>
      <c r="AL196" s="507"/>
      <c r="AM196" s="508">
        <f>IF(AM$8=0,0,INDEX('R&amp;B Inputs'!$I$78:$V$78,MATCH($B196,'R&amp;B Inputs'!$I$4:$V$4,0))*(1+INDEX('R&amp;B Inputs'!$I$48:$V$48,MATCH($B196,'R&amp;B Inputs'!$I$4:$V$4,0)))^(AM$7-Year1))</f>
        <v>0.39211256243681192</v>
      </c>
      <c r="AN196" s="508">
        <f>IF(AN$8=0,0,INDEX('R&amp;B Inputs'!$I$78:$V$78,MATCH($B196,'R&amp;B Inputs'!$I$4:$V$4,0))*(1+INDEX('R&amp;B Inputs'!$I$48:$V$48,MATCH($B196,'R&amp;B Inputs'!$I$4:$V$4,0)))^(AN$7-Year1))</f>
        <v>0.39211256243681192</v>
      </c>
      <c r="AO196" s="508">
        <f>IF(AO$8=0,0,INDEX('R&amp;B Inputs'!$I$78:$V$78,MATCH($B196,'R&amp;B Inputs'!$I$4:$V$4,0))*(1+INDEX('R&amp;B Inputs'!$I$48:$V$48,MATCH($B196,'R&amp;B Inputs'!$I$4:$V$4,0)))^(AO$7-Year1))</f>
        <v>0.39211256243681192</v>
      </c>
      <c r="AP196" s="508">
        <f>IF(AP$8=0,0,INDEX('R&amp;B Inputs'!$I$78:$V$78,MATCH($B196,'R&amp;B Inputs'!$I$4:$V$4,0))*(1+INDEX('R&amp;B Inputs'!$I$48:$V$48,MATCH($B196,'R&amp;B Inputs'!$I$4:$V$4,0)))^(AP$7-Year1))</f>
        <v>0.39211256243681192</v>
      </c>
      <c r="AQ196" s="508">
        <f>IF(AQ$8=0,0,INDEX('R&amp;B Inputs'!$I$78:$V$78,MATCH($B196,'R&amp;B Inputs'!$I$4:$V$4,0))*(1+INDEX('R&amp;B Inputs'!$I$48:$V$48,MATCH($B196,'R&amp;B Inputs'!$I$4:$V$4,0)))^(AQ$7-Year1))</f>
        <v>0.39211256243681192</v>
      </c>
      <c r="AR196" s="508">
        <f>IF(AR$8=0,0,INDEX('R&amp;B Inputs'!$I$78:$V$78,MATCH($B196,'R&amp;B Inputs'!$I$4:$V$4,0))*(1+INDEX('R&amp;B Inputs'!$I$48:$V$48,MATCH($B196,'R&amp;B Inputs'!$I$4:$V$4,0)))^(AR$7-Year1))</f>
        <v>0.39211256243681192</v>
      </c>
      <c r="AS196" s="508">
        <f>IF(AS$8=0,0,INDEX('R&amp;B Inputs'!$I$78:$V$78,MATCH($B196,'R&amp;B Inputs'!$I$4:$V$4,0))*(1+INDEX('R&amp;B Inputs'!$I$48:$V$48,MATCH($B196,'R&amp;B Inputs'!$I$4:$V$4,0)))^(AS$7-Year1))</f>
        <v>0.39211256243681192</v>
      </c>
      <c r="AT196" s="508">
        <f>IF(AT$8=0,0,INDEX('R&amp;B Inputs'!$I$78:$V$78,MATCH($B196,'R&amp;B Inputs'!$I$4:$V$4,0))*(1+INDEX('R&amp;B Inputs'!$I$48:$V$48,MATCH($B196,'R&amp;B Inputs'!$I$4:$V$4,0)))^(AT$7-Year1))</f>
        <v>0.39211256243681192</v>
      </c>
      <c r="AU196" s="508">
        <f>IF(AU$8=0,0,INDEX('R&amp;B Inputs'!$I$78:$V$78,MATCH($B196,'R&amp;B Inputs'!$I$4:$V$4,0))*(1+INDEX('R&amp;B Inputs'!$I$48:$V$48,MATCH($B196,'R&amp;B Inputs'!$I$4:$V$4,0)))^(AU$7-Year1))</f>
        <v>0.39211256243681192</v>
      </c>
      <c r="AV196" s="508">
        <f>IF(AV$8=0,0,INDEX('R&amp;B Inputs'!$I$78:$V$78,MATCH($B196,'R&amp;B Inputs'!$I$4:$V$4,0))*(1+INDEX('R&amp;B Inputs'!$I$48:$V$48,MATCH($B196,'R&amp;B Inputs'!$I$4:$V$4,0)))^(AV$7-Year1))</f>
        <v>0.39211256243681192</v>
      </c>
      <c r="AW196" s="508">
        <f>IF(AW$8=0,0,INDEX('R&amp;B Inputs'!$I$78:$V$78,MATCH($B196,'R&amp;B Inputs'!$I$4:$V$4,0))*(1+INDEX('R&amp;B Inputs'!$I$48:$V$48,MATCH($B196,'R&amp;B Inputs'!$I$4:$V$4,0)))^(AW$7-Year1))</f>
        <v>0.39211256243681192</v>
      </c>
      <c r="AX196" s="508">
        <f>IF(AX$8=0,0,INDEX('R&amp;B Inputs'!$I$78:$V$78,MATCH($B196,'R&amp;B Inputs'!$I$4:$V$4,0))*(1+INDEX('R&amp;B Inputs'!$I$48:$V$48,MATCH($B196,'R&amp;B Inputs'!$I$4:$V$4,0)))^(AX$7-Year1))</f>
        <v>0.39211256243681192</v>
      </c>
      <c r="AY196" s="508">
        <f>IF(AY$8=0,0,INDEX('R&amp;B Inputs'!$I$78:$V$78,MATCH($B196,'R&amp;B Inputs'!$I$4:$V$4,0))*(1+INDEX('R&amp;B Inputs'!$I$48:$V$48,MATCH($B196,'R&amp;B Inputs'!$I$4:$V$4,0)))^(AY$7-Year1))</f>
        <v>0.39211256243681192</v>
      </c>
      <c r="AZ196" s="508">
        <f>IF(AZ$8=0,0,INDEX('R&amp;B Inputs'!$I$78:$V$78,MATCH($B196,'R&amp;B Inputs'!$I$4:$V$4,0))*(1+INDEX('R&amp;B Inputs'!$I$48:$V$48,MATCH($B196,'R&amp;B Inputs'!$I$4:$V$4,0)))^(AZ$7-Year1))</f>
        <v>0.39211256243681192</v>
      </c>
      <c r="BA196" s="508">
        <f>IF(BA$8=0,0,INDEX('R&amp;B Inputs'!$I$78:$V$78,MATCH($B196,'R&amp;B Inputs'!$I$4:$V$4,0))*(1+INDEX('R&amp;B Inputs'!$I$48:$V$48,MATCH($B196,'R&amp;B Inputs'!$I$4:$V$4,0)))^(BA$7-Year1))</f>
        <v>0.39211256243681192</v>
      </c>
      <c r="BB196" s="508">
        <f>IF(BB$8=0,0,INDEX('R&amp;B Inputs'!$I$78:$V$78,MATCH($B196,'R&amp;B Inputs'!$I$4:$V$4,0))*(1+INDEX('R&amp;B Inputs'!$I$48:$V$48,MATCH($B196,'R&amp;B Inputs'!$I$4:$V$4,0)))^(BB$7-Year1))</f>
        <v>0.39211256243681192</v>
      </c>
      <c r="BC196" s="508">
        <f>IF(BC$8=0,0,INDEX('R&amp;B Inputs'!$I$78:$V$78,MATCH($B196,'R&amp;B Inputs'!$I$4:$V$4,0))*(1+INDEX('R&amp;B Inputs'!$I$48:$V$48,MATCH($B196,'R&amp;B Inputs'!$I$4:$V$4,0)))^(BC$7-Year1))</f>
        <v>0.39211256243681192</v>
      </c>
      <c r="BD196" s="508">
        <f>IF(BD$8=0,0,INDEX('R&amp;B Inputs'!$I$78:$V$78,MATCH($B196,'R&amp;B Inputs'!$I$4:$V$4,0))*(1+INDEX('R&amp;B Inputs'!$I$48:$V$48,MATCH($B196,'R&amp;B Inputs'!$I$4:$V$4,0)))^(BD$7-Year1))</f>
        <v>0.39211256243681192</v>
      </c>
      <c r="BE196" s="508">
        <f>IF(BE$8=0,0,INDEX('R&amp;B Inputs'!$I$78:$V$78,MATCH($B196,'R&amp;B Inputs'!$I$4:$V$4,0))*(1+INDEX('R&amp;B Inputs'!$I$48:$V$48,MATCH($B196,'R&amp;B Inputs'!$I$4:$V$4,0)))^(BE$7-Year1))</f>
        <v>0.39211256243681192</v>
      </c>
      <c r="BF196" s="508">
        <f>IF(BF$8=0,0,INDEX('R&amp;B Inputs'!$I$78:$V$78,MATCH($B196,'R&amp;B Inputs'!$I$4:$V$4,0))*(1+INDEX('R&amp;B Inputs'!$I$48:$V$48,MATCH($B196,'R&amp;B Inputs'!$I$4:$V$4,0)))^(BF$7-Year1))</f>
        <v>0.39211256243681192</v>
      </c>
      <c r="BG196" s="508">
        <f>IF(BG$8=0,0,INDEX('R&amp;B Inputs'!$I$78:$V$78,MATCH($B196,'R&amp;B Inputs'!$I$4:$V$4,0))*(1+INDEX('R&amp;B Inputs'!$I$48:$V$48,MATCH($B196,'R&amp;B Inputs'!$I$4:$V$4,0)))^(BG$7-Year1))</f>
        <v>0.39211256243681192</v>
      </c>
      <c r="BH196" s="508">
        <f>IF(BH$8=0,0,INDEX('R&amp;B Inputs'!$I$78:$V$78,MATCH($B196,'R&amp;B Inputs'!$I$4:$V$4,0))*(1+INDEX('R&amp;B Inputs'!$I$48:$V$48,MATCH($B196,'R&amp;B Inputs'!$I$4:$V$4,0)))^(BH$7-Year1))</f>
        <v>0.39211256243681192</v>
      </c>
      <c r="BI196" s="508">
        <f>IF(BI$8=0,0,INDEX('R&amp;B Inputs'!$I$78:$V$78,MATCH($B196,'R&amp;B Inputs'!$I$4:$V$4,0))*(1+INDEX('R&amp;B Inputs'!$I$48:$V$48,MATCH($B196,'R&amp;B Inputs'!$I$4:$V$4,0)))^(BI$7-Year1))</f>
        <v>0.39211256243681192</v>
      </c>
      <c r="BJ196" s="508">
        <f>IF(BJ$8=0,0,INDEX('R&amp;B Inputs'!$I$78:$V$78,MATCH($B196,'R&amp;B Inputs'!$I$4:$V$4,0))*(1+INDEX('R&amp;B Inputs'!$I$48:$V$48,MATCH($B196,'R&amp;B Inputs'!$I$4:$V$4,0)))^(BJ$7-Year1))</f>
        <v>0.39211256243681192</v>
      </c>
      <c r="BK196" s="508">
        <f>IF(BK$8=0,0,INDEX('R&amp;B Inputs'!$I$78:$V$78,MATCH($B196,'R&amp;B Inputs'!$I$4:$V$4,0))*(1+INDEX('R&amp;B Inputs'!$I$48:$V$48,MATCH($B196,'R&amp;B Inputs'!$I$4:$V$4,0)))^(BK$7-Year1))</f>
        <v>0.39211256243681192</v>
      </c>
      <c r="BL196" s="508">
        <f>IF(BL$8=0,0,INDEX('R&amp;B Inputs'!$I$78:$V$78,MATCH($B196,'R&amp;B Inputs'!$I$4:$V$4,0))*(1+INDEX('R&amp;B Inputs'!$I$48:$V$48,MATCH($B196,'R&amp;B Inputs'!$I$4:$V$4,0)))^(BL$7-Year1))</f>
        <v>0.39211256243681192</v>
      </c>
      <c r="BM196" s="508">
        <f>IF(BM$8=0,0,INDEX('R&amp;B Inputs'!$I$78:$V$78,MATCH($B196,'R&amp;B Inputs'!$I$4:$V$4,0))*(1+INDEX('R&amp;B Inputs'!$I$48:$V$48,MATCH($B196,'R&amp;B Inputs'!$I$4:$V$4,0)))^(BM$7-Year1))</f>
        <v>0.39211256243681192</v>
      </c>
      <c r="BN196" s="508"/>
      <c r="BO196" s="508"/>
      <c r="BP196" s="508">
        <f>IF($C$4=Year1,-PMT(Lookups!$E$17,25,NPV(Lookups!$E$17,AM196:BK196),0,1),IF($C$4=Year2,-PMT(Lookups!$F$17,25,NPV(Lookups!$F$17,AN196:BL196),0,1),IF($C$4=Year3,-PMT(Lookups!$G$17,25,NPV(Lookups!$G$17,AO196:BM196),0,1),-PMT(Lookups!$G$17,27,NPV(Lookups!$G$17,AM196:BM196),0,1))))</f>
        <v>0.38664387391469068</v>
      </c>
      <c r="BS196" s="76" t="str">
        <f t="shared" ref="BS196:BS198" si="201">E196&amp;" charge from the R&amp;B Inputs tab, escalated annually by the growth rate included on the R&amp;B Inputs tab."</f>
        <v>Distribution charge from the R&amp;B Inputs tab, escalated annually by the growth rate included on the R&amp;B Inputs tab.</v>
      </c>
      <c r="BT196" s="51" t="s">
        <v>17</v>
      </c>
    </row>
    <row r="197" spans="1:72" x14ac:dyDescent="0.25">
      <c r="B197" s="243" t="str">
        <f t="shared" si="200"/>
        <v>Small C&amp;I</v>
      </c>
      <c r="C197" s="243" t="str">
        <f t="shared" si="200"/>
        <v>Rates</v>
      </c>
      <c r="D197" s="244" t="str">
        <f>D196</f>
        <v>Rates before DSM (No EE Scenario)</v>
      </c>
      <c r="E197" s="84" t="s">
        <v>407</v>
      </c>
      <c r="F197" s="84" t="s">
        <v>182</v>
      </c>
      <c r="G197" s="506">
        <f>IF(G$8=0,0,INDEX('R&amp;B Inputs'!$I$82:$V$82,MATCH($B197,'R&amp;B Inputs'!$I$4:$V$4,0))*(1+INDEX('R&amp;B Inputs'!$I$62:$V$62,MATCH($B197,'R&amp;B Inputs'!$I$4:$V$4,0)))^(G$7-Year1))</f>
        <v>5.2000000000000032E-3</v>
      </c>
      <c r="H197" s="506">
        <f>IF(H$8=0,0,INDEX('R&amp;B Inputs'!$I$82:$V$82,MATCH($B197,'R&amp;B Inputs'!$I$4:$V$4,0))*(1+INDEX('R&amp;B Inputs'!$I$62:$V$62,MATCH($B197,'R&amp;B Inputs'!$I$4:$V$4,0)))^(H$7-Year1))</f>
        <v>5.2000000000000032E-3</v>
      </c>
      <c r="I197" s="506">
        <f>IF(I$8=0,0,INDEX('R&amp;B Inputs'!$I$82:$V$82,MATCH($B197,'R&amp;B Inputs'!$I$4:$V$4,0))*(1+INDEX('R&amp;B Inputs'!$I$62:$V$62,MATCH($B197,'R&amp;B Inputs'!$I$4:$V$4,0)))^(I$7-Year1))</f>
        <v>5.2000000000000032E-3</v>
      </c>
      <c r="J197" s="506">
        <f>IF(J$8=0,0,INDEX('R&amp;B Inputs'!$I$82:$V$82,MATCH($B197,'R&amp;B Inputs'!$I$4:$V$4,0))*(1+INDEX('R&amp;B Inputs'!$I$62:$V$62,MATCH($B197,'R&amp;B Inputs'!$I$4:$V$4,0)))^(J$7-Year1))</f>
        <v>5.2000000000000032E-3</v>
      </c>
      <c r="K197" s="506">
        <f>IF(K$8=0,0,INDEX('R&amp;B Inputs'!$I$82:$V$82,MATCH($B197,'R&amp;B Inputs'!$I$4:$V$4,0))*(1+INDEX('R&amp;B Inputs'!$I$62:$V$62,MATCH($B197,'R&amp;B Inputs'!$I$4:$V$4,0)))^(K$7-Year1))</f>
        <v>5.2000000000000032E-3</v>
      </c>
      <c r="L197" s="506">
        <f>IF(L$8=0,0,INDEX('R&amp;B Inputs'!$I$82:$V$82,MATCH($B197,'R&amp;B Inputs'!$I$4:$V$4,0))*(1+INDEX('R&amp;B Inputs'!$I$62:$V$62,MATCH($B197,'R&amp;B Inputs'!$I$4:$V$4,0)))^(L$7-Year1))</f>
        <v>5.2000000000000032E-3</v>
      </c>
      <c r="M197" s="506">
        <f>IF(M$8=0,0,INDEX('R&amp;B Inputs'!$I$82:$V$82,MATCH($B197,'R&amp;B Inputs'!$I$4:$V$4,0))*(1+INDEX('R&amp;B Inputs'!$I$62:$V$62,MATCH($B197,'R&amp;B Inputs'!$I$4:$V$4,0)))^(M$7-Year1))</f>
        <v>5.2000000000000032E-3</v>
      </c>
      <c r="N197" s="506">
        <f>IF(N$8=0,0,INDEX('R&amp;B Inputs'!$I$82:$V$82,MATCH($B197,'R&amp;B Inputs'!$I$4:$V$4,0))*(1+INDEX('R&amp;B Inputs'!$I$62:$V$62,MATCH($B197,'R&amp;B Inputs'!$I$4:$V$4,0)))^(N$7-Year1))</f>
        <v>5.2000000000000032E-3</v>
      </c>
      <c r="O197" s="506">
        <f>IF(O$8=0,0,INDEX('R&amp;B Inputs'!$I$82:$V$82,MATCH($B197,'R&amp;B Inputs'!$I$4:$V$4,0))*(1+INDEX('R&amp;B Inputs'!$I$62:$V$62,MATCH($B197,'R&amp;B Inputs'!$I$4:$V$4,0)))^(O$7-Year1))</f>
        <v>5.2000000000000032E-3</v>
      </c>
      <c r="P197" s="506">
        <f>IF(P$8=0,0,INDEX('R&amp;B Inputs'!$I$82:$V$82,MATCH($B197,'R&amp;B Inputs'!$I$4:$V$4,0))*(1+INDEX('R&amp;B Inputs'!$I$62:$V$62,MATCH($B197,'R&amp;B Inputs'!$I$4:$V$4,0)))^(P$7-Year1))</f>
        <v>5.2000000000000032E-3</v>
      </c>
      <c r="Q197" s="506">
        <f>IF(Q$8=0,0,INDEX('R&amp;B Inputs'!$I$82:$V$82,MATCH($B197,'R&amp;B Inputs'!$I$4:$V$4,0))*(1+INDEX('R&amp;B Inputs'!$I$62:$V$62,MATCH($B197,'R&amp;B Inputs'!$I$4:$V$4,0)))^(Q$7-Year1))</f>
        <v>5.2000000000000032E-3</v>
      </c>
      <c r="R197" s="506">
        <f>IF(R$8=0,0,INDEX('R&amp;B Inputs'!$I$82:$V$82,MATCH($B197,'R&amp;B Inputs'!$I$4:$V$4,0))*(1+INDEX('R&amp;B Inputs'!$I$62:$V$62,MATCH($B197,'R&amp;B Inputs'!$I$4:$V$4,0)))^(R$7-Year1))</f>
        <v>5.2000000000000032E-3</v>
      </c>
      <c r="S197" s="506">
        <f>IF(S$8=0,0,INDEX('R&amp;B Inputs'!$I$82:$V$82,MATCH($B197,'R&amp;B Inputs'!$I$4:$V$4,0))*(1+INDEX('R&amp;B Inputs'!$I$62:$V$62,MATCH($B197,'R&amp;B Inputs'!$I$4:$V$4,0)))^(S$7-Year1))</f>
        <v>5.2000000000000032E-3</v>
      </c>
      <c r="T197" s="506">
        <f>IF(T$8=0,0,INDEX('R&amp;B Inputs'!$I$82:$V$82,MATCH($B197,'R&amp;B Inputs'!$I$4:$V$4,0))*(1+INDEX('R&amp;B Inputs'!$I$62:$V$62,MATCH($B197,'R&amp;B Inputs'!$I$4:$V$4,0)))^(T$7-Year1))</f>
        <v>5.2000000000000032E-3</v>
      </c>
      <c r="U197" s="506">
        <f>IF(U$8=0,0,INDEX('R&amp;B Inputs'!$I$82:$V$82,MATCH($B197,'R&amp;B Inputs'!$I$4:$V$4,0))*(1+INDEX('R&amp;B Inputs'!$I$62:$V$62,MATCH($B197,'R&amp;B Inputs'!$I$4:$V$4,0)))^(U$7-Year1))</f>
        <v>5.2000000000000032E-3</v>
      </c>
      <c r="V197" s="506">
        <f>IF(V$8=0,0,INDEX('R&amp;B Inputs'!$I$82:$V$82,MATCH($B197,'R&amp;B Inputs'!$I$4:$V$4,0))*(1+INDEX('R&amp;B Inputs'!$I$62:$V$62,MATCH($B197,'R&amp;B Inputs'!$I$4:$V$4,0)))^(V$7-Year1))</f>
        <v>5.2000000000000032E-3</v>
      </c>
      <c r="W197" s="506">
        <f>IF(W$8=0,0,INDEX('R&amp;B Inputs'!$I$82:$V$82,MATCH($B197,'R&amp;B Inputs'!$I$4:$V$4,0))*(1+INDEX('R&amp;B Inputs'!$I$62:$V$62,MATCH($B197,'R&amp;B Inputs'!$I$4:$V$4,0)))^(W$7-Year1))</f>
        <v>5.2000000000000032E-3</v>
      </c>
      <c r="X197" s="506">
        <f>IF(X$8=0,0,INDEX('R&amp;B Inputs'!$I$82:$V$82,MATCH($B197,'R&amp;B Inputs'!$I$4:$V$4,0))*(1+INDEX('R&amp;B Inputs'!$I$62:$V$62,MATCH($B197,'R&amp;B Inputs'!$I$4:$V$4,0)))^(X$7-Year1))</f>
        <v>5.2000000000000032E-3</v>
      </c>
      <c r="Y197" s="506">
        <f>IF(Y$8=0,0,INDEX('R&amp;B Inputs'!$I$82:$V$82,MATCH($B197,'R&amp;B Inputs'!$I$4:$V$4,0))*(1+INDEX('R&amp;B Inputs'!$I$62:$V$62,MATCH($B197,'R&amp;B Inputs'!$I$4:$V$4,0)))^(Y$7-Year1))</f>
        <v>5.2000000000000032E-3</v>
      </c>
      <c r="Z197" s="506">
        <f>IF(Z$8=0,0,INDEX('R&amp;B Inputs'!$I$82:$V$82,MATCH($B197,'R&amp;B Inputs'!$I$4:$V$4,0))*(1+INDEX('R&amp;B Inputs'!$I$62:$V$62,MATCH($B197,'R&amp;B Inputs'!$I$4:$V$4,0)))^(Z$7-Year1))</f>
        <v>5.2000000000000032E-3</v>
      </c>
      <c r="AA197" s="506">
        <f>IF(AA$8=0,0,INDEX('R&amp;B Inputs'!$I$82:$V$82,MATCH($B197,'R&amp;B Inputs'!$I$4:$V$4,0))*(1+INDEX('R&amp;B Inputs'!$I$62:$V$62,MATCH($B197,'R&amp;B Inputs'!$I$4:$V$4,0)))^(AA$7-Year1))</f>
        <v>5.2000000000000032E-3</v>
      </c>
      <c r="AB197" s="506">
        <f>IF(AB$8=0,0,INDEX('R&amp;B Inputs'!$I$82:$V$82,MATCH($B197,'R&amp;B Inputs'!$I$4:$V$4,0))*(1+INDEX('R&amp;B Inputs'!$I$62:$V$62,MATCH($B197,'R&amp;B Inputs'!$I$4:$V$4,0)))^(AB$7-Year1))</f>
        <v>5.2000000000000032E-3</v>
      </c>
      <c r="AC197" s="506">
        <f>IF(AC$8=0,0,INDEX('R&amp;B Inputs'!$I$82:$V$82,MATCH($B197,'R&amp;B Inputs'!$I$4:$V$4,0))*(1+INDEX('R&amp;B Inputs'!$I$62:$V$62,MATCH($B197,'R&amp;B Inputs'!$I$4:$V$4,0)))^(AC$7-Year1))</f>
        <v>5.2000000000000032E-3</v>
      </c>
      <c r="AD197" s="506">
        <f>IF(AD$8=0,0,INDEX('R&amp;B Inputs'!$I$82:$V$82,MATCH($B197,'R&amp;B Inputs'!$I$4:$V$4,0))*(1+INDEX('R&amp;B Inputs'!$I$62:$V$62,MATCH($B197,'R&amp;B Inputs'!$I$4:$V$4,0)))^(AD$7-Year1))</f>
        <v>5.2000000000000032E-3</v>
      </c>
      <c r="AE197" s="506">
        <f>IF(AE$8=0,0,INDEX('R&amp;B Inputs'!$I$82:$V$82,MATCH($B197,'R&amp;B Inputs'!$I$4:$V$4,0))*(1+INDEX('R&amp;B Inputs'!$I$62:$V$62,MATCH($B197,'R&amp;B Inputs'!$I$4:$V$4,0)))^(AE$7-Year1))</f>
        <v>5.2000000000000032E-3</v>
      </c>
      <c r="AF197" s="506">
        <f>IF(AF$8=0,0,INDEX('R&amp;B Inputs'!$I$82:$V$82,MATCH($B197,'R&amp;B Inputs'!$I$4:$V$4,0))*(1+INDEX('R&amp;B Inputs'!$I$62:$V$62,MATCH($B197,'R&amp;B Inputs'!$I$4:$V$4,0)))^(AF$7-Year1))</f>
        <v>5.2000000000000032E-3</v>
      </c>
      <c r="AG197" s="506">
        <f>IF(AG$8=0,0,INDEX('R&amp;B Inputs'!$I$82:$V$82,MATCH($B197,'R&amp;B Inputs'!$I$4:$V$4,0))*(1+INDEX('R&amp;B Inputs'!$I$62:$V$62,MATCH($B197,'R&amp;B Inputs'!$I$4:$V$4,0)))^(AG$7-Year1))</f>
        <v>5.2000000000000032E-3</v>
      </c>
      <c r="AH197" s="506"/>
      <c r="AI197" s="506"/>
      <c r="AJ197" s="506">
        <f>IF($C$4=Year1,-PMT(Lookups!$E$17,25,NPV(Lookups!$E$17,G197:AE197),0,1),IF($C$4=Year2,-PMT(Lookups!$F$17,25,NPV(Lookups!$F$17,H197:AF197),0,1),IF($C$4=Year3,-PMT(Lookups!$G$17,25,NPV(Lookups!$G$17,I197:AG197),0,1),-PMT(Lookups!$G$17,27,NPV(Lookups!$G$17,G197:AG197),0,1))))</f>
        <v>5.1274769975786939E-3</v>
      </c>
      <c r="AK197" s="507"/>
      <c r="AL197" s="507"/>
      <c r="AM197" s="508">
        <f>IF(AM$8=0,0,INDEX('R&amp;B Inputs'!$I$82:$V$82,MATCH($B197,'R&amp;B Inputs'!$I$4:$V$4,0))*(1+INDEX('R&amp;B Inputs'!$I$62:$V$62,MATCH($B197,'R&amp;B Inputs'!$I$4:$V$4,0)))^(AM$7-Year1))</f>
        <v>5.2000000000000032E-3</v>
      </c>
      <c r="AN197" s="508">
        <f>IF(AN$8=0,0,INDEX('R&amp;B Inputs'!$I$82:$V$82,MATCH($B197,'R&amp;B Inputs'!$I$4:$V$4,0))*(1+INDEX('R&amp;B Inputs'!$I$62:$V$62,MATCH($B197,'R&amp;B Inputs'!$I$4:$V$4,0)))^(AN$7-Year1))</f>
        <v>5.2000000000000032E-3</v>
      </c>
      <c r="AO197" s="508">
        <f>IF(AO$8=0,0,INDEX('R&amp;B Inputs'!$I$82:$V$82,MATCH($B197,'R&amp;B Inputs'!$I$4:$V$4,0))*(1+INDEX('R&amp;B Inputs'!$I$62:$V$62,MATCH($B197,'R&amp;B Inputs'!$I$4:$V$4,0)))^(AO$7-Year1))</f>
        <v>5.2000000000000032E-3</v>
      </c>
      <c r="AP197" s="508">
        <f>IF(AP$8=0,0,INDEX('R&amp;B Inputs'!$I$82:$V$82,MATCH($B197,'R&amp;B Inputs'!$I$4:$V$4,0))*(1+INDEX('R&amp;B Inputs'!$I$62:$V$62,MATCH($B197,'R&amp;B Inputs'!$I$4:$V$4,0)))^(AP$7-Year1))</f>
        <v>5.2000000000000032E-3</v>
      </c>
      <c r="AQ197" s="508">
        <f>IF(AQ$8=0,0,INDEX('R&amp;B Inputs'!$I$82:$V$82,MATCH($B197,'R&amp;B Inputs'!$I$4:$V$4,0))*(1+INDEX('R&amp;B Inputs'!$I$62:$V$62,MATCH($B197,'R&amp;B Inputs'!$I$4:$V$4,0)))^(AQ$7-Year1))</f>
        <v>5.2000000000000032E-3</v>
      </c>
      <c r="AR197" s="508">
        <f>IF(AR$8=0,0,INDEX('R&amp;B Inputs'!$I$82:$V$82,MATCH($B197,'R&amp;B Inputs'!$I$4:$V$4,0))*(1+INDEX('R&amp;B Inputs'!$I$62:$V$62,MATCH($B197,'R&amp;B Inputs'!$I$4:$V$4,0)))^(AR$7-Year1))</f>
        <v>5.2000000000000032E-3</v>
      </c>
      <c r="AS197" s="508">
        <f>IF(AS$8=0,0,INDEX('R&amp;B Inputs'!$I$82:$V$82,MATCH($B197,'R&amp;B Inputs'!$I$4:$V$4,0))*(1+INDEX('R&amp;B Inputs'!$I$62:$V$62,MATCH($B197,'R&amp;B Inputs'!$I$4:$V$4,0)))^(AS$7-Year1))</f>
        <v>5.2000000000000032E-3</v>
      </c>
      <c r="AT197" s="508">
        <f>IF(AT$8=0,0,INDEX('R&amp;B Inputs'!$I$82:$V$82,MATCH($B197,'R&amp;B Inputs'!$I$4:$V$4,0))*(1+INDEX('R&amp;B Inputs'!$I$62:$V$62,MATCH($B197,'R&amp;B Inputs'!$I$4:$V$4,0)))^(AT$7-Year1))</f>
        <v>5.2000000000000032E-3</v>
      </c>
      <c r="AU197" s="508">
        <f>IF(AU$8=0,0,INDEX('R&amp;B Inputs'!$I$82:$V$82,MATCH($B197,'R&amp;B Inputs'!$I$4:$V$4,0))*(1+INDEX('R&amp;B Inputs'!$I$62:$V$62,MATCH($B197,'R&amp;B Inputs'!$I$4:$V$4,0)))^(AU$7-Year1))</f>
        <v>5.2000000000000032E-3</v>
      </c>
      <c r="AV197" s="508">
        <f>IF(AV$8=0,0,INDEX('R&amp;B Inputs'!$I$82:$V$82,MATCH($B197,'R&amp;B Inputs'!$I$4:$V$4,0))*(1+INDEX('R&amp;B Inputs'!$I$62:$V$62,MATCH($B197,'R&amp;B Inputs'!$I$4:$V$4,0)))^(AV$7-Year1))</f>
        <v>5.2000000000000032E-3</v>
      </c>
      <c r="AW197" s="508">
        <f>IF(AW$8=0,0,INDEX('R&amp;B Inputs'!$I$82:$V$82,MATCH($B197,'R&amp;B Inputs'!$I$4:$V$4,0))*(1+INDEX('R&amp;B Inputs'!$I$62:$V$62,MATCH($B197,'R&amp;B Inputs'!$I$4:$V$4,0)))^(AW$7-Year1))</f>
        <v>5.2000000000000032E-3</v>
      </c>
      <c r="AX197" s="508">
        <f>IF(AX$8=0,0,INDEX('R&amp;B Inputs'!$I$82:$V$82,MATCH($B197,'R&amp;B Inputs'!$I$4:$V$4,0))*(1+INDEX('R&amp;B Inputs'!$I$62:$V$62,MATCH($B197,'R&amp;B Inputs'!$I$4:$V$4,0)))^(AX$7-Year1))</f>
        <v>5.2000000000000032E-3</v>
      </c>
      <c r="AY197" s="508">
        <f>IF(AY$8=0,0,INDEX('R&amp;B Inputs'!$I$82:$V$82,MATCH($B197,'R&amp;B Inputs'!$I$4:$V$4,0))*(1+INDEX('R&amp;B Inputs'!$I$62:$V$62,MATCH($B197,'R&amp;B Inputs'!$I$4:$V$4,0)))^(AY$7-Year1))</f>
        <v>5.2000000000000032E-3</v>
      </c>
      <c r="AZ197" s="508">
        <f>IF(AZ$8=0,0,INDEX('R&amp;B Inputs'!$I$82:$V$82,MATCH($B197,'R&amp;B Inputs'!$I$4:$V$4,0))*(1+INDEX('R&amp;B Inputs'!$I$62:$V$62,MATCH($B197,'R&amp;B Inputs'!$I$4:$V$4,0)))^(AZ$7-Year1))</f>
        <v>5.2000000000000032E-3</v>
      </c>
      <c r="BA197" s="508">
        <f>IF(BA$8=0,0,INDEX('R&amp;B Inputs'!$I$82:$V$82,MATCH($B197,'R&amp;B Inputs'!$I$4:$V$4,0))*(1+INDEX('R&amp;B Inputs'!$I$62:$V$62,MATCH($B197,'R&amp;B Inputs'!$I$4:$V$4,0)))^(BA$7-Year1))</f>
        <v>5.2000000000000032E-3</v>
      </c>
      <c r="BB197" s="508">
        <f>IF(BB$8=0,0,INDEX('R&amp;B Inputs'!$I$82:$V$82,MATCH($B197,'R&amp;B Inputs'!$I$4:$V$4,0))*(1+INDEX('R&amp;B Inputs'!$I$62:$V$62,MATCH($B197,'R&amp;B Inputs'!$I$4:$V$4,0)))^(BB$7-Year1))</f>
        <v>5.2000000000000032E-3</v>
      </c>
      <c r="BC197" s="508">
        <f>IF(BC$8=0,0,INDEX('R&amp;B Inputs'!$I$82:$V$82,MATCH($B197,'R&amp;B Inputs'!$I$4:$V$4,0))*(1+INDEX('R&amp;B Inputs'!$I$62:$V$62,MATCH($B197,'R&amp;B Inputs'!$I$4:$V$4,0)))^(BC$7-Year1))</f>
        <v>5.2000000000000032E-3</v>
      </c>
      <c r="BD197" s="508">
        <f>IF(BD$8=0,0,INDEX('R&amp;B Inputs'!$I$82:$V$82,MATCH($B197,'R&amp;B Inputs'!$I$4:$V$4,0))*(1+INDEX('R&amp;B Inputs'!$I$62:$V$62,MATCH($B197,'R&amp;B Inputs'!$I$4:$V$4,0)))^(BD$7-Year1))</f>
        <v>5.2000000000000032E-3</v>
      </c>
      <c r="BE197" s="508">
        <f>IF(BE$8=0,0,INDEX('R&amp;B Inputs'!$I$82:$V$82,MATCH($B197,'R&amp;B Inputs'!$I$4:$V$4,0))*(1+INDEX('R&amp;B Inputs'!$I$62:$V$62,MATCH($B197,'R&amp;B Inputs'!$I$4:$V$4,0)))^(BE$7-Year1))</f>
        <v>5.2000000000000032E-3</v>
      </c>
      <c r="BF197" s="508">
        <f>IF(BF$8=0,0,INDEX('R&amp;B Inputs'!$I$82:$V$82,MATCH($B197,'R&amp;B Inputs'!$I$4:$V$4,0))*(1+INDEX('R&amp;B Inputs'!$I$62:$V$62,MATCH($B197,'R&amp;B Inputs'!$I$4:$V$4,0)))^(BF$7-Year1))</f>
        <v>5.2000000000000032E-3</v>
      </c>
      <c r="BG197" s="508">
        <f>IF(BG$8=0,0,INDEX('R&amp;B Inputs'!$I$82:$V$82,MATCH($B197,'R&amp;B Inputs'!$I$4:$V$4,0))*(1+INDEX('R&amp;B Inputs'!$I$62:$V$62,MATCH($B197,'R&amp;B Inputs'!$I$4:$V$4,0)))^(BG$7-Year1))</f>
        <v>5.2000000000000032E-3</v>
      </c>
      <c r="BH197" s="508">
        <f>IF(BH$8=0,0,INDEX('R&amp;B Inputs'!$I$82:$V$82,MATCH($B197,'R&amp;B Inputs'!$I$4:$V$4,0))*(1+INDEX('R&amp;B Inputs'!$I$62:$V$62,MATCH($B197,'R&amp;B Inputs'!$I$4:$V$4,0)))^(BH$7-Year1))</f>
        <v>5.2000000000000032E-3</v>
      </c>
      <c r="BI197" s="508">
        <f>IF(BI$8=0,0,INDEX('R&amp;B Inputs'!$I$82:$V$82,MATCH($B197,'R&amp;B Inputs'!$I$4:$V$4,0))*(1+INDEX('R&amp;B Inputs'!$I$62:$V$62,MATCH($B197,'R&amp;B Inputs'!$I$4:$V$4,0)))^(BI$7-Year1))</f>
        <v>5.2000000000000032E-3</v>
      </c>
      <c r="BJ197" s="508">
        <f>IF(BJ$8=0,0,INDEX('R&amp;B Inputs'!$I$82:$V$82,MATCH($B197,'R&amp;B Inputs'!$I$4:$V$4,0))*(1+INDEX('R&amp;B Inputs'!$I$62:$V$62,MATCH($B197,'R&amp;B Inputs'!$I$4:$V$4,0)))^(BJ$7-Year1))</f>
        <v>5.2000000000000032E-3</v>
      </c>
      <c r="BK197" s="508">
        <f>IF(BK$8=0,0,INDEX('R&amp;B Inputs'!$I$82:$V$82,MATCH($B197,'R&amp;B Inputs'!$I$4:$V$4,0))*(1+INDEX('R&amp;B Inputs'!$I$62:$V$62,MATCH($B197,'R&amp;B Inputs'!$I$4:$V$4,0)))^(BK$7-Year1))</f>
        <v>5.2000000000000032E-3</v>
      </c>
      <c r="BL197" s="508">
        <f>IF(BL$8=0,0,INDEX('R&amp;B Inputs'!$I$82:$V$82,MATCH($B197,'R&amp;B Inputs'!$I$4:$V$4,0))*(1+INDEX('R&amp;B Inputs'!$I$62:$V$62,MATCH($B197,'R&amp;B Inputs'!$I$4:$V$4,0)))^(BL$7-Year1))</f>
        <v>5.2000000000000032E-3</v>
      </c>
      <c r="BM197" s="508">
        <f>IF(BM$8=0,0,INDEX('R&amp;B Inputs'!$I$82:$V$82,MATCH($B197,'R&amp;B Inputs'!$I$4:$V$4,0))*(1+INDEX('R&amp;B Inputs'!$I$62:$V$62,MATCH($B197,'R&amp;B Inputs'!$I$4:$V$4,0)))^(BM$7-Year1))</f>
        <v>5.2000000000000032E-3</v>
      </c>
      <c r="BN197" s="508"/>
      <c r="BO197" s="508"/>
      <c r="BP197" s="508">
        <f>IF($C$4=Year1,-PMT(Lookups!$E$17,25,NPV(Lookups!$E$17,AM197:BK197),0,1),IF($C$4=Year2,-PMT(Lookups!$F$17,25,NPV(Lookups!$F$17,AN197:BL197),0,1),IF($C$4=Year3,-PMT(Lookups!$G$17,25,NPV(Lookups!$G$17,AO197:BM197),0,1),-PMT(Lookups!$G$17,27,NPV(Lookups!$G$17,AM197:BM197),0,1))))</f>
        <v>5.1274769975786939E-3</v>
      </c>
      <c r="BS197" s="76" t="str">
        <f t="shared" si="201"/>
        <v>LDAC, Non-EE charge from the R&amp;B Inputs tab, escalated annually by the growth rate included on the R&amp;B Inputs tab.</v>
      </c>
      <c r="BT197" s="51" t="s">
        <v>17</v>
      </c>
    </row>
    <row r="198" spans="1:72" x14ac:dyDescent="0.25">
      <c r="B198" s="243" t="str">
        <f>B196</f>
        <v>Small C&amp;I</v>
      </c>
      <c r="C198" s="243" t="str">
        <f>C196</f>
        <v>Rates</v>
      </c>
      <c r="D198" s="244" t="str">
        <f>D196</f>
        <v>Rates before DSM (No EE Scenario)</v>
      </c>
      <c r="E198" s="84" t="s">
        <v>197</v>
      </c>
      <c r="F198" s="84" t="s">
        <v>182</v>
      </c>
      <c r="G198" s="506">
        <f>IF(G$8=0,0,INDEX('R&amp;B Inputs'!$I$86:$V$86,MATCH($B198,'R&amp;B Inputs'!$I$4:$V$4,0))*(1+INDEX('R&amp;B Inputs'!$I$66:$V$66,MATCH($B198,'R&amp;B Inputs'!$I$4:$V$4,0)))^(G$7-Year1))</f>
        <v>0.61899999999999999</v>
      </c>
      <c r="H198" s="506">
        <f>IF(H$8=0,0,INDEX('R&amp;B Inputs'!$I$86:$V$86,MATCH($B198,'R&amp;B Inputs'!$I$4:$V$4,0))*(1+INDEX('R&amp;B Inputs'!$I$66:$V$66,MATCH($B198,'R&amp;B Inputs'!$I$4:$V$4,0)))^(H$7-Year1))</f>
        <v>0.61899999999999999</v>
      </c>
      <c r="I198" s="506">
        <f>IF(I$8=0,0,INDEX('R&amp;B Inputs'!$I$86:$V$86,MATCH($B198,'R&amp;B Inputs'!$I$4:$V$4,0))*(1+INDEX('R&amp;B Inputs'!$I$66:$V$66,MATCH($B198,'R&amp;B Inputs'!$I$4:$V$4,0)))^(I$7-Year1))</f>
        <v>0.61899999999999999</v>
      </c>
      <c r="J198" s="506">
        <f>IF(J$8=0,0,INDEX('R&amp;B Inputs'!$I$86:$V$86,MATCH($B198,'R&amp;B Inputs'!$I$4:$V$4,0))*(1+INDEX('R&amp;B Inputs'!$I$66:$V$66,MATCH($B198,'R&amp;B Inputs'!$I$4:$V$4,0)))^(J$7-Year1))</f>
        <v>0.61899999999999999</v>
      </c>
      <c r="K198" s="506">
        <f>IF(K$8=0,0,INDEX('R&amp;B Inputs'!$I$86:$V$86,MATCH($B198,'R&amp;B Inputs'!$I$4:$V$4,0))*(1+INDEX('R&amp;B Inputs'!$I$66:$V$66,MATCH($B198,'R&amp;B Inputs'!$I$4:$V$4,0)))^(K$7-Year1))</f>
        <v>0.61899999999999999</v>
      </c>
      <c r="L198" s="506">
        <f>IF(L$8=0,0,INDEX('R&amp;B Inputs'!$I$86:$V$86,MATCH($B198,'R&amp;B Inputs'!$I$4:$V$4,0))*(1+INDEX('R&amp;B Inputs'!$I$66:$V$66,MATCH($B198,'R&amp;B Inputs'!$I$4:$V$4,0)))^(L$7-Year1))</f>
        <v>0.61899999999999999</v>
      </c>
      <c r="M198" s="506">
        <f>IF(M$8=0,0,INDEX('R&amp;B Inputs'!$I$86:$V$86,MATCH($B198,'R&amp;B Inputs'!$I$4:$V$4,0))*(1+INDEX('R&amp;B Inputs'!$I$66:$V$66,MATCH($B198,'R&amp;B Inputs'!$I$4:$V$4,0)))^(M$7-Year1))</f>
        <v>0.61899999999999999</v>
      </c>
      <c r="N198" s="506">
        <f>IF(N$8=0,0,INDEX('R&amp;B Inputs'!$I$86:$V$86,MATCH($B198,'R&amp;B Inputs'!$I$4:$V$4,0))*(1+INDEX('R&amp;B Inputs'!$I$66:$V$66,MATCH($B198,'R&amp;B Inputs'!$I$4:$V$4,0)))^(N$7-Year1))</f>
        <v>0.61899999999999999</v>
      </c>
      <c r="O198" s="506">
        <f>IF(O$8=0,0,INDEX('R&amp;B Inputs'!$I$86:$V$86,MATCH($B198,'R&amp;B Inputs'!$I$4:$V$4,0))*(1+INDEX('R&amp;B Inputs'!$I$66:$V$66,MATCH($B198,'R&amp;B Inputs'!$I$4:$V$4,0)))^(O$7-Year1))</f>
        <v>0.61899999999999999</v>
      </c>
      <c r="P198" s="506">
        <f>IF(P$8=0,0,INDEX('R&amp;B Inputs'!$I$86:$V$86,MATCH($B198,'R&amp;B Inputs'!$I$4:$V$4,0))*(1+INDEX('R&amp;B Inputs'!$I$66:$V$66,MATCH($B198,'R&amp;B Inputs'!$I$4:$V$4,0)))^(P$7-Year1))</f>
        <v>0.61899999999999999</v>
      </c>
      <c r="Q198" s="506">
        <f>IF(Q$8=0,0,INDEX('R&amp;B Inputs'!$I$86:$V$86,MATCH($B198,'R&amp;B Inputs'!$I$4:$V$4,0))*(1+INDEX('R&amp;B Inputs'!$I$66:$V$66,MATCH($B198,'R&amp;B Inputs'!$I$4:$V$4,0)))^(Q$7-Year1))</f>
        <v>0.61899999999999999</v>
      </c>
      <c r="R198" s="506">
        <f>IF(R$8=0,0,INDEX('R&amp;B Inputs'!$I$86:$V$86,MATCH($B198,'R&amp;B Inputs'!$I$4:$V$4,0))*(1+INDEX('R&amp;B Inputs'!$I$66:$V$66,MATCH($B198,'R&amp;B Inputs'!$I$4:$V$4,0)))^(R$7-Year1))</f>
        <v>0.61899999999999999</v>
      </c>
      <c r="S198" s="506">
        <f>IF(S$8=0,0,INDEX('R&amp;B Inputs'!$I$86:$V$86,MATCH($B198,'R&amp;B Inputs'!$I$4:$V$4,0))*(1+INDEX('R&amp;B Inputs'!$I$66:$V$66,MATCH($B198,'R&amp;B Inputs'!$I$4:$V$4,0)))^(S$7-Year1))</f>
        <v>0.61899999999999999</v>
      </c>
      <c r="T198" s="506">
        <f>IF(T$8=0,0,INDEX('R&amp;B Inputs'!$I$86:$V$86,MATCH($B198,'R&amp;B Inputs'!$I$4:$V$4,0))*(1+INDEX('R&amp;B Inputs'!$I$66:$V$66,MATCH($B198,'R&amp;B Inputs'!$I$4:$V$4,0)))^(T$7-Year1))</f>
        <v>0.61899999999999999</v>
      </c>
      <c r="U198" s="506">
        <f>IF(U$8=0,0,INDEX('R&amp;B Inputs'!$I$86:$V$86,MATCH($B198,'R&amp;B Inputs'!$I$4:$V$4,0))*(1+INDEX('R&amp;B Inputs'!$I$66:$V$66,MATCH($B198,'R&amp;B Inputs'!$I$4:$V$4,0)))^(U$7-Year1))</f>
        <v>0.61899999999999999</v>
      </c>
      <c r="V198" s="506">
        <f>IF(V$8=0,0,INDEX('R&amp;B Inputs'!$I$86:$V$86,MATCH($B198,'R&amp;B Inputs'!$I$4:$V$4,0))*(1+INDEX('R&amp;B Inputs'!$I$66:$V$66,MATCH($B198,'R&amp;B Inputs'!$I$4:$V$4,0)))^(V$7-Year1))</f>
        <v>0.61899999999999999</v>
      </c>
      <c r="W198" s="506">
        <f>IF(W$8=0,0,INDEX('R&amp;B Inputs'!$I$86:$V$86,MATCH($B198,'R&amp;B Inputs'!$I$4:$V$4,0))*(1+INDEX('R&amp;B Inputs'!$I$66:$V$66,MATCH($B198,'R&amp;B Inputs'!$I$4:$V$4,0)))^(W$7-Year1))</f>
        <v>0.61899999999999999</v>
      </c>
      <c r="X198" s="506">
        <f>IF(X$8=0,0,INDEX('R&amp;B Inputs'!$I$86:$V$86,MATCH($B198,'R&amp;B Inputs'!$I$4:$V$4,0))*(1+INDEX('R&amp;B Inputs'!$I$66:$V$66,MATCH($B198,'R&amp;B Inputs'!$I$4:$V$4,0)))^(X$7-Year1))</f>
        <v>0.61899999999999999</v>
      </c>
      <c r="Y198" s="506">
        <f>IF(Y$8=0,0,INDEX('R&amp;B Inputs'!$I$86:$V$86,MATCH($B198,'R&amp;B Inputs'!$I$4:$V$4,0))*(1+INDEX('R&amp;B Inputs'!$I$66:$V$66,MATCH($B198,'R&amp;B Inputs'!$I$4:$V$4,0)))^(Y$7-Year1))</f>
        <v>0.61899999999999999</v>
      </c>
      <c r="Z198" s="506">
        <f>IF(Z$8=0,0,INDEX('R&amp;B Inputs'!$I$86:$V$86,MATCH($B198,'R&amp;B Inputs'!$I$4:$V$4,0))*(1+INDEX('R&amp;B Inputs'!$I$66:$V$66,MATCH($B198,'R&amp;B Inputs'!$I$4:$V$4,0)))^(Z$7-Year1))</f>
        <v>0.61899999999999999</v>
      </c>
      <c r="AA198" s="506">
        <f>IF(AA$8=0,0,INDEX('R&amp;B Inputs'!$I$86:$V$86,MATCH($B198,'R&amp;B Inputs'!$I$4:$V$4,0))*(1+INDEX('R&amp;B Inputs'!$I$66:$V$66,MATCH($B198,'R&amp;B Inputs'!$I$4:$V$4,0)))^(AA$7-Year1))</f>
        <v>0.61899999999999999</v>
      </c>
      <c r="AB198" s="506">
        <f>IF(AB$8=0,0,INDEX('R&amp;B Inputs'!$I$86:$V$86,MATCH($B198,'R&amp;B Inputs'!$I$4:$V$4,0))*(1+INDEX('R&amp;B Inputs'!$I$66:$V$66,MATCH($B198,'R&amp;B Inputs'!$I$4:$V$4,0)))^(AB$7-Year1))</f>
        <v>0.61899999999999999</v>
      </c>
      <c r="AC198" s="506">
        <f>IF(AC$8=0,0,INDEX('R&amp;B Inputs'!$I$86:$V$86,MATCH($B198,'R&amp;B Inputs'!$I$4:$V$4,0))*(1+INDEX('R&amp;B Inputs'!$I$66:$V$66,MATCH($B198,'R&amp;B Inputs'!$I$4:$V$4,0)))^(AC$7-Year1))</f>
        <v>0.61899999999999999</v>
      </c>
      <c r="AD198" s="506">
        <f>IF(AD$8=0,0,INDEX('R&amp;B Inputs'!$I$86:$V$86,MATCH($B198,'R&amp;B Inputs'!$I$4:$V$4,0))*(1+INDEX('R&amp;B Inputs'!$I$66:$V$66,MATCH($B198,'R&amp;B Inputs'!$I$4:$V$4,0)))^(AD$7-Year1))</f>
        <v>0.61899999999999999</v>
      </c>
      <c r="AE198" s="506">
        <f>IF(AE$8=0,0,INDEX('R&amp;B Inputs'!$I$86:$V$86,MATCH($B198,'R&amp;B Inputs'!$I$4:$V$4,0))*(1+INDEX('R&amp;B Inputs'!$I$66:$V$66,MATCH($B198,'R&amp;B Inputs'!$I$4:$V$4,0)))^(AE$7-Year1))</f>
        <v>0.61899999999999999</v>
      </c>
      <c r="AF198" s="506">
        <f>IF(AF$8=0,0,INDEX('R&amp;B Inputs'!$I$86:$V$86,MATCH($B198,'R&amp;B Inputs'!$I$4:$V$4,0))*(1+INDEX('R&amp;B Inputs'!$I$66:$V$66,MATCH($B198,'R&amp;B Inputs'!$I$4:$V$4,0)))^(AF$7-Year1))</f>
        <v>0.61899999999999999</v>
      </c>
      <c r="AG198" s="506">
        <f>IF(AG$8=0,0,INDEX('R&amp;B Inputs'!$I$86:$V$86,MATCH($B198,'R&amp;B Inputs'!$I$4:$V$4,0))*(1+INDEX('R&amp;B Inputs'!$I$66:$V$66,MATCH($B198,'R&amp;B Inputs'!$I$4:$V$4,0)))^(AG$7-Year1))</f>
        <v>0.61899999999999999</v>
      </c>
      <c r="AH198" s="506"/>
      <c r="AI198" s="506"/>
      <c r="AJ198" s="506">
        <f>IF($C$4=Year1,-PMT(Lookups!$E$17,25,NPV(Lookups!$E$17,G198:AE198),0,1),IF($C$4=Year2,-PMT(Lookups!$F$17,25,NPV(Lookups!$F$17,H198:AF198),0,1),IF($C$4=Year3,-PMT(Lookups!$G$17,25,NPV(Lookups!$G$17,I198:AG198),0,1),-PMT(Lookups!$G$17,27,NPV(Lookups!$G$17,G198:AG198),0,1))))</f>
        <v>0.61036697336561752</v>
      </c>
      <c r="AK198" s="507"/>
      <c r="AL198" s="507"/>
      <c r="AM198" s="508">
        <f>IF(AM$8=0,0,INDEX('R&amp;B Inputs'!$I$86:$V$86,MATCH($B198,'R&amp;B Inputs'!$I$4:$V$4,0))*(1+INDEX('R&amp;B Inputs'!$I$66:$V$66,MATCH($B198,'R&amp;B Inputs'!$I$4:$V$4,0)))^(AM$7-Year1))</f>
        <v>0.61899999999999999</v>
      </c>
      <c r="AN198" s="508">
        <f>IF(AN$8=0,0,INDEX('R&amp;B Inputs'!$I$86:$V$86,MATCH($B198,'R&amp;B Inputs'!$I$4:$V$4,0))*(1+INDEX('R&amp;B Inputs'!$I$66:$V$66,MATCH($B198,'R&amp;B Inputs'!$I$4:$V$4,0)))^(AN$7-Year1))</f>
        <v>0.61899999999999999</v>
      </c>
      <c r="AO198" s="508">
        <f>IF(AO$8=0,0,INDEX('R&amp;B Inputs'!$I$86:$V$86,MATCH($B198,'R&amp;B Inputs'!$I$4:$V$4,0))*(1+INDEX('R&amp;B Inputs'!$I$66:$V$66,MATCH($B198,'R&amp;B Inputs'!$I$4:$V$4,0)))^(AO$7-Year1))</f>
        <v>0.61899999999999999</v>
      </c>
      <c r="AP198" s="508">
        <f>IF(AP$8=0,0,INDEX('R&amp;B Inputs'!$I$86:$V$86,MATCH($B198,'R&amp;B Inputs'!$I$4:$V$4,0))*(1+INDEX('R&amp;B Inputs'!$I$66:$V$66,MATCH($B198,'R&amp;B Inputs'!$I$4:$V$4,0)))^(AP$7-Year1))</f>
        <v>0.61899999999999999</v>
      </c>
      <c r="AQ198" s="508">
        <f>IF(AQ$8=0,0,INDEX('R&amp;B Inputs'!$I$86:$V$86,MATCH($B198,'R&amp;B Inputs'!$I$4:$V$4,0))*(1+INDEX('R&amp;B Inputs'!$I$66:$V$66,MATCH($B198,'R&amp;B Inputs'!$I$4:$V$4,0)))^(AQ$7-Year1))</f>
        <v>0.61899999999999999</v>
      </c>
      <c r="AR198" s="508">
        <f>IF(AR$8=0,0,INDEX('R&amp;B Inputs'!$I$86:$V$86,MATCH($B198,'R&amp;B Inputs'!$I$4:$V$4,0))*(1+INDEX('R&amp;B Inputs'!$I$66:$V$66,MATCH($B198,'R&amp;B Inputs'!$I$4:$V$4,0)))^(AR$7-Year1))</f>
        <v>0.61899999999999999</v>
      </c>
      <c r="AS198" s="508">
        <f>IF(AS$8=0,0,INDEX('R&amp;B Inputs'!$I$86:$V$86,MATCH($B198,'R&amp;B Inputs'!$I$4:$V$4,0))*(1+INDEX('R&amp;B Inputs'!$I$66:$V$66,MATCH($B198,'R&amp;B Inputs'!$I$4:$V$4,0)))^(AS$7-Year1))</f>
        <v>0.61899999999999999</v>
      </c>
      <c r="AT198" s="508">
        <f>IF(AT$8=0,0,INDEX('R&amp;B Inputs'!$I$86:$V$86,MATCH($B198,'R&amp;B Inputs'!$I$4:$V$4,0))*(1+INDEX('R&amp;B Inputs'!$I$66:$V$66,MATCH($B198,'R&amp;B Inputs'!$I$4:$V$4,0)))^(AT$7-Year1))</f>
        <v>0.61899999999999999</v>
      </c>
      <c r="AU198" s="508">
        <f>IF(AU$8=0,0,INDEX('R&amp;B Inputs'!$I$86:$V$86,MATCH($B198,'R&amp;B Inputs'!$I$4:$V$4,0))*(1+INDEX('R&amp;B Inputs'!$I$66:$V$66,MATCH($B198,'R&amp;B Inputs'!$I$4:$V$4,0)))^(AU$7-Year1))</f>
        <v>0.61899999999999999</v>
      </c>
      <c r="AV198" s="508">
        <f>IF(AV$8=0,0,INDEX('R&amp;B Inputs'!$I$86:$V$86,MATCH($B198,'R&amp;B Inputs'!$I$4:$V$4,0))*(1+INDEX('R&amp;B Inputs'!$I$66:$V$66,MATCH($B198,'R&amp;B Inputs'!$I$4:$V$4,0)))^(AV$7-Year1))</f>
        <v>0.61899999999999999</v>
      </c>
      <c r="AW198" s="508">
        <f>IF(AW$8=0,0,INDEX('R&amp;B Inputs'!$I$86:$V$86,MATCH($B198,'R&amp;B Inputs'!$I$4:$V$4,0))*(1+INDEX('R&amp;B Inputs'!$I$66:$V$66,MATCH($B198,'R&amp;B Inputs'!$I$4:$V$4,0)))^(AW$7-Year1))</f>
        <v>0.61899999999999999</v>
      </c>
      <c r="AX198" s="508">
        <f>IF(AX$8=0,0,INDEX('R&amp;B Inputs'!$I$86:$V$86,MATCH($B198,'R&amp;B Inputs'!$I$4:$V$4,0))*(1+INDEX('R&amp;B Inputs'!$I$66:$V$66,MATCH($B198,'R&amp;B Inputs'!$I$4:$V$4,0)))^(AX$7-Year1))</f>
        <v>0.61899999999999999</v>
      </c>
      <c r="AY198" s="508">
        <f>IF(AY$8=0,0,INDEX('R&amp;B Inputs'!$I$86:$V$86,MATCH($B198,'R&amp;B Inputs'!$I$4:$V$4,0))*(1+INDEX('R&amp;B Inputs'!$I$66:$V$66,MATCH($B198,'R&amp;B Inputs'!$I$4:$V$4,0)))^(AY$7-Year1))</f>
        <v>0.61899999999999999</v>
      </c>
      <c r="AZ198" s="508">
        <f>IF(AZ$8=0,0,INDEX('R&amp;B Inputs'!$I$86:$V$86,MATCH($B198,'R&amp;B Inputs'!$I$4:$V$4,0))*(1+INDEX('R&amp;B Inputs'!$I$66:$V$66,MATCH($B198,'R&amp;B Inputs'!$I$4:$V$4,0)))^(AZ$7-Year1))</f>
        <v>0.61899999999999999</v>
      </c>
      <c r="BA198" s="508">
        <f>IF(BA$8=0,0,INDEX('R&amp;B Inputs'!$I$86:$V$86,MATCH($B198,'R&amp;B Inputs'!$I$4:$V$4,0))*(1+INDEX('R&amp;B Inputs'!$I$66:$V$66,MATCH($B198,'R&amp;B Inputs'!$I$4:$V$4,0)))^(BA$7-Year1))</f>
        <v>0.61899999999999999</v>
      </c>
      <c r="BB198" s="508">
        <f>IF(BB$8=0,0,INDEX('R&amp;B Inputs'!$I$86:$V$86,MATCH($B198,'R&amp;B Inputs'!$I$4:$V$4,0))*(1+INDEX('R&amp;B Inputs'!$I$66:$V$66,MATCH($B198,'R&amp;B Inputs'!$I$4:$V$4,0)))^(BB$7-Year1))</f>
        <v>0.61899999999999999</v>
      </c>
      <c r="BC198" s="508">
        <f>IF(BC$8=0,0,INDEX('R&amp;B Inputs'!$I$86:$V$86,MATCH($B198,'R&amp;B Inputs'!$I$4:$V$4,0))*(1+INDEX('R&amp;B Inputs'!$I$66:$V$66,MATCH($B198,'R&amp;B Inputs'!$I$4:$V$4,0)))^(BC$7-Year1))</f>
        <v>0.61899999999999999</v>
      </c>
      <c r="BD198" s="508">
        <f>IF(BD$8=0,0,INDEX('R&amp;B Inputs'!$I$86:$V$86,MATCH($B198,'R&amp;B Inputs'!$I$4:$V$4,0))*(1+INDEX('R&amp;B Inputs'!$I$66:$V$66,MATCH($B198,'R&amp;B Inputs'!$I$4:$V$4,0)))^(BD$7-Year1))</f>
        <v>0.61899999999999999</v>
      </c>
      <c r="BE198" s="508">
        <f>IF(BE$8=0,0,INDEX('R&amp;B Inputs'!$I$86:$V$86,MATCH($B198,'R&amp;B Inputs'!$I$4:$V$4,0))*(1+INDEX('R&amp;B Inputs'!$I$66:$V$66,MATCH($B198,'R&amp;B Inputs'!$I$4:$V$4,0)))^(BE$7-Year1))</f>
        <v>0.61899999999999999</v>
      </c>
      <c r="BF198" s="508">
        <f>IF(BF$8=0,0,INDEX('R&amp;B Inputs'!$I$86:$V$86,MATCH($B198,'R&amp;B Inputs'!$I$4:$V$4,0))*(1+INDEX('R&amp;B Inputs'!$I$66:$V$66,MATCH($B198,'R&amp;B Inputs'!$I$4:$V$4,0)))^(BF$7-Year1))</f>
        <v>0.61899999999999999</v>
      </c>
      <c r="BG198" s="508">
        <f>IF(BG$8=0,0,INDEX('R&amp;B Inputs'!$I$86:$V$86,MATCH($B198,'R&amp;B Inputs'!$I$4:$V$4,0))*(1+INDEX('R&amp;B Inputs'!$I$66:$V$66,MATCH($B198,'R&amp;B Inputs'!$I$4:$V$4,0)))^(BG$7-Year1))</f>
        <v>0.61899999999999999</v>
      </c>
      <c r="BH198" s="508">
        <f>IF(BH$8=0,0,INDEX('R&amp;B Inputs'!$I$86:$V$86,MATCH($B198,'R&amp;B Inputs'!$I$4:$V$4,0))*(1+INDEX('R&amp;B Inputs'!$I$66:$V$66,MATCH($B198,'R&amp;B Inputs'!$I$4:$V$4,0)))^(BH$7-Year1))</f>
        <v>0.61899999999999999</v>
      </c>
      <c r="BI198" s="508">
        <f>IF(BI$8=0,0,INDEX('R&amp;B Inputs'!$I$86:$V$86,MATCH($B198,'R&amp;B Inputs'!$I$4:$V$4,0))*(1+INDEX('R&amp;B Inputs'!$I$66:$V$66,MATCH($B198,'R&amp;B Inputs'!$I$4:$V$4,0)))^(BI$7-Year1))</f>
        <v>0.61899999999999999</v>
      </c>
      <c r="BJ198" s="508">
        <f>IF(BJ$8=0,0,INDEX('R&amp;B Inputs'!$I$86:$V$86,MATCH($B198,'R&amp;B Inputs'!$I$4:$V$4,0))*(1+INDEX('R&amp;B Inputs'!$I$66:$V$66,MATCH($B198,'R&amp;B Inputs'!$I$4:$V$4,0)))^(BJ$7-Year1))</f>
        <v>0.61899999999999999</v>
      </c>
      <c r="BK198" s="508">
        <f>IF(BK$8=0,0,INDEX('R&amp;B Inputs'!$I$86:$V$86,MATCH($B198,'R&amp;B Inputs'!$I$4:$V$4,0))*(1+INDEX('R&amp;B Inputs'!$I$66:$V$66,MATCH($B198,'R&amp;B Inputs'!$I$4:$V$4,0)))^(BK$7-Year1))</f>
        <v>0.61899999999999999</v>
      </c>
      <c r="BL198" s="508">
        <f>IF(BL$8=0,0,INDEX('R&amp;B Inputs'!$I$86:$V$86,MATCH($B198,'R&amp;B Inputs'!$I$4:$V$4,0))*(1+INDEX('R&amp;B Inputs'!$I$66:$V$66,MATCH($B198,'R&amp;B Inputs'!$I$4:$V$4,0)))^(BL$7-Year1))</f>
        <v>0.61899999999999999</v>
      </c>
      <c r="BM198" s="508">
        <f>IF(BM$8=0,0,INDEX('R&amp;B Inputs'!$I$86:$V$86,MATCH($B198,'R&amp;B Inputs'!$I$4:$V$4,0))*(1+INDEX('R&amp;B Inputs'!$I$66:$V$66,MATCH($B198,'R&amp;B Inputs'!$I$4:$V$4,0)))^(BM$7-Year1))</f>
        <v>0.61899999999999999</v>
      </c>
      <c r="BN198" s="508"/>
      <c r="BO198" s="508"/>
      <c r="BP198" s="508">
        <f>IF($C$4=Year1,-PMT(Lookups!$E$17,25,NPV(Lookups!$E$17,AM198:BK198),0,1),IF($C$4=Year2,-PMT(Lookups!$F$17,25,NPV(Lookups!$F$17,AN198:BL198),0,1),IF($C$4=Year3,-PMT(Lookups!$G$17,25,NPV(Lookups!$G$17,AO198:BM198),0,1),-PMT(Lookups!$G$17,27,NPV(Lookups!$G$17,AM198:BM198),0,1))))</f>
        <v>0.61036697336561752</v>
      </c>
      <c r="BS198" s="76" t="str">
        <f t="shared" si="201"/>
        <v>Cost of Gas charge from the R&amp;B Inputs tab, escalated annually by the growth rate included on the R&amp;B Inputs tab.</v>
      </c>
      <c r="BT198" s="51" t="s">
        <v>17</v>
      </c>
    </row>
    <row r="199" spans="1:72" x14ac:dyDescent="0.25">
      <c r="B199" s="243" t="str">
        <f>B200</f>
        <v>Small C&amp;I</v>
      </c>
      <c r="C199" s="243" t="str">
        <f>C200</f>
        <v>Rates</v>
      </c>
      <c r="D199" s="244" t="str">
        <f>D200</f>
        <v>Rates before DSM (No EE Scenario)</v>
      </c>
      <c r="E199" s="86" t="s">
        <v>75</v>
      </c>
      <c r="F199" s="84" t="s">
        <v>182</v>
      </c>
      <c r="G199" s="506">
        <f>IF(G$8=0,0,INDEX('R&amp;B Inputs'!$H$73:$U$73,MATCH($B198,'R&amp;B Inputs'!$H$4:$U$4,0))*(1+INDEX('R&amp;B Inputs'!$H$46:$U$46,MATCH($B198,'R&amp;B Inputs'!$H$4:$U$4,0)))^(G$7-Year1))</f>
        <v>0.28453457229491286</v>
      </c>
      <c r="H199" s="506">
        <f>IF(H$8=0,0,INDEX('R&amp;B Inputs'!$H$73:$U$73,MATCH($B198,'R&amp;B Inputs'!$H$4:$U$4,0))*(1+INDEX('R&amp;B Inputs'!$H$46:$U$46,MATCH($B198,'R&amp;B Inputs'!$H$4:$U$4,0)))^(H$7-Year1))</f>
        <v>0.28453457229491286</v>
      </c>
      <c r="I199" s="506">
        <f>IF(I$8=0,0,INDEX('R&amp;B Inputs'!$H$73:$U$73,MATCH($B198,'R&amp;B Inputs'!$H$4:$U$4,0))*(1+INDEX('R&amp;B Inputs'!$H$46:$U$46,MATCH($B198,'R&amp;B Inputs'!$H$4:$U$4,0)))^(I$7-Year1))</f>
        <v>0.28453457229491286</v>
      </c>
      <c r="J199" s="506">
        <f>IF(J$8=0,0,INDEX('R&amp;B Inputs'!$H$73:$U$73,MATCH($B198,'R&amp;B Inputs'!$H$4:$U$4,0))*(1+INDEX('R&amp;B Inputs'!$H$46:$U$46,MATCH($B198,'R&amp;B Inputs'!$H$4:$U$4,0)))^(J$7-Year1))</f>
        <v>0.28453457229491286</v>
      </c>
      <c r="K199" s="506">
        <f>IF(K$8=0,0,INDEX('R&amp;B Inputs'!$H$73:$U$73,MATCH($B198,'R&amp;B Inputs'!$H$4:$U$4,0))*(1+INDEX('R&amp;B Inputs'!$H$46:$U$46,MATCH($B198,'R&amp;B Inputs'!$H$4:$U$4,0)))^(K$7-Year1))</f>
        <v>0.28453457229491286</v>
      </c>
      <c r="L199" s="506">
        <f>IF(L$8=0,0,INDEX('R&amp;B Inputs'!$H$73:$U$73,MATCH($B198,'R&amp;B Inputs'!$H$4:$U$4,0))*(1+INDEX('R&amp;B Inputs'!$H$46:$U$46,MATCH($B198,'R&amp;B Inputs'!$H$4:$U$4,0)))^(L$7-Year1))</f>
        <v>0.28453457229491286</v>
      </c>
      <c r="M199" s="506">
        <f>IF(M$8=0,0,INDEX('R&amp;B Inputs'!$H$73:$U$73,MATCH($B198,'R&amp;B Inputs'!$H$4:$U$4,0))*(1+INDEX('R&amp;B Inputs'!$H$46:$U$46,MATCH($B198,'R&amp;B Inputs'!$H$4:$U$4,0)))^(M$7-Year1))</f>
        <v>0.28453457229491286</v>
      </c>
      <c r="N199" s="506">
        <f>IF(N$8=0,0,INDEX('R&amp;B Inputs'!$H$73:$U$73,MATCH($B198,'R&amp;B Inputs'!$H$4:$U$4,0))*(1+INDEX('R&amp;B Inputs'!$H$46:$U$46,MATCH($B198,'R&amp;B Inputs'!$H$4:$U$4,0)))^(N$7-Year1))</f>
        <v>0.28453457229491286</v>
      </c>
      <c r="O199" s="506">
        <f>IF(O$8=0,0,INDEX('R&amp;B Inputs'!$H$73:$U$73,MATCH($B198,'R&amp;B Inputs'!$H$4:$U$4,0))*(1+INDEX('R&amp;B Inputs'!$H$46:$U$46,MATCH($B198,'R&amp;B Inputs'!$H$4:$U$4,0)))^(O$7-Year1))</f>
        <v>0.28453457229491286</v>
      </c>
      <c r="P199" s="506">
        <f>IF(P$8=0,0,INDEX('R&amp;B Inputs'!$H$73:$U$73,MATCH($B198,'R&amp;B Inputs'!$H$4:$U$4,0))*(1+INDEX('R&amp;B Inputs'!$H$46:$U$46,MATCH($B198,'R&amp;B Inputs'!$H$4:$U$4,0)))^(P$7-Year1))</f>
        <v>0.28453457229491286</v>
      </c>
      <c r="Q199" s="506">
        <f>IF(Q$8=0,0,INDEX('R&amp;B Inputs'!$H$73:$U$73,MATCH($B198,'R&amp;B Inputs'!$H$4:$U$4,0))*(1+INDEX('R&amp;B Inputs'!$H$46:$U$46,MATCH($B198,'R&amp;B Inputs'!$H$4:$U$4,0)))^(Q$7-Year1))</f>
        <v>0.28453457229491286</v>
      </c>
      <c r="R199" s="506">
        <f>IF(R$8=0,0,INDEX('R&amp;B Inputs'!$H$73:$U$73,MATCH($B198,'R&amp;B Inputs'!$H$4:$U$4,0))*(1+INDEX('R&amp;B Inputs'!$H$46:$U$46,MATCH($B198,'R&amp;B Inputs'!$H$4:$U$4,0)))^(R$7-Year1))</f>
        <v>0.28453457229491286</v>
      </c>
      <c r="S199" s="506">
        <f>IF(S$8=0,0,INDEX('R&amp;B Inputs'!$H$73:$U$73,MATCH($B198,'R&amp;B Inputs'!$H$4:$U$4,0))*(1+INDEX('R&amp;B Inputs'!$H$46:$U$46,MATCH($B198,'R&amp;B Inputs'!$H$4:$U$4,0)))^(S$7-Year1))</f>
        <v>0.28453457229491286</v>
      </c>
      <c r="T199" s="506">
        <f>IF(T$8=0,0,INDEX('R&amp;B Inputs'!$H$73:$U$73,MATCH($B198,'R&amp;B Inputs'!$H$4:$U$4,0))*(1+INDEX('R&amp;B Inputs'!$H$46:$U$46,MATCH($B198,'R&amp;B Inputs'!$H$4:$U$4,0)))^(T$7-Year1))</f>
        <v>0.28453457229491286</v>
      </c>
      <c r="U199" s="506">
        <f>IF(U$8=0,0,INDEX('R&amp;B Inputs'!$H$73:$U$73,MATCH($B198,'R&amp;B Inputs'!$H$4:$U$4,0))*(1+INDEX('R&amp;B Inputs'!$H$46:$U$46,MATCH($B198,'R&amp;B Inputs'!$H$4:$U$4,0)))^(U$7-Year1))</f>
        <v>0.28453457229491286</v>
      </c>
      <c r="V199" s="506">
        <f>IF(V$8=0,0,INDEX('R&amp;B Inputs'!$H$73:$U$73,MATCH($B198,'R&amp;B Inputs'!$H$4:$U$4,0))*(1+INDEX('R&amp;B Inputs'!$H$46:$U$46,MATCH($B198,'R&amp;B Inputs'!$H$4:$U$4,0)))^(V$7-Year1))</f>
        <v>0.28453457229491286</v>
      </c>
      <c r="W199" s="506">
        <f>IF(W$8=0,0,INDEX('R&amp;B Inputs'!$H$73:$U$73,MATCH($B198,'R&amp;B Inputs'!$H$4:$U$4,0))*(1+INDEX('R&amp;B Inputs'!$H$46:$U$46,MATCH($B198,'R&amp;B Inputs'!$H$4:$U$4,0)))^(W$7-Year1))</f>
        <v>0.28453457229491286</v>
      </c>
      <c r="X199" s="506">
        <f>IF(X$8=0,0,INDEX('R&amp;B Inputs'!$H$73:$U$73,MATCH($B198,'R&amp;B Inputs'!$H$4:$U$4,0))*(1+INDEX('R&amp;B Inputs'!$H$46:$U$46,MATCH($B198,'R&amp;B Inputs'!$H$4:$U$4,0)))^(X$7-Year1))</f>
        <v>0.28453457229491286</v>
      </c>
      <c r="Y199" s="506">
        <f>IF(Y$8=0,0,INDEX('R&amp;B Inputs'!$H$73:$U$73,MATCH($B198,'R&amp;B Inputs'!$H$4:$U$4,0))*(1+INDEX('R&amp;B Inputs'!$H$46:$U$46,MATCH($B198,'R&amp;B Inputs'!$H$4:$U$4,0)))^(Y$7-Year1))</f>
        <v>0.28453457229491286</v>
      </c>
      <c r="Z199" s="506">
        <f>IF(Z$8=0,0,INDEX('R&amp;B Inputs'!$H$73:$U$73,MATCH($B198,'R&amp;B Inputs'!$H$4:$U$4,0))*(1+INDEX('R&amp;B Inputs'!$H$46:$U$46,MATCH($B198,'R&amp;B Inputs'!$H$4:$U$4,0)))^(Z$7-Year1))</f>
        <v>0.28453457229491286</v>
      </c>
      <c r="AA199" s="506">
        <f>IF(AA$8=0,0,INDEX('R&amp;B Inputs'!$H$73:$U$73,MATCH($B198,'R&amp;B Inputs'!$H$4:$U$4,0))*(1+INDEX('R&amp;B Inputs'!$H$46:$U$46,MATCH($B198,'R&amp;B Inputs'!$H$4:$U$4,0)))^(AA$7-Year1))</f>
        <v>0.28453457229491286</v>
      </c>
      <c r="AB199" s="506">
        <f>IF(AB$8=0,0,INDEX('R&amp;B Inputs'!$H$73:$U$73,MATCH($B198,'R&amp;B Inputs'!$H$4:$U$4,0))*(1+INDEX('R&amp;B Inputs'!$H$46:$U$46,MATCH($B198,'R&amp;B Inputs'!$H$4:$U$4,0)))^(AB$7-Year1))</f>
        <v>0.28453457229491286</v>
      </c>
      <c r="AC199" s="506">
        <f>IF(AC$8=0,0,INDEX('R&amp;B Inputs'!$H$73:$U$73,MATCH($B198,'R&amp;B Inputs'!$H$4:$U$4,0))*(1+INDEX('R&amp;B Inputs'!$H$46:$U$46,MATCH($B198,'R&amp;B Inputs'!$H$4:$U$4,0)))^(AC$7-Year1))</f>
        <v>0.28453457229491286</v>
      </c>
      <c r="AD199" s="506">
        <f>IF(AD$8=0,0,INDEX('R&amp;B Inputs'!$H$73:$U$73,MATCH($B198,'R&amp;B Inputs'!$H$4:$U$4,0))*(1+INDEX('R&amp;B Inputs'!$H$46:$U$46,MATCH($B198,'R&amp;B Inputs'!$H$4:$U$4,0)))^(AD$7-Year1))</f>
        <v>0.28453457229491286</v>
      </c>
      <c r="AE199" s="506">
        <f>IF(AE$8=0,0,INDEX('R&amp;B Inputs'!$H$73:$U$73,MATCH($B198,'R&amp;B Inputs'!$H$4:$U$4,0))*(1+INDEX('R&amp;B Inputs'!$H$46:$U$46,MATCH($B198,'R&amp;B Inputs'!$H$4:$U$4,0)))^(AE$7-Year1))</f>
        <v>0.28453457229491286</v>
      </c>
      <c r="AF199" s="506">
        <f>IF(AF$8=0,0,INDEX('R&amp;B Inputs'!$H$73:$U$73,MATCH($B198,'R&amp;B Inputs'!$H$4:$U$4,0))*(1+INDEX('R&amp;B Inputs'!$H$46:$U$46,MATCH($B198,'R&amp;B Inputs'!$H$4:$U$4,0)))^(AF$7-Year1))</f>
        <v>0.28453457229491286</v>
      </c>
      <c r="AG199" s="506">
        <f>IF(AG$8=0,0,INDEX('R&amp;B Inputs'!$H$73:$U$73,MATCH($B198,'R&amp;B Inputs'!$H$4:$U$4,0))*(1+INDEX('R&amp;B Inputs'!$H$46:$U$46,MATCH($B198,'R&amp;B Inputs'!$H$4:$U$4,0)))^(AG$7-Year1))</f>
        <v>0.28453457229491286</v>
      </c>
      <c r="AH199" s="506"/>
      <c r="AI199" s="506"/>
      <c r="AJ199" s="506">
        <f>IF($C$4=Year1,-PMT(Lookups!$E$17,25,NPV(Lookups!$E$17,G199:AE199),0,1),IF($C$4=Year2,-PMT(Lookups!$F$17,25,NPV(Lookups!$F$17,H199:AF199),0,1),IF($C$4=Year3,-PMT(Lookups!$G$17,25,NPV(Lookups!$G$17,I199:AG199),0,1),-PMT(Lookups!$G$17,27,NPV(Lookups!$G$17,G199:AG199),0,1))))</f>
        <v>0.28056624508808786</v>
      </c>
      <c r="AK199" s="507"/>
      <c r="AL199" s="507"/>
      <c r="AM199" s="508">
        <f>IF(AM$8=0,0,INDEX('R&amp;B Inputs'!$H$73:$U$73,MATCH($B198,'R&amp;B Inputs'!$H$4:$U$4,0))*(1+INDEX('R&amp;B Inputs'!$H$46:$U$46,MATCH($B198,'R&amp;B Inputs'!$H$4:$U$4,0)))^(AM$7-Year1))</f>
        <v>0.28453457229491286</v>
      </c>
      <c r="AN199" s="508">
        <f>IF(AN$8=0,0,INDEX('R&amp;B Inputs'!$H$73:$U$73,MATCH($B198,'R&amp;B Inputs'!$H$4:$U$4,0))*(1+INDEX('R&amp;B Inputs'!$H$46:$U$46,MATCH($B198,'R&amp;B Inputs'!$H$4:$U$4,0)))^(AN$7-Year1))</f>
        <v>0.28453457229491286</v>
      </c>
      <c r="AO199" s="508">
        <f>IF(AO$8=0,0,INDEX('R&amp;B Inputs'!$H$73:$U$73,MATCH($B198,'R&amp;B Inputs'!$H$4:$U$4,0))*(1+INDEX('R&amp;B Inputs'!$H$46:$U$46,MATCH($B198,'R&amp;B Inputs'!$H$4:$U$4,0)))^(AO$7-Year1))</f>
        <v>0.28453457229491286</v>
      </c>
      <c r="AP199" s="508">
        <f>IF(AP$8=0,0,INDEX('R&amp;B Inputs'!$H$73:$U$73,MATCH($B198,'R&amp;B Inputs'!$H$4:$U$4,0))*(1+INDEX('R&amp;B Inputs'!$H$46:$U$46,MATCH($B198,'R&amp;B Inputs'!$H$4:$U$4,0)))^(AP$7-Year1))</f>
        <v>0.28453457229491286</v>
      </c>
      <c r="AQ199" s="508">
        <f>IF(AQ$8=0,0,INDEX('R&amp;B Inputs'!$H$73:$U$73,MATCH($B198,'R&amp;B Inputs'!$H$4:$U$4,0))*(1+INDEX('R&amp;B Inputs'!$H$46:$U$46,MATCH($B198,'R&amp;B Inputs'!$H$4:$U$4,0)))^(AQ$7-Year1))</f>
        <v>0.28453457229491286</v>
      </c>
      <c r="AR199" s="508">
        <f>IF(AR$8=0,0,INDEX('R&amp;B Inputs'!$H$73:$U$73,MATCH($B198,'R&amp;B Inputs'!$H$4:$U$4,0))*(1+INDEX('R&amp;B Inputs'!$H$46:$U$46,MATCH($B198,'R&amp;B Inputs'!$H$4:$U$4,0)))^(AR$7-Year1))</f>
        <v>0.28453457229491286</v>
      </c>
      <c r="AS199" s="508">
        <f>IF(AS$8=0,0,INDEX('R&amp;B Inputs'!$H$73:$U$73,MATCH($B198,'R&amp;B Inputs'!$H$4:$U$4,0))*(1+INDEX('R&amp;B Inputs'!$H$46:$U$46,MATCH($B198,'R&amp;B Inputs'!$H$4:$U$4,0)))^(AS$7-Year1))</f>
        <v>0.28453457229491286</v>
      </c>
      <c r="AT199" s="508">
        <f>IF(AT$8=0,0,INDEX('R&amp;B Inputs'!$H$73:$U$73,MATCH($B198,'R&amp;B Inputs'!$H$4:$U$4,0))*(1+INDEX('R&amp;B Inputs'!$H$46:$U$46,MATCH($B198,'R&amp;B Inputs'!$H$4:$U$4,0)))^(AT$7-Year1))</f>
        <v>0.28453457229491286</v>
      </c>
      <c r="AU199" s="508">
        <f>IF(AU$8=0,0,INDEX('R&amp;B Inputs'!$H$73:$U$73,MATCH($B198,'R&amp;B Inputs'!$H$4:$U$4,0))*(1+INDEX('R&amp;B Inputs'!$H$46:$U$46,MATCH($B198,'R&amp;B Inputs'!$H$4:$U$4,0)))^(AU$7-Year1))</f>
        <v>0.28453457229491286</v>
      </c>
      <c r="AV199" s="508">
        <f>IF(AV$8=0,0,INDEX('R&amp;B Inputs'!$H$73:$U$73,MATCH($B198,'R&amp;B Inputs'!$H$4:$U$4,0))*(1+INDEX('R&amp;B Inputs'!$H$46:$U$46,MATCH($B198,'R&amp;B Inputs'!$H$4:$U$4,0)))^(AV$7-Year1))</f>
        <v>0.28453457229491286</v>
      </c>
      <c r="AW199" s="508">
        <f>IF(AW$8=0,0,INDEX('R&amp;B Inputs'!$H$73:$U$73,MATCH($B198,'R&amp;B Inputs'!$H$4:$U$4,0))*(1+INDEX('R&amp;B Inputs'!$H$46:$U$46,MATCH($B198,'R&amp;B Inputs'!$H$4:$U$4,0)))^(AW$7-Year1))</f>
        <v>0.28453457229491286</v>
      </c>
      <c r="AX199" s="508">
        <f>IF(AX$8=0,0,INDEX('R&amp;B Inputs'!$H$73:$U$73,MATCH($B198,'R&amp;B Inputs'!$H$4:$U$4,0))*(1+INDEX('R&amp;B Inputs'!$H$46:$U$46,MATCH($B198,'R&amp;B Inputs'!$H$4:$U$4,0)))^(AX$7-Year1))</f>
        <v>0.28453457229491286</v>
      </c>
      <c r="AY199" s="508">
        <f>IF(AY$8=0,0,INDEX('R&amp;B Inputs'!$H$73:$U$73,MATCH($B198,'R&amp;B Inputs'!$H$4:$U$4,0))*(1+INDEX('R&amp;B Inputs'!$H$46:$U$46,MATCH($B198,'R&amp;B Inputs'!$H$4:$U$4,0)))^(AY$7-Year1))</f>
        <v>0.28453457229491286</v>
      </c>
      <c r="AZ199" s="508">
        <f>IF(AZ$8=0,0,INDEX('R&amp;B Inputs'!$H$73:$U$73,MATCH($B198,'R&amp;B Inputs'!$H$4:$U$4,0))*(1+INDEX('R&amp;B Inputs'!$H$46:$U$46,MATCH($B198,'R&amp;B Inputs'!$H$4:$U$4,0)))^(AZ$7-Year1))</f>
        <v>0.28453457229491286</v>
      </c>
      <c r="BA199" s="508">
        <f>IF(BA$8=0,0,INDEX('R&amp;B Inputs'!$H$73:$U$73,MATCH($B198,'R&amp;B Inputs'!$H$4:$U$4,0))*(1+INDEX('R&amp;B Inputs'!$H$46:$U$46,MATCH($B198,'R&amp;B Inputs'!$H$4:$U$4,0)))^(BA$7-Year1))</f>
        <v>0.28453457229491286</v>
      </c>
      <c r="BB199" s="508">
        <f>IF(BB$8=0,0,INDEX('R&amp;B Inputs'!$H$73:$U$73,MATCH($B198,'R&amp;B Inputs'!$H$4:$U$4,0))*(1+INDEX('R&amp;B Inputs'!$H$46:$U$46,MATCH($B198,'R&amp;B Inputs'!$H$4:$U$4,0)))^(BB$7-Year1))</f>
        <v>0.28453457229491286</v>
      </c>
      <c r="BC199" s="508">
        <f>IF(BC$8=0,0,INDEX('R&amp;B Inputs'!$H$73:$U$73,MATCH($B198,'R&amp;B Inputs'!$H$4:$U$4,0))*(1+INDEX('R&amp;B Inputs'!$H$46:$U$46,MATCH($B198,'R&amp;B Inputs'!$H$4:$U$4,0)))^(BC$7-Year1))</f>
        <v>0.28453457229491286</v>
      </c>
      <c r="BD199" s="508">
        <f>IF(BD$8=0,0,INDEX('R&amp;B Inputs'!$H$73:$U$73,MATCH($B198,'R&amp;B Inputs'!$H$4:$U$4,0))*(1+INDEX('R&amp;B Inputs'!$H$46:$U$46,MATCH($B198,'R&amp;B Inputs'!$H$4:$U$4,0)))^(BD$7-Year1))</f>
        <v>0.28453457229491286</v>
      </c>
      <c r="BE199" s="508">
        <f>IF(BE$8=0,0,INDEX('R&amp;B Inputs'!$H$73:$U$73,MATCH($B198,'R&amp;B Inputs'!$H$4:$U$4,0))*(1+INDEX('R&amp;B Inputs'!$H$46:$U$46,MATCH($B198,'R&amp;B Inputs'!$H$4:$U$4,0)))^(BE$7-Year1))</f>
        <v>0.28453457229491286</v>
      </c>
      <c r="BF199" s="508">
        <f>IF(BF$8=0,0,INDEX('R&amp;B Inputs'!$H$73:$U$73,MATCH($B198,'R&amp;B Inputs'!$H$4:$U$4,0))*(1+INDEX('R&amp;B Inputs'!$H$46:$U$46,MATCH($B198,'R&amp;B Inputs'!$H$4:$U$4,0)))^(BF$7-Year1))</f>
        <v>0.28453457229491286</v>
      </c>
      <c r="BG199" s="508">
        <f>IF(BG$8=0,0,INDEX('R&amp;B Inputs'!$H$73:$U$73,MATCH($B198,'R&amp;B Inputs'!$H$4:$U$4,0))*(1+INDEX('R&amp;B Inputs'!$H$46:$U$46,MATCH($B198,'R&amp;B Inputs'!$H$4:$U$4,0)))^(BG$7-Year1))</f>
        <v>0.28453457229491286</v>
      </c>
      <c r="BH199" s="508">
        <f>IF(BH$8=0,0,INDEX('R&amp;B Inputs'!$H$73:$U$73,MATCH($B198,'R&amp;B Inputs'!$H$4:$U$4,0))*(1+INDEX('R&amp;B Inputs'!$H$46:$U$46,MATCH($B198,'R&amp;B Inputs'!$H$4:$U$4,0)))^(BH$7-Year1))</f>
        <v>0.28453457229491286</v>
      </c>
      <c r="BI199" s="508">
        <f>IF(BI$8=0,0,INDEX('R&amp;B Inputs'!$H$73:$U$73,MATCH($B198,'R&amp;B Inputs'!$H$4:$U$4,0))*(1+INDEX('R&amp;B Inputs'!$H$46:$U$46,MATCH($B198,'R&amp;B Inputs'!$H$4:$U$4,0)))^(BI$7-Year1))</f>
        <v>0.28453457229491286</v>
      </c>
      <c r="BJ199" s="508">
        <f>IF(BJ$8=0,0,INDEX('R&amp;B Inputs'!$H$73:$U$73,MATCH($B198,'R&amp;B Inputs'!$H$4:$U$4,0))*(1+INDEX('R&amp;B Inputs'!$H$46:$U$46,MATCH($B198,'R&amp;B Inputs'!$H$4:$U$4,0)))^(BJ$7-Year1))</f>
        <v>0.28453457229491286</v>
      </c>
      <c r="BK199" s="508">
        <f>IF(BK$8=0,0,INDEX('R&amp;B Inputs'!$H$73:$U$73,MATCH($B198,'R&amp;B Inputs'!$H$4:$U$4,0))*(1+INDEX('R&amp;B Inputs'!$H$46:$U$46,MATCH($B198,'R&amp;B Inputs'!$H$4:$U$4,0)))^(BK$7-Year1))</f>
        <v>0.28453457229491286</v>
      </c>
      <c r="BL199" s="508">
        <f>IF(BL$8=0,0,INDEX('R&amp;B Inputs'!$H$73:$U$73,MATCH($B198,'R&amp;B Inputs'!$H$4:$U$4,0))*(1+INDEX('R&amp;B Inputs'!$H$46:$U$46,MATCH($B198,'R&amp;B Inputs'!$H$4:$U$4,0)))^(BL$7-Year1))</f>
        <v>0.28453457229491286</v>
      </c>
      <c r="BM199" s="508">
        <f>IF(BM$8=0,0,INDEX('R&amp;B Inputs'!$H$73:$U$73,MATCH($B198,'R&amp;B Inputs'!$H$4:$U$4,0))*(1+INDEX('R&amp;B Inputs'!$H$46:$U$46,MATCH($B198,'R&amp;B Inputs'!$H$4:$U$4,0)))^(BM$7-Year1))</f>
        <v>0.28453457229491286</v>
      </c>
      <c r="BN199" s="508"/>
      <c r="BO199" s="508"/>
      <c r="BP199" s="508">
        <f>IF($C$4=Year1,-PMT(Lookups!$E$17,25,NPV(Lookups!$E$17,AM199:BK199),0,1),IF($C$4=Year2,-PMT(Lookups!$F$17,25,NPV(Lookups!$F$17,AN199:BL199),0,1),IF($C$4=Year3,-PMT(Lookups!$G$17,25,NPV(Lookups!$G$17,AO199:BM199),0,1),-PMT(Lookups!$G$17,27,NPV(Lookups!$G$17,AM199:BM199),0,1))))</f>
        <v>0.28056624508808786</v>
      </c>
      <c r="BS199" s="84" t="str">
        <f>E199&amp;" charge from the R&amp;B Inputs tab, escalated annually by the growth rate included on the R&amp;B Inputs tab."</f>
        <v>Customer Charge charge from the R&amp;B Inputs tab, escalated annually by the growth rate included on the R&amp;B Inputs tab.</v>
      </c>
      <c r="BT199" s="51" t="s">
        <v>17</v>
      </c>
    </row>
    <row r="200" spans="1:72" x14ac:dyDescent="0.25">
      <c r="B200" s="243" t="str">
        <f>B198</f>
        <v>Small C&amp;I</v>
      </c>
      <c r="C200" s="243" t="str">
        <f>C198</f>
        <v>Rates</v>
      </c>
      <c r="D200" s="244" t="str">
        <f>D198</f>
        <v>Rates before DSM (No EE Scenario)</v>
      </c>
      <c r="E200" s="84" t="s">
        <v>76</v>
      </c>
      <c r="F200" s="84" t="s">
        <v>182</v>
      </c>
      <c r="G200" s="506">
        <f>SUM(G196:G199)</f>
        <v>1.3008471347317248</v>
      </c>
      <c r="H200" s="506">
        <f t="shared" ref="H200:AG200" si="202">SUM(H196:H199)</f>
        <v>1.3008471347317248</v>
      </c>
      <c r="I200" s="506">
        <f t="shared" si="202"/>
        <v>1.3008471347317248</v>
      </c>
      <c r="J200" s="506">
        <f t="shared" si="202"/>
        <v>1.3008471347317248</v>
      </c>
      <c r="K200" s="506">
        <f t="shared" si="202"/>
        <v>1.3008471347317248</v>
      </c>
      <c r="L200" s="506">
        <f t="shared" si="202"/>
        <v>1.3008471347317248</v>
      </c>
      <c r="M200" s="506">
        <f t="shared" si="202"/>
        <v>1.3008471347317248</v>
      </c>
      <c r="N200" s="506">
        <f t="shared" si="202"/>
        <v>1.3008471347317248</v>
      </c>
      <c r="O200" s="506">
        <f t="shared" si="202"/>
        <v>1.3008471347317248</v>
      </c>
      <c r="P200" s="506">
        <f t="shared" si="202"/>
        <v>1.3008471347317248</v>
      </c>
      <c r="Q200" s="506">
        <f t="shared" si="202"/>
        <v>1.3008471347317248</v>
      </c>
      <c r="R200" s="506">
        <f t="shared" si="202"/>
        <v>1.3008471347317248</v>
      </c>
      <c r="S200" s="506">
        <f t="shared" si="202"/>
        <v>1.3008471347317248</v>
      </c>
      <c r="T200" s="506">
        <f t="shared" si="202"/>
        <v>1.3008471347317248</v>
      </c>
      <c r="U200" s="506">
        <f t="shared" si="202"/>
        <v>1.3008471347317248</v>
      </c>
      <c r="V200" s="506">
        <f t="shared" si="202"/>
        <v>1.3008471347317248</v>
      </c>
      <c r="W200" s="506">
        <f t="shared" si="202"/>
        <v>1.3008471347317248</v>
      </c>
      <c r="X200" s="506">
        <f t="shared" si="202"/>
        <v>1.3008471347317248</v>
      </c>
      <c r="Y200" s="506">
        <f t="shared" si="202"/>
        <v>1.3008471347317248</v>
      </c>
      <c r="Z200" s="506">
        <f t="shared" si="202"/>
        <v>1.3008471347317248</v>
      </c>
      <c r="AA200" s="506">
        <f t="shared" si="202"/>
        <v>1.3008471347317248</v>
      </c>
      <c r="AB200" s="506">
        <f t="shared" si="202"/>
        <v>1.3008471347317248</v>
      </c>
      <c r="AC200" s="506">
        <f t="shared" si="202"/>
        <v>1.3008471347317248</v>
      </c>
      <c r="AD200" s="506">
        <f t="shared" si="202"/>
        <v>1.3008471347317248</v>
      </c>
      <c r="AE200" s="506">
        <f t="shared" si="202"/>
        <v>1.3008471347317248</v>
      </c>
      <c r="AF200" s="506">
        <f t="shared" si="202"/>
        <v>1.3008471347317248</v>
      </c>
      <c r="AG200" s="506">
        <f t="shared" si="202"/>
        <v>1.3008471347317248</v>
      </c>
      <c r="AH200" s="506"/>
      <c r="AI200" s="506"/>
      <c r="AJ200" s="506">
        <f>IF($C$4=Year1,-PMT(Lookups!$E$17,25,NPV(Lookups!$E$17,G200:AE200),0,1),IF($C$4=Year2,-PMT(Lookups!$F$17,25,NPV(Lookups!$F$17,H200:AF200),0,1),IF($C$4=Year3,-PMT(Lookups!$G$17,25,NPV(Lookups!$G$17,I200:AG200),0,1),-PMT(Lookups!$G$17,27,NPV(Lookups!$G$17,G200:AG200),0,1))))</f>
        <v>1.2827045693659744</v>
      </c>
      <c r="AK200" s="507"/>
      <c r="AL200" s="507"/>
      <c r="AM200" s="508">
        <f>SUM(AM196:AM199)</f>
        <v>1.3008471347317248</v>
      </c>
      <c r="AN200" s="508">
        <f t="shared" ref="AN200:BM200" si="203">SUM(AN196:AN199)</f>
        <v>1.3008471347317248</v>
      </c>
      <c r="AO200" s="508">
        <f t="shared" si="203"/>
        <v>1.3008471347317248</v>
      </c>
      <c r="AP200" s="508">
        <f t="shared" si="203"/>
        <v>1.3008471347317248</v>
      </c>
      <c r="AQ200" s="508">
        <f t="shared" si="203"/>
        <v>1.3008471347317248</v>
      </c>
      <c r="AR200" s="508">
        <f t="shared" si="203"/>
        <v>1.3008471347317248</v>
      </c>
      <c r="AS200" s="508">
        <f t="shared" si="203"/>
        <v>1.3008471347317248</v>
      </c>
      <c r="AT200" s="508">
        <f t="shared" si="203"/>
        <v>1.3008471347317248</v>
      </c>
      <c r="AU200" s="508">
        <f t="shared" si="203"/>
        <v>1.3008471347317248</v>
      </c>
      <c r="AV200" s="508">
        <f t="shared" si="203"/>
        <v>1.3008471347317248</v>
      </c>
      <c r="AW200" s="508">
        <f t="shared" si="203"/>
        <v>1.3008471347317248</v>
      </c>
      <c r="AX200" s="508">
        <f t="shared" si="203"/>
        <v>1.3008471347317248</v>
      </c>
      <c r="AY200" s="508">
        <f t="shared" si="203"/>
        <v>1.3008471347317248</v>
      </c>
      <c r="AZ200" s="508">
        <f t="shared" si="203"/>
        <v>1.3008471347317248</v>
      </c>
      <c r="BA200" s="508">
        <f t="shared" si="203"/>
        <v>1.3008471347317248</v>
      </c>
      <c r="BB200" s="508">
        <f t="shared" si="203"/>
        <v>1.3008471347317248</v>
      </c>
      <c r="BC200" s="508">
        <f t="shared" si="203"/>
        <v>1.3008471347317248</v>
      </c>
      <c r="BD200" s="508">
        <f t="shared" si="203"/>
        <v>1.3008471347317248</v>
      </c>
      <c r="BE200" s="508">
        <f t="shared" si="203"/>
        <v>1.3008471347317248</v>
      </c>
      <c r="BF200" s="508">
        <f t="shared" si="203"/>
        <v>1.3008471347317248</v>
      </c>
      <c r="BG200" s="508">
        <f t="shared" si="203"/>
        <v>1.3008471347317248</v>
      </c>
      <c r="BH200" s="508">
        <f t="shared" si="203"/>
        <v>1.3008471347317248</v>
      </c>
      <c r="BI200" s="508">
        <f t="shared" si="203"/>
        <v>1.3008471347317248</v>
      </c>
      <c r="BJ200" s="508">
        <f t="shared" si="203"/>
        <v>1.3008471347317248</v>
      </c>
      <c r="BK200" s="508">
        <f t="shared" si="203"/>
        <v>1.3008471347317248</v>
      </c>
      <c r="BL200" s="508">
        <f t="shared" si="203"/>
        <v>1.3008471347317248</v>
      </c>
      <c r="BM200" s="508">
        <f t="shared" si="203"/>
        <v>1.3008471347317248</v>
      </c>
      <c r="BN200" s="508"/>
      <c r="BO200" s="508"/>
      <c r="BP200" s="508">
        <f>IF($C$4=Year1,-PMT(Lookups!$E$17,25,NPV(Lookups!$E$17,AM200:BK200),0,1),IF($C$4=Year2,-PMT(Lookups!$F$17,25,NPV(Lookups!$F$17,AN200:BL200),0,1),IF($C$4=Year3,-PMT(Lookups!$G$17,25,NPV(Lookups!$G$17,AO200:BM200),0,1),-PMT(Lookups!$G$17,27,NPV(Lookups!$G$17,AM200:BM200),0,1))))</f>
        <v>1.2827045693659744</v>
      </c>
      <c r="BS200" s="84" t="s">
        <v>94</v>
      </c>
      <c r="BT200" s="51" t="s">
        <v>17</v>
      </c>
    </row>
    <row r="201" spans="1:72" x14ac:dyDescent="0.25">
      <c r="B201" s="243" t="str">
        <f>B199</f>
        <v>Small C&amp;I</v>
      </c>
      <c r="C201" s="243" t="str">
        <f>C199</f>
        <v>Rates</v>
      </c>
      <c r="D201" s="114" t="s">
        <v>24</v>
      </c>
      <c r="E201" s="86"/>
      <c r="F201" s="8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89"/>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S201" s="84"/>
      <c r="BT201" s="51" t="s">
        <v>17</v>
      </c>
    </row>
    <row r="202" spans="1:72" x14ac:dyDescent="0.25">
      <c r="B202" s="243" t="str">
        <f t="shared" ref="B202:D203" si="204">B201</f>
        <v>Small C&amp;I</v>
      </c>
      <c r="C202" s="243" t="str">
        <f t="shared" si="204"/>
        <v>Rates</v>
      </c>
      <c r="D202" s="244" t="str">
        <f t="shared" si="204"/>
        <v>Avoided Costs</v>
      </c>
      <c r="E202" s="84" t="s">
        <v>45</v>
      </c>
      <c r="F202" s="84" t="s">
        <v>182</v>
      </c>
      <c r="G202" s="506">
        <f ca="1">IFERROR(-G183/G175,0)</f>
        <v>-1.038281893368426E-2</v>
      </c>
      <c r="H202" s="506">
        <f t="shared" ref="H202:AG202" ca="1" si="205">IFERROR(-H183/H175,0)</f>
        <v>-1.038281893368426E-2</v>
      </c>
      <c r="I202" s="506">
        <f t="shared" ca="1" si="205"/>
        <v>-1.038281893368426E-2</v>
      </c>
      <c r="J202" s="506">
        <f t="shared" ca="1" si="205"/>
        <v>-1.038281893368426E-2</v>
      </c>
      <c r="K202" s="506">
        <f t="shared" ca="1" si="205"/>
        <v>-1.038281893368426E-2</v>
      </c>
      <c r="L202" s="506">
        <f t="shared" ca="1" si="205"/>
        <v>-1.038281893368426E-2</v>
      </c>
      <c r="M202" s="506">
        <f t="shared" ca="1" si="205"/>
        <v>-1.038281893368426E-2</v>
      </c>
      <c r="N202" s="506">
        <f t="shared" ca="1" si="205"/>
        <v>-1.038281893368426E-2</v>
      </c>
      <c r="O202" s="506">
        <f t="shared" ca="1" si="205"/>
        <v>-1.038281893368426E-2</v>
      </c>
      <c r="P202" s="506">
        <f t="shared" ca="1" si="205"/>
        <v>-1.038281893368426E-2</v>
      </c>
      <c r="Q202" s="506">
        <f t="shared" ca="1" si="205"/>
        <v>-1.038281893368426E-2</v>
      </c>
      <c r="R202" s="506">
        <f t="shared" ca="1" si="205"/>
        <v>-1.038281893368426E-2</v>
      </c>
      <c r="S202" s="506">
        <f t="shared" ca="1" si="205"/>
        <v>-1.038281893368426E-2</v>
      </c>
      <c r="T202" s="506">
        <f t="shared" ca="1" si="205"/>
        <v>-1.038281893368426E-2</v>
      </c>
      <c r="U202" s="506">
        <f t="shared" ca="1" si="205"/>
        <v>-1.038281893368426E-2</v>
      </c>
      <c r="V202" s="506">
        <f t="shared" ca="1" si="205"/>
        <v>-1.038281893368426E-2</v>
      </c>
      <c r="W202" s="506">
        <f t="shared" ca="1" si="205"/>
        <v>0</v>
      </c>
      <c r="X202" s="506">
        <f t="shared" ca="1" si="205"/>
        <v>0</v>
      </c>
      <c r="Y202" s="506">
        <f t="shared" ca="1" si="205"/>
        <v>0</v>
      </c>
      <c r="Z202" s="506">
        <f t="shared" ca="1" si="205"/>
        <v>0</v>
      </c>
      <c r="AA202" s="506">
        <f t="shared" ca="1" si="205"/>
        <v>0</v>
      </c>
      <c r="AB202" s="506">
        <f t="shared" ca="1" si="205"/>
        <v>0</v>
      </c>
      <c r="AC202" s="506">
        <f t="shared" ca="1" si="205"/>
        <v>0</v>
      </c>
      <c r="AD202" s="506">
        <f t="shared" ca="1" si="205"/>
        <v>0</v>
      </c>
      <c r="AE202" s="506">
        <f t="shared" ca="1" si="205"/>
        <v>0</v>
      </c>
      <c r="AF202" s="506">
        <f t="shared" ca="1" si="205"/>
        <v>0</v>
      </c>
      <c r="AG202" s="506">
        <f t="shared" ca="1" si="205"/>
        <v>0</v>
      </c>
      <c r="AH202" s="506"/>
      <c r="AI202" s="506"/>
      <c r="AJ202" s="506">
        <f ca="1">IF($C$4=Year1,-PMT(Lookups!$E$17,25,NPV(Lookups!$E$17,G202:AE202),0,1),IF($C$4=Year2,-PMT(Lookups!$F$17,25,NPV(Lookups!$F$17,H202:AF202),0,1),IF($C$4=Year3,-PMT(Lookups!$G$17,25,NPV(Lookups!$G$17,I202:AG202),0,1),-PMT(Lookups!$G$17,27,NPV(Lookups!$G$17,G202:AG202),0,1))))</f>
        <v>-6.9587091222997922E-3</v>
      </c>
      <c r="AK202" s="507"/>
      <c r="AL202" s="507"/>
      <c r="AM202" s="508">
        <f ca="1">IFERROR(-AM183/AM175,0)</f>
        <v>-1.1893852813303319E-2</v>
      </c>
      <c r="AN202" s="508">
        <f t="shared" ref="AN202:BM202" ca="1" si="206">IFERROR(-AN183/AN175,0)</f>
        <v>-1.1893852813303319E-2</v>
      </c>
      <c r="AO202" s="508">
        <f t="shared" ca="1" si="206"/>
        <v>-1.1893852813303319E-2</v>
      </c>
      <c r="AP202" s="508">
        <f t="shared" ca="1" si="206"/>
        <v>-1.1893852813303319E-2</v>
      </c>
      <c r="AQ202" s="508">
        <f t="shared" ca="1" si="206"/>
        <v>-1.1893852813303319E-2</v>
      </c>
      <c r="AR202" s="508">
        <f t="shared" ca="1" si="206"/>
        <v>-1.1893852813303319E-2</v>
      </c>
      <c r="AS202" s="508">
        <f t="shared" ca="1" si="206"/>
        <v>-1.1893852813303319E-2</v>
      </c>
      <c r="AT202" s="508">
        <f t="shared" ca="1" si="206"/>
        <v>-1.1893852813303319E-2</v>
      </c>
      <c r="AU202" s="508">
        <f t="shared" ca="1" si="206"/>
        <v>-1.1893852813303319E-2</v>
      </c>
      <c r="AV202" s="508">
        <f t="shared" ca="1" si="206"/>
        <v>-1.1893852813303319E-2</v>
      </c>
      <c r="AW202" s="508">
        <f t="shared" ca="1" si="206"/>
        <v>-1.1893852813303319E-2</v>
      </c>
      <c r="AX202" s="508">
        <f t="shared" ca="1" si="206"/>
        <v>-1.1893852813303319E-2</v>
      </c>
      <c r="AY202" s="508">
        <f t="shared" ca="1" si="206"/>
        <v>-1.1893852813303319E-2</v>
      </c>
      <c r="AZ202" s="508">
        <f t="shared" ca="1" si="206"/>
        <v>-1.1893852813303319E-2</v>
      </c>
      <c r="BA202" s="508">
        <f t="shared" ca="1" si="206"/>
        <v>-1.1893852813303319E-2</v>
      </c>
      <c r="BB202" s="508">
        <f t="shared" ca="1" si="206"/>
        <v>-1.1893852813303319E-2</v>
      </c>
      <c r="BC202" s="508">
        <f t="shared" ca="1" si="206"/>
        <v>0</v>
      </c>
      <c r="BD202" s="508">
        <f t="shared" ca="1" si="206"/>
        <v>0</v>
      </c>
      <c r="BE202" s="508">
        <f t="shared" ca="1" si="206"/>
        <v>0</v>
      </c>
      <c r="BF202" s="508">
        <f t="shared" ca="1" si="206"/>
        <v>0</v>
      </c>
      <c r="BG202" s="508">
        <f t="shared" ca="1" si="206"/>
        <v>0</v>
      </c>
      <c r="BH202" s="508">
        <f t="shared" ca="1" si="206"/>
        <v>0</v>
      </c>
      <c r="BI202" s="508">
        <f t="shared" ca="1" si="206"/>
        <v>0</v>
      </c>
      <c r="BJ202" s="508">
        <f t="shared" ca="1" si="206"/>
        <v>0</v>
      </c>
      <c r="BK202" s="508">
        <f t="shared" ca="1" si="206"/>
        <v>0</v>
      </c>
      <c r="BL202" s="508">
        <f t="shared" ca="1" si="206"/>
        <v>0</v>
      </c>
      <c r="BM202" s="508">
        <f t="shared" ca="1" si="206"/>
        <v>0</v>
      </c>
      <c r="BN202" s="508"/>
      <c r="BO202" s="508"/>
      <c r="BP202" s="508">
        <f ca="1">IF($C$4=Year1,-PMT(Lookups!$E$17,25,NPV(Lookups!$E$17,AM202:BK202),0,1),IF($C$4=Year2,-PMT(Lookups!$F$17,25,NPV(Lookups!$F$17,AN202:BL202),0,1),IF($C$4=Year3,-PMT(Lookups!$G$17,25,NPV(Lookups!$G$17,AO202:BM202),0,1),-PMT(Lookups!$G$17,27,NPV(Lookups!$G$17,AM202:BM202),0,1))))</f>
        <v>-7.9714249665582895E-3</v>
      </c>
      <c r="BS202" s="84" t="str">
        <f t="shared" ref="BS202:BS204" si="207">"Avoided "&amp;E202&amp;" avoided costs divided by After Scenario sales."</f>
        <v>Avoided Gas avoided costs divided by After Scenario sales.</v>
      </c>
      <c r="BT202" s="51" t="s">
        <v>17</v>
      </c>
    </row>
    <row r="203" spans="1:72" x14ac:dyDescent="0.25">
      <c r="B203" s="243" t="str">
        <f t="shared" si="204"/>
        <v>Small C&amp;I</v>
      </c>
      <c r="C203" s="243" t="str">
        <f t="shared" si="204"/>
        <v>Rates</v>
      </c>
      <c r="D203" s="244" t="str">
        <f t="shared" si="204"/>
        <v>Avoided Costs</v>
      </c>
      <c r="E203" s="86" t="s">
        <v>412</v>
      </c>
      <c r="F203" s="84" t="s">
        <v>182</v>
      </c>
      <c r="G203" s="506">
        <f ca="1">IFERROR(-G184/G175,0)</f>
        <v>-6.6273312342665484E-4</v>
      </c>
      <c r="H203" s="506">
        <f t="shared" ref="H203:AG203" ca="1" si="208">IFERROR(-H184/H175,0)</f>
        <v>-6.6273312342665484E-4</v>
      </c>
      <c r="I203" s="506">
        <f t="shared" ca="1" si="208"/>
        <v>-6.6273312342665484E-4</v>
      </c>
      <c r="J203" s="506">
        <f t="shared" ca="1" si="208"/>
        <v>-6.6273312342665484E-4</v>
      </c>
      <c r="K203" s="506">
        <f t="shared" ca="1" si="208"/>
        <v>-6.6273312342665484E-4</v>
      </c>
      <c r="L203" s="506">
        <f t="shared" ca="1" si="208"/>
        <v>-6.6273312342665484E-4</v>
      </c>
      <c r="M203" s="506">
        <f t="shared" ca="1" si="208"/>
        <v>-6.6273312342665484E-4</v>
      </c>
      <c r="N203" s="506">
        <f t="shared" ca="1" si="208"/>
        <v>-6.6273312342665484E-4</v>
      </c>
      <c r="O203" s="506">
        <f t="shared" ca="1" si="208"/>
        <v>-6.6273312342665484E-4</v>
      </c>
      <c r="P203" s="506">
        <f t="shared" ca="1" si="208"/>
        <v>-6.6273312342665484E-4</v>
      </c>
      <c r="Q203" s="506">
        <f t="shared" ca="1" si="208"/>
        <v>-6.6273312342665484E-4</v>
      </c>
      <c r="R203" s="506">
        <f t="shared" ca="1" si="208"/>
        <v>-6.6273312342665484E-4</v>
      </c>
      <c r="S203" s="506">
        <f t="shared" ca="1" si="208"/>
        <v>-6.6273312342665484E-4</v>
      </c>
      <c r="T203" s="506">
        <f t="shared" ca="1" si="208"/>
        <v>-6.6273312342665484E-4</v>
      </c>
      <c r="U203" s="506">
        <f t="shared" ca="1" si="208"/>
        <v>-6.6273312342665484E-4</v>
      </c>
      <c r="V203" s="506">
        <f t="shared" ca="1" si="208"/>
        <v>-6.6273312342665484E-4</v>
      </c>
      <c r="W203" s="506">
        <f t="shared" ca="1" si="208"/>
        <v>0</v>
      </c>
      <c r="X203" s="506">
        <f t="shared" ca="1" si="208"/>
        <v>0</v>
      </c>
      <c r="Y203" s="506">
        <f t="shared" ca="1" si="208"/>
        <v>0</v>
      </c>
      <c r="Z203" s="506">
        <f t="shared" ca="1" si="208"/>
        <v>0</v>
      </c>
      <c r="AA203" s="506">
        <f t="shared" ca="1" si="208"/>
        <v>0</v>
      </c>
      <c r="AB203" s="506">
        <f t="shared" ca="1" si="208"/>
        <v>0</v>
      </c>
      <c r="AC203" s="506">
        <f t="shared" ca="1" si="208"/>
        <v>0</v>
      </c>
      <c r="AD203" s="506">
        <f t="shared" ca="1" si="208"/>
        <v>0</v>
      </c>
      <c r="AE203" s="506">
        <f t="shared" ca="1" si="208"/>
        <v>0</v>
      </c>
      <c r="AF203" s="506">
        <f t="shared" ca="1" si="208"/>
        <v>0</v>
      </c>
      <c r="AG203" s="506">
        <f t="shared" ca="1" si="208"/>
        <v>0</v>
      </c>
      <c r="AH203" s="506"/>
      <c r="AI203" s="506"/>
      <c r="AJ203" s="506">
        <f ca="1">IF($C$4=Year1,-PMT(Lookups!$E$17,25,NPV(Lookups!$E$17,G203:AE203),0,1),IF($C$4=Year2,-PMT(Lookups!$F$17,25,NPV(Lookups!$F$17,H203:AF203),0,1),IF($C$4=Year3,-PMT(Lookups!$G$17,25,NPV(Lookups!$G$17,I203:AG203),0,1),-PMT(Lookups!$G$17,27,NPV(Lookups!$G$17,G203:AG203),0,1))))</f>
        <v>-4.4417292269998673E-4</v>
      </c>
      <c r="AK203" s="507"/>
      <c r="AL203" s="507"/>
      <c r="AM203" s="508">
        <f ca="1">IFERROR(-AM184/AM175,0)</f>
        <v>-7.5918209446616922E-4</v>
      </c>
      <c r="AN203" s="508">
        <f t="shared" ref="AN203:BM203" ca="1" si="209">IFERROR(-AN184/AN175,0)</f>
        <v>-7.5918209446616922E-4</v>
      </c>
      <c r="AO203" s="508">
        <f t="shared" ca="1" si="209"/>
        <v>-7.5918209446616922E-4</v>
      </c>
      <c r="AP203" s="508">
        <f t="shared" ca="1" si="209"/>
        <v>-7.5918209446616922E-4</v>
      </c>
      <c r="AQ203" s="508">
        <f t="shared" ca="1" si="209"/>
        <v>-7.5918209446616922E-4</v>
      </c>
      <c r="AR203" s="508">
        <f t="shared" ca="1" si="209"/>
        <v>-7.5918209446616922E-4</v>
      </c>
      <c r="AS203" s="508">
        <f t="shared" ca="1" si="209"/>
        <v>-7.5918209446616922E-4</v>
      </c>
      <c r="AT203" s="508">
        <f t="shared" ca="1" si="209"/>
        <v>-7.5918209446616922E-4</v>
      </c>
      <c r="AU203" s="508">
        <f t="shared" ca="1" si="209"/>
        <v>-7.5918209446616922E-4</v>
      </c>
      <c r="AV203" s="508">
        <f t="shared" ca="1" si="209"/>
        <v>-7.5918209446616922E-4</v>
      </c>
      <c r="AW203" s="508">
        <f t="shared" ca="1" si="209"/>
        <v>-7.5918209446616922E-4</v>
      </c>
      <c r="AX203" s="508">
        <f t="shared" ca="1" si="209"/>
        <v>-7.5918209446616922E-4</v>
      </c>
      <c r="AY203" s="508">
        <f t="shared" ca="1" si="209"/>
        <v>-7.5918209446616922E-4</v>
      </c>
      <c r="AZ203" s="508">
        <f t="shared" ca="1" si="209"/>
        <v>-7.5918209446616922E-4</v>
      </c>
      <c r="BA203" s="508">
        <f t="shared" ca="1" si="209"/>
        <v>-7.5918209446616922E-4</v>
      </c>
      <c r="BB203" s="508">
        <f t="shared" ca="1" si="209"/>
        <v>-7.5918209446616922E-4</v>
      </c>
      <c r="BC203" s="508">
        <f t="shared" ca="1" si="209"/>
        <v>0</v>
      </c>
      <c r="BD203" s="508">
        <f t="shared" ca="1" si="209"/>
        <v>0</v>
      </c>
      <c r="BE203" s="508">
        <f t="shared" ca="1" si="209"/>
        <v>0</v>
      </c>
      <c r="BF203" s="508">
        <f t="shared" ca="1" si="209"/>
        <v>0</v>
      </c>
      <c r="BG203" s="508">
        <f t="shared" ca="1" si="209"/>
        <v>0</v>
      </c>
      <c r="BH203" s="508">
        <f t="shared" ca="1" si="209"/>
        <v>0</v>
      </c>
      <c r="BI203" s="508">
        <f t="shared" ca="1" si="209"/>
        <v>0</v>
      </c>
      <c r="BJ203" s="508">
        <f t="shared" ca="1" si="209"/>
        <v>0</v>
      </c>
      <c r="BK203" s="508">
        <f t="shared" ca="1" si="209"/>
        <v>0</v>
      </c>
      <c r="BL203" s="508">
        <f t="shared" ca="1" si="209"/>
        <v>0</v>
      </c>
      <c r="BM203" s="508">
        <f t="shared" ca="1" si="209"/>
        <v>0</v>
      </c>
      <c r="BN203" s="508"/>
      <c r="BO203" s="508"/>
      <c r="BP203" s="508">
        <f ca="1">IF($C$4=Year1,-PMT(Lookups!$E$17,25,NPV(Lookups!$E$17,AM203:BK203),0,1),IF($C$4=Year2,-PMT(Lookups!$F$17,25,NPV(Lookups!$F$17,AN203:BL203),0,1),IF($C$4=Year3,-PMT(Lookups!$G$17,25,NPV(Lookups!$G$17,AO203:BM203),0,1),-PMT(Lookups!$G$17,27,NPV(Lookups!$G$17,AM203:BM203),0,1))))</f>
        <v>-5.0881435956755044E-4</v>
      </c>
      <c r="BS203" s="84" t="str">
        <f t="shared" si="207"/>
        <v>Avoided Gas, Retail Margin avoided costs divided by After Scenario sales.</v>
      </c>
      <c r="BT203" s="51"/>
    </row>
    <row r="204" spans="1:72" x14ac:dyDescent="0.25">
      <c r="B204" s="243" t="str">
        <f t="shared" ref="B204:D204" si="210">B202</f>
        <v>Small C&amp;I</v>
      </c>
      <c r="C204" s="243" t="str">
        <f t="shared" si="210"/>
        <v>Rates</v>
      </c>
      <c r="D204" s="244" t="str">
        <f t="shared" si="210"/>
        <v>Avoided Costs</v>
      </c>
      <c r="E204" s="86" t="s">
        <v>175</v>
      </c>
      <c r="F204" s="84" t="s">
        <v>182</v>
      </c>
      <c r="G204" s="506">
        <f ca="1">IFERROR(-G185/G175,0)</f>
        <v>-3.8910087564747215E-4</v>
      </c>
      <c r="H204" s="506">
        <f t="shared" ref="H204:AG204" ca="1" si="211">IFERROR(-H185/H175,0)</f>
        <v>-3.8910087564747215E-4</v>
      </c>
      <c r="I204" s="506">
        <f t="shared" ca="1" si="211"/>
        <v>-3.8910087564747215E-4</v>
      </c>
      <c r="J204" s="506">
        <f t="shared" ca="1" si="211"/>
        <v>-3.8910087564747215E-4</v>
      </c>
      <c r="K204" s="506">
        <f t="shared" ca="1" si="211"/>
        <v>-3.8910087564747215E-4</v>
      </c>
      <c r="L204" s="506">
        <f t="shared" ca="1" si="211"/>
        <v>-3.8910087564747215E-4</v>
      </c>
      <c r="M204" s="506">
        <f t="shared" ca="1" si="211"/>
        <v>-3.8910087564747215E-4</v>
      </c>
      <c r="N204" s="506">
        <f t="shared" ca="1" si="211"/>
        <v>-3.8910087564747215E-4</v>
      </c>
      <c r="O204" s="506">
        <f t="shared" ca="1" si="211"/>
        <v>-3.8910087564747215E-4</v>
      </c>
      <c r="P204" s="506">
        <f t="shared" ca="1" si="211"/>
        <v>-3.8910087564747215E-4</v>
      </c>
      <c r="Q204" s="506">
        <f t="shared" ca="1" si="211"/>
        <v>-3.8910087564747215E-4</v>
      </c>
      <c r="R204" s="506">
        <f t="shared" ca="1" si="211"/>
        <v>-3.8910087564747215E-4</v>
      </c>
      <c r="S204" s="506">
        <f t="shared" ca="1" si="211"/>
        <v>-3.8910087564747215E-4</v>
      </c>
      <c r="T204" s="506">
        <f t="shared" ca="1" si="211"/>
        <v>-3.8910087564747215E-4</v>
      </c>
      <c r="U204" s="506">
        <f t="shared" ca="1" si="211"/>
        <v>-3.8910087564747215E-4</v>
      </c>
      <c r="V204" s="506">
        <f t="shared" ca="1" si="211"/>
        <v>-3.8910087564747215E-4</v>
      </c>
      <c r="W204" s="506">
        <f t="shared" ca="1" si="211"/>
        <v>0</v>
      </c>
      <c r="X204" s="506">
        <f t="shared" ca="1" si="211"/>
        <v>0</v>
      </c>
      <c r="Y204" s="506">
        <f t="shared" ca="1" si="211"/>
        <v>0</v>
      </c>
      <c r="Z204" s="506">
        <f t="shared" ca="1" si="211"/>
        <v>0</v>
      </c>
      <c r="AA204" s="506">
        <f t="shared" ca="1" si="211"/>
        <v>0</v>
      </c>
      <c r="AB204" s="506">
        <f t="shared" ca="1" si="211"/>
        <v>0</v>
      </c>
      <c r="AC204" s="506">
        <f t="shared" ca="1" si="211"/>
        <v>0</v>
      </c>
      <c r="AD204" s="506">
        <f t="shared" ca="1" si="211"/>
        <v>0</v>
      </c>
      <c r="AE204" s="506">
        <f t="shared" ca="1" si="211"/>
        <v>0</v>
      </c>
      <c r="AF204" s="506">
        <f t="shared" ca="1" si="211"/>
        <v>0</v>
      </c>
      <c r="AG204" s="506">
        <f t="shared" ca="1" si="211"/>
        <v>0</v>
      </c>
      <c r="AH204" s="506"/>
      <c r="AI204" s="506"/>
      <c r="AJ204" s="506">
        <f ca="1">IF($C$4=Year1,-PMT(Lookups!$E$17,25,NPV(Lookups!$E$17,G204:AE204),0,1),IF($C$4=Year2,-PMT(Lookups!$F$17,25,NPV(Lookups!$F$17,H204:AF204),0,1),IF($C$4=Year3,-PMT(Lookups!$G$17,25,NPV(Lookups!$G$17,I204:AG204),0,1),-PMT(Lookups!$G$17,27,NPV(Lookups!$G$17,G204:AG204),0,1))))</f>
        <v>-2.6078079856316211E-4</v>
      </c>
      <c r="AK204" s="507"/>
      <c r="AL204" s="507"/>
      <c r="AM204" s="508">
        <f ca="1">IFERROR(-AM185/AM175,0)</f>
        <v>-4.4572755954208816E-4</v>
      </c>
      <c r="AN204" s="508">
        <f t="shared" ref="AN204:BM204" ca="1" si="212">IFERROR(-AN185/AN175,0)</f>
        <v>-4.4572755954208816E-4</v>
      </c>
      <c r="AO204" s="508">
        <f t="shared" ca="1" si="212"/>
        <v>-4.4572755954208816E-4</v>
      </c>
      <c r="AP204" s="508">
        <f t="shared" ca="1" si="212"/>
        <v>-4.4572755954208816E-4</v>
      </c>
      <c r="AQ204" s="508">
        <f t="shared" ca="1" si="212"/>
        <v>-4.4572755954208816E-4</v>
      </c>
      <c r="AR204" s="508">
        <f t="shared" ca="1" si="212"/>
        <v>-4.4572755954208816E-4</v>
      </c>
      <c r="AS204" s="508">
        <f t="shared" ca="1" si="212"/>
        <v>-4.4572755954208816E-4</v>
      </c>
      <c r="AT204" s="508">
        <f t="shared" ca="1" si="212"/>
        <v>-4.4572755954208816E-4</v>
      </c>
      <c r="AU204" s="508">
        <f t="shared" ca="1" si="212"/>
        <v>-4.4572755954208816E-4</v>
      </c>
      <c r="AV204" s="508">
        <f t="shared" ca="1" si="212"/>
        <v>-4.4572755954208816E-4</v>
      </c>
      <c r="AW204" s="508">
        <f t="shared" ca="1" si="212"/>
        <v>-4.4572755954208816E-4</v>
      </c>
      <c r="AX204" s="508">
        <f t="shared" ca="1" si="212"/>
        <v>-4.4572755954208816E-4</v>
      </c>
      <c r="AY204" s="508">
        <f t="shared" ca="1" si="212"/>
        <v>-4.4572755954208816E-4</v>
      </c>
      <c r="AZ204" s="508">
        <f t="shared" ca="1" si="212"/>
        <v>-4.4572755954208816E-4</v>
      </c>
      <c r="BA204" s="508">
        <f t="shared" ca="1" si="212"/>
        <v>-4.4572755954208816E-4</v>
      </c>
      <c r="BB204" s="508">
        <f t="shared" ca="1" si="212"/>
        <v>-4.4572755954208816E-4</v>
      </c>
      <c r="BC204" s="508">
        <f t="shared" ca="1" si="212"/>
        <v>0</v>
      </c>
      <c r="BD204" s="508">
        <f t="shared" ca="1" si="212"/>
        <v>0</v>
      </c>
      <c r="BE204" s="508">
        <f t="shared" ca="1" si="212"/>
        <v>0</v>
      </c>
      <c r="BF204" s="508">
        <f t="shared" ca="1" si="212"/>
        <v>0</v>
      </c>
      <c r="BG204" s="508">
        <f t="shared" ca="1" si="212"/>
        <v>0</v>
      </c>
      <c r="BH204" s="508">
        <f t="shared" ca="1" si="212"/>
        <v>0</v>
      </c>
      <c r="BI204" s="508">
        <f t="shared" ca="1" si="212"/>
        <v>0</v>
      </c>
      <c r="BJ204" s="508">
        <f t="shared" ca="1" si="212"/>
        <v>0</v>
      </c>
      <c r="BK204" s="508">
        <f t="shared" ca="1" si="212"/>
        <v>0</v>
      </c>
      <c r="BL204" s="508">
        <f t="shared" ca="1" si="212"/>
        <v>0</v>
      </c>
      <c r="BM204" s="508">
        <f t="shared" ca="1" si="212"/>
        <v>0</v>
      </c>
      <c r="BN204" s="508"/>
      <c r="BO204" s="508"/>
      <c r="BP204" s="508">
        <f ca="1">IF($C$4=Year1,-PMT(Lookups!$E$17,25,NPV(Lookups!$E$17,AM204:BK204),0,1),IF($C$4=Year2,-PMT(Lookups!$F$17,25,NPV(Lookups!$F$17,AN204:BL204),0,1),IF($C$4=Year3,-PMT(Lookups!$G$17,25,NPV(Lookups!$G$17,AO204:BM204),0,1),-PMT(Lookups!$G$17,27,NPV(Lookups!$G$17,AM204:BM204),0,1))))</f>
        <v>-2.9873278677559906E-4</v>
      </c>
      <c r="BS204" s="84" t="str">
        <f t="shared" si="207"/>
        <v>Avoided Gas DRIPE avoided costs divided by After Scenario sales.</v>
      </c>
      <c r="BT204" s="51" t="s">
        <v>17</v>
      </c>
    </row>
    <row r="205" spans="1:72" x14ac:dyDescent="0.25">
      <c r="B205" s="243" t="str">
        <f t="shared" ref="B205:D213" si="213">B204</f>
        <v>Small C&amp;I</v>
      </c>
      <c r="C205" s="243" t="str">
        <f t="shared" si="213"/>
        <v>Rates</v>
      </c>
      <c r="D205" s="244" t="str">
        <f t="shared" si="213"/>
        <v>Avoided Costs</v>
      </c>
      <c r="E205" s="86" t="s">
        <v>76</v>
      </c>
      <c r="F205" s="84" t="s">
        <v>182</v>
      </c>
      <c r="G205" s="506">
        <f ca="1">SUM(G202:G204)</f>
        <v>-1.1434652932758388E-2</v>
      </c>
      <c r="H205" s="506">
        <f t="shared" ref="H205:AG205" ca="1" si="214">SUM(H202:H204)</f>
        <v>-1.1434652932758388E-2</v>
      </c>
      <c r="I205" s="506">
        <f t="shared" ca="1" si="214"/>
        <v>-1.1434652932758388E-2</v>
      </c>
      <c r="J205" s="506">
        <f t="shared" ca="1" si="214"/>
        <v>-1.1434652932758388E-2</v>
      </c>
      <c r="K205" s="506">
        <f t="shared" ca="1" si="214"/>
        <v>-1.1434652932758388E-2</v>
      </c>
      <c r="L205" s="506">
        <f t="shared" ca="1" si="214"/>
        <v>-1.1434652932758388E-2</v>
      </c>
      <c r="M205" s="506">
        <f t="shared" ca="1" si="214"/>
        <v>-1.1434652932758388E-2</v>
      </c>
      <c r="N205" s="506">
        <f t="shared" ca="1" si="214"/>
        <v>-1.1434652932758388E-2</v>
      </c>
      <c r="O205" s="506">
        <f t="shared" ca="1" si="214"/>
        <v>-1.1434652932758388E-2</v>
      </c>
      <c r="P205" s="506">
        <f t="shared" ca="1" si="214"/>
        <v>-1.1434652932758388E-2</v>
      </c>
      <c r="Q205" s="506">
        <f t="shared" ca="1" si="214"/>
        <v>-1.1434652932758388E-2</v>
      </c>
      <c r="R205" s="506">
        <f t="shared" ca="1" si="214"/>
        <v>-1.1434652932758388E-2</v>
      </c>
      <c r="S205" s="506">
        <f t="shared" ca="1" si="214"/>
        <v>-1.1434652932758388E-2</v>
      </c>
      <c r="T205" s="506">
        <f t="shared" ca="1" si="214"/>
        <v>-1.1434652932758388E-2</v>
      </c>
      <c r="U205" s="506">
        <f t="shared" ca="1" si="214"/>
        <v>-1.1434652932758388E-2</v>
      </c>
      <c r="V205" s="506">
        <f t="shared" ca="1" si="214"/>
        <v>-1.1434652932758388E-2</v>
      </c>
      <c r="W205" s="506">
        <f t="shared" ca="1" si="214"/>
        <v>0</v>
      </c>
      <c r="X205" s="506">
        <f t="shared" ca="1" si="214"/>
        <v>0</v>
      </c>
      <c r="Y205" s="506">
        <f t="shared" ca="1" si="214"/>
        <v>0</v>
      </c>
      <c r="Z205" s="506">
        <f t="shared" ca="1" si="214"/>
        <v>0</v>
      </c>
      <c r="AA205" s="506">
        <f t="shared" ca="1" si="214"/>
        <v>0</v>
      </c>
      <c r="AB205" s="506">
        <f t="shared" ca="1" si="214"/>
        <v>0</v>
      </c>
      <c r="AC205" s="506">
        <f t="shared" ca="1" si="214"/>
        <v>0</v>
      </c>
      <c r="AD205" s="506">
        <f t="shared" ca="1" si="214"/>
        <v>0</v>
      </c>
      <c r="AE205" s="506">
        <f t="shared" ca="1" si="214"/>
        <v>0</v>
      </c>
      <c r="AF205" s="506">
        <f t="shared" ca="1" si="214"/>
        <v>0</v>
      </c>
      <c r="AG205" s="506">
        <f t="shared" ca="1" si="214"/>
        <v>0</v>
      </c>
      <c r="AH205" s="506"/>
      <c r="AI205" s="506"/>
      <c r="AJ205" s="506">
        <f ca="1">IF($C$4=Year1,-PMT(Lookups!$E$17,25,NPV(Lookups!$E$17,G205:AE205),0,1),IF($C$4=Year2,-PMT(Lookups!$F$17,25,NPV(Lookups!$F$17,H205:AF205),0,1),IF($C$4=Year3,-PMT(Lookups!$G$17,25,NPV(Lookups!$G$17,I205:AG205),0,1),-PMT(Lookups!$G$17,27,NPV(Lookups!$G$17,G205:AG205),0,1))))</f>
        <v>-7.6636628435629408E-3</v>
      </c>
      <c r="AK205" s="507"/>
      <c r="AL205" s="507"/>
      <c r="AM205" s="508">
        <f ca="1">SUM(AM202:AM204)</f>
        <v>-1.3098762467311576E-2</v>
      </c>
      <c r="AN205" s="508">
        <f t="shared" ref="AN205:BM205" ca="1" si="215">SUM(AN202:AN204)</f>
        <v>-1.3098762467311576E-2</v>
      </c>
      <c r="AO205" s="508">
        <f t="shared" ca="1" si="215"/>
        <v>-1.3098762467311576E-2</v>
      </c>
      <c r="AP205" s="508">
        <f t="shared" ca="1" si="215"/>
        <v>-1.3098762467311576E-2</v>
      </c>
      <c r="AQ205" s="508">
        <f t="shared" ca="1" si="215"/>
        <v>-1.3098762467311576E-2</v>
      </c>
      <c r="AR205" s="508">
        <f t="shared" ca="1" si="215"/>
        <v>-1.3098762467311576E-2</v>
      </c>
      <c r="AS205" s="508">
        <f t="shared" ca="1" si="215"/>
        <v>-1.3098762467311576E-2</v>
      </c>
      <c r="AT205" s="508">
        <f t="shared" ca="1" si="215"/>
        <v>-1.3098762467311576E-2</v>
      </c>
      <c r="AU205" s="508">
        <f t="shared" ca="1" si="215"/>
        <v>-1.3098762467311576E-2</v>
      </c>
      <c r="AV205" s="508">
        <f t="shared" ca="1" si="215"/>
        <v>-1.3098762467311576E-2</v>
      </c>
      <c r="AW205" s="508">
        <f t="shared" ca="1" si="215"/>
        <v>-1.3098762467311576E-2</v>
      </c>
      <c r="AX205" s="508">
        <f t="shared" ca="1" si="215"/>
        <v>-1.3098762467311576E-2</v>
      </c>
      <c r="AY205" s="508">
        <f t="shared" ca="1" si="215"/>
        <v>-1.3098762467311576E-2</v>
      </c>
      <c r="AZ205" s="508">
        <f t="shared" ca="1" si="215"/>
        <v>-1.3098762467311576E-2</v>
      </c>
      <c r="BA205" s="508">
        <f t="shared" ca="1" si="215"/>
        <v>-1.3098762467311576E-2</v>
      </c>
      <c r="BB205" s="508">
        <f t="shared" ca="1" si="215"/>
        <v>-1.3098762467311576E-2</v>
      </c>
      <c r="BC205" s="508">
        <f t="shared" ca="1" si="215"/>
        <v>0</v>
      </c>
      <c r="BD205" s="508">
        <f t="shared" ca="1" si="215"/>
        <v>0</v>
      </c>
      <c r="BE205" s="508">
        <f t="shared" ca="1" si="215"/>
        <v>0</v>
      </c>
      <c r="BF205" s="508">
        <f t="shared" ca="1" si="215"/>
        <v>0</v>
      </c>
      <c r="BG205" s="508">
        <f t="shared" ca="1" si="215"/>
        <v>0</v>
      </c>
      <c r="BH205" s="508">
        <f t="shared" ca="1" si="215"/>
        <v>0</v>
      </c>
      <c r="BI205" s="508">
        <f t="shared" ca="1" si="215"/>
        <v>0</v>
      </c>
      <c r="BJ205" s="508">
        <f t="shared" ca="1" si="215"/>
        <v>0</v>
      </c>
      <c r="BK205" s="508">
        <f t="shared" ca="1" si="215"/>
        <v>0</v>
      </c>
      <c r="BL205" s="508">
        <f t="shared" ca="1" si="215"/>
        <v>0</v>
      </c>
      <c r="BM205" s="508">
        <f t="shared" ca="1" si="215"/>
        <v>0</v>
      </c>
      <c r="BN205" s="508"/>
      <c r="BO205" s="508"/>
      <c r="BP205" s="508">
        <f ca="1">IF($C$4=Year1,-PMT(Lookups!$E$17,25,NPV(Lookups!$E$17,AM205:BK205),0,1),IF($C$4=Year2,-PMT(Lookups!$F$17,25,NPV(Lookups!$F$17,AN205:BL205),0,1),IF($C$4=Year3,-PMT(Lookups!$G$17,25,NPV(Lookups!$G$17,AO205:BM205),0,1),-PMT(Lookups!$G$17,27,NPV(Lookups!$G$17,AM205:BM205),0,1))))</f>
        <v>-8.7789721129014411E-3</v>
      </c>
      <c r="BS205" s="84" t="s">
        <v>232</v>
      </c>
      <c r="BT205" s="51" t="s">
        <v>17</v>
      </c>
    </row>
    <row r="206" spans="1:72" x14ac:dyDescent="0.25">
      <c r="B206" s="243" t="str">
        <f t="shared" si="213"/>
        <v>Small C&amp;I</v>
      </c>
      <c r="C206" s="243" t="str">
        <f t="shared" si="213"/>
        <v>Rates</v>
      </c>
      <c r="D206" s="114" t="s">
        <v>165</v>
      </c>
      <c r="E206" s="86"/>
      <c r="F206" s="86"/>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S206" s="84"/>
      <c r="BT206" s="51" t="s">
        <v>17</v>
      </c>
    </row>
    <row r="207" spans="1:72" x14ac:dyDescent="0.25">
      <c r="A207" s="246"/>
      <c r="B207" s="243" t="str">
        <f t="shared" si="213"/>
        <v>Small C&amp;I</v>
      </c>
      <c r="C207" s="243" t="str">
        <f t="shared" si="213"/>
        <v>Rates</v>
      </c>
      <c r="D207" s="244" t="str">
        <f t="shared" si="213"/>
        <v>Increased Costs and Cost Shifting</v>
      </c>
      <c r="E207" s="84" t="s">
        <v>406</v>
      </c>
      <c r="F207" s="84" t="s">
        <v>182</v>
      </c>
      <c r="G207" s="509">
        <f ca="1">IF($C$4=Lookups!$D$40,SUM(INDIRECT("'Yr1'!"&amp;ADDRESS(ROW(G207),COLUMN(G207))),INDIRECT("'Yr2'!"&amp;ADDRESS(ROW(G207),COLUMN(G207))),INDIRECT("'Yr3'!"&amp;ADDRESS(ROW(G207),COLUMN(G207)))),
IF($C$4=G$7,SUMIFS('EE Inputs'!$L$9:$L$32,'EE Inputs'!$C$9:$C$32,$G$6,'EE Inputs'!$D$9:$D$32,$C$4,'EE Inputs'!$E$9:$E$32,$B207),0))</f>
        <v>0.14245258051119242</v>
      </c>
      <c r="H207" s="509">
        <f ca="1">IF($C$4=Lookups!$D$40,SUM(INDIRECT("'Yr1'!"&amp;ADDRESS(ROW(H207),COLUMN(H207))),INDIRECT("'Yr2'!"&amp;ADDRESS(ROW(H207),COLUMN(H207))),INDIRECT("'Yr3'!"&amp;ADDRESS(ROW(H207),COLUMN(H207)))),
IF($C$4=H$7,SUMIFS('EE Inputs'!$L$9:$L$32,'EE Inputs'!$C$9:$C$32,$G$6,'EE Inputs'!$D$9:$D$32,$C$4,'EE Inputs'!$E$9:$E$32,$B207),0))</f>
        <v>0</v>
      </c>
      <c r="I207" s="509">
        <f ca="1">IF($C$4=Lookups!$D$40,SUM(INDIRECT("'Yr1'!"&amp;ADDRESS(ROW(I207),COLUMN(I207))),INDIRECT("'Yr2'!"&amp;ADDRESS(ROW(I207),COLUMN(I207))),INDIRECT("'Yr3'!"&amp;ADDRESS(ROW(I207),COLUMN(I207)))),
IF($C$4=I$7,SUMIFS('EE Inputs'!$L$9:$L$32,'EE Inputs'!$C$9:$C$32,$G$6,'EE Inputs'!$D$9:$D$32,$C$4,'EE Inputs'!$E$9:$E$32,$B207),0))</f>
        <v>0</v>
      </c>
      <c r="J207" s="509">
        <f ca="1">IF($C$4=Lookups!$D$40,SUM(INDIRECT("'Yr1'!"&amp;ADDRESS(ROW(J207),COLUMN(J207))),INDIRECT("'Yr2'!"&amp;ADDRESS(ROW(J207),COLUMN(J207))),INDIRECT("'Yr3'!"&amp;ADDRESS(ROW(J207),COLUMN(J207)))),
IF($C$4=J$7,SUMIFS('EE Inputs'!$L$9:$L$32,'EE Inputs'!$C$9:$C$32,$G$6,'EE Inputs'!$D$9:$D$32,$C$4,'EE Inputs'!$E$9:$E$32,$B207),0))</f>
        <v>0</v>
      </c>
      <c r="K207" s="509">
        <f ca="1">IF($C$4=Lookups!$D$40,SUM(INDIRECT("'Yr1'!"&amp;ADDRESS(ROW(K207),COLUMN(K207))),INDIRECT("'Yr2'!"&amp;ADDRESS(ROW(K207),COLUMN(K207))),INDIRECT("'Yr3'!"&amp;ADDRESS(ROW(K207),COLUMN(K207)))),
IF($C$4=K$7,SUMIFS('EE Inputs'!$L$9:$L$32,'EE Inputs'!$C$9:$C$32,$G$6,'EE Inputs'!$D$9:$D$32,$C$4,'EE Inputs'!$E$9:$E$32,$B207),0))</f>
        <v>0</v>
      </c>
      <c r="L207" s="509">
        <f ca="1">IF($C$4=Lookups!$D$40,SUM(INDIRECT("'Yr1'!"&amp;ADDRESS(ROW(L207),COLUMN(L207))),INDIRECT("'Yr2'!"&amp;ADDRESS(ROW(L207),COLUMN(L207))),INDIRECT("'Yr3'!"&amp;ADDRESS(ROW(L207),COLUMN(L207)))),
IF($C$4=L$7,SUMIFS('EE Inputs'!$L$9:$L$32,'EE Inputs'!$C$9:$C$32,$G$6,'EE Inputs'!$D$9:$D$32,$C$4,'EE Inputs'!$E$9:$E$32,$B207),0))</f>
        <v>0</v>
      </c>
      <c r="M207" s="509">
        <f ca="1">IF($C$4=Lookups!$D$40,SUM(INDIRECT("'Yr1'!"&amp;ADDRESS(ROW(M207),COLUMN(M207))),INDIRECT("'Yr2'!"&amp;ADDRESS(ROW(M207),COLUMN(M207))),INDIRECT("'Yr3'!"&amp;ADDRESS(ROW(M207),COLUMN(M207)))),
IF($C$4=M$7,SUMIFS('EE Inputs'!$L$9:$L$32,'EE Inputs'!$C$9:$C$32,$G$6,'EE Inputs'!$D$9:$D$32,$C$4,'EE Inputs'!$E$9:$E$32,$B207),0))</f>
        <v>0</v>
      </c>
      <c r="N207" s="509">
        <f ca="1">IF($C$4=Lookups!$D$40,SUM(INDIRECT("'Yr1'!"&amp;ADDRESS(ROW(N207),COLUMN(N207))),INDIRECT("'Yr2'!"&amp;ADDRESS(ROW(N207),COLUMN(N207))),INDIRECT("'Yr3'!"&amp;ADDRESS(ROW(N207),COLUMN(N207)))),
IF($C$4=N$7,SUMIFS('EE Inputs'!$L$9:$L$32,'EE Inputs'!$C$9:$C$32,$G$6,'EE Inputs'!$D$9:$D$32,$C$4,'EE Inputs'!$E$9:$E$32,$B207),0))</f>
        <v>0</v>
      </c>
      <c r="O207" s="509">
        <f ca="1">IF($C$4=Lookups!$D$40,SUM(INDIRECT("'Yr1'!"&amp;ADDRESS(ROW(O207),COLUMN(O207))),INDIRECT("'Yr2'!"&amp;ADDRESS(ROW(O207),COLUMN(O207))),INDIRECT("'Yr3'!"&amp;ADDRESS(ROW(O207),COLUMN(O207)))),
IF($C$4=O$7,SUMIFS('EE Inputs'!$L$9:$L$32,'EE Inputs'!$C$9:$C$32,$G$6,'EE Inputs'!$D$9:$D$32,$C$4,'EE Inputs'!$E$9:$E$32,$B207),0))</f>
        <v>0</v>
      </c>
      <c r="P207" s="509">
        <f ca="1">IF($C$4=Lookups!$D$40,SUM(INDIRECT("'Yr1'!"&amp;ADDRESS(ROW(P207),COLUMN(P207))),INDIRECT("'Yr2'!"&amp;ADDRESS(ROW(P207),COLUMN(P207))),INDIRECT("'Yr3'!"&amp;ADDRESS(ROW(P207),COLUMN(P207)))),
IF($C$4=P$7,SUMIFS('EE Inputs'!$L$9:$L$32,'EE Inputs'!$C$9:$C$32,$G$6,'EE Inputs'!$D$9:$D$32,$C$4,'EE Inputs'!$E$9:$E$32,$B207),0))</f>
        <v>0</v>
      </c>
      <c r="Q207" s="509">
        <f ca="1">IF($C$4=Lookups!$D$40,SUM(INDIRECT("'Yr1'!"&amp;ADDRESS(ROW(Q207),COLUMN(Q207))),INDIRECT("'Yr2'!"&amp;ADDRESS(ROW(Q207),COLUMN(Q207))),INDIRECT("'Yr3'!"&amp;ADDRESS(ROW(Q207),COLUMN(Q207)))),
IF($C$4=Q$7,SUMIFS('EE Inputs'!$L$9:$L$32,'EE Inputs'!$C$9:$C$32,$G$6,'EE Inputs'!$D$9:$D$32,$C$4,'EE Inputs'!$E$9:$E$32,$B207),0))</f>
        <v>0</v>
      </c>
      <c r="R207" s="509">
        <f ca="1">IF($C$4=Lookups!$D$40,SUM(INDIRECT("'Yr1'!"&amp;ADDRESS(ROW(R207),COLUMN(R207))),INDIRECT("'Yr2'!"&amp;ADDRESS(ROW(R207),COLUMN(R207))),INDIRECT("'Yr3'!"&amp;ADDRESS(ROW(R207),COLUMN(R207)))),
IF($C$4=R$7,SUMIFS('EE Inputs'!$L$9:$L$32,'EE Inputs'!$C$9:$C$32,$G$6,'EE Inputs'!$D$9:$D$32,$C$4,'EE Inputs'!$E$9:$E$32,$B207),0))</f>
        <v>0</v>
      </c>
      <c r="S207" s="509">
        <f ca="1">IF($C$4=Lookups!$D$40,SUM(INDIRECT("'Yr1'!"&amp;ADDRESS(ROW(S207),COLUMN(S207))),INDIRECT("'Yr2'!"&amp;ADDRESS(ROW(S207),COLUMN(S207))),INDIRECT("'Yr3'!"&amp;ADDRESS(ROW(S207),COLUMN(S207)))),
IF($C$4=S$7,SUMIFS('EE Inputs'!$L$9:$L$32,'EE Inputs'!$C$9:$C$32,$G$6,'EE Inputs'!$D$9:$D$32,$C$4,'EE Inputs'!$E$9:$E$32,$B207),0))</f>
        <v>0</v>
      </c>
      <c r="T207" s="509">
        <f ca="1">IF($C$4=Lookups!$D$40,SUM(INDIRECT("'Yr1'!"&amp;ADDRESS(ROW(T207),COLUMN(T207))),INDIRECT("'Yr2'!"&amp;ADDRESS(ROW(T207),COLUMN(T207))),INDIRECT("'Yr3'!"&amp;ADDRESS(ROW(T207),COLUMN(T207)))),
IF($C$4=T$7,SUMIFS('EE Inputs'!$L$9:$L$32,'EE Inputs'!$C$9:$C$32,$G$6,'EE Inputs'!$D$9:$D$32,$C$4,'EE Inputs'!$E$9:$E$32,$B207),0))</f>
        <v>0</v>
      </c>
      <c r="U207" s="509">
        <f ca="1">IF($C$4=Lookups!$D$40,SUM(INDIRECT("'Yr1'!"&amp;ADDRESS(ROW(U207),COLUMN(U207))),INDIRECT("'Yr2'!"&amp;ADDRESS(ROW(U207),COLUMN(U207))),INDIRECT("'Yr3'!"&amp;ADDRESS(ROW(U207),COLUMN(U207)))),
IF($C$4=U$7,SUMIFS('EE Inputs'!$L$9:$L$32,'EE Inputs'!$C$9:$C$32,$G$6,'EE Inputs'!$D$9:$D$32,$C$4,'EE Inputs'!$E$9:$E$32,$B207),0))</f>
        <v>0</v>
      </c>
      <c r="V207" s="509">
        <f ca="1">IF($C$4=Lookups!$D$40,SUM(INDIRECT("'Yr1'!"&amp;ADDRESS(ROW(V207),COLUMN(V207))),INDIRECT("'Yr2'!"&amp;ADDRESS(ROW(V207),COLUMN(V207))),INDIRECT("'Yr3'!"&amp;ADDRESS(ROW(V207),COLUMN(V207)))),
IF($C$4=V$7,SUMIFS('EE Inputs'!$L$9:$L$32,'EE Inputs'!$C$9:$C$32,$G$6,'EE Inputs'!$D$9:$D$32,$C$4,'EE Inputs'!$E$9:$E$32,$B207),0))</f>
        <v>0</v>
      </c>
      <c r="W207" s="509">
        <f ca="1">IF($C$4=Lookups!$D$40,SUM(INDIRECT("'Yr1'!"&amp;ADDRESS(ROW(W207),COLUMN(W207))),INDIRECT("'Yr2'!"&amp;ADDRESS(ROW(W207),COLUMN(W207))),INDIRECT("'Yr3'!"&amp;ADDRESS(ROW(W207),COLUMN(W207)))),
IF($C$4=W$7,SUMIFS('EE Inputs'!$L$9:$L$32,'EE Inputs'!$C$9:$C$32,$G$6,'EE Inputs'!$D$9:$D$32,$C$4,'EE Inputs'!$E$9:$E$32,$B207),0))</f>
        <v>0</v>
      </c>
      <c r="X207" s="509">
        <f ca="1">IF($C$4=Lookups!$D$40,SUM(INDIRECT("'Yr1'!"&amp;ADDRESS(ROW(X207),COLUMN(X207))),INDIRECT("'Yr2'!"&amp;ADDRESS(ROW(X207),COLUMN(X207))),INDIRECT("'Yr3'!"&amp;ADDRESS(ROW(X207),COLUMN(X207)))),
IF($C$4=X$7,SUMIFS('EE Inputs'!$L$9:$L$32,'EE Inputs'!$C$9:$C$32,$G$6,'EE Inputs'!$D$9:$D$32,$C$4,'EE Inputs'!$E$9:$E$32,$B207),0))</f>
        <v>0</v>
      </c>
      <c r="Y207" s="509">
        <f ca="1">IF($C$4=Lookups!$D$40,SUM(INDIRECT("'Yr1'!"&amp;ADDRESS(ROW(Y207),COLUMN(Y207))),INDIRECT("'Yr2'!"&amp;ADDRESS(ROW(Y207),COLUMN(Y207))),INDIRECT("'Yr3'!"&amp;ADDRESS(ROW(Y207),COLUMN(Y207)))),
IF($C$4=Y$7,SUMIFS('EE Inputs'!$L$9:$L$32,'EE Inputs'!$C$9:$C$32,$G$6,'EE Inputs'!$D$9:$D$32,$C$4,'EE Inputs'!$E$9:$E$32,$B207),0))</f>
        <v>0</v>
      </c>
      <c r="Z207" s="509">
        <f ca="1">IF($C$4=Lookups!$D$40,SUM(INDIRECT("'Yr1'!"&amp;ADDRESS(ROW(Z207),COLUMN(Z207))),INDIRECT("'Yr2'!"&amp;ADDRESS(ROW(Z207),COLUMN(Z207))),INDIRECT("'Yr3'!"&amp;ADDRESS(ROW(Z207),COLUMN(Z207)))),
IF($C$4=Z$7,SUMIFS('EE Inputs'!$L$9:$L$32,'EE Inputs'!$C$9:$C$32,$G$6,'EE Inputs'!$D$9:$D$32,$C$4,'EE Inputs'!$E$9:$E$32,$B207),0))</f>
        <v>0</v>
      </c>
      <c r="AA207" s="509">
        <f ca="1">IF($C$4=Lookups!$D$40,SUM(INDIRECT("'Yr1'!"&amp;ADDRESS(ROW(AA207),COLUMN(AA207))),INDIRECT("'Yr2'!"&amp;ADDRESS(ROW(AA207),COLUMN(AA207))),INDIRECT("'Yr3'!"&amp;ADDRESS(ROW(AA207),COLUMN(AA207)))),
IF($C$4=AA$7,SUMIFS('EE Inputs'!$L$9:$L$32,'EE Inputs'!$C$9:$C$32,$G$6,'EE Inputs'!$D$9:$D$32,$C$4,'EE Inputs'!$E$9:$E$32,$B207),0))</f>
        <v>0</v>
      </c>
      <c r="AB207" s="509">
        <f ca="1">IF($C$4=Lookups!$D$40,SUM(INDIRECT("'Yr1'!"&amp;ADDRESS(ROW(AB207),COLUMN(AB207))),INDIRECT("'Yr2'!"&amp;ADDRESS(ROW(AB207),COLUMN(AB207))),INDIRECT("'Yr3'!"&amp;ADDRESS(ROW(AB207),COLUMN(AB207)))),
IF($C$4=AB$7,SUMIFS('EE Inputs'!$L$9:$L$32,'EE Inputs'!$C$9:$C$32,$G$6,'EE Inputs'!$D$9:$D$32,$C$4,'EE Inputs'!$E$9:$E$32,$B207),0))</f>
        <v>0</v>
      </c>
      <c r="AC207" s="509">
        <f ca="1">IF($C$4=Lookups!$D$40,SUM(INDIRECT("'Yr1'!"&amp;ADDRESS(ROW(AC207),COLUMN(AC207))),INDIRECT("'Yr2'!"&amp;ADDRESS(ROW(AC207),COLUMN(AC207))),INDIRECT("'Yr3'!"&amp;ADDRESS(ROW(AC207),COLUMN(AC207)))),
IF($C$4=AC$7,SUMIFS('EE Inputs'!$L$9:$L$32,'EE Inputs'!$C$9:$C$32,$G$6,'EE Inputs'!$D$9:$D$32,$C$4,'EE Inputs'!$E$9:$E$32,$B207),0))</f>
        <v>0</v>
      </c>
      <c r="AD207" s="509">
        <f ca="1">IF($C$4=Lookups!$D$40,SUM(INDIRECT("'Yr1'!"&amp;ADDRESS(ROW(AD207),COLUMN(AD207))),INDIRECT("'Yr2'!"&amp;ADDRESS(ROW(AD207),COLUMN(AD207))),INDIRECT("'Yr3'!"&amp;ADDRESS(ROW(AD207),COLUMN(AD207)))),
IF($C$4=AD$7,SUMIFS('EE Inputs'!$L$9:$L$32,'EE Inputs'!$C$9:$C$32,$G$6,'EE Inputs'!$D$9:$D$32,$C$4,'EE Inputs'!$E$9:$E$32,$B207),0))</f>
        <v>0</v>
      </c>
      <c r="AE207" s="509">
        <f ca="1">IF($C$4=Lookups!$D$40,SUM(INDIRECT("'Yr1'!"&amp;ADDRESS(ROW(AE207),COLUMN(AE207))),INDIRECT("'Yr2'!"&amp;ADDRESS(ROW(AE207),COLUMN(AE207))),INDIRECT("'Yr3'!"&amp;ADDRESS(ROW(AE207),COLUMN(AE207)))),
IF($C$4=AE$7,SUMIFS('EE Inputs'!$L$9:$L$32,'EE Inputs'!$C$9:$C$32,$G$6,'EE Inputs'!$D$9:$D$32,$C$4,'EE Inputs'!$E$9:$E$32,$B207),0))</f>
        <v>0</v>
      </c>
      <c r="AF207" s="509">
        <f ca="1">IF($C$4=Lookups!$D$40,SUM(INDIRECT("'Yr1'!"&amp;ADDRESS(ROW(AF207),COLUMN(AF207))),INDIRECT("'Yr2'!"&amp;ADDRESS(ROW(AF207),COLUMN(AF207))),INDIRECT("'Yr3'!"&amp;ADDRESS(ROW(AF207),COLUMN(AF207)))),
IF($C$4=AF$7,SUMIFS('EE Inputs'!$L$9:$L$32,'EE Inputs'!$C$9:$C$32,$G$6,'EE Inputs'!$D$9:$D$32,$C$4,'EE Inputs'!$E$9:$E$32,$B207),0))</f>
        <v>0</v>
      </c>
      <c r="AG207" s="509">
        <f ca="1">IF($C$4=Lookups!$D$40,SUM(INDIRECT("'Yr1'!"&amp;ADDRESS(ROW(AG207),COLUMN(AG207))),INDIRECT("'Yr2'!"&amp;ADDRESS(ROW(AG207),COLUMN(AG207))),INDIRECT("'Yr3'!"&amp;ADDRESS(ROW(AG207),COLUMN(AG207)))),
IF($C$4=AG$7,SUMIFS('EE Inputs'!$L$9:$L$32,'EE Inputs'!$C$9:$C$32,$G$6,'EE Inputs'!$D$9:$D$32,$C$4,'EE Inputs'!$E$9:$E$32,$B207),0))</f>
        <v>0</v>
      </c>
      <c r="AH207" s="509"/>
      <c r="AI207" s="509"/>
      <c r="AJ207" s="509">
        <f ca="1">IF($C$4=Year1,-PMT(Lookups!$E$17,25,NPV(Lookups!$E$17,G207:AE207),0,1),IF($C$4=Year2,-PMT(Lookups!$F$17,25,NPV(Lookups!$F$17,H207:AF207),0,1),IF($C$4=Year3,-PMT(Lookups!$G$17,25,NPV(Lookups!$G$17,I207:AG207),0,1),-PMT(Lookups!$G$17,27,NPV(Lookups!$G$17,G207:AG207),0,1))))</f>
        <v>6.6160848742187897E-3</v>
      </c>
      <c r="AK207" s="507"/>
      <c r="AL207" s="507"/>
      <c r="AM207" s="508">
        <f ca="1">IF($C$4=Lookups!$D$40,SUM(INDIRECT("'Yr1'!"&amp;ADDRESS(ROW(AM207),COLUMN(AM207))),INDIRECT("'Yr2'!"&amp;ADDRESS(ROW(AM207),COLUMN(AM207))),INDIRECT("'Yr3'!"&amp;ADDRESS(ROW(AM207),COLUMN(AM207)))),
IF($C$4=AM$7,SUMIFS('EE Inputs'!$L$9:$L$32,'EE Inputs'!$C$9:$C$32,$AM$6,'EE Inputs'!$D$9:$D$32,$C$4,'EE Inputs'!$E$9:$E$32,$B207),0))</f>
        <v>0.17094309661343091</v>
      </c>
      <c r="AN207" s="508">
        <f ca="1">IF($C$4=Lookups!$D$40,SUM(INDIRECT("'Yr1'!"&amp;ADDRESS(ROW(AN207),COLUMN(AN207))),INDIRECT("'Yr2'!"&amp;ADDRESS(ROW(AN207),COLUMN(AN207))),INDIRECT("'Yr3'!"&amp;ADDRESS(ROW(AN207),COLUMN(AN207)))),
IF($C$4=AN$7,SUMIFS('EE Inputs'!$L$9:$L$32,'EE Inputs'!$C$9:$C$32,$AM$6,'EE Inputs'!$D$9:$D$32,$C$4,'EE Inputs'!$E$9:$E$32,$B207),0))</f>
        <v>0</v>
      </c>
      <c r="AO207" s="508">
        <f ca="1">IF($C$4=Lookups!$D$40,SUM(INDIRECT("'Yr1'!"&amp;ADDRESS(ROW(AO207),COLUMN(AO207))),INDIRECT("'Yr2'!"&amp;ADDRESS(ROW(AO207),COLUMN(AO207))),INDIRECT("'Yr3'!"&amp;ADDRESS(ROW(AO207),COLUMN(AO207)))),
IF($C$4=AO$7,SUMIFS('EE Inputs'!$L$9:$L$32,'EE Inputs'!$C$9:$C$32,$AM$6,'EE Inputs'!$D$9:$D$32,$C$4,'EE Inputs'!$E$9:$E$32,$B207),0))</f>
        <v>0</v>
      </c>
      <c r="AP207" s="508">
        <f ca="1">IF($C$4=Lookups!$D$40,SUM(INDIRECT("'Yr1'!"&amp;ADDRESS(ROW(AP207),COLUMN(AP207))),INDIRECT("'Yr2'!"&amp;ADDRESS(ROW(AP207),COLUMN(AP207))),INDIRECT("'Yr3'!"&amp;ADDRESS(ROW(AP207),COLUMN(AP207)))),
IF($C$4=AP$7,SUMIFS('EE Inputs'!$L$9:$L$32,'EE Inputs'!$C$9:$C$32,$AM$6,'EE Inputs'!$D$9:$D$32,$C$4,'EE Inputs'!$E$9:$E$32,$B207),0))</f>
        <v>0</v>
      </c>
      <c r="AQ207" s="508">
        <f ca="1">IF($C$4=Lookups!$D$40,SUM(INDIRECT("'Yr1'!"&amp;ADDRESS(ROW(AQ207),COLUMN(AQ207))),INDIRECT("'Yr2'!"&amp;ADDRESS(ROW(AQ207),COLUMN(AQ207))),INDIRECT("'Yr3'!"&amp;ADDRESS(ROW(AQ207),COLUMN(AQ207)))),
IF($C$4=AQ$7,SUMIFS('EE Inputs'!$L$9:$L$32,'EE Inputs'!$C$9:$C$32,$AM$6,'EE Inputs'!$D$9:$D$32,$C$4,'EE Inputs'!$E$9:$E$32,$B207),0))</f>
        <v>0</v>
      </c>
      <c r="AR207" s="508">
        <f ca="1">IF($C$4=Lookups!$D$40,SUM(INDIRECT("'Yr1'!"&amp;ADDRESS(ROW(AR207),COLUMN(AR207))),INDIRECT("'Yr2'!"&amp;ADDRESS(ROW(AR207),COLUMN(AR207))),INDIRECT("'Yr3'!"&amp;ADDRESS(ROW(AR207),COLUMN(AR207)))),
IF($C$4=AR$7,SUMIFS('EE Inputs'!$L$9:$L$32,'EE Inputs'!$C$9:$C$32,$AM$6,'EE Inputs'!$D$9:$D$32,$C$4,'EE Inputs'!$E$9:$E$32,$B207),0))</f>
        <v>0</v>
      </c>
      <c r="AS207" s="508">
        <f ca="1">IF($C$4=Lookups!$D$40,SUM(INDIRECT("'Yr1'!"&amp;ADDRESS(ROW(AS207),COLUMN(AS207))),INDIRECT("'Yr2'!"&amp;ADDRESS(ROW(AS207),COLUMN(AS207))),INDIRECT("'Yr3'!"&amp;ADDRESS(ROW(AS207),COLUMN(AS207)))),
IF($C$4=AS$7,SUMIFS('EE Inputs'!$L$9:$L$32,'EE Inputs'!$C$9:$C$32,$AM$6,'EE Inputs'!$D$9:$D$32,$C$4,'EE Inputs'!$E$9:$E$32,$B207),0))</f>
        <v>0</v>
      </c>
      <c r="AT207" s="508">
        <f ca="1">IF($C$4=Lookups!$D$40,SUM(INDIRECT("'Yr1'!"&amp;ADDRESS(ROW(AT207),COLUMN(AT207))),INDIRECT("'Yr2'!"&amp;ADDRESS(ROW(AT207),COLUMN(AT207))),INDIRECT("'Yr3'!"&amp;ADDRESS(ROW(AT207),COLUMN(AT207)))),
IF($C$4=AT$7,SUMIFS('EE Inputs'!$L$9:$L$32,'EE Inputs'!$C$9:$C$32,$AM$6,'EE Inputs'!$D$9:$D$32,$C$4,'EE Inputs'!$E$9:$E$32,$B207),0))</f>
        <v>0</v>
      </c>
      <c r="AU207" s="508">
        <f ca="1">IF($C$4=Lookups!$D$40,SUM(INDIRECT("'Yr1'!"&amp;ADDRESS(ROW(AU207),COLUMN(AU207))),INDIRECT("'Yr2'!"&amp;ADDRESS(ROW(AU207),COLUMN(AU207))),INDIRECT("'Yr3'!"&amp;ADDRESS(ROW(AU207),COLUMN(AU207)))),
IF($C$4=AU$7,SUMIFS('EE Inputs'!$L$9:$L$32,'EE Inputs'!$C$9:$C$32,$AM$6,'EE Inputs'!$D$9:$D$32,$C$4,'EE Inputs'!$E$9:$E$32,$B207),0))</f>
        <v>0</v>
      </c>
      <c r="AV207" s="508">
        <f ca="1">IF($C$4=Lookups!$D$40,SUM(INDIRECT("'Yr1'!"&amp;ADDRESS(ROW(AV207),COLUMN(AV207))),INDIRECT("'Yr2'!"&amp;ADDRESS(ROW(AV207),COLUMN(AV207))),INDIRECT("'Yr3'!"&amp;ADDRESS(ROW(AV207),COLUMN(AV207)))),
IF($C$4=AV$7,SUMIFS('EE Inputs'!$L$9:$L$32,'EE Inputs'!$C$9:$C$32,$AM$6,'EE Inputs'!$D$9:$D$32,$C$4,'EE Inputs'!$E$9:$E$32,$B207),0))</f>
        <v>0</v>
      </c>
      <c r="AW207" s="508">
        <f ca="1">IF($C$4=Lookups!$D$40,SUM(INDIRECT("'Yr1'!"&amp;ADDRESS(ROW(AW207),COLUMN(AW207))),INDIRECT("'Yr2'!"&amp;ADDRESS(ROW(AW207),COLUMN(AW207))),INDIRECT("'Yr3'!"&amp;ADDRESS(ROW(AW207),COLUMN(AW207)))),
IF($C$4=AW$7,SUMIFS('EE Inputs'!$L$9:$L$32,'EE Inputs'!$C$9:$C$32,$AM$6,'EE Inputs'!$D$9:$D$32,$C$4,'EE Inputs'!$E$9:$E$32,$B207),0))</f>
        <v>0</v>
      </c>
      <c r="AX207" s="508">
        <f ca="1">IF($C$4=Lookups!$D$40,SUM(INDIRECT("'Yr1'!"&amp;ADDRESS(ROW(AX207),COLUMN(AX207))),INDIRECT("'Yr2'!"&amp;ADDRESS(ROW(AX207),COLUMN(AX207))),INDIRECT("'Yr3'!"&amp;ADDRESS(ROW(AX207),COLUMN(AX207)))),
IF($C$4=AX$7,SUMIFS('EE Inputs'!$L$9:$L$32,'EE Inputs'!$C$9:$C$32,$AM$6,'EE Inputs'!$D$9:$D$32,$C$4,'EE Inputs'!$E$9:$E$32,$B207),0))</f>
        <v>0</v>
      </c>
      <c r="AY207" s="508">
        <f ca="1">IF($C$4=Lookups!$D$40,SUM(INDIRECT("'Yr1'!"&amp;ADDRESS(ROW(AY207),COLUMN(AY207))),INDIRECT("'Yr2'!"&amp;ADDRESS(ROW(AY207),COLUMN(AY207))),INDIRECT("'Yr3'!"&amp;ADDRESS(ROW(AY207),COLUMN(AY207)))),
IF($C$4=AY$7,SUMIFS('EE Inputs'!$L$9:$L$32,'EE Inputs'!$C$9:$C$32,$AM$6,'EE Inputs'!$D$9:$D$32,$C$4,'EE Inputs'!$E$9:$E$32,$B207),0))</f>
        <v>0</v>
      </c>
      <c r="AZ207" s="508">
        <f ca="1">IF($C$4=Lookups!$D$40,SUM(INDIRECT("'Yr1'!"&amp;ADDRESS(ROW(AZ207),COLUMN(AZ207))),INDIRECT("'Yr2'!"&amp;ADDRESS(ROW(AZ207),COLUMN(AZ207))),INDIRECT("'Yr3'!"&amp;ADDRESS(ROW(AZ207),COLUMN(AZ207)))),
IF($C$4=AZ$7,SUMIFS('EE Inputs'!$L$9:$L$32,'EE Inputs'!$C$9:$C$32,$AM$6,'EE Inputs'!$D$9:$D$32,$C$4,'EE Inputs'!$E$9:$E$32,$B207),0))</f>
        <v>0</v>
      </c>
      <c r="BA207" s="508">
        <f ca="1">IF($C$4=Lookups!$D$40,SUM(INDIRECT("'Yr1'!"&amp;ADDRESS(ROW(BA207),COLUMN(BA207))),INDIRECT("'Yr2'!"&amp;ADDRESS(ROW(BA207),COLUMN(BA207))),INDIRECT("'Yr3'!"&amp;ADDRESS(ROW(BA207),COLUMN(BA207)))),
IF($C$4=BA$7,SUMIFS('EE Inputs'!$L$9:$L$32,'EE Inputs'!$C$9:$C$32,$AM$6,'EE Inputs'!$D$9:$D$32,$C$4,'EE Inputs'!$E$9:$E$32,$B207),0))</f>
        <v>0</v>
      </c>
      <c r="BB207" s="508">
        <f ca="1">IF($C$4=Lookups!$D$40,SUM(INDIRECT("'Yr1'!"&amp;ADDRESS(ROW(BB207),COLUMN(BB207))),INDIRECT("'Yr2'!"&amp;ADDRESS(ROW(BB207),COLUMN(BB207))),INDIRECT("'Yr3'!"&amp;ADDRESS(ROW(BB207),COLUMN(BB207)))),
IF($C$4=BB$7,SUMIFS('EE Inputs'!$L$9:$L$32,'EE Inputs'!$C$9:$C$32,$AM$6,'EE Inputs'!$D$9:$D$32,$C$4,'EE Inputs'!$E$9:$E$32,$B207),0))</f>
        <v>0</v>
      </c>
      <c r="BC207" s="508">
        <f ca="1">IF($C$4=Lookups!$D$40,SUM(INDIRECT("'Yr1'!"&amp;ADDRESS(ROW(BC207),COLUMN(BC207))),INDIRECT("'Yr2'!"&amp;ADDRESS(ROW(BC207),COLUMN(BC207))),INDIRECT("'Yr3'!"&amp;ADDRESS(ROW(BC207),COLUMN(BC207)))),
IF($C$4=BC$7,SUMIFS('EE Inputs'!$L$9:$L$32,'EE Inputs'!$C$9:$C$32,$AM$6,'EE Inputs'!$D$9:$D$32,$C$4,'EE Inputs'!$E$9:$E$32,$B207),0))</f>
        <v>0</v>
      </c>
      <c r="BD207" s="508">
        <f ca="1">IF($C$4=Lookups!$D$40,SUM(INDIRECT("'Yr1'!"&amp;ADDRESS(ROW(BD207),COLUMN(BD207))),INDIRECT("'Yr2'!"&amp;ADDRESS(ROW(BD207),COLUMN(BD207))),INDIRECT("'Yr3'!"&amp;ADDRESS(ROW(BD207),COLUMN(BD207)))),
IF($C$4=BD$7,SUMIFS('EE Inputs'!$L$9:$L$32,'EE Inputs'!$C$9:$C$32,$AM$6,'EE Inputs'!$D$9:$D$32,$C$4,'EE Inputs'!$E$9:$E$32,$B207),0))</f>
        <v>0</v>
      </c>
      <c r="BE207" s="508">
        <f ca="1">IF($C$4=Lookups!$D$40,SUM(INDIRECT("'Yr1'!"&amp;ADDRESS(ROW(BE207),COLUMN(BE207))),INDIRECT("'Yr2'!"&amp;ADDRESS(ROW(BE207),COLUMN(BE207))),INDIRECT("'Yr3'!"&amp;ADDRESS(ROW(BE207),COLUMN(BE207)))),
IF($C$4=BE$7,SUMIFS('EE Inputs'!$L$9:$L$32,'EE Inputs'!$C$9:$C$32,$AM$6,'EE Inputs'!$D$9:$D$32,$C$4,'EE Inputs'!$E$9:$E$32,$B207),0))</f>
        <v>0</v>
      </c>
      <c r="BF207" s="508">
        <f ca="1">IF($C$4=Lookups!$D$40,SUM(INDIRECT("'Yr1'!"&amp;ADDRESS(ROW(BF207),COLUMN(BF207))),INDIRECT("'Yr2'!"&amp;ADDRESS(ROW(BF207),COLUMN(BF207))),INDIRECT("'Yr3'!"&amp;ADDRESS(ROW(BF207),COLUMN(BF207)))),
IF($C$4=BF$7,SUMIFS('EE Inputs'!$L$9:$L$32,'EE Inputs'!$C$9:$C$32,$AM$6,'EE Inputs'!$D$9:$D$32,$C$4,'EE Inputs'!$E$9:$E$32,$B207),0))</f>
        <v>0</v>
      </c>
      <c r="BG207" s="508">
        <f ca="1">IF($C$4=Lookups!$D$40,SUM(INDIRECT("'Yr1'!"&amp;ADDRESS(ROW(BG207),COLUMN(BG207))),INDIRECT("'Yr2'!"&amp;ADDRESS(ROW(BG207),COLUMN(BG207))),INDIRECT("'Yr3'!"&amp;ADDRESS(ROW(BG207),COLUMN(BG207)))),
IF($C$4=BG$7,SUMIFS('EE Inputs'!$L$9:$L$32,'EE Inputs'!$C$9:$C$32,$AM$6,'EE Inputs'!$D$9:$D$32,$C$4,'EE Inputs'!$E$9:$E$32,$B207),0))</f>
        <v>0</v>
      </c>
      <c r="BH207" s="508">
        <f ca="1">IF($C$4=Lookups!$D$40,SUM(INDIRECT("'Yr1'!"&amp;ADDRESS(ROW(BH207),COLUMN(BH207))),INDIRECT("'Yr2'!"&amp;ADDRESS(ROW(BH207),COLUMN(BH207))),INDIRECT("'Yr3'!"&amp;ADDRESS(ROW(BH207),COLUMN(BH207)))),
IF($C$4=BH$7,SUMIFS('EE Inputs'!$L$9:$L$32,'EE Inputs'!$C$9:$C$32,$AM$6,'EE Inputs'!$D$9:$D$32,$C$4,'EE Inputs'!$E$9:$E$32,$B207),0))</f>
        <v>0</v>
      </c>
      <c r="BI207" s="508">
        <f ca="1">IF($C$4=Lookups!$D$40,SUM(INDIRECT("'Yr1'!"&amp;ADDRESS(ROW(BI207),COLUMN(BI207))),INDIRECT("'Yr2'!"&amp;ADDRESS(ROW(BI207),COLUMN(BI207))),INDIRECT("'Yr3'!"&amp;ADDRESS(ROW(BI207),COLUMN(BI207)))),
IF($C$4=BI$7,SUMIFS('EE Inputs'!$L$9:$L$32,'EE Inputs'!$C$9:$C$32,$AM$6,'EE Inputs'!$D$9:$D$32,$C$4,'EE Inputs'!$E$9:$E$32,$B207),0))</f>
        <v>0</v>
      </c>
      <c r="BJ207" s="508">
        <f ca="1">IF($C$4=Lookups!$D$40,SUM(INDIRECT("'Yr1'!"&amp;ADDRESS(ROW(BJ207),COLUMN(BJ207))),INDIRECT("'Yr2'!"&amp;ADDRESS(ROW(BJ207),COLUMN(BJ207))),INDIRECT("'Yr3'!"&amp;ADDRESS(ROW(BJ207),COLUMN(BJ207)))),
IF($C$4=BJ$7,SUMIFS('EE Inputs'!$L$9:$L$32,'EE Inputs'!$C$9:$C$32,$AM$6,'EE Inputs'!$D$9:$D$32,$C$4,'EE Inputs'!$E$9:$E$32,$B207),0))</f>
        <v>0</v>
      </c>
      <c r="BK207" s="508">
        <f ca="1">IF($C$4=Lookups!$D$40,SUM(INDIRECT("'Yr1'!"&amp;ADDRESS(ROW(BK207),COLUMN(BK207))),INDIRECT("'Yr2'!"&amp;ADDRESS(ROW(BK207),COLUMN(BK207))),INDIRECT("'Yr3'!"&amp;ADDRESS(ROW(BK207),COLUMN(BK207)))),
IF($C$4=BK$7,SUMIFS('EE Inputs'!$L$9:$L$32,'EE Inputs'!$C$9:$C$32,$AM$6,'EE Inputs'!$D$9:$D$32,$C$4,'EE Inputs'!$E$9:$E$32,$B207),0))</f>
        <v>0</v>
      </c>
      <c r="BL207" s="508">
        <f ca="1">IF($C$4=Lookups!$D$40,SUM(INDIRECT("'Yr1'!"&amp;ADDRESS(ROW(BL207),COLUMN(BL207))),INDIRECT("'Yr2'!"&amp;ADDRESS(ROW(BL207),COLUMN(BL207))),INDIRECT("'Yr3'!"&amp;ADDRESS(ROW(BL207),COLUMN(BL207)))),
IF($C$4=BL$7,SUMIFS('EE Inputs'!$L$9:$L$32,'EE Inputs'!$C$9:$C$32,$AM$6,'EE Inputs'!$D$9:$D$32,$C$4,'EE Inputs'!$E$9:$E$32,$B207),0))</f>
        <v>0</v>
      </c>
      <c r="BM207" s="508">
        <f ca="1">IF($C$4=Lookups!$D$40,SUM(INDIRECT("'Yr1'!"&amp;ADDRESS(ROW(BM207),COLUMN(BM207))),INDIRECT("'Yr2'!"&amp;ADDRESS(ROW(BM207),COLUMN(BM207))),INDIRECT("'Yr3'!"&amp;ADDRESS(ROW(BM207),COLUMN(BM207)))),
IF($C$4=BM$7,SUMIFS('EE Inputs'!$L$9:$L$32,'EE Inputs'!$C$9:$C$32,$AM$6,'EE Inputs'!$D$9:$D$32,$C$4,'EE Inputs'!$E$9:$E$32,$B207),0))</f>
        <v>0</v>
      </c>
      <c r="BN207" s="508"/>
      <c r="BO207" s="508"/>
      <c r="BP207" s="508">
        <f ca="1">IF($C$4=Year1,-PMT(Lookups!$E$17,25,NPV(Lookups!$E$17,AM207:BK207),0,1),IF($C$4=Year2,-PMT(Lookups!$F$17,25,NPV(Lookups!$F$17,AN207:BL207),0,1),IF($C$4=Year3,-PMT(Lookups!$G$17,25,NPV(Lookups!$G$17,AO207:BM207),0,1),-PMT(Lookups!$G$17,27,NPV(Lookups!$G$17,AM207:BM207),0,1))))</f>
        <v>7.9393018490625487E-3</v>
      </c>
      <c r="BS207" s="86" t="s">
        <v>402</v>
      </c>
      <c r="BT207" s="51" t="s">
        <v>17</v>
      </c>
    </row>
    <row r="208" spans="1:72" x14ac:dyDescent="0.25">
      <c r="A208" s="246"/>
      <c r="B208" s="243" t="str">
        <f t="shared" si="213"/>
        <v>Small C&amp;I</v>
      </c>
      <c r="C208" s="243" t="str">
        <f t="shared" si="213"/>
        <v>Rates</v>
      </c>
      <c r="D208" s="244" t="str">
        <f t="shared" si="213"/>
        <v>Increased Costs and Cost Shifting</v>
      </c>
      <c r="E208" s="86" t="s">
        <v>198</v>
      </c>
      <c r="F208" s="84" t="s">
        <v>182</v>
      </c>
      <c r="G208" s="506">
        <f ca="1">IFERROR((G190/G175)-(G190/G173),0)</f>
        <v>6.3988561097471086E-3</v>
      </c>
      <c r="H208" s="506">
        <f t="shared" ref="H208:AG208" ca="1" si="216">IFERROR((H190/H175)-(H190/H173),0)</f>
        <v>6.3988561097471086E-3</v>
      </c>
      <c r="I208" s="506">
        <f t="shared" ca="1" si="216"/>
        <v>6.3988561097471086E-3</v>
      </c>
      <c r="J208" s="506">
        <f t="shared" ca="1" si="216"/>
        <v>6.3988561097471086E-3</v>
      </c>
      <c r="K208" s="506">
        <f t="shared" ca="1" si="216"/>
        <v>6.3988561097471086E-3</v>
      </c>
      <c r="L208" s="506">
        <f t="shared" ca="1" si="216"/>
        <v>6.3988561097471086E-3</v>
      </c>
      <c r="M208" s="506">
        <f t="shared" ca="1" si="216"/>
        <v>6.3988561097471086E-3</v>
      </c>
      <c r="N208" s="506">
        <f t="shared" ca="1" si="216"/>
        <v>6.3988561097471086E-3</v>
      </c>
      <c r="O208" s="506">
        <f t="shared" ca="1" si="216"/>
        <v>6.3988561097471086E-3</v>
      </c>
      <c r="P208" s="506">
        <f t="shared" ca="1" si="216"/>
        <v>6.3988561097471086E-3</v>
      </c>
      <c r="Q208" s="506">
        <f t="shared" ca="1" si="216"/>
        <v>6.3988561097471086E-3</v>
      </c>
      <c r="R208" s="506">
        <f t="shared" ca="1" si="216"/>
        <v>6.3988561097471086E-3</v>
      </c>
      <c r="S208" s="506">
        <f t="shared" ca="1" si="216"/>
        <v>6.3988561097471086E-3</v>
      </c>
      <c r="T208" s="506">
        <f t="shared" ca="1" si="216"/>
        <v>6.3988561097471086E-3</v>
      </c>
      <c r="U208" s="506">
        <f t="shared" ca="1" si="216"/>
        <v>6.3988561097471086E-3</v>
      </c>
      <c r="V208" s="506">
        <f t="shared" ca="1" si="216"/>
        <v>6.3988561097471086E-3</v>
      </c>
      <c r="W208" s="506">
        <f t="shared" ca="1" si="216"/>
        <v>0</v>
      </c>
      <c r="X208" s="506">
        <f t="shared" ca="1" si="216"/>
        <v>0</v>
      </c>
      <c r="Y208" s="506">
        <f t="shared" ca="1" si="216"/>
        <v>0</v>
      </c>
      <c r="Z208" s="506">
        <f t="shared" ca="1" si="216"/>
        <v>0</v>
      </c>
      <c r="AA208" s="506">
        <f t="shared" ca="1" si="216"/>
        <v>0</v>
      </c>
      <c r="AB208" s="506">
        <f t="shared" ca="1" si="216"/>
        <v>0</v>
      </c>
      <c r="AC208" s="506">
        <f t="shared" ca="1" si="216"/>
        <v>0</v>
      </c>
      <c r="AD208" s="506">
        <f t="shared" ca="1" si="216"/>
        <v>0</v>
      </c>
      <c r="AE208" s="506">
        <f t="shared" ca="1" si="216"/>
        <v>0</v>
      </c>
      <c r="AF208" s="506">
        <f t="shared" ca="1" si="216"/>
        <v>0</v>
      </c>
      <c r="AG208" s="506">
        <f t="shared" ca="1" si="216"/>
        <v>0</v>
      </c>
      <c r="AH208" s="506"/>
      <c r="AI208" s="506"/>
      <c r="AJ208" s="506">
        <f ca="1">IF($C$4=Year1,-PMT(Lookups!$E$17,25,NPV(Lookups!$E$17,G208:AE208),0,1),IF($C$4=Year2,-PMT(Lookups!$F$17,25,NPV(Lookups!$F$17,H208:AF208),0,1),IF($C$4=Year3,-PMT(Lookups!$G$17,25,NPV(Lookups!$G$17,I208:AG208),0,1),-PMT(Lookups!$G$17,27,NPV(Lookups!$G$17,G208:AG208),0,1))))</f>
        <v>4.2886020326062483E-3</v>
      </c>
      <c r="AK208" s="507"/>
      <c r="AL208" s="507"/>
      <c r="AM208" s="508">
        <f ca="1">IFERROR((AM190/AM175)-(AM190/AM173),0)</f>
        <v>7.3283510478104885E-3</v>
      </c>
      <c r="AN208" s="508">
        <f t="shared" ref="AN208:BM208" ca="1" si="217">IFERROR((AN190/AN175)-(AN190/AN173),0)</f>
        <v>7.3283510478104885E-3</v>
      </c>
      <c r="AO208" s="508">
        <f t="shared" ca="1" si="217"/>
        <v>7.3283510478104885E-3</v>
      </c>
      <c r="AP208" s="508">
        <f t="shared" ca="1" si="217"/>
        <v>7.3283510478104885E-3</v>
      </c>
      <c r="AQ208" s="508">
        <f t="shared" ca="1" si="217"/>
        <v>7.3283510478104885E-3</v>
      </c>
      <c r="AR208" s="508">
        <f t="shared" ca="1" si="217"/>
        <v>7.3283510478104885E-3</v>
      </c>
      <c r="AS208" s="508">
        <f t="shared" ca="1" si="217"/>
        <v>7.3283510478104885E-3</v>
      </c>
      <c r="AT208" s="508">
        <f t="shared" ca="1" si="217"/>
        <v>7.3283510478104885E-3</v>
      </c>
      <c r="AU208" s="508">
        <f t="shared" ca="1" si="217"/>
        <v>7.3283510478104885E-3</v>
      </c>
      <c r="AV208" s="508">
        <f t="shared" ca="1" si="217"/>
        <v>7.3283510478104885E-3</v>
      </c>
      <c r="AW208" s="508">
        <f t="shared" ca="1" si="217"/>
        <v>7.3283510478104885E-3</v>
      </c>
      <c r="AX208" s="508">
        <f t="shared" ca="1" si="217"/>
        <v>7.3283510478104885E-3</v>
      </c>
      <c r="AY208" s="508">
        <f t="shared" ca="1" si="217"/>
        <v>7.3283510478104885E-3</v>
      </c>
      <c r="AZ208" s="508">
        <f t="shared" ca="1" si="217"/>
        <v>7.3283510478104885E-3</v>
      </c>
      <c r="BA208" s="508">
        <f t="shared" ca="1" si="217"/>
        <v>7.3283510478104885E-3</v>
      </c>
      <c r="BB208" s="508">
        <f t="shared" ca="1" si="217"/>
        <v>7.3283510478104885E-3</v>
      </c>
      <c r="BC208" s="508">
        <f t="shared" ca="1" si="217"/>
        <v>0</v>
      </c>
      <c r="BD208" s="508">
        <f t="shared" ca="1" si="217"/>
        <v>0</v>
      </c>
      <c r="BE208" s="508">
        <f t="shared" ca="1" si="217"/>
        <v>0</v>
      </c>
      <c r="BF208" s="508">
        <f t="shared" ca="1" si="217"/>
        <v>0</v>
      </c>
      <c r="BG208" s="508">
        <f t="shared" ca="1" si="217"/>
        <v>0</v>
      </c>
      <c r="BH208" s="508">
        <f t="shared" ca="1" si="217"/>
        <v>0</v>
      </c>
      <c r="BI208" s="508">
        <f t="shared" ca="1" si="217"/>
        <v>0</v>
      </c>
      <c r="BJ208" s="508">
        <f t="shared" ca="1" si="217"/>
        <v>0</v>
      </c>
      <c r="BK208" s="508">
        <f t="shared" ca="1" si="217"/>
        <v>0</v>
      </c>
      <c r="BL208" s="508">
        <f t="shared" ca="1" si="217"/>
        <v>0</v>
      </c>
      <c r="BM208" s="508">
        <f t="shared" ca="1" si="217"/>
        <v>0</v>
      </c>
      <c r="BN208" s="508"/>
      <c r="BO208" s="508"/>
      <c r="BP208" s="508">
        <f ca="1">IF($C$4=Year1,-PMT(Lookups!$E$17,25,NPV(Lookups!$E$17,AM208:BK208),0,1),IF($C$4=Year2,-PMT(Lookups!$F$17,25,NPV(Lookups!$F$17,AN208:BL208),0,1),IF($C$4=Year3,-PMT(Lookups!$G$17,25,NPV(Lookups!$G$17,AO208:BM208),0,1),-PMT(Lookups!$G$17,27,NPV(Lookups!$G$17,AM208:BM208),0,1))))</f>
        <v>4.9115624199485685E-3</v>
      </c>
      <c r="BS208" s="84" t="s">
        <v>103</v>
      </c>
      <c r="BT208" s="51" t="s">
        <v>17</v>
      </c>
    </row>
    <row r="209" spans="1:72" x14ac:dyDescent="0.25">
      <c r="B209" s="243" t="str">
        <f t="shared" si="213"/>
        <v>Small C&amp;I</v>
      </c>
      <c r="C209" s="243" t="str">
        <f t="shared" si="213"/>
        <v>Rates</v>
      </c>
      <c r="D209" s="114" t="s">
        <v>110</v>
      </c>
      <c r="E209" s="86"/>
      <c r="F209" s="86"/>
      <c r="G209" s="238"/>
      <c r="H209" s="238"/>
      <c r="I209" s="238"/>
      <c r="J209" s="238"/>
      <c r="K209" s="238"/>
      <c r="L209" s="238"/>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49"/>
      <c r="AI209" s="238"/>
      <c r="AJ209" s="49"/>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S209" s="84"/>
      <c r="BT209" s="51" t="s">
        <v>17</v>
      </c>
    </row>
    <row r="210" spans="1:72" x14ac:dyDescent="0.25">
      <c r="B210" s="243" t="str">
        <f t="shared" si="213"/>
        <v>Small C&amp;I</v>
      </c>
      <c r="C210" s="243" t="str">
        <f t="shared" si="213"/>
        <v>Rates</v>
      </c>
      <c r="D210" s="244" t="str">
        <f>D209</f>
        <v>Rates after DSM Scenario</v>
      </c>
      <c r="E210" s="86" t="s">
        <v>26</v>
      </c>
      <c r="F210" s="84" t="s">
        <v>182</v>
      </c>
      <c r="G210" s="506">
        <f ca="1">IFERROR(G190/G175,0)</f>
        <v>0.39785934430033792</v>
      </c>
      <c r="H210" s="506">
        <f t="shared" ref="H210:AG210" ca="1" si="218">IFERROR(H190/H175,0)</f>
        <v>0.39785934430033792</v>
      </c>
      <c r="I210" s="506">
        <f t="shared" ca="1" si="218"/>
        <v>0.39785934430033792</v>
      </c>
      <c r="J210" s="506">
        <f t="shared" ca="1" si="218"/>
        <v>0.39785934430033792</v>
      </c>
      <c r="K210" s="506">
        <f t="shared" ca="1" si="218"/>
        <v>0.39785934430033792</v>
      </c>
      <c r="L210" s="506">
        <f t="shared" ca="1" si="218"/>
        <v>0.39785934430033792</v>
      </c>
      <c r="M210" s="506">
        <f t="shared" ca="1" si="218"/>
        <v>0.39785934430033792</v>
      </c>
      <c r="N210" s="506">
        <f t="shared" ca="1" si="218"/>
        <v>0.39785934430033792</v>
      </c>
      <c r="O210" s="506">
        <f t="shared" ca="1" si="218"/>
        <v>0.39785934430033792</v>
      </c>
      <c r="P210" s="506">
        <f t="shared" ca="1" si="218"/>
        <v>0.39785934430033792</v>
      </c>
      <c r="Q210" s="506">
        <f t="shared" ca="1" si="218"/>
        <v>0.39785934430033792</v>
      </c>
      <c r="R210" s="506">
        <f t="shared" ca="1" si="218"/>
        <v>0.39785934430033792</v>
      </c>
      <c r="S210" s="506">
        <f t="shared" ca="1" si="218"/>
        <v>0.39785934430033792</v>
      </c>
      <c r="T210" s="506">
        <f t="shared" ca="1" si="218"/>
        <v>0.39785934430033792</v>
      </c>
      <c r="U210" s="506">
        <f t="shared" ca="1" si="218"/>
        <v>0.39785934430033792</v>
      </c>
      <c r="V210" s="506">
        <f t="shared" ca="1" si="218"/>
        <v>0.39785934430033792</v>
      </c>
      <c r="W210" s="506">
        <f t="shared" ca="1" si="218"/>
        <v>0.39211256243681192</v>
      </c>
      <c r="X210" s="506">
        <f t="shared" ca="1" si="218"/>
        <v>0.39211256243681192</v>
      </c>
      <c r="Y210" s="506">
        <f t="shared" ca="1" si="218"/>
        <v>0.39211256243681192</v>
      </c>
      <c r="Z210" s="506">
        <f t="shared" ca="1" si="218"/>
        <v>0.39211256243681192</v>
      </c>
      <c r="AA210" s="506">
        <f t="shared" ca="1" si="218"/>
        <v>0.39211256243681192</v>
      </c>
      <c r="AB210" s="506">
        <f t="shared" ca="1" si="218"/>
        <v>0.39211256243681192</v>
      </c>
      <c r="AC210" s="506">
        <f t="shared" ca="1" si="218"/>
        <v>0.39211256243681192</v>
      </c>
      <c r="AD210" s="506">
        <f t="shared" ca="1" si="218"/>
        <v>0.39211256243681192</v>
      </c>
      <c r="AE210" s="506">
        <f t="shared" ca="1" si="218"/>
        <v>0.39211256243681192</v>
      </c>
      <c r="AF210" s="506">
        <f t="shared" ca="1" si="218"/>
        <v>0.39211256243681192</v>
      </c>
      <c r="AG210" s="506">
        <f t="shared" ca="1" si="218"/>
        <v>0.39211256243681192</v>
      </c>
      <c r="AH210" s="509"/>
      <c r="AI210" s="506"/>
      <c r="AJ210" s="509">
        <f ca="1">IF($C$4=Year1,-PMT(Lookups!$E$17,25,NPV(Lookups!$E$17,G210:AE210),0,1),IF($C$4=Year2,-PMT(Lookups!$F$17,25,NPV(Lookups!$F$17,H210:AF210),0,1),IF($C$4=Year3,-PMT(Lookups!$G$17,25,NPV(Lookups!$G$17,I210:AG210),0,1),-PMT(Lookups!$G$17,27,NPV(Lookups!$G$17,G210:AG210),0,1))))</f>
        <v>0.39049544675179831</v>
      </c>
      <c r="AK210" s="507"/>
      <c r="AL210" s="507"/>
      <c r="AM210" s="508">
        <f ca="1">IFERROR(AM190/AM175,0)</f>
        <v>0.39869568577465536</v>
      </c>
      <c r="AN210" s="508">
        <f t="shared" ref="AN210:BM210" ca="1" si="219">IFERROR(AN190/AN175,0)</f>
        <v>0.39869568577465536</v>
      </c>
      <c r="AO210" s="508">
        <f t="shared" ca="1" si="219"/>
        <v>0.39869568577465536</v>
      </c>
      <c r="AP210" s="508">
        <f t="shared" ca="1" si="219"/>
        <v>0.39869568577465536</v>
      </c>
      <c r="AQ210" s="508">
        <f t="shared" ca="1" si="219"/>
        <v>0.39869568577465536</v>
      </c>
      <c r="AR210" s="508">
        <f t="shared" ca="1" si="219"/>
        <v>0.39869568577465536</v>
      </c>
      <c r="AS210" s="508">
        <f t="shared" ca="1" si="219"/>
        <v>0.39869568577465536</v>
      </c>
      <c r="AT210" s="508">
        <f t="shared" ca="1" si="219"/>
        <v>0.39869568577465536</v>
      </c>
      <c r="AU210" s="508">
        <f t="shared" ca="1" si="219"/>
        <v>0.39869568577465536</v>
      </c>
      <c r="AV210" s="508">
        <f t="shared" ca="1" si="219"/>
        <v>0.39869568577465536</v>
      </c>
      <c r="AW210" s="508">
        <f t="shared" ca="1" si="219"/>
        <v>0.39869568577465536</v>
      </c>
      <c r="AX210" s="508">
        <f t="shared" ca="1" si="219"/>
        <v>0.39869568577465536</v>
      </c>
      <c r="AY210" s="508">
        <f t="shared" ca="1" si="219"/>
        <v>0.39869568577465536</v>
      </c>
      <c r="AZ210" s="508">
        <f t="shared" ca="1" si="219"/>
        <v>0.39869568577465536</v>
      </c>
      <c r="BA210" s="508">
        <f t="shared" ca="1" si="219"/>
        <v>0.39869568577465536</v>
      </c>
      <c r="BB210" s="508">
        <f t="shared" ca="1" si="219"/>
        <v>0.39869568577465536</v>
      </c>
      <c r="BC210" s="508">
        <f t="shared" ca="1" si="219"/>
        <v>0.39211256243681192</v>
      </c>
      <c r="BD210" s="508">
        <f t="shared" ca="1" si="219"/>
        <v>0.39211256243681192</v>
      </c>
      <c r="BE210" s="508">
        <f t="shared" ca="1" si="219"/>
        <v>0.39211256243681192</v>
      </c>
      <c r="BF210" s="508">
        <f t="shared" ca="1" si="219"/>
        <v>0.39211256243681192</v>
      </c>
      <c r="BG210" s="508">
        <f t="shared" ca="1" si="219"/>
        <v>0.39211256243681192</v>
      </c>
      <c r="BH210" s="508">
        <f t="shared" ca="1" si="219"/>
        <v>0.39211256243681192</v>
      </c>
      <c r="BI210" s="508">
        <f t="shared" ca="1" si="219"/>
        <v>0.39211256243681192</v>
      </c>
      <c r="BJ210" s="508">
        <f t="shared" ca="1" si="219"/>
        <v>0.39211256243681192</v>
      </c>
      <c r="BK210" s="508">
        <f t="shared" ca="1" si="219"/>
        <v>0.39211256243681192</v>
      </c>
      <c r="BL210" s="508">
        <f t="shared" ca="1" si="219"/>
        <v>0.39211256243681192</v>
      </c>
      <c r="BM210" s="508">
        <f t="shared" ca="1" si="219"/>
        <v>0.39211256243681192</v>
      </c>
      <c r="BN210" s="508"/>
      <c r="BO210" s="508"/>
      <c r="BP210" s="508">
        <f ca="1">IF($C$4=Year1,-PMT(Lookups!$E$17,25,NPV(Lookups!$E$17,AM210:BK210),0,1),IF($C$4=Year2,-PMT(Lookups!$F$17,25,NPV(Lookups!$F$17,AN210:BL210),0,1),IF($C$4=Year3,-PMT(Lookups!$G$17,25,NPV(Lookups!$G$17,AO210:BM210),0,1),-PMT(Lookups!$G$17,27,NPV(Lookups!$G$17,AM210:BM210),0,1))))</f>
        <v>0.39105597439692658</v>
      </c>
      <c r="BS210" s="84" t="s">
        <v>238</v>
      </c>
      <c r="BT210" s="51" t="s">
        <v>17</v>
      </c>
    </row>
    <row r="211" spans="1:72" x14ac:dyDescent="0.25">
      <c r="B211" s="243" t="str">
        <f t="shared" si="213"/>
        <v>Small C&amp;I</v>
      </c>
      <c r="C211" s="243" t="str">
        <f t="shared" si="213"/>
        <v>Rates</v>
      </c>
      <c r="D211" s="244" t="str">
        <f>D210</f>
        <v>Rates after DSM Scenario</v>
      </c>
      <c r="E211" s="84" t="s">
        <v>407</v>
      </c>
      <c r="F211" s="84" t="s">
        <v>182</v>
      </c>
      <c r="G211" s="506">
        <f ca="1">IFERROR(G191/G175,0)</f>
        <v>5.2849997707929237E-3</v>
      </c>
      <c r="H211" s="506">
        <f t="shared" ref="H211:AG211" ca="1" si="220">IFERROR(H191/H175,0)</f>
        <v>5.2849997707929237E-3</v>
      </c>
      <c r="I211" s="506">
        <f t="shared" ca="1" si="220"/>
        <v>5.2849997707929237E-3</v>
      </c>
      <c r="J211" s="506">
        <f t="shared" ca="1" si="220"/>
        <v>5.2849997707929237E-3</v>
      </c>
      <c r="K211" s="506">
        <f t="shared" ca="1" si="220"/>
        <v>5.2849997707929237E-3</v>
      </c>
      <c r="L211" s="506">
        <f t="shared" ca="1" si="220"/>
        <v>5.2849997707929237E-3</v>
      </c>
      <c r="M211" s="506">
        <f t="shared" ca="1" si="220"/>
        <v>5.2849997707929237E-3</v>
      </c>
      <c r="N211" s="506">
        <f t="shared" ca="1" si="220"/>
        <v>5.2849997707929237E-3</v>
      </c>
      <c r="O211" s="506">
        <f t="shared" ca="1" si="220"/>
        <v>5.2849997707929237E-3</v>
      </c>
      <c r="P211" s="506">
        <f t="shared" ca="1" si="220"/>
        <v>5.2849997707929237E-3</v>
      </c>
      <c r="Q211" s="506">
        <f t="shared" ca="1" si="220"/>
        <v>5.2849997707929237E-3</v>
      </c>
      <c r="R211" s="506">
        <f t="shared" ca="1" si="220"/>
        <v>5.2849997707929237E-3</v>
      </c>
      <c r="S211" s="506">
        <f t="shared" ca="1" si="220"/>
        <v>5.2849997707929237E-3</v>
      </c>
      <c r="T211" s="506">
        <f t="shared" ca="1" si="220"/>
        <v>5.2849997707929237E-3</v>
      </c>
      <c r="U211" s="506">
        <f t="shared" ca="1" si="220"/>
        <v>5.2849997707929237E-3</v>
      </c>
      <c r="V211" s="506">
        <f t="shared" ca="1" si="220"/>
        <v>5.2849997707929237E-3</v>
      </c>
      <c r="W211" s="506">
        <f t="shared" ca="1" si="220"/>
        <v>5.2000000000000032E-3</v>
      </c>
      <c r="X211" s="506">
        <f t="shared" ca="1" si="220"/>
        <v>5.2000000000000032E-3</v>
      </c>
      <c r="Y211" s="506">
        <f t="shared" ca="1" si="220"/>
        <v>5.2000000000000032E-3</v>
      </c>
      <c r="Z211" s="506">
        <f t="shared" ca="1" si="220"/>
        <v>5.2000000000000032E-3</v>
      </c>
      <c r="AA211" s="506">
        <f t="shared" ca="1" si="220"/>
        <v>5.2000000000000032E-3</v>
      </c>
      <c r="AB211" s="506">
        <f t="shared" ca="1" si="220"/>
        <v>5.2000000000000032E-3</v>
      </c>
      <c r="AC211" s="506">
        <f t="shared" ca="1" si="220"/>
        <v>5.2000000000000032E-3</v>
      </c>
      <c r="AD211" s="506">
        <f t="shared" ca="1" si="220"/>
        <v>5.2000000000000032E-3</v>
      </c>
      <c r="AE211" s="506">
        <f t="shared" ca="1" si="220"/>
        <v>5.2000000000000032E-3</v>
      </c>
      <c r="AF211" s="506">
        <f t="shared" ca="1" si="220"/>
        <v>5.2000000000000032E-3</v>
      </c>
      <c r="AG211" s="506">
        <f t="shared" ca="1" si="220"/>
        <v>5.2000000000000032E-3</v>
      </c>
      <c r="AH211" s="509"/>
      <c r="AI211" s="506"/>
      <c r="AJ211" s="509">
        <f ca="1">IF($C$4=Year1,-PMT(Lookups!$E$17,25,NPV(Lookups!$E$17,G211:AE211),0,1),IF($C$4=Year2,-PMT(Lookups!$F$17,25,NPV(Lookups!$F$17,H211:AF211),0,1),IF($C$4=Year3,-PMT(Lookups!$G$17,25,NPV(Lookups!$G$17,I211:AG211),0,1),-PMT(Lookups!$G$17,27,NPV(Lookups!$G$17,G211:AG211),0,1))))</f>
        <v>5.184445021791384E-3</v>
      </c>
      <c r="AK211" s="507"/>
      <c r="AL211" s="507"/>
      <c r="AM211" s="508">
        <f ca="1">IFERROR(AM191/AM175,0)</f>
        <v>5.2973699695075798E-3</v>
      </c>
      <c r="AN211" s="508">
        <f t="shared" ref="AN211:BM211" ca="1" si="221">IFERROR(AN191/AN175,0)</f>
        <v>5.2973699695075798E-3</v>
      </c>
      <c r="AO211" s="508">
        <f t="shared" ca="1" si="221"/>
        <v>5.2973699695075798E-3</v>
      </c>
      <c r="AP211" s="508">
        <f t="shared" ca="1" si="221"/>
        <v>5.2973699695075798E-3</v>
      </c>
      <c r="AQ211" s="508">
        <f t="shared" ca="1" si="221"/>
        <v>5.2973699695075798E-3</v>
      </c>
      <c r="AR211" s="508">
        <f t="shared" ca="1" si="221"/>
        <v>5.2973699695075798E-3</v>
      </c>
      <c r="AS211" s="508">
        <f t="shared" ca="1" si="221"/>
        <v>5.2973699695075798E-3</v>
      </c>
      <c r="AT211" s="508">
        <f t="shared" ca="1" si="221"/>
        <v>5.2973699695075798E-3</v>
      </c>
      <c r="AU211" s="508">
        <f t="shared" ca="1" si="221"/>
        <v>5.2973699695075798E-3</v>
      </c>
      <c r="AV211" s="508">
        <f t="shared" ca="1" si="221"/>
        <v>5.2973699695075798E-3</v>
      </c>
      <c r="AW211" s="508">
        <f t="shared" ca="1" si="221"/>
        <v>5.2973699695075798E-3</v>
      </c>
      <c r="AX211" s="508">
        <f t="shared" ca="1" si="221"/>
        <v>5.2973699695075798E-3</v>
      </c>
      <c r="AY211" s="508">
        <f t="shared" ca="1" si="221"/>
        <v>5.2973699695075798E-3</v>
      </c>
      <c r="AZ211" s="508">
        <f t="shared" ca="1" si="221"/>
        <v>5.2973699695075798E-3</v>
      </c>
      <c r="BA211" s="508">
        <f t="shared" ca="1" si="221"/>
        <v>5.2973699695075798E-3</v>
      </c>
      <c r="BB211" s="508">
        <f t="shared" ca="1" si="221"/>
        <v>5.2973699695075798E-3</v>
      </c>
      <c r="BC211" s="508">
        <f t="shared" ca="1" si="221"/>
        <v>5.2000000000000032E-3</v>
      </c>
      <c r="BD211" s="508">
        <f t="shared" ca="1" si="221"/>
        <v>5.2000000000000032E-3</v>
      </c>
      <c r="BE211" s="508">
        <f t="shared" ca="1" si="221"/>
        <v>5.2000000000000032E-3</v>
      </c>
      <c r="BF211" s="508">
        <f t="shared" ca="1" si="221"/>
        <v>5.2000000000000032E-3</v>
      </c>
      <c r="BG211" s="508">
        <f t="shared" ca="1" si="221"/>
        <v>5.2000000000000032E-3</v>
      </c>
      <c r="BH211" s="508">
        <f t="shared" ca="1" si="221"/>
        <v>5.2000000000000032E-3</v>
      </c>
      <c r="BI211" s="508">
        <f t="shared" ca="1" si="221"/>
        <v>5.2000000000000032E-3</v>
      </c>
      <c r="BJ211" s="508">
        <f t="shared" ca="1" si="221"/>
        <v>5.2000000000000032E-3</v>
      </c>
      <c r="BK211" s="508">
        <f t="shared" ca="1" si="221"/>
        <v>5.2000000000000032E-3</v>
      </c>
      <c r="BL211" s="508">
        <f t="shared" ca="1" si="221"/>
        <v>5.2000000000000032E-3</v>
      </c>
      <c r="BM211" s="508">
        <f t="shared" ca="1" si="221"/>
        <v>5.2000000000000032E-3</v>
      </c>
      <c r="BN211" s="508"/>
      <c r="BO211" s="508"/>
      <c r="BP211" s="508">
        <f ca="1">IF($C$4=Year1,-PMT(Lookups!$E$17,25,NPV(Lookups!$E$17,AM211:BK211),0,1),IF($C$4=Year2,-PMT(Lookups!$F$17,25,NPV(Lookups!$F$17,AN211:BL211),0,1),IF($C$4=Year3,-PMT(Lookups!$G$17,25,NPV(Lookups!$G$17,AO211:BM211),0,1),-PMT(Lookups!$G$17,27,NPV(Lookups!$G$17,AM211:BM211),0,1))))</f>
        <v>5.1927357003816715E-3</v>
      </c>
      <c r="BS211" s="84" t="s">
        <v>237</v>
      </c>
      <c r="BT211" s="51" t="s">
        <v>17</v>
      </c>
    </row>
    <row r="212" spans="1:72" x14ac:dyDescent="0.25">
      <c r="B212" s="243" t="str">
        <f t="shared" si="213"/>
        <v>Small C&amp;I</v>
      </c>
      <c r="C212" s="243" t="str">
        <f t="shared" si="213"/>
        <v>Rates</v>
      </c>
      <c r="D212" s="244" t="str">
        <f t="shared" si="213"/>
        <v>Rates after DSM Scenario</v>
      </c>
      <c r="E212" s="84" t="s">
        <v>197</v>
      </c>
      <c r="F212" s="84" t="s">
        <v>182</v>
      </c>
      <c r="G212" s="506">
        <f ca="1">IFERROR(G198+G204,0)</f>
        <v>0.61861089912435252</v>
      </c>
      <c r="H212" s="506">
        <f t="shared" ref="H212:AG212" ca="1" si="222">IFERROR(H198+H204,0)</f>
        <v>0.61861089912435252</v>
      </c>
      <c r="I212" s="506">
        <f t="shared" ca="1" si="222"/>
        <v>0.61861089912435252</v>
      </c>
      <c r="J212" s="506">
        <f t="shared" ca="1" si="222"/>
        <v>0.61861089912435252</v>
      </c>
      <c r="K212" s="506">
        <f t="shared" ca="1" si="222"/>
        <v>0.61861089912435252</v>
      </c>
      <c r="L212" s="506">
        <f t="shared" ca="1" si="222"/>
        <v>0.61861089912435252</v>
      </c>
      <c r="M212" s="506">
        <f t="shared" ca="1" si="222"/>
        <v>0.61861089912435252</v>
      </c>
      <c r="N212" s="506">
        <f t="shared" ca="1" si="222"/>
        <v>0.61861089912435252</v>
      </c>
      <c r="O212" s="506">
        <f t="shared" ca="1" si="222"/>
        <v>0.61861089912435252</v>
      </c>
      <c r="P212" s="506">
        <f t="shared" ca="1" si="222"/>
        <v>0.61861089912435252</v>
      </c>
      <c r="Q212" s="506">
        <f t="shared" ca="1" si="222"/>
        <v>0.61861089912435252</v>
      </c>
      <c r="R212" s="506">
        <f t="shared" ca="1" si="222"/>
        <v>0.61861089912435252</v>
      </c>
      <c r="S212" s="506">
        <f t="shared" ca="1" si="222"/>
        <v>0.61861089912435252</v>
      </c>
      <c r="T212" s="506">
        <f t="shared" ca="1" si="222"/>
        <v>0.61861089912435252</v>
      </c>
      <c r="U212" s="506">
        <f t="shared" ca="1" si="222"/>
        <v>0.61861089912435252</v>
      </c>
      <c r="V212" s="506">
        <f t="shared" ca="1" si="222"/>
        <v>0.61861089912435252</v>
      </c>
      <c r="W212" s="506">
        <f t="shared" ca="1" si="222"/>
        <v>0.61899999999999999</v>
      </c>
      <c r="X212" s="506">
        <f t="shared" ca="1" si="222"/>
        <v>0.61899999999999999</v>
      </c>
      <c r="Y212" s="506">
        <f t="shared" ca="1" si="222"/>
        <v>0.61899999999999999</v>
      </c>
      <c r="Z212" s="506">
        <f t="shared" ca="1" si="222"/>
        <v>0.61899999999999999</v>
      </c>
      <c r="AA212" s="506">
        <f t="shared" ca="1" si="222"/>
        <v>0.61899999999999999</v>
      </c>
      <c r="AB212" s="506">
        <f t="shared" ca="1" si="222"/>
        <v>0.61899999999999999</v>
      </c>
      <c r="AC212" s="506">
        <f t="shared" ca="1" si="222"/>
        <v>0.61899999999999999</v>
      </c>
      <c r="AD212" s="506">
        <f t="shared" ca="1" si="222"/>
        <v>0.61899999999999999</v>
      </c>
      <c r="AE212" s="506">
        <f t="shared" ca="1" si="222"/>
        <v>0.61899999999999999</v>
      </c>
      <c r="AF212" s="506">
        <f t="shared" ca="1" si="222"/>
        <v>0.61899999999999999</v>
      </c>
      <c r="AG212" s="506">
        <f t="shared" ca="1" si="222"/>
        <v>0.61899999999999999</v>
      </c>
      <c r="AH212" s="509"/>
      <c r="AI212" s="506"/>
      <c r="AJ212" s="509">
        <f ca="1">IF($C$4=Year1,-PMT(Lookups!$E$17,25,NPV(Lookups!$E$17,G212:AE212),0,1),IF($C$4=Year2,-PMT(Lookups!$F$17,25,NPV(Lookups!$F$17,H212:AF212),0,1),IF($C$4=Year3,-PMT(Lookups!$G$17,25,NPV(Lookups!$G$17,I212:AG212),0,1),-PMT(Lookups!$G$17,27,NPV(Lookups!$G$17,G212:AG212),0,1))))</f>
        <v>0.61010619256705434</v>
      </c>
      <c r="AK212" s="507"/>
      <c r="AL212" s="507"/>
      <c r="AM212" s="508">
        <f ca="1">IFERROR(AM198+AM204,0)</f>
        <v>0.61855427244045791</v>
      </c>
      <c r="AN212" s="508">
        <f t="shared" ref="AN212:BM212" ca="1" si="223">IFERROR(AN198+AN204,0)</f>
        <v>0.61855427244045791</v>
      </c>
      <c r="AO212" s="508">
        <f t="shared" ca="1" si="223"/>
        <v>0.61855427244045791</v>
      </c>
      <c r="AP212" s="508">
        <f t="shared" ca="1" si="223"/>
        <v>0.61855427244045791</v>
      </c>
      <c r="AQ212" s="508">
        <f t="shared" ca="1" si="223"/>
        <v>0.61855427244045791</v>
      </c>
      <c r="AR212" s="508">
        <f t="shared" ca="1" si="223"/>
        <v>0.61855427244045791</v>
      </c>
      <c r="AS212" s="508">
        <f t="shared" ca="1" si="223"/>
        <v>0.61855427244045791</v>
      </c>
      <c r="AT212" s="508">
        <f t="shared" ca="1" si="223"/>
        <v>0.61855427244045791</v>
      </c>
      <c r="AU212" s="508">
        <f t="shared" ca="1" si="223"/>
        <v>0.61855427244045791</v>
      </c>
      <c r="AV212" s="508">
        <f t="shared" ca="1" si="223"/>
        <v>0.61855427244045791</v>
      </c>
      <c r="AW212" s="508">
        <f t="shared" ca="1" si="223"/>
        <v>0.61855427244045791</v>
      </c>
      <c r="AX212" s="508">
        <f t="shared" ca="1" si="223"/>
        <v>0.61855427244045791</v>
      </c>
      <c r="AY212" s="508">
        <f t="shared" ca="1" si="223"/>
        <v>0.61855427244045791</v>
      </c>
      <c r="AZ212" s="508">
        <f t="shared" ca="1" si="223"/>
        <v>0.61855427244045791</v>
      </c>
      <c r="BA212" s="508">
        <f t="shared" ca="1" si="223"/>
        <v>0.61855427244045791</v>
      </c>
      <c r="BB212" s="508">
        <f t="shared" ca="1" si="223"/>
        <v>0.61855427244045791</v>
      </c>
      <c r="BC212" s="508">
        <f t="shared" ca="1" si="223"/>
        <v>0.61899999999999999</v>
      </c>
      <c r="BD212" s="508">
        <f t="shared" ca="1" si="223"/>
        <v>0.61899999999999999</v>
      </c>
      <c r="BE212" s="508">
        <f t="shared" ca="1" si="223"/>
        <v>0.61899999999999999</v>
      </c>
      <c r="BF212" s="508">
        <f t="shared" ca="1" si="223"/>
        <v>0.61899999999999999</v>
      </c>
      <c r="BG212" s="508">
        <f t="shared" ca="1" si="223"/>
        <v>0.61899999999999999</v>
      </c>
      <c r="BH212" s="508">
        <f t="shared" ca="1" si="223"/>
        <v>0.61899999999999999</v>
      </c>
      <c r="BI212" s="508">
        <f t="shared" ca="1" si="223"/>
        <v>0.61899999999999999</v>
      </c>
      <c r="BJ212" s="508">
        <f t="shared" ca="1" si="223"/>
        <v>0.61899999999999999</v>
      </c>
      <c r="BK212" s="508">
        <f t="shared" ca="1" si="223"/>
        <v>0.61899999999999999</v>
      </c>
      <c r="BL212" s="508">
        <f t="shared" ca="1" si="223"/>
        <v>0.61899999999999999</v>
      </c>
      <c r="BM212" s="508">
        <f t="shared" ca="1" si="223"/>
        <v>0.61899999999999999</v>
      </c>
      <c r="BN212" s="508"/>
      <c r="BO212" s="508"/>
      <c r="BP212" s="508">
        <f ca="1">IF($C$4=Year1,-PMT(Lookups!$E$17,25,NPV(Lookups!$E$17,AM212:BK212),0,1),IF($C$4=Year2,-PMT(Lookups!$F$17,25,NPV(Lookups!$F$17,AN212:BL212),0,1),IF($C$4=Year3,-PMT(Lookups!$G$17,25,NPV(Lookups!$G$17,AO212:BM212),0,1),-PMT(Lookups!$G$17,27,NPV(Lookups!$G$17,AM212:BM212),0,1))))</f>
        <v>0.6100682405788419</v>
      </c>
      <c r="BS212" s="86" t="s">
        <v>236</v>
      </c>
      <c r="BT212" s="51" t="s">
        <v>17</v>
      </c>
    </row>
    <row r="213" spans="1:72" x14ac:dyDescent="0.25">
      <c r="B213" s="243" t="str">
        <f t="shared" si="213"/>
        <v>Small C&amp;I</v>
      </c>
      <c r="C213" s="243" t="str">
        <f t="shared" si="213"/>
        <v>Rates</v>
      </c>
      <c r="D213" s="244" t="str">
        <f t="shared" si="213"/>
        <v>Rates after DSM Scenario</v>
      </c>
      <c r="E213" s="84" t="s">
        <v>406</v>
      </c>
      <c r="F213" s="84" t="s">
        <v>182</v>
      </c>
      <c r="G213" s="509">
        <f ca="1">G207</f>
        <v>0.14245258051119242</v>
      </c>
      <c r="H213" s="509">
        <f t="shared" ref="H213:AG213" ca="1" si="224">H207</f>
        <v>0</v>
      </c>
      <c r="I213" s="509">
        <f t="shared" ca="1" si="224"/>
        <v>0</v>
      </c>
      <c r="J213" s="509">
        <f t="shared" ca="1" si="224"/>
        <v>0</v>
      </c>
      <c r="K213" s="509">
        <f t="shared" ca="1" si="224"/>
        <v>0</v>
      </c>
      <c r="L213" s="509">
        <f t="shared" ca="1" si="224"/>
        <v>0</v>
      </c>
      <c r="M213" s="509">
        <f t="shared" ca="1" si="224"/>
        <v>0</v>
      </c>
      <c r="N213" s="509">
        <f t="shared" ca="1" si="224"/>
        <v>0</v>
      </c>
      <c r="O213" s="509">
        <f t="shared" ca="1" si="224"/>
        <v>0</v>
      </c>
      <c r="P213" s="509">
        <f t="shared" ca="1" si="224"/>
        <v>0</v>
      </c>
      <c r="Q213" s="509">
        <f t="shared" ca="1" si="224"/>
        <v>0</v>
      </c>
      <c r="R213" s="509">
        <f t="shared" ca="1" si="224"/>
        <v>0</v>
      </c>
      <c r="S213" s="509">
        <f t="shared" ca="1" si="224"/>
        <v>0</v>
      </c>
      <c r="T213" s="509">
        <f t="shared" ca="1" si="224"/>
        <v>0</v>
      </c>
      <c r="U213" s="509">
        <f t="shared" ca="1" si="224"/>
        <v>0</v>
      </c>
      <c r="V213" s="509">
        <f t="shared" ca="1" si="224"/>
        <v>0</v>
      </c>
      <c r="W213" s="509">
        <f t="shared" ca="1" si="224"/>
        <v>0</v>
      </c>
      <c r="X213" s="509">
        <f t="shared" ca="1" si="224"/>
        <v>0</v>
      </c>
      <c r="Y213" s="509">
        <f t="shared" ca="1" si="224"/>
        <v>0</v>
      </c>
      <c r="Z213" s="509">
        <f t="shared" ca="1" si="224"/>
        <v>0</v>
      </c>
      <c r="AA213" s="509">
        <f t="shared" ca="1" si="224"/>
        <v>0</v>
      </c>
      <c r="AB213" s="509">
        <f t="shared" ca="1" si="224"/>
        <v>0</v>
      </c>
      <c r="AC213" s="509">
        <f t="shared" ca="1" si="224"/>
        <v>0</v>
      </c>
      <c r="AD213" s="509">
        <f t="shared" ca="1" si="224"/>
        <v>0</v>
      </c>
      <c r="AE213" s="509">
        <f t="shared" ca="1" si="224"/>
        <v>0</v>
      </c>
      <c r="AF213" s="509">
        <f t="shared" ca="1" si="224"/>
        <v>0</v>
      </c>
      <c r="AG213" s="509">
        <f t="shared" ca="1" si="224"/>
        <v>0</v>
      </c>
      <c r="AH213" s="509"/>
      <c r="AI213" s="509"/>
      <c r="AJ213" s="509">
        <f ca="1">IF($C$4=Year1,-PMT(Lookups!$E$17,25,NPV(Lookups!$E$17,G213:AE213),0,1),IF($C$4=Year2,-PMT(Lookups!$F$17,25,NPV(Lookups!$F$17,H213:AF213),0,1),IF($C$4=Year3,-PMT(Lookups!$G$17,25,NPV(Lookups!$G$17,I213:AG213),0,1),-PMT(Lookups!$G$17,27,NPV(Lookups!$G$17,G213:AG213),0,1))))</f>
        <v>6.6160848742187897E-3</v>
      </c>
      <c r="AK213" s="507"/>
      <c r="AL213" s="507"/>
      <c r="AM213" s="508">
        <f ca="1">AM207</f>
        <v>0.17094309661343091</v>
      </c>
      <c r="AN213" s="508">
        <f t="shared" ref="AN213:BM213" ca="1" si="225">AN207</f>
        <v>0</v>
      </c>
      <c r="AO213" s="508">
        <f t="shared" ca="1" si="225"/>
        <v>0</v>
      </c>
      <c r="AP213" s="508">
        <f t="shared" ca="1" si="225"/>
        <v>0</v>
      </c>
      <c r="AQ213" s="508">
        <f t="shared" ca="1" si="225"/>
        <v>0</v>
      </c>
      <c r="AR213" s="508">
        <f t="shared" ca="1" si="225"/>
        <v>0</v>
      </c>
      <c r="AS213" s="508">
        <f t="shared" ca="1" si="225"/>
        <v>0</v>
      </c>
      <c r="AT213" s="508">
        <f t="shared" ca="1" si="225"/>
        <v>0</v>
      </c>
      <c r="AU213" s="508">
        <f t="shared" ca="1" si="225"/>
        <v>0</v>
      </c>
      <c r="AV213" s="508">
        <f t="shared" ca="1" si="225"/>
        <v>0</v>
      </c>
      <c r="AW213" s="508">
        <f t="shared" ca="1" si="225"/>
        <v>0</v>
      </c>
      <c r="AX213" s="508">
        <f t="shared" ca="1" si="225"/>
        <v>0</v>
      </c>
      <c r="AY213" s="508">
        <f t="shared" ca="1" si="225"/>
        <v>0</v>
      </c>
      <c r="AZ213" s="508">
        <f t="shared" ca="1" si="225"/>
        <v>0</v>
      </c>
      <c r="BA213" s="508">
        <f t="shared" ca="1" si="225"/>
        <v>0</v>
      </c>
      <c r="BB213" s="508">
        <f t="shared" ca="1" si="225"/>
        <v>0</v>
      </c>
      <c r="BC213" s="508">
        <f t="shared" ca="1" si="225"/>
        <v>0</v>
      </c>
      <c r="BD213" s="508">
        <f t="shared" ca="1" si="225"/>
        <v>0</v>
      </c>
      <c r="BE213" s="508">
        <f t="shared" ca="1" si="225"/>
        <v>0</v>
      </c>
      <c r="BF213" s="508">
        <f t="shared" ca="1" si="225"/>
        <v>0</v>
      </c>
      <c r="BG213" s="508">
        <f t="shared" ca="1" si="225"/>
        <v>0</v>
      </c>
      <c r="BH213" s="508">
        <f t="shared" ca="1" si="225"/>
        <v>0</v>
      </c>
      <c r="BI213" s="508">
        <f t="shared" ca="1" si="225"/>
        <v>0</v>
      </c>
      <c r="BJ213" s="508">
        <f t="shared" ca="1" si="225"/>
        <v>0</v>
      </c>
      <c r="BK213" s="508">
        <f t="shared" ca="1" si="225"/>
        <v>0</v>
      </c>
      <c r="BL213" s="508">
        <f t="shared" ca="1" si="225"/>
        <v>0</v>
      </c>
      <c r="BM213" s="508">
        <f t="shared" ca="1" si="225"/>
        <v>0</v>
      </c>
      <c r="BN213" s="508"/>
      <c r="BO213" s="508"/>
      <c r="BP213" s="508">
        <f ca="1">IF($C$4=Year1,-PMT(Lookups!$E$17,25,NPV(Lookups!$E$17,AM213:BK213),0,1),IF($C$4=Year2,-PMT(Lookups!$F$17,25,NPV(Lookups!$F$17,AN213:BL213),0,1),IF($C$4=Year3,-PMT(Lookups!$G$17,25,NPV(Lookups!$G$17,AO213:BM213),0,1),-PMT(Lookups!$G$17,27,NPV(Lookups!$G$17,AM213:BM213),0,1))))</f>
        <v>7.9393018490625487E-3</v>
      </c>
      <c r="BS213" s="84" t="s">
        <v>403</v>
      </c>
      <c r="BT213" s="51" t="s">
        <v>17</v>
      </c>
    </row>
    <row r="214" spans="1:72" x14ac:dyDescent="0.25">
      <c r="B214" s="243" t="str">
        <f>B215</f>
        <v>Small C&amp;I</v>
      </c>
      <c r="C214" s="243" t="str">
        <f>C215</f>
        <v>Rates</v>
      </c>
      <c r="D214" s="244" t="str">
        <f>D215</f>
        <v>Rates after DSM Scenario</v>
      </c>
      <c r="E214" s="86" t="s">
        <v>75</v>
      </c>
      <c r="F214" s="84" t="s">
        <v>182</v>
      </c>
      <c r="G214" s="506">
        <f>G199</f>
        <v>0.28453457229491286</v>
      </c>
      <c r="H214" s="506">
        <f t="shared" ref="H214:AG214" si="226">H199</f>
        <v>0.28453457229491286</v>
      </c>
      <c r="I214" s="506">
        <f t="shared" si="226"/>
        <v>0.28453457229491286</v>
      </c>
      <c r="J214" s="506">
        <f t="shared" si="226"/>
        <v>0.28453457229491286</v>
      </c>
      <c r="K214" s="506">
        <f t="shared" si="226"/>
        <v>0.28453457229491286</v>
      </c>
      <c r="L214" s="506">
        <f t="shared" si="226"/>
        <v>0.28453457229491286</v>
      </c>
      <c r="M214" s="506">
        <f t="shared" si="226"/>
        <v>0.28453457229491286</v>
      </c>
      <c r="N214" s="506">
        <f t="shared" si="226"/>
        <v>0.28453457229491286</v>
      </c>
      <c r="O214" s="506">
        <f t="shared" si="226"/>
        <v>0.28453457229491286</v>
      </c>
      <c r="P214" s="506">
        <f t="shared" si="226"/>
        <v>0.28453457229491286</v>
      </c>
      <c r="Q214" s="506">
        <f t="shared" si="226"/>
        <v>0.28453457229491286</v>
      </c>
      <c r="R214" s="506">
        <f t="shared" si="226"/>
        <v>0.28453457229491286</v>
      </c>
      <c r="S214" s="506">
        <f t="shared" si="226"/>
        <v>0.28453457229491286</v>
      </c>
      <c r="T214" s="506">
        <f t="shared" si="226"/>
        <v>0.28453457229491286</v>
      </c>
      <c r="U214" s="506">
        <f t="shared" si="226"/>
        <v>0.28453457229491286</v>
      </c>
      <c r="V214" s="506">
        <f t="shared" si="226"/>
        <v>0.28453457229491286</v>
      </c>
      <c r="W214" s="506">
        <f t="shared" si="226"/>
        <v>0.28453457229491286</v>
      </c>
      <c r="X214" s="506">
        <f t="shared" si="226"/>
        <v>0.28453457229491286</v>
      </c>
      <c r="Y214" s="506">
        <f t="shared" si="226"/>
        <v>0.28453457229491286</v>
      </c>
      <c r="Z214" s="506">
        <f t="shared" si="226"/>
        <v>0.28453457229491286</v>
      </c>
      <c r="AA214" s="506">
        <f t="shared" si="226"/>
        <v>0.28453457229491286</v>
      </c>
      <c r="AB214" s="506">
        <f t="shared" si="226"/>
        <v>0.28453457229491286</v>
      </c>
      <c r="AC214" s="506">
        <f t="shared" si="226"/>
        <v>0.28453457229491286</v>
      </c>
      <c r="AD214" s="506">
        <f t="shared" si="226"/>
        <v>0.28453457229491286</v>
      </c>
      <c r="AE214" s="506">
        <f t="shared" si="226"/>
        <v>0.28453457229491286</v>
      </c>
      <c r="AF214" s="506">
        <f t="shared" si="226"/>
        <v>0.28453457229491286</v>
      </c>
      <c r="AG214" s="506">
        <f t="shared" si="226"/>
        <v>0.28453457229491286</v>
      </c>
      <c r="AH214" s="506"/>
      <c r="AI214" s="506"/>
      <c r="AJ214" s="506">
        <f>IF($C$4=Year1,-PMT(Lookups!$E$17,25,NPV(Lookups!$E$17,G214:AE214),0,1),IF($C$4=Year2,-PMT(Lookups!$F$17,25,NPV(Lookups!$F$17,H214:AF214),0,1),IF($C$4=Year3,-PMT(Lookups!$G$17,25,NPV(Lookups!$G$17,I214:AG214),0,1),-PMT(Lookups!$G$17,27,NPV(Lookups!$G$17,G214:AG214),0,1))))</f>
        <v>0.28056624508808786</v>
      </c>
      <c r="AK214" s="507"/>
      <c r="AL214" s="507"/>
      <c r="AM214" s="508">
        <f>AM199</f>
        <v>0.28453457229491286</v>
      </c>
      <c r="AN214" s="508">
        <f t="shared" ref="AN214:BM214" si="227">AN199</f>
        <v>0.28453457229491286</v>
      </c>
      <c r="AO214" s="508">
        <f t="shared" si="227"/>
        <v>0.28453457229491286</v>
      </c>
      <c r="AP214" s="508">
        <f t="shared" si="227"/>
        <v>0.28453457229491286</v>
      </c>
      <c r="AQ214" s="508">
        <f t="shared" si="227"/>
        <v>0.28453457229491286</v>
      </c>
      <c r="AR214" s="508">
        <f t="shared" si="227"/>
        <v>0.28453457229491286</v>
      </c>
      <c r="AS214" s="508">
        <f t="shared" si="227"/>
        <v>0.28453457229491286</v>
      </c>
      <c r="AT214" s="508">
        <f t="shared" si="227"/>
        <v>0.28453457229491286</v>
      </c>
      <c r="AU214" s="508">
        <f t="shared" si="227"/>
        <v>0.28453457229491286</v>
      </c>
      <c r="AV214" s="508">
        <f t="shared" si="227"/>
        <v>0.28453457229491286</v>
      </c>
      <c r="AW214" s="508">
        <f t="shared" si="227"/>
        <v>0.28453457229491286</v>
      </c>
      <c r="AX214" s="508">
        <f t="shared" si="227"/>
        <v>0.28453457229491286</v>
      </c>
      <c r="AY214" s="508">
        <f t="shared" si="227"/>
        <v>0.28453457229491286</v>
      </c>
      <c r="AZ214" s="508">
        <f t="shared" si="227"/>
        <v>0.28453457229491286</v>
      </c>
      <c r="BA214" s="508">
        <f t="shared" si="227"/>
        <v>0.28453457229491286</v>
      </c>
      <c r="BB214" s="508">
        <f t="shared" si="227"/>
        <v>0.28453457229491286</v>
      </c>
      <c r="BC214" s="508">
        <f t="shared" si="227"/>
        <v>0.28453457229491286</v>
      </c>
      <c r="BD214" s="508">
        <f t="shared" si="227"/>
        <v>0.28453457229491286</v>
      </c>
      <c r="BE214" s="508">
        <f t="shared" si="227"/>
        <v>0.28453457229491286</v>
      </c>
      <c r="BF214" s="508">
        <f t="shared" si="227"/>
        <v>0.28453457229491286</v>
      </c>
      <c r="BG214" s="508">
        <f t="shared" si="227"/>
        <v>0.28453457229491286</v>
      </c>
      <c r="BH214" s="508">
        <f t="shared" si="227"/>
        <v>0.28453457229491286</v>
      </c>
      <c r="BI214" s="508">
        <f t="shared" si="227"/>
        <v>0.28453457229491286</v>
      </c>
      <c r="BJ214" s="508">
        <f t="shared" si="227"/>
        <v>0.28453457229491286</v>
      </c>
      <c r="BK214" s="508">
        <f t="shared" si="227"/>
        <v>0.28453457229491286</v>
      </c>
      <c r="BL214" s="508">
        <f t="shared" si="227"/>
        <v>0.28453457229491286</v>
      </c>
      <c r="BM214" s="508">
        <f t="shared" si="227"/>
        <v>0.28453457229491286</v>
      </c>
      <c r="BN214" s="508"/>
      <c r="BO214" s="508"/>
      <c r="BP214" s="508">
        <f>IF($C$4=Year1,-PMT(Lookups!$E$17,25,NPV(Lookups!$E$17,AM214:BK214),0,1),IF($C$4=Year2,-PMT(Lookups!$F$17,25,NPV(Lookups!$F$17,AN214:BL214),0,1),IF($C$4=Year3,-PMT(Lookups!$G$17,25,NPV(Lookups!$G$17,AO214:BM214),0,1),-PMT(Lookups!$G$17,27,NPV(Lookups!$G$17,AM214:BM214),0,1))))</f>
        <v>0.28056624508808786</v>
      </c>
      <c r="BS214" s="84" t="s">
        <v>171</v>
      </c>
      <c r="BT214" s="51" t="s">
        <v>17</v>
      </c>
    </row>
    <row r="215" spans="1:72" x14ac:dyDescent="0.25">
      <c r="B215" s="243" t="str">
        <f>B213</f>
        <v>Small C&amp;I</v>
      </c>
      <c r="C215" s="243" t="str">
        <f>C213</f>
        <v>Rates</v>
      </c>
      <c r="D215" s="244" t="str">
        <f>D213</f>
        <v>Rates after DSM Scenario</v>
      </c>
      <c r="E215" s="84" t="s">
        <v>76</v>
      </c>
      <c r="F215" s="84" t="s">
        <v>182</v>
      </c>
      <c r="G215" s="506">
        <f ca="1">SUM(G210:G214)</f>
        <v>1.4487423960015888</v>
      </c>
      <c r="H215" s="506">
        <f t="shared" ref="H215:AG215" ca="1" si="228">SUM(H210:H214)</f>
        <v>1.3062898154903964</v>
      </c>
      <c r="I215" s="506">
        <f t="shared" ca="1" si="228"/>
        <v>1.3062898154903964</v>
      </c>
      <c r="J215" s="506">
        <f t="shared" ca="1" si="228"/>
        <v>1.3062898154903964</v>
      </c>
      <c r="K215" s="506">
        <f t="shared" ca="1" si="228"/>
        <v>1.3062898154903964</v>
      </c>
      <c r="L215" s="506">
        <f t="shared" ca="1" si="228"/>
        <v>1.3062898154903964</v>
      </c>
      <c r="M215" s="506">
        <f t="shared" ca="1" si="228"/>
        <v>1.3062898154903964</v>
      </c>
      <c r="N215" s="506">
        <f t="shared" ca="1" si="228"/>
        <v>1.3062898154903964</v>
      </c>
      <c r="O215" s="506">
        <f t="shared" ca="1" si="228"/>
        <v>1.3062898154903964</v>
      </c>
      <c r="P215" s="506">
        <f t="shared" ca="1" si="228"/>
        <v>1.3062898154903964</v>
      </c>
      <c r="Q215" s="506">
        <f t="shared" ca="1" si="228"/>
        <v>1.3062898154903964</v>
      </c>
      <c r="R215" s="506">
        <f t="shared" ca="1" si="228"/>
        <v>1.3062898154903964</v>
      </c>
      <c r="S215" s="506">
        <f t="shared" ca="1" si="228"/>
        <v>1.3062898154903964</v>
      </c>
      <c r="T215" s="506">
        <f t="shared" ca="1" si="228"/>
        <v>1.3062898154903964</v>
      </c>
      <c r="U215" s="506">
        <f t="shared" ca="1" si="228"/>
        <v>1.3062898154903964</v>
      </c>
      <c r="V215" s="506">
        <f t="shared" ca="1" si="228"/>
        <v>1.3062898154903964</v>
      </c>
      <c r="W215" s="506">
        <f t="shared" ca="1" si="228"/>
        <v>1.3008471347317248</v>
      </c>
      <c r="X215" s="506">
        <f t="shared" ca="1" si="228"/>
        <v>1.3008471347317248</v>
      </c>
      <c r="Y215" s="506">
        <f t="shared" ca="1" si="228"/>
        <v>1.3008471347317248</v>
      </c>
      <c r="Z215" s="506">
        <f t="shared" ca="1" si="228"/>
        <v>1.3008471347317248</v>
      </c>
      <c r="AA215" s="506">
        <f t="shared" ca="1" si="228"/>
        <v>1.3008471347317248</v>
      </c>
      <c r="AB215" s="506">
        <f t="shared" ca="1" si="228"/>
        <v>1.3008471347317248</v>
      </c>
      <c r="AC215" s="506">
        <f t="shared" ca="1" si="228"/>
        <v>1.3008471347317248</v>
      </c>
      <c r="AD215" s="506">
        <f t="shared" ca="1" si="228"/>
        <v>1.3008471347317248</v>
      </c>
      <c r="AE215" s="506">
        <f t="shared" ca="1" si="228"/>
        <v>1.3008471347317248</v>
      </c>
      <c r="AF215" s="506">
        <f t="shared" ca="1" si="228"/>
        <v>1.3008471347317248</v>
      </c>
      <c r="AG215" s="506">
        <f t="shared" ca="1" si="228"/>
        <v>1.3008471347317248</v>
      </c>
      <c r="AH215" s="506"/>
      <c r="AI215" s="506"/>
      <c r="AJ215" s="506">
        <f ca="1">IF($C$4=Year1,-PMT(Lookups!$E$17,25,NPV(Lookups!$E$17,G215:AE215),0,1),IF($C$4=Year2,-PMT(Lookups!$F$17,25,NPV(Lookups!$F$17,H215:AF215),0,1),IF($C$4=Year3,-PMT(Lookups!$G$17,25,NPV(Lookups!$G$17,I215:AG215),0,1),-PMT(Lookups!$G$17,27,NPV(Lookups!$G$17,G215:AG215),0,1))))</f>
        <v>1.2929684143029505</v>
      </c>
      <c r="AK215" s="507"/>
      <c r="AL215" s="507"/>
      <c r="AM215" s="508">
        <f ca="1">SUM(AM210:AM214)</f>
        <v>1.4780249970929646</v>
      </c>
      <c r="AN215" s="508">
        <f t="shared" ref="AN215:BM215" ca="1" si="229">SUM(AN210:AN214)</f>
        <v>1.3070819004795338</v>
      </c>
      <c r="AO215" s="508">
        <f t="shared" ca="1" si="229"/>
        <v>1.3070819004795338</v>
      </c>
      <c r="AP215" s="508">
        <f t="shared" ca="1" si="229"/>
        <v>1.3070819004795338</v>
      </c>
      <c r="AQ215" s="508">
        <f t="shared" ca="1" si="229"/>
        <v>1.3070819004795338</v>
      </c>
      <c r="AR215" s="508">
        <f t="shared" ca="1" si="229"/>
        <v>1.3070819004795338</v>
      </c>
      <c r="AS215" s="508">
        <f t="shared" ca="1" si="229"/>
        <v>1.3070819004795338</v>
      </c>
      <c r="AT215" s="508">
        <f t="shared" ca="1" si="229"/>
        <v>1.3070819004795338</v>
      </c>
      <c r="AU215" s="508">
        <f t="shared" ca="1" si="229"/>
        <v>1.3070819004795338</v>
      </c>
      <c r="AV215" s="508">
        <f t="shared" ca="1" si="229"/>
        <v>1.3070819004795338</v>
      </c>
      <c r="AW215" s="508">
        <f t="shared" ca="1" si="229"/>
        <v>1.3070819004795338</v>
      </c>
      <c r="AX215" s="508">
        <f t="shared" ca="1" si="229"/>
        <v>1.3070819004795338</v>
      </c>
      <c r="AY215" s="508">
        <f t="shared" ca="1" si="229"/>
        <v>1.3070819004795338</v>
      </c>
      <c r="AZ215" s="508">
        <f t="shared" ca="1" si="229"/>
        <v>1.3070819004795338</v>
      </c>
      <c r="BA215" s="508">
        <f t="shared" ca="1" si="229"/>
        <v>1.3070819004795338</v>
      </c>
      <c r="BB215" s="508">
        <f t="shared" ca="1" si="229"/>
        <v>1.3070819004795338</v>
      </c>
      <c r="BC215" s="508">
        <f t="shared" ca="1" si="229"/>
        <v>1.3008471347317248</v>
      </c>
      <c r="BD215" s="508">
        <f t="shared" ca="1" si="229"/>
        <v>1.3008471347317248</v>
      </c>
      <c r="BE215" s="508">
        <f t="shared" ca="1" si="229"/>
        <v>1.3008471347317248</v>
      </c>
      <c r="BF215" s="508">
        <f t="shared" ca="1" si="229"/>
        <v>1.3008471347317248</v>
      </c>
      <c r="BG215" s="508">
        <f t="shared" ca="1" si="229"/>
        <v>1.3008471347317248</v>
      </c>
      <c r="BH215" s="508">
        <f t="shared" ca="1" si="229"/>
        <v>1.3008471347317248</v>
      </c>
      <c r="BI215" s="508">
        <f t="shared" ca="1" si="229"/>
        <v>1.3008471347317248</v>
      </c>
      <c r="BJ215" s="508">
        <f t="shared" ca="1" si="229"/>
        <v>1.3008471347317248</v>
      </c>
      <c r="BK215" s="508">
        <f t="shared" ca="1" si="229"/>
        <v>1.3008471347317248</v>
      </c>
      <c r="BL215" s="508">
        <f t="shared" ca="1" si="229"/>
        <v>1.3008471347317248</v>
      </c>
      <c r="BM215" s="508">
        <f t="shared" ca="1" si="229"/>
        <v>1.3008471347317248</v>
      </c>
      <c r="BN215" s="508"/>
      <c r="BO215" s="508"/>
      <c r="BP215" s="508">
        <f ca="1">IF($C$4=Year1,-PMT(Lookups!$E$17,25,NPV(Lookups!$E$17,AM215:BK215),0,1),IF($C$4=Year2,-PMT(Lookups!$F$17,25,NPV(Lookups!$F$17,AN215:BL215),0,1),IF($C$4=Year3,-PMT(Lookups!$G$17,25,NPV(Lookups!$G$17,AO215:BM215),0,1),-PMT(Lookups!$G$17,27,NPV(Lookups!$G$17,AM215:BM215),0,1))))</f>
        <v>1.2948224976133005</v>
      </c>
      <c r="BS215" s="84" t="s">
        <v>235</v>
      </c>
      <c r="BT215" s="51" t="s">
        <v>17</v>
      </c>
    </row>
    <row r="216" spans="1:72" x14ac:dyDescent="0.25">
      <c r="B216" s="243" t="str">
        <f>B214</f>
        <v>Small C&amp;I</v>
      </c>
      <c r="C216" s="243" t="str">
        <f>C214</f>
        <v>Rates</v>
      </c>
      <c r="D216" s="114" t="s">
        <v>114</v>
      </c>
      <c r="E216" s="84"/>
      <c r="F216" s="84"/>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49"/>
      <c r="AI216" s="109"/>
      <c r="AJ216" s="49"/>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S216" s="84"/>
      <c r="BT216" s="51" t="s">
        <v>17</v>
      </c>
    </row>
    <row r="217" spans="1:72" x14ac:dyDescent="0.25">
      <c r="B217" s="243" t="str">
        <f t="shared" ref="B217:D232" si="230">B216</f>
        <v>Small C&amp;I</v>
      </c>
      <c r="C217" s="243" t="str">
        <f t="shared" si="230"/>
        <v>Rates</v>
      </c>
      <c r="D217" s="244" t="str">
        <f t="shared" si="230"/>
        <v>Change in Rates after DSM Scenario</v>
      </c>
      <c r="E217" s="84" t="s">
        <v>76</v>
      </c>
      <c r="F217" s="84" t="s">
        <v>182</v>
      </c>
      <c r="G217" s="510">
        <f ca="1">G215-G200</f>
        <v>0.14789526126986408</v>
      </c>
      <c r="H217" s="510">
        <f t="shared" ref="H217:AG217" ca="1" si="231">H215-H200</f>
        <v>5.4426807586716031E-3</v>
      </c>
      <c r="I217" s="510">
        <f t="shared" ca="1" si="231"/>
        <v>5.4426807586716031E-3</v>
      </c>
      <c r="J217" s="510">
        <f t="shared" ca="1" si="231"/>
        <v>5.4426807586716031E-3</v>
      </c>
      <c r="K217" s="510">
        <f t="shared" ca="1" si="231"/>
        <v>5.4426807586716031E-3</v>
      </c>
      <c r="L217" s="510">
        <f t="shared" ca="1" si="231"/>
        <v>5.4426807586716031E-3</v>
      </c>
      <c r="M217" s="510">
        <f t="shared" ca="1" si="231"/>
        <v>5.4426807586716031E-3</v>
      </c>
      <c r="N217" s="510">
        <f t="shared" ca="1" si="231"/>
        <v>5.4426807586716031E-3</v>
      </c>
      <c r="O217" s="510">
        <f t="shared" ca="1" si="231"/>
        <v>5.4426807586716031E-3</v>
      </c>
      <c r="P217" s="510">
        <f t="shared" ca="1" si="231"/>
        <v>5.4426807586716031E-3</v>
      </c>
      <c r="Q217" s="510">
        <f t="shared" ca="1" si="231"/>
        <v>5.4426807586716031E-3</v>
      </c>
      <c r="R217" s="510">
        <f t="shared" ca="1" si="231"/>
        <v>5.4426807586716031E-3</v>
      </c>
      <c r="S217" s="510">
        <f t="shared" ca="1" si="231"/>
        <v>5.4426807586716031E-3</v>
      </c>
      <c r="T217" s="510">
        <f t="shared" ca="1" si="231"/>
        <v>5.4426807586716031E-3</v>
      </c>
      <c r="U217" s="510">
        <f t="shared" ca="1" si="231"/>
        <v>5.4426807586716031E-3</v>
      </c>
      <c r="V217" s="510">
        <f t="shared" ca="1" si="231"/>
        <v>5.4426807586716031E-3</v>
      </c>
      <c r="W217" s="510">
        <f t="shared" ca="1" si="231"/>
        <v>0</v>
      </c>
      <c r="X217" s="510">
        <f t="shared" ca="1" si="231"/>
        <v>0</v>
      </c>
      <c r="Y217" s="510">
        <f t="shared" ca="1" si="231"/>
        <v>0</v>
      </c>
      <c r="Z217" s="510">
        <f t="shared" ca="1" si="231"/>
        <v>0</v>
      </c>
      <c r="AA217" s="510">
        <f t="shared" ca="1" si="231"/>
        <v>0</v>
      </c>
      <c r="AB217" s="510">
        <f t="shared" ca="1" si="231"/>
        <v>0</v>
      </c>
      <c r="AC217" s="510">
        <f t="shared" ca="1" si="231"/>
        <v>0</v>
      </c>
      <c r="AD217" s="510">
        <f t="shared" ca="1" si="231"/>
        <v>0</v>
      </c>
      <c r="AE217" s="510">
        <f t="shared" ca="1" si="231"/>
        <v>0</v>
      </c>
      <c r="AF217" s="510">
        <f t="shared" ca="1" si="231"/>
        <v>0</v>
      </c>
      <c r="AG217" s="510">
        <f t="shared" ca="1" si="231"/>
        <v>0</v>
      </c>
      <c r="AH217" s="510"/>
      <c r="AI217" s="510"/>
      <c r="AJ217" s="510">
        <f ca="1">IF($C$4=Year1,-PMT(Lookups!$E$17,25,NPV(Lookups!$E$17,G217:AE217),0,1),IF($C$4=Year2,-PMT(Lookups!$F$17,25,NPV(Lookups!$F$17,H217:AF217),0,1),IF($C$4=Year3,-PMT(Lookups!$G$17,25,NPV(Lookups!$G$17,I217:AG217),0,1),-PMT(Lookups!$G$17,27,NPV(Lookups!$G$17,G217:AG217),0,1))))</f>
        <v>1.0263844936976079E-2</v>
      </c>
      <c r="AK217" s="507"/>
      <c r="AL217" s="507"/>
      <c r="AM217" s="508">
        <f ca="1">AM215-AM200</f>
        <v>0.17717786236123989</v>
      </c>
      <c r="AN217" s="508">
        <f t="shared" ref="AN217:BM217" ca="1" si="232">AN215-AN200</f>
        <v>6.2347657478090124E-3</v>
      </c>
      <c r="AO217" s="508">
        <f t="shared" ca="1" si="232"/>
        <v>6.2347657478090124E-3</v>
      </c>
      <c r="AP217" s="508">
        <f t="shared" ca="1" si="232"/>
        <v>6.2347657478090124E-3</v>
      </c>
      <c r="AQ217" s="508">
        <f t="shared" ca="1" si="232"/>
        <v>6.2347657478090124E-3</v>
      </c>
      <c r="AR217" s="508">
        <f t="shared" ca="1" si="232"/>
        <v>6.2347657478090124E-3</v>
      </c>
      <c r="AS217" s="508">
        <f t="shared" ca="1" si="232"/>
        <v>6.2347657478090124E-3</v>
      </c>
      <c r="AT217" s="508">
        <f t="shared" ca="1" si="232"/>
        <v>6.2347657478090124E-3</v>
      </c>
      <c r="AU217" s="508">
        <f t="shared" ca="1" si="232"/>
        <v>6.2347657478090124E-3</v>
      </c>
      <c r="AV217" s="508">
        <f t="shared" ca="1" si="232"/>
        <v>6.2347657478090124E-3</v>
      </c>
      <c r="AW217" s="508">
        <f t="shared" ca="1" si="232"/>
        <v>6.2347657478090124E-3</v>
      </c>
      <c r="AX217" s="508">
        <f t="shared" ca="1" si="232"/>
        <v>6.2347657478090124E-3</v>
      </c>
      <c r="AY217" s="508">
        <f t="shared" ca="1" si="232"/>
        <v>6.2347657478090124E-3</v>
      </c>
      <c r="AZ217" s="508">
        <f t="shared" ca="1" si="232"/>
        <v>6.2347657478090124E-3</v>
      </c>
      <c r="BA217" s="508">
        <f t="shared" ca="1" si="232"/>
        <v>6.2347657478090124E-3</v>
      </c>
      <c r="BB217" s="508">
        <f t="shared" ca="1" si="232"/>
        <v>6.2347657478090124E-3</v>
      </c>
      <c r="BC217" s="508">
        <f t="shared" ca="1" si="232"/>
        <v>0</v>
      </c>
      <c r="BD217" s="508">
        <f t="shared" ca="1" si="232"/>
        <v>0</v>
      </c>
      <c r="BE217" s="508">
        <f t="shared" ca="1" si="232"/>
        <v>0</v>
      </c>
      <c r="BF217" s="508">
        <f t="shared" ca="1" si="232"/>
        <v>0</v>
      </c>
      <c r="BG217" s="508">
        <f t="shared" ca="1" si="232"/>
        <v>0</v>
      </c>
      <c r="BH217" s="508">
        <f t="shared" ca="1" si="232"/>
        <v>0</v>
      </c>
      <c r="BI217" s="508">
        <f t="shared" ca="1" si="232"/>
        <v>0</v>
      </c>
      <c r="BJ217" s="508">
        <f t="shared" ca="1" si="232"/>
        <v>0</v>
      </c>
      <c r="BK217" s="508">
        <f t="shared" ca="1" si="232"/>
        <v>0</v>
      </c>
      <c r="BL217" s="508">
        <f t="shared" ca="1" si="232"/>
        <v>0</v>
      </c>
      <c r="BM217" s="508">
        <f t="shared" ca="1" si="232"/>
        <v>0</v>
      </c>
      <c r="BN217" s="508"/>
      <c r="BO217" s="508"/>
      <c r="BP217" s="508">
        <f ca="1">IF($C$4=Year1,-PMT(Lookups!$E$17,25,NPV(Lookups!$E$17,AM217:BK217),0,1),IF($C$4=Year2,-PMT(Lookups!$F$17,25,NPV(Lookups!$F$17,AN217:BL217),0,1),IF($C$4=Year3,-PMT(Lookups!$G$17,25,NPV(Lookups!$G$17,AO217:BM217),0,1),-PMT(Lookups!$G$17,27,NPV(Lookups!$G$17,AM217:BM217),0,1))))</f>
        <v>1.2117928247325828E-2</v>
      </c>
      <c r="BS217" s="84" t="s">
        <v>233</v>
      </c>
      <c r="BT217" s="51" t="s">
        <v>17</v>
      </c>
    </row>
    <row r="218" spans="1:72" x14ac:dyDescent="0.25">
      <c r="B218" s="243" t="str">
        <f t="shared" si="230"/>
        <v>Small C&amp;I</v>
      </c>
      <c r="C218" s="243" t="str">
        <f t="shared" si="230"/>
        <v>Rates</v>
      </c>
      <c r="D218" s="244" t="str">
        <f t="shared" si="230"/>
        <v>Change in Rates after DSM Scenario</v>
      </c>
      <c r="E218" s="84" t="s">
        <v>76</v>
      </c>
      <c r="F218" s="84" t="s">
        <v>16</v>
      </c>
      <c r="G218" s="224">
        <f ca="1">IFERROR(G215/G200-1,0)</f>
        <v>0.11369149942461498</v>
      </c>
      <c r="H218" s="224">
        <f t="shared" ref="H218:AG218" ca="1" si="233">IFERROR(H215/H200-1,0)</f>
        <v>4.183951068004621E-3</v>
      </c>
      <c r="I218" s="224">
        <f t="shared" ca="1" si="233"/>
        <v>4.183951068004621E-3</v>
      </c>
      <c r="J218" s="224">
        <f t="shared" ca="1" si="233"/>
        <v>4.183951068004621E-3</v>
      </c>
      <c r="K218" s="224">
        <f t="shared" ca="1" si="233"/>
        <v>4.183951068004621E-3</v>
      </c>
      <c r="L218" s="224">
        <f t="shared" ca="1" si="233"/>
        <v>4.183951068004621E-3</v>
      </c>
      <c r="M218" s="224">
        <f t="shared" ca="1" si="233"/>
        <v>4.183951068004621E-3</v>
      </c>
      <c r="N218" s="224">
        <f t="shared" ca="1" si="233"/>
        <v>4.183951068004621E-3</v>
      </c>
      <c r="O218" s="224">
        <f t="shared" ca="1" si="233"/>
        <v>4.183951068004621E-3</v>
      </c>
      <c r="P218" s="224">
        <f t="shared" ca="1" si="233"/>
        <v>4.183951068004621E-3</v>
      </c>
      <c r="Q218" s="224">
        <f t="shared" ca="1" si="233"/>
        <v>4.183951068004621E-3</v>
      </c>
      <c r="R218" s="224">
        <f t="shared" ca="1" si="233"/>
        <v>4.183951068004621E-3</v>
      </c>
      <c r="S218" s="224">
        <f t="shared" ca="1" si="233"/>
        <v>4.183951068004621E-3</v>
      </c>
      <c r="T218" s="224">
        <f t="shared" ca="1" si="233"/>
        <v>4.183951068004621E-3</v>
      </c>
      <c r="U218" s="224">
        <f t="shared" ca="1" si="233"/>
        <v>4.183951068004621E-3</v>
      </c>
      <c r="V218" s="224">
        <f t="shared" ca="1" si="233"/>
        <v>4.183951068004621E-3</v>
      </c>
      <c r="W218" s="224">
        <f t="shared" ca="1" si="233"/>
        <v>0</v>
      </c>
      <c r="X218" s="224">
        <f t="shared" ca="1" si="233"/>
        <v>0</v>
      </c>
      <c r="Y218" s="224">
        <f t="shared" ca="1" si="233"/>
        <v>0</v>
      </c>
      <c r="Z218" s="224">
        <f t="shared" ca="1" si="233"/>
        <v>0</v>
      </c>
      <c r="AA218" s="224">
        <f t="shared" ca="1" si="233"/>
        <v>0</v>
      </c>
      <c r="AB218" s="224">
        <f t="shared" ca="1" si="233"/>
        <v>0</v>
      </c>
      <c r="AC218" s="224">
        <f t="shared" ca="1" si="233"/>
        <v>0</v>
      </c>
      <c r="AD218" s="224">
        <f t="shared" ca="1" si="233"/>
        <v>0</v>
      </c>
      <c r="AE218" s="224">
        <f t="shared" ca="1" si="233"/>
        <v>0</v>
      </c>
      <c r="AF218" s="224">
        <f t="shared" ca="1" si="233"/>
        <v>0</v>
      </c>
      <c r="AG218" s="224">
        <f t="shared" ca="1" si="233"/>
        <v>0</v>
      </c>
      <c r="AH218" s="224"/>
      <c r="AI218" s="224"/>
      <c r="AJ218" s="224">
        <f ca="1">IFERROR(AJ215/AJ200-1,0)</f>
        <v>8.0017216607011221E-3</v>
      </c>
      <c r="AK218" s="212"/>
      <c r="AL218" s="212"/>
      <c r="AM218" s="504">
        <f ca="1">IFERROR(AM215/AM200-1,0)</f>
        <v>0.13620190845696833</v>
      </c>
      <c r="AN218" s="504">
        <f t="shared" ref="AN218:BM218" ca="1" si="234">IFERROR(AN215/AN200-1,0)</f>
        <v>4.7928504290357665E-3</v>
      </c>
      <c r="AO218" s="504">
        <f t="shared" ca="1" si="234"/>
        <v>4.7928504290357665E-3</v>
      </c>
      <c r="AP218" s="504">
        <f t="shared" ca="1" si="234"/>
        <v>4.7928504290357665E-3</v>
      </c>
      <c r="AQ218" s="504">
        <f t="shared" ca="1" si="234"/>
        <v>4.7928504290357665E-3</v>
      </c>
      <c r="AR218" s="504">
        <f t="shared" ca="1" si="234"/>
        <v>4.7928504290357665E-3</v>
      </c>
      <c r="AS218" s="504">
        <f t="shared" ca="1" si="234"/>
        <v>4.7928504290357665E-3</v>
      </c>
      <c r="AT218" s="504">
        <f t="shared" ca="1" si="234"/>
        <v>4.7928504290357665E-3</v>
      </c>
      <c r="AU218" s="504">
        <f t="shared" ca="1" si="234"/>
        <v>4.7928504290357665E-3</v>
      </c>
      <c r="AV218" s="504">
        <f t="shared" ca="1" si="234"/>
        <v>4.7928504290357665E-3</v>
      </c>
      <c r="AW218" s="504">
        <f t="shared" ca="1" si="234"/>
        <v>4.7928504290357665E-3</v>
      </c>
      <c r="AX218" s="504">
        <f t="shared" ca="1" si="234"/>
        <v>4.7928504290357665E-3</v>
      </c>
      <c r="AY218" s="504">
        <f t="shared" ca="1" si="234"/>
        <v>4.7928504290357665E-3</v>
      </c>
      <c r="AZ218" s="504">
        <f t="shared" ca="1" si="234"/>
        <v>4.7928504290357665E-3</v>
      </c>
      <c r="BA218" s="504">
        <f t="shared" ca="1" si="234"/>
        <v>4.7928504290357665E-3</v>
      </c>
      <c r="BB218" s="504">
        <f t="shared" ca="1" si="234"/>
        <v>4.7928504290357665E-3</v>
      </c>
      <c r="BC218" s="504">
        <f t="shared" ca="1" si="234"/>
        <v>0</v>
      </c>
      <c r="BD218" s="504">
        <f t="shared" ca="1" si="234"/>
        <v>0</v>
      </c>
      <c r="BE218" s="504">
        <f t="shared" ca="1" si="234"/>
        <v>0</v>
      </c>
      <c r="BF218" s="504">
        <f t="shared" ca="1" si="234"/>
        <v>0</v>
      </c>
      <c r="BG218" s="504">
        <f t="shared" ca="1" si="234"/>
        <v>0</v>
      </c>
      <c r="BH218" s="504">
        <f t="shared" ca="1" si="234"/>
        <v>0</v>
      </c>
      <c r="BI218" s="504">
        <f t="shared" ca="1" si="234"/>
        <v>0</v>
      </c>
      <c r="BJ218" s="504">
        <f t="shared" ca="1" si="234"/>
        <v>0</v>
      </c>
      <c r="BK218" s="504">
        <f t="shared" ca="1" si="234"/>
        <v>0</v>
      </c>
      <c r="BL218" s="504">
        <f t="shared" ca="1" si="234"/>
        <v>0</v>
      </c>
      <c r="BM218" s="504">
        <f t="shared" ca="1" si="234"/>
        <v>0</v>
      </c>
      <c r="BN218" s="504"/>
      <c r="BO218" s="504"/>
      <c r="BP218" s="504">
        <f ca="1">IFERROR(BP215/BP200-1,0)</f>
        <v>9.4471700941360925E-3</v>
      </c>
      <c r="BS218" s="84" t="s">
        <v>234</v>
      </c>
      <c r="BT218" s="51" t="s">
        <v>17</v>
      </c>
    </row>
    <row r="219" spans="1:72" x14ac:dyDescent="0.25">
      <c r="B219" s="243" t="str">
        <f t="shared" si="230"/>
        <v>Small C&amp;I</v>
      </c>
      <c r="C219" s="243" t="str">
        <f t="shared" si="230"/>
        <v>Rates</v>
      </c>
      <c r="D219" s="85"/>
      <c r="E219" s="84" t="s">
        <v>17</v>
      </c>
      <c r="F219" s="84"/>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S219" s="84"/>
      <c r="BT219" s="51" t="s">
        <v>17</v>
      </c>
    </row>
    <row r="220" spans="1:72" s="5" customFormat="1" ht="15.75" x14ac:dyDescent="0.25">
      <c r="A220" s="52"/>
      <c r="B220" s="241" t="str">
        <f t="shared" si="230"/>
        <v>Small C&amp;I</v>
      </c>
      <c r="C220" s="63" t="s">
        <v>51</v>
      </c>
      <c r="D220" s="61"/>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2"/>
      <c r="BO220" s="62"/>
      <c r="BP220" s="62"/>
      <c r="BS220" s="62"/>
      <c r="BT220" s="51" t="s">
        <v>17</v>
      </c>
    </row>
    <row r="221" spans="1:72" x14ac:dyDescent="0.25">
      <c r="B221" s="243" t="str">
        <f t="shared" si="230"/>
        <v>Small C&amp;I</v>
      </c>
      <c r="C221" s="243" t="str">
        <f>C220</f>
        <v>Bills</v>
      </c>
      <c r="D221" s="114" t="str">
        <f>"Bills before DSM ("&amp;Lookups!$D$22&amp;" Scenario, Non-Participant)"</f>
        <v>Bills before DSM (No EE Scenario, Non-Participant)</v>
      </c>
      <c r="E221" s="86"/>
      <c r="F221" s="84"/>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S221" s="84"/>
      <c r="BT221" s="51" t="s">
        <v>17</v>
      </c>
    </row>
    <row r="222" spans="1:72" x14ac:dyDescent="0.25">
      <c r="B222" s="243" t="str">
        <f t="shared" si="230"/>
        <v>Small C&amp;I</v>
      </c>
      <c r="C222" s="243" t="str">
        <f t="shared" si="230"/>
        <v>Bills</v>
      </c>
      <c r="D222" s="244" t="str">
        <f>D221</f>
        <v>Bills before DSM (No EE Scenario, Non-Participant)</v>
      </c>
      <c r="E222" s="86" t="s">
        <v>75</v>
      </c>
      <c r="F222" s="84" t="s">
        <v>31</v>
      </c>
      <c r="G222" s="659">
        <f>IF(G$8=0,0,INDEX('R&amp;B Inputs'!$H$45:$U$45,MATCH($B222,'R&amp;B Inputs'!$H$4:$U$4,0))*(1+INDEX('R&amp;B Inputs'!$H$46:$U$46,MATCH($B222,'R&amp;B Inputs'!$H$4:$U$4,0)))^(G$7-Year1)*12)</f>
        <v>676.31999999999994</v>
      </c>
      <c r="H222" s="659">
        <f>IF(H$8=0,0,INDEX('R&amp;B Inputs'!$H$45:$U$45,MATCH($B222,'R&amp;B Inputs'!$H$4:$U$4,0))*(1+INDEX('R&amp;B Inputs'!$H$46:$U$46,MATCH($B222,'R&amp;B Inputs'!$H$4:$U$4,0)))^(H$7-Year1)*12)</f>
        <v>676.31999999999994</v>
      </c>
      <c r="I222" s="659">
        <f>IF(I$8=0,0,INDEX('R&amp;B Inputs'!$H$45:$U$45,MATCH($B222,'R&amp;B Inputs'!$H$4:$U$4,0))*(1+INDEX('R&amp;B Inputs'!$H$46:$U$46,MATCH($B222,'R&amp;B Inputs'!$H$4:$U$4,0)))^(I$7-Year1)*12)</f>
        <v>676.31999999999994</v>
      </c>
      <c r="J222" s="659">
        <f>IF(J$8=0,0,INDEX('R&amp;B Inputs'!$H$45:$U$45,MATCH($B222,'R&amp;B Inputs'!$H$4:$U$4,0))*(1+INDEX('R&amp;B Inputs'!$H$46:$U$46,MATCH($B222,'R&amp;B Inputs'!$H$4:$U$4,0)))^(J$7-Year1)*12)</f>
        <v>676.31999999999994</v>
      </c>
      <c r="K222" s="659">
        <f>IF(K$8=0,0,INDEX('R&amp;B Inputs'!$H$45:$U$45,MATCH($B222,'R&amp;B Inputs'!$H$4:$U$4,0))*(1+INDEX('R&amp;B Inputs'!$H$46:$U$46,MATCH($B222,'R&amp;B Inputs'!$H$4:$U$4,0)))^(K$7-Year1)*12)</f>
        <v>676.31999999999994</v>
      </c>
      <c r="L222" s="659">
        <f>IF(L$8=0,0,INDEX('R&amp;B Inputs'!$H$45:$U$45,MATCH($B222,'R&amp;B Inputs'!$H$4:$U$4,0))*(1+INDEX('R&amp;B Inputs'!$H$46:$U$46,MATCH($B222,'R&amp;B Inputs'!$H$4:$U$4,0)))^(L$7-Year1)*12)</f>
        <v>676.31999999999994</v>
      </c>
      <c r="M222" s="659">
        <f>IF(M$8=0,0,INDEX('R&amp;B Inputs'!$H$45:$U$45,MATCH($B222,'R&amp;B Inputs'!$H$4:$U$4,0))*(1+INDEX('R&amp;B Inputs'!$H$46:$U$46,MATCH($B222,'R&amp;B Inputs'!$H$4:$U$4,0)))^(M$7-Year1)*12)</f>
        <v>676.31999999999994</v>
      </c>
      <c r="N222" s="659">
        <f>IF(N$8=0,0,INDEX('R&amp;B Inputs'!$H$45:$U$45,MATCH($B222,'R&amp;B Inputs'!$H$4:$U$4,0))*(1+INDEX('R&amp;B Inputs'!$H$46:$U$46,MATCH($B222,'R&amp;B Inputs'!$H$4:$U$4,0)))^(N$7-Year1)*12)</f>
        <v>676.31999999999994</v>
      </c>
      <c r="O222" s="659">
        <f>IF(O$8=0,0,INDEX('R&amp;B Inputs'!$H$45:$U$45,MATCH($B222,'R&amp;B Inputs'!$H$4:$U$4,0))*(1+INDEX('R&amp;B Inputs'!$H$46:$U$46,MATCH($B222,'R&amp;B Inputs'!$H$4:$U$4,0)))^(O$7-Year1)*12)</f>
        <v>676.31999999999994</v>
      </c>
      <c r="P222" s="659">
        <f>IF(P$8=0,0,INDEX('R&amp;B Inputs'!$H$45:$U$45,MATCH($B222,'R&amp;B Inputs'!$H$4:$U$4,0))*(1+INDEX('R&amp;B Inputs'!$H$46:$U$46,MATCH($B222,'R&amp;B Inputs'!$H$4:$U$4,0)))^(P$7-Year1)*12)</f>
        <v>676.31999999999994</v>
      </c>
      <c r="Q222" s="659">
        <f>IF(Q$8=0,0,INDEX('R&amp;B Inputs'!$H$45:$U$45,MATCH($B222,'R&amp;B Inputs'!$H$4:$U$4,0))*(1+INDEX('R&amp;B Inputs'!$H$46:$U$46,MATCH($B222,'R&amp;B Inputs'!$H$4:$U$4,0)))^(Q$7-Year1)*12)</f>
        <v>676.31999999999994</v>
      </c>
      <c r="R222" s="659">
        <f>IF(R$8=0,0,INDEX('R&amp;B Inputs'!$H$45:$U$45,MATCH($B222,'R&amp;B Inputs'!$H$4:$U$4,0))*(1+INDEX('R&amp;B Inputs'!$H$46:$U$46,MATCH($B222,'R&amp;B Inputs'!$H$4:$U$4,0)))^(R$7-Year1)*12)</f>
        <v>676.31999999999994</v>
      </c>
      <c r="S222" s="659">
        <f>IF(S$8=0,0,INDEX('R&amp;B Inputs'!$H$45:$U$45,MATCH($B222,'R&amp;B Inputs'!$H$4:$U$4,0))*(1+INDEX('R&amp;B Inputs'!$H$46:$U$46,MATCH($B222,'R&amp;B Inputs'!$H$4:$U$4,0)))^(S$7-Year1)*12)</f>
        <v>676.31999999999994</v>
      </c>
      <c r="T222" s="659">
        <f>IF(T$8=0,0,INDEX('R&amp;B Inputs'!$H$45:$U$45,MATCH($B222,'R&amp;B Inputs'!$H$4:$U$4,0))*(1+INDEX('R&amp;B Inputs'!$H$46:$U$46,MATCH($B222,'R&amp;B Inputs'!$H$4:$U$4,0)))^(T$7-Year1)*12)</f>
        <v>676.31999999999994</v>
      </c>
      <c r="U222" s="659">
        <f>IF(U$8=0,0,INDEX('R&amp;B Inputs'!$H$45:$U$45,MATCH($B222,'R&amp;B Inputs'!$H$4:$U$4,0))*(1+INDEX('R&amp;B Inputs'!$H$46:$U$46,MATCH($B222,'R&amp;B Inputs'!$H$4:$U$4,0)))^(U$7-Year1)*12)</f>
        <v>676.31999999999994</v>
      </c>
      <c r="V222" s="659">
        <f>IF(V$8=0,0,INDEX('R&amp;B Inputs'!$H$45:$U$45,MATCH($B222,'R&amp;B Inputs'!$H$4:$U$4,0))*(1+INDEX('R&amp;B Inputs'!$H$46:$U$46,MATCH($B222,'R&amp;B Inputs'!$H$4:$U$4,0)))^(V$7-Year1)*12)</f>
        <v>676.31999999999994</v>
      </c>
      <c r="W222" s="659">
        <f>IF(W$8=0,0,INDEX('R&amp;B Inputs'!$H$45:$U$45,MATCH($B222,'R&amp;B Inputs'!$H$4:$U$4,0))*(1+INDEX('R&amp;B Inputs'!$H$46:$U$46,MATCH($B222,'R&amp;B Inputs'!$H$4:$U$4,0)))^(W$7-Year1)*12)</f>
        <v>676.31999999999994</v>
      </c>
      <c r="X222" s="659">
        <f>IF(X$8=0,0,INDEX('R&amp;B Inputs'!$H$45:$U$45,MATCH($B222,'R&amp;B Inputs'!$H$4:$U$4,0))*(1+INDEX('R&amp;B Inputs'!$H$46:$U$46,MATCH($B222,'R&amp;B Inputs'!$H$4:$U$4,0)))^(X$7-Year1)*12)</f>
        <v>676.31999999999994</v>
      </c>
      <c r="Y222" s="659">
        <f>IF(Y$8=0,0,INDEX('R&amp;B Inputs'!$H$45:$U$45,MATCH($B222,'R&amp;B Inputs'!$H$4:$U$4,0))*(1+INDEX('R&amp;B Inputs'!$H$46:$U$46,MATCH($B222,'R&amp;B Inputs'!$H$4:$U$4,0)))^(Y$7-Year1)*12)</f>
        <v>676.31999999999994</v>
      </c>
      <c r="Z222" s="659">
        <f>IF(Z$8=0,0,INDEX('R&amp;B Inputs'!$H$45:$U$45,MATCH($B222,'R&amp;B Inputs'!$H$4:$U$4,0))*(1+INDEX('R&amp;B Inputs'!$H$46:$U$46,MATCH($B222,'R&amp;B Inputs'!$H$4:$U$4,0)))^(Z$7-Year1)*12)</f>
        <v>676.31999999999994</v>
      </c>
      <c r="AA222" s="659">
        <f>IF(AA$8=0,0,INDEX('R&amp;B Inputs'!$H$45:$U$45,MATCH($B222,'R&amp;B Inputs'!$H$4:$U$4,0))*(1+INDEX('R&amp;B Inputs'!$H$46:$U$46,MATCH($B222,'R&amp;B Inputs'!$H$4:$U$4,0)))^(AA$7-Year1)*12)</f>
        <v>676.31999999999994</v>
      </c>
      <c r="AB222" s="659">
        <f>IF(AB$8=0,0,INDEX('R&amp;B Inputs'!$H$45:$U$45,MATCH($B222,'R&amp;B Inputs'!$H$4:$U$4,0))*(1+INDEX('R&amp;B Inputs'!$H$46:$U$46,MATCH($B222,'R&amp;B Inputs'!$H$4:$U$4,0)))^(AB$7-Year1)*12)</f>
        <v>676.31999999999994</v>
      </c>
      <c r="AC222" s="659">
        <f>IF(AC$8=0,0,INDEX('R&amp;B Inputs'!$H$45:$U$45,MATCH($B222,'R&amp;B Inputs'!$H$4:$U$4,0))*(1+INDEX('R&amp;B Inputs'!$H$46:$U$46,MATCH($B222,'R&amp;B Inputs'!$H$4:$U$4,0)))^(AC$7-Year1)*12)</f>
        <v>676.31999999999994</v>
      </c>
      <c r="AD222" s="659">
        <f>IF(AD$8=0,0,INDEX('R&amp;B Inputs'!$H$45:$U$45,MATCH($B222,'R&amp;B Inputs'!$H$4:$U$4,0))*(1+INDEX('R&amp;B Inputs'!$H$46:$U$46,MATCH($B222,'R&amp;B Inputs'!$H$4:$U$4,0)))^(AD$7-Year1)*12)</f>
        <v>676.31999999999994</v>
      </c>
      <c r="AE222" s="659">
        <f>IF(AE$8=0,0,INDEX('R&amp;B Inputs'!$H$45:$U$45,MATCH($B222,'R&amp;B Inputs'!$H$4:$U$4,0))*(1+INDEX('R&amp;B Inputs'!$H$46:$U$46,MATCH($B222,'R&amp;B Inputs'!$H$4:$U$4,0)))^(AE$7-Year1)*12)</f>
        <v>676.31999999999994</v>
      </c>
      <c r="AF222" s="659">
        <f>IF(AF$8=0,0,INDEX('R&amp;B Inputs'!$H$45:$U$45,MATCH($B222,'R&amp;B Inputs'!$H$4:$U$4,0))*(1+INDEX('R&amp;B Inputs'!$H$46:$U$46,MATCH($B222,'R&amp;B Inputs'!$H$4:$U$4,0)))^(AF$7-Year1)*12)</f>
        <v>676.31999999999994</v>
      </c>
      <c r="AG222" s="659">
        <f>IF(AG$8=0,0,INDEX('R&amp;B Inputs'!$H$45:$U$45,MATCH($B222,'R&amp;B Inputs'!$H$4:$U$4,0))*(1+INDEX('R&amp;B Inputs'!$H$46:$U$46,MATCH($B222,'R&amp;B Inputs'!$H$4:$U$4,0)))^(AG$7-Year1)*12)</f>
        <v>676.31999999999994</v>
      </c>
      <c r="AH222" s="49"/>
      <c r="AI222" s="49"/>
      <c r="AJ222" s="103">
        <f>IF($C$4=Year1,-PMT(Lookups!$E$17,25,NPV(Lookups!$E$17,G222:AE222),0,1),IF($C$4=Year2,-PMT(Lookups!$F$17,25,NPV(Lookups!$F$17,H222:AF222),0,1),IF($C$4=Year3,-PMT(Lookups!$G$17,25,NPV(Lookups!$G$17,I222:AG222),0,1),-PMT(Lookups!$G$17,27,NPV(Lookups!$G$17,G222:AG222),0,1))))</f>
        <v>666.88754673123469</v>
      </c>
      <c r="AM222" s="705">
        <f>IF(AM$8=0,0,INDEX('R&amp;B Inputs'!$H$45:$U$45,MATCH($B222,'R&amp;B Inputs'!$H$4:$U$4,0))*(1+INDEX('R&amp;B Inputs'!$H$46:$U$46,MATCH($B222,'R&amp;B Inputs'!$H$4:$U$4,0)))^(AM$7-Year1)*12)</f>
        <v>676.31999999999994</v>
      </c>
      <c r="AN222" s="705">
        <f>IF(AN$8=0,0,INDEX('R&amp;B Inputs'!$H$45:$U$45,MATCH($B222,'R&amp;B Inputs'!$H$4:$U$4,0))*(1+INDEX('R&amp;B Inputs'!$H$46:$U$46,MATCH($B222,'R&amp;B Inputs'!$H$4:$U$4,0)))^(AN$7-Year1)*12)</f>
        <v>676.31999999999994</v>
      </c>
      <c r="AO222" s="705">
        <f>IF(AO$8=0,0,INDEX('R&amp;B Inputs'!$H$45:$U$45,MATCH($B222,'R&amp;B Inputs'!$H$4:$U$4,0))*(1+INDEX('R&amp;B Inputs'!$H$46:$U$46,MATCH($B222,'R&amp;B Inputs'!$H$4:$U$4,0)))^(AO$7-Year1)*12)</f>
        <v>676.31999999999994</v>
      </c>
      <c r="AP222" s="705">
        <f>IF(AP$8=0,0,INDEX('R&amp;B Inputs'!$H$45:$U$45,MATCH($B222,'R&amp;B Inputs'!$H$4:$U$4,0))*(1+INDEX('R&amp;B Inputs'!$H$46:$U$46,MATCH($B222,'R&amp;B Inputs'!$H$4:$U$4,0)))^(AP$7-Year1)*12)</f>
        <v>676.31999999999994</v>
      </c>
      <c r="AQ222" s="705">
        <f>IF(AQ$8=0,0,INDEX('R&amp;B Inputs'!$H$45:$U$45,MATCH($B222,'R&amp;B Inputs'!$H$4:$U$4,0))*(1+INDEX('R&amp;B Inputs'!$H$46:$U$46,MATCH($B222,'R&amp;B Inputs'!$H$4:$U$4,0)))^(AQ$7-Year1)*12)</f>
        <v>676.31999999999994</v>
      </c>
      <c r="AR222" s="705">
        <f>IF(AR$8=0,0,INDEX('R&amp;B Inputs'!$H$45:$U$45,MATCH($B222,'R&amp;B Inputs'!$H$4:$U$4,0))*(1+INDEX('R&amp;B Inputs'!$H$46:$U$46,MATCH($B222,'R&amp;B Inputs'!$H$4:$U$4,0)))^(AR$7-Year1)*12)</f>
        <v>676.31999999999994</v>
      </c>
      <c r="AS222" s="705">
        <f>IF(AS$8=0,0,INDEX('R&amp;B Inputs'!$H$45:$U$45,MATCH($B222,'R&amp;B Inputs'!$H$4:$U$4,0))*(1+INDEX('R&amp;B Inputs'!$H$46:$U$46,MATCH($B222,'R&amp;B Inputs'!$H$4:$U$4,0)))^(AS$7-Year1)*12)</f>
        <v>676.31999999999994</v>
      </c>
      <c r="AT222" s="705">
        <f>IF(AT$8=0,0,INDEX('R&amp;B Inputs'!$H$45:$U$45,MATCH($B222,'R&amp;B Inputs'!$H$4:$U$4,0))*(1+INDEX('R&amp;B Inputs'!$H$46:$U$46,MATCH($B222,'R&amp;B Inputs'!$H$4:$U$4,0)))^(AT$7-Year1)*12)</f>
        <v>676.31999999999994</v>
      </c>
      <c r="AU222" s="705">
        <f>IF(AU$8=0,0,INDEX('R&amp;B Inputs'!$H$45:$U$45,MATCH($B222,'R&amp;B Inputs'!$H$4:$U$4,0))*(1+INDEX('R&amp;B Inputs'!$H$46:$U$46,MATCH($B222,'R&amp;B Inputs'!$H$4:$U$4,0)))^(AU$7-Year1)*12)</f>
        <v>676.31999999999994</v>
      </c>
      <c r="AV222" s="705">
        <f>IF(AV$8=0,0,INDEX('R&amp;B Inputs'!$H$45:$U$45,MATCH($B222,'R&amp;B Inputs'!$H$4:$U$4,0))*(1+INDEX('R&amp;B Inputs'!$H$46:$U$46,MATCH($B222,'R&amp;B Inputs'!$H$4:$U$4,0)))^(AV$7-Year1)*12)</f>
        <v>676.31999999999994</v>
      </c>
      <c r="AW222" s="705">
        <f>IF(AW$8=0,0,INDEX('R&amp;B Inputs'!$H$45:$U$45,MATCH($B222,'R&amp;B Inputs'!$H$4:$U$4,0))*(1+INDEX('R&amp;B Inputs'!$H$46:$U$46,MATCH($B222,'R&amp;B Inputs'!$H$4:$U$4,0)))^(AW$7-Year1)*12)</f>
        <v>676.31999999999994</v>
      </c>
      <c r="AX222" s="705">
        <f>IF(AX$8=0,0,INDEX('R&amp;B Inputs'!$H$45:$U$45,MATCH($B222,'R&amp;B Inputs'!$H$4:$U$4,0))*(1+INDEX('R&amp;B Inputs'!$H$46:$U$46,MATCH($B222,'R&amp;B Inputs'!$H$4:$U$4,0)))^(AX$7-Year1)*12)</f>
        <v>676.31999999999994</v>
      </c>
      <c r="AY222" s="705">
        <f>IF(AY$8=0,0,INDEX('R&amp;B Inputs'!$H$45:$U$45,MATCH($B222,'R&amp;B Inputs'!$H$4:$U$4,0))*(1+INDEX('R&amp;B Inputs'!$H$46:$U$46,MATCH($B222,'R&amp;B Inputs'!$H$4:$U$4,0)))^(AY$7-Year1)*12)</f>
        <v>676.31999999999994</v>
      </c>
      <c r="AZ222" s="705">
        <f>IF(AZ$8=0,0,INDEX('R&amp;B Inputs'!$H$45:$U$45,MATCH($B222,'R&amp;B Inputs'!$H$4:$U$4,0))*(1+INDEX('R&amp;B Inputs'!$H$46:$U$46,MATCH($B222,'R&amp;B Inputs'!$H$4:$U$4,0)))^(AZ$7-Year1)*12)</f>
        <v>676.31999999999994</v>
      </c>
      <c r="BA222" s="705">
        <f>IF(BA$8=0,0,INDEX('R&amp;B Inputs'!$H$45:$U$45,MATCH($B222,'R&amp;B Inputs'!$H$4:$U$4,0))*(1+INDEX('R&amp;B Inputs'!$H$46:$U$46,MATCH($B222,'R&amp;B Inputs'!$H$4:$U$4,0)))^(BA$7-Year1)*12)</f>
        <v>676.31999999999994</v>
      </c>
      <c r="BB222" s="705">
        <f>IF(BB$8=0,0,INDEX('R&amp;B Inputs'!$H$45:$U$45,MATCH($B222,'R&amp;B Inputs'!$H$4:$U$4,0))*(1+INDEX('R&amp;B Inputs'!$H$46:$U$46,MATCH($B222,'R&amp;B Inputs'!$H$4:$U$4,0)))^(BB$7-Year1)*12)</f>
        <v>676.31999999999994</v>
      </c>
      <c r="BC222" s="705">
        <f>IF(BC$8=0,0,INDEX('R&amp;B Inputs'!$H$45:$U$45,MATCH($B222,'R&amp;B Inputs'!$H$4:$U$4,0))*(1+INDEX('R&amp;B Inputs'!$H$46:$U$46,MATCH($B222,'R&amp;B Inputs'!$H$4:$U$4,0)))^(BC$7-Year1)*12)</f>
        <v>676.31999999999994</v>
      </c>
      <c r="BD222" s="705">
        <f>IF(BD$8=0,0,INDEX('R&amp;B Inputs'!$H$45:$U$45,MATCH($B222,'R&amp;B Inputs'!$H$4:$U$4,0))*(1+INDEX('R&amp;B Inputs'!$H$46:$U$46,MATCH($B222,'R&amp;B Inputs'!$H$4:$U$4,0)))^(BD$7-Year1)*12)</f>
        <v>676.31999999999994</v>
      </c>
      <c r="BE222" s="705">
        <f>IF(BE$8=0,0,INDEX('R&amp;B Inputs'!$H$45:$U$45,MATCH($B222,'R&amp;B Inputs'!$H$4:$U$4,0))*(1+INDEX('R&amp;B Inputs'!$H$46:$U$46,MATCH($B222,'R&amp;B Inputs'!$H$4:$U$4,0)))^(BE$7-Year1)*12)</f>
        <v>676.31999999999994</v>
      </c>
      <c r="BF222" s="705">
        <f>IF(BF$8=0,0,INDEX('R&amp;B Inputs'!$H$45:$U$45,MATCH($B222,'R&amp;B Inputs'!$H$4:$U$4,0))*(1+INDEX('R&amp;B Inputs'!$H$46:$U$46,MATCH($B222,'R&amp;B Inputs'!$H$4:$U$4,0)))^(BF$7-Year1)*12)</f>
        <v>676.31999999999994</v>
      </c>
      <c r="BG222" s="705">
        <f>IF(BG$8=0,0,INDEX('R&amp;B Inputs'!$H$45:$U$45,MATCH($B222,'R&amp;B Inputs'!$H$4:$U$4,0))*(1+INDEX('R&amp;B Inputs'!$H$46:$U$46,MATCH($B222,'R&amp;B Inputs'!$H$4:$U$4,0)))^(BG$7-Year1)*12)</f>
        <v>676.31999999999994</v>
      </c>
      <c r="BH222" s="705">
        <f>IF(BH$8=0,0,INDEX('R&amp;B Inputs'!$H$45:$U$45,MATCH($B222,'R&amp;B Inputs'!$H$4:$U$4,0))*(1+INDEX('R&amp;B Inputs'!$H$46:$U$46,MATCH($B222,'R&amp;B Inputs'!$H$4:$U$4,0)))^(BH$7-Year1)*12)</f>
        <v>676.31999999999994</v>
      </c>
      <c r="BI222" s="705">
        <f>IF(BI$8=0,0,INDEX('R&amp;B Inputs'!$H$45:$U$45,MATCH($B222,'R&amp;B Inputs'!$H$4:$U$4,0))*(1+INDEX('R&amp;B Inputs'!$H$46:$U$46,MATCH($B222,'R&amp;B Inputs'!$H$4:$U$4,0)))^(BI$7-Year1)*12)</f>
        <v>676.31999999999994</v>
      </c>
      <c r="BJ222" s="705">
        <f>IF(BJ$8=0,0,INDEX('R&amp;B Inputs'!$H$45:$U$45,MATCH($B222,'R&amp;B Inputs'!$H$4:$U$4,0))*(1+INDEX('R&amp;B Inputs'!$H$46:$U$46,MATCH($B222,'R&amp;B Inputs'!$H$4:$U$4,0)))^(BJ$7-Year1)*12)</f>
        <v>676.31999999999994</v>
      </c>
      <c r="BK222" s="705">
        <f>IF(BK$8=0,0,INDEX('R&amp;B Inputs'!$H$45:$U$45,MATCH($B222,'R&amp;B Inputs'!$H$4:$U$4,0))*(1+INDEX('R&amp;B Inputs'!$H$46:$U$46,MATCH($B222,'R&amp;B Inputs'!$H$4:$U$4,0)))^(BK$7-Year1)*12)</f>
        <v>676.31999999999994</v>
      </c>
      <c r="BL222" s="705">
        <f>IF(BL$8=0,0,INDEX('R&amp;B Inputs'!$H$45:$U$45,MATCH($B222,'R&amp;B Inputs'!$H$4:$U$4,0))*(1+INDEX('R&amp;B Inputs'!$H$46:$U$46,MATCH($B222,'R&amp;B Inputs'!$H$4:$U$4,0)))^(BL$7-Year1)*12)</f>
        <v>676.31999999999994</v>
      </c>
      <c r="BM222" s="705">
        <f>IF(BM$8=0,0,INDEX('R&amp;B Inputs'!$H$45:$U$45,MATCH($B222,'R&amp;B Inputs'!$H$4:$U$4,0))*(1+INDEX('R&amp;B Inputs'!$H$46:$U$46,MATCH($B222,'R&amp;B Inputs'!$H$4:$U$4,0)))^(BM$7-Year1)*12)</f>
        <v>676.31999999999994</v>
      </c>
      <c r="BN222" s="74"/>
      <c r="BO222" s="74"/>
      <c r="BP222" s="149">
        <f>IF($C$4=Year1,-PMT(Lookups!$E$17,25,NPV(Lookups!$E$17,AM222:BK222),0,1),IF($C$4=Year2,-PMT(Lookups!$F$17,25,NPV(Lookups!$F$17,AN222:BL222),0,1),IF($C$4=Year3,-PMT(Lookups!$G$17,25,NPV(Lookups!$G$17,AO222:BM222),0,1),-PMT(Lookups!$G$17,27,NPV(Lookups!$G$17,AM222:BM222),0,1))))</f>
        <v>666.88754673123469</v>
      </c>
      <c r="BS222" s="84" t="str">
        <f t="shared" ref="BS222" si="235">E222&amp;" charge from the R&amp;B Inputs tab, escalated annually by the growth rate included on the R&amp;B Inputs tab."</f>
        <v>Customer Charge charge from the R&amp;B Inputs tab, escalated annually by the growth rate included on the R&amp;B Inputs tab.</v>
      </c>
      <c r="BT222" s="51" t="s">
        <v>17</v>
      </c>
    </row>
    <row r="223" spans="1:72" x14ac:dyDescent="0.25">
      <c r="B223" s="243" t="str">
        <f t="shared" si="230"/>
        <v>Small C&amp;I</v>
      </c>
      <c r="C223" s="243" t="str">
        <f t="shared" si="230"/>
        <v>Bills</v>
      </c>
      <c r="D223" s="244" t="str">
        <f>D222</f>
        <v>Bills before DSM (No EE Scenario, Non-Participant)</v>
      </c>
      <c r="E223" s="84" t="s">
        <v>309</v>
      </c>
      <c r="F223" s="84" t="s">
        <v>195</v>
      </c>
      <c r="G223" s="64">
        <f>IF(G$8=0,0,INDEX('R&amp;B Inputs'!$I$27:$V$27,MATCH($B223,'R&amp;B Inputs'!$I$4:$V$4,0))+INDEX('R&amp;B Inputs'!$I$28:$V$28,MATCH($B223,'R&amp;B Inputs'!$I$4:$V$4,0)))</f>
        <v>1953.9570000000001</v>
      </c>
      <c r="H223" s="64">
        <f>IF(H$8=0,0,INDEX('R&amp;B Inputs'!$I$27:$V$27,MATCH($B223,'R&amp;B Inputs'!$I$4:$V$4,0))+INDEX('R&amp;B Inputs'!$I$28:$V$28,MATCH($B223,'R&amp;B Inputs'!$I$4:$V$4,0)))</f>
        <v>1953.9570000000001</v>
      </c>
      <c r="I223" s="64">
        <f>IF(I$8=0,0,INDEX('R&amp;B Inputs'!$I$27:$V$27,MATCH($B223,'R&amp;B Inputs'!$I$4:$V$4,0))+INDEX('R&amp;B Inputs'!$I$28:$V$28,MATCH($B223,'R&amp;B Inputs'!$I$4:$V$4,0)))</f>
        <v>1953.9570000000001</v>
      </c>
      <c r="J223" s="64">
        <f>IF(J$8=0,0,INDEX('R&amp;B Inputs'!$I$27:$V$27,MATCH($B223,'R&amp;B Inputs'!$I$4:$V$4,0))+INDEX('R&amp;B Inputs'!$I$28:$V$28,MATCH($B223,'R&amp;B Inputs'!$I$4:$V$4,0)))</f>
        <v>1953.9570000000001</v>
      </c>
      <c r="K223" s="64">
        <f>IF(K$8=0,0,INDEX('R&amp;B Inputs'!$I$27:$V$27,MATCH($B223,'R&amp;B Inputs'!$I$4:$V$4,0))+INDEX('R&amp;B Inputs'!$I$28:$V$28,MATCH($B223,'R&amp;B Inputs'!$I$4:$V$4,0)))</f>
        <v>1953.9570000000001</v>
      </c>
      <c r="L223" s="64">
        <f>IF(L$8=0,0,INDEX('R&amp;B Inputs'!$I$27:$V$27,MATCH($B223,'R&amp;B Inputs'!$I$4:$V$4,0))+INDEX('R&amp;B Inputs'!$I$28:$V$28,MATCH($B223,'R&amp;B Inputs'!$I$4:$V$4,0)))</f>
        <v>1953.9570000000001</v>
      </c>
      <c r="M223" s="64">
        <f>IF(M$8=0,0,INDEX('R&amp;B Inputs'!$I$27:$V$27,MATCH($B223,'R&amp;B Inputs'!$I$4:$V$4,0))+INDEX('R&amp;B Inputs'!$I$28:$V$28,MATCH($B223,'R&amp;B Inputs'!$I$4:$V$4,0)))</f>
        <v>1953.9570000000001</v>
      </c>
      <c r="N223" s="64">
        <f>IF(N$8=0,0,INDEX('R&amp;B Inputs'!$I$27:$V$27,MATCH($B223,'R&amp;B Inputs'!$I$4:$V$4,0))+INDEX('R&amp;B Inputs'!$I$28:$V$28,MATCH($B223,'R&amp;B Inputs'!$I$4:$V$4,0)))</f>
        <v>1953.9570000000001</v>
      </c>
      <c r="O223" s="64">
        <f>IF(O$8=0,0,INDEX('R&amp;B Inputs'!$I$27:$V$27,MATCH($B223,'R&amp;B Inputs'!$I$4:$V$4,0))+INDEX('R&amp;B Inputs'!$I$28:$V$28,MATCH($B223,'R&amp;B Inputs'!$I$4:$V$4,0)))</f>
        <v>1953.9570000000001</v>
      </c>
      <c r="P223" s="64">
        <f>IF(P$8=0,0,INDEX('R&amp;B Inputs'!$I$27:$V$27,MATCH($B223,'R&amp;B Inputs'!$I$4:$V$4,0))+INDEX('R&amp;B Inputs'!$I$28:$V$28,MATCH($B223,'R&amp;B Inputs'!$I$4:$V$4,0)))</f>
        <v>1953.9570000000001</v>
      </c>
      <c r="Q223" s="64">
        <f>IF(Q$8=0,0,INDEX('R&amp;B Inputs'!$I$27:$V$27,MATCH($B223,'R&amp;B Inputs'!$I$4:$V$4,0))+INDEX('R&amp;B Inputs'!$I$28:$V$28,MATCH($B223,'R&amp;B Inputs'!$I$4:$V$4,0)))</f>
        <v>1953.9570000000001</v>
      </c>
      <c r="R223" s="64">
        <f>IF(R$8=0,0,INDEX('R&amp;B Inputs'!$I$27:$V$27,MATCH($B223,'R&amp;B Inputs'!$I$4:$V$4,0))+INDEX('R&amp;B Inputs'!$I$28:$V$28,MATCH($B223,'R&amp;B Inputs'!$I$4:$V$4,0)))</f>
        <v>1953.9570000000001</v>
      </c>
      <c r="S223" s="64">
        <f>IF(S$8=0,0,INDEX('R&amp;B Inputs'!$I$27:$V$27,MATCH($B223,'R&amp;B Inputs'!$I$4:$V$4,0))+INDEX('R&amp;B Inputs'!$I$28:$V$28,MATCH($B223,'R&amp;B Inputs'!$I$4:$V$4,0)))</f>
        <v>1953.9570000000001</v>
      </c>
      <c r="T223" s="64">
        <f>IF(T$8=0,0,INDEX('R&amp;B Inputs'!$I$27:$V$27,MATCH($B223,'R&amp;B Inputs'!$I$4:$V$4,0))+INDEX('R&amp;B Inputs'!$I$28:$V$28,MATCH($B223,'R&amp;B Inputs'!$I$4:$V$4,0)))</f>
        <v>1953.9570000000001</v>
      </c>
      <c r="U223" s="64">
        <f>IF(U$8=0,0,INDEX('R&amp;B Inputs'!$I$27:$V$27,MATCH($B223,'R&amp;B Inputs'!$I$4:$V$4,0))+INDEX('R&amp;B Inputs'!$I$28:$V$28,MATCH($B223,'R&amp;B Inputs'!$I$4:$V$4,0)))</f>
        <v>1953.9570000000001</v>
      </c>
      <c r="V223" s="64">
        <f>IF(V$8=0,0,INDEX('R&amp;B Inputs'!$I$27:$V$27,MATCH($B223,'R&amp;B Inputs'!$I$4:$V$4,0))+INDEX('R&amp;B Inputs'!$I$28:$V$28,MATCH($B223,'R&amp;B Inputs'!$I$4:$V$4,0)))</f>
        <v>1953.9570000000001</v>
      </c>
      <c r="W223" s="64">
        <f>IF(W$8=0,0,INDEX('R&amp;B Inputs'!$I$27:$V$27,MATCH($B223,'R&amp;B Inputs'!$I$4:$V$4,0))+INDEX('R&amp;B Inputs'!$I$28:$V$28,MATCH($B223,'R&amp;B Inputs'!$I$4:$V$4,0)))</f>
        <v>1953.9570000000001</v>
      </c>
      <c r="X223" s="64">
        <f>IF(X$8=0,0,INDEX('R&amp;B Inputs'!$I$27:$V$27,MATCH($B223,'R&amp;B Inputs'!$I$4:$V$4,0))+INDEX('R&amp;B Inputs'!$I$28:$V$28,MATCH($B223,'R&amp;B Inputs'!$I$4:$V$4,0)))</f>
        <v>1953.9570000000001</v>
      </c>
      <c r="Y223" s="64">
        <f>IF(Y$8=0,0,INDEX('R&amp;B Inputs'!$I$27:$V$27,MATCH($B223,'R&amp;B Inputs'!$I$4:$V$4,0))+INDEX('R&amp;B Inputs'!$I$28:$V$28,MATCH($B223,'R&amp;B Inputs'!$I$4:$V$4,0)))</f>
        <v>1953.9570000000001</v>
      </c>
      <c r="Z223" s="64">
        <f>IF(Z$8=0,0,INDEX('R&amp;B Inputs'!$I$27:$V$27,MATCH($B223,'R&amp;B Inputs'!$I$4:$V$4,0))+INDEX('R&amp;B Inputs'!$I$28:$V$28,MATCH($B223,'R&amp;B Inputs'!$I$4:$V$4,0)))</f>
        <v>1953.9570000000001</v>
      </c>
      <c r="AA223" s="64">
        <f>IF(AA$8=0,0,INDEX('R&amp;B Inputs'!$I$27:$V$27,MATCH($B223,'R&amp;B Inputs'!$I$4:$V$4,0))+INDEX('R&amp;B Inputs'!$I$28:$V$28,MATCH($B223,'R&amp;B Inputs'!$I$4:$V$4,0)))</f>
        <v>1953.9570000000001</v>
      </c>
      <c r="AB223" s="64">
        <f>IF(AB$8=0,0,INDEX('R&amp;B Inputs'!$I$27:$V$27,MATCH($B223,'R&amp;B Inputs'!$I$4:$V$4,0))+INDEX('R&amp;B Inputs'!$I$28:$V$28,MATCH($B223,'R&amp;B Inputs'!$I$4:$V$4,0)))</f>
        <v>1953.9570000000001</v>
      </c>
      <c r="AC223" s="64">
        <f>IF(AC$8=0,0,INDEX('R&amp;B Inputs'!$I$27:$V$27,MATCH($B223,'R&amp;B Inputs'!$I$4:$V$4,0))+INDEX('R&amp;B Inputs'!$I$28:$V$28,MATCH($B223,'R&amp;B Inputs'!$I$4:$V$4,0)))</f>
        <v>1953.9570000000001</v>
      </c>
      <c r="AD223" s="64">
        <f>IF(AD$8=0,0,INDEX('R&amp;B Inputs'!$I$27:$V$27,MATCH($B223,'R&amp;B Inputs'!$I$4:$V$4,0))+INDEX('R&amp;B Inputs'!$I$28:$V$28,MATCH($B223,'R&amp;B Inputs'!$I$4:$V$4,0)))</f>
        <v>1953.9570000000001</v>
      </c>
      <c r="AE223" s="64">
        <f>IF(AE$8=0,0,INDEX('R&amp;B Inputs'!$I$27:$V$27,MATCH($B223,'R&amp;B Inputs'!$I$4:$V$4,0))+INDEX('R&amp;B Inputs'!$I$28:$V$28,MATCH($B223,'R&amp;B Inputs'!$I$4:$V$4,0)))</f>
        <v>1953.9570000000001</v>
      </c>
      <c r="AF223" s="64">
        <f>IF(AF$8=0,0,INDEX('R&amp;B Inputs'!$I$27:$V$27,MATCH($B223,'R&amp;B Inputs'!$I$4:$V$4,0))+INDEX('R&amp;B Inputs'!$I$28:$V$28,MATCH($B223,'R&amp;B Inputs'!$I$4:$V$4,0)))</f>
        <v>1953.9570000000001</v>
      </c>
      <c r="AG223" s="64">
        <f>IF(AG$8=0,0,INDEX('R&amp;B Inputs'!$I$27:$V$27,MATCH($B223,'R&amp;B Inputs'!$I$4:$V$4,0))+INDEX('R&amp;B Inputs'!$I$28:$V$28,MATCH($B223,'R&amp;B Inputs'!$I$4:$V$4,0)))</f>
        <v>1953.9570000000001</v>
      </c>
      <c r="AH223" s="64"/>
      <c r="AI223" s="64"/>
      <c r="AJ223" s="103"/>
      <c r="AM223" s="71">
        <f>IF(AM$8=0,0,INDEX('R&amp;B Inputs'!$I$27:$V$27,MATCH($B223,'R&amp;B Inputs'!$I$4:$V$4,0))+INDEX('R&amp;B Inputs'!$I$28:$V$28,MATCH($B223,'R&amp;B Inputs'!$I$4:$V$4,0)))</f>
        <v>1953.9570000000001</v>
      </c>
      <c r="AN223" s="71">
        <f>IF(AN$8=0,0,INDEX('R&amp;B Inputs'!$I$27:$V$27,MATCH($B223,'R&amp;B Inputs'!$I$4:$V$4,0))+INDEX('R&amp;B Inputs'!$I$28:$V$28,MATCH($B223,'R&amp;B Inputs'!$I$4:$V$4,0)))</f>
        <v>1953.9570000000001</v>
      </c>
      <c r="AO223" s="71">
        <f>IF(AO$8=0,0,INDEX('R&amp;B Inputs'!$I$27:$V$27,MATCH($B223,'R&amp;B Inputs'!$I$4:$V$4,0))+INDEX('R&amp;B Inputs'!$I$28:$V$28,MATCH($B223,'R&amp;B Inputs'!$I$4:$V$4,0)))</f>
        <v>1953.9570000000001</v>
      </c>
      <c r="AP223" s="71">
        <f>IF(AP$8=0,0,INDEX('R&amp;B Inputs'!$I$27:$V$27,MATCH($B223,'R&amp;B Inputs'!$I$4:$V$4,0))+INDEX('R&amp;B Inputs'!$I$28:$V$28,MATCH($B223,'R&amp;B Inputs'!$I$4:$V$4,0)))</f>
        <v>1953.9570000000001</v>
      </c>
      <c r="AQ223" s="71">
        <f>IF(AQ$8=0,0,INDEX('R&amp;B Inputs'!$I$27:$V$27,MATCH($B223,'R&amp;B Inputs'!$I$4:$V$4,0))+INDEX('R&amp;B Inputs'!$I$28:$V$28,MATCH($B223,'R&amp;B Inputs'!$I$4:$V$4,0)))</f>
        <v>1953.9570000000001</v>
      </c>
      <c r="AR223" s="71">
        <f>IF(AR$8=0,0,INDEX('R&amp;B Inputs'!$I$27:$V$27,MATCH($B223,'R&amp;B Inputs'!$I$4:$V$4,0))+INDEX('R&amp;B Inputs'!$I$28:$V$28,MATCH($B223,'R&amp;B Inputs'!$I$4:$V$4,0)))</f>
        <v>1953.9570000000001</v>
      </c>
      <c r="AS223" s="71">
        <f>IF(AS$8=0,0,INDEX('R&amp;B Inputs'!$I$27:$V$27,MATCH($B223,'R&amp;B Inputs'!$I$4:$V$4,0))+INDEX('R&amp;B Inputs'!$I$28:$V$28,MATCH($B223,'R&amp;B Inputs'!$I$4:$V$4,0)))</f>
        <v>1953.9570000000001</v>
      </c>
      <c r="AT223" s="71">
        <f>IF(AT$8=0,0,INDEX('R&amp;B Inputs'!$I$27:$V$27,MATCH($B223,'R&amp;B Inputs'!$I$4:$V$4,0))+INDEX('R&amp;B Inputs'!$I$28:$V$28,MATCH($B223,'R&amp;B Inputs'!$I$4:$V$4,0)))</f>
        <v>1953.9570000000001</v>
      </c>
      <c r="AU223" s="71">
        <f>IF(AU$8=0,0,INDEX('R&amp;B Inputs'!$I$27:$V$27,MATCH($B223,'R&amp;B Inputs'!$I$4:$V$4,0))+INDEX('R&amp;B Inputs'!$I$28:$V$28,MATCH($B223,'R&amp;B Inputs'!$I$4:$V$4,0)))</f>
        <v>1953.9570000000001</v>
      </c>
      <c r="AV223" s="71">
        <f>IF(AV$8=0,0,INDEX('R&amp;B Inputs'!$I$27:$V$27,MATCH($B223,'R&amp;B Inputs'!$I$4:$V$4,0))+INDEX('R&amp;B Inputs'!$I$28:$V$28,MATCH($B223,'R&amp;B Inputs'!$I$4:$V$4,0)))</f>
        <v>1953.9570000000001</v>
      </c>
      <c r="AW223" s="71">
        <f>IF(AW$8=0,0,INDEX('R&amp;B Inputs'!$I$27:$V$27,MATCH($B223,'R&amp;B Inputs'!$I$4:$V$4,0))+INDEX('R&amp;B Inputs'!$I$28:$V$28,MATCH($B223,'R&amp;B Inputs'!$I$4:$V$4,0)))</f>
        <v>1953.9570000000001</v>
      </c>
      <c r="AX223" s="71">
        <f>IF(AX$8=0,0,INDEX('R&amp;B Inputs'!$I$27:$V$27,MATCH($B223,'R&amp;B Inputs'!$I$4:$V$4,0))+INDEX('R&amp;B Inputs'!$I$28:$V$28,MATCH($B223,'R&amp;B Inputs'!$I$4:$V$4,0)))</f>
        <v>1953.9570000000001</v>
      </c>
      <c r="AY223" s="71">
        <f>IF(AY$8=0,0,INDEX('R&amp;B Inputs'!$I$27:$V$27,MATCH($B223,'R&amp;B Inputs'!$I$4:$V$4,0))+INDEX('R&amp;B Inputs'!$I$28:$V$28,MATCH($B223,'R&amp;B Inputs'!$I$4:$V$4,0)))</f>
        <v>1953.9570000000001</v>
      </c>
      <c r="AZ223" s="71">
        <f>IF(AZ$8=0,0,INDEX('R&amp;B Inputs'!$I$27:$V$27,MATCH($B223,'R&amp;B Inputs'!$I$4:$V$4,0))+INDEX('R&amp;B Inputs'!$I$28:$V$28,MATCH($B223,'R&amp;B Inputs'!$I$4:$V$4,0)))</f>
        <v>1953.9570000000001</v>
      </c>
      <c r="BA223" s="71">
        <f>IF(BA$8=0,0,INDEX('R&amp;B Inputs'!$I$27:$V$27,MATCH($B223,'R&amp;B Inputs'!$I$4:$V$4,0))+INDEX('R&amp;B Inputs'!$I$28:$V$28,MATCH($B223,'R&amp;B Inputs'!$I$4:$V$4,0)))</f>
        <v>1953.9570000000001</v>
      </c>
      <c r="BB223" s="71">
        <f>IF(BB$8=0,0,INDEX('R&amp;B Inputs'!$I$27:$V$27,MATCH($B223,'R&amp;B Inputs'!$I$4:$V$4,0))+INDEX('R&amp;B Inputs'!$I$28:$V$28,MATCH($B223,'R&amp;B Inputs'!$I$4:$V$4,0)))</f>
        <v>1953.9570000000001</v>
      </c>
      <c r="BC223" s="71">
        <f>IF(BC$8=0,0,INDEX('R&amp;B Inputs'!$I$27:$V$27,MATCH($B223,'R&amp;B Inputs'!$I$4:$V$4,0))+INDEX('R&amp;B Inputs'!$I$28:$V$28,MATCH($B223,'R&amp;B Inputs'!$I$4:$V$4,0)))</f>
        <v>1953.9570000000001</v>
      </c>
      <c r="BD223" s="71">
        <f>IF(BD$8=0,0,INDEX('R&amp;B Inputs'!$I$27:$V$27,MATCH($B223,'R&amp;B Inputs'!$I$4:$V$4,0))+INDEX('R&amp;B Inputs'!$I$28:$V$28,MATCH($B223,'R&amp;B Inputs'!$I$4:$V$4,0)))</f>
        <v>1953.9570000000001</v>
      </c>
      <c r="BE223" s="71">
        <f>IF(BE$8=0,0,INDEX('R&amp;B Inputs'!$I$27:$V$27,MATCH($B223,'R&amp;B Inputs'!$I$4:$V$4,0))+INDEX('R&amp;B Inputs'!$I$28:$V$28,MATCH($B223,'R&amp;B Inputs'!$I$4:$V$4,0)))</f>
        <v>1953.9570000000001</v>
      </c>
      <c r="BF223" s="71">
        <f>IF(BF$8=0,0,INDEX('R&amp;B Inputs'!$I$27:$V$27,MATCH($B223,'R&amp;B Inputs'!$I$4:$V$4,0))+INDEX('R&amp;B Inputs'!$I$28:$V$28,MATCH($B223,'R&amp;B Inputs'!$I$4:$V$4,0)))</f>
        <v>1953.9570000000001</v>
      </c>
      <c r="BG223" s="71">
        <f>IF(BG$8=0,0,INDEX('R&amp;B Inputs'!$I$27:$V$27,MATCH($B223,'R&amp;B Inputs'!$I$4:$V$4,0))+INDEX('R&amp;B Inputs'!$I$28:$V$28,MATCH($B223,'R&amp;B Inputs'!$I$4:$V$4,0)))</f>
        <v>1953.9570000000001</v>
      </c>
      <c r="BH223" s="71">
        <f>IF(BH$8=0,0,INDEX('R&amp;B Inputs'!$I$27:$V$27,MATCH($B223,'R&amp;B Inputs'!$I$4:$V$4,0))+INDEX('R&amp;B Inputs'!$I$28:$V$28,MATCH($B223,'R&amp;B Inputs'!$I$4:$V$4,0)))</f>
        <v>1953.9570000000001</v>
      </c>
      <c r="BI223" s="71">
        <f>IF(BI$8=0,0,INDEX('R&amp;B Inputs'!$I$27:$V$27,MATCH($B223,'R&amp;B Inputs'!$I$4:$V$4,0))+INDEX('R&amp;B Inputs'!$I$28:$V$28,MATCH($B223,'R&amp;B Inputs'!$I$4:$V$4,0)))</f>
        <v>1953.9570000000001</v>
      </c>
      <c r="BJ223" s="71">
        <f>IF(BJ$8=0,0,INDEX('R&amp;B Inputs'!$I$27:$V$27,MATCH($B223,'R&amp;B Inputs'!$I$4:$V$4,0))+INDEX('R&amp;B Inputs'!$I$28:$V$28,MATCH($B223,'R&amp;B Inputs'!$I$4:$V$4,0)))</f>
        <v>1953.9570000000001</v>
      </c>
      <c r="BK223" s="71">
        <f>IF(BK$8=0,0,INDEX('R&amp;B Inputs'!$I$27:$V$27,MATCH($B223,'R&amp;B Inputs'!$I$4:$V$4,0))+INDEX('R&amp;B Inputs'!$I$28:$V$28,MATCH($B223,'R&amp;B Inputs'!$I$4:$V$4,0)))</f>
        <v>1953.9570000000001</v>
      </c>
      <c r="BL223" s="71">
        <f>IF(BL$8=0,0,INDEX('R&amp;B Inputs'!$I$27:$V$27,MATCH($B223,'R&amp;B Inputs'!$I$4:$V$4,0))+INDEX('R&amp;B Inputs'!$I$28:$V$28,MATCH($B223,'R&amp;B Inputs'!$I$4:$V$4,0)))</f>
        <v>1953.9570000000001</v>
      </c>
      <c r="BM223" s="71">
        <f>IF(BM$8=0,0,INDEX('R&amp;B Inputs'!$I$27:$V$27,MATCH($B223,'R&amp;B Inputs'!$I$4:$V$4,0))+INDEX('R&amp;B Inputs'!$I$28:$V$28,MATCH($B223,'R&amp;B Inputs'!$I$4:$V$4,0)))</f>
        <v>1953.9570000000001</v>
      </c>
      <c r="BN223" s="71"/>
      <c r="BO223" s="71"/>
      <c r="BP223" s="149"/>
      <c r="BS223" s="76" t="s">
        <v>96</v>
      </c>
      <c r="BT223" s="51" t="s">
        <v>17</v>
      </c>
    </row>
    <row r="224" spans="1:72" x14ac:dyDescent="0.25">
      <c r="B224" s="243" t="str">
        <f t="shared" si="230"/>
        <v>Small C&amp;I</v>
      </c>
      <c r="C224" s="243" t="str">
        <f t="shared" si="230"/>
        <v>Bills</v>
      </c>
      <c r="D224" s="244" t="str">
        <f>D223</f>
        <v>Bills before DSM (No EE Scenario, Non-Participant)</v>
      </c>
      <c r="E224" s="84" t="s">
        <v>77</v>
      </c>
      <c r="F224" s="84" t="s">
        <v>32</v>
      </c>
      <c r="G224" s="103">
        <f>G222+G223*(G200-G199)</f>
        <v>2662.1510455613457</v>
      </c>
      <c r="H224" s="103">
        <f>H222+H223*(H200-H199)</f>
        <v>2662.1510455613457</v>
      </c>
      <c r="I224" s="103">
        <f t="shared" ref="I224:AG224" si="236">I222+I223*(I200-I199)</f>
        <v>2662.1510455613457</v>
      </c>
      <c r="J224" s="103">
        <f t="shared" si="236"/>
        <v>2662.1510455613457</v>
      </c>
      <c r="K224" s="103">
        <f t="shared" si="236"/>
        <v>2662.1510455613457</v>
      </c>
      <c r="L224" s="103">
        <f t="shared" si="236"/>
        <v>2662.1510455613457</v>
      </c>
      <c r="M224" s="103">
        <f t="shared" si="236"/>
        <v>2662.1510455613457</v>
      </c>
      <c r="N224" s="103">
        <f t="shared" si="236"/>
        <v>2662.1510455613457</v>
      </c>
      <c r="O224" s="103">
        <f t="shared" si="236"/>
        <v>2662.1510455613457</v>
      </c>
      <c r="P224" s="103">
        <f t="shared" si="236"/>
        <v>2662.1510455613457</v>
      </c>
      <c r="Q224" s="103">
        <f t="shared" si="236"/>
        <v>2662.1510455613457</v>
      </c>
      <c r="R224" s="103">
        <f t="shared" si="236"/>
        <v>2662.1510455613457</v>
      </c>
      <c r="S224" s="103">
        <f t="shared" si="236"/>
        <v>2662.1510455613457</v>
      </c>
      <c r="T224" s="103">
        <f t="shared" si="236"/>
        <v>2662.1510455613457</v>
      </c>
      <c r="U224" s="103">
        <f t="shared" si="236"/>
        <v>2662.1510455613457</v>
      </c>
      <c r="V224" s="103">
        <f t="shared" si="236"/>
        <v>2662.1510455613457</v>
      </c>
      <c r="W224" s="103">
        <f t="shared" si="236"/>
        <v>2662.1510455613457</v>
      </c>
      <c r="X224" s="103">
        <f t="shared" si="236"/>
        <v>2662.1510455613457</v>
      </c>
      <c r="Y224" s="103">
        <f t="shared" si="236"/>
        <v>2662.1510455613457</v>
      </c>
      <c r="Z224" s="103">
        <f t="shared" si="236"/>
        <v>2662.1510455613457</v>
      </c>
      <c r="AA224" s="103">
        <f t="shared" si="236"/>
        <v>2662.1510455613457</v>
      </c>
      <c r="AB224" s="103">
        <f t="shared" si="236"/>
        <v>2662.1510455613457</v>
      </c>
      <c r="AC224" s="103">
        <f t="shared" si="236"/>
        <v>2662.1510455613457</v>
      </c>
      <c r="AD224" s="103">
        <f t="shared" si="236"/>
        <v>2662.1510455613457</v>
      </c>
      <c r="AE224" s="103">
        <f t="shared" si="236"/>
        <v>2662.1510455613457</v>
      </c>
      <c r="AF224" s="103">
        <f t="shared" si="236"/>
        <v>2662.1510455613457</v>
      </c>
      <c r="AG224" s="103">
        <f t="shared" si="236"/>
        <v>2662.1510455613457</v>
      </c>
      <c r="AH224" s="103"/>
      <c r="AI224" s="103"/>
      <c r="AJ224" s="103">
        <f>IF($C$4=Year1,-PMT(Lookups!$E$17,25,NPV(Lookups!$E$17,G224:AE224),0,1),IF($C$4=Year2,-PMT(Lookups!$F$17,25,NPV(Lookups!$F$17,H224:AF224),0,1),IF($C$4=Year3,-PMT(Lookups!$G$17,25,NPV(Lookups!$G$17,I224:AG224),0,1),-PMT(Lookups!$G$17,27,NPV(Lookups!$G$17,G224:AG224),0,1))))</f>
        <v>2625.0227404222824</v>
      </c>
      <c r="AM224" s="149">
        <f>AM222+AM223*(AM200-AM199)</f>
        <v>2662.1510455613457</v>
      </c>
      <c r="AN224" s="149">
        <f t="shared" ref="AN224:BM224" si="237">AN222+AN223*(AN200-AN199)</f>
        <v>2662.1510455613457</v>
      </c>
      <c r="AO224" s="149">
        <f t="shared" si="237"/>
        <v>2662.1510455613457</v>
      </c>
      <c r="AP224" s="149">
        <f t="shared" si="237"/>
        <v>2662.1510455613457</v>
      </c>
      <c r="AQ224" s="149">
        <f t="shared" si="237"/>
        <v>2662.1510455613457</v>
      </c>
      <c r="AR224" s="149">
        <f t="shared" si="237"/>
        <v>2662.1510455613457</v>
      </c>
      <c r="AS224" s="149">
        <f t="shared" si="237"/>
        <v>2662.1510455613457</v>
      </c>
      <c r="AT224" s="149">
        <f t="shared" si="237"/>
        <v>2662.1510455613457</v>
      </c>
      <c r="AU224" s="149">
        <f t="shared" si="237"/>
        <v>2662.1510455613457</v>
      </c>
      <c r="AV224" s="149">
        <f t="shared" si="237"/>
        <v>2662.1510455613457</v>
      </c>
      <c r="AW224" s="149">
        <f t="shared" si="237"/>
        <v>2662.1510455613457</v>
      </c>
      <c r="AX224" s="149">
        <f t="shared" si="237"/>
        <v>2662.1510455613457</v>
      </c>
      <c r="AY224" s="149">
        <f t="shared" si="237"/>
        <v>2662.1510455613457</v>
      </c>
      <c r="AZ224" s="149">
        <f t="shared" si="237"/>
        <v>2662.1510455613457</v>
      </c>
      <c r="BA224" s="149">
        <f t="shared" si="237"/>
        <v>2662.1510455613457</v>
      </c>
      <c r="BB224" s="149">
        <f t="shared" si="237"/>
        <v>2662.1510455613457</v>
      </c>
      <c r="BC224" s="149">
        <f t="shared" si="237"/>
        <v>2662.1510455613457</v>
      </c>
      <c r="BD224" s="149">
        <f t="shared" si="237"/>
        <v>2662.1510455613457</v>
      </c>
      <c r="BE224" s="149">
        <f t="shared" si="237"/>
        <v>2662.1510455613457</v>
      </c>
      <c r="BF224" s="149">
        <f t="shared" si="237"/>
        <v>2662.1510455613457</v>
      </c>
      <c r="BG224" s="149">
        <f t="shared" si="237"/>
        <v>2662.1510455613457</v>
      </c>
      <c r="BH224" s="149">
        <f t="shared" si="237"/>
        <v>2662.1510455613457</v>
      </c>
      <c r="BI224" s="149">
        <f t="shared" si="237"/>
        <v>2662.1510455613457</v>
      </c>
      <c r="BJ224" s="149">
        <f t="shared" si="237"/>
        <v>2662.1510455613457</v>
      </c>
      <c r="BK224" s="149">
        <f t="shared" si="237"/>
        <v>2662.1510455613457</v>
      </c>
      <c r="BL224" s="149">
        <f t="shared" si="237"/>
        <v>2662.1510455613457</v>
      </c>
      <c r="BM224" s="149">
        <f t="shared" si="237"/>
        <v>2662.1510455613457</v>
      </c>
      <c r="BN224" s="149"/>
      <c r="BO224" s="149"/>
      <c r="BP224" s="149">
        <f>IF($C$4=Year1,-PMT(Lookups!$E$17,25,NPV(Lookups!$E$17,AM224:BK224),0,1),IF($C$4=Year2,-PMT(Lookups!$F$17,25,NPV(Lookups!$F$17,AN224:BL224),0,1),IF($C$4=Year3,-PMT(Lookups!$G$17,25,NPV(Lookups!$G$17,AO224:BM224),0,1),-PMT(Lookups!$G$17,27,NPV(Lookups!$G$17,AM224:BM224),0,1))))</f>
        <v>2625.0227404222824</v>
      </c>
      <c r="BS224" s="84" t="s">
        <v>97</v>
      </c>
      <c r="BT224" s="51" t="s">
        <v>17</v>
      </c>
    </row>
    <row r="225" spans="1:72" x14ac:dyDescent="0.25">
      <c r="B225" s="243" t="str">
        <f t="shared" si="230"/>
        <v>Small C&amp;I</v>
      </c>
      <c r="C225" s="243" t="str">
        <f t="shared" si="230"/>
        <v>Bills</v>
      </c>
      <c r="D225" s="114" t="s">
        <v>347</v>
      </c>
      <c r="E225" s="84"/>
      <c r="F225" s="84"/>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S225" s="84"/>
      <c r="BT225" s="51" t="s">
        <v>17</v>
      </c>
    </row>
    <row r="226" spans="1:72" x14ac:dyDescent="0.25">
      <c r="B226" s="243" t="str">
        <f t="shared" si="230"/>
        <v>Small C&amp;I</v>
      </c>
      <c r="C226" s="243" t="str">
        <f t="shared" si="230"/>
        <v>Bills</v>
      </c>
      <c r="D226" s="244" t="str">
        <f>D225</f>
        <v>Annual Savings from DSM Scenario</v>
      </c>
      <c r="E226" s="84" t="s">
        <v>78</v>
      </c>
      <c r="F226" s="84" t="s">
        <v>195</v>
      </c>
      <c r="G226" s="65">
        <f t="shared" ref="G226:AG226" ca="1" si="238">IFERROR(G174/G169,0)</f>
        <v>38.22873871434382</v>
      </c>
      <c r="H226" s="65">
        <f t="shared" ca="1" si="238"/>
        <v>38.22873871434382</v>
      </c>
      <c r="I226" s="65">
        <f t="shared" ca="1" si="238"/>
        <v>38.22873871434382</v>
      </c>
      <c r="J226" s="65">
        <f t="shared" ca="1" si="238"/>
        <v>38.22873871434382</v>
      </c>
      <c r="K226" s="65">
        <f t="shared" ca="1" si="238"/>
        <v>38.22873871434382</v>
      </c>
      <c r="L226" s="65">
        <f t="shared" ca="1" si="238"/>
        <v>38.22873871434382</v>
      </c>
      <c r="M226" s="65">
        <f t="shared" ca="1" si="238"/>
        <v>38.22873871434382</v>
      </c>
      <c r="N226" s="65">
        <f t="shared" ca="1" si="238"/>
        <v>38.22873871434382</v>
      </c>
      <c r="O226" s="65">
        <f t="shared" ca="1" si="238"/>
        <v>38.22873871434382</v>
      </c>
      <c r="P226" s="65">
        <f t="shared" ca="1" si="238"/>
        <v>38.22873871434382</v>
      </c>
      <c r="Q226" s="65">
        <f t="shared" ca="1" si="238"/>
        <v>38.22873871434382</v>
      </c>
      <c r="R226" s="65">
        <f t="shared" ca="1" si="238"/>
        <v>38.22873871434382</v>
      </c>
      <c r="S226" s="65">
        <f t="shared" ca="1" si="238"/>
        <v>38.22873871434382</v>
      </c>
      <c r="T226" s="65">
        <f t="shared" ca="1" si="238"/>
        <v>38.22873871434382</v>
      </c>
      <c r="U226" s="65">
        <f t="shared" ca="1" si="238"/>
        <v>38.22873871434382</v>
      </c>
      <c r="V226" s="65">
        <f t="shared" ca="1" si="238"/>
        <v>38.22873871434382</v>
      </c>
      <c r="W226" s="65">
        <f t="shared" ca="1" si="238"/>
        <v>0</v>
      </c>
      <c r="X226" s="65">
        <f t="shared" ca="1" si="238"/>
        <v>0</v>
      </c>
      <c r="Y226" s="65">
        <f t="shared" ca="1" si="238"/>
        <v>0</v>
      </c>
      <c r="Z226" s="65">
        <f t="shared" ca="1" si="238"/>
        <v>0</v>
      </c>
      <c r="AA226" s="65">
        <f t="shared" ca="1" si="238"/>
        <v>0</v>
      </c>
      <c r="AB226" s="65">
        <f t="shared" ca="1" si="238"/>
        <v>0</v>
      </c>
      <c r="AC226" s="65">
        <f t="shared" ca="1" si="238"/>
        <v>0</v>
      </c>
      <c r="AD226" s="65">
        <f t="shared" ca="1" si="238"/>
        <v>0</v>
      </c>
      <c r="AE226" s="65">
        <f t="shared" ca="1" si="238"/>
        <v>0</v>
      </c>
      <c r="AF226" s="65">
        <f t="shared" ca="1" si="238"/>
        <v>0</v>
      </c>
      <c r="AG226" s="65">
        <f t="shared" ca="1" si="238"/>
        <v>0</v>
      </c>
      <c r="AH226" s="65"/>
      <c r="AI226" s="65"/>
      <c r="AJ226" s="65"/>
      <c r="AM226" s="645">
        <f ca="1">IFERROR(AM174/AM169,0)</f>
        <v>43.689987102107224</v>
      </c>
      <c r="AN226" s="645">
        <f t="shared" ref="AN226:BM226" ca="1" si="239">IFERROR(AN174/AN169,0)</f>
        <v>43.689987102107224</v>
      </c>
      <c r="AO226" s="645">
        <f t="shared" ca="1" si="239"/>
        <v>43.689987102107224</v>
      </c>
      <c r="AP226" s="645">
        <f t="shared" ca="1" si="239"/>
        <v>43.689987102107224</v>
      </c>
      <c r="AQ226" s="645">
        <f t="shared" ca="1" si="239"/>
        <v>43.689987102107224</v>
      </c>
      <c r="AR226" s="645">
        <f t="shared" ca="1" si="239"/>
        <v>43.689987102107224</v>
      </c>
      <c r="AS226" s="645">
        <f t="shared" ca="1" si="239"/>
        <v>43.689987102107224</v>
      </c>
      <c r="AT226" s="645">
        <f t="shared" ca="1" si="239"/>
        <v>43.689987102107224</v>
      </c>
      <c r="AU226" s="645">
        <f t="shared" ca="1" si="239"/>
        <v>43.689987102107224</v>
      </c>
      <c r="AV226" s="645">
        <f t="shared" ca="1" si="239"/>
        <v>43.689987102107224</v>
      </c>
      <c r="AW226" s="645">
        <f t="shared" ca="1" si="239"/>
        <v>43.689987102107224</v>
      </c>
      <c r="AX226" s="645">
        <f t="shared" ca="1" si="239"/>
        <v>43.689987102107224</v>
      </c>
      <c r="AY226" s="645">
        <f t="shared" ca="1" si="239"/>
        <v>43.689987102107224</v>
      </c>
      <c r="AZ226" s="645">
        <f t="shared" ca="1" si="239"/>
        <v>43.689987102107224</v>
      </c>
      <c r="BA226" s="645">
        <f t="shared" ca="1" si="239"/>
        <v>43.689987102107224</v>
      </c>
      <c r="BB226" s="645">
        <f t="shared" ca="1" si="239"/>
        <v>43.689987102107224</v>
      </c>
      <c r="BC226" s="645">
        <f t="shared" ca="1" si="239"/>
        <v>0</v>
      </c>
      <c r="BD226" s="645">
        <f t="shared" ca="1" si="239"/>
        <v>0</v>
      </c>
      <c r="BE226" s="645">
        <f t="shared" ca="1" si="239"/>
        <v>0</v>
      </c>
      <c r="BF226" s="645">
        <f t="shared" ca="1" si="239"/>
        <v>0</v>
      </c>
      <c r="BG226" s="645">
        <f t="shared" ca="1" si="239"/>
        <v>0</v>
      </c>
      <c r="BH226" s="645">
        <f t="shared" ca="1" si="239"/>
        <v>0</v>
      </c>
      <c r="BI226" s="645">
        <f t="shared" ca="1" si="239"/>
        <v>0</v>
      </c>
      <c r="BJ226" s="645">
        <f t="shared" ca="1" si="239"/>
        <v>0</v>
      </c>
      <c r="BK226" s="645">
        <f t="shared" ca="1" si="239"/>
        <v>0</v>
      </c>
      <c r="BL226" s="645">
        <f t="shared" ca="1" si="239"/>
        <v>0</v>
      </c>
      <c r="BM226" s="645">
        <f t="shared" ca="1" si="239"/>
        <v>0</v>
      </c>
      <c r="BN226" s="71"/>
      <c r="BO226" s="71"/>
      <c r="BP226" s="71"/>
      <c r="BS226" s="84" t="s">
        <v>104</v>
      </c>
      <c r="BT226" s="51" t="s">
        <v>17</v>
      </c>
    </row>
    <row r="227" spans="1:72" x14ac:dyDescent="0.25">
      <c r="A227" s="246"/>
      <c r="B227" s="243" t="str">
        <f t="shared" si="230"/>
        <v>Small C&amp;I</v>
      </c>
      <c r="C227" s="243" t="str">
        <f t="shared" si="230"/>
        <v>Bills</v>
      </c>
      <c r="D227" s="244" t="str">
        <f>D226</f>
        <v>Annual Savings from DSM Scenario</v>
      </c>
      <c r="E227" s="84" t="str">
        <f>'EE Inputs'!$N$15&amp;" Participant"</f>
        <v>Low Savings Participant</v>
      </c>
      <c r="F227" s="84" t="s">
        <v>195</v>
      </c>
      <c r="G227" s="64" cm="1">
        <f t="array" aca="1" ref="G227" ca="1">IF($C$4=Lookups!$D$40,INDIRECT("'Yr1'!"&amp;ADDRESS(ROW(G227),COLUMN(G227))),
IF(G170=0,0,SUMIFS('EE Inputs'!$S$9:$S$32,'EE Inputs'!$C$9:$C$32,$G$6,'EE Inputs'!$D$9:$D$32,$C$4,'EE Inputs'!$E$9:$E$32,$B227)))</f>
        <v>97.697850000000017</v>
      </c>
      <c r="H227" s="64" cm="1">
        <f t="array" aca="1" ref="H227" ca="1">IF($C$4=Lookups!$D$40,INDIRECT("'Yr1'!"&amp;ADDRESS(ROW(H227),COLUMN(H227))),
IF(H170=0,0,SUMIFS('EE Inputs'!$S$9:$S$32,'EE Inputs'!$C$9:$C$32,$G$6,'EE Inputs'!$D$9:$D$32,$C$4,'EE Inputs'!$E$9:$E$32,$B227)))</f>
        <v>97.697850000000017</v>
      </c>
      <c r="I227" s="64" cm="1">
        <f t="array" aca="1" ref="I227" ca="1">IF($C$4=Lookups!$D$40,INDIRECT("'Yr1'!"&amp;ADDRESS(ROW(I227),COLUMN(I227))),
IF(I170=0,0,SUMIFS('EE Inputs'!$S$9:$S$32,'EE Inputs'!$C$9:$C$32,$G$6,'EE Inputs'!$D$9:$D$32,$C$4,'EE Inputs'!$E$9:$E$32,$B227)))</f>
        <v>97.697850000000017</v>
      </c>
      <c r="J227" s="64" cm="1">
        <f t="array" aca="1" ref="J227" ca="1">IF($C$4=Lookups!$D$40,INDIRECT("'Yr1'!"&amp;ADDRESS(ROW(J227),COLUMN(J227))),
IF(J170=0,0,SUMIFS('EE Inputs'!$S$9:$S$32,'EE Inputs'!$C$9:$C$32,$G$6,'EE Inputs'!$D$9:$D$32,$C$4,'EE Inputs'!$E$9:$E$32,$B227)))</f>
        <v>97.697850000000017</v>
      </c>
      <c r="K227" s="64" cm="1">
        <f t="array" aca="1" ref="K227" ca="1">IF($C$4=Lookups!$D$40,INDIRECT("'Yr1'!"&amp;ADDRESS(ROW(K227),COLUMN(K227))),
IF(K170=0,0,SUMIFS('EE Inputs'!$S$9:$S$32,'EE Inputs'!$C$9:$C$32,$G$6,'EE Inputs'!$D$9:$D$32,$C$4,'EE Inputs'!$E$9:$E$32,$B227)))</f>
        <v>97.697850000000017</v>
      </c>
      <c r="L227" s="64" cm="1">
        <f t="array" aca="1" ref="L227" ca="1">IF($C$4=Lookups!$D$40,INDIRECT("'Yr1'!"&amp;ADDRESS(ROW(L227),COLUMN(L227))),
IF(L170=0,0,SUMIFS('EE Inputs'!$S$9:$S$32,'EE Inputs'!$C$9:$C$32,$G$6,'EE Inputs'!$D$9:$D$32,$C$4,'EE Inputs'!$E$9:$E$32,$B227)))</f>
        <v>97.697850000000017</v>
      </c>
      <c r="M227" s="64" cm="1">
        <f t="array" aca="1" ref="M227" ca="1">IF($C$4=Lookups!$D$40,INDIRECT("'Yr1'!"&amp;ADDRESS(ROW(M227),COLUMN(M227))),
IF(M170=0,0,SUMIFS('EE Inputs'!$S$9:$S$32,'EE Inputs'!$C$9:$C$32,$G$6,'EE Inputs'!$D$9:$D$32,$C$4,'EE Inputs'!$E$9:$E$32,$B227)))</f>
        <v>97.697850000000017</v>
      </c>
      <c r="N227" s="64" cm="1">
        <f t="array" aca="1" ref="N227" ca="1">IF($C$4=Lookups!$D$40,INDIRECT("'Yr1'!"&amp;ADDRESS(ROW(N227),COLUMN(N227))),
IF(N170=0,0,SUMIFS('EE Inputs'!$S$9:$S$32,'EE Inputs'!$C$9:$C$32,$G$6,'EE Inputs'!$D$9:$D$32,$C$4,'EE Inputs'!$E$9:$E$32,$B227)))</f>
        <v>97.697850000000017</v>
      </c>
      <c r="O227" s="64" cm="1">
        <f t="array" aca="1" ref="O227" ca="1">IF($C$4=Lookups!$D$40,INDIRECT("'Yr1'!"&amp;ADDRESS(ROW(O227),COLUMN(O227))),
IF(O170=0,0,SUMIFS('EE Inputs'!$S$9:$S$32,'EE Inputs'!$C$9:$C$32,$G$6,'EE Inputs'!$D$9:$D$32,$C$4,'EE Inputs'!$E$9:$E$32,$B227)))</f>
        <v>97.697850000000017</v>
      </c>
      <c r="P227" s="64" cm="1">
        <f t="array" aca="1" ref="P227" ca="1">IF($C$4=Lookups!$D$40,INDIRECT("'Yr1'!"&amp;ADDRESS(ROW(P227),COLUMN(P227))),
IF(P170=0,0,SUMIFS('EE Inputs'!$S$9:$S$32,'EE Inputs'!$C$9:$C$32,$G$6,'EE Inputs'!$D$9:$D$32,$C$4,'EE Inputs'!$E$9:$E$32,$B227)))</f>
        <v>97.697850000000017</v>
      </c>
      <c r="Q227" s="64" cm="1">
        <f t="array" aca="1" ref="Q227" ca="1">IF($C$4=Lookups!$D$40,INDIRECT("'Yr1'!"&amp;ADDRESS(ROW(Q227),COLUMN(Q227))),
IF(Q170=0,0,SUMIFS('EE Inputs'!$S$9:$S$32,'EE Inputs'!$C$9:$C$32,$G$6,'EE Inputs'!$D$9:$D$32,$C$4,'EE Inputs'!$E$9:$E$32,$B227)))</f>
        <v>97.697850000000017</v>
      </c>
      <c r="R227" s="64" cm="1">
        <f t="array" aca="1" ref="R227" ca="1">IF($C$4=Lookups!$D$40,INDIRECT("'Yr1'!"&amp;ADDRESS(ROW(R227),COLUMN(R227))),
IF(R170=0,0,SUMIFS('EE Inputs'!$S$9:$S$32,'EE Inputs'!$C$9:$C$32,$G$6,'EE Inputs'!$D$9:$D$32,$C$4,'EE Inputs'!$E$9:$E$32,$B227)))</f>
        <v>97.697850000000017</v>
      </c>
      <c r="S227" s="64" cm="1">
        <f t="array" aca="1" ref="S227" ca="1">IF($C$4=Lookups!$D$40,INDIRECT("'Yr1'!"&amp;ADDRESS(ROW(S227),COLUMN(S227))),
IF(S170=0,0,SUMIFS('EE Inputs'!$S$9:$S$32,'EE Inputs'!$C$9:$C$32,$G$6,'EE Inputs'!$D$9:$D$32,$C$4,'EE Inputs'!$E$9:$E$32,$B227)))</f>
        <v>97.697850000000017</v>
      </c>
      <c r="T227" s="64" cm="1">
        <f t="array" aca="1" ref="T227" ca="1">IF($C$4=Lookups!$D$40,INDIRECT("'Yr1'!"&amp;ADDRESS(ROW(T227),COLUMN(T227))),
IF(T170=0,0,SUMIFS('EE Inputs'!$S$9:$S$32,'EE Inputs'!$C$9:$C$32,$G$6,'EE Inputs'!$D$9:$D$32,$C$4,'EE Inputs'!$E$9:$E$32,$B227)))</f>
        <v>97.697850000000017</v>
      </c>
      <c r="U227" s="64" cm="1">
        <f t="array" aca="1" ref="U227" ca="1">IF($C$4=Lookups!$D$40,INDIRECT("'Yr1'!"&amp;ADDRESS(ROW(U227),COLUMN(U227))),
IF(U170=0,0,SUMIFS('EE Inputs'!$S$9:$S$32,'EE Inputs'!$C$9:$C$32,$G$6,'EE Inputs'!$D$9:$D$32,$C$4,'EE Inputs'!$E$9:$E$32,$B227)))</f>
        <v>97.697850000000017</v>
      </c>
      <c r="V227" s="64" cm="1">
        <f t="array" aca="1" ref="V227" ca="1">IF($C$4=Lookups!$D$40,INDIRECT("'Yr1'!"&amp;ADDRESS(ROW(V227),COLUMN(V227))),
IF(V170=0,0,SUMIFS('EE Inputs'!$S$9:$S$32,'EE Inputs'!$C$9:$C$32,$G$6,'EE Inputs'!$D$9:$D$32,$C$4,'EE Inputs'!$E$9:$E$32,$B227)))</f>
        <v>97.697850000000017</v>
      </c>
      <c r="W227" s="64" cm="1">
        <f t="array" aca="1" ref="W227" ca="1">IF($C$4=Lookups!$D$40,INDIRECT("'Yr1'!"&amp;ADDRESS(ROW(W227),COLUMN(W227))),
IF(W170=0,0,SUMIFS('EE Inputs'!$S$9:$S$32,'EE Inputs'!$C$9:$C$32,$G$6,'EE Inputs'!$D$9:$D$32,$C$4,'EE Inputs'!$E$9:$E$32,$B227)))</f>
        <v>0</v>
      </c>
      <c r="X227" s="64" cm="1">
        <f t="array" aca="1" ref="X227" ca="1">IF($C$4=Lookups!$D$40,INDIRECT("'Yr1'!"&amp;ADDRESS(ROW(X227),COLUMN(X227))),
IF(X170=0,0,SUMIFS('EE Inputs'!$S$9:$S$32,'EE Inputs'!$C$9:$C$32,$G$6,'EE Inputs'!$D$9:$D$32,$C$4,'EE Inputs'!$E$9:$E$32,$B227)))</f>
        <v>0</v>
      </c>
      <c r="Y227" s="64" cm="1">
        <f t="array" aca="1" ref="Y227" ca="1">IF($C$4=Lookups!$D$40,INDIRECT("'Yr1'!"&amp;ADDRESS(ROW(Y227),COLUMN(Y227))),
IF(Y170=0,0,SUMIFS('EE Inputs'!$S$9:$S$32,'EE Inputs'!$C$9:$C$32,$G$6,'EE Inputs'!$D$9:$D$32,$C$4,'EE Inputs'!$E$9:$E$32,$B227)))</f>
        <v>0</v>
      </c>
      <c r="Z227" s="64" cm="1">
        <f t="array" aca="1" ref="Z227" ca="1">IF($C$4=Lookups!$D$40,INDIRECT("'Yr1'!"&amp;ADDRESS(ROW(Z227),COLUMN(Z227))),
IF(Z170=0,0,SUMIFS('EE Inputs'!$S$9:$S$32,'EE Inputs'!$C$9:$C$32,$G$6,'EE Inputs'!$D$9:$D$32,$C$4,'EE Inputs'!$E$9:$E$32,$B227)))</f>
        <v>0</v>
      </c>
      <c r="AA227" s="64" cm="1">
        <f t="array" aca="1" ref="AA227" ca="1">IF($C$4=Lookups!$D$40,INDIRECT("'Yr1'!"&amp;ADDRESS(ROW(AA227),COLUMN(AA227))),
IF(AA170=0,0,SUMIFS('EE Inputs'!$S$9:$S$32,'EE Inputs'!$C$9:$C$32,$G$6,'EE Inputs'!$D$9:$D$32,$C$4,'EE Inputs'!$E$9:$E$32,$B227)))</f>
        <v>0</v>
      </c>
      <c r="AB227" s="64" cm="1">
        <f t="array" aca="1" ref="AB227" ca="1">IF($C$4=Lookups!$D$40,INDIRECT("'Yr1'!"&amp;ADDRESS(ROW(AB227),COLUMN(AB227))),
IF(AB170=0,0,SUMIFS('EE Inputs'!$S$9:$S$32,'EE Inputs'!$C$9:$C$32,$G$6,'EE Inputs'!$D$9:$D$32,$C$4,'EE Inputs'!$E$9:$E$32,$B227)))</f>
        <v>0</v>
      </c>
      <c r="AC227" s="64" cm="1">
        <f t="array" aca="1" ref="AC227" ca="1">IF($C$4=Lookups!$D$40,INDIRECT("'Yr1'!"&amp;ADDRESS(ROW(AC227),COLUMN(AC227))),
IF(AC170=0,0,SUMIFS('EE Inputs'!$S$9:$S$32,'EE Inputs'!$C$9:$C$32,$G$6,'EE Inputs'!$D$9:$D$32,$C$4,'EE Inputs'!$E$9:$E$32,$B227)))</f>
        <v>0</v>
      </c>
      <c r="AD227" s="64" cm="1">
        <f t="array" aca="1" ref="AD227" ca="1">IF($C$4=Lookups!$D$40,INDIRECT("'Yr1'!"&amp;ADDRESS(ROW(AD227),COLUMN(AD227))),
IF(AD170=0,0,SUMIFS('EE Inputs'!$S$9:$S$32,'EE Inputs'!$C$9:$C$32,$G$6,'EE Inputs'!$D$9:$D$32,$C$4,'EE Inputs'!$E$9:$E$32,$B227)))</f>
        <v>0</v>
      </c>
      <c r="AE227" s="64" cm="1">
        <f t="array" aca="1" ref="AE227" ca="1">IF($C$4=Lookups!$D$40,INDIRECT("'Yr1'!"&amp;ADDRESS(ROW(AE227),COLUMN(AE227))),
IF(AE170=0,0,SUMIFS('EE Inputs'!$S$9:$S$32,'EE Inputs'!$C$9:$C$32,$G$6,'EE Inputs'!$D$9:$D$32,$C$4,'EE Inputs'!$E$9:$E$32,$B227)))</f>
        <v>0</v>
      </c>
      <c r="AF227" s="64" cm="1">
        <f t="array" aca="1" ref="AF227" ca="1">IF($C$4=Lookups!$D$40,INDIRECT("'Yr1'!"&amp;ADDRESS(ROW(AF227),COLUMN(AF227))),
IF(AF170=0,0,SUMIFS('EE Inputs'!$S$9:$S$32,'EE Inputs'!$C$9:$C$32,$G$6,'EE Inputs'!$D$9:$D$32,$C$4,'EE Inputs'!$E$9:$E$32,$B227)))</f>
        <v>0</v>
      </c>
      <c r="AG227" s="64" cm="1">
        <f t="array" aca="1" ref="AG227" ca="1">IF($C$4=Lookups!$D$40,INDIRECT("'Yr1'!"&amp;ADDRESS(ROW(AG227),COLUMN(AG227))),
IF(AG170=0,0,SUMIFS('EE Inputs'!$S$9:$S$32,'EE Inputs'!$C$9:$C$32,$G$6,'EE Inputs'!$D$9:$D$32,$C$4,'EE Inputs'!$E$9:$E$32,$B227)))</f>
        <v>0</v>
      </c>
      <c r="AH227" s="64"/>
      <c r="AI227" s="64"/>
      <c r="AJ227" s="64"/>
      <c r="AM227" s="645" cm="1">
        <f t="array" aca="1" ref="AM227" ca="1">IF($C$4=Lookups!$D$40,INDIRECT("'Yr1'!"&amp;ADDRESS(ROW(AM227),COLUMN(AM227))),
IF(AM170=0,0,SUMIFS('EE Inputs'!$S$9:$S$32,'EE Inputs'!$C$9:$C$32,$AM$6,'EE Inputs'!$D$9:$D$32,$C$4,'EE Inputs'!$E$9:$E$32,$B227)))</f>
        <v>117.23742</v>
      </c>
      <c r="AN227" s="645" cm="1">
        <f t="array" aca="1" ref="AN227" ca="1">IF($C$4=Lookups!$D$40,INDIRECT("'Yr1'!"&amp;ADDRESS(ROW(AN227),COLUMN(AN227))),
IF(AN170=0,0,SUMIFS('EE Inputs'!$S$9:$S$32,'EE Inputs'!$C$9:$C$32,$AM$6,'EE Inputs'!$D$9:$D$32,$C$4,'EE Inputs'!$E$9:$E$32,$B227)))</f>
        <v>117.23742</v>
      </c>
      <c r="AO227" s="645" cm="1">
        <f t="array" aca="1" ref="AO227" ca="1">IF($C$4=Lookups!$D$40,INDIRECT("'Yr1'!"&amp;ADDRESS(ROW(AO227),COLUMN(AO227))),
IF(AO170=0,0,SUMIFS('EE Inputs'!$S$9:$S$32,'EE Inputs'!$C$9:$C$32,$AM$6,'EE Inputs'!$D$9:$D$32,$C$4,'EE Inputs'!$E$9:$E$32,$B227)))</f>
        <v>117.23742</v>
      </c>
      <c r="AP227" s="645" cm="1">
        <f t="array" aca="1" ref="AP227" ca="1">IF($C$4=Lookups!$D$40,INDIRECT("'Yr1'!"&amp;ADDRESS(ROW(AP227),COLUMN(AP227))),
IF(AP170=0,0,SUMIFS('EE Inputs'!$S$9:$S$32,'EE Inputs'!$C$9:$C$32,$AM$6,'EE Inputs'!$D$9:$D$32,$C$4,'EE Inputs'!$E$9:$E$32,$B227)))</f>
        <v>117.23742</v>
      </c>
      <c r="AQ227" s="645" cm="1">
        <f t="array" aca="1" ref="AQ227" ca="1">IF($C$4=Lookups!$D$40,INDIRECT("'Yr1'!"&amp;ADDRESS(ROW(AQ227),COLUMN(AQ227))),
IF(AQ170=0,0,SUMIFS('EE Inputs'!$S$9:$S$32,'EE Inputs'!$C$9:$C$32,$AM$6,'EE Inputs'!$D$9:$D$32,$C$4,'EE Inputs'!$E$9:$E$32,$B227)))</f>
        <v>117.23742</v>
      </c>
      <c r="AR227" s="645" cm="1">
        <f t="array" aca="1" ref="AR227" ca="1">IF($C$4=Lookups!$D$40,INDIRECT("'Yr1'!"&amp;ADDRESS(ROW(AR227),COLUMN(AR227))),
IF(AR170=0,0,SUMIFS('EE Inputs'!$S$9:$S$32,'EE Inputs'!$C$9:$C$32,$AM$6,'EE Inputs'!$D$9:$D$32,$C$4,'EE Inputs'!$E$9:$E$32,$B227)))</f>
        <v>117.23742</v>
      </c>
      <c r="AS227" s="645" cm="1">
        <f t="array" aca="1" ref="AS227" ca="1">IF($C$4=Lookups!$D$40,INDIRECT("'Yr1'!"&amp;ADDRESS(ROW(AS227),COLUMN(AS227))),
IF(AS170=0,0,SUMIFS('EE Inputs'!$S$9:$S$32,'EE Inputs'!$C$9:$C$32,$AM$6,'EE Inputs'!$D$9:$D$32,$C$4,'EE Inputs'!$E$9:$E$32,$B227)))</f>
        <v>117.23742</v>
      </c>
      <c r="AT227" s="645" cm="1">
        <f t="array" aca="1" ref="AT227" ca="1">IF($C$4=Lookups!$D$40,INDIRECT("'Yr1'!"&amp;ADDRESS(ROW(AT227),COLUMN(AT227))),
IF(AT170=0,0,SUMIFS('EE Inputs'!$S$9:$S$32,'EE Inputs'!$C$9:$C$32,$AM$6,'EE Inputs'!$D$9:$D$32,$C$4,'EE Inputs'!$E$9:$E$32,$B227)))</f>
        <v>117.23742</v>
      </c>
      <c r="AU227" s="645" cm="1">
        <f t="array" aca="1" ref="AU227" ca="1">IF($C$4=Lookups!$D$40,INDIRECT("'Yr1'!"&amp;ADDRESS(ROW(AU227),COLUMN(AU227))),
IF(AU170=0,0,SUMIFS('EE Inputs'!$S$9:$S$32,'EE Inputs'!$C$9:$C$32,$AM$6,'EE Inputs'!$D$9:$D$32,$C$4,'EE Inputs'!$E$9:$E$32,$B227)))</f>
        <v>117.23742</v>
      </c>
      <c r="AV227" s="645" cm="1">
        <f t="array" aca="1" ref="AV227" ca="1">IF($C$4=Lookups!$D$40,INDIRECT("'Yr1'!"&amp;ADDRESS(ROW(AV227),COLUMN(AV227))),
IF(AV170=0,0,SUMIFS('EE Inputs'!$S$9:$S$32,'EE Inputs'!$C$9:$C$32,$AM$6,'EE Inputs'!$D$9:$D$32,$C$4,'EE Inputs'!$E$9:$E$32,$B227)))</f>
        <v>117.23742</v>
      </c>
      <c r="AW227" s="645" cm="1">
        <f t="array" aca="1" ref="AW227" ca="1">IF($C$4=Lookups!$D$40,INDIRECT("'Yr1'!"&amp;ADDRESS(ROW(AW227),COLUMN(AW227))),
IF(AW170=0,0,SUMIFS('EE Inputs'!$S$9:$S$32,'EE Inputs'!$C$9:$C$32,$AM$6,'EE Inputs'!$D$9:$D$32,$C$4,'EE Inputs'!$E$9:$E$32,$B227)))</f>
        <v>117.23742</v>
      </c>
      <c r="AX227" s="645" cm="1">
        <f t="array" aca="1" ref="AX227" ca="1">IF($C$4=Lookups!$D$40,INDIRECT("'Yr1'!"&amp;ADDRESS(ROW(AX227),COLUMN(AX227))),
IF(AX170=0,0,SUMIFS('EE Inputs'!$S$9:$S$32,'EE Inputs'!$C$9:$C$32,$AM$6,'EE Inputs'!$D$9:$D$32,$C$4,'EE Inputs'!$E$9:$E$32,$B227)))</f>
        <v>117.23742</v>
      </c>
      <c r="AY227" s="645" cm="1">
        <f t="array" aca="1" ref="AY227" ca="1">IF($C$4=Lookups!$D$40,INDIRECT("'Yr1'!"&amp;ADDRESS(ROW(AY227),COLUMN(AY227))),
IF(AY170=0,0,SUMIFS('EE Inputs'!$S$9:$S$32,'EE Inputs'!$C$9:$C$32,$AM$6,'EE Inputs'!$D$9:$D$32,$C$4,'EE Inputs'!$E$9:$E$32,$B227)))</f>
        <v>117.23742</v>
      </c>
      <c r="AZ227" s="645" cm="1">
        <f t="array" aca="1" ref="AZ227" ca="1">IF($C$4=Lookups!$D$40,INDIRECT("'Yr1'!"&amp;ADDRESS(ROW(AZ227),COLUMN(AZ227))),
IF(AZ170=0,0,SUMIFS('EE Inputs'!$S$9:$S$32,'EE Inputs'!$C$9:$C$32,$AM$6,'EE Inputs'!$D$9:$D$32,$C$4,'EE Inputs'!$E$9:$E$32,$B227)))</f>
        <v>117.23742</v>
      </c>
      <c r="BA227" s="645" cm="1">
        <f t="array" aca="1" ref="BA227" ca="1">IF($C$4=Lookups!$D$40,INDIRECT("'Yr1'!"&amp;ADDRESS(ROW(BA227),COLUMN(BA227))),
IF(BA170=0,0,SUMIFS('EE Inputs'!$S$9:$S$32,'EE Inputs'!$C$9:$C$32,$AM$6,'EE Inputs'!$D$9:$D$32,$C$4,'EE Inputs'!$E$9:$E$32,$B227)))</f>
        <v>117.23742</v>
      </c>
      <c r="BB227" s="645" cm="1">
        <f t="array" aca="1" ref="BB227" ca="1">IF($C$4=Lookups!$D$40,INDIRECT("'Yr1'!"&amp;ADDRESS(ROW(BB227),COLUMN(BB227))),
IF(BB170=0,0,SUMIFS('EE Inputs'!$S$9:$S$32,'EE Inputs'!$C$9:$C$32,$AM$6,'EE Inputs'!$D$9:$D$32,$C$4,'EE Inputs'!$E$9:$E$32,$B227)))</f>
        <v>117.23742</v>
      </c>
      <c r="BC227" s="645" cm="1">
        <f t="array" aca="1" ref="BC227" ca="1">IF($C$4=Lookups!$D$40,INDIRECT("'Yr1'!"&amp;ADDRESS(ROW(BC227),COLUMN(BC227))),
IF(BC170=0,0,SUMIFS('EE Inputs'!$S$9:$S$32,'EE Inputs'!$C$9:$C$32,$AM$6,'EE Inputs'!$D$9:$D$32,$C$4,'EE Inputs'!$E$9:$E$32,$B227)))</f>
        <v>0</v>
      </c>
      <c r="BD227" s="645" cm="1">
        <f t="array" aca="1" ref="BD227" ca="1">IF($C$4=Lookups!$D$40,INDIRECT("'Yr1'!"&amp;ADDRESS(ROW(BD227),COLUMN(BD227))),
IF(BD170=0,0,SUMIFS('EE Inputs'!$S$9:$S$32,'EE Inputs'!$C$9:$C$32,$AM$6,'EE Inputs'!$D$9:$D$32,$C$4,'EE Inputs'!$E$9:$E$32,$B227)))</f>
        <v>0</v>
      </c>
      <c r="BE227" s="645" cm="1">
        <f t="array" aca="1" ref="BE227" ca="1">IF($C$4=Lookups!$D$40,INDIRECT("'Yr1'!"&amp;ADDRESS(ROW(BE227),COLUMN(BE227))),
IF(BE170=0,0,SUMIFS('EE Inputs'!$S$9:$S$32,'EE Inputs'!$C$9:$C$32,$AM$6,'EE Inputs'!$D$9:$D$32,$C$4,'EE Inputs'!$E$9:$E$32,$B227)))</f>
        <v>0</v>
      </c>
      <c r="BF227" s="645" cm="1">
        <f t="array" aca="1" ref="BF227" ca="1">IF($C$4=Lookups!$D$40,INDIRECT("'Yr1'!"&amp;ADDRESS(ROW(BF227),COLUMN(BF227))),
IF(BF170=0,0,SUMIFS('EE Inputs'!$S$9:$S$32,'EE Inputs'!$C$9:$C$32,$AM$6,'EE Inputs'!$D$9:$D$32,$C$4,'EE Inputs'!$E$9:$E$32,$B227)))</f>
        <v>0</v>
      </c>
      <c r="BG227" s="645" cm="1">
        <f t="array" aca="1" ref="BG227" ca="1">IF($C$4=Lookups!$D$40,INDIRECT("'Yr1'!"&amp;ADDRESS(ROW(BG227),COLUMN(BG227))),
IF(BG170=0,0,SUMIFS('EE Inputs'!$S$9:$S$32,'EE Inputs'!$C$9:$C$32,$AM$6,'EE Inputs'!$D$9:$D$32,$C$4,'EE Inputs'!$E$9:$E$32,$B227)))</f>
        <v>0</v>
      </c>
      <c r="BH227" s="645" cm="1">
        <f t="array" aca="1" ref="BH227" ca="1">IF($C$4=Lookups!$D$40,INDIRECT("'Yr1'!"&amp;ADDRESS(ROW(BH227),COLUMN(BH227))),
IF(BH170=0,0,SUMIFS('EE Inputs'!$S$9:$S$32,'EE Inputs'!$C$9:$C$32,$AM$6,'EE Inputs'!$D$9:$D$32,$C$4,'EE Inputs'!$E$9:$E$32,$B227)))</f>
        <v>0</v>
      </c>
      <c r="BI227" s="645" cm="1">
        <f t="array" aca="1" ref="BI227" ca="1">IF($C$4=Lookups!$D$40,INDIRECT("'Yr1'!"&amp;ADDRESS(ROW(BI227),COLUMN(BI227))),
IF(BI170=0,0,SUMIFS('EE Inputs'!$S$9:$S$32,'EE Inputs'!$C$9:$C$32,$AM$6,'EE Inputs'!$D$9:$D$32,$C$4,'EE Inputs'!$E$9:$E$32,$B227)))</f>
        <v>0</v>
      </c>
      <c r="BJ227" s="645" cm="1">
        <f t="array" aca="1" ref="BJ227" ca="1">IF($C$4=Lookups!$D$40,INDIRECT("'Yr1'!"&amp;ADDRESS(ROW(BJ227),COLUMN(BJ227))),
IF(BJ170=0,0,SUMIFS('EE Inputs'!$S$9:$S$32,'EE Inputs'!$C$9:$C$32,$AM$6,'EE Inputs'!$D$9:$D$32,$C$4,'EE Inputs'!$E$9:$E$32,$B227)))</f>
        <v>0</v>
      </c>
      <c r="BK227" s="645" cm="1">
        <f t="array" aca="1" ref="BK227" ca="1">IF($C$4=Lookups!$D$40,INDIRECT("'Yr1'!"&amp;ADDRESS(ROW(BK227),COLUMN(BK227))),
IF(BK170=0,0,SUMIFS('EE Inputs'!$S$9:$S$32,'EE Inputs'!$C$9:$C$32,$AM$6,'EE Inputs'!$D$9:$D$32,$C$4,'EE Inputs'!$E$9:$E$32,$B227)))</f>
        <v>0</v>
      </c>
      <c r="BL227" s="645" cm="1">
        <f t="array" aca="1" ref="BL227" ca="1">IF($C$4=Lookups!$D$40,INDIRECT("'Yr1'!"&amp;ADDRESS(ROW(BL227),COLUMN(BL227))),
IF(BL170=0,0,SUMIFS('EE Inputs'!$S$9:$S$32,'EE Inputs'!$C$9:$C$32,$AM$6,'EE Inputs'!$D$9:$D$32,$C$4,'EE Inputs'!$E$9:$E$32,$B227)))</f>
        <v>0</v>
      </c>
      <c r="BM227" s="645" cm="1">
        <f t="array" aca="1" ref="BM227" ca="1">IF($C$4=Lookups!$D$40,INDIRECT("'Yr1'!"&amp;ADDRESS(ROW(BM227),COLUMN(BM227))),
IF(BM170=0,0,SUMIFS('EE Inputs'!$S$9:$S$32,'EE Inputs'!$C$9:$C$32,$AM$6,'EE Inputs'!$D$9:$D$32,$C$4,'EE Inputs'!$E$9:$E$32,$B227)))</f>
        <v>0</v>
      </c>
      <c r="BN227" s="71"/>
      <c r="BO227" s="71"/>
      <c r="BP227" s="71"/>
      <c r="BS227" s="76" t="s">
        <v>96</v>
      </c>
      <c r="BT227" s="51" t="s">
        <v>17</v>
      </c>
    </row>
    <row r="228" spans="1:72" x14ac:dyDescent="0.25">
      <c r="A228" s="246"/>
      <c r="B228" s="243" t="str">
        <f t="shared" si="230"/>
        <v>Small C&amp;I</v>
      </c>
      <c r="C228" s="243" t="str">
        <f t="shared" si="230"/>
        <v>Bills</v>
      </c>
      <c r="D228" s="244" t="str">
        <f t="shared" si="230"/>
        <v>Annual Savings from DSM Scenario</v>
      </c>
      <c r="E228" s="84" t="str">
        <f>'EE Inputs'!$N$16&amp;" Participant"</f>
        <v>High Savings Participant</v>
      </c>
      <c r="F228" s="84" t="s">
        <v>195</v>
      </c>
      <c r="G228" s="704" cm="1">
        <f t="array" aca="1" ref="G228" ca="1">IF($C$4=Lookups!$D$40,INDIRECT("'Yr1'!"&amp;ADDRESS(ROW(G228),COLUMN(G228))),
IF(G170=0,0,SUMIFS('EE Inputs'!$T$9:$T$32,'EE Inputs'!$C$9:$C$32,$G$6,'EE Inputs'!$D$9:$D$32,$C$4,'EE Inputs'!$E$9:$E$32,$B228)))</f>
        <v>195.39570000000003</v>
      </c>
      <c r="H228" s="704" cm="1">
        <f t="array" aca="1" ref="H228" ca="1">IF($C$4=Lookups!$D$40,INDIRECT("'Yr1'!"&amp;ADDRESS(ROW(H228),COLUMN(H228))),
IF(H170=0,0,SUMIFS('EE Inputs'!$T$9:$T$32,'EE Inputs'!$C$9:$C$32,$G$6,'EE Inputs'!$D$9:$D$32,$C$4,'EE Inputs'!$E$9:$E$32,$B228)))</f>
        <v>195.39570000000003</v>
      </c>
      <c r="I228" s="704" cm="1">
        <f t="array" aca="1" ref="I228" ca="1">IF($C$4=Lookups!$D$40,INDIRECT("'Yr1'!"&amp;ADDRESS(ROW(I228),COLUMN(I228))),
IF(I170=0,0,SUMIFS('EE Inputs'!$T$9:$T$32,'EE Inputs'!$C$9:$C$32,$G$6,'EE Inputs'!$D$9:$D$32,$C$4,'EE Inputs'!$E$9:$E$32,$B228)))</f>
        <v>195.39570000000003</v>
      </c>
      <c r="J228" s="704" cm="1">
        <f t="array" aca="1" ref="J228" ca="1">IF($C$4=Lookups!$D$40,INDIRECT("'Yr1'!"&amp;ADDRESS(ROW(J228),COLUMN(J228))),
IF(J170=0,0,SUMIFS('EE Inputs'!$T$9:$T$32,'EE Inputs'!$C$9:$C$32,$G$6,'EE Inputs'!$D$9:$D$32,$C$4,'EE Inputs'!$E$9:$E$32,$B228)))</f>
        <v>195.39570000000003</v>
      </c>
      <c r="K228" s="704" cm="1">
        <f t="array" aca="1" ref="K228" ca="1">IF($C$4=Lookups!$D$40,INDIRECT("'Yr1'!"&amp;ADDRESS(ROW(K228),COLUMN(K228))),
IF(K170=0,0,SUMIFS('EE Inputs'!$T$9:$T$32,'EE Inputs'!$C$9:$C$32,$G$6,'EE Inputs'!$D$9:$D$32,$C$4,'EE Inputs'!$E$9:$E$32,$B228)))</f>
        <v>195.39570000000003</v>
      </c>
      <c r="L228" s="704" cm="1">
        <f t="array" aca="1" ref="L228" ca="1">IF($C$4=Lookups!$D$40,INDIRECT("'Yr1'!"&amp;ADDRESS(ROW(L228),COLUMN(L228))),
IF(L170=0,0,SUMIFS('EE Inputs'!$T$9:$T$32,'EE Inputs'!$C$9:$C$32,$G$6,'EE Inputs'!$D$9:$D$32,$C$4,'EE Inputs'!$E$9:$E$32,$B228)))</f>
        <v>195.39570000000003</v>
      </c>
      <c r="M228" s="704" cm="1">
        <f t="array" aca="1" ref="M228" ca="1">IF($C$4=Lookups!$D$40,INDIRECT("'Yr1'!"&amp;ADDRESS(ROW(M228),COLUMN(M228))),
IF(M170=0,0,SUMIFS('EE Inputs'!$T$9:$T$32,'EE Inputs'!$C$9:$C$32,$G$6,'EE Inputs'!$D$9:$D$32,$C$4,'EE Inputs'!$E$9:$E$32,$B228)))</f>
        <v>195.39570000000003</v>
      </c>
      <c r="N228" s="704" cm="1">
        <f t="array" aca="1" ref="N228" ca="1">IF($C$4=Lookups!$D$40,INDIRECT("'Yr1'!"&amp;ADDRESS(ROW(N228),COLUMN(N228))),
IF(N170=0,0,SUMIFS('EE Inputs'!$T$9:$T$32,'EE Inputs'!$C$9:$C$32,$G$6,'EE Inputs'!$D$9:$D$32,$C$4,'EE Inputs'!$E$9:$E$32,$B228)))</f>
        <v>195.39570000000003</v>
      </c>
      <c r="O228" s="704" cm="1">
        <f t="array" aca="1" ref="O228" ca="1">IF($C$4=Lookups!$D$40,INDIRECT("'Yr1'!"&amp;ADDRESS(ROW(O228),COLUMN(O228))),
IF(O170=0,0,SUMIFS('EE Inputs'!$T$9:$T$32,'EE Inputs'!$C$9:$C$32,$G$6,'EE Inputs'!$D$9:$D$32,$C$4,'EE Inputs'!$E$9:$E$32,$B228)))</f>
        <v>195.39570000000003</v>
      </c>
      <c r="P228" s="704" cm="1">
        <f t="array" aca="1" ref="P228" ca="1">IF($C$4=Lookups!$D$40,INDIRECT("'Yr1'!"&amp;ADDRESS(ROW(P228),COLUMN(P228))),
IF(P170=0,0,SUMIFS('EE Inputs'!$T$9:$T$32,'EE Inputs'!$C$9:$C$32,$G$6,'EE Inputs'!$D$9:$D$32,$C$4,'EE Inputs'!$E$9:$E$32,$B228)))</f>
        <v>195.39570000000003</v>
      </c>
      <c r="Q228" s="704" cm="1">
        <f t="array" aca="1" ref="Q228" ca="1">IF($C$4=Lookups!$D$40,INDIRECT("'Yr1'!"&amp;ADDRESS(ROW(Q228),COLUMN(Q228))),
IF(Q170=0,0,SUMIFS('EE Inputs'!$T$9:$T$32,'EE Inputs'!$C$9:$C$32,$G$6,'EE Inputs'!$D$9:$D$32,$C$4,'EE Inputs'!$E$9:$E$32,$B228)))</f>
        <v>195.39570000000003</v>
      </c>
      <c r="R228" s="704" cm="1">
        <f t="array" aca="1" ref="R228" ca="1">IF($C$4=Lookups!$D$40,INDIRECT("'Yr1'!"&amp;ADDRESS(ROW(R228),COLUMN(R228))),
IF(R170=0,0,SUMIFS('EE Inputs'!$T$9:$T$32,'EE Inputs'!$C$9:$C$32,$G$6,'EE Inputs'!$D$9:$D$32,$C$4,'EE Inputs'!$E$9:$E$32,$B228)))</f>
        <v>195.39570000000003</v>
      </c>
      <c r="S228" s="704" cm="1">
        <f t="array" aca="1" ref="S228" ca="1">IF($C$4=Lookups!$D$40,INDIRECT("'Yr1'!"&amp;ADDRESS(ROW(S228),COLUMN(S228))),
IF(S170=0,0,SUMIFS('EE Inputs'!$T$9:$T$32,'EE Inputs'!$C$9:$C$32,$G$6,'EE Inputs'!$D$9:$D$32,$C$4,'EE Inputs'!$E$9:$E$32,$B228)))</f>
        <v>195.39570000000003</v>
      </c>
      <c r="T228" s="704" cm="1">
        <f t="array" aca="1" ref="T228" ca="1">IF($C$4=Lookups!$D$40,INDIRECT("'Yr1'!"&amp;ADDRESS(ROW(T228),COLUMN(T228))),
IF(T170=0,0,SUMIFS('EE Inputs'!$T$9:$T$32,'EE Inputs'!$C$9:$C$32,$G$6,'EE Inputs'!$D$9:$D$32,$C$4,'EE Inputs'!$E$9:$E$32,$B228)))</f>
        <v>195.39570000000003</v>
      </c>
      <c r="U228" s="704" cm="1">
        <f t="array" aca="1" ref="U228" ca="1">IF($C$4=Lookups!$D$40,INDIRECT("'Yr1'!"&amp;ADDRESS(ROW(U228),COLUMN(U228))),
IF(U170=0,0,SUMIFS('EE Inputs'!$T$9:$T$32,'EE Inputs'!$C$9:$C$32,$G$6,'EE Inputs'!$D$9:$D$32,$C$4,'EE Inputs'!$E$9:$E$32,$B228)))</f>
        <v>195.39570000000003</v>
      </c>
      <c r="V228" s="704" cm="1">
        <f t="array" aca="1" ref="V228" ca="1">IF($C$4=Lookups!$D$40,INDIRECT("'Yr1'!"&amp;ADDRESS(ROW(V228),COLUMN(V228))),
IF(V170=0,0,SUMIFS('EE Inputs'!$T$9:$T$32,'EE Inputs'!$C$9:$C$32,$G$6,'EE Inputs'!$D$9:$D$32,$C$4,'EE Inputs'!$E$9:$E$32,$B228)))</f>
        <v>195.39570000000003</v>
      </c>
      <c r="W228" s="704" cm="1">
        <f t="array" aca="1" ref="W228" ca="1">IF($C$4=Lookups!$D$40,INDIRECT("'Yr1'!"&amp;ADDRESS(ROW(W228),COLUMN(W228))),
IF(W170=0,0,SUMIFS('EE Inputs'!$T$9:$T$32,'EE Inputs'!$C$9:$C$32,$G$6,'EE Inputs'!$D$9:$D$32,$C$4,'EE Inputs'!$E$9:$E$32,$B228)))</f>
        <v>0</v>
      </c>
      <c r="X228" s="704" cm="1">
        <f t="array" aca="1" ref="X228" ca="1">IF($C$4=Lookups!$D$40,INDIRECT("'Yr1'!"&amp;ADDRESS(ROW(X228),COLUMN(X228))),
IF(X170=0,0,SUMIFS('EE Inputs'!$T$9:$T$32,'EE Inputs'!$C$9:$C$32,$G$6,'EE Inputs'!$D$9:$D$32,$C$4,'EE Inputs'!$E$9:$E$32,$B228)))</f>
        <v>0</v>
      </c>
      <c r="Y228" s="704" cm="1">
        <f t="array" aca="1" ref="Y228" ca="1">IF($C$4=Lookups!$D$40,INDIRECT("'Yr1'!"&amp;ADDRESS(ROW(Y228),COLUMN(Y228))),
IF(Y170=0,0,SUMIFS('EE Inputs'!$T$9:$T$32,'EE Inputs'!$C$9:$C$32,$G$6,'EE Inputs'!$D$9:$D$32,$C$4,'EE Inputs'!$E$9:$E$32,$B228)))</f>
        <v>0</v>
      </c>
      <c r="Z228" s="704" cm="1">
        <f t="array" aca="1" ref="Z228" ca="1">IF($C$4=Lookups!$D$40,INDIRECT("'Yr1'!"&amp;ADDRESS(ROW(Z228),COLUMN(Z228))),
IF(Z170=0,0,SUMIFS('EE Inputs'!$T$9:$T$32,'EE Inputs'!$C$9:$C$32,$G$6,'EE Inputs'!$D$9:$D$32,$C$4,'EE Inputs'!$E$9:$E$32,$B228)))</f>
        <v>0</v>
      </c>
      <c r="AA228" s="704" cm="1">
        <f t="array" aca="1" ref="AA228" ca="1">IF($C$4=Lookups!$D$40,INDIRECT("'Yr1'!"&amp;ADDRESS(ROW(AA228),COLUMN(AA228))),
IF(AA170=0,0,SUMIFS('EE Inputs'!$T$9:$T$32,'EE Inputs'!$C$9:$C$32,$G$6,'EE Inputs'!$D$9:$D$32,$C$4,'EE Inputs'!$E$9:$E$32,$B228)))</f>
        <v>0</v>
      </c>
      <c r="AB228" s="704" cm="1">
        <f t="array" aca="1" ref="AB228" ca="1">IF($C$4=Lookups!$D$40,INDIRECT("'Yr1'!"&amp;ADDRESS(ROW(AB228),COLUMN(AB228))),
IF(AB170=0,0,SUMIFS('EE Inputs'!$T$9:$T$32,'EE Inputs'!$C$9:$C$32,$G$6,'EE Inputs'!$D$9:$D$32,$C$4,'EE Inputs'!$E$9:$E$32,$B228)))</f>
        <v>0</v>
      </c>
      <c r="AC228" s="704" cm="1">
        <f t="array" aca="1" ref="AC228" ca="1">IF($C$4=Lookups!$D$40,INDIRECT("'Yr1'!"&amp;ADDRESS(ROW(AC228),COLUMN(AC228))),
IF(AC170=0,0,SUMIFS('EE Inputs'!$T$9:$T$32,'EE Inputs'!$C$9:$C$32,$G$6,'EE Inputs'!$D$9:$D$32,$C$4,'EE Inputs'!$E$9:$E$32,$B228)))</f>
        <v>0</v>
      </c>
      <c r="AD228" s="704" cm="1">
        <f t="array" aca="1" ref="AD228" ca="1">IF($C$4=Lookups!$D$40,INDIRECT("'Yr1'!"&amp;ADDRESS(ROW(AD228),COLUMN(AD228))),
IF(AD170=0,0,SUMIFS('EE Inputs'!$T$9:$T$32,'EE Inputs'!$C$9:$C$32,$G$6,'EE Inputs'!$D$9:$D$32,$C$4,'EE Inputs'!$E$9:$E$32,$B228)))</f>
        <v>0</v>
      </c>
      <c r="AE228" s="704" cm="1">
        <f t="array" aca="1" ref="AE228" ca="1">IF($C$4=Lookups!$D$40,INDIRECT("'Yr1'!"&amp;ADDRESS(ROW(AE228),COLUMN(AE228))),
IF(AE170=0,0,SUMIFS('EE Inputs'!$T$9:$T$32,'EE Inputs'!$C$9:$C$32,$G$6,'EE Inputs'!$D$9:$D$32,$C$4,'EE Inputs'!$E$9:$E$32,$B228)))</f>
        <v>0</v>
      </c>
      <c r="AF228" s="704" cm="1">
        <f t="array" aca="1" ref="AF228" ca="1">IF($C$4=Lookups!$D$40,INDIRECT("'Yr1'!"&amp;ADDRESS(ROW(AF228),COLUMN(AF228))),
IF(AF170=0,0,SUMIFS('EE Inputs'!$T$9:$T$32,'EE Inputs'!$C$9:$C$32,$G$6,'EE Inputs'!$D$9:$D$32,$C$4,'EE Inputs'!$E$9:$E$32,$B228)))</f>
        <v>0</v>
      </c>
      <c r="AG228" s="704" cm="1">
        <f t="array" aca="1" ref="AG228" ca="1">IF($C$4=Lookups!$D$40,INDIRECT("'Yr1'!"&amp;ADDRESS(ROW(AG228),COLUMN(AG228))),
IF(AG170=0,0,SUMIFS('EE Inputs'!$T$9:$T$32,'EE Inputs'!$C$9:$C$32,$G$6,'EE Inputs'!$D$9:$D$32,$C$4,'EE Inputs'!$E$9:$E$32,$B228)))</f>
        <v>0</v>
      </c>
      <c r="AH228" s="64"/>
      <c r="AI228" s="64"/>
      <c r="AJ228" s="64"/>
      <c r="AM228" s="645" cm="1">
        <f t="array" aca="1" ref="AM228" ca="1">IF($C$4=Lookups!$D$40,INDIRECT("'Yr1'!"&amp;ADDRESS(ROW(AM228),COLUMN(AM228))),
IF(AM170=0,0,SUMIFS('EE Inputs'!$T$9:$T$32,'EE Inputs'!$C$9:$C$32,$AM$6,'EE Inputs'!$D$9:$D$32,$C$4,'EE Inputs'!$E$9:$E$32,$B228)))</f>
        <v>234.47484</v>
      </c>
      <c r="AN228" s="645" cm="1">
        <f t="array" aca="1" ref="AN228" ca="1">IF($C$4=Lookups!$D$40,INDIRECT("'Yr1'!"&amp;ADDRESS(ROW(AN228),COLUMN(AN228))),
IF(AN170=0,0,SUMIFS('EE Inputs'!$T$9:$T$32,'EE Inputs'!$C$9:$C$32,$AM$6,'EE Inputs'!$D$9:$D$32,$C$4,'EE Inputs'!$E$9:$E$32,$B228)))</f>
        <v>234.47484</v>
      </c>
      <c r="AO228" s="645" cm="1">
        <f t="array" aca="1" ref="AO228" ca="1">IF($C$4=Lookups!$D$40,INDIRECT("'Yr1'!"&amp;ADDRESS(ROW(AO228),COLUMN(AO228))),
IF(AO170=0,0,SUMIFS('EE Inputs'!$T$9:$T$32,'EE Inputs'!$C$9:$C$32,$AM$6,'EE Inputs'!$D$9:$D$32,$C$4,'EE Inputs'!$E$9:$E$32,$B228)))</f>
        <v>234.47484</v>
      </c>
      <c r="AP228" s="645" cm="1">
        <f t="array" aca="1" ref="AP228" ca="1">IF($C$4=Lookups!$D$40,INDIRECT("'Yr1'!"&amp;ADDRESS(ROW(AP228),COLUMN(AP228))),
IF(AP170=0,0,SUMIFS('EE Inputs'!$T$9:$T$32,'EE Inputs'!$C$9:$C$32,$AM$6,'EE Inputs'!$D$9:$D$32,$C$4,'EE Inputs'!$E$9:$E$32,$B228)))</f>
        <v>234.47484</v>
      </c>
      <c r="AQ228" s="645" cm="1">
        <f t="array" aca="1" ref="AQ228" ca="1">IF($C$4=Lookups!$D$40,INDIRECT("'Yr1'!"&amp;ADDRESS(ROW(AQ228),COLUMN(AQ228))),
IF(AQ170=0,0,SUMIFS('EE Inputs'!$T$9:$T$32,'EE Inputs'!$C$9:$C$32,$AM$6,'EE Inputs'!$D$9:$D$32,$C$4,'EE Inputs'!$E$9:$E$32,$B228)))</f>
        <v>234.47484</v>
      </c>
      <c r="AR228" s="645" cm="1">
        <f t="array" aca="1" ref="AR228" ca="1">IF($C$4=Lookups!$D$40,INDIRECT("'Yr1'!"&amp;ADDRESS(ROW(AR228),COLUMN(AR228))),
IF(AR170=0,0,SUMIFS('EE Inputs'!$T$9:$T$32,'EE Inputs'!$C$9:$C$32,$AM$6,'EE Inputs'!$D$9:$D$32,$C$4,'EE Inputs'!$E$9:$E$32,$B228)))</f>
        <v>234.47484</v>
      </c>
      <c r="AS228" s="645" cm="1">
        <f t="array" aca="1" ref="AS228" ca="1">IF($C$4=Lookups!$D$40,INDIRECT("'Yr1'!"&amp;ADDRESS(ROW(AS228),COLUMN(AS228))),
IF(AS170=0,0,SUMIFS('EE Inputs'!$T$9:$T$32,'EE Inputs'!$C$9:$C$32,$AM$6,'EE Inputs'!$D$9:$D$32,$C$4,'EE Inputs'!$E$9:$E$32,$B228)))</f>
        <v>234.47484</v>
      </c>
      <c r="AT228" s="645" cm="1">
        <f t="array" aca="1" ref="AT228" ca="1">IF($C$4=Lookups!$D$40,INDIRECT("'Yr1'!"&amp;ADDRESS(ROW(AT228),COLUMN(AT228))),
IF(AT170=0,0,SUMIFS('EE Inputs'!$T$9:$T$32,'EE Inputs'!$C$9:$C$32,$AM$6,'EE Inputs'!$D$9:$D$32,$C$4,'EE Inputs'!$E$9:$E$32,$B228)))</f>
        <v>234.47484</v>
      </c>
      <c r="AU228" s="645" cm="1">
        <f t="array" aca="1" ref="AU228" ca="1">IF($C$4=Lookups!$D$40,INDIRECT("'Yr1'!"&amp;ADDRESS(ROW(AU228),COLUMN(AU228))),
IF(AU170=0,0,SUMIFS('EE Inputs'!$T$9:$T$32,'EE Inputs'!$C$9:$C$32,$AM$6,'EE Inputs'!$D$9:$D$32,$C$4,'EE Inputs'!$E$9:$E$32,$B228)))</f>
        <v>234.47484</v>
      </c>
      <c r="AV228" s="645" cm="1">
        <f t="array" aca="1" ref="AV228" ca="1">IF($C$4=Lookups!$D$40,INDIRECT("'Yr1'!"&amp;ADDRESS(ROW(AV228),COLUMN(AV228))),
IF(AV170=0,0,SUMIFS('EE Inputs'!$T$9:$T$32,'EE Inputs'!$C$9:$C$32,$AM$6,'EE Inputs'!$D$9:$D$32,$C$4,'EE Inputs'!$E$9:$E$32,$B228)))</f>
        <v>234.47484</v>
      </c>
      <c r="AW228" s="645" cm="1">
        <f t="array" aca="1" ref="AW228" ca="1">IF($C$4=Lookups!$D$40,INDIRECT("'Yr1'!"&amp;ADDRESS(ROW(AW228),COLUMN(AW228))),
IF(AW170=0,0,SUMIFS('EE Inputs'!$T$9:$T$32,'EE Inputs'!$C$9:$C$32,$AM$6,'EE Inputs'!$D$9:$D$32,$C$4,'EE Inputs'!$E$9:$E$32,$B228)))</f>
        <v>234.47484</v>
      </c>
      <c r="AX228" s="645" cm="1">
        <f t="array" aca="1" ref="AX228" ca="1">IF($C$4=Lookups!$D$40,INDIRECT("'Yr1'!"&amp;ADDRESS(ROW(AX228),COLUMN(AX228))),
IF(AX170=0,0,SUMIFS('EE Inputs'!$T$9:$T$32,'EE Inputs'!$C$9:$C$32,$AM$6,'EE Inputs'!$D$9:$D$32,$C$4,'EE Inputs'!$E$9:$E$32,$B228)))</f>
        <v>234.47484</v>
      </c>
      <c r="AY228" s="645" cm="1">
        <f t="array" aca="1" ref="AY228" ca="1">IF($C$4=Lookups!$D$40,INDIRECT("'Yr1'!"&amp;ADDRESS(ROW(AY228),COLUMN(AY228))),
IF(AY170=0,0,SUMIFS('EE Inputs'!$T$9:$T$32,'EE Inputs'!$C$9:$C$32,$AM$6,'EE Inputs'!$D$9:$D$32,$C$4,'EE Inputs'!$E$9:$E$32,$B228)))</f>
        <v>234.47484</v>
      </c>
      <c r="AZ228" s="645" cm="1">
        <f t="array" aca="1" ref="AZ228" ca="1">IF($C$4=Lookups!$D$40,INDIRECT("'Yr1'!"&amp;ADDRESS(ROW(AZ228),COLUMN(AZ228))),
IF(AZ170=0,0,SUMIFS('EE Inputs'!$T$9:$T$32,'EE Inputs'!$C$9:$C$32,$AM$6,'EE Inputs'!$D$9:$D$32,$C$4,'EE Inputs'!$E$9:$E$32,$B228)))</f>
        <v>234.47484</v>
      </c>
      <c r="BA228" s="645" cm="1">
        <f t="array" aca="1" ref="BA228" ca="1">IF($C$4=Lookups!$D$40,INDIRECT("'Yr1'!"&amp;ADDRESS(ROW(BA228),COLUMN(BA228))),
IF(BA170=0,0,SUMIFS('EE Inputs'!$T$9:$T$32,'EE Inputs'!$C$9:$C$32,$AM$6,'EE Inputs'!$D$9:$D$32,$C$4,'EE Inputs'!$E$9:$E$32,$B228)))</f>
        <v>234.47484</v>
      </c>
      <c r="BB228" s="645" cm="1">
        <f t="array" aca="1" ref="BB228" ca="1">IF($C$4=Lookups!$D$40,INDIRECT("'Yr1'!"&amp;ADDRESS(ROW(BB228),COLUMN(BB228))),
IF(BB170=0,0,SUMIFS('EE Inputs'!$T$9:$T$32,'EE Inputs'!$C$9:$C$32,$AM$6,'EE Inputs'!$D$9:$D$32,$C$4,'EE Inputs'!$E$9:$E$32,$B228)))</f>
        <v>234.47484</v>
      </c>
      <c r="BC228" s="645" cm="1">
        <f t="array" aca="1" ref="BC228" ca="1">IF($C$4=Lookups!$D$40,INDIRECT("'Yr1'!"&amp;ADDRESS(ROW(BC228),COLUMN(BC228))),
IF(BC170=0,0,SUMIFS('EE Inputs'!$T$9:$T$32,'EE Inputs'!$C$9:$C$32,$AM$6,'EE Inputs'!$D$9:$D$32,$C$4,'EE Inputs'!$E$9:$E$32,$B228)))</f>
        <v>0</v>
      </c>
      <c r="BD228" s="645" cm="1">
        <f t="array" aca="1" ref="BD228" ca="1">IF($C$4=Lookups!$D$40,INDIRECT("'Yr1'!"&amp;ADDRESS(ROW(BD228),COLUMN(BD228))),
IF(BD170=0,0,SUMIFS('EE Inputs'!$T$9:$T$32,'EE Inputs'!$C$9:$C$32,$AM$6,'EE Inputs'!$D$9:$D$32,$C$4,'EE Inputs'!$E$9:$E$32,$B228)))</f>
        <v>0</v>
      </c>
      <c r="BE228" s="645" cm="1">
        <f t="array" aca="1" ref="BE228" ca="1">IF($C$4=Lookups!$D$40,INDIRECT("'Yr1'!"&amp;ADDRESS(ROW(BE228),COLUMN(BE228))),
IF(BE170=0,0,SUMIFS('EE Inputs'!$T$9:$T$32,'EE Inputs'!$C$9:$C$32,$AM$6,'EE Inputs'!$D$9:$D$32,$C$4,'EE Inputs'!$E$9:$E$32,$B228)))</f>
        <v>0</v>
      </c>
      <c r="BF228" s="645" cm="1">
        <f t="array" aca="1" ref="BF228" ca="1">IF($C$4=Lookups!$D$40,INDIRECT("'Yr1'!"&amp;ADDRESS(ROW(BF228),COLUMN(BF228))),
IF(BF170=0,0,SUMIFS('EE Inputs'!$T$9:$T$32,'EE Inputs'!$C$9:$C$32,$AM$6,'EE Inputs'!$D$9:$D$32,$C$4,'EE Inputs'!$E$9:$E$32,$B228)))</f>
        <v>0</v>
      </c>
      <c r="BG228" s="645" cm="1">
        <f t="array" aca="1" ref="BG228" ca="1">IF($C$4=Lookups!$D$40,INDIRECT("'Yr1'!"&amp;ADDRESS(ROW(BG228),COLUMN(BG228))),
IF(BG170=0,0,SUMIFS('EE Inputs'!$T$9:$T$32,'EE Inputs'!$C$9:$C$32,$AM$6,'EE Inputs'!$D$9:$D$32,$C$4,'EE Inputs'!$E$9:$E$32,$B228)))</f>
        <v>0</v>
      </c>
      <c r="BH228" s="645" cm="1">
        <f t="array" aca="1" ref="BH228" ca="1">IF($C$4=Lookups!$D$40,INDIRECT("'Yr1'!"&amp;ADDRESS(ROW(BH228),COLUMN(BH228))),
IF(BH170=0,0,SUMIFS('EE Inputs'!$T$9:$T$32,'EE Inputs'!$C$9:$C$32,$AM$6,'EE Inputs'!$D$9:$D$32,$C$4,'EE Inputs'!$E$9:$E$32,$B228)))</f>
        <v>0</v>
      </c>
      <c r="BI228" s="645" cm="1">
        <f t="array" aca="1" ref="BI228" ca="1">IF($C$4=Lookups!$D$40,INDIRECT("'Yr1'!"&amp;ADDRESS(ROW(BI228),COLUMN(BI228))),
IF(BI170=0,0,SUMIFS('EE Inputs'!$T$9:$T$32,'EE Inputs'!$C$9:$C$32,$AM$6,'EE Inputs'!$D$9:$D$32,$C$4,'EE Inputs'!$E$9:$E$32,$B228)))</f>
        <v>0</v>
      </c>
      <c r="BJ228" s="645" cm="1">
        <f t="array" aca="1" ref="BJ228" ca="1">IF($C$4=Lookups!$D$40,INDIRECT("'Yr1'!"&amp;ADDRESS(ROW(BJ228),COLUMN(BJ228))),
IF(BJ170=0,0,SUMIFS('EE Inputs'!$T$9:$T$32,'EE Inputs'!$C$9:$C$32,$AM$6,'EE Inputs'!$D$9:$D$32,$C$4,'EE Inputs'!$E$9:$E$32,$B228)))</f>
        <v>0</v>
      </c>
      <c r="BK228" s="645" cm="1">
        <f t="array" aca="1" ref="BK228" ca="1">IF($C$4=Lookups!$D$40,INDIRECT("'Yr1'!"&amp;ADDRESS(ROW(BK228),COLUMN(BK228))),
IF(BK170=0,0,SUMIFS('EE Inputs'!$T$9:$T$32,'EE Inputs'!$C$9:$C$32,$AM$6,'EE Inputs'!$D$9:$D$32,$C$4,'EE Inputs'!$E$9:$E$32,$B228)))</f>
        <v>0</v>
      </c>
      <c r="BL228" s="645" cm="1">
        <f t="array" aca="1" ref="BL228" ca="1">IF($C$4=Lookups!$D$40,INDIRECT("'Yr1'!"&amp;ADDRESS(ROW(BL228),COLUMN(BL228))),
IF(BL170=0,0,SUMIFS('EE Inputs'!$T$9:$T$32,'EE Inputs'!$C$9:$C$32,$AM$6,'EE Inputs'!$D$9:$D$32,$C$4,'EE Inputs'!$E$9:$E$32,$B228)))</f>
        <v>0</v>
      </c>
      <c r="BM228" s="645" cm="1">
        <f t="array" aca="1" ref="BM228" ca="1">IF($C$4=Lookups!$D$40,INDIRECT("'Yr1'!"&amp;ADDRESS(ROW(BM228),COLUMN(BM228))),
IF(BM170=0,0,SUMIFS('EE Inputs'!$T$9:$T$32,'EE Inputs'!$C$9:$C$32,$AM$6,'EE Inputs'!$D$9:$D$32,$C$4,'EE Inputs'!$E$9:$E$32,$B228)))</f>
        <v>0</v>
      </c>
      <c r="BN228" s="71"/>
      <c r="BO228" s="71"/>
      <c r="BP228" s="71"/>
      <c r="BS228" s="76" t="s">
        <v>96</v>
      </c>
      <c r="BT228" s="51" t="s">
        <v>17</v>
      </c>
    </row>
    <row r="229" spans="1:72" x14ac:dyDescent="0.25">
      <c r="B229" s="243" t="str">
        <f t="shared" si="230"/>
        <v>Small C&amp;I</v>
      </c>
      <c r="C229" s="243" t="str">
        <f t="shared" si="230"/>
        <v>Bills</v>
      </c>
      <c r="D229" s="114" t="s">
        <v>111</v>
      </c>
      <c r="E229" s="84"/>
      <c r="F229" s="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49"/>
      <c r="AI229" s="184"/>
      <c r="AJ229" s="49"/>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S229" s="84"/>
      <c r="BT229" s="51" t="s">
        <v>17</v>
      </c>
    </row>
    <row r="230" spans="1:72" x14ac:dyDescent="0.25">
      <c r="B230" s="243" t="str">
        <f t="shared" si="230"/>
        <v>Small C&amp;I</v>
      </c>
      <c r="C230" s="243" t="str">
        <f t="shared" si="230"/>
        <v>Bills</v>
      </c>
      <c r="D230" s="244" t="str">
        <f t="shared" si="230"/>
        <v>Bills after DSM Scenario</v>
      </c>
      <c r="E230" s="84" t="s">
        <v>348</v>
      </c>
      <c r="F230" s="84" t="s">
        <v>32</v>
      </c>
      <c r="G230" s="103">
        <f ca="1">G222+G223*(G215-G214)</f>
        <v>2951.1320265864251</v>
      </c>
      <c r="H230" s="103">
        <f ca="1">H222+H223*(H215-H214)</f>
        <v>2672.7858097285175</v>
      </c>
      <c r="I230" s="103">
        <f t="shared" ref="I230:AG230" ca="1" si="240">I222+I223*(I215-I214)</f>
        <v>2672.7858097285175</v>
      </c>
      <c r="J230" s="103">
        <f t="shared" ca="1" si="240"/>
        <v>2672.7858097285175</v>
      </c>
      <c r="K230" s="103">
        <f t="shared" ca="1" si="240"/>
        <v>2672.7858097285175</v>
      </c>
      <c r="L230" s="103">
        <f t="shared" ca="1" si="240"/>
        <v>2672.7858097285175</v>
      </c>
      <c r="M230" s="103">
        <f t="shared" ca="1" si="240"/>
        <v>2672.7858097285175</v>
      </c>
      <c r="N230" s="103">
        <f t="shared" ca="1" si="240"/>
        <v>2672.7858097285175</v>
      </c>
      <c r="O230" s="103">
        <f t="shared" ca="1" si="240"/>
        <v>2672.7858097285175</v>
      </c>
      <c r="P230" s="103">
        <f t="shared" ca="1" si="240"/>
        <v>2672.7858097285175</v>
      </c>
      <c r="Q230" s="103">
        <f t="shared" ca="1" si="240"/>
        <v>2672.7858097285175</v>
      </c>
      <c r="R230" s="103">
        <f t="shared" ca="1" si="240"/>
        <v>2672.7858097285175</v>
      </c>
      <c r="S230" s="103">
        <f t="shared" ca="1" si="240"/>
        <v>2672.7858097285175</v>
      </c>
      <c r="T230" s="103">
        <f t="shared" ca="1" si="240"/>
        <v>2672.7858097285175</v>
      </c>
      <c r="U230" s="103">
        <f t="shared" ca="1" si="240"/>
        <v>2672.7858097285175</v>
      </c>
      <c r="V230" s="103">
        <f t="shared" ca="1" si="240"/>
        <v>2672.7858097285175</v>
      </c>
      <c r="W230" s="103">
        <f t="shared" ca="1" si="240"/>
        <v>2662.1510455613457</v>
      </c>
      <c r="X230" s="103">
        <f t="shared" ca="1" si="240"/>
        <v>2662.1510455613457</v>
      </c>
      <c r="Y230" s="103">
        <f t="shared" ca="1" si="240"/>
        <v>2662.1510455613457</v>
      </c>
      <c r="Z230" s="103">
        <f t="shared" ca="1" si="240"/>
        <v>2662.1510455613457</v>
      </c>
      <c r="AA230" s="103">
        <f t="shared" ca="1" si="240"/>
        <v>2662.1510455613457</v>
      </c>
      <c r="AB230" s="103">
        <f t="shared" ca="1" si="240"/>
        <v>2662.1510455613457</v>
      </c>
      <c r="AC230" s="103">
        <f t="shared" ca="1" si="240"/>
        <v>2662.1510455613457</v>
      </c>
      <c r="AD230" s="103">
        <f t="shared" ca="1" si="240"/>
        <v>2662.1510455613457</v>
      </c>
      <c r="AE230" s="103">
        <f t="shared" ca="1" si="240"/>
        <v>2662.1510455613457</v>
      </c>
      <c r="AF230" s="103">
        <f t="shared" ca="1" si="240"/>
        <v>2662.1510455613457</v>
      </c>
      <c r="AG230" s="103">
        <f t="shared" ca="1" si="240"/>
        <v>2662.1510455613457</v>
      </c>
      <c r="AH230" s="103"/>
      <c r="AI230" s="103"/>
      <c r="AJ230" s="103">
        <f ca="1">IF($C$4=Year1,-PMT(Lookups!$E$17,25,NPV(Lookups!$E$17,G230:AE230),0,1),IF($C$4=Year2,-PMT(Lookups!$F$17,25,NPV(Lookups!$F$17,H230:AF230),0,1),IF($C$4=Year3,-PMT(Lookups!$G$17,25,NPV(Lookups!$G$17,I230:AG230),0,1),-PMT(Lookups!$G$17,27,NPV(Lookups!$G$17,G230:AG230),0,1))))</f>
        <v>2645.0778520838007</v>
      </c>
      <c r="AM230" s="149">
        <f ca="1">AM222+AM223*(AM215-AM214)</f>
        <v>3008.3489699671272</v>
      </c>
      <c r="AN230" s="149">
        <f t="shared" ref="AN230:BM230" ca="1" si="241">AN222+AN223*(AN215-AN214)</f>
        <v>2674.3335097376375</v>
      </c>
      <c r="AO230" s="149">
        <f t="shared" ca="1" si="241"/>
        <v>2674.3335097376375</v>
      </c>
      <c r="AP230" s="149">
        <f t="shared" ca="1" si="241"/>
        <v>2674.3335097376375</v>
      </c>
      <c r="AQ230" s="149">
        <f t="shared" ca="1" si="241"/>
        <v>2674.3335097376375</v>
      </c>
      <c r="AR230" s="149">
        <f t="shared" ca="1" si="241"/>
        <v>2674.3335097376375</v>
      </c>
      <c r="AS230" s="149">
        <f t="shared" ca="1" si="241"/>
        <v>2674.3335097376375</v>
      </c>
      <c r="AT230" s="149">
        <f t="shared" ca="1" si="241"/>
        <v>2674.3335097376375</v>
      </c>
      <c r="AU230" s="149">
        <f t="shared" ca="1" si="241"/>
        <v>2674.3335097376375</v>
      </c>
      <c r="AV230" s="149">
        <f t="shared" ca="1" si="241"/>
        <v>2674.3335097376375</v>
      </c>
      <c r="AW230" s="149">
        <f t="shared" ca="1" si="241"/>
        <v>2674.3335097376375</v>
      </c>
      <c r="AX230" s="149">
        <f t="shared" ca="1" si="241"/>
        <v>2674.3335097376375</v>
      </c>
      <c r="AY230" s="149">
        <f t="shared" ca="1" si="241"/>
        <v>2674.3335097376375</v>
      </c>
      <c r="AZ230" s="149">
        <f t="shared" ca="1" si="241"/>
        <v>2674.3335097376375</v>
      </c>
      <c r="BA230" s="149">
        <f t="shared" ca="1" si="241"/>
        <v>2674.3335097376375</v>
      </c>
      <c r="BB230" s="149">
        <f t="shared" ca="1" si="241"/>
        <v>2674.3335097376375</v>
      </c>
      <c r="BC230" s="149">
        <f t="shared" ca="1" si="241"/>
        <v>2662.1510455613457</v>
      </c>
      <c r="BD230" s="149">
        <f t="shared" ca="1" si="241"/>
        <v>2662.1510455613457</v>
      </c>
      <c r="BE230" s="149">
        <f t="shared" ca="1" si="241"/>
        <v>2662.1510455613457</v>
      </c>
      <c r="BF230" s="149">
        <f t="shared" ca="1" si="241"/>
        <v>2662.1510455613457</v>
      </c>
      <c r="BG230" s="149">
        <f t="shared" ca="1" si="241"/>
        <v>2662.1510455613457</v>
      </c>
      <c r="BH230" s="149">
        <f t="shared" ca="1" si="241"/>
        <v>2662.1510455613457</v>
      </c>
      <c r="BI230" s="149">
        <f t="shared" ca="1" si="241"/>
        <v>2662.1510455613457</v>
      </c>
      <c r="BJ230" s="149">
        <f t="shared" ca="1" si="241"/>
        <v>2662.1510455613457</v>
      </c>
      <c r="BK230" s="149">
        <f t="shared" ca="1" si="241"/>
        <v>2662.1510455613457</v>
      </c>
      <c r="BL230" s="149">
        <f t="shared" ca="1" si="241"/>
        <v>2662.1510455613457</v>
      </c>
      <c r="BM230" s="149">
        <f t="shared" ca="1" si="241"/>
        <v>2662.1510455613457</v>
      </c>
      <c r="BN230" s="149"/>
      <c r="BO230" s="149"/>
      <c r="BP230" s="149">
        <f ca="1">IF($C$4=Year1,-PMT(Lookups!$E$17,25,NPV(Lookups!$E$17,AM230:BK230),0,1),IF($C$4=Year2,-PMT(Lookups!$F$17,25,NPV(Lookups!$F$17,AN230:BL230),0,1),IF($C$4=Year3,-PMT(Lookups!$G$17,25,NPV(Lookups!$G$17,AO230:BM230),0,1),-PMT(Lookups!$G$17,27,NPV(Lookups!$G$17,AM230:BM230),0,1))))</f>
        <v>2648.700651146642</v>
      </c>
      <c r="BS230" s="84" t="s">
        <v>239</v>
      </c>
      <c r="BT230" s="51" t="s">
        <v>17</v>
      </c>
    </row>
    <row r="231" spans="1:72" x14ac:dyDescent="0.25">
      <c r="B231" s="243" t="str">
        <f t="shared" si="230"/>
        <v>Small C&amp;I</v>
      </c>
      <c r="C231" s="243" t="str">
        <f t="shared" si="230"/>
        <v>Bills</v>
      </c>
      <c r="D231" s="244" t="str">
        <f t="shared" si="230"/>
        <v>Bills after DSM Scenario</v>
      </c>
      <c r="E231" s="84" t="s">
        <v>349</v>
      </c>
      <c r="F231" s="84" t="s">
        <v>32</v>
      </c>
      <c r="G231" s="103">
        <f ca="1">G222+(G223-G226)*(G215-G214)</f>
        <v>2906.6258298847479</v>
      </c>
      <c r="H231" s="103">
        <f ca="1">H222+(H223-H226)*(H215-H214)</f>
        <v>2633.7253955063866</v>
      </c>
      <c r="I231" s="103">
        <f t="shared" ref="I231:AG231" ca="1" si="242">I222+(I223-I226)*(I215-I214)</f>
        <v>2633.7253955063866</v>
      </c>
      <c r="J231" s="103">
        <f t="shared" ca="1" si="242"/>
        <v>2633.7253955063866</v>
      </c>
      <c r="K231" s="103">
        <f t="shared" ca="1" si="242"/>
        <v>2633.7253955063866</v>
      </c>
      <c r="L231" s="103">
        <f t="shared" ca="1" si="242"/>
        <v>2633.7253955063866</v>
      </c>
      <c r="M231" s="103">
        <f t="shared" ca="1" si="242"/>
        <v>2633.7253955063866</v>
      </c>
      <c r="N231" s="103">
        <f t="shared" ca="1" si="242"/>
        <v>2633.7253955063866</v>
      </c>
      <c r="O231" s="103">
        <f t="shared" ca="1" si="242"/>
        <v>2633.7253955063866</v>
      </c>
      <c r="P231" s="103">
        <f t="shared" ca="1" si="242"/>
        <v>2633.7253955063866</v>
      </c>
      <c r="Q231" s="103">
        <f t="shared" ca="1" si="242"/>
        <v>2633.7253955063866</v>
      </c>
      <c r="R231" s="103">
        <f t="shared" ca="1" si="242"/>
        <v>2633.7253955063866</v>
      </c>
      <c r="S231" s="103">
        <f t="shared" ca="1" si="242"/>
        <v>2633.7253955063866</v>
      </c>
      <c r="T231" s="103">
        <f t="shared" ca="1" si="242"/>
        <v>2633.7253955063866</v>
      </c>
      <c r="U231" s="103">
        <f t="shared" ca="1" si="242"/>
        <v>2633.7253955063866</v>
      </c>
      <c r="V231" s="103">
        <f t="shared" ca="1" si="242"/>
        <v>2633.7253955063866</v>
      </c>
      <c r="W231" s="103">
        <f t="shared" ca="1" si="242"/>
        <v>2662.1510455613457</v>
      </c>
      <c r="X231" s="103">
        <f t="shared" ca="1" si="242"/>
        <v>2662.1510455613457</v>
      </c>
      <c r="Y231" s="103">
        <f t="shared" ca="1" si="242"/>
        <v>2662.1510455613457</v>
      </c>
      <c r="Z231" s="103">
        <f t="shared" ca="1" si="242"/>
        <v>2662.1510455613457</v>
      </c>
      <c r="AA231" s="103">
        <f t="shared" ca="1" si="242"/>
        <v>2662.1510455613457</v>
      </c>
      <c r="AB231" s="103">
        <f t="shared" ca="1" si="242"/>
        <v>2662.1510455613457</v>
      </c>
      <c r="AC231" s="103">
        <f t="shared" ca="1" si="242"/>
        <v>2662.1510455613457</v>
      </c>
      <c r="AD231" s="103">
        <f t="shared" ca="1" si="242"/>
        <v>2662.1510455613457</v>
      </c>
      <c r="AE231" s="103">
        <f t="shared" ca="1" si="242"/>
        <v>2662.1510455613457</v>
      </c>
      <c r="AF231" s="103">
        <f t="shared" ca="1" si="242"/>
        <v>2662.1510455613457</v>
      </c>
      <c r="AG231" s="103">
        <f t="shared" ca="1" si="242"/>
        <v>2662.1510455613457</v>
      </c>
      <c r="AH231" s="103"/>
      <c r="AI231" s="103"/>
      <c r="AJ231" s="103">
        <f ca="1">IF($C$4=Year1,-PMT(Lookups!$E$17,25,NPV(Lookups!$E$17,G231:AE231),0,1),IF($C$4=Year2,-PMT(Lookups!$F$17,25,NPV(Lookups!$F$17,H231:AF231),0,1),IF($C$4=Year3,-PMT(Lookups!$G$17,25,NPV(Lookups!$G$17,I231:AG231),0,1),-PMT(Lookups!$G$17,27,NPV(Lookups!$G$17,G231:AG231),0,1))))</f>
        <v>2618.6460966386876</v>
      </c>
      <c r="AM231" s="149">
        <f ca="1">AM222+(AM223-AM226)*(AM215-AM214)</f>
        <v>2956.2053887012116</v>
      </c>
      <c r="AN231" s="149">
        <f t="shared" ref="AN231:BM231" ca="1" si="243">AN222+(AN223-AN226)*(AN215-AN214)</f>
        <v>2629.6584301579569</v>
      </c>
      <c r="AO231" s="149">
        <f t="shared" ca="1" si="243"/>
        <v>2629.6584301579569</v>
      </c>
      <c r="AP231" s="149">
        <f t="shared" ca="1" si="243"/>
        <v>2629.6584301579569</v>
      </c>
      <c r="AQ231" s="149">
        <f t="shared" ca="1" si="243"/>
        <v>2629.6584301579569</v>
      </c>
      <c r="AR231" s="149">
        <f t="shared" ca="1" si="243"/>
        <v>2629.6584301579569</v>
      </c>
      <c r="AS231" s="149">
        <f t="shared" ca="1" si="243"/>
        <v>2629.6584301579569</v>
      </c>
      <c r="AT231" s="149">
        <f t="shared" ca="1" si="243"/>
        <v>2629.6584301579569</v>
      </c>
      <c r="AU231" s="149">
        <f t="shared" ca="1" si="243"/>
        <v>2629.6584301579569</v>
      </c>
      <c r="AV231" s="149">
        <f t="shared" ca="1" si="243"/>
        <v>2629.6584301579569</v>
      </c>
      <c r="AW231" s="149">
        <f t="shared" ca="1" si="243"/>
        <v>2629.6584301579569</v>
      </c>
      <c r="AX231" s="149">
        <f t="shared" ca="1" si="243"/>
        <v>2629.6584301579569</v>
      </c>
      <c r="AY231" s="149">
        <f t="shared" ca="1" si="243"/>
        <v>2629.6584301579569</v>
      </c>
      <c r="AZ231" s="149">
        <f t="shared" ca="1" si="243"/>
        <v>2629.6584301579569</v>
      </c>
      <c r="BA231" s="149">
        <f t="shared" ca="1" si="243"/>
        <v>2629.6584301579569</v>
      </c>
      <c r="BB231" s="149">
        <f t="shared" ca="1" si="243"/>
        <v>2629.6584301579569</v>
      </c>
      <c r="BC231" s="149">
        <f t="shared" ca="1" si="243"/>
        <v>2662.1510455613457</v>
      </c>
      <c r="BD231" s="149">
        <f t="shared" ca="1" si="243"/>
        <v>2662.1510455613457</v>
      </c>
      <c r="BE231" s="149">
        <f t="shared" ca="1" si="243"/>
        <v>2662.1510455613457</v>
      </c>
      <c r="BF231" s="149">
        <f t="shared" ca="1" si="243"/>
        <v>2662.1510455613457</v>
      </c>
      <c r="BG231" s="149">
        <f t="shared" ca="1" si="243"/>
        <v>2662.1510455613457</v>
      </c>
      <c r="BH231" s="149">
        <f t="shared" ca="1" si="243"/>
        <v>2662.1510455613457</v>
      </c>
      <c r="BI231" s="149">
        <f t="shared" ca="1" si="243"/>
        <v>2662.1510455613457</v>
      </c>
      <c r="BJ231" s="149">
        <f t="shared" ca="1" si="243"/>
        <v>2662.1510455613457</v>
      </c>
      <c r="BK231" s="149">
        <f t="shared" ca="1" si="243"/>
        <v>2662.1510455613457</v>
      </c>
      <c r="BL231" s="149">
        <f t="shared" ca="1" si="243"/>
        <v>2662.1510455613457</v>
      </c>
      <c r="BM231" s="149">
        <f t="shared" ca="1" si="243"/>
        <v>2662.1510455613457</v>
      </c>
      <c r="BN231" s="149"/>
      <c r="BO231" s="149"/>
      <c r="BP231" s="149">
        <f ca="1">IF($C$4=Year1,-PMT(Lookups!$E$17,25,NPV(Lookups!$E$17,AM231:BK231),0,1),IF($C$4=Year2,-PMT(Lookups!$F$17,25,NPV(Lookups!$F$17,AN231:BL231),0,1),IF($C$4=Year3,-PMT(Lookups!$G$17,25,NPV(Lookups!$G$17,AO231:BM231),0,1),-PMT(Lookups!$G$17,27,NPV(Lookups!$G$17,AM231:BM231),0,1))))</f>
        <v>2618.4119257620246</v>
      </c>
      <c r="BS231" s="84" t="s">
        <v>240</v>
      </c>
      <c r="BT231" s="51" t="s">
        <v>17</v>
      </c>
    </row>
    <row r="232" spans="1:72" x14ac:dyDescent="0.25">
      <c r="B232" s="243" t="str">
        <f t="shared" si="230"/>
        <v>Small C&amp;I</v>
      </c>
      <c r="C232" s="243" t="str">
        <f t="shared" si="230"/>
        <v>Bills</v>
      </c>
      <c r="D232" s="244" t="str">
        <f t="shared" si="230"/>
        <v>Bills after DSM Scenario</v>
      </c>
      <c r="E232" s="84" t="str">
        <f>'EE Inputs'!$N$15&amp;" Participant Annual Bill"</f>
        <v>Low Savings Participant Annual Bill</v>
      </c>
      <c r="F232" s="84" t="s">
        <v>32</v>
      </c>
      <c r="G232" s="103">
        <f ca="1">G222+(G223-G227)*(G215-G214)</f>
        <v>2837.3914252571039</v>
      </c>
      <c r="H232" s="103">
        <f ca="1">H222+(H223-H227)*(H215-H214)</f>
        <v>2572.9625192420917</v>
      </c>
      <c r="I232" s="103">
        <f t="shared" ref="I232:AG232" ca="1" si="244">I222+(I223-I227)*(I215-I214)</f>
        <v>2572.9625192420917</v>
      </c>
      <c r="J232" s="103">
        <f t="shared" ca="1" si="244"/>
        <v>2572.9625192420917</v>
      </c>
      <c r="K232" s="103">
        <f t="shared" ca="1" si="244"/>
        <v>2572.9625192420917</v>
      </c>
      <c r="L232" s="103">
        <f t="shared" ca="1" si="244"/>
        <v>2572.9625192420917</v>
      </c>
      <c r="M232" s="103">
        <f t="shared" ca="1" si="244"/>
        <v>2572.9625192420917</v>
      </c>
      <c r="N232" s="103">
        <f t="shared" ca="1" si="244"/>
        <v>2572.9625192420917</v>
      </c>
      <c r="O232" s="103">
        <f t="shared" ca="1" si="244"/>
        <v>2572.9625192420917</v>
      </c>
      <c r="P232" s="103">
        <f t="shared" ca="1" si="244"/>
        <v>2572.9625192420917</v>
      </c>
      <c r="Q232" s="103">
        <f t="shared" ca="1" si="244"/>
        <v>2572.9625192420917</v>
      </c>
      <c r="R232" s="103">
        <f t="shared" ca="1" si="244"/>
        <v>2572.9625192420917</v>
      </c>
      <c r="S232" s="103">
        <f t="shared" ca="1" si="244"/>
        <v>2572.9625192420917</v>
      </c>
      <c r="T232" s="103">
        <f t="shared" ca="1" si="244"/>
        <v>2572.9625192420917</v>
      </c>
      <c r="U232" s="103">
        <f t="shared" ca="1" si="244"/>
        <v>2572.9625192420917</v>
      </c>
      <c r="V232" s="103">
        <f t="shared" ca="1" si="244"/>
        <v>2572.9625192420917</v>
      </c>
      <c r="W232" s="103">
        <f t="shared" ca="1" si="244"/>
        <v>2662.1510455613457</v>
      </c>
      <c r="X232" s="103">
        <f t="shared" ca="1" si="244"/>
        <v>2662.1510455613457</v>
      </c>
      <c r="Y232" s="103">
        <f t="shared" ca="1" si="244"/>
        <v>2662.1510455613457</v>
      </c>
      <c r="Z232" s="103">
        <f t="shared" ca="1" si="244"/>
        <v>2662.1510455613457</v>
      </c>
      <c r="AA232" s="103">
        <f t="shared" ca="1" si="244"/>
        <v>2662.1510455613457</v>
      </c>
      <c r="AB232" s="103">
        <f t="shared" ca="1" si="244"/>
        <v>2662.1510455613457</v>
      </c>
      <c r="AC232" s="103">
        <f t="shared" ca="1" si="244"/>
        <v>2662.1510455613457</v>
      </c>
      <c r="AD232" s="103">
        <f t="shared" ca="1" si="244"/>
        <v>2662.1510455613457</v>
      </c>
      <c r="AE232" s="103">
        <f t="shared" ca="1" si="244"/>
        <v>2662.1510455613457</v>
      </c>
      <c r="AF232" s="103">
        <f t="shared" ca="1" si="244"/>
        <v>2662.1510455613457</v>
      </c>
      <c r="AG232" s="103">
        <f t="shared" ca="1" si="244"/>
        <v>2662.1510455613457</v>
      </c>
      <c r="AH232" s="103"/>
      <c r="AI232" s="103"/>
      <c r="AJ232" s="103">
        <f ca="1">IF($C$4=Year1,-PMT(Lookups!$E$17,25,NPV(Lookups!$E$17,G232:AE232),0,1),IF($C$4=Year2,-PMT(Lookups!$F$17,25,NPV(Lookups!$F$17,H232:AF232),0,1),IF($C$4=Year3,-PMT(Lookups!$G$17,25,NPV(Lookups!$G$17,I232:AG232),0,1),-PMT(Lookups!$G$17,27,NPV(Lookups!$G$17,G232:AG232),0,1))))</f>
        <v>2577.5285222979219</v>
      </c>
      <c r="AM232" s="149">
        <f ca="1">AM222+(AM223-AM227)*(AM215-AM214)</f>
        <v>2868.4272317690993</v>
      </c>
      <c r="AN232" s="149">
        <f t="shared" ref="AN232:BM232" ca="1" si="245">AN222+(AN223-AN227)*(AN215-AN214)</f>
        <v>2554.4526991533794</v>
      </c>
      <c r="AO232" s="149">
        <f t="shared" ca="1" si="245"/>
        <v>2554.4526991533794</v>
      </c>
      <c r="AP232" s="149">
        <f t="shared" ca="1" si="245"/>
        <v>2554.4526991533794</v>
      </c>
      <c r="AQ232" s="149">
        <f t="shared" ca="1" si="245"/>
        <v>2554.4526991533794</v>
      </c>
      <c r="AR232" s="149">
        <f t="shared" ca="1" si="245"/>
        <v>2554.4526991533794</v>
      </c>
      <c r="AS232" s="149">
        <f t="shared" ca="1" si="245"/>
        <v>2554.4526991533794</v>
      </c>
      <c r="AT232" s="149">
        <f t="shared" ca="1" si="245"/>
        <v>2554.4526991533794</v>
      </c>
      <c r="AU232" s="149">
        <f t="shared" ca="1" si="245"/>
        <v>2554.4526991533794</v>
      </c>
      <c r="AV232" s="149">
        <f t="shared" ca="1" si="245"/>
        <v>2554.4526991533794</v>
      </c>
      <c r="AW232" s="149">
        <f t="shared" ca="1" si="245"/>
        <v>2554.4526991533794</v>
      </c>
      <c r="AX232" s="149">
        <f t="shared" ca="1" si="245"/>
        <v>2554.4526991533794</v>
      </c>
      <c r="AY232" s="149">
        <f t="shared" ca="1" si="245"/>
        <v>2554.4526991533794</v>
      </c>
      <c r="AZ232" s="149">
        <f t="shared" ca="1" si="245"/>
        <v>2554.4526991533794</v>
      </c>
      <c r="BA232" s="149">
        <f t="shared" ca="1" si="245"/>
        <v>2554.4526991533794</v>
      </c>
      <c r="BB232" s="149">
        <f t="shared" ca="1" si="245"/>
        <v>2554.4526991533794</v>
      </c>
      <c r="BC232" s="149">
        <f t="shared" ca="1" si="245"/>
        <v>2662.1510455613457</v>
      </c>
      <c r="BD232" s="149">
        <f t="shared" ca="1" si="245"/>
        <v>2662.1510455613457</v>
      </c>
      <c r="BE232" s="149">
        <f t="shared" ca="1" si="245"/>
        <v>2662.1510455613457</v>
      </c>
      <c r="BF232" s="149">
        <f t="shared" ca="1" si="245"/>
        <v>2662.1510455613457</v>
      </c>
      <c r="BG232" s="149">
        <f t="shared" ca="1" si="245"/>
        <v>2662.1510455613457</v>
      </c>
      <c r="BH232" s="149">
        <f t="shared" ca="1" si="245"/>
        <v>2662.1510455613457</v>
      </c>
      <c r="BI232" s="149">
        <f t="shared" ca="1" si="245"/>
        <v>2662.1510455613457</v>
      </c>
      <c r="BJ232" s="149">
        <f t="shared" ca="1" si="245"/>
        <v>2662.1510455613457</v>
      </c>
      <c r="BK232" s="149">
        <f t="shared" ca="1" si="245"/>
        <v>2662.1510455613457</v>
      </c>
      <c r="BL232" s="149">
        <f t="shared" ca="1" si="245"/>
        <v>2662.1510455613457</v>
      </c>
      <c r="BM232" s="149">
        <f t="shared" ca="1" si="245"/>
        <v>2662.1510455613457</v>
      </c>
      <c r="BN232" s="149"/>
      <c r="BO232" s="149"/>
      <c r="BP232" s="149">
        <f ca="1">IF($C$4=Year1,-PMT(Lookups!$E$17,25,NPV(Lookups!$E$17,AM232:BK232),0,1),IF($C$4=Year2,-PMT(Lookups!$F$17,25,NPV(Lookups!$F$17,AN232:BL232),0,1),IF($C$4=Year3,-PMT(Lookups!$G$17,25,NPV(Lookups!$G$17,AO232:BM232),0,1),-PMT(Lookups!$G$17,27,NPV(Lookups!$G$17,AM232:BM232),0,1))))</f>
        <v>2567.4240874598158</v>
      </c>
      <c r="BS232" s="84" t="s">
        <v>240</v>
      </c>
      <c r="BT232" s="51" t="s">
        <v>17</v>
      </c>
    </row>
    <row r="233" spans="1:72" x14ac:dyDescent="0.25">
      <c r="B233" s="243" t="str">
        <f t="shared" ref="B233:D243" si="246">B232</f>
        <v>Small C&amp;I</v>
      </c>
      <c r="C233" s="243" t="str">
        <f t="shared" si="246"/>
        <v>Bills</v>
      </c>
      <c r="D233" s="244" t="str">
        <f t="shared" si="246"/>
        <v>Bills after DSM Scenario</v>
      </c>
      <c r="E233" s="84" t="str">
        <f>'EE Inputs'!$N$16&amp;" Participant Annual Bill"</f>
        <v>High Savings Participant Annual Bill</v>
      </c>
      <c r="F233" s="84" t="s">
        <v>32</v>
      </c>
      <c r="G233" s="103">
        <f ca="1">G222+(G223-G228)*(G215-G214)</f>
        <v>2723.6508239277828</v>
      </c>
      <c r="H233" s="103">
        <f ca="1">H222+(H223-H228)*(H215-H214)</f>
        <v>2473.1392287556655</v>
      </c>
      <c r="I233" s="103">
        <f t="shared" ref="I233:AG233" ca="1" si="247">I222+(I223-I228)*(I215-I214)</f>
        <v>2473.1392287556655</v>
      </c>
      <c r="J233" s="103">
        <f t="shared" ca="1" si="247"/>
        <v>2473.1392287556655</v>
      </c>
      <c r="K233" s="103">
        <f t="shared" ca="1" si="247"/>
        <v>2473.1392287556655</v>
      </c>
      <c r="L233" s="103">
        <f t="shared" ca="1" si="247"/>
        <v>2473.1392287556655</v>
      </c>
      <c r="M233" s="103">
        <f t="shared" ca="1" si="247"/>
        <v>2473.1392287556655</v>
      </c>
      <c r="N233" s="103">
        <f t="shared" ca="1" si="247"/>
        <v>2473.1392287556655</v>
      </c>
      <c r="O233" s="103">
        <f t="shared" ca="1" si="247"/>
        <v>2473.1392287556655</v>
      </c>
      <c r="P233" s="103">
        <f t="shared" ca="1" si="247"/>
        <v>2473.1392287556655</v>
      </c>
      <c r="Q233" s="103">
        <f t="shared" ca="1" si="247"/>
        <v>2473.1392287556655</v>
      </c>
      <c r="R233" s="103">
        <f t="shared" ca="1" si="247"/>
        <v>2473.1392287556655</v>
      </c>
      <c r="S233" s="103">
        <f t="shared" ca="1" si="247"/>
        <v>2473.1392287556655</v>
      </c>
      <c r="T233" s="103">
        <f t="shared" ca="1" si="247"/>
        <v>2473.1392287556655</v>
      </c>
      <c r="U233" s="103">
        <f t="shared" ca="1" si="247"/>
        <v>2473.1392287556655</v>
      </c>
      <c r="V233" s="103">
        <f t="shared" ca="1" si="247"/>
        <v>2473.1392287556655</v>
      </c>
      <c r="W233" s="103">
        <f t="shared" ca="1" si="247"/>
        <v>2662.1510455613457</v>
      </c>
      <c r="X233" s="103">
        <f t="shared" ca="1" si="247"/>
        <v>2662.1510455613457</v>
      </c>
      <c r="Y233" s="103">
        <f t="shared" ca="1" si="247"/>
        <v>2662.1510455613457</v>
      </c>
      <c r="Z233" s="103">
        <f t="shared" ca="1" si="247"/>
        <v>2662.1510455613457</v>
      </c>
      <c r="AA233" s="103">
        <f t="shared" ca="1" si="247"/>
        <v>2662.1510455613457</v>
      </c>
      <c r="AB233" s="103">
        <f t="shared" ca="1" si="247"/>
        <v>2662.1510455613457</v>
      </c>
      <c r="AC233" s="103">
        <f t="shared" ca="1" si="247"/>
        <v>2662.1510455613457</v>
      </c>
      <c r="AD233" s="103">
        <f t="shared" ca="1" si="247"/>
        <v>2662.1510455613457</v>
      </c>
      <c r="AE233" s="103">
        <f t="shared" ca="1" si="247"/>
        <v>2662.1510455613457</v>
      </c>
      <c r="AF233" s="103">
        <f t="shared" ca="1" si="247"/>
        <v>2662.1510455613457</v>
      </c>
      <c r="AG233" s="103">
        <f t="shared" ca="1" si="247"/>
        <v>2662.1510455613457</v>
      </c>
      <c r="AH233" s="103"/>
      <c r="AI233" s="103"/>
      <c r="AJ233" s="103">
        <f ca="1">IF($C$4=Year1,-PMT(Lookups!$E$17,25,NPV(Lookups!$E$17,G233:AE233),0,1),IF($C$4=Year2,-PMT(Lookups!$F$17,25,NPV(Lookups!$F$17,H233:AF233),0,1),IF($C$4=Year3,-PMT(Lookups!$G$17,25,NPV(Lookups!$G$17,I233:AG233),0,1),-PMT(Lookups!$G$17,27,NPV(Lookups!$G$17,G233:AG233),0,1))))</f>
        <v>2509.9791925120417</v>
      </c>
      <c r="AM233" s="149">
        <f ca="1">AM222+(AM223-AM228)*(AM215-AM214)</f>
        <v>2728.5054935710714</v>
      </c>
      <c r="AN233" s="149">
        <f t="shared" ref="AN233:BM233" ca="1" si="248">AN222+(AN223-AN228)*(AN215-AN214)</f>
        <v>2434.5718885691208</v>
      </c>
      <c r="AO233" s="149">
        <f t="shared" ca="1" si="248"/>
        <v>2434.5718885691208</v>
      </c>
      <c r="AP233" s="149">
        <f t="shared" ca="1" si="248"/>
        <v>2434.5718885691208</v>
      </c>
      <c r="AQ233" s="149">
        <f t="shared" ca="1" si="248"/>
        <v>2434.5718885691208</v>
      </c>
      <c r="AR233" s="149">
        <f t="shared" ca="1" si="248"/>
        <v>2434.5718885691208</v>
      </c>
      <c r="AS233" s="149">
        <f t="shared" ca="1" si="248"/>
        <v>2434.5718885691208</v>
      </c>
      <c r="AT233" s="149">
        <f t="shared" ca="1" si="248"/>
        <v>2434.5718885691208</v>
      </c>
      <c r="AU233" s="149">
        <f t="shared" ca="1" si="248"/>
        <v>2434.5718885691208</v>
      </c>
      <c r="AV233" s="149">
        <f t="shared" ca="1" si="248"/>
        <v>2434.5718885691208</v>
      </c>
      <c r="AW233" s="149">
        <f t="shared" ca="1" si="248"/>
        <v>2434.5718885691208</v>
      </c>
      <c r="AX233" s="149">
        <f t="shared" ca="1" si="248"/>
        <v>2434.5718885691208</v>
      </c>
      <c r="AY233" s="149">
        <f t="shared" ca="1" si="248"/>
        <v>2434.5718885691208</v>
      </c>
      <c r="AZ233" s="149">
        <f t="shared" ca="1" si="248"/>
        <v>2434.5718885691208</v>
      </c>
      <c r="BA233" s="149">
        <f t="shared" ca="1" si="248"/>
        <v>2434.5718885691208</v>
      </c>
      <c r="BB233" s="149">
        <f t="shared" ca="1" si="248"/>
        <v>2434.5718885691208</v>
      </c>
      <c r="BC233" s="149">
        <f t="shared" ca="1" si="248"/>
        <v>2662.1510455613457</v>
      </c>
      <c r="BD233" s="149">
        <f t="shared" ca="1" si="248"/>
        <v>2662.1510455613457</v>
      </c>
      <c r="BE233" s="149">
        <f t="shared" ca="1" si="248"/>
        <v>2662.1510455613457</v>
      </c>
      <c r="BF233" s="149">
        <f t="shared" ca="1" si="248"/>
        <v>2662.1510455613457</v>
      </c>
      <c r="BG233" s="149">
        <f t="shared" ca="1" si="248"/>
        <v>2662.1510455613457</v>
      </c>
      <c r="BH233" s="149">
        <f t="shared" ca="1" si="248"/>
        <v>2662.1510455613457</v>
      </c>
      <c r="BI233" s="149">
        <f t="shared" ca="1" si="248"/>
        <v>2662.1510455613457</v>
      </c>
      <c r="BJ233" s="149">
        <f t="shared" ca="1" si="248"/>
        <v>2662.1510455613457</v>
      </c>
      <c r="BK233" s="149">
        <f t="shared" ca="1" si="248"/>
        <v>2662.1510455613457</v>
      </c>
      <c r="BL233" s="149">
        <f t="shared" ca="1" si="248"/>
        <v>2662.1510455613457</v>
      </c>
      <c r="BM233" s="149">
        <f t="shared" ca="1" si="248"/>
        <v>2662.1510455613457</v>
      </c>
      <c r="BN233" s="149"/>
      <c r="BO233" s="149"/>
      <c r="BP233" s="149">
        <f ca="1">IF($C$4=Year1,-PMT(Lookups!$E$17,25,NPV(Lookups!$E$17,AM233:BK233),0,1),IF($C$4=Year2,-PMT(Lookups!$F$17,25,NPV(Lookups!$F$17,AN233:BL233),0,1),IF($C$4=Year3,-PMT(Lookups!$G$17,25,NPV(Lookups!$G$17,AO233:BM233),0,1),-PMT(Lookups!$G$17,27,NPV(Lookups!$G$17,AM233:BM233),0,1))))</f>
        <v>2486.1475237729906</v>
      </c>
      <c r="BS233" s="84" t="s">
        <v>240</v>
      </c>
      <c r="BT233" s="51" t="s">
        <v>17</v>
      </c>
    </row>
    <row r="234" spans="1:72" x14ac:dyDescent="0.25">
      <c r="B234" s="243" t="str">
        <f t="shared" si="246"/>
        <v>Small C&amp;I</v>
      </c>
      <c r="C234" s="243" t="str">
        <f t="shared" si="246"/>
        <v>Bills</v>
      </c>
      <c r="D234" s="114" t="s">
        <v>115</v>
      </c>
      <c r="E234" s="84"/>
      <c r="F234" s="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49"/>
      <c r="AI234" s="184"/>
      <c r="AJ234" s="49"/>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S234" s="84"/>
      <c r="BT234" s="51" t="s">
        <v>17</v>
      </c>
    </row>
    <row r="235" spans="1:72" x14ac:dyDescent="0.25">
      <c r="B235" s="243" t="str">
        <f t="shared" si="246"/>
        <v>Small C&amp;I</v>
      </c>
      <c r="C235" s="243" t="str">
        <f t="shared" si="246"/>
        <v>Bills</v>
      </c>
      <c r="D235" s="244" t="str">
        <f t="shared" si="246"/>
        <v>Change in Bills</v>
      </c>
      <c r="E235" s="84" t="s">
        <v>348</v>
      </c>
      <c r="F235" s="84" t="s">
        <v>32</v>
      </c>
      <c r="G235" s="103">
        <f ca="1">G230-G224</f>
        <v>288.98098102507947</v>
      </c>
      <c r="H235" s="103">
        <f t="shared" ref="H235:AG235" ca="1" si="249">H230-H224</f>
        <v>10.634764167171852</v>
      </c>
      <c r="I235" s="103">
        <f t="shared" ca="1" si="249"/>
        <v>10.634764167171852</v>
      </c>
      <c r="J235" s="103">
        <f t="shared" ca="1" si="249"/>
        <v>10.634764167171852</v>
      </c>
      <c r="K235" s="103">
        <f t="shared" ca="1" si="249"/>
        <v>10.634764167171852</v>
      </c>
      <c r="L235" s="103">
        <f t="shared" ca="1" si="249"/>
        <v>10.634764167171852</v>
      </c>
      <c r="M235" s="103">
        <f t="shared" ca="1" si="249"/>
        <v>10.634764167171852</v>
      </c>
      <c r="N235" s="103">
        <f t="shared" ca="1" si="249"/>
        <v>10.634764167171852</v>
      </c>
      <c r="O235" s="103">
        <f t="shared" ca="1" si="249"/>
        <v>10.634764167171852</v>
      </c>
      <c r="P235" s="103">
        <f t="shared" ca="1" si="249"/>
        <v>10.634764167171852</v>
      </c>
      <c r="Q235" s="103">
        <f t="shared" ca="1" si="249"/>
        <v>10.634764167171852</v>
      </c>
      <c r="R235" s="103">
        <f t="shared" ca="1" si="249"/>
        <v>10.634764167171852</v>
      </c>
      <c r="S235" s="103">
        <f t="shared" ca="1" si="249"/>
        <v>10.634764167171852</v>
      </c>
      <c r="T235" s="103">
        <f t="shared" ca="1" si="249"/>
        <v>10.634764167171852</v>
      </c>
      <c r="U235" s="103">
        <f t="shared" ca="1" si="249"/>
        <v>10.634764167171852</v>
      </c>
      <c r="V235" s="103">
        <f t="shared" ca="1" si="249"/>
        <v>10.634764167171852</v>
      </c>
      <c r="W235" s="103">
        <f t="shared" ca="1" si="249"/>
        <v>0</v>
      </c>
      <c r="X235" s="103">
        <f t="shared" ca="1" si="249"/>
        <v>0</v>
      </c>
      <c r="Y235" s="103">
        <f t="shared" ca="1" si="249"/>
        <v>0</v>
      </c>
      <c r="Z235" s="103">
        <f t="shared" ca="1" si="249"/>
        <v>0</v>
      </c>
      <c r="AA235" s="103">
        <f t="shared" ca="1" si="249"/>
        <v>0</v>
      </c>
      <c r="AB235" s="103">
        <f t="shared" ca="1" si="249"/>
        <v>0</v>
      </c>
      <c r="AC235" s="103">
        <f t="shared" ca="1" si="249"/>
        <v>0</v>
      </c>
      <c r="AD235" s="103">
        <f t="shared" ca="1" si="249"/>
        <v>0</v>
      </c>
      <c r="AE235" s="103">
        <f t="shared" ca="1" si="249"/>
        <v>0</v>
      </c>
      <c r="AF235" s="103">
        <f t="shared" ca="1" si="249"/>
        <v>0</v>
      </c>
      <c r="AG235" s="103">
        <f t="shared" ca="1" si="249"/>
        <v>0</v>
      </c>
      <c r="AH235" s="103"/>
      <c r="AI235" s="103">
        <f ca="1">NPV(Lookups!$E$17,G235:AG235)</f>
        <v>425.78927146831859</v>
      </c>
      <c r="AJ235" s="103">
        <f ca="1">IF($C$4=Year1,-PMT(Lookups!$E$17,25,NPV(Lookups!$E$17,G235:AE235),0,1),IF($C$4=Year2,-PMT(Lookups!$F$17,25,NPV(Lookups!$F$17,H235:AF235),0,1),IF($C$4=Year3,-PMT(Lookups!$G$17,25,NPV(Lookups!$G$17,I235:AG235),0,1),-PMT(Lookups!$G$17,27,NPV(Lookups!$G$17,G235:AG235),0,1))))</f>
        <v>20.055111661519049</v>
      </c>
      <c r="AM235" s="149">
        <f ca="1">AM230-AM224</f>
        <v>346.19792440578158</v>
      </c>
      <c r="AN235" s="149">
        <f t="shared" ref="AN235:BM235" ca="1" si="250">AN230-AN224</f>
        <v>12.182464176291887</v>
      </c>
      <c r="AO235" s="149">
        <f t="shared" ca="1" si="250"/>
        <v>12.182464176291887</v>
      </c>
      <c r="AP235" s="149">
        <f t="shared" ca="1" si="250"/>
        <v>12.182464176291887</v>
      </c>
      <c r="AQ235" s="149">
        <f t="shared" ca="1" si="250"/>
        <v>12.182464176291887</v>
      </c>
      <c r="AR235" s="149">
        <f t="shared" ca="1" si="250"/>
        <v>12.182464176291887</v>
      </c>
      <c r="AS235" s="149">
        <f t="shared" ca="1" si="250"/>
        <v>12.182464176291887</v>
      </c>
      <c r="AT235" s="149">
        <f t="shared" ca="1" si="250"/>
        <v>12.182464176291887</v>
      </c>
      <c r="AU235" s="149">
        <f t="shared" ca="1" si="250"/>
        <v>12.182464176291887</v>
      </c>
      <c r="AV235" s="149">
        <f t="shared" ca="1" si="250"/>
        <v>12.182464176291887</v>
      </c>
      <c r="AW235" s="149">
        <f t="shared" ca="1" si="250"/>
        <v>12.182464176291887</v>
      </c>
      <c r="AX235" s="149">
        <f t="shared" ca="1" si="250"/>
        <v>12.182464176291887</v>
      </c>
      <c r="AY235" s="149">
        <f t="shared" ca="1" si="250"/>
        <v>12.182464176291887</v>
      </c>
      <c r="AZ235" s="149">
        <f t="shared" ca="1" si="250"/>
        <v>12.182464176291887</v>
      </c>
      <c r="BA235" s="149">
        <f t="shared" ca="1" si="250"/>
        <v>12.182464176291887</v>
      </c>
      <c r="BB235" s="149">
        <f t="shared" ca="1" si="250"/>
        <v>12.182464176291887</v>
      </c>
      <c r="BC235" s="149">
        <f t="shared" ca="1" si="250"/>
        <v>0</v>
      </c>
      <c r="BD235" s="149">
        <f t="shared" ca="1" si="250"/>
        <v>0</v>
      </c>
      <c r="BE235" s="149">
        <f t="shared" ca="1" si="250"/>
        <v>0</v>
      </c>
      <c r="BF235" s="149">
        <f t="shared" ca="1" si="250"/>
        <v>0</v>
      </c>
      <c r="BG235" s="149">
        <f t="shared" ca="1" si="250"/>
        <v>0</v>
      </c>
      <c r="BH235" s="149">
        <f t="shared" ca="1" si="250"/>
        <v>0</v>
      </c>
      <c r="BI235" s="149">
        <f t="shared" ca="1" si="250"/>
        <v>0</v>
      </c>
      <c r="BJ235" s="149">
        <f t="shared" ca="1" si="250"/>
        <v>0</v>
      </c>
      <c r="BK235" s="149">
        <f t="shared" ca="1" si="250"/>
        <v>0</v>
      </c>
      <c r="BL235" s="149">
        <f t="shared" ca="1" si="250"/>
        <v>0</v>
      </c>
      <c r="BM235" s="149">
        <f t="shared" ca="1" si="250"/>
        <v>0</v>
      </c>
      <c r="BN235" s="149"/>
      <c r="BO235" s="726">
        <f ca="1">NPV(Lookups!$E$17,AM235:BM235)</f>
        <v>502.70477309591706</v>
      </c>
      <c r="BP235" s="149">
        <f ca="1">IF($C$4=Year1,-PMT(Lookups!$E$17,25,NPV(Lookups!$E$17,AM235:BK235),0,1),IF($C$4=Year2,-PMT(Lookups!$F$17,25,NPV(Lookups!$F$17,AN235:BL235),0,1),IF($C$4=Year3,-PMT(Lookups!$G$17,25,NPV(Lookups!$G$17,AO235:BM235),0,1),-PMT(Lookups!$G$17,27,NPV(Lookups!$G$17,AM235:BM235),0,1))))</f>
        <v>23.677910724360192</v>
      </c>
      <c r="BS235" s="84" t="s">
        <v>241</v>
      </c>
      <c r="BT235" s="51" t="s">
        <v>17</v>
      </c>
    </row>
    <row r="236" spans="1:72" x14ac:dyDescent="0.25">
      <c r="B236" s="243" t="str">
        <f t="shared" si="246"/>
        <v>Small C&amp;I</v>
      </c>
      <c r="C236" s="243" t="str">
        <f t="shared" si="246"/>
        <v>Bills</v>
      </c>
      <c r="D236" s="244" t="str">
        <f t="shared" si="246"/>
        <v>Change in Bills</v>
      </c>
      <c r="E236" s="84" t="s">
        <v>348</v>
      </c>
      <c r="F236" s="84" t="s">
        <v>16</v>
      </c>
      <c r="G236" s="223">
        <f ca="1">IFERROR(G230/G224-1,0)</f>
        <v>0.10855168473888921</v>
      </c>
      <c r="H236" s="223">
        <f t="shared" ref="H236:AG236" ca="1" si="251">IFERROR(H230/H224-1,0)</f>
        <v>3.9948011909027858E-3</v>
      </c>
      <c r="I236" s="223">
        <f t="shared" ca="1" si="251"/>
        <v>3.9948011909027858E-3</v>
      </c>
      <c r="J236" s="223">
        <f t="shared" ca="1" si="251"/>
        <v>3.9948011909027858E-3</v>
      </c>
      <c r="K236" s="223">
        <f t="shared" ca="1" si="251"/>
        <v>3.9948011909027858E-3</v>
      </c>
      <c r="L236" s="223">
        <f t="shared" ca="1" si="251"/>
        <v>3.9948011909027858E-3</v>
      </c>
      <c r="M236" s="223">
        <f t="shared" ca="1" si="251"/>
        <v>3.9948011909027858E-3</v>
      </c>
      <c r="N236" s="223">
        <f t="shared" ca="1" si="251"/>
        <v>3.9948011909027858E-3</v>
      </c>
      <c r="O236" s="223">
        <f t="shared" ca="1" si="251"/>
        <v>3.9948011909027858E-3</v>
      </c>
      <c r="P236" s="223">
        <f t="shared" ca="1" si="251"/>
        <v>3.9948011909027858E-3</v>
      </c>
      <c r="Q236" s="223">
        <f t="shared" ca="1" si="251"/>
        <v>3.9948011909027858E-3</v>
      </c>
      <c r="R236" s="223">
        <f t="shared" ca="1" si="251"/>
        <v>3.9948011909027858E-3</v>
      </c>
      <c r="S236" s="224">
        <f t="shared" ca="1" si="251"/>
        <v>3.9948011909027858E-3</v>
      </c>
      <c r="T236" s="224">
        <f t="shared" ca="1" si="251"/>
        <v>3.9948011909027858E-3</v>
      </c>
      <c r="U236" s="224">
        <f t="shared" ca="1" si="251"/>
        <v>3.9948011909027858E-3</v>
      </c>
      <c r="V236" s="224">
        <f t="shared" ca="1" si="251"/>
        <v>3.9948011909027858E-3</v>
      </c>
      <c r="W236" s="224">
        <f t="shared" ca="1" si="251"/>
        <v>0</v>
      </c>
      <c r="X236" s="224">
        <f t="shared" ca="1" si="251"/>
        <v>0</v>
      </c>
      <c r="Y236" s="224">
        <f t="shared" ca="1" si="251"/>
        <v>0</v>
      </c>
      <c r="Z236" s="224">
        <f t="shared" ca="1" si="251"/>
        <v>0</v>
      </c>
      <c r="AA236" s="224">
        <f t="shared" ca="1" si="251"/>
        <v>0</v>
      </c>
      <c r="AB236" s="224">
        <f t="shared" ca="1" si="251"/>
        <v>0</v>
      </c>
      <c r="AC236" s="224">
        <f t="shared" ca="1" si="251"/>
        <v>0</v>
      </c>
      <c r="AD236" s="224">
        <f t="shared" ca="1" si="251"/>
        <v>0</v>
      </c>
      <c r="AE236" s="224">
        <f t="shared" ca="1" si="251"/>
        <v>0</v>
      </c>
      <c r="AF236" s="224">
        <f t="shared" ca="1" si="251"/>
        <v>0</v>
      </c>
      <c r="AG236" s="224">
        <f t="shared" ca="1" si="251"/>
        <v>0</v>
      </c>
      <c r="AH236" s="224"/>
      <c r="AI236" s="224"/>
      <c r="AJ236" s="224">
        <f t="shared" ref="AJ236" ca="1" si="252">IFERROR(AJ230/AJ224-1,0)</f>
        <v>7.6399763524686026E-3</v>
      </c>
      <c r="AK236" s="212"/>
      <c r="AL236" s="212"/>
      <c r="AM236" s="504">
        <f ca="1">IFERROR(AM230/AM224-1,0)</f>
        <v>0.13004443342274064</v>
      </c>
      <c r="AN236" s="504">
        <f t="shared" ref="AN236:BM236" ca="1" si="253">IFERROR(AN230/AN224-1,0)</f>
        <v>4.5761731651567938E-3</v>
      </c>
      <c r="AO236" s="504">
        <f t="shared" ca="1" si="253"/>
        <v>4.5761731651567938E-3</v>
      </c>
      <c r="AP236" s="504">
        <f t="shared" ca="1" si="253"/>
        <v>4.5761731651567938E-3</v>
      </c>
      <c r="AQ236" s="504">
        <f t="shared" ca="1" si="253"/>
        <v>4.5761731651567938E-3</v>
      </c>
      <c r="AR236" s="504">
        <f t="shared" ca="1" si="253"/>
        <v>4.5761731651567938E-3</v>
      </c>
      <c r="AS236" s="504">
        <f t="shared" ca="1" si="253"/>
        <v>4.5761731651567938E-3</v>
      </c>
      <c r="AT236" s="504">
        <f t="shared" ca="1" si="253"/>
        <v>4.5761731651567938E-3</v>
      </c>
      <c r="AU236" s="504">
        <f t="shared" ca="1" si="253"/>
        <v>4.5761731651567938E-3</v>
      </c>
      <c r="AV236" s="504">
        <f t="shared" ca="1" si="253"/>
        <v>4.5761731651567938E-3</v>
      </c>
      <c r="AW236" s="504">
        <f t="shared" ca="1" si="253"/>
        <v>4.5761731651567938E-3</v>
      </c>
      <c r="AX236" s="504">
        <f t="shared" ca="1" si="253"/>
        <v>4.5761731651567938E-3</v>
      </c>
      <c r="AY236" s="504">
        <f t="shared" ca="1" si="253"/>
        <v>4.5761731651567938E-3</v>
      </c>
      <c r="AZ236" s="504">
        <f t="shared" ca="1" si="253"/>
        <v>4.5761731651567938E-3</v>
      </c>
      <c r="BA236" s="504">
        <f t="shared" ca="1" si="253"/>
        <v>4.5761731651567938E-3</v>
      </c>
      <c r="BB236" s="504">
        <f t="shared" ca="1" si="253"/>
        <v>4.5761731651567938E-3</v>
      </c>
      <c r="BC236" s="504">
        <f t="shared" ca="1" si="253"/>
        <v>0</v>
      </c>
      <c r="BD236" s="504">
        <f t="shared" ca="1" si="253"/>
        <v>0</v>
      </c>
      <c r="BE236" s="504">
        <f t="shared" ca="1" si="253"/>
        <v>0</v>
      </c>
      <c r="BF236" s="504">
        <f t="shared" ca="1" si="253"/>
        <v>0</v>
      </c>
      <c r="BG236" s="504">
        <f t="shared" ca="1" si="253"/>
        <v>0</v>
      </c>
      <c r="BH236" s="504">
        <f t="shared" ca="1" si="253"/>
        <v>0</v>
      </c>
      <c r="BI236" s="504">
        <f t="shared" ca="1" si="253"/>
        <v>0</v>
      </c>
      <c r="BJ236" s="504">
        <f t="shared" ca="1" si="253"/>
        <v>0</v>
      </c>
      <c r="BK236" s="504">
        <f t="shared" ca="1" si="253"/>
        <v>0</v>
      </c>
      <c r="BL236" s="504">
        <f t="shared" ca="1" si="253"/>
        <v>0</v>
      </c>
      <c r="BM236" s="504">
        <f t="shared" ca="1" si="253"/>
        <v>0</v>
      </c>
      <c r="BN236" s="504"/>
      <c r="BO236" s="504"/>
      <c r="BP236" s="504">
        <f t="shared" ref="BP236" ca="1" si="254">IFERROR(BP230/BP224-1,0)</f>
        <v>9.020078325321812E-3</v>
      </c>
      <c r="BS236" s="84" t="s">
        <v>242</v>
      </c>
      <c r="BT236" s="51" t="s">
        <v>17</v>
      </c>
    </row>
    <row r="237" spans="1:72" x14ac:dyDescent="0.25">
      <c r="B237" s="243" t="str">
        <f t="shared" si="246"/>
        <v>Small C&amp;I</v>
      </c>
      <c r="C237" s="243" t="str">
        <f t="shared" si="246"/>
        <v>Bills</v>
      </c>
      <c r="D237" s="244" t="str">
        <f t="shared" si="246"/>
        <v>Change in Bills</v>
      </c>
      <c r="E237" s="84" t="s">
        <v>349</v>
      </c>
      <c r="F237" s="84" t="s">
        <v>32</v>
      </c>
      <c r="G237" s="103">
        <f ca="1">G231-G224</f>
        <v>244.47478432340222</v>
      </c>
      <c r="H237" s="103">
        <f t="shared" ref="H237:AG237" ca="1" si="255">H231-H224</f>
        <v>-28.425650054959078</v>
      </c>
      <c r="I237" s="103">
        <f t="shared" ca="1" si="255"/>
        <v>-28.425650054959078</v>
      </c>
      <c r="J237" s="103">
        <f t="shared" ca="1" si="255"/>
        <v>-28.425650054959078</v>
      </c>
      <c r="K237" s="103">
        <f t="shared" ca="1" si="255"/>
        <v>-28.425650054959078</v>
      </c>
      <c r="L237" s="103">
        <f t="shared" ca="1" si="255"/>
        <v>-28.425650054959078</v>
      </c>
      <c r="M237" s="103">
        <f t="shared" ca="1" si="255"/>
        <v>-28.425650054959078</v>
      </c>
      <c r="N237" s="103">
        <f t="shared" ca="1" si="255"/>
        <v>-28.425650054959078</v>
      </c>
      <c r="O237" s="103">
        <f t="shared" ca="1" si="255"/>
        <v>-28.425650054959078</v>
      </c>
      <c r="P237" s="103">
        <f t="shared" ca="1" si="255"/>
        <v>-28.425650054959078</v>
      </c>
      <c r="Q237" s="103">
        <f t="shared" ca="1" si="255"/>
        <v>-28.425650054959078</v>
      </c>
      <c r="R237" s="103">
        <f t="shared" ca="1" si="255"/>
        <v>-28.425650054959078</v>
      </c>
      <c r="S237" s="103">
        <f t="shared" ca="1" si="255"/>
        <v>-28.425650054959078</v>
      </c>
      <c r="T237" s="103">
        <f t="shared" ca="1" si="255"/>
        <v>-28.425650054959078</v>
      </c>
      <c r="U237" s="103">
        <f t="shared" ca="1" si="255"/>
        <v>-28.425650054959078</v>
      </c>
      <c r="V237" s="103">
        <f t="shared" ca="1" si="255"/>
        <v>-28.425650054959078</v>
      </c>
      <c r="W237" s="103">
        <f t="shared" ca="1" si="255"/>
        <v>0</v>
      </c>
      <c r="X237" s="103">
        <f t="shared" ca="1" si="255"/>
        <v>0</v>
      </c>
      <c r="Y237" s="103">
        <f t="shared" ca="1" si="255"/>
        <v>0</v>
      </c>
      <c r="Z237" s="103">
        <f t="shared" ca="1" si="255"/>
        <v>0</v>
      </c>
      <c r="AA237" s="103">
        <f t="shared" ca="1" si="255"/>
        <v>0</v>
      </c>
      <c r="AB237" s="103">
        <f t="shared" ca="1" si="255"/>
        <v>0</v>
      </c>
      <c r="AC237" s="103">
        <f t="shared" ca="1" si="255"/>
        <v>0</v>
      </c>
      <c r="AD237" s="103">
        <f t="shared" ca="1" si="255"/>
        <v>0</v>
      </c>
      <c r="AE237" s="103">
        <f t="shared" ca="1" si="255"/>
        <v>0</v>
      </c>
      <c r="AF237" s="103">
        <f t="shared" ca="1" si="255"/>
        <v>0</v>
      </c>
      <c r="AG237" s="103">
        <f t="shared" ca="1" si="255"/>
        <v>0</v>
      </c>
      <c r="AH237" s="103"/>
      <c r="AI237" s="103">
        <f ca="1">NPV(Lookups!$E$17,G237:AG237)</f>
        <v>-135.38226846373036</v>
      </c>
      <c r="AJ237" s="103">
        <f ca="1">IF($C$4=Year1,-PMT(Lookups!$E$17,25,NPV(Lookups!$E$17,G237:AE237),0,1),IF($C$4=Year2,-PMT(Lookups!$F$17,25,NPV(Lookups!$F$17,H237:AF237),0,1),IF($C$4=Year3,-PMT(Lookups!$G$17,25,NPV(Lookups!$G$17,I237:AG237),0,1),-PMT(Lookups!$G$17,27,NPV(Lookups!$G$17,G237:AG237),0,1))))</f>
        <v>-6.3766437835949148</v>
      </c>
      <c r="AM237" s="149">
        <f ca="1">AM231-AM224</f>
        <v>294.05434313986598</v>
      </c>
      <c r="AN237" s="149">
        <f t="shared" ref="AN237:BM237" ca="1" si="256">AN231-AN224</f>
        <v>-32.492615403388754</v>
      </c>
      <c r="AO237" s="149">
        <f t="shared" ca="1" si="256"/>
        <v>-32.492615403388754</v>
      </c>
      <c r="AP237" s="149">
        <f t="shared" ca="1" si="256"/>
        <v>-32.492615403388754</v>
      </c>
      <c r="AQ237" s="149">
        <f t="shared" ca="1" si="256"/>
        <v>-32.492615403388754</v>
      </c>
      <c r="AR237" s="149">
        <f t="shared" ca="1" si="256"/>
        <v>-32.492615403388754</v>
      </c>
      <c r="AS237" s="149">
        <f t="shared" ca="1" si="256"/>
        <v>-32.492615403388754</v>
      </c>
      <c r="AT237" s="149">
        <f t="shared" ca="1" si="256"/>
        <v>-32.492615403388754</v>
      </c>
      <c r="AU237" s="149">
        <f t="shared" ca="1" si="256"/>
        <v>-32.492615403388754</v>
      </c>
      <c r="AV237" s="149">
        <f t="shared" ca="1" si="256"/>
        <v>-32.492615403388754</v>
      </c>
      <c r="AW237" s="149">
        <f t="shared" ca="1" si="256"/>
        <v>-32.492615403388754</v>
      </c>
      <c r="AX237" s="149">
        <f t="shared" ca="1" si="256"/>
        <v>-32.492615403388754</v>
      </c>
      <c r="AY237" s="149">
        <f t="shared" ca="1" si="256"/>
        <v>-32.492615403388754</v>
      </c>
      <c r="AZ237" s="149">
        <f t="shared" ca="1" si="256"/>
        <v>-32.492615403388754</v>
      </c>
      <c r="BA237" s="149">
        <f t="shared" ca="1" si="256"/>
        <v>-32.492615403388754</v>
      </c>
      <c r="BB237" s="149">
        <f t="shared" ca="1" si="256"/>
        <v>-32.492615403388754</v>
      </c>
      <c r="BC237" s="149">
        <f t="shared" ca="1" si="256"/>
        <v>0</v>
      </c>
      <c r="BD237" s="149">
        <f t="shared" ca="1" si="256"/>
        <v>0</v>
      </c>
      <c r="BE237" s="149">
        <f t="shared" ca="1" si="256"/>
        <v>0</v>
      </c>
      <c r="BF237" s="149">
        <f t="shared" ca="1" si="256"/>
        <v>0</v>
      </c>
      <c r="BG237" s="149">
        <f t="shared" ca="1" si="256"/>
        <v>0</v>
      </c>
      <c r="BH237" s="149">
        <f t="shared" ca="1" si="256"/>
        <v>0</v>
      </c>
      <c r="BI237" s="149">
        <f t="shared" ca="1" si="256"/>
        <v>0</v>
      </c>
      <c r="BJ237" s="149">
        <f t="shared" ca="1" si="256"/>
        <v>0</v>
      </c>
      <c r="BK237" s="149">
        <f t="shared" ca="1" si="256"/>
        <v>0</v>
      </c>
      <c r="BL237" s="149">
        <f t="shared" ca="1" si="256"/>
        <v>0</v>
      </c>
      <c r="BM237" s="149">
        <f t="shared" ca="1" si="256"/>
        <v>0</v>
      </c>
      <c r="BN237" s="149"/>
      <c r="BO237" s="149">
        <f ca="1">NPV(Lookups!$E$17,AM237:BM237)</f>
        <v>-140.35394095580776</v>
      </c>
      <c r="BP237" s="149">
        <f ca="1">IF($C$4=Year1,-PMT(Lookups!$E$17,25,NPV(Lookups!$E$17,AM237:BK237),0,1),IF($C$4=Year2,-PMT(Lookups!$F$17,25,NPV(Lookups!$F$17,AN237:BL237),0,1),IF($C$4=Year3,-PMT(Lookups!$G$17,25,NPV(Lookups!$G$17,AO237:BM237),0,1),-PMT(Lookups!$G$17,27,NPV(Lookups!$G$17,AM237:BM237),0,1))))</f>
        <v>-6.6108146602571605</v>
      </c>
      <c r="BS237" s="84" t="s">
        <v>241</v>
      </c>
      <c r="BT237" s="51" t="s">
        <v>17</v>
      </c>
    </row>
    <row r="238" spans="1:72" x14ac:dyDescent="0.25">
      <c r="B238" s="243" t="str">
        <f t="shared" si="246"/>
        <v>Small C&amp;I</v>
      </c>
      <c r="C238" s="243" t="str">
        <f t="shared" si="246"/>
        <v>Bills</v>
      </c>
      <c r="D238" s="244" t="str">
        <f t="shared" si="246"/>
        <v>Change in Bills</v>
      </c>
      <c r="E238" s="84" t="s">
        <v>349</v>
      </c>
      <c r="F238" s="84" t="s">
        <v>16</v>
      </c>
      <c r="G238" s="223">
        <f ca="1">IFERROR(G231/G224-1,0)</f>
        <v>9.1833551192002982E-2</v>
      </c>
      <c r="H238" s="223">
        <f t="shared" ref="H238:AG238" ca="1" si="257">IFERROR(H231/H224-1,0)</f>
        <v>-1.0677699938308804E-2</v>
      </c>
      <c r="I238" s="223">
        <f t="shared" ca="1" si="257"/>
        <v>-1.0677699938308804E-2</v>
      </c>
      <c r="J238" s="223">
        <f t="shared" ca="1" si="257"/>
        <v>-1.0677699938308804E-2</v>
      </c>
      <c r="K238" s="223">
        <f t="shared" ca="1" si="257"/>
        <v>-1.0677699938308804E-2</v>
      </c>
      <c r="L238" s="223">
        <f t="shared" ca="1" si="257"/>
        <v>-1.0677699938308804E-2</v>
      </c>
      <c r="M238" s="223">
        <f t="shared" ca="1" si="257"/>
        <v>-1.0677699938308804E-2</v>
      </c>
      <c r="N238" s="223">
        <f t="shared" ca="1" si="257"/>
        <v>-1.0677699938308804E-2</v>
      </c>
      <c r="O238" s="223">
        <f t="shared" ca="1" si="257"/>
        <v>-1.0677699938308804E-2</v>
      </c>
      <c r="P238" s="223">
        <f t="shared" ca="1" si="257"/>
        <v>-1.0677699938308804E-2</v>
      </c>
      <c r="Q238" s="223">
        <f t="shared" ca="1" si="257"/>
        <v>-1.0677699938308804E-2</v>
      </c>
      <c r="R238" s="223">
        <f t="shared" ca="1" si="257"/>
        <v>-1.0677699938308804E-2</v>
      </c>
      <c r="S238" s="224">
        <f t="shared" ca="1" si="257"/>
        <v>-1.0677699938308804E-2</v>
      </c>
      <c r="T238" s="224">
        <f t="shared" ca="1" si="257"/>
        <v>-1.0677699938308804E-2</v>
      </c>
      <c r="U238" s="224">
        <f t="shared" ca="1" si="257"/>
        <v>-1.0677699938308804E-2</v>
      </c>
      <c r="V238" s="224">
        <f t="shared" ca="1" si="257"/>
        <v>-1.0677699938308804E-2</v>
      </c>
      <c r="W238" s="224">
        <f t="shared" ca="1" si="257"/>
        <v>0</v>
      </c>
      <c r="X238" s="224">
        <f t="shared" ca="1" si="257"/>
        <v>0</v>
      </c>
      <c r="Y238" s="224">
        <f t="shared" ca="1" si="257"/>
        <v>0</v>
      </c>
      <c r="Z238" s="224">
        <f t="shared" ca="1" si="257"/>
        <v>0</v>
      </c>
      <c r="AA238" s="224">
        <f t="shared" ca="1" si="257"/>
        <v>0</v>
      </c>
      <c r="AB238" s="224">
        <f t="shared" ca="1" si="257"/>
        <v>0</v>
      </c>
      <c r="AC238" s="224">
        <f t="shared" ca="1" si="257"/>
        <v>0</v>
      </c>
      <c r="AD238" s="224">
        <f t="shared" ca="1" si="257"/>
        <v>0</v>
      </c>
      <c r="AE238" s="224">
        <f t="shared" ca="1" si="257"/>
        <v>0</v>
      </c>
      <c r="AF238" s="224">
        <f t="shared" ca="1" si="257"/>
        <v>0</v>
      </c>
      <c r="AG238" s="224">
        <f t="shared" ca="1" si="257"/>
        <v>0</v>
      </c>
      <c r="AH238" s="224"/>
      <c r="AI238" s="224"/>
      <c r="AJ238" s="224">
        <f t="shared" ref="AJ238" ca="1" si="258">IFERROR(AJ231/AJ224-1,0)</f>
        <v>-2.4291765878451388E-3</v>
      </c>
      <c r="AK238" s="212"/>
      <c r="AL238" s="212"/>
      <c r="AM238" s="504">
        <f ca="1">IFERROR(AM231/AM224-1,0)</f>
        <v>0.11045742262827218</v>
      </c>
      <c r="AN238" s="504">
        <f t="shared" ref="AN238:BM238" ca="1" si="259">IFERROR(AN231/AN224-1,0)</f>
        <v>-1.2205398885072438E-2</v>
      </c>
      <c r="AO238" s="504">
        <f t="shared" ca="1" si="259"/>
        <v>-1.2205398885072438E-2</v>
      </c>
      <c r="AP238" s="504">
        <f t="shared" ca="1" si="259"/>
        <v>-1.2205398885072438E-2</v>
      </c>
      <c r="AQ238" s="504">
        <f t="shared" ca="1" si="259"/>
        <v>-1.2205398885072438E-2</v>
      </c>
      <c r="AR238" s="504">
        <f t="shared" ca="1" si="259"/>
        <v>-1.2205398885072438E-2</v>
      </c>
      <c r="AS238" s="504">
        <f t="shared" ca="1" si="259"/>
        <v>-1.2205398885072438E-2</v>
      </c>
      <c r="AT238" s="504">
        <f t="shared" ca="1" si="259"/>
        <v>-1.2205398885072438E-2</v>
      </c>
      <c r="AU238" s="504">
        <f t="shared" ca="1" si="259"/>
        <v>-1.2205398885072438E-2</v>
      </c>
      <c r="AV238" s="504">
        <f t="shared" ca="1" si="259"/>
        <v>-1.2205398885072438E-2</v>
      </c>
      <c r="AW238" s="504">
        <f t="shared" ca="1" si="259"/>
        <v>-1.2205398885072438E-2</v>
      </c>
      <c r="AX238" s="504">
        <f t="shared" ca="1" si="259"/>
        <v>-1.2205398885072438E-2</v>
      </c>
      <c r="AY238" s="504">
        <f t="shared" ca="1" si="259"/>
        <v>-1.2205398885072438E-2</v>
      </c>
      <c r="AZ238" s="504">
        <f t="shared" ca="1" si="259"/>
        <v>-1.2205398885072438E-2</v>
      </c>
      <c r="BA238" s="504">
        <f t="shared" ca="1" si="259"/>
        <v>-1.2205398885072438E-2</v>
      </c>
      <c r="BB238" s="504">
        <f t="shared" ca="1" si="259"/>
        <v>-1.2205398885072438E-2</v>
      </c>
      <c r="BC238" s="504">
        <f t="shared" ca="1" si="259"/>
        <v>0</v>
      </c>
      <c r="BD238" s="504">
        <f t="shared" ca="1" si="259"/>
        <v>0</v>
      </c>
      <c r="BE238" s="504">
        <f t="shared" ca="1" si="259"/>
        <v>0</v>
      </c>
      <c r="BF238" s="504">
        <f t="shared" ca="1" si="259"/>
        <v>0</v>
      </c>
      <c r="BG238" s="504">
        <f t="shared" ca="1" si="259"/>
        <v>0</v>
      </c>
      <c r="BH238" s="504">
        <f t="shared" ca="1" si="259"/>
        <v>0</v>
      </c>
      <c r="BI238" s="504">
        <f t="shared" ca="1" si="259"/>
        <v>0</v>
      </c>
      <c r="BJ238" s="504">
        <f t="shared" ca="1" si="259"/>
        <v>0</v>
      </c>
      <c r="BK238" s="504">
        <f t="shared" ca="1" si="259"/>
        <v>0</v>
      </c>
      <c r="BL238" s="504">
        <f t="shared" ca="1" si="259"/>
        <v>0</v>
      </c>
      <c r="BM238" s="504">
        <f t="shared" ca="1" si="259"/>
        <v>0</v>
      </c>
      <c r="BN238" s="504"/>
      <c r="BO238" s="504"/>
      <c r="BP238" s="504">
        <f t="shared" ref="BP238" ca="1" si="260">IFERROR(BP231/BP224-1,0)</f>
        <v>-2.5183837680561316E-3</v>
      </c>
      <c r="BS238" s="84" t="s">
        <v>242</v>
      </c>
      <c r="BT238" s="51" t="s">
        <v>17</v>
      </c>
    </row>
    <row r="239" spans="1:72" x14ac:dyDescent="0.25">
      <c r="B239" s="243" t="str">
        <f t="shared" si="246"/>
        <v>Small C&amp;I</v>
      </c>
      <c r="C239" s="243" t="str">
        <f t="shared" si="246"/>
        <v>Bills</v>
      </c>
      <c r="D239" s="244" t="str">
        <f t="shared" si="246"/>
        <v>Change in Bills</v>
      </c>
      <c r="E239" s="84" t="str">
        <f>'EE Inputs'!$N$15&amp;" Participant Annual Bill"</f>
        <v>Low Savings Participant Annual Bill</v>
      </c>
      <c r="F239" s="84" t="s">
        <v>32</v>
      </c>
      <c r="G239" s="103">
        <f ca="1">G232-G224</f>
        <v>175.24037969575829</v>
      </c>
      <c r="H239" s="103">
        <f t="shared" ref="H239:AG239" ca="1" si="261">H232-H224</f>
        <v>-89.188526319253924</v>
      </c>
      <c r="I239" s="103">
        <f t="shared" ca="1" si="261"/>
        <v>-89.188526319253924</v>
      </c>
      <c r="J239" s="103">
        <f t="shared" ca="1" si="261"/>
        <v>-89.188526319253924</v>
      </c>
      <c r="K239" s="103">
        <f t="shared" ca="1" si="261"/>
        <v>-89.188526319253924</v>
      </c>
      <c r="L239" s="103">
        <f t="shared" ca="1" si="261"/>
        <v>-89.188526319253924</v>
      </c>
      <c r="M239" s="103">
        <f t="shared" ca="1" si="261"/>
        <v>-89.188526319253924</v>
      </c>
      <c r="N239" s="103">
        <f t="shared" ca="1" si="261"/>
        <v>-89.188526319253924</v>
      </c>
      <c r="O239" s="103">
        <f t="shared" ca="1" si="261"/>
        <v>-89.188526319253924</v>
      </c>
      <c r="P239" s="103">
        <f t="shared" ca="1" si="261"/>
        <v>-89.188526319253924</v>
      </c>
      <c r="Q239" s="103">
        <f t="shared" ca="1" si="261"/>
        <v>-89.188526319253924</v>
      </c>
      <c r="R239" s="103">
        <f t="shared" ca="1" si="261"/>
        <v>-89.188526319253924</v>
      </c>
      <c r="S239" s="103">
        <f t="shared" ca="1" si="261"/>
        <v>-89.188526319253924</v>
      </c>
      <c r="T239" s="103">
        <f t="shared" ca="1" si="261"/>
        <v>-89.188526319253924</v>
      </c>
      <c r="U239" s="103">
        <f t="shared" ca="1" si="261"/>
        <v>-89.188526319253924</v>
      </c>
      <c r="V239" s="103">
        <f t="shared" ca="1" si="261"/>
        <v>-89.188526319253924</v>
      </c>
      <c r="W239" s="103">
        <f t="shared" ca="1" si="261"/>
        <v>0</v>
      </c>
      <c r="X239" s="103">
        <f t="shared" ca="1" si="261"/>
        <v>0</v>
      </c>
      <c r="Y239" s="103">
        <f t="shared" ca="1" si="261"/>
        <v>0</v>
      </c>
      <c r="Z239" s="103">
        <f t="shared" ca="1" si="261"/>
        <v>0</v>
      </c>
      <c r="AA239" s="103">
        <f t="shared" ca="1" si="261"/>
        <v>0</v>
      </c>
      <c r="AB239" s="103">
        <f t="shared" ca="1" si="261"/>
        <v>0</v>
      </c>
      <c r="AC239" s="103">
        <f t="shared" ca="1" si="261"/>
        <v>0</v>
      </c>
      <c r="AD239" s="103">
        <f t="shared" ca="1" si="261"/>
        <v>0</v>
      </c>
      <c r="AE239" s="103">
        <f t="shared" ca="1" si="261"/>
        <v>0</v>
      </c>
      <c r="AF239" s="103">
        <f t="shared" ca="1" si="261"/>
        <v>0</v>
      </c>
      <c r="AG239" s="103">
        <f t="shared" ca="1" si="261"/>
        <v>0</v>
      </c>
      <c r="AH239" s="103"/>
      <c r="AI239" s="103">
        <f ca="1">NPV(Lookups!$E$17,G239:AG239)</f>
        <v>-1008.3478404625894</v>
      </c>
      <c r="AJ239" s="103">
        <f ca="1">IF($C$4=Year1,-PMT(Lookups!$E$17,25,NPV(Lookups!$E$17,G239:AE239),0,1),IF($C$4=Year2,-PMT(Lookups!$F$17,25,NPV(Lookups!$F$17,H239:AF239),0,1),IF($C$4=Year3,-PMT(Lookups!$G$17,25,NPV(Lookups!$G$17,I239:AG239),0,1),-PMT(Lookups!$G$17,27,NPV(Lookups!$G$17,G239:AG239),0,1))))</f>
        <v>-47.494218124360401</v>
      </c>
      <c r="AM239" s="149">
        <f ca="1">AM232-AM224</f>
        <v>206.27618620775365</v>
      </c>
      <c r="AN239" s="149">
        <f t="shared" ref="AN239:BM239" ca="1" si="262">AN232-AN224</f>
        <v>-107.69834640796626</v>
      </c>
      <c r="AO239" s="149">
        <f t="shared" ca="1" si="262"/>
        <v>-107.69834640796626</v>
      </c>
      <c r="AP239" s="149">
        <f t="shared" ca="1" si="262"/>
        <v>-107.69834640796626</v>
      </c>
      <c r="AQ239" s="149">
        <f t="shared" ca="1" si="262"/>
        <v>-107.69834640796626</v>
      </c>
      <c r="AR239" s="149">
        <f t="shared" ca="1" si="262"/>
        <v>-107.69834640796626</v>
      </c>
      <c r="AS239" s="149">
        <f t="shared" ca="1" si="262"/>
        <v>-107.69834640796626</v>
      </c>
      <c r="AT239" s="149">
        <f t="shared" ca="1" si="262"/>
        <v>-107.69834640796626</v>
      </c>
      <c r="AU239" s="149">
        <f t="shared" ca="1" si="262"/>
        <v>-107.69834640796626</v>
      </c>
      <c r="AV239" s="149">
        <f t="shared" ca="1" si="262"/>
        <v>-107.69834640796626</v>
      </c>
      <c r="AW239" s="149">
        <f t="shared" ca="1" si="262"/>
        <v>-107.69834640796626</v>
      </c>
      <c r="AX239" s="149">
        <f t="shared" ca="1" si="262"/>
        <v>-107.69834640796626</v>
      </c>
      <c r="AY239" s="149">
        <f t="shared" ca="1" si="262"/>
        <v>-107.69834640796626</v>
      </c>
      <c r="AZ239" s="149">
        <f t="shared" ca="1" si="262"/>
        <v>-107.69834640796626</v>
      </c>
      <c r="BA239" s="149">
        <f t="shared" ca="1" si="262"/>
        <v>-107.69834640796626</v>
      </c>
      <c r="BB239" s="149">
        <f t="shared" ca="1" si="262"/>
        <v>-107.69834640796626</v>
      </c>
      <c r="BC239" s="149">
        <f t="shared" ca="1" si="262"/>
        <v>0</v>
      </c>
      <c r="BD239" s="149">
        <f t="shared" ca="1" si="262"/>
        <v>0</v>
      </c>
      <c r="BE239" s="149">
        <f t="shared" ca="1" si="262"/>
        <v>0</v>
      </c>
      <c r="BF239" s="149">
        <f t="shared" ca="1" si="262"/>
        <v>0</v>
      </c>
      <c r="BG239" s="149">
        <f t="shared" ca="1" si="262"/>
        <v>0</v>
      </c>
      <c r="BH239" s="149">
        <f t="shared" ca="1" si="262"/>
        <v>0</v>
      </c>
      <c r="BI239" s="149">
        <f t="shared" ca="1" si="262"/>
        <v>0</v>
      </c>
      <c r="BJ239" s="149">
        <f t="shared" ca="1" si="262"/>
        <v>0</v>
      </c>
      <c r="BK239" s="149">
        <f t="shared" ca="1" si="262"/>
        <v>0</v>
      </c>
      <c r="BL239" s="149">
        <f t="shared" ca="1" si="262"/>
        <v>0</v>
      </c>
      <c r="BM239" s="149">
        <f t="shared" ca="1" si="262"/>
        <v>0</v>
      </c>
      <c r="BN239" s="149"/>
      <c r="BO239" s="149">
        <f ca="1">NPV(Lookups!$E$17,AM239:BM239)</f>
        <v>-1222.874691318829</v>
      </c>
      <c r="BP239" s="149">
        <f ca="1">IF($C$4=Year1,-PMT(Lookups!$E$17,25,NPV(Lookups!$E$17,AM239:BK239),0,1),IF($C$4=Year2,-PMT(Lookups!$F$17,25,NPV(Lookups!$F$17,AN239:BL239),0,1),IF($C$4=Year3,-PMT(Lookups!$G$17,25,NPV(Lookups!$G$17,AO239:BM239),0,1),-PMT(Lookups!$G$17,27,NPV(Lookups!$G$17,AM239:BM239),0,1))))</f>
        <v>-57.598652962465643</v>
      </c>
      <c r="BS239" s="84" t="s">
        <v>241</v>
      </c>
      <c r="BT239" s="51" t="s">
        <v>17</v>
      </c>
    </row>
    <row r="240" spans="1:72" x14ac:dyDescent="0.25">
      <c r="B240" s="243" t="str">
        <f t="shared" si="246"/>
        <v>Small C&amp;I</v>
      </c>
      <c r="C240" s="243" t="str">
        <f t="shared" si="246"/>
        <v>Bills</v>
      </c>
      <c r="D240" s="244" t="str">
        <f t="shared" si="246"/>
        <v>Change in Bills</v>
      </c>
      <c r="E240" s="84" t="str">
        <f>'EE Inputs'!$N$15&amp;" Participant Annual Bill"</f>
        <v>Low Savings Participant Annual Bill</v>
      </c>
      <c r="F240" s="84" t="s">
        <v>16</v>
      </c>
      <c r="G240" s="223">
        <f ca="1">IFERROR(G232/G224-1,0)</f>
        <v>6.5826610397610619E-2</v>
      </c>
      <c r="H240" s="223">
        <f t="shared" ref="H240:AG240" ca="1" si="263">IFERROR(H232/H224-1,0)</f>
        <v>-3.3502428972976395E-2</v>
      </c>
      <c r="I240" s="223">
        <f t="shared" ca="1" si="263"/>
        <v>-3.3502428972976395E-2</v>
      </c>
      <c r="J240" s="223">
        <f t="shared" ca="1" si="263"/>
        <v>-3.3502428972976395E-2</v>
      </c>
      <c r="K240" s="223">
        <f t="shared" ca="1" si="263"/>
        <v>-3.3502428972976395E-2</v>
      </c>
      <c r="L240" s="223">
        <f t="shared" ca="1" si="263"/>
        <v>-3.3502428972976395E-2</v>
      </c>
      <c r="M240" s="223">
        <f t="shared" ca="1" si="263"/>
        <v>-3.3502428972976395E-2</v>
      </c>
      <c r="N240" s="223">
        <f t="shared" ca="1" si="263"/>
        <v>-3.3502428972976395E-2</v>
      </c>
      <c r="O240" s="223">
        <f t="shared" ca="1" si="263"/>
        <v>-3.3502428972976395E-2</v>
      </c>
      <c r="P240" s="223">
        <f t="shared" ca="1" si="263"/>
        <v>-3.3502428972976395E-2</v>
      </c>
      <c r="Q240" s="223">
        <f t="shared" ca="1" si="263"/>
        <v>-3.3502428972976395E-2</v>
      </c>
      <c r="R240" s="223">
        <f t="shared" ca="1" si="263"/>
        <v>-3.3502428972976395E-2</v>
      </c>
      <c r="S240" s="224">
        <f t="shared" ca="1" si="263"/>
        <v>-3.3502428972976395E-2</v>
      </c>
      <c r="T240" s="224">
        <f t="shared" ca="1" si="263"/>
        <v>-3.3502428972976395E-2</v>
      </c>
      <c r="U240" s="224">
        <f t="shared" ca="1" si="263"/>
        <v>-3.3502428972976395E-2</v>
      </c>
      <c r="V240" s="224">
        <f t="shared" ca="1" si="263"/>
        <v>-3.3502428972976395E-2</v>
      </c>
      <c r="W240" s="224">
        <f t="shared" ca="1" si="263"/>
        <v>0</v>
      </c>
      <c r="X240" s="224">
        <f t="shared" ca="1" si="263"/>
        <v>0</v>
      </c>
      <c r="Y240" s="224">
        <f t="shared" ca="1" si="263"/>
        <v>0</v>
      </c>
      <c r="Z240" s="224">
        <f t="shared" ca="1" si="263"/>
        <v>0</v>
      </c>
      <c r="AA240" s="224">
        <f t="shared" ca="1" si="263"/>
        <v>0</v>
      </c>
      <c r="AB240" s="224">
        <f t="shared" ca="1" si="263"/>
        <v>0</v>
      </c>
      <c r="AC240" s="224">
        <f t="shared" ca="1" si="263"/>
        <v>0</v>
      </c>
      <c r="AD240" s="224">
        <f t="shared" ca="1" si="263"/>
        <v>0</v>
      </c>
      <c r="AE240" s="224">
        <f t="shared" ca="1" si="263"/>
        <v>0</v>
      </c>
      <c r="AF240" s="224">
        <f t="shared" ca="1" si="263"/>
        <v>0</v>
      </c>
      <c r="AG240" s="224">
        <f t="shared" ca="1" si="263"/>
        <v>0</v>
      </c>
      <c r="AH240" s="224"/>
      <c r="AI240" s="224"/>
      <c r="AJ240" s="224">
        <f t="shared" ref="AJ240" ca="1" si="264">IFERROR(AJ232/AJ224-1,0)</f>
        <v>-1.8092878737012486E-2</v>
      </c>
      <c r="AK240" s="212"/>
      <c r="AL240" s="212"/>
      <c r="AM240" s="504">
        <f ca="1">IFERROR(AM232/AM224-1,0)</f>
        <v>7.7484779292174899E-2</v>
      </c>
      <c r="AN240" s="504">
        <f t="shared" ref="AN240:BM240" ca="1" si="265">IFERROR(AN232/AN224-1,0)</f>
        <v>-4.0455385349953632E-2</v>
      </c>
      <c r="AO240" s="504">
        <f t="shared" ca="1" si="265"/>
        <v>-4.0455385349953632E-2</v>
      </c>
      <c r="AP240" s="504">
        <f t="shared" ca="1" si="265"/>
        <v>-4.0455385349953632E-2</v>
      </c>
      <c r="AQ240" s="504">
        <f t="shared" ca="1" si="265"/>
        <v>-4.0455385349953632E-2</v>
      </c>
      <c r="AR240" s="504">
        <f t="shared" ca="1" si="265"/>
        <v>-4.0455385349953632E-2</v>
      </c>
      <c r="AS240" s="504">
        <f t="shared" ca="1" si="265"/>
        <v>-4.0455385349953632E-2</v>
      </c>
      <c r="AT240" s="504">
        <f t="shared" ca="1" si="265"/>
        <v>-4.0455385349953632E-2</v>
      </c>
      <c r="AU240" s="504">
        <f t="shared" ca="1" si="265"/>
        <v>-4.0455385349953632E-2</v>
      </c>
      <c r="AV240" s="504">
        <f t="shared" ca="1" si="265"/>
        <v>-4.0455385349953632E-2</v>
      </c>
      <c r="AW240" s="504">
        <f t="shared" ca="1" si="265"/>
        <v>-4.0455385349953632E-2</v>
      </c>
      <c r="AX240" s="504">
        <f t="shared" ca="1" si="265"/>
        <v>-4.0455385349953632E-2</v>
      </c>
      <c r="AY240" s="504">
        <f t="shared" ca="1" si="265"/>
        <v>-4.0455385349953632E-2</v>
      </c>
      <c r="AZ240" s="504">
        <f t="shared" ca="1" si="265"/>
        <v>-4.0455385349953632E-2</v>
      </c>
      <c r="BA240" s="504">
        <f t="shared" ca="1" si="265"/>
        <v>-4.0455385349953632E-2</v>
      </c>
      <c r="BB240" s="504">
        <f t="shared" ca="1" si="265"/>
        <v>-4.0455385349953632E-2</v>
      </c>
      <c r="BC240" s="504">
        <f t="shared" ca="1" si="265"/>
        <v>0</v>
      </c>
      <c r="BD240" s="504">
        <f t="shared" ca="1" si="265"/>
        <v>0</v>
      </c>
      <c r="BE240" s="504">
        <f t="shared" ca="1" si="265"/>
        <v>0</v>
      </c>
      <c r="BF240" s="504">
        <f t="shared" ca="1" si="265"/>
        <v>0</v>
      </c>
      <c r="BG240" s="504">
        <f t="shared" ca="1" si="265"/>
        <v>0</v>
      </c>
      <c r="BH240" s="504">
        <f t="shared" ca="1" si="265"/>
        <v>0</v>
      </c>
      <c r="BI240" s="504">
        <f t="shared" ca="1" si="265"/>
        <v>0</v>
      </c>
      <c r="BJ240" s="504">
        <f t="shared" ca="1" si="265"/>
        <v>0</v>
      </c>
      <c r="BK240" s="504">
        <f t="shared" ca="1" si="265"/>
        <v>0</v>
      </c>
      <c r="BL240" s="504">
        <f t="shared" ca="1" si="265"/>
        <v>0</v>
      </c>
      <c r="BM240" s="504">
        <f t="shared" ca="1" si="265"/>
        <v>0</v>
      </c>
      <c r="BN240" s="504"/>
      <c r="BO240" s="504"/>
      <c r="BP240" s="504">
        <f t="shared" ref="BP240" ca="1" si="266">IFERROR(BP232/BP224-1,0)</f>
        <v>-2.1942153900427086E-2</v>
      </c>
      <c r="BS240" s="84" t="s">
        <v>242</v>
      </c>
      <c r="BT240" s="51" t="s">
        <v>17</v>
      </c>
    </row>
    <row r="241" spans="1:72" x14ac:dyDescent="0.25">
      <c r="B241" s="243" t="str">
        <f t="shared" si="246"/>
        <v>Small C&amp;I</v>
      </c>
      <c r="C241" s="243" t="str">
        <f t="shared" si="246"/>
        <v>Bills</v>
      </c>
      <c r="D241" s="244" t="str">
        <f t="shared" si="246"/>
        <v>Change in Bills</v>
      </c>
      <c r="E241" s="84" t="str">
        <f>'EE Inputs'!$N$16&amp;" Participant Annual Bill"</f>
        <v>High Savings Participant Annual Bill</v>
      </c>
      <c r="F241" s="84" t="s">
        <v>32</v>
      </c>
      <c r="G241" s="103">
        <f ca="1">G233-G224</f>
        <v>61.499778366437113</v>
      </c>
      <c r="H241" s="103">
        <f t="shared" ref="H241:AG241" ca="1" si="267">H233-H224</f>
        <v>-189.01181680568016</v>
      </c>
      <c r="I241" s="103">
        <f t="shared" ca="1" si="267"/>
        <v>-189.01181680568016</v>
      </c>
      <c r="J241" s="103">
        <f t="shared" ca="1" si="267"/>
        <v>-189.01181680568016</v>
      </c>
      <c r="K241" s="103">
        <f t="shared" ca="1" si="267"/>
        <v>-189.01181680568016</v>
      </c>
      <c r="L241" s="103">
        <f t="shared" ca="1" si="267"/>
        <v>-189.01181680568016</v>
      </c>
      <c r="M241" s="103">
        <f t="shared" ca="1" si="267"/>
        <v>-189.01181680568016</v>
      </c>
      <c r="N241" s="103">
        <f t="shared" ca="1" si="267"/>
        <v>-189.01181680568016</v>
      </c>
      <c r="O241" s="103">
        <f t="shared" ca="1" si="267"/>
        <v>-189.01181680568016</v>
      </c>
      <c r="P241" s="103">
        <f t="shared" ca="1" si="267"/>
        <v>-189.01181680568016</v>
      </c>
      <c r="Q241" s="103">
        <f t="shared" ca="1" si="267"/>
        <v>-189.01181680568016</v>
      </c>
      <c r="R241" s="103">
        <f t="shared" ca="1" si="267"/>
        <v>-189.01181680568016</v>
      </c>
      <c r="S241" s="103">
        <f t="shared" ca="1" si="267"/>
        <v>-189.01181680568016</v>
      </c>
      <c r="T241" s="103">
        <f t="shared" ca="1" si="267"/>
        <v>-189.01181680568016</v>
      </c>
      <c r="U241" s="103">
        <f t="shared" ca="1" si="267"/>
        <v>-189.01181680568016</v>
      </c>
      <c r="V241" s="103">
        <f t="shared" ca="1" si="267"/>
        <v>-189.01181680568016</v>
      </c>
      <c r="W241" s="103">
        <f t="shared" ca="1" si="267"/>
        <v>0</v>
      </c>
      <c r="X241" s="103">
        <f t="shared" ca="1" si="267"/>
        <v>0</v>
      </c>
      <c r="Y241" s="103">
        <f t="shared" ca="1" si="267"/>
        <v>0</v>
      </c>
      <c r="Z241" s="103">
        <f t="shared" ca="1" si="267"/>
        <v>0</v>
      </c>
      <c r="AA241" s="103">
        <f t="shared" ca="1" si="267"/>
        <v>0</v>
      </c>
      <c r="AB241" s="103">
        <f t="shared" ca="1" si="267"/>
        <v>0</v>
      </c>
      <c r="AC241" s="103">
        <f t="shared" ca="1" si="267"/>
        <v>0</v>
      </c>
      <c r="AD241" s="103">
        <f t="shared" ca="1" si="267"/>
        <v>0</v>
      </c>
      <c r="AE241" s="103">
        <f t="shared" ca="1" si="267"/>
        <v>0</v>
      </c>
      <c r="AF241" s="103">
        <f t="shared" ca="1" si="267"/>
        <v>0</v>
      </c>
      <c r="AG241" s="103">
        <f t="shared" ca="1" si="267"/>
        <v>0</v>
      </c>
      <c r="AH241" s="103"/>
      <c r="AI241" s="103">
        <f ca="1">NPV(Lookups!$E$17,G241:AG241)</f>
        <v>-2442.4849523935036</v>
      </c>
      <c r="AJ241" s="103">
        <f ca="1">IF($C$4=Year1,-PMT(Lookups!$E$17,25,NPV(Lookups!$E$17,G241:AE241),0,1),IF($C$4=Year2,-PMT(Lookups!$F$17,25,NPV(Lookups!$F$17,H241:AF241),0,1),IF($C$4=Year3,-PMT(Lookups!$G$17,25,NPV(Lookups!$G$17,I241:AG241),0,1),-PMT(Lookups!$G$17,27,NPV(Lookups!$G$17,G241:AG241),0,1))))</f>
        <v>-115.04354791024014</v>
      </c>
      <c r="AM241" s="149">
        <f ca="1">AM233-AM224</f>
        <v>66.354448009725729</v>
      </c>
      <c r="AN241" s="149">
        <f t="shared" ref="AN241:BM241" ca="1" si="268">AN233-AN224</f>
        <v>-227.57915699222485</v>
      </c>
      <c r="AO241" s="149">
        <f t="shared" ca="1" si="268"/>
        <v>-227.57915699222485</v>
      </c>
      <c r="AP241" s="149">
        <f t="shared" ca="1" si="268"/>
        <v>-227.57915699222485</v>
      </c>
      <c r="AQ241" s="149">
        <f t="shared" ca="1" si="268"/>
        <v>-227.57915699222485</v>
      </c>
      <c r="AR241" s="149">
        <f t="shared" ca="1" si="268"/>
        <v>-227.57915699222485</v>
      </c>
      <c r="AS241" s="149">
        <f t="shared" ca="1" si="268"/>
        <v>-227.57915699222485</v>
      </c>
      <c r="AT241" s="149">
        <f t="shared" ca="1" si="268"/>
        <v>-227.57915699222485</v>
      </c>
      <c r="AU241" s="149">
        <f t="shared" ca="1" si="268"/>
        <v>-227.57915699222485</v>
      </c>
      <c r="AV241" s="149">
        <f t="shared" ca="1" si="268"/>
        <v>-227.57915699222485</v>
      </c>
      <c r="AW241" s="149">
        <f t="shared" ca="1" si="268"/>
        <v>-227.57915699222485</v>
      </c>
      <c r="AX241" s="149">
        <f t="shared" ca="1" si="268"/>
        <v>-227.57915699222485</v>
      </c>
      <c r="AY241" s="149">
        <f t="shared" ca="1" si="268"/>
        <v>-227.57915699222485</v>
      </c>
      <c r="AZ241" s="149">
        <f t="shared" ca="1" si="268"/>
        <v>-227.57915699222485</v>
      </c>
      <c r="BA241" s="149">
        <f t="shared" ca="1" si="268"/>
        <v>-227.57915699222485</v>
      </c>
      <c r="BB241" s="149">
        <f t="shared" ca="1" si="268"/>
        <v>-227.57915699222485</v>
      </c>
      <c r="BC241" s="149">
        <f t="shared" ca="1" si="268"/>
        <v>0</v>
      </c>
      <c r="BD241" s="149">
        <f t="shared" ca="1" si="268"/>
        <v>0</v>
      </c>
      <c r="BE241" s="149">
        <f t="shared" ca="1" si="268"/>
        <v>0</v>
      </c>
      <c r="BF241" s="149">
        <f t="shared" ca="1" si="268"/>
        <v>0</v>
      </c>
      <c r="BG241" s="149">
        <f t="shared" ca="1" si="268"/>
        <v>0</v>
      </c>
      <c r="BH241" s="149">
        <f t="shared" ca="1" si="268"/>
        <v>0</v>
      </c>
      <c r="BI241" s="149">
        <f t="shared" ca="1" si="268"/>
        <v>0</v>
      </c>
      <c r="BJ241" s="149">
        <f t="shared" ca="1" si="268"/>
        <v>0</v>
      </c>
      <c r="BK241" s="149">
        <f t="shared" ca="1" si="268"/>
        <v>0</v>
      </c>
      <c r="BL241" s="149">
        <f t="shared" ca="1" si="268"/>
        <v>0</v>
      </c>
      <c r="BM241" s="149">
        <f t="shared" ca="1" si="268"/>
        <v>0</v>
      </c>
      <c r="BN241" s="149"/>
      <c r="BO241" s="149">
        <f ca="1">NPV(Lookups!$E$17,AM241:BM241)</f>
        <v>-2948.4541557335806</v>
      </c>
      <c r="BP241" s="149">
        <f ca="1">IF($C$4=Year1,-PMT(Lookups!$E$17,25,NPV(Lookups!$E$17,AM241:BK241),0,1),IF($C$4=Year2,-PMT(Lookups!$F$17,25,NPV(Lookups!$F$17,AN241:BL241),0,1),IF($C$4=Year3,-PMT(Lookups!$G$17,25,NPV(Lookups!$G$17,AO241:BM241),0,1),-PMT(Lookups!$G$17,27,NPV(Lookups!$G$17,AM241:BM241),0,1))))</f>
        <v>-138.87521664929173</v>
      </c>
      <c r="BS241" s="84" t="s">
        <v>241</v>
      </c>
      <c r="BT241" s="51" t="s">
        <v>17</v>
      </c>
    </row>
    <row r="242" spans="1:72" x14ac:dyDescent="0.25">
      <c r="B242" s="243" t="str">
        <f t="shared" si="246"/>
        <v>Small C&amp;I</v>
      </c>
      <c r="C242" s="243" t="str">
        <f t="shared" si="246"/>
        <v>Bills</v>
      </c>
      <c r="D242" s="244" t="str">
        <f t="shared" si="246"/>
        <v>Change in Bills</v>
      </c>
      <c r="E242" s="84" t="str">
        <f>'EE Inputs'!$N$16&amp;" Participant Annual Bill"</f>
        <v>High Savings Participant Annual Bill</v>
      </c>
      <c r="F242" s="84" t="s">
        <v>16</v>
      </c>
      <c r="G242" s="223">
        <f ca="1">IFERROR(G233/G224-1,0)</f>
        <v>2.3101536056331806E-2</v>
      </c>
      <c r="H242" s="223">
        <f t="shared" ref="H242:AG242" ca="1" si="269">IFERROR(H233/H224-1,0)</f>
        <v>-7.0999659136855908E-2</v>
      </c>
      <c r="I242" s="223">
        <f t="shared" ca="1" si="269"/>
        <v>-7.0999659136855908E-2</v>
      </c>
      <c r="J242" s="223">
        <f t="shared" ca="1" si="269"/>
        <v>-7.0999659136855908E-2</v>
      </c>
      <c r="K242" s="223">
        <f t="shared" ca="1" si="269"/>
        <v>-7.0999659136855908E-2</v>
      </c>
      <c r="L242" s="223">
        <f t="shared" ca="1" si="269"/>
        <v>-7.0999659136855908E-2</v>
      </c>
      <c r="M242" s="223">
        <f t="shared" ca="1" si="269"/>
        <v>-7.0999659136855908E-2</v>
      </c>
      <c r="N242" s="223">
        <f t="shared" ca="1" si="269"/>
        <v>-7.0999659136855908E-2</v>
      </c>
      <c r="O242" s="223">
        <f t="shared" ca="1" si="269"/>
        <v>-7.0999659136855908E-2</v>
      </c>
      <c r="P242" s="223">
        <f t="shared" ca="1" si="269"/>
        <v>-7.0999659136855908E-2</v>
      </c>
      <c r="Q242" s="223">
        <f t="shared" ca="1" si="269"/>
        <v>-7.0999659136855908E-2</v>
      </c>
      <c r="R242" s="223">
        <f t="shared" ca="1" si="269"/>
        <v>-7.0999659136855908E-2</v>
      </c>
      <c r="S242" s="224">
        <f t="shared" ca="1" si="269"/>
        <v>-7.0999659136855908E-2</v>
      </c>
      <c r="T242" s="224">
        <f t="shared" ca="1" si="269"/>
        <v>-7.0999659136855908E-2</v>
      </c>
      <c r="U242" s="224">
        <f t="shared" ca="1" si="269"/>
        <v>-7.0999659136855908E-2</v>
      </c>
      <c r="V242" s="224">
        <f t="shared" ca="1" si="269"/>
        <v>-7.0999659136855908E-2</v>
      </c>
      <c r="W242" s="224">
        <f t="shared" ca="1" si="269"/>
        <v>0</v>
      </c>
      <c r="X242" s="224">
        <f t="shared" ca="1" si="269"/>
        <v>0</v>
      </c>
      <c r="Y242" s="224">
        <f t="shared" ca="1" si="269"/>
        <v>0</v>
      </c>
      <c r="Z242" s="224">
        <f t="shared" ca="1" si="269"/>
        <v>0</v>
      </c>
      <c r="AA242" s="224">
        <f t="shared" ca="1" si="269"/>
        <v>0</v>
      </c>
      <c r="AB242" s="224">
        <f t="shared" ca="1" si="269"/>
        <v>0</v>
      </c>
      <c r="AC242" s="224">
        <f t="shared" ca="1" si="269"/>
        <v>0</v>
      </c>
      <c r="AD242" s="224">
        <f t="shared" ca="1" si="269"/>
        <v>0</v>
      </c>
      <c r="AE242" s="224">
        <f t="shared" ca="1" si="269"/>
        <v>0</v>
      </c>
      <c r="AF242" s="224">
        <f t="shared" ca="1" si="269"/>
        <v>0</v>
      </c>
      <c r="AG242" s="224">
        <f t="shared" ca="1" si="269"/>
        <v>0</v>
      </c>
      <c r="AH242" s="224"/>
      <c r="AI242" s="224"/>
      <c r="AJ242" s="224">
        <f t="shared" ref="AJ242" ca="1" si="270">IFERROR(AJ233/AJ224-1,0)</f>
        <v>-4.3825733826494018E-2</v>
      </c>
      <c r="AK242" s="212"/>
      <c r="AL242" s="212"/>
      <c r="AM242" s="504">
        <f ca="1">IFERROR(AM233/AM224-1,0)</f>
        <v>2.4925125161609385E-2</v>
      </c>
      <c r="AN242" s="504">
        <f t="shared" ref="AN242:BM242" ca="1" si="271">IFERROR(AN233/AN224-1,0)</f>
        <v>-8.548694386506428E-2</v>
      </c>
      <c r="AO242" s="504">
        <f t="shared" ca="1" si="271"/>
        <v>-8.548694386506428E-2</v>
      </c>
      <c r="AP242" s="504">
        <f t="shared" ca="1" si="271"/>
        <v>-8.548694386506428E-2</v>
      </c>
      <c r="AQ242" s="504">
        <f t="shared" ca="1" si="271"/>
        <v>-8.548694386506428E-2</v>
      </c>
      <c r="AR242" s="504">
        <f t="shared" ca="1" si="271"/>
        <v>-8.548694386506428E-2</v>
      </c>
      <c r="AS242" s="504">
        <f t="shared" ca="1" si="271"/>
        <v>-8.548694386506428E-2</v>
      </c>
      <c r="AT242" s="504">
        <f t="shared" ca="1" si="271"/>
        <v>-8.548694386506428E-2</v>
      </c>
      <c r="AU242" s="504">
        <f t="shared" ca="1" si="271"/>
        <v>-8.548694386506428E-2</v>
      </c>
      <c r="AV242" s="504">
        <f t="shared" ca="1" si="271"/>
        <v>-8.548694386506428E-2</v>
      </c>
      <c r="AW242" s="504">
        <f t="shared" ca="1" si="271"/>
        <v>-8.548694386506428E-2</v>
      </c>
      <c r="AX242" s="504">
        <f t="shared" ca="1" si="271"/>
        <v>-8.548694386506428E-2</v>
      </c>
      <c r="AY242" s="504">
        <f t="shared" ca="1" si="271"/>
        <v>-8.548694386506428E-2</v>
      </c>
      <c r="AZ242" s="504">
        <f t="shared" ca="1" si="271"/>
        <v>-8.548694386506428E-2</v>
      </c>
      <c r="BA242" s="504">
        <f t="shared" ca="1" si="271"/>
        <v>-8.548694386506428E-2</v>
      </c>
      <c r="BB242" s="504">
        <f t="shared" ca="1" si="271"/>
        <v>-8.548694386506428E-2</v>
      </c>
      <c r="BC242" s="504">
        <f t="shared" ca="1" si="271"/>
        <v>0</v>
      </c>
      <c r="BD242" s="504">
        <f t="shared" ca="1" si="271"/>
        <v>0</v>
      </c>
      <c r="BE242" s="504">
        <f t="shared" ca="1" si="271"/>
        <v>0</v>
      </c>
      <c r="BF242" s="504">
        <f t="shared" ca="1" si="271"/>
        <v>0</v>
      </c>
      <c r="BG242" s="504">
        <f t="shared" ca="1" si="271"/>
        <v>0</v>
      </c>
      <c r="BH242" s="504">
        <f t="shared" ca="1" si="271"/>
        <v>0</v>
      </c>
      <c r="BI242" s="504">
        <f t="shared" ca="1" si="271"/>
        <v>0</v>
      </c>
      <c r="BJ242" s="504">
        <f t="shared" ca="1" si="271"/>
        <v>0</v>
      </c>
      <c r="BK242" s="504">
        <f t="shared" ca="1" si="271"/>
        <v>0</v>
      </c>
      <c r="BL242" s="504">
        <f t="shared" ca="1" si="271"/>
        <v>0</v>
      </c>
      <c r="BM242" s="504">
        <f t="shared" ca="1" si="271"/>
        <v>0</v>
      </c>
      <c r="BN242" s="504"/>
      <c r="BO242" s="504"/>
      <c r="BP242" s="504">
        <f t="shared" ref="BP242" ca="1" si="272">IFERROR(BP233/BP224-1,0)</f>
        <v>-5.290438612617554E-2</v>
      </c>
      <c r="BS242" s="84" t="s">
        <v>242</v>
      </c>
      <c r="BT242" s="51" t="s">
        <v>17</v>
      </c>
    </row>
    <row r="243" spans="1:72" x14ac:dyDescent="0.25">
      <c r="B243" s="243" t="str">
        <f t="shared" si="246"/>
        <v>Small C&amp;I</v>
      </c>
      <c r="C243" s="243" t="str">
        <f t="shared" si="246"/>
        <v>Bills</v>
      </c>
      <c r="D243" s="244" t="str">
        <f t="shared" si="246"/>
        <v>Change in Bills</v>
      </c>
      <c r="E243" s="84" t="s">
        <v>17</v>
      </c>
      <c r="F243" s="84"/>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S243" s="84"/>
      <c r="BT243" s="51" t="s">
        <v>17</v>
      </c>
    </row>
    <row r="244" spans="1:72" x14ac:dyDescent="0.25">
      <c r="B244" t="s">
        <v>17</v>
      </c>
      <c r="BT244" s="51" t="s">
        <v>17</v>
      </c>
    </row>
    <row r="245" spans="1:72" x14ac:dyDescent="0.25">
      <c r="B245" t="s">
        <v>17</v>
      </c>
      <c r="BT245" s="51" t="s">
        <v>17</v>
      </c>
    </row>
    <row r="246" spans="1:72" s="51" customFormat="1" ht="23.25" x14ac:dyDescent="0.25">
      <c r="A246" s="52"/>
      <c r="B246" s="195" t="str">
        <f>Lookups!$D$29</f>
        <v>Large C&amp;I</v>
      </c>
      <c r="C246" s="196"/>
      <c r="D246" s="196"/>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51" t="s">
        <v>17</v>
      </c>
    </row>
    <row r="247" spans="1:72" s="5" customFormat="1" ht="15.75" x14ac:dyDescent="0.25">
      <c r="A247" s="52"/>
      <c r="B247" s="241" t="str">
        <f>B246</f>
        <v>Large C&amp;I</v>
      </c>
      <c r="C247" s="63" t="s">
        <v>3</v>
      </c>
      <c r="D247" s="61"/>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M247" s="63"/>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S247" s="62"/>
      <c r="BT247" s="51" t="s">
        <v>17</v>
      </c>
    </row>
    <row r="248" spans="1:72" s="5" customFormat="1" x14ac:dyDescent="0.25">
      <c r="A248" s="52"/>
      <c r="B248" s="242" t="str">
        <f t="shared" ref="B248:C259" si="273">B247</f>
        <v>Large C&amp;I</v>
      </c>
      <c r="C248" s="242" t="str">
        <f>C247</f>
        <v>Customers</v>
      </c>
      <c r="D248" s="244" t="s">
        <v>3</v>
      </c>
      <c r="E248" s="77" t="s">
        <v>3</v>
      </c>
      <c r="F248" s="76" t="s">
        <v>48</v>
      </c>
      <c r="G248" s="64">
        <f>IF(G$8=0,0,INDEX('Multi-Year Inputs'!$E$12:$AE$15,MATCH($B248,'Multi-Year Inputs'!$D$12:$D$15,0),MATCH(G$7,'Multi-Year Inputs'!$E$4:$AE$4,0)))</f>
        <v>55.255527025440614</v>
      </c>
      <c r="H248" s="64">
        <f>IF(H$8=0,0,INDEX('Multi-Year Inputs'!$E$12:$AE$15,MATCH($B248,'Multi-Year Inputs'!$D$12:$D$15,0),MATCH(H$7,'Multi-Year Inputs'!$E$4:$AE$4,0)))</f>
        <v>55.255527025440614</v>
      </c>
      <c r="I248" s="64">
        <f>IF(I$8=0,0,INDEX('Multi-Year Inputs'!$E$12:$AE$15,MATCH($B248,'Multi-Year Inputs'!$D$12:$D$15,0),MATCH(I$7,'Multi-Year Inputs'!$E$4:$AE$4,0)))</f>
        <v>55.255527025440614</v>
      </c>
      <c r="J248" s="64">
        <f>IF(J$8=0,0,INDEX('Multi-Year Inputs'!$E$12:$AE$15,MATCH($B248,'Multi-Year Inputs'!$D$12:$D$15,0),MATCH(J$7,'Multi-Year Inputs'!$E$4:$AE$4,0)))</f>
        <v>55.255527025440614</v>
      </c>
      <c r="K248" s="64">
        <f>IF(K$8=0,0,INDEX('Multi-Year Inputs'!$E$12:$AE$15,MATCH($B248,'Multi-Year Inputs'!$D$12:$D$15,0),MATCH(K$7,'Multi-Year Inputs'!$E$4:$AE$4,0)))</f>
        <v>55.255527025440614</v>
      </c>
      <c r="L248" s="64">
        <f>IF(L$8=0,0,INDEX('Multi-Year Inputs'!$E$12:$AE$15,MATCH($B248,'Multi-Year Inputs'!$D$12:$D$15,0),MATCH(L$7,'Multi-Year Inputs'!$E$4:$AE$4,0)))</f>
        <v>55.255527025440614</v>
      </c>
      <c r="M248" s="64">
        <f>IF(M$8=0,0,INDEX('Multi-Year Inputs'!$E$12:$AE$15,MATCH($B248,'Multi-Year Inputs'!$D$12:$D$15,0),MATCH(M$7,'Multi-Year Inputs'!$E$4:$AE$4,0)))</f>
        <v>55.255527025440614</v>
      </c>
      <c r="N248" s="64">
        <f>IF(N$8=0,0,INDEX('Multi-Year Inputs'!$E$12:$AE$15,MATCH($B248,'Multi-Year Inputs'!$D$12:$D$15,0),MATCH(N$7,'Multi-Year Inputs'!$E$4:$AE$4,0)))</f>
        <v>55.255527025440614</v>
      </c>
      <c r="O248" s="64">
        <f>IF(O$8=0,0,INDEX('Multi-Year Inputs'!$E$12:$AE$15,MATCH($B248,'Multi-Year Inputs'!$D$12:$D$15,0),MATCH(O$7,'Multi-Year Inputs'!$E$4:$AE$4,0)))</f>
        <v>55.255527025440614</v>
      </c>
      <c r="P248" s="64">
        <f>IF(P$8=0,0,INDEX('Multi-Year Inputs'!$E$12:$AE$15,MATCH($B248,'Multi-Year Inputs'!$D$12:$D$15,0),MATCH(P$7,'Multi-Year Inputs'!$E$4:$AE$4,0)))</f>
        <v>55.255527025440614</v>
      </c>
      <c r="Q248" s="64">
        <f>IF(Q$8=0,0,INDEX('Multi-Year Inputs'!$E$12:$AE$15,MATCH($B248,'Multi-Year Inputs'!$D$12:$D$15,0),MATCH(Q$7,'Multi-Year Inputs'!$E$4:$AE$4,0)))</f>
        <v>55.255527025440614</v>
      </c>
      <c r="R248" s="64">
        <f>IF(R$8=0,0,INDEX('Multi-Year Inputs'!$E$12:$AE$15,MATCH($B248,'Multi-Year Inputs'!$D$12:$D$15,0),MATCH(R$7,'Multi-Year Inputs'!$E$4:$AE$4,0)))</f>
        <v>55.255527025440614</v>
      </c>
      <c r="S248" s="64">
        <f>IF(S$8=0,0,INDEX('Multi-Year Inputs'!$E$12:$AE$15,MATCH($B248,'Multi-Year Inputs'!$D$12:$D$15,0),MATCH(S$7,'Multi-Year Inputs'!$E$4:$AE$4,0)))</f>
        <v>55.255527025440614</v>
      </c>
      <c r="T248" s="64">
        <f>IF(T$8=0,0,INDEX('Multi-Year Inputs'!$E$12:$AE$15,MATCH($B248,'Multi-Year Inputs'!$D$12:$D$15,0),MATCH(T$7,'Multi-Year Inputs'!$E$4:$AE$4,0)))</f>
        <v>55.255527025440614</v>
      </c>
      <c r="U248" s="64">
        <f>IF(U$8=0,0,INDEX('Multi-Year Inputs'!$E$12:$AE$15,MATCH($B248,'Multi-Year Inputs'!$D$12:$D$15,0),MATCH(U$7,'Multi-Year Inputs'!$E$4:$AE$4,0)))</f>
        <v>55.255527025440614</v>
      </c>
      <c r="V248" s="64">
        <f>IF(V$8=0,0,INDEX('Multi-Year Inputs'!$E$12:$AE$15,MATCH($B248,'Multi-Year Inputs'!$D$12:$D$15,0),MATCH(V$7,'Multi-Year Inputs'!$E$4:$AE$4,0)))</f>
        <v>55.255527025440614</v>
      </c>
      <c r="W248" s="64">
        <f>IF(W$8=0,0,INDEX('Multi-Year Inputs'!$E$12:$AE$15,MATCH($B248,'Multi-Year Inputs'!$D$12:$D$15,0),MATCH(W$7,'Multi-Year Inputs'!$E$4:$AE$4,0)))</f>
        <v>55.255527025440614</v>
      </c>
      <c r="X248" s="64">
        <f>IF(X$8=0,0,INDEX('Multi-Year Inputs'!$E$12:$AE$15,MATCH($B248,'Multi-Year Inputs'!$D$12:$D$15,0),MATCH(X$7,'Multi-Year Inputs'!$E$4:$AE$4,0)))</f>
        <v>55.255527025440614</v>
      </c>
      <c r="Y248" s="64">
        <f>IF(Y$8=0,0,INDEX('Multi-Year Inputs'!$E$12:$AE$15,MATCH($B248,'Multi-Year Inputs'!$D$12:$D$15,0),MATCH(Y$7,'Multi-Year Inputs'!$E$4:$AE$4,0)))</f>
        <v>55.255527025440614</v>
      </c>
      <c r="Z248" s="64">
        <f>IF(Z$8=0,0,INDEX('Multi-Year Inputs'!$E$12:$AE$15,MATCH($B248,'Multi-Year Inputs'!$D$12:$D$15,0),MATCH(Z$7,'Multi-Year Inputs'!$E$4:$AE$4,0)))</f>
        <v>55.255527025440614</v>
      </c>
      <c r="AA248" s="64">
        <f>IF(AA$8=0,0,INDEX('Multi-Year Inputs'!$E$12:$AE$15,MATCH($B248,'Multi-Year Inputs'!$D$12:$D$15,0),MATCH(AA$7,'Multi-Year Inputs'!$E$4:$AE$4,0)))</f>
        <v>55.255527025440614</v>
      </c>
      <c r="AB248" s="64">
        <f>IF(AB$8=0,0,INDEX('Multi-Year Inputs'!$E$12:$AE$15,MATCH($B248,'Multi-Year Inputs'!$D$12:$D$15,0),MATCH(AB$7,'Multi-Year Inputs'!$E$4:$AE$4,0)))</f>
        <v>55.255527025440614</v>
      </c>
      <c r="AC248" s="64">
        <f>IF(AC$8=0,0,INDEX('Multi-Year Inputs'!$E$12:$AE$15,MATCH($B248,'Multi-Year Inputs'!$D$12:$D$15,0),MATCH(AC$7,'Multi-Year Inputs'!$E$4:$AE$4,0)))</f>
        <v>55.255527025440614</v>
      </c>
      <c r="AD248" s="64">
        <f>IF(AD$8=0,0,INDEX('Multi-Year Inputs'!$E$12:$AE$15,MATCH($B248,'Multi-Year Inputs'!$D$12:$D$15,0),MATCH(AD$7,'Multi-Year Inputs'!$E$4:$AE$4,0)))</f>
        <v>55.255527025440614</v>
      </c>
      <c r="AE248" s="64">
        <f>IF(AE$8=0,0,INDEX('Multi-Year Inputs'!$E$12:$AE$15,MATCH($B248,'Multi-Year Inputs'!$D$12:$D$15,0),MATCH(AE$7,'Multi-Year Inputs'!$E$4:$AE$4,0)))</f>
        <v>55.255527025440614</v>
      </c>
      <c r="AF248" s="64">
        <f>IF(AF$8=0,0,INDEX('Multi-Year Inputs'!$E$12:$AE$15,MATCH($B248,'Multi-Year Inputs'!$D$12:$D$15,0),MATCH(AF$7,'Multi-Year Inputs'!$E$4:$AE$4,0)))</f>
        <v>55.255527025440614</v>
      </c>
      <c r="AG248" s="64">
        <f>IF(AG$8=0,0,INDEX('Multi-Year Inputs'!$E$12:$AE$15,MATCH($B248,'Multi-Year Inputs'!$D$12:$D$15,0),MATCH(AG$7,'Multi-Year Inputs'!$E$4:$AE$4,0)))</f>
        <v>55.255527025440614</v>
      </c>
      <c r="AH248" s="64"/>
      <c r="AI248" s="64"/>
      <c r="AJ248" s="64"/>
      <c r="AM248" s="71">
        <f>IF(AM$8=0,0,INDEX('Multi-Year Inputs'!$E$12:$AE$15,MATCH($B248,'Multi-Year Inputs'!$D$12:$D$15,0),MATCH(AM$7,'Multi-Year Inputs'!$E$4:$AE$4,0)))</f>
        <v>55.255527025440614</v>
      </c>
      <c r="AN248" s="71">
        <f>IF(AN$8=0,0,INDEX('Multi-Year Inputs'!$E$12:$AE$15,MATCH($B248,'Multi-Year Inputs'!$D$12:$D$15,0),MATCH(AN$7,'Multi-Year Inputs'!$E$4:$AE$4,0)))</f>
        <v>55.255527025440614</v>
      </c>
      <c r="AO248" s="71">
        <f>IF(AO$8=0,0,INDEX('Multi-Year Inputs'!$E$12:$AE$15,MATCH($B248,'Multi-Year Inputs'!$D$12:$D$15,0),MATCH(AO$7,'Multi-Year Inputs'!$E$4:$AE$4,0)))</f>
        <v>55.255527025440614</v>
      </c>
      <c r="AP248" s="71">
        <f>IF(AP$8=0,0,INDEX('Multi-Year Inputs'!$E$12:$AE$15,MATCH($B248,'Multi-Year Inputs'!$D$12:$D$15,0),MATCH(AP$7,'Multi-Year Inputs'!$E$4:$AE$4,0)))</f>
        <v>55.255527025440614</v>
      </c>
      <c r="AQ248" s="71">
        <f>IF(AQ$8=0,0,INDEX('Multi-Year Inputs'!$E$12:$AE$15,MATCH($B248,'Multi-Year Inputs'!$D$12:$D$15,0),MATCH(AQ$7,'Multi-Year Inputs'!$E$4:$AE$4,0)))</f>
        <v>55.255527025440614</v>
      </c>
      <c r="AR248" s="71">
        <f>IF(AR$8=0,0,INDEX('Multi-Year Inputs'!$E$12:$AE$15,MATCH($B248,'Multi-Year Inputs'!$D$12:$D$15,0),MATCH(AR$7,'Multi-Year Inputs'!$E$4:$AE$4,0)))</f>
        <v>55.255527025440614</v>
      </c>
      <c r="AS248" s="71">
        <f>IF(AS$8=0,0,INDEX('Multi-Year Inputs'!$E$12:$AE$15,MATCH($B248,'Multi-Year Inputs'!$D$12:$D$15,0),MATCH(AS$7,'Multi-Year Inputs'!$E$4:$AE$4,0)))</f>
        <v>55.255527025440614</v>
      </c>
      <c r="AT248" s="71">
        <f>IF(AT$8=0,0,INDEX('Multi-Year Inputs'!$E$12:$AE$15,MATCH($B248,'Multi-Year Inputs'!$D$12:$D$15,0),MATCH(AT$7,'Multi-Year Inputs'!$E$4:$AE$4,0)))</f>
        <v>55.255527025440614</v>
      </c>
      <c r="AU248" s="71">
        <f>IF(AU$8=0,0,INDEX('Multi-Year Inputs'!$E$12:$AE$15,MATCH($B248,'Multi-Year Inputs'!$D$12:$D$15,0),MATCH(AU$7,'Multi-Year Inputs'!$E$4:$AE$4,0)))</f>
        <v>55.255527025440614</v>
      </c>
      <c r="AV248" s="71">
        <f>IF(AV$8=0,0,INDEX('Multi-Year Inputs'!$E$12:$AE$15,MATCH($B248,'Multi-Year Inputs'!$D$12:$D$15,0),MATCH(AV$7,'Multi-Year Inputs'!$E$4:$AE$4,0)))</f>
        <v>55.255527025440614</v>
      </c>
      <c r="AW248" s="71">
        <f>IF(AW$8=0,0,INDEX('Multi-Year Inputs'!$E$12:$AE$15,MATCH($B248,'Multi-Year Inputs'!$D$12:$D$15,0),MATCH(AW$7,'Multi-Year Inputs'!$E$4:$AE$4,0)))</f>
        <v>55.255527025440614</v>
      </c>
      <c r="AX248" s="71">
        <f>IF(AX$8=0,0,INDEX('Multi-Year Inputs'!$E$12:$AE$15,MATCH($B248,'Multi-Year Inputs'!$D$12:$D$15,0),MATCH(AX$7,'Multi-Year Inputs'!$E$4:$AE$4,0)))</f>
        <v>55.255527025440614</v>
      </c>
      <c r="AY248" s="71">
        <f>IF(AY$8=0,0,INDEX('Multi-Year Inputs'!$E$12:$AE$15,MATCH($B248,'Multi-Year Inputs'!$D$12:$D$15,0),MATCH(AY$7,'Multi-Year Inputs'!$E$4:$AE$4,0)))</f>
        <v>55.255527025440614</v>
      </c>
      <c r="AZ248" s="71">
        <f>IF(AZ$8=0,0,INDEX('Multi-Year Inputs'!$E$12:$AE$15,MATCH($B248,'Multi-Year Inputs'!$D$12:$D$15,0),MATCH(AZ$7,'Multi-Year Inputs'!$E$4:$AE$4,0)))</f>
        <v>55.255527025440614</v>
      </c>
      <c r="BA248" s="71">
        <f>IF(BA$8=0,0,INDEX('Multi-Year Inputs'!$E$12:$AE$15,MATCH($B248,'Multi-Year Inputs'!$D$12:$D$15,0),MATCH(BA$7,'Multi-Year Inputs'!$E$4:$AE$4,0)))</f>
        <v>55.255527025440614</v>
      </c>
      <c r="BB248" s="71">
        <f>IF(BB$8=0,0,INDEX('Multi-Year Inputs'!$E$12:$AE$15,MATCH($B248,'Multi-Year Inputs'!$D$12:$D$15,0),MATCH(BB$7,'Multi-Year Inputs'!$E$4:$AE$4,0)))</f>
        <v>55.255527025440614</v>
      </c>
      <c r="BC248" s="71">
        <f>IF(BC$8=0,0,INDEX('Multi-Year Inputs'!$E$12:$AE$15,MATCH($B248,'Multi-Year Inputs'!$D$12:$D$15,0),MATCH(BC$7,'Multi-Year Inputs'!$E$4:$AE$4,0)))</f>
        <v>55.255527025440614</v>
      </c>
      <c r="BD248" s="71">
        <f>IF(BD$8=0,0,INDEX('Multi-Year Inputs'!$E$12:$AE$15,MATCH($B248,'Multi-Year Inputs'!$D$12:$D$15,0),MATCH(BD$7,'Multi-Year Inputs'!$E$4:$AE$4,0)))</f>
        <v>55.255527025440614</v>
      </c>
      <c r="BE248" s="71">
        <f>IF(BE$8=0,0,INDEX('Multi-Year Inputs'!$E$12:$AE$15,MATCH($B248,'Multi-Year Inputs'!$D$12:$D$15,0),MATCH(BE$7,'Multi-Year Inputs'!$E$4:$AE$4,0)))</f>
        <v>55.255527025440614</v>
      </c>
      <c r="BF248" s="71">
        <f>IF(BF$8=0,0,INDEX('Multi-Year Inputs'!$E$12:$AE$15,MATCH($B248,'Multi-Year Inputs'!$D$12:$D$15,0),MATCH(BF$7,'Multi-Year Inputs'!$E$4:$AE$4,0)))</f>
        <v>55.255527025440614</v>
      </c>
      <c r="BG248" s="71">
        <f>IF(BG$8=0,0,INDEX('Multi-Year Inputs'!$E$12:$AE$15,MATCH($B248,'Multi-Year Inputs'!$D$12:$D$15,0),MATCH(BG$7,'Multi-Year Inputs'!$E$4:$AE$4,0)))</f>
        <v>55.255527025440614</v>
      </c>
      <c r="BH248" s="71">
        <f>IF(BH$8=0,0,INDEX('Multi-Year Inputs'!$E$12:$AE$15,MATCH($B248,'Multi-Year Inputs'!$D$12:$D$15,0),MATCH(BH$7,'Multi-Year Inputs'!$E$4:$AE$4,0)))</f>
        <v>55.255527025440614</v>
      </c>
      <c r="BI248" s="71">
        <f>IF(BI$8=0,0,INDEX('Multi-Year Inputs'!$E$12:$AE$15,MATCH($B248,'Multi-Year Inputs'!$D$12:$D$15,0),MATCH(BI$7,'Multi-Year Inputs'!$E$4:$AE$4,0)))</f>
        <v>55.255527025440614</v>
      </c>
      <c r="BJ248" s="71">
        <f>IF(BJ$8=0,0,INDEX('Multi-Year Inputs'!$E$12:$AE$15,MATCH($B248,'Multi-Year Inputs'!$D$12:$D$15,0),MATCH(BJ$7,'Multi-Year Inputs'!$E$4:$AE$4,0)))</f>
        <v>55.255527025440614</v>
      </c>
      <c r="BK248" s="71">
        <f>IF(BK$8=0,0,INDEX('Multi-Year Inputs'!$E$12:$AE$15,MATCH($B248,'Multi-Year Inputs'!$D$12:$D$15,0),MATCH(BK$7,'Multi-Year Inputs'!$E$4:$AE$4,0)))</f>
        <v>55.255527025440614</v>
      </c>
      <c r="BL248" s="71">
        <f>IF(BL$8=0,0,INDEX('Multi-Year Inputs'!$E$12:$AE$15,MATCH($B248,'Multi-Year Inputs'!$D$12:$D$15,0),MATCH(BL$7,'Multi-Year Inputs'!$E$4:$AE$4,0)))</f>
        <v>55.255527025440614</v>
      </c>
      <c r="BM248" s="71">
        <f>IF(BM$8=0,0,INDEX('Multi-Year Inputs'!$E$12:$AE$15,MATCH($B248,'Multi-Year Inputs'!$D$12:$D$15,0),MATCH(BM$7,'Multi-Year Inputs'!$E$4:$AE$4,0)))</f>
        <v>55.255527025440614</v>
      </c>
      <c r="BN248" s="72"/>
      <c r="BO248" s="72"/>
      <c r="BP248" s="72"/>
      <c r="BS248" s="76" t="s">
        <v>89</v>
      </c>
      <c r="BT248" s="51" t="s">
        <v>17</v>
      </c>
    </row>
    <row r="249" spans="1:72" s="5" customFormat="1" x14ac:dyDescent="0.25">
      <c r="A249" s="52"/>
      <c r="B249" s="242" t="str">
        <f t="shared" si="273"/>
        <v>Large C&amp;I</v>
      </c>
      <c r="C249" s="242" t="str">
        <f>C248</f>
        <v>Customers</v>
      </c>
      <c r="D249" s="244" t="s">
        <v>40</v>
      </c>
      <c r="E249" s="77" t="s">
        <v>40</v>
      </c>
      <c r="F249" s="76" t="s">
        <v>2</v>
      </c>
      <c r="G249" s="65">
        <f ca="1">IF($C$4=Lookups!$D$40,IF(SUM(INDIRECT("'Yr1'!"&amp;ADDRESS(ROW(G249),COLUMN(G249))),INDIRECT("'Yr2'!"&amp;ADDRESS(ROW(G249),COLUMN(G249))),INDIRECT("'Yr3'!"&amp;ADDRESS(ROW(G249),COLUMN(G249))))&gt;0,"3 Yr. total",0),
IF(G$7&lt;$C$4,0,IF(G$8&lt;=SUMIFS('EE Inputs'!$V$9:$V$32,'EE Inputs'!$C$9:$C$32,$G$6,'EE Inputs'!$D$9:$D$32,$C$4,'EE Inputs'!$E$9:$E$32,$B249),SUMIFS('EE Inputs'!$V$9:$V$32,'EE Inputs'!$C$9:$C$32,$G$6,'EE Inputs'!$D$9:$D$32,$C$4,'EE Inputs'!$E$9:$E$32,$B249),0)))</f>
        <v>13</v>
      </c>
      <c r="H249" s="65">
        <f ca="1">IF($C$4=Lookups!$D$40,IF(SUM(INDIRECT("'Yr1'!"&amp;ADDRESS(ROW(H249),COLUMN(H249))),INDIRECT("'Yr2'!"&amp;ADDRESS(ROW(H249),COLUMN(H249))),INDIRECT("'Yr3'!"&amp;ADDRESS(ROW(H249),COLUMN(H249))))&gt;0,"3 Yr. total",0),
IF(H$7&lt;$C$4,0,IF(H$8&lt;=SUMIFS('EE Inputs'!$V$9:$V$32,'EE Inputs'!$C$9:$C$32,$G$6,'EE Inputs'!$D$9:$D$32,$C$4,'EE Inputs'!$E$9:$E$32,$B249),SUMIFS('EE Inputs'!$V$9:$V$32,'EE Inputs'!$C$9:$C$32,$G$6,'EE Inputs'!$D$9:$D$32,$C$4,'EE Inputs'!$E$9:$E$32,$B249),0)))</f>
        <v>13</v>
      </c>
      <c r="I249" s="65">
        <f ca="1">IF($C$4=Lookups!$D$40,IF(SUM(INDIRECT("'Yr1'!"&amp;ADDRESS(ROW(I249),COLUMN(I249))),INDIRECT("'Yr2'!"&amp;ADDRESS(ROW(I249),COLUMN(I249))),INDIRECT("'Yr3'!"&amp;ADDRESS(ROW(I249),COLUMN(I249))))&gt;0,"3 Yr. total",0),
IF(I$7&lt;$C$4,0,IF(I$8&lt;=SUMIFS('EE Inputs'!$V$9:$V$32,'EE Inputs'!$C$9:$C$32,$G$6,'EE Inputs'!$D$9:$D$32,$C$4,'EE Inputs'!$E$9:$E$32,$B249),SUMIFS('EE Inputs'!$V$9:$V$32,'EE Inputs'!$C$9:$C$32,$G$6,'EE Inputs'!$D$9:$D$32,$C$4,'EE Inputs'!$E$9:$E$32,$B249),0)))</f>
        <v>13</v>
      </c>
      <c r="J249" s="65">
        <f ca="1">IF($C$4=Lookups!$D$40,IF(SUM(INDIRECT("'Yr1'!"&amp;ADDRESS(ROW(J249),COLUMN(J249))),INDIRECT("'Yr2'!"&amp;ADDRESS(ROW(J249),COLUMN(J249))),INDIRECT("'Yr3'!"&amp;ADDRESS(ROW(J249),COLUMN(J249))))&gt;0,"3 Yr. total",0),
IF(J$7&lt;$C$4,0,IF(J$8&lt;=SUMIFS('EE Inputs'!$V$9:$V$32,'EE Inputs'!$C$9:$C$32,$G$6,'EE Inputs'!$D$9:$D$32,$C$4,'EE Inputs'!$E$9:$E$32,$B249),SUMIFS('EE Inputs'!$V$9:$V$32,'EE Inputs'!$C$9:$C$32,$G$6,'EE Inputs'!$D$9:$D$32,$C$4,'EE Inputs'!$E$9:$E$32,$B249),0)))</f>
        <v>13</v>
      </c>
      <c r="K249" s="65">
        <f ca="1">IF($C$4=Lookups!$D$40,IF(SUM(INDIRECT("'Yr1'!"&amp;ADDRESS(ROW(K249),COLUMN(K249))),INDIRECT("'Yr2'!"&amp;ADDRESS(ROW(K249),COLUMN(K249))),INDIRECT("'Yr3'!"&amp;ADDRESS(ROW(K249),COLUMN(K249))))&gt;0,"3 Yr. total",0),
IF(K$7&lt;$C$4,0,IF(K$8&lt;=SUMIFS('EE Inputs'!$V$9:$V$32,'EE Inputs'!$C$9:$C$32,$G$6,'EE Inputs'!$D$9:$D$32,$C$4,'EE Inputs'!$E$9:$E$32,$B249),SUMIFS('EE Inputs'!$V$9:$V$32,'EE Inputs'!$C$9:$C$32,$G$6,'EE Inputs'!$D$9:$D$32,$C$4,'EE Inputs'!$E$9:$E$32,$B249),0)))</f>
        <v>13</v>
      </c>
      <c r="L249" s="65">
        <f ca="1">IF($C$4=Lookups!$D$40,IF(SUM(INDIRECT("'Yr1'!"&amp;ADDRESS(ROW(L249),COLUMN(L249))),INDIRECT("'Yr2'!"&amp;ADDRESS(ROW(L249),COLUMN(L249))),INDIRECT("'Yr3'!"&amp;ADDRESS(ROW(L249),COLUMN(L249))))&gt;0,"3 Yr. total",0),
IF(L$7&lt;$C$4,0,IF(L$8&lt;=SUMIFS('EE Inputs'!$V$9:$V$32,'EE Inputs'!$C$9:$C$32,$G$6,'EE Inputs'!$D$9:$D$32,$C$4,'EE Inputs'!$E$9:$E$32,$B249),SUMIFS('EE Inputs'!$V$9:$V$32,'EE Inputs'!$C$9:$C$32,$G$6,'EE Inputs'!$D$9:$D$32,$C$4,'EE Inputs'!$E$9:$E$32,$B249),0)))</f>
        <v>13</v>
      </c>
      <c r="M249" s="65">
        <f ca="1">IF($C$4=Lookups!$D$40,IF(SUM(INDIRECT("'Yr1'!"&amp;ADDRESS(ROW(M249),COLUMN(M249))),INDIRECT("'Yr2'!"&amp;ADDRESS(ROW(M249),COLUMN(M249))),INDIRECT("'Yr3'!"&amp;ADDRESS(ROW(M249),COLUMN(M249))))&gt;0,"3 Yr. total",0),
IF(M$7&lt;$C$4,0,IF(M$8&lt;=SUMIFS('EE Inputs'!$V$9:$V$32,'EE Inputs'!$C$9:$C$32,$G$6,'EE Inputs'!$D$9:$D$32,$C$4,'EE Inputs'!$E$9:$E$32,$B249),SUMIFS('EE Inputs'!$V$9:$V$32,'EE Inputs'!$C$9:$C$32,$G$6,'EE Inputs'!$D$9:$D$32,$C$4,'EE Inputs'!$E$9:$E$32,$B249),0)))</f>
        <v>13</v>
      </c>
      <c r="N249" s="65">
        <f ca="1">IF($C$4=Lookups!$D$40,IF(SUM(INDIRECT("'Yr1'!"&amp;ADDRESS(ROW(N249),COLUMN(N249))),INDIRECT("'Yr2'!"&amp;ADDRESS(ROW(N249),COLUMN(N249))),INDIRECT("'Yr3'!"&amp;ADDRESS(ROW(N249),COLUMN(N249))))&gt;0,"3 Yr. total",0),
IF(N$7&lt;$C$4,0,IF(N$8&lt;=SUMIFS('EE Inputs'!$V$9:$V$32,'EE Inputs'!$C$9:$C$32,$G$6,'EE Inputs'!$D$9:$D$32,$C$4,'EE Inputs'!$E$9:$E$32,$B249),SUMIFS('EE Inputs'!$V$9:$V$32,'EE Inputs'!$C$9:$C$32,$G$6,'EE Inputs'!$D$9:$D$32,$C$4,'EE Inputs'!$E$9:$E$32,$B249),0)))</f>
        <v>13</v>
      </c>
      <c r="O249" s="65">
        <f ca="1">IF($C$4=Lookups!$D$40,IF(SUM(INDIRECT("'Yr1'!"&amp;ADDRESS(ROW(O249),COLUMN(O249))),INDIRECT("'Yr2'!"&amp;ADDRESS(ROW(O249),COLUMN(O249))),INDIRECT("'Yr3'!"&amp;ADDRESS(ROW(O249),COLUMN(O249))))&gt;0,"3 Yr. total",0),
IF(O$7&lt;$C$4,0,IF(O$8&lt;=SUMIFS('EE Inputs'!$V$9:$V$32,'EE Inputs'!$C$9:$C$32,$G$6,'EE Inputs'!$D$9:$D$32,$C$4,'EE Inputs'!$E$9:$E$32,$B249),SUMIFS('EE Inputs'!$V$9:$V$32,'EE Inputs'!$C$9:$C$32,$G$6,'EE Inputs'!$D$9:$D$32,$C$4,'EE Inputs'!$E$9:$E$32,$B249),0)))</f>
        <v>13</v>
      </c>
      <c r="P249" s="65">
        <f ca="1">IF($C$4=Lookups!$D$40,IF(SUM(INDIRECT("'Yr1'!"&amp;ADDRESS(ROW(P249),COLUMN(P249))),INDIRECT("'Yr2'!"&amp;ADDRESS(ROW(P249),COLUMN(P249))),INDIRECT("'Yr3'!"&amp;ADDRESS(ROW(P249),COLUMN(P249))))&gt;0,"3 Yr. total",0),
IF(P$7&lt;$C$4,0,IF(P$8&lt;=SUMIFS('EE Inputs'!$V$9:$V$32,'EE Inputs'!$C$9:$C$32,$G$6,'EE Inputs'!$D$9:$D$32,$C$4,'EE Inputs'!$E$9:$E$32,$B249),SUMIFS('EE Inputs'!$V$9:$V$32,'EE Inputs'!$C$9:$C$32,$G$6,'EE Inputs'!$D$9:$D$32,$C$4,'EE Inputs'!$E$9:$E$32,$B249),0)))</f>
        <v>13</v>
      </c>
      <c r="Q249" s="65">
        <f ca="1">IF($C$4=Lookups!$D$40,IF(SUM(INDIRECT("'Yr1'!"&amp;ADDRESS(ROW(Q249),COLUMN(Q249))),INDIRECT("'Yr2'!"&amp;ADDRESS(ROW(Q249),COLUMN(Q249))),INDIRECT("'Yr3'!"&amp;ADDRESS(ROW(Q249),COLUMN(Q249))))&gt;0,"3 Yr. total",0),
IF(Q$7&lt;$C$4,0,IF(Q$8&lt;=SUMIFS('EE Inputs'!$V$9:$V$32,'EE Inputs'!$C$9:$C$32,$G$6,'EE Inputs'!$D$9:$D$32,$C$4,'EE Inputs'!$E$9:$E$32,$B249),SUMIFS('EE Inputs'!$V$9:$V$32,'EE Inputs'!$C$9:$C$32,$G$6,'EE Inputs'!$D$9:$D$32,$C$4,'EE Inputs'!$E$9:$E$32,$B249),0)))</f>
        <v>13</v>
      </c>
      <c r="R249" s="65">
        <f ca="1">IF($C$4=Lookups!$D$40,IF(SUM(INDIRECT("'Yr1'!"&amp;ADDRESS(ROW(R249),COLUMN(R249))),INDIRECT("'Yr2'!"&amp;ADDRESS(ROW(R249),COLUMN(R249))),INDIRECT("'Yr3'!"&amp;ADDRESS(ROW(R249),COLUMN(R249))))&gt;0,"3 Yr. total",0),
IF(R$7&lt;$C$4,0,IF(R$8&lt;=SUMIFS('EE Inputs'!$V$9:$V$32,'EE Inputs'!$C$9:$C$32,$G$6,'EE Inputs'!$D$9:$D$32,$C$4,'EE Inputs'!$E$9:$E$32,$B249),SUMIFS('EE Inputs'!$V$9:$V$32,'EE Inputs'!$C$9:$C$32,$G$6,'EE Inputs'!$D$9:$D$32,$C$4,'EE Inputs'!$E$9:$E$32,$B249),0)))</f>
        <v>13</v>
      </c>
      <c r="S249" s="65">
        <f ca="1">IF($C$4=Lookups!$D$40,IF(SUM(INDIRECT("'Yr1'!"&amp;ADDRESS(ROW(S249),COLUMN(S249))),INDIRECT("'Yr2'!"&amp;ADDRESS(ROW(S249),COLUMN(S249))),INDIRECT("'Yr3'!"&amp;ADDRESS(ROW(S249),COLUMN(S249))))&gt;0,"3 Yr. total",0),
IF(S$7&lt;$C$4,0,IF(S$8&lt;=SUMIFS('EE Inputs'!$V$9:$V$32,'EE Inputs'!$C$9:$C$32,$G$6,'EE Inputs'!$D$9:$D$32,$C$4,'EE Inputs'!$E$9:$E$32,$B249),SUMIFS('EE Inputs'!$V$9:$V$32,'EE Inputs'!$C$9:$C$32,$G$6,'EE Inputs'!$D$9:$D$32,$C$4,'EE Inputs'!$E$9:$E$32,$B249),0)))</f>
        <v>13</v>
      </c>
      <c r="T249" s="65">
        <f ca="1">IF($C$4=Lookups!$D$40,IF(SUM(INDIRECT("'Yr1'!"&amp;ADDRESS(ROW(T249),COLUMN(T249))),INDIRECT("'Yr2'!"&amp;ADDRESS(ROW(T249),COLUMN(T249))),INDIRECT("'Yr3'!"&amp;ADDRESS(ROW(T249),COLUMN(T249))))&gt;0,"3 Yr. total",0),
IF(T$7&lt;$C$4,0,IF(T$8&lt;=SUMIFS('EE Inputs'!$V$9:$V$32,'EE Inputs'!$C$9:$C$32,$G$6,'EE Inputs'!$D$9:$D$32,$C$4,'EE Inputs'!$E$9:$E$32,$B249),SUMIFS('EE Inputs'!$V$9:$V$32,'EE Inputs'!$C$9:$C$32,$G$6,'EE Inputs'!$D$9:$D$32,$C$4,'EE Inputs'!$E$9:$E$32,$B249),0)))</f>
        <v>0</v>
      </c>
      <c r="U249" s="65">
        <f ca="1">IF($C$4=Lookups!$D$40,IF(SUM(INDIRECT("'Yr1'!"&amp;ADDRESS(ROW(U249),COLUMN(U249))),INDIRECT("'Yr2'!"&amp;ADDRESS(ROW(U249),COLUMN(U249))),INDIRECT("'Yr3'!"&amp;ADDRESS(ROW(U249),COLUMN(U249))))&gt;0,"3 Yr. total",0),
IF(U$7&lt;$C$4,0,IF(U$8&lt;=SUMIFS('EE Inputs'!$V$9:$V$32,'EE Inputs'!$C$9:$C$32,$G$6,'EE Inputs'!$D$9:$D$32,$C$4,'EE Inputs'!$E$9:$E$32,$B249),SUMIFS('EE Inputs'!$V$9:$V$32,'EE Inputs'!$C$9:$C$32,$G$6,'EE Inputs'!$D$9:$D$32,$C$4,'EE Inputs'!$E$9:$E$32,$B249),0)))</f>
        <v>0</v>
      </c>
      <c r="V249" s="65">
        <f ca="1">IF($C$4=Lookups!$D$40,IF(SUM(INDIRECT("'Yr1'!"&amp;ADDRESS(ROW(V249),COLUMN(V249))),INDIRECT("'Yr2'!"&amp;ADDRESS(ROW(V249),COLUMN(V249))),INDIRECT("'Yr3'!"&amp;ADDRESS(ROW(V249),COLUMN(V249))))&gt;0,"3 Yr. total",0),
IF(V$7&lt;$C$4,0,IF(V$8&lt;=SUMIFS('EE Inputs'!$V$9:$V$32,'EE Inputs'!$C$9:$C$32,$G$6,'EE Inputs'!$D$9:$D$32,$C$4,'EE Inputs'!$E$9:$E$32,$B249),SUMIFS('EE Inputs'!$V$9:$V$32,'EE Inputs'!$C$9:$C$32,$G$6,'EE Inputs'!$D$9:$D$32,$C$4,'EE Inputs'!$E$9:$E$32,$B249),0)))</f>
        <v>0</v>
      </c>
      <c r="W249" s="65">
        <f ca="1">IF($C$4=Lookups!$D$40,IF(SUM(INDIRECT("'Yr1'!"&amp;ADDRESS(ROW(W249),COLUMN(W249))),INDIRECT("'Yr2'!"&amp;ADDRESS(ROW(W249),COLUMN(W249))),INDIRECT("'Yr3'!"&amp;ADDRESS(ROW(W249),COLUMN(W249))))&gt;0,"3 Yr. total",0),
IF(W$7&lt;$C$4,0,IF(W$8&lt;=SUMIFS('EE Inputs'!$V$9:$V$32,'EE Inputs'!$C$9:$C$32,$G$6,'EE Inputs'!$D$9:$D$32,$C$4,'EE Inputs'!$E$9:$E$32,$B249),SUMIFS('EE Inputs'!$V$9:$V$32,'EE Inputs'!$C$9:$C$32,$G$6,'EE Inputs'!$D$9:$D$32,$C$4,'EE Inputs'!$E$9:$E$32,$B249),0)))</f>
        <v>0</v>
      </c>
      <c r="X249" s="65">
        <f ca="1">IF($C$4=Lookups!$D$40,IF(SUM(INDIRECT("'Yr1'!"&amp;ADDRESS(ROW(X249),COLUMN(X249))),INDIRECT("'Yr2'!"&amp;ADDRESS(ROW(X249),COLUMN(X249))),INDIRECT("'Yr3'!"&amp;ADDRESS(ROW(X249),COLUMN(X249))))&gt;0,"3 Yr. total",0),
IF(X$7&lt;$C$4,0,IF(X$8&lt;=SUMIFS('EE Inputs'!$V$9:$V$32,'EE Inputs'!$C$9:$C$32,$G$6,'EE Inputs'!$D$9:$D$32,$C$4,'EE Inputs'!$E$9:$E$32,$B249),SUMIFS('EE Inputs'!$V$9:$V$32,'EE Inputs'!$C$9:$C$32,$G$6,'EE Inputs'!$D$9:$D$32,$C$4,'EE Inputs'!$E$9:$E$32,$B249),0)))</f>
        <v>0</v>
      </c>
      <c r="Y249" s="65">
        <f ca="1">IF($C$4=Lookups!$D$40,IF(SUM(INDIRECT("'Yr1'!"&amp;ADDRESS(ROW(Y249),COLUMN(Y249))),INDIRECT("'Yr2'!"&amp;ADDRESS(ROW(Y249),COLUMN(Y249))),INDIRECT("'Yr3'!"&amp;ADDRESS(ROW(Y249),COLUMN(Y249))))&gt;0,"3 Yr. total",0),
IF(Y$7&lt;$C$4,0,IF(Y$8&lt;=SUMIFS('EE Inputs'!$V$9:$V$32,'EE Inputs'!$C$9:$C$32,$G$6,'EE Inputs'!$D$9:$D$32,$C$4,'EE Inputs'!$E$9:$E$32,$B249),SUMIFS('EE Inputs'!$V$9:$V$32,'EE Inputs'!$C$9:$C$32,$G$6,'EE Inputs'!$D$9:$D$32,$C$4,'EE Inputs'!$E$9:$E$32,$B249),0)))</f>
        <v>0</v>
      </c>
      <c r="Z249" s="65">
        <f ca="1">IF($C$4=Lookups!$D$40,IF(SUM(INDIRECT("'Yr1'!"&amp;ADDRESS(ROW(Z249),COLUMN(Z249))),INDIRECT("'Yr2'!"&amp;ADDRESS(ROW(Z249),COLUMN(Z249))),INDIRECT("'Yr3'!"&amp;ADDRESS(ROW(Z249),COLUMN(Z249))))&gt;0,"3 Yr. total",0),
IF(Z$7&lt;$C$4,0,IF(Z$8&lt;=SUMIFS('EE Inputs'!$V$9:$V$32,'EE Inputs'!$C$9:$C$32,$G$6,'EE Inputs'!$D$9:$D$32,$C$4,'EE Inputs'!$E$9:$E$32,$B249),SUMIFS('EE Inputs'!$V$9:$V$32,'EE Inputs'!$C$9:$C$32,$G$6,'EE Inputs'!$D$9:$D$32,$C$4,'EE Inputs'!$E$9:$E$32,$B249),0)))</f>
        <v>0</v>
      </c>
      <c r="AA249" s="65">
        <f ca="1">IF($C$4=Lookups!$D$40,IF(SUM(INDIRECT("'Yr1'!"&amp;ADDRESS(ROW(AA249),COLUMN(AA249))),INDIRECT("'Yr2'!"&amp;ADDRESS(ROW(AA249),COLUMN(AA249))),INDIRECT("'Yr3'!"&amp;ADDRESS(ROW(AA249),COLUMN(AA249))))&gt;0,"3 Yr. total",0),
IF(AA$7&lt;$C$4,0,IF(AA$8&lt;=SUMIFS('EE Inputs'!$V$9:$V$32,'EE Inputs'!$C$9:$C$32,$G$6,'EE Inputs'!$D$9:$D$32,$C$4,'EE Inputs'!$E$9:$E$32,$B249),SUMIFS('EE Inputs'!$V$9:$V$32,'EE Inputs'!$C$9:$C$32,$G$6,'EE Inputs'!$D$9:$D$32,$C$4,'EE Inputs'!$E$9:$E$32,$B249),0)))</f>
        <v>0</v>
      </c>
      <c r="AB249" s="65">
        <f ca="1">IF($C$4=Lookups!$D$40,IF(SUM(INDIRECT("'Yr1'!"&amp;ADDRESS(ROW(AB249),COLUMN(AB249))),INDIRECT("'Yr2'!"&amp;ADDRESS(ROW(AB249),COLUMN(AB249))),INDIRECT("'Yr3'!"&amp;ADDRESS(ROW(AB249),COLUMN(AB249))))&gt;0,"3 Yr. total",0),
IF(AB$7&lt;$C$4,0,IF(AB$8&lt;=SUMIFS('EE Inputs'!$V$9:$V$32,'EE Inputs'!$C$9:$C$32,$G$6,'EE Inputs'!$D$9:$D$32,$C$4,'EE Inputs'!$E$9:$E$32,$B249),SUMIFS('EE Inputs'!$V$9:$V$32,'EE Inputs'!$C$9:$C$32,$G$6,'EE Inputs'!$D$9:$D$32,$C$4,'EE Inputs'!$E$9:$E$32,$B249),0)))</f>
        <v>0</v>
      </c>
      <c r="AC249" s="65">
        <f ca="1">IF($C$4=Lookups!$D$40,IF(SUM(INDIRECT("'Yr1'!"&amp;ADDRESS(ROW(AC249),COLUMN(AC249))),INDIRECT("'Yr2'!"&amp;ADDRESS(ROW(AC249),COLUMN(AC249))),INDIRECT("'Yr3'!"&amp;ADDRESS(ROW(AC249),COLUMN(AC249))))&gt;0,"3 Yr. total",0),
IF(AC$7&lt;$C$4,0,IF(AC$8&lt;=SUMIFS('EE Inputs'!$V$9:$V$32,'EE Inputs'!$C$9:$C$32,$G$6,'EE Inputs'!$D$9:$D$32,$C$4,'EE Inputs'!$E$9:$E$32,$B249),SUMIFS('EE Inputs'!$V$9:$V$32,'EE Inputs'!$C$9:$C$32,$G$6,'EE Inputs'!$D$9:$D$32,$C$4,'EE Inputs'!$E$9:$E$32,$B249),0)))</f>
        <v>0</v>
      </c>
      <c r="AD249" s="65">
        <f ca="1">IF($C$4=Lookups!$D$40,IF(SUM(INDIRECT("'Yr1'!"&amp;ADDRESS(ROW(AD249),COLUMN(AD249))),INDIRECT("'Yr2'!"&amp;ADDRESS(ROW(AD249),COLUMN(AD249))),INDIRECT("'Yr3'!"&amp;ADDRESS(ROW(AD249),COLUMN(AD249))))&gt;0,"3 Yr. total",0),
IF(AD$7&lt;$C$4,0,IF(AD$8&lt;=SUMIFS('EE Inputs'!$V$9:$V$32,'EE Inputs'!$C$9:$C$32,$G$6,'EE Inputs'!$D$9:$D$32,$C$4,'EE Inputs'!$E$9:$E$32,$B249),SUMIFS('EE Inputs'!$V$9:$V$32,'EE Inputs'!$C$9:$C$32,$G$6,'EE Inputs'!$D$9:$D$32,$C$4,'EE Inputs'!$E$9:$E$32,$B249),0)))</f>
        <v>0</v>
      </c>
      <c r="AE249" s="65">
        <f ca="1">IF($C$4=Lookups!$D$40,IF(SUM(INDIRECT("'Yr1'!"&amp;ADDRESS(ROW(AE249),COLUMN(AE249))),INDIRECT("'Yr2'!"&amp;ADDRESS(ROW(AE249),COLUMN(AE249))),INDIRECT("'Yr3'!"&amp;ADDRESS(ROW(AE249),COLUMN(AE249))))&gt;0,"3 Yr. total",0),
IF(AE$7&lt;$C$4,0,IF(AE$8&lt;=SUMIFS('EE Inputs'!$V$9:$V$32,'EE Inputs'!$C$9:$C$32,$G$6,'EE Inputs'!$D$9:$D$32,$C$4,'EE Inputs'!$E$9:$E$32,$B249),SUMIFS('EE Inputs'!$V$9:$V$32,'EE Inputs'!$C$9:$C$32,$G$6,'EE Inputs'!$D$9:$D$32,$C$4,'EE Inputs'!$E$9:$E$32,$B249),0)))</f>
        <v>0</v>
      </c>
      <c r="AF249" s="65">
        <f ca="1">IF($C$4=Lookups!$D$40,IF(SUM(INDIRECT("'Yr1'!"&amp;ADDRESS(ROW(AF249),COLUMN(AF249))),INDIRECT("'Yr2'!"&amp;ADDRESS(ROW(AF249),COLUMN(AF249))),INDIRECT("'Yr3'!"&amp;ADDRESS(ROW(AF249),COLUMN(AF249))))&gt;0,"3 Yr. total",0),
IF(AF$7&lt;$C$4,0,IF(AF$8&lt;=SUMIFS('EE Inputs'!$V$9:$V$32,'EE Inputs'!$C$9:$C$32,$G$6,'EE Inputs'!$D$9:$D$32,$C$4,'EE Inputs'!$E$9:$E$32,$B249),SUMIFS('EE Inputs'!$V$9:$V$32,'EE Inputs'!$C$9:$C$32,$G$6,'EE Inputs'!$D$9:$D$32,$C$4,'EE Inputs'!$E$9:$E$32,$B249),0)))</f>
        <v>0</v>
      </c>
      <c r="AG249" s="65">
        <f ca="1">IF($C$4=Lookups!$D$40,IF(SUM(INDIRECT("'Yr1'!"&amp;ADDRESS(ROW(AG249),COLUMN(AG249))),INDIRECT("'Yr2'!"&amp;ADDRESS(ROW(AG249),COLUMN(AG249))),INDIRECT("'Yr3'!"&amp;ADDRESS(ROW(AG249),COLUMN(AG249))))&gt;0,"3 Yr. total",0),
IF(AG$7&lt;$C$4,0,IF(AG$8&lt;=SUMIFS('EE Inputs'!$V$9:$V$32,'EE Inputs'!$C$9:$C$32,$G$6,'EE Inputs'!$D$9:$D$32,$C$4,'EE Inputs'!$E$9:$E$32,$B249),SUMIFS('EE Inputs'!$V$9:$V$32,'EE Inputs'!$C$9:$C$32,$G$6,'EE Inputs'!$D$9:$D$32,$C$4,'EE Inputs'!$E$9:$E$32,$B249),0)))</f>
        <v>0</v>
      </c>
      <c r="AH249" s="65"/>
      <c r="AI249" s="65"/>
      <c r="AJ249" s="65"/>
      <c r="AM249" s="72">
        <f ca="1">IF($C$4=Lookups!$D$40,IF(SUM(INDIRECT("'Yr1'!"&amp;ADDRESS(ROW(AM249),COLUMN(AM249))),INDIRECT("'Yr2'!"&amp;ADDRESS(ROW(AM249),COLUMN(AM249))),INDIRECT("'Yr3'!"&amp;ADDRESS(ROW(AM249),COLUMN(AM249))))&gt;0,"3 Yr. total",0),
IF(AM$7&lt;$C$4,0,IF(AM$8&lt;=SUMIFS('EE Inputs'!$V$9:$V$32,'EE Inputs'!$C$9:$C$32,$AM$6,'EE Inputs'!$D$9:$D$32,$C$4,'EE Inputs'!$E$9:$E$32,$B249),SUMIFS('EE Inputs'!$V$9:$V$32,'EE Inputs'!$C$9:$C$32,$AM$6,'EE Inputs'!$D$9:$D$32,$C$4,'EE Inputs'!$E$9:$E$32,$B249),0)))</f>
        <v>13</v>
      </c>
      <c r="AN249" s="72">
        <f ca="1">IF($C$4=Lookups!$D$40,IF(SUM(INDIRECT("'Yr1'!"&amp;ADDRESS(ROW(AN249),COLUMN(AN249))),INDIRECT("'Yr2'!"&amp;ADDRESS(ROW(AN249),COLUMN(AN249))),INDIRECT("'Yr3'!"&amp;ADDRESS(ROW(AN249),COLUMN(AN249))))&gt;0,"3 Yr. total",0),
IF(AN$7&lt;$C$4,0,IF(AN$8&lt;=SUMIFS('EE Inputs'!$V$9:$V$32,'EE Inputs'!$C$9:$C$32,$AM$6,'EE Inputs'!$D$9:$D$32,$C$4,'EE Inputs'!$E$9:$E$32,$B249),SUMIFS('EE Inputs'!$V$9:$V$32,'EE Inputs'!$C$9:$C$32,$AM$6,'EE Inputs'!$D$9:$D$32,$C$4,'EE Inputs'!$E$9:$E$32,$B249),0)))</f>
        <v>13</v>
      </c>
      <c r="AO249" s="72">
        <f ca="1">IF($C$4=Lookups!$D$40,IF(SUM(INDIRECT("'Yr1'!"&amp;ADDRESS(ROW(AO249),COLUMN(AO249))),INDIRECT("'Yr2'!"&amp;ADDRESS(ROW(AO249),COLUMN(AO249))),INDIRECT("'Yr3'!"&amp;ADDRESS(ROW(AO249),COLUMN(AO249))))&gt;0,"3 Yr. total",0),
IF(AO$7&lt;$C$4,0,IF(AO$8&lt;=SUMIFS('EE Inputs'!$V$9:$V$32,'EE Inputs'!$C$9:$C$32,$AM$6,'EE Inputs'!$D$9:$D$32,$C$4,'EE Inputs'!$E$9:$E$32,$B249),SUMIFS('EE Inputs'!$V$9:$V$32,'EE Inputs'!$C$9:$C$32,$AM$6,'EE Inputs'!$D$9:$D$32,$C$4,'EE Inputs'!$E$9:$E$32,$B249),0)))</f>
        <v>13</v>
      </c>
      <c r="AP249" s="72">
        <f ca="1">IF($C$4=Lookups!$D$40,IF(SUM(INDIRECT("'Yr1'!"&amp;ADDRESS(ROW(AP249),COLUMN(AP249))),INDIRECT("'Yr2'!"&amp;ADDRESS(ROW(AP249),COLUMN(AP249))),INDIRECT("'Yr3'!"&amp;ADDRESS(ROW(AP249),COLUMN(AP249))))&gt;0,"3 Yr. total",0),
IF(AP$7&lt;$C$4,0,IF(AP$8&lt;=SUMIFS('EE Inputs'!$V$9:$V$32,'EE Inputs'!$C$9:$C$32,$AM$6,'EE Inputs'!$D$9:$D$32,$C$4,'EE Inputs'!$E$9:$E$32,$B249),SUMIFS('EE Inputs'!$V$9:$V$32,'EE Inputs'!$C$9:$C$32,$AM$6,'EE Inputs'!$D$9:$D$32,$C$4,'EE Inputs'!$E$9:$E$32,$B249),0)))</f>
        <v>13</v>
      </c>
      <c r="AQ249" s="72">
        <f ca="1">IF($C$4=Lookups!$D$40,IF(SUM(INDIRECT("'Yr1'!"&amp;ADDRESS(ROW(AQ249),COLUMN(AQ249))),INDIRECT("'Yr2'!"&amp;ADDRESS(ROW(AQ249),COLUMN(AQ249))),INDIRECT("'Yr3'!"&amp;ADDRESS(ROW(AQ249),COLUMN(AQ249))))&gt;0,"3 Yr. total",0),
IF(AQ$7&lt;$C$4,0,IF(AQ$8&lt;=SUMIFS('EE Inputs'!$V$9:$V$32,'EE Inputs'!$C$9:$C$32,$AM$6,'EE Inputs'!$D$9:$D$32,$C$4,'EE Inputs'!$E$9:$E$32,$B249),SUMIFS('EE Inputs'!$V$9:$V$32,'EE Inputs'!$C$9:$C$32,$AM$6,'EE Inputs'!$D$9:$D$32,$C$4,'EE Inputs'!$E$9:$E$32,$B249),0)))</f>
        <v>13</v>
      </c>
      <c r="AR249" s="72">
        <f ca="1">IF($C$4=Lookups!$D$40,IF(SUM(INDIRECT("'Yr1'!"&amp;ADDRESS(ROW(AR249),COLUMN(AR249))),INDIRECT("'Yr2'!"&amp;ADDRESS(ROW(AR249),COLUMN(AR249))),INDIRECT("'Yr3'!"&amp;ADDRESS(ROW(AR249),COLUMN(AR249))))&gt;0,"3 Yr. total",0),
IF(AR$7&lt;$C$4,0,IF(AR$8&lt;=SUMIFS('EE Inputs'!$V$9:$V$32,'EE Inputs'!$C$9:$C$32,$AM$6,'EE Inputs'!$D$9:$D$32,$C$4,'EE Inputs'!$E$9:$E$32,$B249),SUMIFS('EE Inputs'!$V$9:$V$32,'EE Inputs'!$C$9:$C$32,$AM$6,'EE Inputs'!$D$9:$D$32,$C$4,'EE Inputs'!$E$9:$E$32,$B249),0)))</f>
        <v>13</v>
      </c>
      <c r="AS249" s="72">
        <f ca="1">IF($C$4=Lookups!$D$40,IF(SUM(INDIRECT("'Yr1'!"&amp;ADDRESS(ROW(AS249),COLUMN(AS249))),INDIRECT("'Yr2'!"&amp;ADDRESS(ROW(AS249),COLUMN(AS249))),INDIRECT("'Yr3'!"&amp;ADDRESS(ROW(AS249),COLUMN(AS249))))&gt;0,"3 Yr. total",0),
IF(AS$7&lt;$C$4,0,IF(AS$8&lt;=SUMIFS('EE Inputs'!$V$9:$V$32,'EE Inputs'!$C$9:$C$32,$AM$6,'EE Inputs'!$D$9:$D$32,$C$4,'EE Inputs'!$E$9:$E$32,$B249),SUMIFS('EE Inputs'!$V$9:$V$32,'EE Inputs'!$C$9:$C$32,$AM$6,'EE Inputs'!$D$9:$D$32,$C$4,'EE Inputs'!$E$9:$E$32,$B249),0)))</f>
        <v>13</v>
      </c>
      <c r="AT249" s="72">
        <f ca="1">IF($C$4=Lookups!$D$40,IF(SUM(INDIRECT("'Yr1'!"&amp;ADDRESS(ROW(AT249),COLUMN(AT249))),INDIRECT("'Yr2'!"&amp;ADDRESS(ROW(AT249),COLUMN(AT249))),INDIRECT("'Yr3'!"&amp;ADDRESS(ROW(AT249),COLUMN(AT249))))&gt;0,"3 Yr. total",0),
IF(AT$7&lt;$C$4,0,IF(AT$8&lt;=SUMIFS('EE Inputs'!$V$9:$V$32,'EE Inputs'!$C$9:$C$32,$AM$6,'EE Inputs'!$D$9:$D$32,$C$4,'EE Inputs'!$E$9:$E$32,$B249),SUMIFS('EE Inputs'!$V$9:$V$32,'EE Inputs'!$C$9:$C$32,$AM$6,'EE Inputs'!$D$9:$D$32,$C$4,'EE Inputs'!$E$9:$E$32,$B249),0)))</f>
        <v>13</v>
      </c>
      <c r="AU249" s="72">
        <f ca="1">IF($C$4=Lookups!$D$40,IF(SUM(INDIRECT("'Yr1'!"&amp;ADDRESS(ROW(AU249),COLUMN(AU249))),INDIRECT("'Yr2'!"&amp;ADDRESS(ROW(AU249),COLUMN(AU249))),INDIRECT("'Yr3'!"&amp;ADDRESS(ROW(AU249),COLUMN(AU249))))&gt;0,"3 Yr. total",0),
IF(AU$7&lt;$C$4,0,IF(AU$8&lt;=SUMIFS('EE Inputs'!$V$9:$V$32,'EE Inputs'!$C$9:$C$32,$AM$6,'EE Inputs'!$D$9:$D$32,$C$4,'EE Inputs'!$E$9:$E$32,$B249),SUMIFS('EE Inputs'!$V$9:$V$32,'EE Inputs'!$C$9:$C$32,$AM$6,'EE Inputs'!$D$9:$D$32,$C$4,'EE Inputs'!$E$9:$E$32,$B249),0)))</f>
        <v>13</v>
      </c>
      <c r="AV249" s="72">
        <f ca="1">IF($C$4=Lookups!$D$40,IF(SUM(INDIRECT("'Yr1'!"&amp;ADDRESS(ROW(AV249),COLUMN(AV249))),INDIRECT("'Yr2'!"&amp;ADDRESS(ROW(AV249),COLUMN(AV249))),INDIRECT("'Yr3'!"&amp;ADDRESS(ROW(AV249),COLUMN(AV249))))&gt;0,"3 Yr. total",0),
IF(AV$7&lt;$C$4,0,IF(AV$8&lt;=SUMIFS('EE Inputs'!$V$9:$V$32,'EE Inputs'!$C$9:$C$32,$AM$6,'EE Inputs'!$D$9:$D$32,$C$4,'EE Inputs'!$E$9:$E$32,$B249),SUMIFS('EE Inputs'!$V$9:$V$32,'EE Inputs'!$C$9:$C$32,$AM$6,'EE Inputs'!$D$9:$D$32,$C$4,'EE Inputs'!$E$9:$E$32,$B249),0)))</f>
        <v>13</v>
      </c>
      <c r="AW249" s="72">
        <f ca="1">IF($C$4=Lookups!$D$40,IF(SUM(INDIRECT("'Yr1'!"&amp;ADDRESS(ROW(AW249),COLUMN(AW249))),INDIRECT("'Yr2'!"&amp;ADDRESS(ROW(AW249),COLUMN(AW249))),INDIRECT("'Yr3'!"&amp;ADDRESS(ROW(AW249),COLUMN(AW249))))&gt;0,"3 Yr. total",0),
IF(AW$7&lt;$C$4,0,IF(AW$8&lt;=SUMIFS('EE Inputs'!$V$9:$V$32,'EE Inputs'!$C$9:$C$32,$AM$6,'EE Inputs'!$D$9:$D$32,$C$4,'EE Inputs'!$E$9:$E$32,$B249),SUMIFS('EE Inputs'!$V$9:$V$32,'EE Inputs'!$C$9:$C$32,$AM$6,'EE Inputs'!$D$9:$D$32,$C$4,'EE Inputs'!$E$9:$E$32,$B249),0)))</f>
        <v>13</v>
      </c>
      <c r="AX249" s="72">
        <f ca="1">IF($C$4=Lookups!$D$40,IF(SUM(INDIRECT("'Yr1'!"&amp;ADDRESS(ROW(AX249),COLUMN(AX249))),INDIRECT("'Yr2'!"&amp;ADDRESS(ROW(AX249),COLUMN(AX249))),INDIRECT("'Yr3'!"&amp;ADDRESS(ROW(AX249),COLUMN(AX249))))&gt;0,"3 Yr. total",0),
IF(AX$7&lt;$C$4,0,IF(AX$8&lt;=SUMIFS('EE Inputs'!$V$9:$V$32,'EE Inputs'!$C$9:$C$32,$AM$6,'EE Inputs'!$D$9:$D$32,$C$4,'EE Inputs'!$E$9:$E$32,$B249),SUMIFS('EE Inputs'!$V$9:$V$32,'EE Inputs'!$C$9:$C$32,$AM$6,'EE Inputs'!$D$9:$D$32,$C$4,'EE Inputs'!$E$9:$E$32,$B249),0)))</f>
        <v>13</v>
      </c>
      <c r="AY249" s="72">
        <f ca="1">IF($C$4=Lookups!$D$40,IF(SUM(INDIRECT("'Yr1'!"&amp;ADDRESS(ROW(AY249),COLUMN(AY249))),INDIRECT("'Yr2'!"&amp;ADDRESS(ROW(AY249),COLUMN(AY249))),INDIRECT("'Yr3'!"&amp;ADDRESS(ROW(AY249),COLUMN(AY249))))&gt;0,"3 Yr. total",0),
IF(AY$7&lt;$C$4,0,IF(AY$8&lt;=SUMIFS('EE Inputs'!$V$9:$V$32,'EE Inputs'!$C$9:$C$32,$AM$6,'EE Inputs'!$D$9:$D$32,$C$4,'EE Inputs'!$E$9:$E$32,$B249),SUMIFS('EE Inputs'!$V$9:$V$32,'EE Inputs'!$C$9:$C$32,$AM$6,'EE Inputs'!$D$9:$D$32,$C$4,'EE Inputs'!$E$9:$E$32,$B249),0)))</f>
        <v>13</v>
      </c>
      <c r="AZ249" s="72">
        <f ca="1">IF($C$4=Lookups!$D$40,IF(SUM(INDIRECT("'Yr1'!"&amp;ADDRESS(ROW(AZ249),COLUMN(AZ249))),INDIRECT("'Yr2'!"&amp;ADDRESS(ROW(AZ249),COLUMN(AZ249))),INDIRECT("'Yr3'!"&amp;ADDRESS(ROW(AZ249),COLUMN(AZ249))))&gt;0,"3 Yr. total",0),
IF(AZ$7&lt;$C$4,0,IF(AZ$8&lt;=SUMIFS('EE Inputs'!$V$9:$V$32,'EE Inputs'!$C$9:$C$32,$AM$6,'EE Inputs'!$D$9:$D$32,$C$4,'EE Inputs'!$E$9:$E$32,$B249),SUMIFS('EE Inputs'!$V$9:$V$32,'EE Inputs'!$C$9:$C$32,$AM$6,'EE Inputs'!$D$9:$D$32,$C$4,'EE Inputs'!$E$9:$E$32,$B249),0)))</f>
        <v>0</v>
      </c>
      <c r="BA249" s="72">
        <f ca="1">IF($C$4=Lookups!$D$40,IF(SUM(INDIRECT("'Yr1'!"&amp;ADDRESS(ROW(BA249),COLUMN(BA249))),INDIRECT("'Yr2'!"&amp;ADDRESS(ROW(BA249),COLUMN(BA249))),INDIRECT("'Yr3'!"&amp;ADDRESS(ROW(BA249),COLUMN(BA249))))&gt;0,"3 Yr. total",0),
IF(BA$7&lt;$C$4,0,IF(BA$8&lt;=SUMIFS('EE Inputs'!$V$9:$V$32,'EE Inputs'!$C$9:$C$32,$AM$6,'EE Inputs'!$D$9:$D$32,$C$4,'EE Inputs'!$E$9:$E$32,$B249),SUMIFS('EE Inputs'!$V$9:$V$32,'EE Inputs'!$C$9:$C$32,$AM$6,'EE Inputs'!$D$9:$D$32,$C$4,'EE Inputs'!$E$9:$E$32,$B249),0)))</f>
        <v>0</v>
      </c>
      <c r="BB249" s="72">
        <f ca="1">IF($C$4=Lookups!$D$40,IF(SUM(INDIRECT("'Yr1'!"&amp;ADDRESS(ROW(BB249),COLUMN(BB249))),INDIRECT("'Yr2'!"&amp;ADDRESS(ROW(BB249),COLUMN(BB249))),INDIRECT("'Yr3'!"&amp;ADDRESS(ROW(BB249),COLUMN(BB249))))&gt;0,"3 Yr. total",0),
IF(BB$7&lt;$C$4,0,IF(BB$8&lt;=SUMIFS('EE Inputs'!$V$9:$V$32,'EE Inputs'!$C$9:$C$32,$AM$6,'EE Inputs'!$D$9:$D$32,$C$4,'EE Inputs'!$E$9:$E$32,$B249),SUMIFS('EE Inputs'!$V$9:$V$32,'EE Inputs'!$C$9:$C$32,$AM$6,'EE Inputs'!$D$9:$D$32,$C$4,'EE Inputs'!$E$9:$E$32,$B249),0)))</f>
        <v>0</v>
      </c>
      <c r="BC249" s="72">
        <f ca="1">IF($C$4=Lookups!$D$40,IF(SUM(INDIRECT("'Yr1'!"&amp;ADDRESS(ROW(BC249),COLUMN(BC249))),INDIRECT("'Yr2'!"&amp;ADDRESS(ROW(BC249),COLUMN(BC249))),INDIRECT("'Yr3'!"&amp;ADDRESS(ROW(BC249),COLUMN(BC249))))&gt;0,"3 Yr. total",0),
IF(BC$7&lt;$C$4,0,IF(BC$8&lt;=SUMIFS('EE Inputs'!$V$9:$V$32,'EE Inputs'!$C$9:$C$32,$AM$6,'EE Inputs'!$D$9:$D$32,$C$4,'EE Inputs'!$E$9:$E$32,$B249),SUMIFS('EE Inputs'!$V$9:$V$32,'EE Inputs'!$C$9:$C$32,$AM$6,'EE Inputs'!$D$9:$D$32,$C$4,'EE Inputs'!$E$9:$E$32,$B249),0)))</f>
        <v>0</v>
      </c>
      <c r="BD249" s="72">
        <f ca="1">IF($C$4=Lookups!$D$40,IF(SUM(INDIRECT("'Yr1'!"&amp;ADDRESS(ROW(BD249),COLUMN(BD249))),INDIRECT("'Yr2'!"&amp;ADDRESS(ROW(BD249),COLUMN(BD249))),INDIRECT("'Yr3'!"&amp;ADDRESS(ROW(BD249),COLUMN(BD249))))&gt;0,"3 Yr. total",0),
IF(BD$7&lt;$C$4,0,IF(BD$8&lt;=SUMIFS('EE Inputs'!$V$9:$V$32,'EE Inputs'!$C$9:$C$32,$AM$6,'EE Inputs'!$D$9:$D$32,$C$4,'EE Inputs'!$E$9:$E$32,$B249),SUMIFS('EE Inputs'!$V$9:$V$32,'EE Inputs'!$C$9:$C$32,$AM$6,'EE Inputs'!$D$9:$D$32,$C$4,'EE Inputs'!$E$9:$E$32,$B249),0)))</f>
        <v>0</v>
      </c>
      <c r="BE249" s="72">
        <f ca="1">IF($C$4=Lookups!$D$40,IF(SUM(INDIRECT("'Yr1'!"&amp;ADDRESS(ROW(BE249),COLUMN(BE249))),INDIRECT("'Yr2'!"&amp;ADDRESS(ROW(BE249),COLUMN(BE249))),INDIRECT("'Yr3'!"&amp;ADDRESS(ROW(BE249),COLUMN(BE249))))&gt;0,"3 Yr. total",0),
IF(BE$7&lt;$C$4,0,IF(BE$8&lt;=SUMIFS('EE Inputs'!$V$9:$V$32,'EE Inputs'!$C$9:$C$32,$AM$6,'EE Inputs'!$D$9:$D$32,$C$4,'EE Inputs'!$E$9:$E$32,$B249),SUMIFS('EE Inputs'!$V$9:$V$32,'EE Inputs'!$C$9:$C$32,$AM$6,'EE Inputs'!$D$9:$D$32,$C$4,'EE Inputs'!$E$9:$E$32,$B249),0)))</f>
        <v>0</v>
      </c>
      <c r="BF249" s="72">
        <f ca="1">IF($C$4=Lookups!$D$40,IF(SUM(INDIRECT("'Yr1'!"&amp;ADDRESS(ROW(BF249),COLUMN(BF249))),INDIRECT("'Yr2'!"&amp;ADDRESS(ROW(BF249),COLUMN(BF249))),INDIRECT("'Yr3'!"&amp;ADDRESS(ROW(BF249),COLUMN(BF249))))&gt;0,"3 Yr. total",0),
IF(BF$7&lt;$C$4,0,IF(BF$8&lt;=SUMIFS('EE Inputs'!$V$9:$V$32,'EE Inputs'!$C$9:$C$32,$AM$6,'EE Inputs'!$D$9:$D$32,$C$4,'EE Inputs'!$E$9:$E$32,$B249),SUMIFS('EE Inputs'!$V$9:$V$32,'EE Inputs'!$C$9:$C$32,$AM$6,'EE Inputs'!$D$9:$D$32,$C$4,'EE Inputs'!$E$9:$E$32,$B249),0)))</f>
        <v>0</v>
      </c>
      <c r="BG249" s="72">
        <f ca="1">IF($C$4=Lookups!$D$40,IF(SUM(INDIRECT("'Yr1'!"&amp;ADDRESS(ROW(BG249),COLUMN(BG249))),INDIRECT("'Yr2'!"&amp;ADDRESS(ROW(BG249),COLUMN(BG249))),INDIRECT("'Yr3'!"&amp;ADDRESS(ROW(BG249),COLUMN(BG249))))&gt;0,"3 Yr. total",0),
IF(BG$7&lt;$C$4,0,IF(BG$8&lt;=SUMIFS('EE Inputs'!$V$9:$V$32,'EE Inputs'!$C$9:$C$32,$AM$6,'EE Inputs'!$D$9:$D$32,$C$4,'EE Inputs'!$E$9:$E$32,$B249),SUMIFS('EE Inputs'!$V$9:$V$32,'EE Inputs'!$C$9:$C$32,$AM$6,'EE Inputs'!$D$9:$D$32,$C$4,'EE Inputs'!$E$9:$E$32,$B249),0)))</f>
        <v>0</v>
      </c>
      <c r="BH249" s="72">
        <f ca="1">IF($C$4=Lookups!$D$40,IF(SUM(INDIRECT("'Yr1'!"&amp;ADDRESS(ROW(BH249),COLUMN(BH249))),INDIRECT("'Yr2'!"&amp;ADDRESS(ROW(BH249),COLUMN(BH249))),INDIRECT("'Yr3'!"&amp;ADDRESS(ROW(BH249),COLUMN(BH249))))&gt;0,"3 Yr. total",0),
IF(BH$7&lt;$C$4,0,IF(BH$8&lt;=SUMIFS('EE Inputs'!$V$9:$V$32,'EE Inputs'!$C$9:$C$32,$AM$6,'EE Inputs'!$D$9:$D$32,$C$4,'EE Inputs'!$E$9:$E$32,$B249),SUMIFS('EE Inputs'!$V$9:$V$32,'EE Inputs'!$C$9:$C$32,$AM$6,'EE Inputs'!$D$9:$D$32,$C$4,'EE Inputs'!$E$9:$E$32,$B249),0)))</f>
        <v>0</v>
      </c>
      <c r="BI249" s="72">
        <f ca="1">IF($C$4=Lookups!$D$40,IF(SUM(INDIRECT("'Yr1'!"&amp;ADDRESS(ROW(BI249),COLUMN(BI249))),INDIRECT("'Yr2'!"&amp;ADDRESS(ROW(BI249),COLUMN(BI249))),INDIRECT("'Yr3'!"&amp;ADDRESS(ROW(BI249),COLUMN(BI249))))&gt;0,"3 Yr. total",0),
IF(BI$7&lt;$C$4,0,IF(BI$8&lt;=SUMIFS('EE Inputs'!$V$9:$V$32,'EE Inputs'!$C$9:$C$32,$AM$6,'EE Inputs'!$D$9:$D$32,$C$4,'EE Inputs'!$E$9:$E$32,$B249),SUMIFS('EE Inputs'!$V$9:$V$32,'EE Inputs'!$C$9:$C$32,$AM$6,'EE Inputs'!$D$9:$D$32,$C$4,'EE Inputs'!$E$9:$E$32,$B249),0)))</f>
        <v>0</v>
      </c>
      <c r="BJ249" s="72">
        <f ca="1">IF($C$4=Lookups!$D$40,IF(SUM(INDIRECT("'Yr1'!"&amp;ADDRESS(ROW(BJ249),COLUMN(BJ249))),INDIRECT("'Yr2'!"&amp;ADDRESS(ROW(BJ249),COLUMN(BJ249))),INDIRECT("'Yr3'!"&amp;ADDRESS(ROW(BJ249),COLUMN(BJ249))))&gt;0,"3 Yr. total",0),
IF(BJ$7&lt;$C$4,0,IF(BJ$8&lt;=SUMIFS('EE Inputs'!$V$9:$V$32,'EE Inputs'!$C$9:$C$32,$AM$6,'EE Inputs'!$D$9:$D$32,$C$4,'EE Inputs'!$E$9:$E$32,$B249),SUMIFS('EE Inputs'!$V$9:$V$32,'EE Inputs'!$C$9:$C$32,$AM$6,'EE Inputs'!$D$9:$D$32,$C$4,'EE Inputs'!$E$9:$E$32,$B249),0)))</f>
        <v>0</v>
      </c>
      <c r="BK249" s="72">
        <f ca="1">IF($C$4=Lookups!$D$40,IF(SUM(INDIRECT("'Yr1'!"&amp;ADDRESS(ROW(BK249),COLUMN(BK249))),INDIRECT("'Yr2'!"&amp;ADDRESS(ROW(BK249),COLUMN(BK249))),INDIRECT("'Yr3'!"&amp;ADDRESS(ROW(BK249),COLUMN(BK249))))&gt;0,"3 Yr. total",0),
IF(BK$7&lt;$C$4,0,IF(BK$8&lt;=SUMIFS('EE Inputs'!$V$9:$V$32,'EE Inputs'!$C$9:$C$32,$AM$6,'EE Inputs'!$D$9:$D$32,$C$4,'EE Inputs'!$E$9:$E$32,$B249),SUMIFS('EE Inputs'!$V$9:$V$32,'EE Inputs'!$C$9:$C$32,$AM$6,'EE Inputs'!$D$9:$D$32,$C$4,'EE Inputs'!$E$9:$E$32,$B249),0)))</f>
        <v>0</v>
      </c>
      <c r="BL249" s="72">
        <f ca="1">IF($C$4=Lookups!$D$40,IF(SUM(INDIRECT("'Yr1'!"&amp;ADDRESS(ROW(BL249),COLUMN(BL249))),INDIRECT("'Yr2'!"&amp;ADDRESS(ROW(BL249),COLUMN(BL249))),INDIRECT("'Yr3'!"&amp;ADDRESS(ROW(BL249),COLUMN(BL249))))&gt;0,"3 Yr. total",0),
IF(BL$7&lt;$C$4,0,IF(BL$8&lt;=SUMIFS('EE Inputs'!$V$9:$V$32,'EE Inputs'!$C$9:$C$32,$AM$6,'EE Inputs'!$D$9:$D$32,$C$4,'EE Inputs'!$E$9:$E$32,$B249),SUMIFS('EE Inputs'!$V$9:$V$32,'EE Inputs'!$C$9:$C$32,$AM$6,'EE Inputs'!$D$9:$D$32,$C$4,'EE Inputs'!$E$9:$E$32,$B249),0)))</f>
        <v>0</v>
      </c>
      <c r="BM249" s="72">
        <f ca="1">IF($C$4=Lookups!$D$40,IF(SUM(INDIRECT("'Yr1'!"&amp;ADDRESS(ROW(BM249),COLUMN(BM249))),INDIRECT("'Yr2'!"&amp;ADDRESS(ROW(BM249),COLUMN(BM249))),INDIRECT("'Yr3'!"&amp;ADDRESS(ROW(BM249),COLUMN(BM249))))&gt;0,"3 Yr. total",0),
IF(BM$7&lt;$C$4,0,IF(BM$8&lt;=SUMIFS('EE Inputs'!$V$9:$V$32,'EE Inputs'!$C$9:$C$32,$AM$6,'EE Inputs'!$D$9:$D$32,$C$4,'EE Inputs'!$E$9:$E$32,$B249),SUMIFS('EE Inputs'!$V$9:$V$32,'EE Inputs'!$C$9:$C$32,$AM$6,'EE Inputs'!$D$9:$D$32,$C$4,'EE Inputs'!$E$9:$E$32,$B249),0)))</f>
        <v>0</v>
      </c>
      <c r="BN249" s="72"/>
      <c r="BO249" s="72"/>
      <c r="BP249" s="72"/>
      <c r="BS249" s="76" t="s">
        <v>90</v>
      </c>
      <c r="BT249" s="51" t="s">
        <v>17</v>
      </c>
    </row>
    <row r="250" spans="1:72" s="5" customFormat="1" x14ac:dyDescent="0.25">
      <c r="A250" s="52"/>
      <c r="B250" s="242" t="str">
        <f t="shared" si="273"/>
        <v>Large C&amp;I</v>
      </c>
      <c r="C250" s="242" t="str">
        <f>C249</f>
        <v>Customers</v>
      </c>
      <c r="D250" s="77" t="s">
        <v>17</v>
      </c>
      <c r="E250" s="76"/>
      <c r="F250" s="76"/>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S250" s="76"/>
      <c r="BT250" s="51" t="s">
        <v>17</v>
      </c>
    </row>
    <row r="251" spans="1:72" s="5" customFormat="1" ht="15.75" x14ac:dyDescent="0.25">
      <c r="A251" s="52"/>
      <c r="B251" s="241" t="str">
        <f t="shared" si="273"/>
        <v>Large C&amp;I</v>
      </c>
      <c r="C251" s="63" t="s">
        <v>4</v>
      </c>
      <c r="D251" s="61"/>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2"/>
      <c r="BO251" s="62"/>
      <c r="BP251" s="62"/>
      <c r="BS251" s="62"/>
      <c r="BT251" s="51" t="s">
        <v>17</v>
      </c>
    </row>
    <row r="252" spans="1:72" x14ac:dyDescent="0.25">
      <c r="B252" s="243" t="str">
        <f t="shared" si="273"/>
        <v>Large C&amp;I</v>
      </c>
      <c r="C252" s="243" t="str">
        <f>C251</f>
        <v>Sales</v>
      </c>
      <c r="D252" s="244" t="str">
        <f>"Sales before DSM ("&amp;Lookups!$D$22&amp;" Scenario)"</f>
        <v>Sales before DSM (No EE Scenario)</v>
      </c>
      <c r="E252" s="85" t="str">
        <f>"Sales before DSM ("&amp;Lookups!$D$22&amp;" Scenario)"</f>
        <v>Sales before DSM (No EE Scenario)</v>
      </c>
      <c r="F252" s="84" t="s">
        <v>195</v>
      </c>
      <c r="G252" s="64">
        <f>IF(G$8=0,0,INDEX('Multi-Year Inputs'!$E$41:$AE$44,MATCH($B252,'Multi-Year Inputs'!$D$41:$D$44,0),MATCH(G$7,'Multi-Year Inputs'!$E$4:$AE$4,0)))</f>
        <v>11263405.136430969</v>
      </c>
      <c r="H252" s="64">
        <f>IF(H$8=0,0,INDEX('Multi-Year Inputs'!$E$41:$AE$44,MATCH($B252,'Multi-Year Inputs'!$D$41:$D$44,0),MATCH(H$7,'Multi-Year Inputs'!$E$4:$AE$4,0)))</f>
        <v>11263405.136430969</v>
      </c>
      <c r="I252" s="64">
        <f>IF(I$8=0,0,INDEX('Multi-Year Inputs'!$E$41:$AE$44,MATCH($B252,'Multi-Year Inputs'!$D$41:$D$44,0),MATCH(I$7,'Multi-Year Inputs'!$E$4:$AE$4,0)))</f>
        <v>11263405.136430969</v>
      </c>
      <c r="J252" s="64">
        <f>IF(J$8=0,0,INDEX('Multi-Year Inputs'!$E$41:$AE$44,MATCH($B252,'Multi-Year Inputs'!$D$41:$D$44,0),MATCH(J$7,'Multi-Year Inputs'!$E$4:$AE$4,0)))</f>
        <v>11263405.136430969</v>
      </c>
      <c r="K252" s="64">
        <f>IF(K$8=0,0,INDEX('Multi-Year Inputs'!$E$41:$AE$44,MATCH($B252,'Multi-Year Inputs'!$D$41:$D$44,0),MATCH(K$7,'Multi-Year Inputs'!$E$4:$AE$4,0)))</f>
        <v>11263405.136430969</v>
      </c>
      <c r="L252" s="64">
        <f>IF(L$8=0,0,INDEX('Multi-Year Inputs'!$E$41:$AE$44,MATCH($B252,'Multi-Year Inputs'!$D$41:$D$44,0),MATCH(L$7,'Multi-Year Inputs'!$E$4:$AE$4,0)))</f>
        <v>11263405.136430969</v>
      </c>
      <c r="M252" s="64">
        <f>IF(M$8=0,0,INDEX('Multi-Year Inputs'!$E$41:$AE$44,MATCH($B252,'Multi-Year Inputs'!$D$41:$D$44,0),MATCH(M$7,'Multi-Year Inputs'!$E$4:$AE$4,0)))</f>
        <v>11263405.136430969</v>
      </c>
      <c r="N252" s="64">
        <f>IF(N$8=0,0,INDEX('Multi-Year Inputs'!$E$41:$AE$44,MATCH($B252,'Multi-Year Inputs'!$D$41:$D$44,0),MATCH(N$7,'Multi-Year Inputs'!$E$4:$AE$4,0)))</f>
        <v>11263405.136430969</v>
      </c>
      <c r="O252" s="64">
        <f>IF(O$8=0,0,INDEX('Multi-Year Inputs'!$E$41:$AE$44,MATCH($B252,'Multi-Year Inputs'!$D$41:$D$44,0),MATCH(O$7,'Multi-Year Inputs'!$E$4:$AE$4,0)))</f>
        <v>11263405.136430969</v>
      </c>
      <c r="P252" s="64">
        <f>IF(P$8=0,0,INDEX('Multi-Year Inputs'!$E$41:$AE$44,MATCH($B252,'Multi-Year Inputs'!$D$41:$D$44,0),MATCH(P$7,'Multi-Year Inputs'!$E$4:$AE$4,0)))</f>
        <v>11263405.136430969</v>
      </c>
      <c r="Q252" s="64">
        <f>IF(Q$8=0,0,INDEX('Multi-Year Inputs'!$E$41:$AE$44,MATCH($B252,'Multi-Year Inputs'!$D$41:$D$44,0),MATCH(Q$7,'Multi-Year Inputs'!$E$4:$AE$4,0)))</f>
        <v>11263405.136430969</v>
      </c>
      <c r="R252" s="64">
        <f>IF(R$8=0,0,INDEX('Multi-Year Inputs'!$E$41:$AE$44,MATCH($B252,'Multi-Year Inputs'!$D$41:$D$44,0),MATCH(R$7,'Multi-Year Inputs'!$E$4:$AE$4,0)))</f>
        <v>11263405.136430969</v>
      </c>
      <c r="S252" s="64">
        <f>IF(S$8=0,0,INDEX('Multi-Year Inputs'!$E$41:$AE$44,MATCH($B252,'Multi-Year Inputs'!$D$41:$D$44,0),MATCH(S$7,'Multi-Year Inputs'!$E$4:$AE$4,0)))</f>
        <v>11263405.136430969</v>
      </c>
      <c r="T252" s="64">
        <f>IF(T$8=0,0,INDEX('Multi-Year Inputs'!$E$41:$AE$44,MATCH($B252,'Multi-Year Inputs'!$D$41:$D$44,0),MATCH(T$7,'Multi-Year Inputs'!$E$4:$AE$4,0)))</f>
        <v>11263405.136430969</v>
      </c>
      <c r="U252" s="64">
        <f>IF(U$8=0,0,INDEX('Multi-Year Inputs'!$E$41:$AE$44,MATCH($B252,'Multi-Year Inputs'!$D$41:$D$44,0),MATCH(U$7,'Multi-Year Inputs'!$E$4:$AE$4,0)))</f>
        <v>11263405.136430969</v>
      </c>
      <c r="V252" s="64">
        <f>IF(V$8=0,0,INDEX('Multi-Year Inputs'!$E$41:$AE$44,MATCH($B252,'Multi-Year Inputs'!$D$41:$D$44,0),MATCH(V$7,'Multi-Year Inputs'!$E$4:$AE$4,0)))</f>
        <v>11263405.136430969</v>
      </c>
      <c r="W252" s="64">
        <f>IF(W$8=0,0,INDEX('Multi-Year Inputs'!$E$41:$AE$44,MATCH($B252,'Multi-Year Inputs'!$D$41:$D$44,0),MATCH(W$7,'Multi-Year Inputs'!$E$4:$AE$4,0)))</f>
        <v>11263405.136430969</v>
      </c>
      <c r="X252" s="64">
        <f>IF(X$8=0,0,INDEX('Multi-Year Inputs'!$E$41:$AE$44,MATCH($B252,'Multi-Year Inputs'!$D$41:$D$44,0),MATCH(X$7,'Multi-Year Inputs'!$E$4:$AE$4,0)))</f>
        <v>11263405.136430969</v>
      </c>
      <c r="Y252" s="64">
        <f>IF(Y$8=0,0,INDEX('Multi-Year Inputs'!$E$41:$AE$44,MATCH($B252,'Multi-Year Inputs'!$D$41:$D$44,0),MATCH(Y$7,'Multi-Year Inputs'!$E$4:$AE$4,0)))</f>
        <v>11263405.136430969</v>
      </c>
      <c r="Z252" s="64">
        <f>IF(Z$8=0,0,INDEX('Multi-Year Inputs'!$E$41:$AE$44,MATCH($B252,'Multi-Year Inputs'!$D$41:$D$44,0),MATCH(Z$7,'Multi-Year Inputs'!$E$4:$AE$4,0)))</f>
        <v>11263405.136430969</v>
      </c>
      <c r="AA252" s="64">
        <f>IF(AA$8=0,0,INDEX('Multi-Year Inputs'!$E$41:$AE$44,MATCH($B252,'Multi-Year Inputs'!$D$41:$D$44,0),MATCH(AA$7,'Multi-Year Inputs'!$E$4:$AE$4,0)))</f>
        <v>11263405.136430969</v>
      </c>
      <c r="AB252" s="64">
        <f>IF(AB$8=0,0,INDEX('Multi-Year Inputs'!$E$41:$AE$44,MATCH($B252,'Multi-Year Inputs'!$D$41:$D$44,0),MATCH(AB$7,'Multi-Year Inputs'!$E$4:$AE$4,0)))</f>
        <v>11263405.136430969</v>
      </c>
      <c r="AC252" s="64">
        <f>IF(AC$8=0,0,INDEX('Multi-Year Inputs'!$E$41:$AE$44,MATCH($B252,'Multi-Year Inputs'!$D$41:$D$44,0),MATCH(AC$7,'Multi-Year Inputs'!$E$4:$AE$4,0)))</f>
        <v>11263405.136430969</v>
      </c>
      <c r="AD252" s="64">
        <f>IF(AD$8=0,0,INDEX('Multi-Year Inputs'!$E$41:$AE$44,MATCH($B252,'Multi-Year Inputs'!$D$41:$D$44,0),MATCH(AD$7,'Multi-Year Inputs'!$E$4:$AE$4,0)))</f>
        <v>11263405.136430969</v>
      </c>
      <c r="AE252" s="64">
        <f>IF(AE$8=0,0,INDEX('Multi-Year Inputs'!$E$41:$AE$44,MATCH($B252,'Multi-Year Inputs'!$D$41:$D$44,0),MATCH(AE$7,'Multi-Year Inputs'!$E$4:$AE$4,0)))</f>
        <v>11263405.136430969</v>
      </c>
      <c r="AF252" s="64">
        <f>IF(AF$8=0,0,INDEX('Multi-Year Inputs'!$E$41:$AE$44,MATCH($B252,'Multi-Year Inputs'!$D$41:$D$44,0),MATCH(AF$7,'Multi-Year Inputs'!$E$4:$AE$4,0)))</f>
        <v>11263405.136430969</v>
      </c>
      <c r="AG252" s="64">
        <f>IF(AG$8=0,0,INDEX('Multi-Year Inputs'!$E$41:$AE$44,MATCH($B252,'Multi-Year Inputs'!$D$41:$D$44,0),MATCH(AG$7,'Multi-Year Inputs'!$E$4:$AE$4,0)))</f>
        <v>11263405.136430969</v>
      </c>
      <c r="AH252" s="64"/>
      <c r="AI252" s="64">
        <f t="shared" ref="AI252:AI254" si="274">SUM(G252:AG252)</f>
        <v>304111938.68363625</v>
      </c>
      <c r="AJ252" s="64"/>
      <c r="AM252" s="71">
        <f>IF(AM$8=0,0,INDEX('Multi-Year Inputs'!$E$41:$AE$44,MATCH($B252,'Multi-Year Inputs'!$D$41:$D$44,0),MATCH(AM$7,'Multi-Year Inputs'!$E$4:$AE$4,0)))</f>
        <v>11263405.136430969</v>
      </c>
      <c r="AN252" s="71">
        <f>IF(AN$8=0,0,INDEX('Multi-Year Inputs'!$E$41:$AE$44,MATCH($B252,'Multi-Year Inputs'!$D$41:$D$44,0),MATCH(AN$7,'Multi-Year Inputs'!$E$4:$AE$4,0)))</f>
        <v>11263405.136430969</v>
      </c>
      <c r="AO252" s="71">
        <f>IF(AO$8=0,0,INDEX('Multi-Year Inputs'!$E$41:$AE$44,MATCH($B252,'Multi-Year Inputs'!$D$41:$D$44,0),MATCH(AO$7,'Multi-Year Inputs'!$E$4:$AE$4,0)))</f>
        <v>11263405.136430969</v>
      </c>
      <c r="AP252" s="71">
        <f>IF(AP$8=0,0,INDEX('Multi-Year Inputs'!$E$41:$AE$44,MATCH($B252,'Multi-Year Inputs'!$D$41:$D$44,0),MATCH(AP$7,'Multi-Year Inputs'!$E$4:$AE$4,0)))</f>
        <v>11263405.136430969</v>
      </c>
      <c r="AQ252" s="71">
        <f>IF(AQ$8=0,0,INDEX('Multi-Year Inputs'!$E$41:$AE$44,MATCH($B252,'Multi-Year Inputs'!$D$41:$D$44,0),MATCH(AQ$7,'Multi-Year Inputs'!$E$4:$AE$4,0)))</f>
        <v>11263405.136430969</v>
      </c>
      <c r="AR252" s="71">
        <f>IF(AR$8=0,0,INDEX('Multi-Year Inputs'!$E$41:$AE$44,MATCH($B252,'Multi-Year Inputs'!$D$41:$D$44,0),MATCH(AR$7,'Multi-Year Inputs'!$E$4:$AE$4,0)))</f>
        <v>11263405.136430969</v>
      </c>
      <c r="AS252" s="71">
        <f>IF(AS$8=0,0,INDEX('Multi-Year Inputs'!$E$41:$AE$44,MATCH($B252,'Multi-Year Inputs'!$D$41:$D$44,0),MATCH(AS$7,'Multi-Year Inputs'!$E$4:$AE$4,0)))</f>
        <v>11263405.136430969</v>
      </c>
      <c r="AT252" s="71">
        <f>IF(AT$8=0,0,INDEX('Multi-Year Inputs'!$E$41:$AE$44,MATCH($B252,'Multi-Year Inputs'!$D$41:$D$44,0),MATCH(AT$7,'Multi-Year Inputs'!$E$4:$AE$4,0)))</f>
        <v>11263405.136430969</v>
      </c>
      <c r="AU252" s="71">
        <f>IF(AU$8=0,0,INDEX('Multi-Year Inputs'!$E$41:$AE$44,MATCH($B252,'Multi-Year Inputs'!$D$41:$D$44,0),MATCH(AU$7,'Multi-Year Inputs'!$E$4:$AE$4,0)))</f>
        <v>11263405.136430969</v>
      </c>
      <c r="AV252" s="71">
        <f>IF(AV$8=0,0,INDEX('Multi-Year Inputs'!$E$41:$AE$44,MATCH($B252,'Multi-Year Inputs'!$D$41:$D$44,0),MATCH(AV$7,'Multi-Year Inputs'!$E$4:$AE$4,0)))</f>
        <v>11263405.136430969</v>
      </c>
      <c r="AW252" s="71">
        <f>IF(AW$8=0,0,INDEX('Multi-Year Inputs'!$E$41:$AE$44,MATCH($B252,'Multi-Year Inputs'!$D$41:$D$44,0),MATCH(AW$7,'Multi-Year Inputs'!$E$4:$AE$4,0)))</f>
        <v>11263405.136430969</v>
      </c>
      <c r="AX252" s="71">
        <f>IF(AX$8=0,0,INDEX('Multi-Year Inputs'!$E$41:$AE$44,MATCH($B252,'Multi-Year Inputs'!$D$41:$D$44,0),MATCH(AX$7,'Multi-Year Inputs'!$E$4:$AE$4,0)))</f>
        <v>11263405.136430969</v>
      </c>
      <c r="AY252" s="71">
        <f>IF(AY$8=0,0,INDEX('Multi-Year Inputs'!$E$41:$AE$44,MATCH($B252,'Multi-Year Inputs'!$D$41:$D$44,0),MATCH(AY$7,'Multi-Year Inputs'!$E$4:$AE$4,0)))</f>
        <v>11263405.136430969</v>
      </c>
      <c r="AZ252" s="71">
        <f>IF(AZ$8=0,0,INDEX('Multi-Year Inputs'!$E$41:$AE$44,MATCH($B252,'Multi-Year Inputs'!$D$41:$D$44,0),MATCH(AZ$7,'Multi-Year Inputs'!$E$4:$AE$4,0)))</f>
        <v>11263405.136430969</v>
      </c>
      <c r="BA252" s="71">
        <f>IF(BA$8=0,0,INDEX('Multi-Year Inputs'!$E$41:$AE$44,MATCH($B252,'Multi-Year Inputs'!$D$41:$D$44,0),MATCH(BA$7,'Multi-Year Inputs'!$E$4:$AE$4,0)))</f>
        <v>11263405.136430969</v>
      </c>
      <c r="BB252" s="71">
        <f>IF(BB$8=0,0,INDEX('Multi-Year Inputs'!$E$41:$AE$44,MATCH($B252,'Multi-Year Inputs'!$D$41:$D$44,0),MATCH(BB$7,'Multi-Year Inputs'!$E$4:$AE$4,0)))</f>
        <v>11263405.136430969</v>
      </c>
      <c r="BC252" s="71">
        <f>IF(BC$8=0,0,INDEX('Multi-Year Inputs'!$E$41:$AE$44,MATCH($B252,'Multi-Year Inputs'!$D$41:$D$44,0),MATCH(BC$7,'Multi-Year Inputs'!$E$4:$AE$4,0)))</f>
        <v>11263405.136430969</v>
      </c>
      <c r="BD252" s="71">
        <f>IF(BD$8=0,0,INDEX('Multi-Year Inputs'!$E$41:$AE$44,MATCH($B252,'Multi-Year Inputs'!$D$41:$D$44,0),MATCH(BD$7,'Multi-Year Inputs'!$E$4:$AE$4,0)))</f>
        <v>11263405.136430969</v>
      </c>
      <c r="BE252" s="71">
        <f>IF(BE$8=0,0,INDEX('Multi-Year Inputs'!$E$41:$AE$44,MATCH($B252,'Multi-Year Inputs'!$D$41:$D$44,0),MATCH(BE$7,'Multi-Year Inputs'!$E$4:$AE$4,0)))</f>
        <v>11263405.136430969</v>
      </c>
      <c r="BF252" s="71">
        <f>IF(BF$8=0,0,INDEX('Multi-Year Inputs'!$E$41:$AE$44,MATCH($B252,'Multi-Year Inputs'!$D$41:$D$44,0),MATCH(BF$7,'Multi-Year Inputs'!$E$4:$AE$4,0)))</f>
        <v>11263405.136430969</v>
      </c>
      <c r="BG252" s="71">
        <f>IF(BG$8=0,0,INDEX('Multi-Year Inputs'!$E$41:$AE$44,MATCH($B252,'Multi-Year Inputs'!$D$41:$D$44,0),MATCH(BG$7,'Multi-Year Inputs'!$E$4:$AE$4,0)))</f>
        <v>11263405.136430969</v>
      </c>
      <c r="BH252" s="71">
        <f>IF(BH$8=0,0,INDEX('Multi-Year Inputs'!$E$41:$AE$44,MATCH($B252,'Multi-Year Inputs'!$D$41:$D$44,0),MATCH(BH$7,'Multi-Year Inputs'!$E$4:$AE$4,0)))</f>
        <v>11263405.136430969</v>
      </c>
      <c r="BI252" s="71">
        <f>IF(BI$8=0,0,INDEX('Multi-Year Inputs'!$E$41:$AE$44,MATCH($B252,'Multi-Year Inputs'!$D$41:$D$44,0),MATCH(BI$7,'Multi-Year Inputs'!$E$4:$AE$4,0)))</f>
        <v>11263405.136430969</v>
      </c>
      <c r="BJ252" s="71">
        <f>IF(BJ$8=0,0,INDEX('Multi-Year Inputs'!$E$41:$AE$44,MATCH($B252,'Multi-Year Inputs'!$D$41:$D$44,0),MATCH(BJ$7,'Multi-Year Inputs'!$E$4:$AE$4,0)))</f>
        <v>11263405.136430969</v>
      </c>
      <c r="BK252" s="71">
        <f>IF(BK$8=0,0,INDEX('Multi-Year Inputs'!$E$41:$AE$44,MATCH($B252,'Multi-Year Inputs'!$D$41:$D$44,0),MATCH(BK$7,'Multi-Year Inputs'!$E$4:$AE$4,0)))</f>
        <v>11263405.136430969</v>
      </c>
      <c r="BL252" s="71">
        <f>IF(BL$8=0,0,INDEX('Multi-Year Inputs'!$E$41:$AE$44,MATCH($B252,'Multi-Year Inputs'!$D$41:$D$44,0),MATCH(BL$7,'Multi-Year Inputs'!$E$4:$AE$4,0)))</f>
        <v>11263405.136430969</v>
      </c>
      <c r="BM252" s="71">
        <f>IF(BM$8=0,0,INDEX('Multi-Year Inputs'!$E$41:$AE$44,MATCH($B252,'Multi-Year Inputs'!$D$41:$D$44,0),MATCH(BM$7,'Multi-Year Inputs'!$E$4:$AE$4,0)))</f>
        <v>11263405.136430969</v>
      </c>
      <c r="BN252" s="72"/>
      <c r="BO252" s="72">
        <f t="shared" ref="BO252:BO254" si="275">SUM(AM252:BM252)</f>
        <v>304111938.68363625</v>
      </c>
      <c r="BP252" s="72"/>
      <c r="BS252" s="76" t="s">
        <v>91</v>
      </c>
      <c r="BT252" s="51" t="s">
        <v>17</v>
      </c>
    </row>
    <row r="253" spans="1:72" x14ac:dyDescent="0.25">
      <c r="A253" s="246"/>
      <c r="B253" s="243" t="str">
        <f t="shared" si="273"/>
        <v>Large C&amp;I</v>
      </c>
      <c r="C253" s="243" t="str">
        <f>C252</f>
        <v>Sales</v>
      </c>
      <c r="D253" s="244" t="s">
        <v>108</v>
      </c>
      <c r="E253" s="85" t="s">
        <v>108</v>
      </c>
      <c r="F253" s="84" t="s">
        <v>195</v>
      </c>
      <c r="G253" s="64">
        <f ca="1">IF($C$4=Lookups!$D$40,SUM(INDIRECT("'Yr1'!"&amp;ADDRESS(ROW(G253),COLUMN(G253))),INDIRECT("'Yr2'!"&amp;ADDRESS(ROW(G253),COLUMN(G253))),INDIRECT("'Yr3'!"&amp;ADDRESS(ROW(G253),COLUMN(G253)))),
IF(G249&gt;0,SUMIFS('EE Inputs'!$I$9:$I$32,'EE Inputs'!$C$9:$C$32,$G$6,'EE Inputs'!$D$9:$D$32,$C$4,'EE Inputs'!$E$9:$E$32,$B253)/SUMIFS('EE Inputs'!$V$9:$V$32,'EE Inputs'!$C$9:$C$32,$G$6,'EE Inputs'!$D$9:$D$32,$C$4,'EE Inputs'!$E$9:$E$32,$B253)*10,0))</f>
        <v>927754.23962318781</v>
      </c>
      <c r="H253" s="64">
        <f ca="1">IF($C$4=Lookups!$D$40,SUM(INDIRECT("'Yr1'!"&amp;ADDRESS(ROW(H253),COLUMN(H253))),INDIRECT("'Yr2'!"&amp;ADDRESS(ROW(H253),COLUMN(H253))),INDIRECT("'Yr3'!"&amp;ADDRESS(ROW(H253),COLUMN(H253)))),
IF(H249&gt;0,SUMIFS('EE Inputs'!$I$9:$I$32,'EE Inputs'!$C$9:$C$32,$G$6,'EE Inputs'!$D$9:$D$32,$C$4,'EE Inputs'!$E$9:$E$32,$B253)/SUMIFS('EE Inputs'!$V$9:$V$32,'EE Inputs'!$C$9:$C$32,$G$6,'EE Inputs'!$D$9:$D$32,$C$4,'EE Inputs'!$E$9:$E$32,$B253)*10,0))</f>
        <v>927754.23962318781</v>
      </c>
      <c r="I253" s="64">
        <f ca="1">IF($C$4=Lookups!$D$40,SUM(INDIRECT("'Yr1'!"&amp;ADDRESS(ROW(I253),COLUMN(I253))),INDIRECT("'Yr2'!"&amp;ADDRESS(ROW(I253),COLUMN(I253))),INDIRECT("'Yr3'!"&amp;ADDRESS(ROW(I253),COLUMN(I253)))),
IF(I249&gt;0,SUMIFS('EE Inputs'!$I$9:$I$32,'EE Inputs'!$C$9:$C$32,$G$6,'EE Inputs'!$D$9:$D$32,$C$4,'EE Inputs'!$E$9:$E$32,$B253)/SUMIFS('EE Inputs'!$V$9:$V$32,'EE Inputs'!$C$9:$C$32,$G$6,'EE Inputs'!$D$9:$D$32,$C$4,'EE Inputs'!$E$9:$E$32,$B253)*10,0))</f>
        <v>927754.23962318781</v>
      </c>
      <c r="J253" s="64">
        <f ca="1">IF($C$4=Lookups!$D$40,SUM(INDIRECT("'Yr1'!"&amp;ADDRESS(ROW(J253),COLUMN(J253))),INDIRECT("'Yr2'!"&amp;ADDRESS(ROW(J253),COLUMN(J253))),INDIRECT("'Yr3'!"&amp;ADDRESS(ROW(J253),COLUMN(J253)))),
IF(J249&gt;0,SUMIFS('EE Inputs'!$I$9:$I$32,'EE Inputs'!$C$9:$C$32,$G$6,'EE Inputs'!$D$9:$D$32,$C$4,'EE Inputs'!$E$9:$E$32,$B253)/SUMIFS('EE Inputs'!$V$9:$V$32,'EE Inputs'!$C$9:$C$32,$G$6,'EE Inputs'!$D$9:$D$32,$C$4,'EE Inputs'!$E$9:$E$32,$B253)*10,0))</f>
        <v>927754.23962318781</v>
      </c>
      <c r="K253" s="64">
        <f ca="1">IF($C$4=Lookups!$D$40,SUM(INDIRECT("'Yr1'!"&amp;ADDRESS(ROW(K253),COLUMN(K253))),INDIRECT("'Yr2'!"&amp;ADDRESS(ROW(K253),COLUMN(K253))),INDIRECT("'Yr3'!"&amp;ADDRESS(ROW(K253),COLUMN(K253)))),
IF(K249&gt;0,SUMIFS('EE Inputs'!$I$9:$I$32,'EE Inputs'!$C$9:$C$32,$G$6,'EE Inputs'!$D$9:$D$32,$C$4,'EE Inputs'!$E$9:$E$32,$B253)/SUMIFS('EE Inputs'!$V$9:$V$32,'EE Inputs'!$C$9:$C$32,$G$6,'EE Inputs'!$D$9:$D$32,$C$4,'EE Inputs'!$E$9:$E$32,$B253)*10,0))</f>
        <v>927754.23962318781</v>
      </c>
      <c r="L253" s="64">
        <f ca="1">IF($C$4=Lookups!$D$40,SUM(INDIRECT("'Yr1'!"&amp;ADDRESS(ROW(L253),COLUMN(L253))),INDIRECT("'Yr2'!"&amp;ADDRESS(ROW(L253),COLUMN(L253))),INDIRECT("'Yr3'!"&amp;ADDRESS(ROW(L253),COLUMN(L253)))),
IF(L249&gt;0,SUMIFS('EE Inputs'!$I$9:$I$32,'EE Inputs'!$C$9:$C$32,$G$6,'EE Inputs'!$D$9:$D$32,$C$4,'EE Inputs'!$E$9:$E$32,$B253)/SUMIFS('EE Inputs'!$V$9:$V$32,'EE Inputs'!$C$9:$C$32,$G$6,'EE Inputs'!$D$9:$D$32,$C$4,'EE Inputs'!$E$9:$E$32,$B253)*10,0))</f>
        <v>927754.23962318781</v>
      </c>
      <c r="M253" s="64">
        <f ca="1">IF($C$4=Lookups!$D$40,SUM(INDIRECT("'Yr1'!"&amp;ADDRESS(ROW(M253),COLUMN(M253))),INDIRECT("'Yr2'!"&amp;ADDRESS(ROW(M253),COLUMN(M253))),INDIRECT("'Yr3'!"&amp;ADDRESS(ROW(M253),COLUMN(M253)))),
IF(M249&gt;0,SUMIFS('EE Inputs'!$I$9:$I$32,'EE Inputs'!$C$9:$C$32,$G$6,'EE Inputs'!$D$9:$D$32,$C$4,'EE Inputs'!$E$9:$E$32,$B253)/SUMIFS('EE Inputs'!$V$9:$V$32,'EE Inputs'!$C$9:$C$32,$G$6,'EE Inputs'!$D$9:$D$32,$C$4,'EE Inputs'!$E$9:$E$32,$B253)*10,0))</f>
        <v>927754.23962318781</v>
      </c>
      <c r="N253" s="64">
        <f ca="1">IF($C$4=Lookups!$D$40,SUM(INDIRECT("'Yr1'!"&amp;ADDRESS(ROW(N253),COLUMN(N253))),INDIRECT("'Yr2'!"&amp;ADDRESS(ROW(N253),COLUMN(N253))),INDIRECT("'Yr3'!"&amp;ADDRESS(ROW(N253),COLUMN(N253)))),
IF(N249&gt;0,SUMIFS('EE Inputs'!$I$9:$I$32,'EE Inputs'!$C$9:$C$32,$G$6,'EE Inputs'!$D$9:$D$32,$C$4,'EE Inputs'!$E$9:$E$32,$B253)/SUMIFS('EE Inputs'!$V$9:$V$32,'EE Inputs'!$C$9:$C$32,$G$6,'EE Inputs'!$D$9:$D$32,$C$4,'EE Inputs'!$E$9:$E$32,$B253)*10,0))</f>
        <v>927754.23962318781</v>
      </c>
      <c r="O253" s="64">
        <f ca="1">IF($C$4=Lookups!$D$40,SUM(INDIRECT("'Yr1'!"&amp;ADDRESS(ROW(O253),COLUMN(O253))),INDIRECT("'Yr2'!"&amp;ADDRESS(ROW(O253),COLUMN(O253))),INDIRECT("'Yr3'!"&amp;ADDRESS(ROW(O253),COLUMN(O253)))),
IF(O249&gt;0,SUMIFS('EE Inputs'!$I$9:$I$32,'EE Inputs'!$C$9:$C$32,$G$6,'EE Inputs'!$D$9:$D$32,$C$4,'EE Inputs'!$E$9:$E$32,$B253)/SUMIFS('EE Inputs'!$V$9:$V$32,'EE Inputs'!$C$9:$C$32,$G$6,'EE Inputs'!$D$9:$D$32,$C$4,'EE Inputs'!$E$9:$E$32,$B253)*10,0))</f>
        <v>927754.23962318781</v>
      </c>
      <c r="P253" s="64">
        <f ca="1">IF($C$4=Lookups!$D$40,SUM(INDIRECT("'Yr1'!"&amp;ADDRESS(ROW(P253),COLUMN(P253))),INDIRECT("'Yr2'!"&amp;ADDRESS(ROW(P253),COLUMN(P253))),INDIRECT("'Yr3'!"&amp;ADDRESS(ROW(P253),COLUMN(P253)))),
IF(P249&gt;0,SUMIFS('EE Inputs'!$I$9:$I$32,'EE Inputs'!$C$9:$C$32,$G$6,'EE Inputs'!$D$9:$D$32,$C$4,'EE Inputs'!$E$9:$E$32,$B253)/SUMIFS('EE Inputs'!$V$9:$V$32,'EE Inputs'!$C$9:$C$32,$G$6,'EE Inputs'!$D$9:$D$32,$C$4,'EE Inputs'!$E$9:$E$32,$B253)*10,0))</f>
        <v>927754.23962318781</v>
      </c>
      <c r="Q253" s="64">
        <f ca="1">IF($C$4=Lookups!$D$40,SUM(INDIRECT("'Yr1'!"&amp;ADDRESS(ROW(Q253),COLUMN(Q253))),INDIRECT("'Yr2'!"&amp;ADDRESS(ROW(Q253),COLUMN(Q253))),INDIRECT("'Yr3'!"&amp;ADDRESS(ROW(Q253),COLUMN(Q253)))),
IF(Q249&gt;0,SUMIFS('EE Inputs'!$I$9:$I$32,'EE Inputs'!$C$9:$C$32,$G$6,'EE Inputs'!$D$9:$D$32,$C$4,'EE Inputs'!$E$9:$E$32,$B253)/SUMIFS('EE Inputs'!$V$9:$V$32,'EE Inputs'!$C$9:$C$32,$G$6,'EE Inputs'!$D$9:$D$32,$C$4,'EE Inputs'!$E$9:$E$32,$B253)*10,0))</f>
        <v>927754.23962318781</v>
      </c>
      <c r="R253" s="64">
        <f ca="1">IF($C$4=Lookups!$D$40,SUM(INDIRECT("'Yr1'!"&amp;ADDRESS(ROW(R253),COLUMN(R253))),INDIRECT("'Yr2'!"&amp;ADDRESS(ROW(R253),COLUMN(R253))),INDIRECT("'Yr3'!"&amp;ADDRESS(ROW(R253),COLUMN(R253)))),
IF(R249&gt;0,SUMIFS('EE Inputs'!$I$9:$I$32,'EE Inputs'!$C$9:$C$32,$G$6,'EE Inputs'!$D$9:$D$32,$C$4,'EE Inputs'!$E$9:$E$32,$B253)/SUMIFS('EE Inputs'!$V$9:$V$32,'EE Inputs'!$C$9:$C$32,$G$6,'EE Inputs'!$D$9:$D$32,$C$4,'EE Inputs'!$E$9:$E$32,$B253)*10,0))</f>
        <v>927754.23962318781</v>
      </c>
      <c r="S253" s="64">
        <f ca="1">IF($C$4=Lookups!$D$40,SUM(INDIRECT("'Yr1'!"&amp;ADDRESS(ROW(S253),COLUMN(S253))),INDIRECT("'Yr2'!"&amp;ADDRESS(ROW(S253),COLUMN(S253))),INDIRECT("'Yr3'!"&amp;ADDRESS(ROW(S253),COLUMN(S253)))),
IF(S249&gt;0,SUMIFS('EE Inputs'!$I$9:$I$32,'EE Inputs'!$C$9:$C$32,$G$6,'EE Inputs'!$D$9:$D$32,$C$4,'EE Inputs'!$E$9:$E$32,$B253)/SUMIFS('EE Inputs'!$V$9:$V$32,'EE Inputs'!$C$9:$C$32,$G$6,'EE Inputs'!$D$9:$D$32,$C$4,'EE Inputs'!$E$9:$E$32,$B253)*10,0))</f>
        <v>927754.23962318781</v>
      </c>
      <c r="T253" s="64">
        <f ca="1">IF($C$4=Lookups!$D$40,SUM(INDIRECT("'Yr1'!"&amp;ADDRESS(ROW(T253),COLUMN(T253))),INDIRECT("'Yr2'!"&amp;ADDRESS(ROW(T253),COLUMN(T253))),INDIRECT("'Yr3'!"&amp;ADDRESS(ROW(T253),COLUMN(T253)))),
IF(T249&gt;0,SUMIFS('EE Inputs'!$I$9:$I$32,'EE Inputs'!$C$9:$C$32,$G$6,'EE Inputs'!$D$9:$D$32,$C$4,'EE Inputs'!$E$9:$E$32,$B253)/SUMIFS('EE Inputs'!$V$9:$V$32,'EE Inputs'!$C$9:$C$32,$G$6,'EE Inputs'!$D$9:$D$32,$C$4,'EE Inputs'!$E$9:$E$32,$B253)*10,0))</f>
        <v>0</v>
      </c>
      <c r="U253" s="64">
        <f ca="1">IF($C$4=Lookups!$D$40,SUM(INDIRECT("'Yr1'!"&amp;ADDRESS(ROW(U253),COLUMN(U253))),INDIRECT("'Yr2'!"&amp;ADDRESS(ROW(U253),COLUMN(U253))),INDIRECT("'Yr3'!"&amp;ADDRESS(ROW(U253),COLUMN(U253)))),
IF(U249&gt;0,SUMIFS('EE Inputs'!$I$9:$I$32,'EE Inputs'!$C$9:$C$32,$G$6,'EE Inputs'!$D$9:$D$32,$C$4,'EE Inputs'!$E$9:$E$32,$B253)/SUMIFS('EE Inputs'!$V$9:$V$32,'EE Inputs'!$C$9:$C$32,$G$6,'EE Inputs'!$D$9:$D$32,$C$4,'EE Inputs'!$E$9:$E$32,$B253)*10,0))</f>
        <v>0</v>
      </c>
      <c r="V253" s="64">
        <f ca="1">IF($C$4=Lookups!$D$40,SUM(INDIRECT("'Yr1'!"&amp;ADDRESS(ROW(V253),COLUMN(V253))),INDIRECT("'Yr2'!"&amp;ADDRESS(ROW(V253),COLUMN(V253))),INDIRECT("'Yr3'!"&amp;ADDRESS(ROW(V253),COLUMN(V253)))),
IF(V249&gt;0,SUMIFS('EE Inputs'!$I$9:$I$32,'EE Inputs'!$C$9:$C$32,$G$6,'EE Inputs'!$D$9:$D$32,$C$4,'EE Inputs'!$E$9:$E$32,$B253)/SUMIFS('EE Inputs'!$V$9:$V$32,'EE Inputs'!$C$9:$C$32,$G$6,'EE Inputs'!$D$9:$D$32,$C$4,'EE Inputs'!$E$9:$E$32,$B253)*10,0))</f>
        <v>0</v>
      </c>
      <c r="W253" s="64">
        <f ca="1">IF($C$4=Lookups!$D$40,SUM(INDIRECT("'Yr1'!"&amp;ADDRESS(ROW(W253),COLUMN(W253))),INDIRECT("'Yr2'!"&amp;ADDRESS(ROW(W253),COLUMN(W253))),INDIRECT("'Yr3'!"&amp;ADDRESS(ROW(W253),COLUMN(W253)))),
IF(W249&gt;0,SUMIFS('EE Inputs'!$I$9:$I$32,'EE Inputs'!$C$9:$C$32,$G$6,'EE Inputs'!$D$9:$D$32,$C$4,'EE Inputs'!$E$9:$E$32,$B253)/SUMIFS('EE Inputs'!$V$9:$V$32,'EE Inputs'!$C$9:$C$32,$G$6,'EE Inputs'!$D$9:$D$32,$C$4,'EE Inputs'!$E$9:$E$32,$B253)*10,0))</f>
        <v>0</v>
      </c>
      <c r="X253" s="64">
        <f ca="1">IF($C$4=Lookups!$D$40,SUM(INDIRECT("'Yr1'!"&amp;ADDRESS(ROW(X253),COLUMN(X253))),INDIRECT("'Yr2'!"&amp;ADDRESS(ROW(X253),COLUMN(X253))),INDIRECT("'Yr3'!"&amp;ADDRESS(ROW(X253),COLUMN(X253)))),
IF(X249&gt;0,SUMIFS('EE Inputs'!$I$9:$I$32,'EE Inputs'!$C$9:$C$32,$G$6,'EE Inputs'!$D$9:$D$32,$C$4,'EE Inputs'!$E$9:$E$32,$B253)/SUMIFS('EE Inputs'!$V$9:$V$32,'EE Inputs'!$C$9:$C$32,$G$6,'EE Inputs'!$D$9:$D$32,$C$4,'EE Inputs'!$E$9:$E$32,$B253)*10,0))</f>
        <v>0</v>
      </c>
      <c r="Y253" s="64">
        <f ca="1">IF($C$4=Lookups!$D$40,SUM(INDIRECT("'Yr1'!"&amp;ADDRESS(ROW(Y253),COLUMN(Y253))),INDIRECT("'Yr2'!"&amp;ADDRESS(ROW(Y253),COLUMN(Y253))),INDIRECT("'Yr3'!"&amp;ADDRESS(ROW(Y253),COLUMN(Y253)))),
IF(Y249&gt;0,SUMIFS('EE Inputs'!$I$9:$I$32,'EE Inputs'!$C$9:$C$32,$G$6,'EE Inputs'!$D$9:$D$32,$C$4,'EE Inputs'!$E$9:$E$32,$B253)/SUMIFS('EE Inputs'!$V$9:$V$32,'EE Inputs'!$C$9:$C$32,$G$6,'EE Inputs'!$D$9:$D$32,$C$4,'EE Inputs'!$E$9:$E$32,$B253)*10,0))</f>
        <v>0</v>
      </c>
      <c r="Z253" s="64">
        <f ca="1">IF($C$4=Lookups!$D$40,SUM(INDIRECT("'Yr1'!"&amp;ADDRESS(ROW(Z253),COLUMN(Z253))),INDIRECT("'Yr2'!"&amp;ADDRESS(ROW(Z253),COLUMN(Z253))),INDIRECT("'Yr3'!"&amp;ADDRESS(ROW(Z253),COLUMN(Z253)))),
IF(Z249&gt;0,SUMIFS('EE Inputs'!$I$9:$I$32,'EE Inputs'!$C$9:$C$32,$G$6,'EE Inputs'!$D$9:$D$32,$C$4,'EE Inputs'!$E$9:$E$32,$B253)/SUMIFS('EE Inputs'!$V$9:$V$32,'EE Inputs'!$C$9:$C$32,$G$6,'EE Inputs'!$D$9:$D$32,$C$4,'EE Inputs'!$E$9:$E$32,$B253)*10,0))</f>
        <v>0</v>
      </c>
      <c r="AA253" s="64">
        <f ca="1">IF($C$4=Lookups!$D$40,SUM(INDIRECT("'Yr1'!"&amp;ADDRESS(ROW(AA253),COLUMN(AA253))),INDIRECT("'Yr2'!"&amp;ADDRESS(ROW(AA253),COLUMN(AA253))),INDIRECT("'Yr3'!"&amp;ADDRESS(ROW(AA253),COLUMN(AA253)))),
IF(AA249&gt;0,SUMIFS('EE Inputs'!$I$9:$I$32,'EE Inputs'!$C$9:$C$32,$G$6,'EE Inputs'!$D$9:$D$32,$C$4,'EE Inputs'!$E$9:$E$32,$B253)/SUMIFS('EE Inputs'!$V$9:$V$32,'EE Inputs'!$C$9:$C$32,$G$6,'EE Inputs'!$D$9:$D$32,$C$4,'EE Inputs'!$E$9:$E$32,$B253)*10,0))</f>
        <v>0</v>
      </c>
      <c r="AB253" s="64">
        <f ca="1">IF($C$4=Lookups!$D$40,SUM(INDIRECT("'Yr1'!"&amp;ADDRESS(ROW(AB253),COLUMN(AB253))),INDIRECT("'Yr2'!"&amp;ADDRESS(ROW(AB253),COLUMN(AB253))),INDIRECT("'Yr3'!"&amp;ADDRESS(ROW(AB253),COLUMN(AB253)))),
IF(AB249&gt;0,SUMIFS('EE Inputs'!$I$9:$I$32,'EE Inputs'!$C$9:$C$32,$G$6,'EE Inputs'!$D$9:$D$32,$C$4,'EE Inputs'!$E$9:$E$32,$B253)/SUMIFS('EE Inputs'!$V$9:$V$32,'EE Inputs'!$C$9:$C$32,$G$6,'EE Inputs'!$D$9:$D$32,$C$4,'EE Inputs'!$E$9:$E$32,$B253)*10,0))</f>
        <v>0</v>
      </c>
      <c r="AC253" s="64">
        <f ca="1">IF($C$4=Lookups!$D$40,SUM(INDIRECT("'Yr1'!"&amp;ADDRESS(ROW(AC253),COLUMN(AC253))),INDIRECT("'Yr2'!"&amp;ADDRESS(ROW(AC253),COLUMN(AC253))),INDIRECT("'Yr3'!"&amp;ADDRESS(ROW(AC253),COLUMN(AC253)))),
IF(AC249&gt;0,SUMIFS('EE Inputs'!$I$9:$I$32,'EE Inputs'!$C$9:$C$32,$G$6,'EE Inputs'!$D$9:$D$32,$C$4,'EE Inputs'!$E$9:$E$32,$B253)/SUMIFS('EE Inputs'!$V$9:$V$32,'EE Inputs'!$C$9:$C$32,$G$6,'EE Inputs'!$D$9:$D$32,$C$4,'EE Inputs'!$E$9:$E$32,$B253)*10,0))</f>
        <v>0</v>
      </c>
      <c r="AD253" s="64">
        <f ca="1">IF($C$4=Lookups!$D$40,SUM(INDIRECT("'Yr1'!"&amp;ADDRESS(ROW(AD253),COLUMN(AD253))),INDIRECT("'Yr2'!"&amp;ADDRESS(ROW(AD253),COLUMN(AD253))),INDIRECT("'Yr3'!"&amp;ADDRESS(ROW(AD253),COLUMN(AD253)))),
IF(AD249&gt;0,SUMIFS('EE Inputs'!$I$9:$I$32,'EE Inputs'!$C$9:$C$32,$G$6,'EE Inputs'!$D$9:$D$32,$C$4,'EE Inputs'!$E$9:$E$32,$B253)/SUMIFS('EE Inputs'!$V$9:$V$32,'EE Inputs'!$C$9:$C$32,$G$6,'EE Inputs'!$D$9:$D$32,$C$4,'EE Inputs'!$E$9:$E$32,$B253)*10,0))</f>
        <v>0</v>
      </c>
      <c r="AE253" s="64">
        <f ca="1">IF($C$4=Lookups!$D$40,SUM(INDIRECT("'Yr1'!"&amp;ADDRESS(ROW(AE253),COLUMN(AE253))),INDIRECT("'Yr2'!"&amp;ADDRESS(ROW(AE253),COLUMN(AE253))),INDIRECT("'Yr3'!"&amp;ADDRESS(ROW(AE253),COLUMN(AE253)))),
IF(AE249&gt;0,SUMIFS('EE Inputs'!$I$9:$I$32,'EE Inputs'!$C$9:$C$32,$G$6,'EE Inputs'!$D$9:$D$32,$C$4,'EE Inputs'!$E$9:$E$32,$B253)/SUMIFS('EE Inputs'!$V$9:$V$32,'EE Inputs'!$C$9:$C$32,$G$6,'EE Inputs'!$D$9:$D$32,$C$4,'EE Inputs'!$E$9:$E$32,$B253)*10,0))</f>
        <v>0</v>
      </c>
      <c r="AF253" s="64">
        <f ca="1">IF($C$4=Lookups!$D$40,SUM(INDIRECT("'Yr1'!"&amp;ADDRESS(ROW(AF253),COLUMN(AF253))),INDIRECT("'Yr2'!"&amp;ADDRESS(ROW(AF253),COLUMN(AF253))),INDIRECT("'Yr3'!"&amp;ADDRESS(ROW(AF253),COLUMN(AF253)))),
IF(AF249&gt;0,SUMIFS('EE Inputs'!$I$9:$I$32,'EE Inputs'!$C$9:$C$32,$G$6,'EE Inputs'!$D$9:$D$32,$C$4,'EE Inputs'!$E$9:$E$32,$B253)/SUMIFS('EE Inputs'!$V$9:$V$32,'EE Inputs'!$C$9:$C$32,$G$6,'EE Inputs'!$D$9:$D$32,$C$4,'EE Inputs'!$E$9:$E$32,$B253)*10,0))</f>
        <v>0</v>
      </c>
      <c r="AG253" s="64">
        <f ca="1">IF($C$4=Lookups!$D$40,SUM(INDIRECT("'Yr1'!"&amp;ADDRESS(ROW(AG253),COLUMN(AG253))),INDIRECT("'Yr2'!"&amp;ADDRESS(ROW(AG253),COLUMN(AG253))),INDIRECT("'Yr3'!"&amp;ADDRESS(ROW(AG253),COLUMN(AG253)))),
IF(AG249&gt;0,SUMIFS('EE Inputs'!$I$9:$I$32,'EE Inputs'!$C$9:$C$32,$G$6,'EE Inputs'!$D$9:$D$32,$C$4,'EE Inputs'!$E$9:$E$32,$B253)/SUMIFS('EE Inputs'!$V$9:$V$32,'EE Inputs'!$C$9:$C$32,$G$6,'EE Inputs'!$D$9:$D$32,$C$4,'EE Inputs'!$E$9:$E$32,$B253)*10,0))</f>
        <v>0</v>
      </c>
      <c r="AH253" s="64"/>
      <c r="AI253" s="64">
        <f t="shared" ca="1" si="274"/>
        <v>12060805.11510144</v>
      </c>
      <c r="AJ253" s="64"/>
      <c r="AM253" s="71">
        <f ca="1">IF($C$4=Lookups!$D$40,SUM(INDIRECT("'Yr1'!"&amp;ADDRESS(ROW(AM253),COLUMN(AM253))),INDIRECT("'Yr2'!"&amp;ADDRESS(ROW(AM253),COLUMN(AM253))),INDIRECT("'Yr3'!"&amp;ADDRESS(ROW(AM253),COLUMN(AM253)))),
IF(AM249&gt;0,SUMIFS('EE Inputs'!$I$9:$I$32,'EE Inputs'!$C$9:$C$32,$AM$6,'EE Inputs'!$D$9:$D$32,$C$4,'EE Inputs'!$E$9:$E$32,$B253)/SUMIFS('EE Inputs'!$V$9:$V$32,'EE Inputs'!$C$9:$C$32,$AM$6,'EE Inputs'!$D$9:$D$32,$C$4,'EE Inputs'!$E$9:$E$32,$B253)*10,0))</f>
        <v>1060290.5595693574</v>
      </c>
      <c r="AN253" s="71">
        <f ca="1">IF($C$4=Lookups!$D$40,SUM(INDIRECT("'Yr1'!"&amp;ADDRESS(ROW(AN253),COLUMN(AN253))),INDIRECT("'Yr2'!"&amp;ADDRESS(ROW(AN253),COLUMN(AN253))),INDIRECT("'Yr3'!"&amp;ADDRESS(ROW(AN253),COLUMN(AN253)))),
IF(AN249&gt;0,SUMIFS('EE Inputs'!$I$9:$I$32,'EE Inputs'!$C$9:$C$32,$AM$6,'EE Inputs'!$D$9:$D$32,$C$4,'EE Inputs'!$E$9:$E$32,$B253)/SUMIFS('EE Inputs'!$V$9:$V$32,'EE Inputs'!$C$9:$C$32,$AM$6,'EE Inputs'!$D$9:$D$32,$C$4,'EE Inputs'!$E$9:$E$32,$B253)*10,0))</f>
        <v>1060290.5595693574</v>
      </c>
      <c r="AO253" s="71">
        <f ca="1">IF($C$4=Lookups!$D$40,SUM(INDIRECT("'Yr1'!"&amp;ADDRESS(ROW(AO253),COLUMN(AO253))),INDIRECT("'Yr2'!"&amp;ADDRESS(ROW(AO253),COLUMN(AO253))),INDIRECT("'Yr3'!"&amp;ADDRESS(ROW(AO253),COLUMN(AO253)))),
IF(AO249&gt;0,SUMIFS('EE Inputs'!$I$9:$I$32,'EE Inputs'!$C$9:$C$32,$AM$6,'EE Inputs'!$D$9:$D$32,$C$4,'EE Inputs'!$E$9:$E$32,$B253)/SUMIFS('EE Inputs'!$V$9:$V$32,'EE Inputs'!$C$9:$C$32,$AM$6,'EE Inputs'!$D$9:$D$32,$C$4,'EE Inputs'!$E$9:$E$32,$B253)*10,0))</f>
        <v>1060290.5595693574</v>
      </c>
      <c r="AP253" s="71">
        <f ca="1">IF($C$4=Lookups!$D$40,SUM(INDIRECT("'Yr1'!"&amp;ADDRESS(ROW(AP253),COLUMN(AP253))),INDIRECT("'Yr2'!"&amp;ADDRESS(ROW(AP253),COLUMN(AP253))),INDIRECT("'Yr3'!"&amp;ADDRESS(ROW(AP253),COLUMN(AP253)))),
IF(AP249&gt;0,SUMIFS('EE Inputs'!$I$9:$I$32,'EE Inputs'!$C$9:$C$32,$AM$6,'EE Inputs'!$D$9:$D$32,$C$4,'EE Inputs'!$E$9:$E$32,$B253)/SUMIFS('EE Inputs'!$V$9:$V$32,'EE Inputs'!$C$9:$C$32,$AM$6,'EE Inputs'!$D$9:$D$32,$C$4,'EE Inputs'!$E$9:$E$32,$B253)*10,0))</f>
        <v>1060290.5595693574</v>
      </c>
      <c r="AQ253" s="71">
        <f ca="1">IF($C$4=Lookups!$D$40,SUM(INDIRECT("'Yr1'!"&amp;ADDRESS(ROW(AQ253),COLUMN(AQ253))),INDIRECT("'Yr2'!"&amp;ADDRESS(ROW(AQ253),COLUMN(AQ253))),INDIRECT("'Yr3'!"&amp;ADDRESS(ROW(AQ253),COLUMN(AQ253)))),
IF(AQ249&gt;0,SUMIFS('EE Inputs'!$I$9:$I$32,'EE Inputs'!$C$9:$C$32,$AM$6,'EE Inputs'!$D$9:$D$32,$C$4,'EE Inputs'!$E$9:$E$32,$B253)/SUMIFS('EE Inputs'!$V$9:$V$32,'EE Inputs'!$C$9:$C$32,$AM$6,'EE Inputs'!$D$9:$D$32,$C$4,'EE Inputs'!$E$9:$E$32,$B253)*10,0))</f>
        <v>1060290.5595693574</v>
      </c>
      <c r="AR253" s="71">
        <f ca="1">IF($C$4=Lookups!$D$40,SUM(INDIRECT("'Yr1'!"&amp;ADDRESS(ROW(AR253),COLUMN(AR253))),INDIRECT("'Yr2'!"&amp;ADDRESS(ROW(AR253),COLUMN(AR253))),INDIRECT("'Yr3'!"&amp;ADDRESS(ROW(AR253),COLUMN(AR253)))),
IF(AR249&gt;0,SUMIFS('EE Inputs'!$I$9:$I$32,'EE Inputs'!$C$9:$C$32,$AM$6,'EE Inputs'!$D$9:$D$32,$C$4,'EE Inputs'!$E$9:$E$32,$B253)/SUMIFS('EE Inputs'!$V$9:$V$32,'EE Inputs'!$C$9:$C$32,$AM$6,'EE Inputs'!$D$9:$D$32,$C$4,'EE Inputs'!$E$9:$E$32,$B253)*10,0))</f>
        <v>1060290.5595693574</v>
      </c>
      <c r="AS253" s="71">
        <f ca="1">IF($C$4=Lookups!$D$40,SUM(INDIRECT("'Yr1'!"&amp;ADDRESS(ROW(AS253),COLUMN(AS253))),INDIRECT("'Yr2'!"&amp;ADDRESS(ROW(AS253),COLUMN(AS253))),INDIRECT("'Yr3'!"&amp;ADDRESS(ROW(AS253),COLUMN(AS253)))),
IF(AS249&gt;0,SUMIFS('EE Inputs'!$I$9:$I$32,'EE Inputs'!$C$9:$C$32,$AM$6,'EE Inputs'!$D$9:$D$32,$C$4,'EE Inputs'!$E$9:$E$32,$B253)/SUMIFS('EE Inputs'!$V$9:$V$32,'EE Inputs'!$C$9:$C$32,$AM$6,'EE Inputs'!$D$9:$D$32,$C$4,'EE Inputs'!$E$9:$E$32,$B253)*10,0))</f>
        <v>1060290.5595693574</v>
      </c>
      <c r="AT253" s="71">
        <f ca="1">IF($C$4=Lookups!$D$40,SUM(INDIRECT("'Yr1'!"&amp;ADDRESS(ROW(AT253),COLUMN(AT253))),INDIRECT("'Yr2'!"&amp;ADDRESS(ROW(AT253),COLUMN(AT253))),INDIRECT("'Yr3'!"&amp;ADDRESS(ROW(AT253),COLUMN(AT253)))),
IF(AT249&gt;0,SUMIFS('EE Inputs'!$I$9:$I$32,'EE Inputs'!$C$9:$C$32,$AM$6,'EE Inputs'!$D$9:$D$32,$C$4,'EE Inputs'!$E$9:$E$32,$B253)/SUMIFS('EE Inputs'!$V$9:$V$32,'EE Inputs'!$C$9:$C$32,$AM$6,'EE Inputs'!$D$9:$D$32,$C$4,'EE Inputs'!$E$9:$E$32,$B253)*10,0))</f>
        <v>1060290.5595693574</v>
      </c>
      <c r="AU253" s="71">
        <f ca="1">IF($C$4=Lookups!$D$40,SUM(INDIRECT("'Yr1'!"&amp;ADDRESS(ROW(AU253),COLUMN(AU253))),INDIRECT("'Yr2'!"&amp;ADDRESS(ROW(AU253),COLUMN(AU253))),INDIRECT("'Yr3'!"&amp;ADDRESS(ROW(AU253),COLUMN(AU253)))),
IF(AU249&gt;0,SUMIFS('EE Inputs'!$I$9:$I$32,'EE Inputs'!$C$9:$C$32,$AM$6,'EE Inputs'!$D$9:$D$32,$C$4,'EE Inputs'!$E$9:$E$32,$B253)/SUMIFS('EE Inputs'!$V$9:$V$32,'EE Inputs'!$C$9:$C$32,$AM$6,'EE Inputs'!$D$9:$D$32,$C$4,'EE Inputs'!$E$9:$E$32,$B253)*10,0))</f>
        <v>1060290.5595693574</v>
      </c>
      <c r="AV253" s="71">
        <f ca="1">IF($C$4=Lookups!$D$40,SUM(INDIRECT("'Yr1'!"&amp;ADDRESS(ROW(AV253),COLUMN(AV253))),INDIRECT("'Yr2'!"&amp;ADDRESS(ROW(AV253),COLUMN(AV253))),INDIRECT("'Yr3'!"&amp;ADDRESS(ROW(AV253),COLUMN(AV253)))),
IF(AV249&gt;0,SUMIFS('EE Inputs'!$I$9:$I$32,'EE Inputs'!$C$9:$C$32,$AM$6,'EE Inputs'!$D$9:$D$32,$C$4,'EE Inputs'!$E$9:$E$32,$B253)/SUMIFS('EE Inputs'!$V$9:$V$32,'EE Inputs'!$C$9:$C$32,$AM$6,'EE Inputs'!$D$9:$D$32,$C$4,'EE Inputs'!$E$9:$E$32,$B253)*10,0))</f>
        <v>1060290.5595693574</v>
      </c>
      <c r="AW253" s="71">
        <f ca="1">IF($C$4=Lookups!$D$40,SUM(INDIRECT("'Yr1'!"&amp;ADDRESS(ROW(AW253),COLUMN(AW253))),INDIRECT("'Yr2'!"&amp;ADDRESS(ROW(AW253),COLUMN(AW253))),INDIRECT("'Yr3'!"&amp;ADDRESS(ROW(AW253),COLUMN(AW253)))),
IF(AW249&gt;0,SUMIFS('EE Inputs'!$I$9:$I$32,'EE Inputs'!$C$9:$C$32,$AM$6,'EE Inputs'!$D$9:$D$32,$C$4,'EE Inputs'!$E$9:$E$32,$B253)/SUMIFS('EE Inputs'!$V$9:$V$32,'EE Inputs'!$C$9:$C$32,$AM$6,'EE Inputs'!$D$9:$D$32,$C$4,'EE Inputs'!$E$9:$E$32,$B253)*10,0))</f>
        <v>1060290.5595693574</v>
      </c>
      <c r="AX253" s="71">
        <f ca="1">IF($C$4=Lookups!$D$40,SUM(INDIRECT("'Yr1'!"&amp;ADDRESS(ROW(AX253),COLUMN(AX253))),INDIRECT("'Yr2'!"&amp;ADDRESS(ROW(AX253),COLUMN(AX253))),INDIRECT("'Yr3'!"&amp;ADDRESS(ROW(AX253),COLUMN(AX253)))),
IF(AX249&gt;0,SUMIFS('EE Inputs'!$I$9:$I$32,'EE Inputs'!$C$9:$C$32,$AM$6,'EE Inputs'!$D$9:$D$32,$C$4,'EE Inputs'!$E$9:$E$32,$B253)/SUMIFS('EE Inputs'!$V$9:$V$32,'EE Inputs'!$C$9:$C$32,$AM$6,'EE Inputs'!$D$9:$D$32,$C$4,'EE Inputs'!$E$9:$E$32,$B253)*10,0))</f>
        <v>1060290.5595693574</v>
      </c>
      <c r="AY253" s="71">
        <f ca="1">IF($C$4=Lookups!$D$40,SUM(INDIRECT("'Yr1'!"&amp;ADDRESS(ROW(AY253),COLUMN(AY253))),INDIRECT("'Yr2'!"&amp;ADDRESS(ROW(AY253),COLUMN(AY253))),INDIRECT("'Yr3'!"&amp;ADDRESS(ROW(AY253),COLUMN(AY253)))),
IF(AY249&gt;0,SUMIFS('EE Inputs'!$I$9:$I$32,'EE Inputs'!$C$9:$C$32,$AM$6,'EE Inputs'!$D$9:$D$32,$C$4,'EE Inputs'!$E$9:$E$32,$B253)/SUMIFS('EE Inputs'!$V$9:$V$32,'EE Inputs'!$C$9:$C$32,$AM$6,'EE Inputs'!$D$9:$D$32,$C$4,'EE Inputs'!$E$9:$E$32,$B253)*10,0))</f>
        <v>1060290.5595693574</v>
      </c>
      <c r="AZ253" s="71">
        <f ca="1">IF($C$4=Lookups!$D$40,SUM(INDIRECT("'Yr1'!"&amp;ADDRESS(ROW(AZ253),COLUMN(AZ253))),INDIRECT("'Yr2'!"&amp;ADDRESS(ROW(AZ253),COLUMN(AZ253))),INDIRECT("'Yr3'!"&amp;ADDRESS(ROW(AZ253),COLUMN(AZ253)))),
IF(AZ249&gt;0,SUMIFS('EE Inputs'!$I$9:$I$32,'EE Inputs'!$C$9:$C$32,$AM$6,'EE Inputs'!$D$9:$D$32,$C$4,'EE Inputs'!$E$9:$E$32,$B253)/SUMIFS('EE Inputs'!$V$9:$V$32,'EE Inputs'!$C$9:$C$32,$AM$6,'EE Inputs'!$D$9:$D$32,$C$4,'EE Inputs'!$E$9:$E$32,$B253)*10,0))</f>
        <v>0</v>
      </c>
      <c r="BA253" s="71">
        <f ca="1">IF($C$4=Lookups!$D$40,SUM(INDIRECT("'Yr1'!"&amp;ADDRESS(ROW(BA253),COLUMN(BA253))),INDIRECT("'Yr2'!"&amp;ADDRESS(ROW(BA253),COLUMN(BA253))),INDIRECT("'Yr3'!"&amp;ADDRESS(ROW(BA253),COLUMN(BA253)))),
IF(BA249&gt;0,SUMIFS('EE Inputs'!$I$9:$I$32,'EE Inputs'!$C$9:$C$32,$AM$6,'EE Inputs'!$D$9:$D$32,$C$4,'EE Inputs'!$E$9:$E$32,$B253)/SUMIFS('EE Inputs'!$V$9:$V$32,'EE Inputs'!$C$9:$C$32,$AM$6,'EE Inputs'!$D$9:$D$32,$C$4,'EE Inputs'!$E$9:$E$32,$B253)*10,0))</f>
        <v>0</v>
      </c>
      <c r="BB253" s="71">
        <f ca="1">IF($C$4=Lookups!$D$40,SUM(INDIRECT("'Yr1'!"&amp;ADDRESS(ROW(BB253),COLUMN(BB253))),INDIRECT("'Yr2'!"&amp;ADDRESS(ROW(BB253),COLUMN(BB253))),INDIRECT("'Yr3'!"&amp;ADDRESS(ROW(BB253),COLUMN(BB253)))),
IF(BB249&gt;0,SUMIFS('EE Inputs'!$I$9:$I$32,'EE Inputs'!$C$9:$C$32,$AM$6,'EE Inputs'!$D$9:$D$32,$C$4,'EE Inputs'!$E$9:$E$32,$B253)/SUMIFS('EE Inputs'!$V$9:$V$32,'EE Inputs'!$C$9:$C$32,$AM$6,'EE Inputs'!$D$9:$D$32,$C$4,'EE Inputs'!$E$9:$E$32,$B253)*10,0))</f>
        <v>0</v>
      </c>
      <c r="BC253" s="71">
        <f ca="1">IF($C$4=Lookups!$D$40,SUM(INDIRECT("'Yr1'!"&amp;ADDRESS(ROW(BC253),COLUMN(BC253))),INDIRECT("'Yr2'!"&amp;ADDRESS(ROW(BC253),COLUMN(BC253))),INDIRECT("'Yr3'!"&amp;ADDRESS(ROW(BC253),COLUMN(BC253)))),
IF(BC249&gt;0,SUMIFS('EE Inputs'!$I$9:$I$32,'EE Inputs'!$C$9:$C$32,$AM$6,'EE Inputs'!$D$9:$D$32,$C$4,'EE Inputs'!$E$9:$E$32,$B253)/SUMIFS('EE Inputs'!$V$9:$V$32,'EE Inputs'!$C$9:$C$32,$AM$6,'EE Inputs'!$D$9:$D$32,$C$4,'EE Inputs'!$E$9:$E$32,$B253)*10,0))</f>
        <v>0</v>
      </c>
      <c r="BD253" s="71">
        <f ca="1">IF($C$4=Lookups!$D$40,SUM(INDIRECT("'Yr1'!"&amp;ADDRESS(ROW(BD253),COLUMN(BD253))),INDIRECT("'Yr2'!"&amp;ADDRESS(ROW(BD253),COLUMN(BD253))),INDIRECT("'Yr3'!"&amp;ADDRESS(ROW(BD253),COLUMN(BD253)))),
IF(BD249&gt;0,SUMIFS('EE Inputs'!$I$9:$I$32,'EE Inputs'!$C$9:$C$32,$AM$6,'EE Inputs'!$D$9:$D$32,$C$4,'EE Inputs'!$E$9:$E$32,$B253)/SUMIFS('EE Inputs'!$V$9:$V$32,'EE Inputs'!$C$9:$C$32,$AM$6,'EE Inputs'!$D$9:$D$32,$C$4,'EE Inputs'!$E$9:$E$32,$B253)*10,0))</f>
        <v>0</v>
      </c>
      <c r="BE253" s="71">
        <f ca="1">IF($C$4=Lookups!$D$40,SUM(INDIRECT("'Yr1'!"&amp;ADDRESS(ROW(BE253),COLUMN(BE253))),INDIRECT("'Yr2'!"&amp;ADDRESS(ROW(BE253),COLUMN(BE253))),INDIRECT("'Yr3'!"&amp;ADDRESS(ROW(BE253),COLUMN(BE253)))),
IF(BE249&gt;0,SUMIFS('EE Inputs'!$I$9:$I$32,'EE Inputs'!$C$9:$C$32,$AM$6,'EE Inputs'!$D$9:$D$32,$C$4,'EE Inputs'!$E$9:$E$32,$B253)/SUMIFS('EE Inputs'!$V$9:$V$32,'EE Inputs'!$C$9:$C$32,$AM$6,'EE Inputs'!$D$9:$D$32,$C$4,'EE Inputs'!$E$9:$E$32,$B253)*10,0))</f>
        <v>0</v>
      </c>
      <c r="BF253" s="71">
        <f ca="1">IF($C$4=Lookups!$D$40,SUM(INDIRECT("'Yr1'!"&amp;ADDRESS(ROW(BF253),COLUMN(BF253))),INDIRECT("'Yr2'!"&amp;ADDRESS(ROW(BF253),COLUMN(BF253))),INDIRECT("'Yr3'!"&amp;ADDRESS(ROW(BF253),COLUMN(BF253)))),
IF(BF249&gt;0,SUMIFS('EE Inputs'!$I$9:$I$32,'EE Inputs'!$C$9:$C$32,$AM$6,'EE Inputs'!$D$9:$D$32,$C$4,'EE Inputs'!$E$9:$E$32,$B253)/SUMIFS('EE Inputs'!$V$9:$V$32,'EE Inputs'!$C$9:$C$32,$AM$6,'EE Inputs'!$D$9:$D$32,$C$4,'EE Inputs'!$E$9:$E$32,$B253)*10,0))</f>
        <v>0</v>
      </c>
      <c r="BG253" s="71">
        <f ca="1">IF($C$4=Lookups!$D$40,SUM(INDIRECT("'Yr1'!"&amp;ADDRESS(ROW(BG253),COLUMN(BG253))),INDIRECT("'Yr2'!"&amp;ADDRESS(ROW(BG253),COLUMN(BG253))),INDIRECT("'Yr3'!"&amp;ADDRESS(ROW(BG253),COLUMN(BG253)))),
IF(BG249&gt;0,SUMIFS('EE Inputs'!$I$9:$I$32,'EE Inputs'!$C$9:$C$32,$AM$6,'EE Inputs'!$D$9:$D$32,$C$4,'EE Inputs'!$E$9:$E$32,$B253)/SUMIFS('EE Inputs'!$V$9:$V$32,'EE Inputs'!$C$9:$C$32,$AM$6,'EE Inputs'!$D$9:$D$32,$C$4,'EE Inputs'!$E$9:$E$32,$B253)*10,0))</f>
        <v>0</v>
      </c>
      <c r="BH253" s="71">
        <f ca="1">IF($C$4=Lookups!$D$40,SUM(INDIRECT("'Yr1'!"&amp;ADDRESS(ROW(BH253),COLUMN(BH253))),INDIRECT("'Yr2'!"&amp;ADDRESS(ROW(BH253),COLUMN(BH253))),INDIRECT("'Yr3'!"&amp;ADDRESS(ROW(BH253),COLUMN(BH253)))),
IF(BH249&gt;0,SUMIFS('EE Inputs'!$I$9:$I$32,'EE Inputs'!$C$9:$C$32,$AM$6,'EE Inputs'!$D$9:$D$32,$C$4,'EE Inputs'!$E$9:$E$32,$B253)/SUMIFS('EE Inputs'!$V$9:$V$32,'EE Inputs'!$C$9:$C$32,$AM$6,'EE Inputs'!$D$9:$D$32,$C$4,'EE Inputs'!$E$9:$E$32,$B253)*10,0))</f>
        <v>0</v>
      </c>
      <c r="BI253" s="71">
        <f ca="1">IF($C$4=Lookups!$D$40,SUM(INDIRECT("'Yr1'!"&amp;ADDRESS(ROW(BI253),COLUMN(BI253))),INDIRECT("'Yr2'!"&amp;ADDRESS(ROW(BI253),COLUMN(BI253))),INDIRECT("'Yr3'!"&amp;ADDRESS(ROW(BI253),COLUMN(BI253)))),
IF(BI249&gt;0,SUMIFS('EE Inputs'!$I$9:$I$32,'EE Inputs'!$C$9:$C$32,$AM$6,'EE Inputs'!$D$9:$D$32,$C$4,'EE Inputs'!$E$9:$E$32,$B253)/SUMIFS('EE Inputs'!$V$9:$V$32,'EE Inputs'!$C$9:$C$32,$AM$6,'EE Inputs'!$D$9:$D$32,$C$4,'EE Inputs'!$E$9:$E$32,$B253)*10,0))</f>
        <v>0</v>
      </c>
      <c r="BJ253" s="71">
        <f ca="1">IF($C$4=Lookups!$D$40,SUM(INDIRECT("'Yr1'!"&amp;ADDRESS(ROW(BJ253),COLUMN(BJ253))),INDIRECT("'Yr2'!"&amp;ADDRESS(ROW(BJ253),COLUMN(BJ253))),INDIRECT("'Yr3'!"&amp;ADDRESS(ROW(BJ253),COLUMN(BJ253)))),
IF(BJ249&gt;0,SUMIFS('EE Inputs'!$I$9:$I$32,'EE Inputs'!$C$9:$C$32,$AM$6,'EE Inputs'!$D$9:$D$32,$C$4,'EE Inputs'!$E$9:$E$32,$B253)/SUMIFS('EE Inputs'!$V$9:$V$32,'EE Inputs'!$C$9:$C$32,$AM$6,'EE Inputs'!$D$9:$D$32,$C$4,'EE Inputs'!$E$9:$E$32,$B253)*10,0))</f>
        <v>0</v>
      </c>
      <c r="BK253" s="71">
        <f ca="1">IF($C$4=Lookups!$D$40,SUM(INDIRECT("'Yr1'!"&amp;ADDRESS(ROW(BK253),COLUMN(BK253))),INDIRECT("'Yr2'!"&amp;ADDRESS(ROW(BK253),COLUMN(BK253))),INDIRECT("'Yr3'!"&amp;ADDRESS(ROW(BK253),COLUMN(BK253)))),
IF(BK249&gt;0,SUMIFS('EE Inputs'!$I$9:$I$32,'EE Inputs'!$C$9:$C$32,$AM$6,'EE Inputs'!$D$9:$D$32,$C$4,'EE Inputs'!$E$9:$E$32,$B253)/SUMIFS('EE Inputs'!$V$9:$V$32,'EE Inputs'!$C$9:$C$32,$AM$6,'EE Inputs'!$D$9:$D$32,$C$4,'EE Inputs'!$E$9:$E$32,$B253)*10,0))</f>
        <v>0</v>
      </c>
      <c r="BL253" s="71">
        <f ca="1">IF($C$4=Lookups!$D$40,SUM(INDIRECT("'Yr1'!"&amp;ADDRESS(ROW(BL253),COLUMN(BL253))),INDIRECT("'Yr2'!"&amp;ADDRESS(ROW(BL253),COLUMN(BL253))),INDIRECT("'Yr3'!"&amp;ADDRESS(ROW(BL253),COLUMN(BL253)))),
IF(BL249&gt;0,SUMIFS('EE Inputs'!$I$9:$I$32,'EE Inputs'!$C$9:$C$32,$AM$6,'EE Inputs'!$D$9:$D$32,$C$4,'EE Inputs'!$E$9:$E$32,$B253)/SUMIFS('EE Inputs'!$V$9:$V$32,'EE Inputs'!$C$9:$C$32,$AM$6,'EE Inputs'!$D$9:$D$32,$C$4,'EE Inputs'!$E$9:$E$32,$B253)*10,0))</f>
        <v>0</v>
      </c>
      <c r="BM253" s="71">
        <f ca="1">IF($C$4=Lookups!$D$40,SUM(INDIRECT("'Yr1'!"&amp;ADDRESS(ROW(BM253),COLUMN(BM253))),INDIRECT("'Yr2'!"&amp;ADDRESS(ROW(BM253),COLUMN(BM253))),INDIRECT("'Yr3'!"&amp;ADDRESS(ROW(BM253),COLUMN(BM253)))),
IF(BM249&gt;0,SUMIFS('EE Inputs'!$I$9:$I$32,'EE Inputs'!$C$9:$C$32,$AM$6,'EE Inputs'!$D$9:$D$32,$C$4,'EE Inputs'!$E$9:$E$32,$B253)/SUMIFS('EE Inputs'!$V$9:$V$32,'EE Inputs'!$C$9:$C$32,$AM$6,'EE Inputs'!$D$9:$D$32,$C$4,'EE Inputs'!$E$9:$E$32,$B253)*10,0))</f>
        <v>0</v>
      </c>
      <c r="BN253" s="71"/>
      <c r="BO253" s="71">
        <f t="shared" ca="1" si="275"/>
        <v>13783777.274401642</v>
      </c>
      <c r="BP253" s="71"/>
      <c r="BS253" s="84" t="s">
        <v>92</v>
      </c>
      <c r="BT253" s="51" t="s">
        <v>17</v>
      </c>
    </row>
    <row r="254" spans="1:72" x14ac:dyDescent="0.25">
      <c r="B254" s="243" t="str">
        <f t="shared" si="273"/>
        <v>Large C&amp;I</v>
      </c>
      <c r="C254" s="243" t="str">
        <f>C253</f>
        <v>Sales</v>
      </c>
      <c r="D254" s="244" t="s">
        <v>109</v>
      </c>
      <c r="E254" s="85" t="s">
        <v>109</v>
      </c>
      <c r="F254" s="84" t="s">
        <v>195</v>
      </c>
      <c r="G254" s="65">
        <f ca="1">G252-G253</f>
        <v>10335650.896807782</v>
      </c>
      <c r="H254" s="65">
        <f t="shared" ref="H254:AG254" ca="1" si="276">H252-H253</f>
        <v>10335650.896807782</v>
      </c>
      <c r="I254" s="65">
        <f t="shared" ca="1" si="276"/>
        <v>10335650.896807782</v>
      </c>
      <c r="J254" s="65">
        <f t="shared" ca="1" si="276"/>
        <v>10335650.896807782</v>
      </c>
      <c r="K254" s="65">
        <f t="shared" ca="1" si="276"/>
        <v>10335650.896807782</v>
      </c>
      <c r="L254" s="65">
        <f t="shared" ca="1" si="276"/>
        <v>10335650.896807782</v>
      </c>
      <c r="M254" s="65">
        <f t="shared" ca="1" si="276"/>
        <v>10335650.896807782</v>
      </c>
      <c r="N254" s="65">
        <f t="shared" ca="1" si="276"/>
        <v>10335650.896807782</v>
      </c>
      <c r="O254" s="65">
        <f t="shared" ca="1" si="276"/>
        <v>10335650.896807782</v>
      </c>
      <c r="P254" s="65">
        <f t="shared" ca="1" si="276"/>
        <v>10335650.896807782</v>
      </c>
      <c r="Q254" s="65">
        <f t="shared" ca="1" si="276"/>
        <v>10335650.896807782</v>
      </c>
      <c r="R254" s="65">
        <f t="shared" ca="1" si="276"/>
        <v>10335650.896807782</v>
      </c>
      <c r="S254" s="65">
        <f t="shared" ca="1" si="276"/>
        <v>10335650.896807782</v>
      </c>
      <c r="T254" s="65">
        <f t="shared" ca="1" si="276"/>
        <v>11263405.136430969</v>
      </c>
      <c r="U254" s="65">
        <f t="shared" ca="1" si="276"/>
        <v>11263405.136430969</v>
      </c>
      <c r="V254" s="65">
        <f t="shared" ca="1" si="276"/>
        <v>11263405.136430969</v>
      </c>
      <c r="W254" s="65">
        <f t="shared" ca="1" si="276"/>
        <v>11263405.136430969</v>
      </c>
      <c r="X254" s="65">
        <f t="shared" ca="1" si="276"/>
        <v>11263405.136430969</v>
      </c>
      <c r="Y254" s="65">
        <f t="shared" ca="1" si="276"/>
        <v>11263405.136430969</v>
      </c>
      <c r="Z254" s="65">
        <f t="shared" ca="1" si="276"/>
        <v>11263405.136430969</v>
      </c>
      <c r="AA254" s="65">
        <f t="shared" ca="1" si="276"/>
        <v>11263405.136430969</v>
      </c>
      <c r="AB254" s="65">
        <f t="shared" ca="1" si="276"/>
        <v>11263405.136430969</v>
      </c>
      <c r="AC254" s="65">
        <f t="shared" ca="1" si="276"/>
        <v>11263405.136430969</v>
      </c>
      <c r="AD254" s="65">
        <f t="shared" ca="1" si="276"/>
        <v>11263405.136430969</v>
      </c>
      <c r="AE254" s="65">
        <f t="shared" ca="1" si="276"/>
        <v>11263405.136430969</v>
      </c>
      <c r="AF254" s="65">
        <f t="shared" ca="1" si="276"/>
        <v>11263405.136430969</v>
      </c>
      <c r="AG254" s="65">
        <f t="shared" ca="1" si="276"/>
        <v>11263405.136430969</v>
      </c>
      <c r="AH254" s="65"/>
      <c r="AI254" s="65">
        <f t="shared" ca="1" si="274"/>
        <v>292051133.56853491</v>
      </c>
      <c r="AJ254" s="65"/>
      <c r="AM254" s="72">
        <f ca="1">AM252-AM253</f>
        <v>10203114.576861612</v>
      </c>
      <c r="AN254" s="72">
        <f t="shared" ref="AN254:BM254" ca="1" si="277">AN252-AN253</f>
        <v>10203114.576861612</v>
      </c>
      <c r="AO254" s="72">
        <f t="shared" ca="1" si="277"/>
        <v>10203114.576861612</v>
      </c>
      <c r="AP254" s="72">
        <f t="shared" ca="1" si="277"/>
        <v>10203114.576861612</v>
      </c>
      <c r="AQ254" s="72">
        <f t="shared" ca="1" si="277"/>
        <v>10203114.576861612</v>
      </c>
      <c r="AR254" s="72">
        <f t="shared" ca="1" si="277"/>
        <v>10203114.576861612</v>
      </c>
      <c r="AS254" s="72">
        <f t="shared" ca="1" si="277"/>
        <v>10203114.576861612</v>
      </c>
      <c r="AT254" s="72">
        <f t="shared" ca="1" si="277"/>
        <v>10203114.576861612</v>
      </c>
      <c r="AU254" s="72">
        <f t="shared" ca="1" si="277"/>
        <v>10203114.576861612</v>
      </c>
      <c r="AV254" s="72">
        <f t="shared" ca="1" si="277"/>
        <v>10203114.576861612</v>
      </c>
      <c r="AW254" s="72">
        <f t="shared" ca="1" si="277"/>
        <v>10203114.576861612</v>
      </c>
      <c r="AX254" s="72">
        <f t="shared" ca="1" si="277"/>
        <v>10203114.576861612</v>
      </c>
      <c r="AY254" s="72">
        <f t="shared" ca="1" si="277"/>
        <v>10203114.576861612</v>
      </c>
      <c r="AZ254" s="72">
        <f t="shared" ca="1" si="277"/>
        <v>11263405.136430969</v>
      </c>
      <c r="BA254" s="72">
        <f t="shared" ca="1" si="277"/>
        <v>11263405.136430969</v>
      </c>
      <c r="BB254" s="72">
        <f t="shared" ca="1" si="277"/>
        <v>11263405.136430969</v>
      </c>
      <c r="BC254" s="72">
        <f t="shared" ca="1" si="277"/>
        <v>11263405.136430969</v>
      </c>
      <c r="BD254" s="72">
        <f t="shared" ca="1" si="277"/>
        <v>11263405.136430969</v>
      </c>
      <c r="BE254" s="72">
        <f t="shared" ca="1" si="277"/>
        <v>11263405.136430969</v>
      </c>
      <c r="BF254" s="72">
        <f t="shared" ca="1" si="277"/>
        <v>11263405.136430969</v>
      </c>
      <c r="BG254" s="72">
        <f t="shared" ca="1" si="277"/>
        <v>11263405.136430969</v>
      </c>
      <c r="BH254" s="72">
        <f t="shared" ca="1" si="277"/>
        <v>11263405.136430969</v>
      </c>
      <c r="BI254" s="72">
        <f t="shared" ca="1" si="277"/>
        <v>11263405.136430969</v>
      </c>
      <c r="BJ254" s="72">
        <f t="shared" ca="1" si="277"/>
        <v>11263405.136430969</v>
      </c>
      <c r="BK254" s="72">
        <f t="shared" ca="1" si="277"/>
        <v>11263405.136430969</v>
      </c>
      <c r="BL254" s="72">
        <f t="shared" ca="1" si="277"/>
        <v>11263405.136430969</v>
      </c>
      <c r="BM254" s="72">
        <f t="shared" ca="1" si="277"/>
        <v>11263405.136430969</v>
      </c>
      <c r="BN254" s="72"/>
      <c r="BO254" s="72">
        <f t="shared" ca="1" si="275"/>
        <v>290328161.4092347</v>
      </c>
      <c r="BP254" s="72"/>
      <c r="BS254" s="84" t="s">
        <v>93</v>
      </c>
      <c r="BT254" s="51" t="s">
        <v>17</v>
      </c>
    </row>
    <row r="255" spans="1:72" s="5" customFormat="1" x14ac:dyDescent="0.25">
      <c r="A255" s="52"/>
      <c r="B255" s="242" t="str">
        <f t="shared" si="273"/>
        <v>Large C&amp;I</v>
      </c>
      <c r="C255" s="243" t="str">
        <f>C254</f>
        <v>Sales</v>
      </c>
      <c r="D255" s="77" t="s">
        <v>17</v>
      </c>
      <c r="E255" s="76"/>
      <c r="F255" s="76"/>
      <c r="G255" s="468"/>
      <c r="H255" s="468"/>
      <c r="I255" s="468"/>
      <c r="J255" s="468"/>
      <c r="K255" s="468"/>
      <c r="L255" s="468"/>
      <c r="M255" s="468"/>
      <c r="N255" s="468"/>
      <c r="O255" s="468"/>
      <c r="P255" s="468"/>
      <c r="Q255" s="468"/>
      <c r="R255" s="468"/>
      <c r="S255" s="468"/>
      <c r="T255" s="468"/>
      <c r="U255" s="468"/>
      <c r="V255" s="468"/>
      <c r="W255" s="468"/>
      <c r="X255" s="468"/>
      <c r="Y255" s="468"/>
      <c r="Z255" s="468"/>
      <c r="AA255" s="468"/>
      <c r="AB255" s="468"/>
      <c r="AC255" s="468"/>
      <c r="AD255" s="468"/>
      <c r="AE255" s="468"/>
      <c r="AF255" s="468"/>
      <c r="AG255" s="468"/>
      <c r="AH255" s="48"/>
      <c r="AI255" s="235"/>
      <c r="AJ255" s="48"/>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S255" s="76"/>
      <c r="BT255" s="51" t="s">
        <v>17</v>
      </c>
    </row>
    <row r="256" spans="1:72" s="5" customFormat="1" ht="15.75" x14ac:dyDescent="0.25">
      <c r="A256" s="52"/>
      <c r="B256" s="241" t="str">
        <f t="shared" si="273"/>
        <v>Large C&amp;I</v>
      </c>
      <c r="C256" s="63" t="s">
        <v>124</v>
      </c>
      <c r="D256" s="61"/>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2"/>
      <c r="BO256" s="62"/>
      <c r="BP256" s="62"/>
      <c r="BS256" s="62"/>
      <c r="BT256" s="51" t="s">
        <v>17</v>
      </c>
    </row>
    <row r="257" spans="1:72" x14ac:dyDescent="0.25">
      <c r="B257" s="243" t="str">
        <f t="shared" si="273"/>
        <v>Large C&amp;I</v>
      </c>
      <c r="C257" s="243" t="str">
        <f t="shared" si="273"/>
        <v>Revenue Requirements</v>
      </c>
      <c r="D257" s="114" t="str">
        <f>"Revenue Requirement before DSM ("&amp;Lookups!$D$22&amp;" Scenario)"</f>
        <v>Revenue Requirement before DSM (No EE Scenario)</v>
      </c>
      <c r="E257" s="84"/>
      <c r="F257" s="84"/>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S257" s="84"/>
      <c r="BT257" s="51" t="s">
        <v>17</v>
      </c>
    </row>
    <row r="258" spans="1:72" x14ac:dyDescent="0.25">
      <c r="B258" s="243" t="str">
        <f t="shared" si="273"/>
        <v>Large C&amp;I</v>
      </c>
      <c r="C258" s="243" t="str">
        <f t="shared" si="273"/>
        <v>Revenue Requirements</v>
      </c>
      <c r="D258" s="244" t="str">
        <f>D257</f>
        <v>Revenue Requirement before DSM (No EE Scenario)</v>
      </c>
      <c r="E258" s="84" t="s">
        <v>26</v>
      </c>
      <c r="F258" s="84" t="s">
        <v>32</v>
      </c>
      <c r="G258" s="65">
        <f>G275*G252</f>
        <v>1330208.1466124975</v>
      </c>
      <c r="H258" s="65">
        <f t="shared" ref="H258:AG258" si="278">H275*H252</f>
        <v>1330208.1466124975</v>
      </c>
      <c r="I258" s="65">
        <f t="shared" si="278"/>
        <v>1330208.1466124975</v>
      </c>
      <c r="J258" s="65">
        <f t="shared" si="278"/>
        <v>1330208.1466124975</v>
      </c>
      <c r="K258" s="65">
        <f t="shared" si="278"/>
        <v>1330208.1466124975</v>
      </c>
      <c r="L258" s="65">
        <f t="shared" si="278"/>
        <v>1330208.1466124975</v>
      </c>
      <c r="M258" s="65">
        <f t="shared" si="278"/>
        <v>1330208.1466124975</v>
      </c>
      <c r="N258" s="65">
        <f t="shared" si="278"/>
        <v>1330208.1466124975</v>
      </c>
      <c r="O258" s="65">
        <f t="shared" si="278"/>
        <v>1330208.1466124975</v>
      </c>
      <c r="P258" s="65">
        <f t="shared" si="278"/>
        <v>1330208.1466124975</v>
      </c>
      <c r="Q258" s="65">
        <f t="shared" si="278"/>
        <v>1330208.1466124975</v>
      </c>
      <c r="R258" s="65">
        <f t="shared" si="278"/>
        <v>1330208.1466124975</v>
      </c>
      <c r="S258" s="65">
        <f t="shared" si="278"/>
        <v>1330208.1466124975</v>
      </c>
      <c r="T258" s="65">
        <f t="shared" si="278"/>
        <v>1330208.1466124975</v>
      </c>
      <c r="U258" s="65">
        <f t="shared" si="278"/>
        <v>1330208.1466124975</v>
      </c>
      <c r="V258" s="65">
        <f t="shared" si="278"/>
        <v>1330208.1466124975</v>
      </c>
      <c r="W258" s="65">
        <f t="shared" si="278"/>
        <v>1330208.1466124975</v>
      </c>
      <c r="X258" s="65">
        <f t="shared" si="278"/>
        <v>1330208.1466124975</v>
      </c>
      <c r="Y258" s="65">
        <f t="shared" si="278"/>
        <v>1330208.1466124975</v>
      </c>
      <c r="Z258" s="65">
        <f t="shared" si="278"/>
        <v>1330208.1466124975</v>
      </c>
      <c r="AA258" s="65">
        <f t="shared" si="278"/>
        <v>1330208.1466124975</v>
      </c>
      <c r="AB258" s="65">
        <f t="shared" si="278"/>
        <v>1330208.1466124975</v>
      </c>
      <c r="AC258" s="65">
        <f t="shared" si="278"/>
        <v>1330208.1466124975</v>
      </c>
      <c r="AD258" s="65">
        <f t="shared" si="278"/>
        <v>1330208.1466124975</v>
      </c>
      <c r="AE258" s="65">
        <f t="shared" si="278"/>
        <v>1330208.1466124975</v>
      </c>
      <c r="AF258" s="65">
        <f t="shared" si="278"/>
        <v>1330208.1466124975</v>
      </c>
      <c r="AG258" s="65">
        <f t="shared" si="278"/>
        <v>1330208.1466124975</v>
      </c>
      <c r="AH258" s="65"/>
      <c r="AI258" s="65">
        <f>NPV(Lookups!$E$17,G258:AG258)</f>
        <v>29681384.162399869</v>
      </c>
      <c r="AJ258" s="65"/>
      <c r="AM258" s="72">
        <f>AM275*AM252</f>
        <v>1330208.1466124975</v>
      </c>
      <c r="AN258" s="72">
        <f t="shared" ref="AN258:BM258" si="279">AN275*AN252</f>
        <v>1330208.1466124975</v>
      </c>
      <c r="AO258" s="72">
        <f t="shared" si="279"/>
        <v>1330208.1466124975</v>
      </c>
      <c r="AP258" s="72">
        <f t="shared" si="279"/>
        <v>1330208.1466124975</v>
      </c>
      <c r="AQ258" s="72">
        <f t="shared" si="279"/>
        <v>1330208.1466124975</v>
      </c>
      <c r="AR258" s="72">
        <f t="shared" si="279"/>
        <v>1330208.1466124975</v>
      </c>
      <c r="AS258" s="72">
        <f t="shared" si="279"/>
        <v>1330208.1466124975</v>
      </c>
      <c r="AT258" s="72">
        <f t="shared" si="279"/>
        <v>1330208.1466124975</v>
      </c>
      <c r="AU258" s="72">
        <f t="shared" si="279"/>
        <v>1330208.1466124975</v>
      </c>
      <c r="AV258" s="72">
        <f t="shared" si="279"/>
        <v>1330208.1466124975</v>
      </c>
      <c r="AW258" s="72">
        <f t="shared" si="279"/>
        <v>1330208.1466124975</v>
      </c>
      <c r="AX258" s="72">
        <f t="shared" si="279"/>
        <v>1330208.1466124975</v>
      </c>
      <c r="AY258" s="72">
        <f t="shared" si="279"/>
        <v>1330208.1466124975</v>
      </c>
      <c r="AZ258" s="72">
        <f t="shared" si="279"/>
        <v>1330208.1466124975</v>
      </c>
      <c r="BA258" s="72">
        <f t="shared" si="279"/>
        <v>1330208.1466124975</v>
      </c>
      <c r="BB258" s="72">
        <f t="shared" si="279"/>
        <v>1330208.1466124975</v>
      </c>
      <c r="BC258" s="72">
        <f t="shared" si="279"/>
        <v>1330208.1466124975</v>
      </c>
      <c r="BD258" s="72">
        <f t="shared" si="279"/>
        <v>1330208.1466124975</v>
      </c>
      <c r="BE258" s="72">
        <f t="shared" si="279"/>
        <v>1330208.1466124975</v>
      </c>
      <c r="BF258" s="72">
        <f t="shared" si="279"/>
        <v>1330208.1466124975</v>
      </c>
      <c r="BG258" s="72">
        <f t="shared" si="279"/>
        <v>1330208.1466124975</v>
      </c>
      <c r="BH258" s="72">
        <f t="shared" si="279"/>
        <v>1330208.1466124975</v>
      </c>
      <c r="BI258" s="72">
        <f t="shared" si="279"/>
        <v>1330208.1466124975</v>
      </c>
      <c r="BJ258" s="72">
        <f t="shared" si="279"/>
        <v>1330208.1466124975</v>
      </c>
      <c r="BK258" s="72">
        <f t="shared" si="279"/>
        <v>1330208.1466124975</v>
      </c>
      <c r="BL258" s="72">
        <f t="shared" si="279"/>
        <v>1330208.1466124975</v>
      </c>
      <c r="BM258" s="72">
        <f t="shared" si="279"/>
        <v>1330208.1466124975</v>
      </c>
      <c r="BN258" s="72"/>
      <c r="BO258" s="72">
        <f>NPV(Lookups!$E$17,AM258:BM258)</f>
        <v>29681384.162399869</v>
      </c>
      <c r="BP258" s="72"/>
      <c r="BS258" s="84" t="str">
        <f>"No EE Scenario "&amp;E258&amp;" rate multiplied by No EE Scenario sales."</f>
        <v>No EE Scenario Distribution rate multiplied by No EE Scenario sales.</v>
      </c>
      <c r="BT258" s="51" t="s">
        <v>17</v>
      </c>
    </row>
    <row r="259" spans="1:72" x14ac:dyDescent="0.25">
      <c r="B259" s="243" t="str">
        <f t="shared" si="273"/>
        <v>Large C&amp;I</v>
      </c>
      <c r="C259" s="243" t="str">
        <f t="shared" si="273"/>
        <v>Revenue Requirements</v>
      </c>
      <c r="D259" s="244" t="str">
        <f>D258</f>
        <v>Revenue Requirement before DSM (No EE Scenario)</v>
      </c>
      <c r="E259" s="84" t="s">
        <v>407</v>
      </c>
      <c r="F259" s="84" t="s">
        <v>32</v>
      </c>
      <c r="G259" s="65">
        <f>G276*G252</f>
        <v>58569.706709441074</v>
      </c>
      <c r="H259" s="65">
        <f t="shared" ref="H259:AG259" si="280">H276*H252</f>
        <v>58569.706709441074</v>
      </c>
      <c r="I259" s="65">
        <f t="shared" si="280"/>
        <v>58569.706709441074</v>
      </c>
      <c r="J259" s="65">
        <f t="shared" si="280"/>
        <v>58569.706709441074</v>
      </c>
      <c r="K259" s="65">
        <f t="shared" si="280"/>
        <v>58569.706709441074</v>
      </c>
      <c r="L259" s="65">
        <f t="shared" si="280"/>
        <v>58569.706709441074</v>
      </c>
      <c r="M259" s="65">
        <f t="shared" si="280"/>
        <v>58569.706709441074</v>
      </c>
      <c r="N259" s="65">
        <f t="shared" si="280"/>
        <v>58569.706709441074</v>
      </c>
      <c r="O259" s="65">
        <f t="shared" si="280"/>
        <v>58569.706709441074</v>
      </c>
      <c r="P259" s="65">
        <f t="shared" si="280"/>
        <v>58569.706709441074</v>
      </c>
      <c r="Q259" s="65">
        <f t="shared" si="280"/>
        <v>58569.706709441074</v>
      </c>
      <c r="R259" s="65">
        <f t="shared" si="280"/>
        <v>58569.706709441074</v>
      </c>
      <c r="S259" s="65">
        <f t="shared" si="280"/>
        <v>58569.706709441074</v>
      </c>
      <c r="T259" s="65">
        <f t="shared" si="280"/>
        <v>58569.706709441074</v>
      </c>
      <c r="U259" s="65">
        <f t="shared" si="280"/>
        <v>58569.706709441074</v>
      </c>
      <c r="V259" s="65">
        <f t="shared" si="280"/>
        <v>58569.706709441074</v>
      </c>
      <c r="W259" s="65">
        <f t="shared" si="280"/>
        <v>58569.706709441074</v>
      </c>
      <c r="X259" s="65">
        <f t="shared" si="280"/>
        <v>58569.706709441074</v>
      </c>
      <c r="Y259" s="65">
        <f t="shared" si="280"/>
        <v>58569.706709441074</v>
      </c>
      <c r="Z259" s="65">
        <f t="shared" si="280"/>
        <v>58569.706709441074</v>
      </c>
      <c r="AA259" s="65">
        <f t="shared" si="280"/>
        <v>58569.706709441074</v>
      </c>
      <c r="AB259" s="65">
        <f t="shared" si="280"/>
        <v>58569.706709441074</v>
      </c>
      <c r="AC259" s="65">
        <f t="shared" si="280"/>
        <v>58569.706709441074</v>
      </c>
      <c r="AD259" s="65">
        <f t="shared" si="280"/>
        <v>58569.706709441074</v>
      </c>
      <c r="AE259" s="65">
        <f t="shared" si="280"/>
        <v>58569.706709441074</v>
      </c>
      <c r="AF259" s="65">
        <f t="shared" si="280"/>
        <v>58569.706709441074</v>
      </c>
      <c r="AG259" s="65">
        <f t="shared" si="280"/>
        <v>58569.706709441074</v>
      </c>
      <c r="AH259" s="65"/>
      <c r="AI259" s="65">
        <f>NPV(Lookups!$E$17,G259:AG259)</f>
        <v>1306885.6701480052</v>
      </c>
      <c r="AJ259" s="65"/>
      <c r="AM259" s="72">
        <f>AM276*AM252</f>
        <v>58569.706709441074</v>
      </c>
      <c r="AN259" s="72">
        <f t="shared" ref="AN259:BM259" si="281">AN276*AN252</f>
        <v>58569.706709441074</v>
      </c>
      <c r="AO259" s="72">
        <f t="shared" si="281"/>
        <v>58569.706709441074</v>
      </c>
      <c r="AP259" s="72">
        <f t="shared" si="281"/>
        <v>58569.706709441074</v>
      </c>
      <c r="AQ259" s="72">
        <f t="shared" si="281"/>
        <v>58569.706709441074</v>
      </c>
      <c r="AR259" s="72">
        <f t="shared" si="281"/>
        <v>58569.706709441074</v>
      </c>
      <c r="AS259" s="72">
        <f t="shared" si="281"/>
        <v>58569.706709441074</v>
      </c>
      <c r="AT259" s="72">
        <f t="shared" si="281"/>
        <v>58569.706709441074</v>
      </c>
      <c r="AU259" s="72">
        <f t="shared" si="281"/>
        <v>58569.706709441074</v>
      </c>
      <c r="AV259" s="72">
        <f t="shared" si="281"/>
        <v>58569.706709441074</v>
      </c>
      <c r="AW259" s="72">
        <f t="shared" si="281"/>
        <v>58569.706709441074</v>
      </c>
      <c r="AX259" s="72">
        <f t="shared" si="281"/>
        <v>58569.706709441074</v>
      </c>
      <c r="AY259" s="72">
        <f t="shared" si="281"/>
        <v>58569.706709441074</v>
      </c>
      <c r="AZ259" s="72">
        <f t="shared" si="281"/>
        <v>58569.706709441074</v>
      </c>
      <c r="BA259" s="72">
        <f t="shared" si="281"/>
        <v>58569.706709441074</v>
      </c>
      <c r="BB259" s="72">
        <f t="shared" si="281"/>
        <v>58569.706709441074</v>
      </c>
      <c r="BC259" s="72">
        <f t="shared" si="281"/>
        <v>58569.706709441074</v>
      </c>
      <c r="BD259" s="72">
        <f t="shared" si="281"/>
        <v>58569.706709441074</v>
      </c>
      <c r="BE259" s="72">
        <f t="shared" si="281"/>
        <v>58569.706709441074</v>
      </c>
      <c r="BF259" s="72">
        <f t="shared" si="281"/>
        <v>58569.706709441074</v>
      </c>
      <c r="BG259" s="72">
        <f t="shared" si="281"/>
        <v>58569.706709441074</v>
      </c>
      <c r="BH259" s="72">
        <f t="shared" si="281"/>
        <v>58569.706709441074</v>
      </c>
      <c r="BI259" s="72">
        <f t="shared" si="281"/>
        <v>58569.706709441074</v>
      </c>
      <c r="BJ259" s="72">
        <f t="shared" si="281"/>
        <v>58569.706709441074</v>
      </c>
      <c r="BK259" s="72">
        <f t="shared" si="281"/>
        <v>58569.706709441074</v>
      </c>
      <c r="BL259" s="72">
        <f t="shared" si="281"/>
        <v>58569.706709441074</v>
      </c>
      <c r="BM259" s="72">
        <f t="shared" si="281"/>
        <v>58569.706709441074</v>
      </c>
      <c r="BN259" s="72"/>
      <c r="BO259" s="72">
        <f>NPV(Lookups!$E$17,AM259:BM259)</f>
        <v>1306885.6701480052</v>
      </c>
      <c r="BP259" s="72"/>
      <c r="BS259" s="84" t="str">
        <f>"No EE Scenario "&amp;E259&amp;" rate multiplied by No EE Scenario sales."</f>
        <v>No EE Scenario LDAC, Non-EE rate multiplied by No EE Scenario sales.</v>
      </c>
      <c r="BT259" s="51" t="s">
        <v>17</v>
      </c>
    </row>
    <row r="260" spans="1:72" x14ac:dyDescent="0.25">
      <c r="A260" s="1"/>
      <c r="B260" s="243" t="str">
        <f>B258</f>
        <v>Large C&amp;I</v>
      </c>
      <c r="C260" s="243" t="str">
        <f>C258</f>
        <v>Revenue Requirements</v>
      </c>
      <c r="D260" s="244" t="str">
        <f>D258</f>
        <v>Revenue Requirement before DSM (No EE Scenario)</v>
      </c>
      <c r="E260" s="84" t="s">
        <v>197</v>
      </c>
      <c r="F260" s="84" t="s">
        <v>32</v>
      </c>
      <c r="G260" s="65">
        <f>G277*G252</f>
        <v>6972047.7794507705</v>
      </c>
      <c r="H260" s="65">
        <f t="shared" ref="H260:AG260" si="282">H277*H252</f>
        <v>6972047.7794507705</v>
      </c>
      <c r="I260" s="65">
        <f t="shared" si="282"/>
        <v>6972047.7794507705</v>
      </c>
      <c r="J260" s="65">
        <f t="shared" si="282"/>
        <v>6972047.7794507705</v>
      </c>
      <c r="K260" s="65">
        <f t="shared" si="282"/>
        <v>6972047.7794507705</v>
      </c>
      <c r="L260" s="65">
        <f t="shared" si="282"/>
        <v>6972047.7794507705</v>
      </c>
      <c r="M260" s="65">
        <f t="shared" si="282"/>
        <v>6972047.7794507705</v>
      </c>
      <c r="N260" s="65">
        <f t="shared" si="282"/>
        <v>6972047.7794507705</v>
      </c>
      <c r="O260" s="65">
        <f t="shared" si="282"/>
        <v>6972047.7794507705</v>
      </c>
      <c r="P260" s="65">
        <f t="shared" si="282"/>
        <v>6972047.7794507705</v>
      </c>
      <c r="Q260" s="65">
        <f t="shared" si="282"/>
        <v>6972047.7794507705</v>
      </c>
      <c r="R260" s="65">
        <f t="shared" si="282"/>
        <v>6972047.7794507705</v>
      </c>
      <c r="S260" s="65">
        <f t="shared" si="282"/>
        <v>6972047.7794507705</v>
      </c>
      <c r="T260" s="65">
        <f t="shared" si="282"/>
        <v>6972047.7794507705</v>
      </c>
      <c r="U260" s="65">
        <f t="shared" si="282"/>
        <v>6972047.7794507705</v>
      </c>
      <c r="V260" s="65">
        <f t="shared" si="282"/>
        <v>6972047.7794507705</v>
      </c>
      <c r="W260" s="65">
        <f t="shared" si="282"/>
        <v>6972047.7794507705</v>
      </c>
      <c r="X260" s="65">
        <f t="shared" si="282"/>
        <v>6972047.7794507705</v>
      </c>
      <c r="Y260" s="65">
        <f t="shared" si="282"/>
        <v>6972047.7794507705</v>
      </c>
      <c r="Z260" s="65">
        <f t="shared" si="282"/>
        <v>6972047.7794507705</v>
      </c>
      <c r="AA260" s="65">
        <f t="shared" si="282"/>
        <v>6972047.7794507705</v>
      </c>
      <c r="AB260" s="65">
        <f t="shared" si="282"/>
        <v>6972047.7794507705</v>
      </c>
      <c r="AC260" s="65">
        <f t="shared" si="282"/>
        <v>6972047.7794507705</v>
      </c>
      <c r="AD260" s="65">
        <f t="shared" si="282"/>
        <v>6972047.7794507705</v>
      </c>
      <c r="AE260" s="65">
        <f t="shared" si="282"/>
        <v>6972047.7794507705</v>
      </c>
      <c r="AF260" s="65">
        <f t="shared" si="282"/>
        <v>6972047.7794507705</v>
      </c>
      <c r="AG260" s="65">
        <f t="shared" si="282"/>
        <v>6972047.7794507705</v>
      </c>
      <c r="AH260" s="65"/>
      <c r="AI260" s="65">
        <f>NPV(Lookups!$E$17,G260:AG260)</f>
        <v>155569659.58107981</v>
      </c>
      <c r="AJ260" s="65"/>
      <c r="AM260" s="72">
        <f>AM277*AM252</f>
        <v>6972047.7794507705</v>
      </c>
      <c r="AN260" s="72">
        <f t="shared" ref="AN260:BM260" si="283">AN277*AN252</f>
        <v>6972047.7794507705</v>
      </c>
      <c r="AO260" s="72">
        <f t="shared" si="283"/>
        <v>6972047.7794507705</v>
      </c>
      <c r="AP260" s="72">
        <f t="shared" si="283"/>
        <v>6972047.7794507705</v>
      </c>
      <c r="AQ260" s="72">
        <f t="shared" si="283"/>
        <v>6972047.7794507705</v>
      </c>
      <c r="AR260" s="72">
        <f t="shared" si="283"/>
        <v>6972047.7794507705</v>
      </c>
      <c r="AS260" s="72">
        <f t="shared" si="283"/>
        <v>6972047.7794507705</v>
      </c>
      <c r="AT260" s="72">
        <f t="shared" si="283"/>
        <v>6972047.7794507705</v>
      </c>
      <c r="AU260" s="72">
        <f t="shared" si="283"/>
        <v>6972047.7794507705</v>
      </c>
      <c r="AV260" s="72">
        <f t="shared" si="283"/>
        <v>6972047.7794507705</v>
      </c>
      <c r="AW260" s="72">
        <f t="shared" si="283"/>
        <v>6972047.7794507705</v>
      </c>
      <c r="AX260" s="72">
        <f t="shared" si="283"/>
        <v>6972047.7794507705</v>
      </c>
      <c r="AY260" s="72">
        <f t="shared" si="283"/>
        <v>6972047.7794507705</v>
      </c>
      <c r="AZ260" s="72">
        <f t="shared" si="283"/>
        <v>6972047.7794507705</v>
      </c>
      <c r="BA260" s="72">
        <f t="shared" si="283"/>
        <v>6972047.7794507705</v>
      </c>
      <c r="BB260" s="72">
        <f t="shared" si="283"/>
        <v>6972047.7794507705</v>
      </c>
      <c r="BC260" s="72">
        <f t="shared" si="283"/>
        <v>6972047.7794507705</v>
      </c>
      <c r="BD260" s="72">
        <f t="shared" si="283"/>
        <v>6972047.7794507705</v>
      </c>
      <c r="BE260" s="72">
        <f t="shared" si="283"/>
        <v>6972047.7794507705</v>
      </c>
      <c r="BF260" s="72">
        <f t="shared" si="283"/>
        <v>6972047.7794507705</v>
      </c>
      <c r="BG260" s="72">
        <f t="shared" si="283"/>
        <v>6972047.7794507705</v>
      </c>
      <c r="BH260" s="72">
        <f t="shared" si="283"/>
        <v>6972047.7794507705</v>
      </c>
      <c r="BI260" s="72">
        <f t="shared" si="283"/>
        <v>6972047.7794507705</v>
      </c>
      <c r="BJ260" s="72">
        <f t="shared" si="283"/>
        <v>6972047.7794507705</v>
      </c>
      <c r="BK260" s="72">
        <f t="shared" si="283"/>
        <v>6972047.7794507705</v>
      </c>
      <c r="BL260" s="72">
        <f t="shared" si="283"/>
        <v>6972047.7794507705</v>
      </c>
      <c r="BM260" s="72">
        <f t="shared" si="283"/>
        <v>6972047.7794507705</v>
      </c>
      <c r="BN260" s="72"/>
      <c r="BO260" s="72">
        <f>NPV(Lookups!$E$17,AM260:BM260)</f>
        <v>155569659.58107981</v>
      </c>
      <c r="BP260" s="72"/>
      <c r="BS260" s="84" t="str">
        <f>"No EE Scenario "&amp;E260&amp;" rate multiplied by No EE Scenario sales."</f>
        <v>No EE Scenario Cost of Gas rate multiplied by No EE Scenario sales.</v>
      </c>
      <c r="BT260" s="51" t="s">
        <v>17</v>
      </c>
    </row>
    <row r="261" spans="1:72" x14ac:dyDescent="0.25">
      <c r="B261" s="243" t="str">
        <f t="shared" ref="B261:C263" si="284">B260</f>
        <v>Large C&amp;I</v>
      </c>
      <c r="C261" s="243" t="str">
        <f t="shared" si="284"/>
        <v>Revenue Requirements</v>
      </c>
      <c r="D261" s="114" t="s">
        <v>24</v>
      </c>
      <c r="E261" s="84"/>
      <c r="F261" s="84"/>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S261" s="84"/>
      <c r="BT261" s="51" t="s">
        <v>17</v>
      </c>
    </row>
    <row r="262" spans="1:72" x14ac:dyDescent="0.25">
      <c r="A262" s="246"/>
      <c r="B262" s="243" t="str">
        <f t="shared" si="284"/>
        <v>Large C&amp;I</v>
      </c>
      <c r="C262" s="243" t="str">
        <f t="shared" si="284"/>
        <v>Revenue Requirements</v>
      </c>
      <c r="D262" s="244" t="str">
        <f>D261</f>
        <v>Avoided Costs</v>
      </c>
      <c r="E262" s="84" t="s">
        <v>45</v>
      </c>
      <c r="F262" s="84" t="s">
        <v>32</v>
      </c>
      <c r="G262" s="65">
        <f ca="1">IF($C$4=Lookups!$D$40,SUM(INDIRECT("'Yr1'!"&amp;ADDRESS(ROW(G262),COLUMN(G262))),INDIRECT("'Yr2'!"&amp;ADDRESS(ROW(G262),COLUMN(G262))),INDIRECT("'Yr3'!"&amp;ADDRESS(ROW(G262),COLUMN(G262)))),
IF(G249=0,0,-PMT(INDEX(Lookups!$E$17:$G$17,MATCH($C$4,Lookups!$E$14:$G$14,0)),G249,SUMIFS('EE Inputs'!$J$9:$J$32,'EE Inputs'!$C$9:$C$32,$G$6,'EE Inputs'!$D$9:$D$32,$C$4,'EE Inputs'!$E$9:$E$32,$B262),0,1)))-G263</f>
        <v>625196.95642472082</v>
      </c>
      <c r="H262" s="65">
        <f ca="1">IF($C$4=Lookups!$D$40,SUM(INDIRECT("'Yr1'!"&amp;ADDRESS(ROW(H262),COLUMN(H262))),INDIRECT("'Yr2'!"&amp;ADDRESS(ROW(H262),COLUMN(H262))),INDIRECT("'Yr3'!"&amp;ADDRESS(ROW(H262),COLUMN(H262)))),
IF(H249=0,0,-PMT(INDEX(Lookups!$E$17:$G$17,MATCH($C$4,Lookups!$E$14:$G$14,0)),H249,SUMIFS('EE Inputs'!$J$9:$J$32,'EE Inputs'!$C$9:$C$32,$G$6,'EE Inputs'!$D$9:$D$32,$C$4,'EE Inputs'!$E$9:$E$32,$B262),0,1)))-H263</f>
        <v>625196.95642472082</v>
      </c>
      <c r="I262" s="65">
        <f ca="1">IF($C$4=Lookups!$D$40,SUM(INDIRECT("'Yr1'!"&amp;ADDRESS(ROW(I262),COLUMN(I262))),INDIRECT("'Yr2'!"&amp;ADDRESS(ROW(I262),COLUMN(I262))),INDIRECT("'Yr3'!"&amp;ADDRESS(ROW(I262),COLUMN(I262)))),
IF(I249=0,0,-PMT(INDEX(Lookups!$E$17:$G$17,MATCH($C$4,Lookups!$E$14:$G$14,0)),I249,SUMIFS('EE Inputs'!$J$9:$J$32,'EE Inputs'!$C$9:$C$32,$G$6,'EE Inputs'!$D$9:$D$32,$C$4,'EE Inputs'!$E$9:$E$32,$B262),0,1)))-I263</f>
        <v>625196.95642472082</v>
      </c>
      <c r="J262" s="65">
        <f ca="1">IF($C$4=Lookups!$D$40,SUM(INDIRECT("'Yr1'!"&amp;ADDRESS(ROW(J262),COLUMN(J262))),INDIRECT("'Yr2'!"&amp;ADDRESS(ROW(J262),COLUMN(J262))),INDIRECT("'Yr3'!"&amp;ADDRESS(ROW(J262),COLUMN(J262)))),
IF(J249=0,0,-PMT(INDEX(Lookups!$E$17:$G$17,MATCH($C$4,Lookups!$E$14:$G$14,0)),J249,SUMIFS('EE Inputs'!$J$9:$J$32,'EE Inputs'!$C$9:$C$32,$G$6,'EE Inputs'!$D$9:$D$32,$C$4,'EE Inputs'!$E$9:$E$32,$B262),0,1)))-J263</f>
        <v>625196.95642472082</v>
      </c>
      <c r="K262" s="65">
        <f ca="1">IF($C$4=Lookups!$D$40,SUM(INDIRECT("'Yr1'!"&amp;ADDRESS(ROW(K262),COLUMN(K262))),INDIRECT("'Yr2'!"&amp;ADDRESS(ROW(K262),COLUMN(K262))),INDIRECT("'Yr3'!"&amp;ADDRESS(ROW(K262),COLUMN(K262)))),
IF(K249=0,0,-PMT(INDEX(Lookups!$E$17:$G$17,MATCH($C$4,Lookups!$E$14:$G$14,0)),K249,SUMIFS('EE Inputs'!$J$9:$J$32,'EE Inputs'!$C$9:$C$32,$G$6,'EE Inputs'!$D$9:$D$32,$C$4,'EE Inputs'!$E$9:$E$32,$B262),0,1)))-K263</f>
        <v>625196.95642472082</v>
      </c>
      <c r="L262" s="65">
        <f ca="1">IF($C$4=Lookups!$D$40,SUM(INDIRECT("'Yr1'!"&amp;ADDRESS(ROW(L262),COLUMN(L262))),INDIRECT("'Yr2'!"&amp;ADDRESS(ROW(L262),COLUMN(L262))),INDIRECT("'Yr3'!"&amp;ADDRESS(ROW(L262),COLUMN(L262)))),
IF(L249=0,0,-PMT(INDEX(Lookups!$E$17:$G$17,MATCH($C$4,Lookups!$E$14:$G$14,0)),L249,SUMIFS('EE Inputs'!$J$9:$J$32,'EE Inputs'!$C$9:$C$32,$G$6,'EE Inputs'!$D$9:$D$32,$C$4,'EE Inputs'!$E$9:$E$32,$B262),0,1)))-L263</f>
        <v>625196.95642472082</v>
      </c>
      <c r="M262" s="65">
        <f ca="1">IF($C$4=Lookups!$D$40,SUM(INDIRECT("'Yr1'!"&amp;ADDRESS(ROW(M262),COLUMN(M262))),INDIRECT("'Yr2'!"&amp;ADDRESS(ROW(M262),COLUMN(M262))),INDIRECT("'Yr3'!"&amp;ADDRESS(ROW(M262),COLUMN(M262)))),
IF(M249=0,0,-PMT(INDEX(Lookups!$E$17:$G$17,MATCH($C$4,Lookups!$E$14:$G$14,0)),M249,SUMIFS('EE Inputs'!$J$9:$J$32,'EE Inputs'!$C$9:$C$32,$G$6,'EE Inputs'!$D$9:$D$32,$C$4,'EE Inputs'!$E$9:$E$32,$B262),0,1)))-M263</f>
        <v>625196.95642472082</v>
      </c>
      <c r="N262" s="65">
        <f ca="1">IF($C$4=Lookups!$D$40,SUM(INDIRECT("'Yr1'!"&amp;ADDRESS(ROW(N262),COLUMN(N262))),INDIRECT("'Yr2'!"&amp;ADDRESS(ROW(N262),COLUMN(N262))),INDIRECT("'Yr3'!"&amp;ADDRESS(ROW(N262),COLUMN(N262)))),
IF(N249=0,0,-PMT(INDEX(Lookups!$E$17:$G$17,MATCH($C$4,Lookups!$E$14:$G$14,0)),N249,SUMIFS('EE Inputs'!$J$9:$J$32,'EE Inputs'!$C$9:$C$32,$G$6,'EE Inputs'!$D$9:$D$32,$C$4,'EE Inputs'!$E$9:$E$32,$B262),0,1)))-N263</f>
        <v>625196.95642472082</v>
      </c>
      <c r="O262" s="65">
        <f ca="1">IF($C$4=Lookups!$D$40,SUM(INDIRECT("'Yr1'!"&amp;ADDRESS(ROW(O262),COLUMN(O262))),INDIRECT("'Yr2'!"&amp;ADDRESS(ROW(O262),COLUMN(O262))),INDIRECT("'Yr3'!"&amp;ADDRESS(ROW(O262),COLUMN(O262)))),
IF(O249=0,0,-PMT(INDEX(Lookups!$E$17:$G$17,MATCH($C$4,Lookups!$E$14:$G$14,0)),O249,SUMIFS('EE Inputs'!$J$9:$J$32,'EE Inputs'!$C$9:$C$32,$G$6,'EE Inputs'!$D$9:$D$32,$C$4,'EE Inputs'!$E$9:$E$32,$B262),0,1)))-O263</f>
        <v>625196.95642472082</v>
      </c>
      <c r="P262" s="65">
        <f ca="1">IF($C$4=Lookups!$D$40,SUM(INDIRECT("'Yr1'!"&amp;ADDRESS(ROW(P262),COLUMN(P262))),INDIRECT("'Yr2'!"&amp;ADDRESS(ROW(P262),COLUMN(P262))),INDIRECT("'Yr3'!"&amp;ADDRESS(ROW(P262),COLUMN(P262)))),
IF(P249=0,0,-PMT(INDEX(Lookups!$E$17:$G$17,MATCH($C$4,Lookups!$E$14:$G$14,0)),P249,SUMIFS('EE Inputs'!$J$9:$J$32,'EE Inputs'!$C$9:$C$32,$G$6,'EE Inputs'!$D$9:$D$32,$C$4,'EE Inputs'!$E$9:$E$32,$B262),0,1)))-P263</f>
        <v>625196.95642472082</v>
      </c>
      <c r="Q262" s="65">
        <f ca="1">IF($C$4=Lookups!$D$40,SUM(INDIRECT("'Yr1'!"&amp;ADDRESS(ROW(Q262),COLUMN(Q262))),INDIRECT("'Yr2'!"&amp;ADDRESS(ROW(Q262),COLUMN(Q262))),INDIRECT("'Yr3'!"&amp;ADDRESS(ROW(Q262),COLUMN(Q262)))),
IF(Q249=0,0,-PMT(INDEX(Lookups!$E$17:$G$17,MATCH($C$4,Lookups!$E$14:$G$14,0)),Q249,SUMIFS('EE Inputs'!$J$9:$J$32,'EE Inputs'!$C$9:$C$32,$G$6,'EE Inputs'!$D$9:$D$32,$C$4,'EE Inputs'!$E$9:$E$32,$B262),0,1)))-Q263</f>
        <v>625196.95642472082</v>
      </c>
      <c r="R262" s="65">
        <f ca="1">IF($C$4=Lookups!$D$40,SUM(INDIRECT("'Yr1'!"&amp;ADDRESS(ROW(R262),COLUMN(R262))),INDIRECT("'Yr2'!"&amp;ADDRESS(ROW(R262),COLUMN(R262))),INDIRECT("'Yr3'!"&amp;ADDRESS(ROW(R262),COLUMN(R262)))),
IF(R249=0,0,-PMT(INDEX(Lookups!$E$17:$G$17,MATCH($C$4,Lookups!$E$14:$G$14,0)),R249,SUMIFS('EE Inputs'!$J$9:$J$32,'EE Inputs'!$C$9:$C$32,$G$6,'EE Inputs'!$D$9:$D$32,$C$4,'EE Inputs'!$E$9:$E$32,$B262),0,1)))-R263</f>
        <v>625196.95642472082</v>
      </c>
      <c r="S262" s="65">
        <f ca="1">IF($C$4=Lookups!$D$40,SUM(INDIRECT("'Yr1'!"&amp;ADDRESS(ROW(S262),COLUMN(S262))),INDIRECT("'Yr2'!"&amp;ADDRESS(ROW(S262),COLUMN(S262))),INDIRECT("'Yr3'!"&amp;ADDRESS(ROW(S262),COLUMN(S262)))),
IF(S249=0,0,-PMT(INDEX(Lookups!$E$17:$G$17,MATCH($C$4,Lookups!$E$14:$G$14,0)),S249,SUMIFS('EE Inputs'!$J$9:$J$32,'EE Inputs'!$C$9:$C$32,$G$6,'EE Inputs'!$D$9:$D$32,$C$4,'EE Inputs'!$E$9:$E$32,$B262),0,1)))-S263</f>
        <v>625196.95642472082</v>
      </c>
      <c r="T262" s="65">
        <f ca="1">IF($C$4=Lookups!$D$40,SUM(INDIRECT("'Yr1'!"&amp;ADDRESS(ROW(T262),COLUMN(T262))),INDIRECT("'Yr2'!"&amp;ADDRESS(ROW(T262),COLUMN(T262))),INDIRECT("'Yr3'!"&amp;ADDRESS(ROW(T262),COLUMN(T262)))),
IF(T249=0,0,-PMT(INDEX(Lookups!$E$17:$G$17,MATCH($C$4,Lookups!$E$14:$G$14,0)),T249,SUMIFS('EE Inputs'!$J$9:$J$32,'EE Inputs'!$C$9:$C$32,$G$6,'EE Inputs'!$D$9:$D$32,$C$4,'EE Inputs'!$E$9:$E$32,$B262),0,1)))-T263</f>
        <v>0</v>
      </c>
      <c r="U262" s="65">
        <f ca="1">IF($C$4=Lookups!$D$40,SUM(INDIRECT("'Yr1'!"&amp;ADDRESS(ROW(U262),COLUMN(U262))),INDIRECT("'Yr2'!"&amp;ADDRESS(ROW(U262),COLUMN(U262))),INDIRECT("'Yr3'!"&amp;ADDRESS(ROW(U262),COLUMN(U262)))),
IF(U249=0,0,-PMT(INDEX(Lookups!$E$17:$G$17,MATCH($C$4,Lookups!$E$14:$G$14,0)),U249,SUMIFS('EE Inputs'!$J$9:$J$32,'EE Inputs'!$C$9:$C$32,$G$6,'EE Inputs'!$D$9:$D$32,$C$4,'EE Inputs'!$E$9:$E$32,$B262),0,1)))-U263</f>
        <v>0</v>
      </c>
      <c r="V262" s="65">
        <f ca="1">IF($C$4=Lookups!$D$40,SUM(INDIRECT("'Yr1'!"&amp;ADDRESS(ROW(V262),COLUMN(V262))),INDIRECT("'Yr2'!"&amp;ADDRESS(ROW(V262),COLUMN(V262))),INDIRECT("'Yr3'!"&amp;ADDRESS(ROW(V262),COLUMN(V262)))),
IF(V249=0,0,-PMT(INDEX(Lookups!$E$17:$G$17,MATCH($C$4,Lookups!$E$14:$G$14,0)),V249,SUMIFS('EE Inputs'!$J$9:$J$32,'EE Inputs'!$C$9:$C$32,$G$6,'EE Inputs'!$D$9:$D$32,$C$4,'EE Inputs'!$E$9:$E$32,$B262),0,1)))-V263</f>
        <v>0</v>
      </c>
      <c r="W262" s="65">
        <f ca="1">IF($C$4=Lookups!$D$40,SUM(INDIRECT("'Yr1'!"&amp;ADDRESS(ROW(W262),COLUMN(W262))),INDIRECT("'Yr2'!"&amp;ADDRESS(ROW(W262),COLUMN(W262))),INDIRECT("'Yr3'!"&amp;ADDRESS(ROW(W262),COLUMN(W262)))),
IF(W249=0,0,-PMT(INDEX(Lookups!$E$17:$G$17,MATCH($C$4,Lookups!$E$14:$G$14,0)),W249,SUMIFS('EE Inputs'!$J$9:$J$32,'EE Inputs'!$C$9:$C$32,$G$6,'EE Inputs'!$D$9:$D$32,$C$4,'EE Inputs'!$E$9:$E$32,$B262),0,1)))-W263</f>
        <v>0</v>
      </c>
      <c r="X262" s="65">
        <f ca="1">IF($C$4=Lookups!$D$40,SUM(INDIRECT("'Yr1'!"&amp;ADDRESS(ROW(X262),COLUMN(X262))),INDIRECT("'Yr2'!"&amp;ADDRESS(ROW(X262),COLUMN(X262))),INDIRECT("'Yr3'!"&amp;ADDRESS(ROW(X262),COLUMN(X262)))),
IF(X249=0,0,-PMT(INDEX(Lookups!$E$17:$G$17,MATCH($C$4,Lookups!$E$14:$G$14,0)),X249,SUMIFS('EE Inputs'!$J$9:$J$32,'EE Inputs'!$C$9:$C$32,$G$6,'EE Inputs'!$D$9:$D$32,$C$4,'EE Inputs'!$E$9:$E$32,$B262),0,1)))-X263</f>
        <v>0</v>
      </c>
      <c r="Y262" s="65">
        <f ca="1">IF($C$4=Lookups!$D$40,SUM(INDIRECT("'Yr1'!"&amp;ADDRESS(ROW(Y262),COLUMN(Y262))),INDIRECT("'Yr2'!"&amp;ADDRESS(ROW(Y262),COLUMN(Y262))),INDIRECT("'Yr3'!"&amp;ADDRESS(ROW(Y262),COLUMN(Y262)))),
IF(Y249=0,0,-PMT(INDEX(Lookups!$E$17:$G$17,MATCH($C$4,Lookups!$E$14:$G$14,0)),Y249,SUMIFS('EE Inputs'!$J$9:$J$32,'EE Inputs'!$C$9:$C$32,$G$6,'EE Inputs'!$D$9:$D$32,$C$4,'EE Inputs'!$E$9:$E$32,$B262),0,1)))-Y263</f>
        <v>0</v>
      </c>
      <c r="Z262" s="65">
        <f ca="1">IF($C$4=Lookups!$D$40,SUM(INDIRECT("'Yr1'!"&amp;ADDRESS(ROW(Z262),COLUMN(Z262))),INDIRECT("'Yr2'!"&amp;ADDRESS(ROW(Z262),COLUMN(Z262))),INDIRECT("'Yr3'!"&amp;ADDRESS(ROW(Z262),COLUMN(Z262)))),
IF(Z249=0,0,-PMT(INDEX(Lookups!$E$17:$G$17,MATCH($C$4,Lookups!$E$14:$G$14,0)),Z249,SUMIFS('EE Inputs'!$J$9:$J$32,'EE Inputs'!$C$9:$C$32,$G$6,'EE Inputs'!$D$9:$D$32,$C$4,'EE Inputs'!$E$9:$E$32,$B262),0,1)))-Z263</f>
        <v>0</v>
      </c>
      <c r="AA262" s="65">
        <f ca="1">IF($C$4=Lookups!$D$40,SUM(INDIRECT("'Yr1'!"&amp;ADDRESS(ROW(AA262),COLUMN(AA262))),INDIRECT("'Yr2'!"&amp;ADDRESS(ROW(AA262),COLUMN(AA262))),INDIRECT("'Yr3'!"&amp;ADDRESS(ROW(AA262),COLUMN(AA262)))),
IF(AA249=0,0,-PMT(INDEX(Lookups!$E$17:$G$17,MATCH($C$4,Lookups!$E$14:$G$14,0)),AA249,SUMIFS('EE Inputs'!$J$9:$J$32,'EE Inputs'!$C$9:$C$32,$G$6,'EE Inputs'!$D$9:$D$32,$C$4,'EE Inputs'!$E$9:$E$32,$B262),0,1)))-AA263</f>
        <v>0</v>
      </c>
      <c r="AB262" s="65">
        <f ca="1">IF($C$4=Lookups!$D$40,SUM(INDIRECT("'Yr1'!"&amp;ADDRESS(ROW(AB262),COLUMN(AB262))),INDIRECT("'Yr2'!"&amp;ADDRESS(ROW(AB262),COLUMN(AB262))),INDIRECT("'Yr3'!"&amp;ADDRESS(ROW(AB262),COLUMN(AB262)))),
IF(AB249=0,0,-PMT(INDEX(Lookups!$E$17:$G$17,MATCH($C$4,Lookups!$E$14:$G$14,0)),AB249,SUMIFS('EE Inputs'!$J$9:$J$32,'EE Inputs'!$C$9:$C$32,$G$6,'EE Inputs'!$D$9:$D$32,$C$4,'EE Inputs'!$E$9:$E$32,$B262),0,1)))-AB263</f>
        <v>0</v>
      </c>
      <c r="AC262" s="65">
        <f ca="1">IF($C$4=Lookups!$D$40,SUM(INDIRECT("'Yr1'!"&amp;ADDRESS(ROW(AC262),COLUMN(AC262))),INDIRECT("'Yr2'!"&amp;ADDRESS(ROW(AC262),COLUMN(AC262))),INDIRECT("'Yr3'!"&amp;ADDRESS(ROW(AC262),COLUMN(AC262)))),
IF(AC249=0,0,-PMT(INDEX(Lookups!$E$17:$G$17,MATCH($C$4,Lookups!$E$14:$G$14,0)),AC249,SUMIFS('EE Inputs'!$J$9:$J$32,'EE Inputs'!$C$9:$C$32,$G$6,'EE Inputs'!$D$9:$D$32,$C$4,'EE Inputs'!$E$9:$E$32,$B262),0,1)))-AC263</f>
        <v>0</v>
      </c>
      <c r="AD262" s="65">
        <f ca="1">IF($C$4=Lookups!$D$40,SUM(INDIRECT("'Yr1'!"&amp;ADDRESS(ROW(AD262),COLUMN(AD262))),INDIRECT("'Yr2'!"&amp;ADDRESS(ROW(AD262),COLUMN(AD262))),INDIRECT("'Yr3'!"&amp;ADDRESS(ROW(AD262),COLUMN(AD262)))),
IF(AD249=0,0,-PMT(INDEX(Lookups!$E$17:$G$17,MATCH($C$4,Lookups!$E$14:$G$14,0)),AD249,SUMIFS('EE Inputs'!$J$9:$J$32,'EE Inputs'!$C$9:$C$32,$G$6,'EE Inputs'!$D$9:$D$32,$C$4,'EE Inputs'!$E$9:$E$32,$B262),0,1)))-AD263</f>
        <v>0</v>
      </c>
      <c r="AE262" s="65">
        <f ca="1">IF($C$4=Lookups!$D$40,SUM(INDIRECT("'Yr1'!"&amp;ADDRESS(ROW(AE262),COLUMN(AE262))),INDIRECT("'Yr2'!"&amp;ADDRESS(ROW(AE262),COLUMN(AE262))),INDIRECT("'Yr3'!"&amp;ADDRESS(ROW(AE262),COLUMN(AE262)))),
IF(AE249=0,0,-PMT(INDEX(Lookups!$E$17:$G$17,MATCH($C$4,Lookups!$E$14:$G$14,0)),AE249,SUMIFS('EE Inputs'!$J$9:$J$32,'EE Inputs'!$C$9:$C$32,$G$6,'EE Inputs'!$D$9:$D$32,$C$4,'EE Inputs'!$E$9:$E$32,$B262),0,1)))-AE263</f>
        <v>0</v>
      </c>
      <c r="AF262" s="65">
        <f ca="1">IF($C$4=Lookups!$D$40,SUM(INDIRECT("'Yr1'!"&amp;ADDRESS(ROW(AF262),COLUMN(AF262))),INDIRECT("'Yr2'!"&amp;ADDRESS(ROW(AF262),COLUMN(AF262))),INDIRECT("'Yr3'!"&amp;ADDRESS(ROW(AF262),COLUMN(AF262)))),
IF(AF249=0,0,-PMT(INDEX(Lookups!$E$17:$G$17,MATCH($C$4,Lookups!$E$14:$G$14,0)),AF249,SUMIFS('EE Inputs'!$J$9:$J$32,'EE Inputs'!$C$9:$C$32,$G$6,'EE Inputs'!$D$9:$D$32,$C$4,'EE Inputs'!$E$9:$E$32,$B262),0,1)))-AF263</f>
        <v>0</v>
      </c>
      <c r="AG262" s="65">
        <f ca="1">IF($C$4=Lookups!$D$40,SUM(INDIRECT("'Yr1'!"&amp;ADDRESS(ROW(AG262),COLUMN(AG262))),INDIRECT("'Yr2'!"&amp;ADDRESS(ROW(AG262),COLUMN(AG262))),INDIRECT("'Yr3'!"&amp;ADDRESS(ROW(AG262),COLUMN(AG262)))),
IF(AG249=0,0,-PMT(INDEX(Lookups!$E$17:$G$17,MATCH($C$4,Lookups!$E$14:$G$14,0)),AG249,SUMIFS('EE Inputs'!$J$9:$J$32,'EE Inputs'!$C$9:$C$32,$G$6,'EE Inputs'!$D$9:$D$32,$C$4,'EE Inputs'!$E$9:$E$32,$B262),0,1)))-AG263</f>
        <v>0</v>
      </c>
      <c r="AH262" s="65"/>
      <c r="AI262" s="65">
        <f ca="1">NPV(Lookups!$E$17,G262:AG262)</f>
        <v>7376704.0472213272</v>
      </c>
      <c r="AJ262" s="65"/>
      <c r="AM262" s="72">
        <f ca="1">IF($C$4=Lookups!$D$40,SUM(INDIRECT("'Yr1'!"&amp;ADDRESS(ROW(AM262),COLUMN(AM262))),INDIRECT("'Yr2'!"&amp;ADDRESS(ROW(AM262),COLUMN(AM262))),INDIRECT("'Yr3'!"&amp;ADDRESS(ROW(AM262),COLUMN(AM262)))),
IF(AM249=0,0,-PMT(INDEX(Lookups!$E$17:$G$17,MATCH($C$4,Lookups!$E$14:$G$14,0)),AM249,SUMIFS('EE Inputs'!$J$9:$J$32,'EE Inputs'!$C$9:$C$32,$AM$6,'EE Inputs'!$D$9:$D$32,$C$4,'EE Inputs'!$E$9:$E$32,$B262),0,1)))-AM263</f>
        <v>714510.80734253826</v>
      </c>
      <c r="AN262" s="72">
        <f ca="1">IF($C$4=Lookups!$D$40,SUM(INDIRECT("'Yr1'!"&amp;ADDRESS(ROW(AN262),COLUMN(AN262))),INDIRECT("'Yr2'!"&amp;ADDRESS(ROW(AN262),COLUMN(AN262))),INDIRECT("'Yr3'!"&amp;ADDRESS(ROW(AN262),COLUMN(AN262)))),
IF(AN249=0,0,-PMT(INDEX(Lookups!$E$17:$G$17,MATCH($C$4,Lookups!$E$14:$G$14,0)),AN249,SUMIFS('EE Inputs'!$J$9:$J$32,'EE Inputs'!$C$9:$C$32,$AM$6,'EE Inputs'!$D$9:$D$32,$C$4,'EE Inputs'!$E$9:$E$32,$B262),0,1)))-AN263</f>
        <v>714510.80734253826</v>
      </c>
      <c r="AO262" s="72">
        <f ca="1">IF($C$4=Lookups!$D$40,SUM(INDIRECT("'Yr1'!"&amp;ADDRESS(ROW(AO262),COLUMN(AO262))),INDIRECT("'Yr2'!"&amp;ADDRESS(ROW(AO262),COLUMN(AO262))),INDIRECT("'Yr3'!"&amp;ADDRESS(ROW(AO262),COLUMN(AO262)))),
IF(AO249=0,0,-PMT(INDEX(Lookups!$E$17:$G$17,MATCH($C$4,Lookups!$E$14:$G$14,0)),AO249,SUMIFS('EE Inputs'!$J$9:$J$32,'EE Inputs'!$C$9:$C$32,$AM$6,'EE Inputs'!$D$9:$D$32,$C$4,'EE Inputs'!$E$9:$E$32,$B262),0,1)))-AO263</f>
        <v>714510.80734253826</v>
      </c>
      <c r="AP262" s="72">
        <f ca="1">IF($C$4=Lookups!$D$40,SUM(INDIRECT("'Yr1'!"&amp;ADDRESS(ROW(AP262),COLUMN(AP262))),INDIRECT("'Yr2'!"&amp;ADDRESS(ROW(AP262),COLUMN(AP262))),INDIRECT("'Yr3'!"&amp;ADDRESS(ROW(AP262),COLUMN(AP262)))),
IF(AP249=0,0,-PMT(INDEX(Lookups!$E$17:$G$17,MATCH($C$4,Lookups!$E$14:$G$14,0)),AP249,SUMIFS('EE Inputs'!$J$9:$J$32,'EE Inputs'!$C$9:$C$32,$AM$6,'EE Inputs'!$D$9:$D$32,$C$4,'EE Inputs'!$E$9:$E$32,$B262),0,1)))-AP263</f>
        <v>714510.80734253826</v>
      </c>
      <c r="AQ262" s="72">
        <f ca="1">IF($C$4=Lookups!$D$40,SUM(INDIRECT("'Yr1'!"&amp;ADDRESS(ROW(AQ262),COLUMN(AQ262))),INDIRECT("'Yr2'!"&amp;ADDRESS(ROW(AQ262),COLUMN(AQ262))),INDIRECT("'Yr3'!"&amp;ADDRESS(ROW(AQ262),COLUMN(AQ262)))),
IF(AQ249=0,0,-PMT(INDEX(Lookups!$E$17:$G$17,MATCH($C$4,Lookups!$E$14:$G$14,0)),AQ249,SUMIFS('EE Inputs'!$J$9:$J$32,'EE Inputs'!$C$9:$C$32,$AM$6,'EE Inputs'!$D$9:$D$32,$C$4,'EE Inputs'!$E$9:$E$32,$B262),0,1)))-AQ263</f>
        <v>714510.80734253826</v>
      </c>
      <c r="AR262" s="72">
        <f ca="1">IF($C$4=Lookups!$D$40,SUM(INDIRECT("'Yr1'!"&amp;ADDRESS(ROW(AR262),COLUMN(AR262))),INDIRECT("'Yr2'!"&amp;ADDRESS(ROW(AR262),COLUMN(AR262))),INDIRECT("'Yr3'!"&amp;ADDRESS(ROW(AR262),COLUMN(AR262)))),
IF(AR249=0,0,-PMT(INDEX(Lookups!$E$17:$G$17,MATCH($C$4,Lookups!$E$14:$G$14,0)),AR249,SUMIFS('EE Inputs'!$J$9:$J$32,'EE Inputs'!$C$9:$C$32,$AM$6,'EE Inputs'!$D$9:$D$32,$C$4,'EE Inputs'!$E$9:$E$32,$B262),0,1)))-AR263</f>
        <v>714510.80734253826</v>
      </c>
      <c r="AS262" s="72">
        <f ca="1">IF($C$4=Lookups!$D$40,SUM(INDIRECT("'Yr1'!"&amp;ADDRESS(ROW(AS262),COLUMN(AS262))),INDIRECT("'Yr2'!"&amp;ADDRESS(ROW(AS262),COLUMN(AS262))),INDIRECT("'Yr3'!"&amp;ADDRESS(ROW(AS262),COLUMN(AS262)))),
IF(AS249=0,0,-PMT(INDEX(Lookups!$E$17:$G$17,MATCH($C$4,Lookups!$E$14:$G$14,0)),AS249,SUMIFS('EE Inputs'!$J$9:$J$32,'EE Inputs'!$C$9:$C$32,$AM$6,'EE Inputs'!$D$9:$D$32,$C$4,'EE Inputs'!$E$9:$E$32,$B262),0,1)))-AS263</f>
        <v>714510.80734253826</v>
      </c>
      <c r="AT262" s="72">
        <f ca="1">IF($C$4=Lookups!$D$40,SUM(INDIRECT("'Yr1'!"&amp;ADDRESS(ROW(AT262),COLUMN(AT262))),INDIRECT("'Yr2'!"&amp;ADDRESS(ROW(AT262),COLUMN(AT262))),INDIRECT("'Yr3'!"&amp;ADDRESS(ROW(AT262),COLUMN(AT262)))),
IF(AT249=0,0,-PMT(INDEX(Lookups!$E$17:$G$17,MATCH($C$4,Lookups!$E$14:$G$14,0)),AT249,SUMIFS('EE Inputs'!$J$9:$J$32,'EE Inputs'!$C$9:$C$32,$AM$6,'EE Inputs'!$D$9:$D$32,$C$4,'EE Inputs'!$E$9:$E$32,$B262),0,1)))-AT263</f>
        <v>714510.80734253826</v>
      </c>
      <c r="AU262" s="72">
        <f ca="1">IF($C$4=Lookups!$D$40,SUM(INDIRECT("'Yr1'!"&amp;ADDRESS(ROW(AU262),COLUMN(AU262))),INDIRECT("'Yr2'!"&amp;ADDRESS(ROW(AU262),COLUMN(AU262))),INDIRECT("'Yr3'!"&amp;ADDRESS(ROW(AU262),COLUMN(AU262)))),
IF(AU249=0,0,-PMT(INDEX(Lookups!$E$17:$G$17,MATCH($C$4,Lookups!$E$14:$G$14,0)),AU249,SUMIFS('EE Inputs'!$J$9:$J$32,'EE Inputs'!$C$9:$C$32,$AM$6,'EE Inputs'!$D$9:$D$32,$C$4,'EE Inputs'!$E$9:$E$32,$B262),0,1)))-AU263</f>
        <v>714510.80734253826</v>
      </c>
      <c r="AV262" s="72">
        <f ca="1">IF($C$4=Lookups!$D$40,SUM(INDIRECT("'Yr1'!"&amp;ADDRESS(ROW(AV262),COLUMN(AV262))),INDIRECT("'Yr2'!"&amp;ADDRESS(ROW(AV262),COLUMN(AV262))),INDIRECT("'Yr3'!"&amp;ADDRESS(ROW(AV262),COLUMN(AV262)))),
IF(AV249=0,0,-PMT(INDEX(Lookups!$E$17:$G$17,MATCH($C$4,Lookups!$E$14:$G$14,0)),AV249,SUMIFS('EE Inputs'!$J$9:$J$32,'EE Inputs'!$C$9:$C$32,$AM$6,'EE Inputs'!$D$9:$D$32,$C$4,'EE Inputs'!$E$9:$E$32,$B262),0,1)))-AV263</f>
        <v>714510.80734253826</v>
      </c>
      <c r="AW262" s="72">
        <f ca="1">IF($C$4=Lookups!$D$40,SUM(INDIRECT("'Yr1'!"&amp;ADDRESS(ROW(AW262),COLUMN(AW262))),INDIRECT("'Yr2'!"&amp;ADDRESS(ROW(AW262),COLUMN(AW262))),INDIRECT("'Yr3'!"&amp;ADDRESS(ROW(AW262),COLUMN(AW262)))),
IF(AW249=0,0,-PMT(INDEX(Lookups!$E$17:$G$17,MATCH($C$4,Lookups!$E$14:$G$14,0)),AW249,SUMIFS('EE Inputs'!$J$9:$J$32,'EE Inputs'!$C$9:$C$32,$AM$6,'EE Inputs'!$D$9:$D$32,$C$4,'EE Inputs'!$E$9:$E$32,$B262),0,1)))-AW263</f>
        <v>714510.80734253826</v>
      </c>
      <c r="AX262" s="72">
        <f ca="1">IF($C$4=Lookups!$D$40,SUM(INDIRECT("'Yr1'!"&amp;ADDRESS(ROW(AX262),COLUMN(AX262))),INDIRECT("'Yr2'!"&amp;ADDRESS(ROW(AX262),COLUMN(AX262))),INDIRECT("'Yr3'!"&amp;ADDRESS(ROW(AX262),COLUMN(AX262)))),
IF(AX249=0,0,-PMT(INDEX(Lookups!$E$17:$G$17,MATCH($C$4,Lookups!$E$14:$G$14,0)),AX249,SUMIFS('EE Inputs'!$J$9:$J$32,'EE Inputs'!$C$9:$C$32,$AM$6,'EE Inputs'!$D$9:$D$32,$C$4,'EE Inputs'!$E$9:$E$32,$B262),0,1)))-AX263</f>
        <v>714510.80734253826</v>
      </c>
      <c r="AY262" s="72">
        <f ca="1">IF($C$4=Lookups!$D$40,SUM(INDIRECT("'Yr1'!"&amp;ADDRESS(ROW(AY262),COLUMN(AY262))),INDIRECT("'Yr2'!"&amp;ADDRESS(ROW(AY262),COLUMN(AY262))),INDIRECT("'Yr3'!"&amp;ADDRESS(ROW(AY262),COLUMN(AY262)))),
IF(AY249=0,0,-PMT(INDEX(Lookups!$E$17:$G$17,MATCH($C$4,Lookups!$E$14:$G$14,0)),AY249,SUMIFS('EE Inputs'!$J$9:$J$32,'EE Inputs'!$C$9:$C$32,$AM$6,'EE Inputs'!$D$9:$D$32,$C$4,'EE Inputs'!$E$9:$E$32,$B262),0,1)))-AY263</f>
        <v>714510.80734253826</v>
      </c>
      <c r="AZ262" s="72">
        <f ca="1">IF($C$4=Lookups!$D$40,SUM(INDIRECT("'Yr1'!"&amp;ADDRESS(ROW(AZ262),COLUMN(AZ262))),INDIRECT("'Yr2'!"&amp;ADDRESS(ROW(AZ262),COLUMN(AZ262))),INDIRECT("'Yr3'!"&amp;ADDRESS(ROW(AZ262),COLUMN(AZ262)))),
IF(AZ249=0,0,-PMT(INDEX(Lookups!$E$17:$G$17,MATCH($C$4,Lookups!$E$14:$G$14,0)),AZ249,SUMIFS('EE Inputs'!$J$9:$J$32,'EE Inputs'!$C$9:$C$32,$AM$6,'EE Inputs'!$D$9:$D$32,$C$4,'EE Inputs'!$E$9:$E$32,$B262),0,1)))-AZ263</f>
        <v>0</v>
      </c>
      <c r="BA262" s="72">
        <f ca="1">IF($C$4=Lookups!$D$40,SUM(INDIRECT("'Yr1'!"&amp;ADDRESS(ROW(BA262),COLUMN(BA262))),INDIRECT("'Yr2'!"&amp;ADDRESS(ROW(BA262),COLUMN(BA262))),INDIRECT("'Yr3'!"&amp;ADDRESS(ROW(BA262),COLUMN(BA262)))),
IF(BA249=0,0,-PMT(INDEX(Lookups!$E$17:$G$17,MATCH($C$4,Lookups!$E$14:$G$14,0)),BA249,SUMIFS('EE Inputs'!$J$9:$J$32,'EE Inputs'!$C$9:$C$32,$AM$6,'EE Inputs'!$D$9:$D$32,$C$4,'EE Inputs'!$E$9:$E$32,$B262),0,1)))-BA263</f>
        <v>0</v>
      </c>
      <c r="BB262" s="72">
        <f ca="1">IF($C$4=Lookups!$D$40,SUM(INDIRECT("'Yr1'!"&amp;ADDRESS(ROW(BB262),COLUMN(BB262))),INDIRECT("'Yr2'!"&amp;ADDRESS(ROW(BB262),COLUMN(BB262))),INDIRECT("'Yr3'!"&amp;ADDRESS(ROW(BB262),COLUMN(BB262)))),
IF(BB249=0,0,-PMT(INDEX(Lookups!$E$17:$G$17,MATCH($C$4,Lookups!$E$14:$G$14,0)),BB249,SUMIFS('EE Inputs'!$J$9:$J$32,'EE Inputs'!$C$9:$C$32,$AM$6,'EE Inputs'!$D$9:$D$32,$C$4,'EE Inputs'!$E$9:$E$32,$B262),0,1)))-BB263</f>
        <v>0</v>
      </c>
      <c r="BC262" s="72">
        <f ca="1">IF($C$4=Lookups!$D$40,SUM(INDIRECT("'Yr1'!"&amp;ADDRESS(ROW(BC262),COLUMN(BC262))),INDIRECT("'Yr2'!"&amp;ADDRESS(ROW(BC262),COLUMN(BC262))),INDIRECT("'Yr3'!"&amp;ADDRESS(ROW(BC262),COLUMN(BC262)))),
IF(BC249=0,0,-PMT(INDEX(Lookups!$E$17:$G$17,MATCH($C$4,Lookups!$E$14:$G$14,0)),BC249,SUMIFS('EE Inputs'!$J$9:$J$32,'EE Inputs'!$C$9:$C$32,$AM$6,'EE Inputs'!$D$9:$D$32,$C$4,'EE Inputs'!$E$9:$E$32,$B262),0,1)))-BC263</f>
        <v>0</v>
      </c>
      <c r="BD262" s="72">
        <f ca="1">IF($C$4=Lookups!$D$40,SUM(INDIRECT("'Yr1'!"&amp;ADDRESS(ROW(BD262),COLUMN(BD262))),INDIRECT("'Yr2'!"&amp;ADDRESS(ROW(BD262),COLUMN(BD262))),INDIRECT("'Yr3'!"&amp;ADDRESS(ROW(BD262),COLUMN(BD262)))),
IF(BD249=0,0,-PMT(INDEX(Lookups!$E$17:$G$17,MATCH($C$4,Lookups!$E$14:$G$14,0)),BD249,SUMIFS('EE Inputs'!$J$9:$J$32,'EE Inputs'!$C$9:$C$32,$AM$6,'EE Inputs'!$D$9:$D$32,$C$4,'EE Inputs'!$E$9:$E$32,$B262),0,1)))-BD263</f>
        <v>0</v>
      </c>
      <c r="BE262" s="72">
        <f ca="1">IF($C$4=Lookups!$D$40,SUM(INDIRECT("'Yr1'!"&amp;ADDRESS(ROW(BE262),COLUMN(BE262))),INDIRECT("'Yr2'!"&amp;ADDRESS(ROW(BE262),COLUMN(BE262))),INDIRECT("'Yr3'!"&amp;ADDRESS(ROW(BE262),COLUMN(BE262)))),
IF(BE249=0,0,-PMT(INDEX(Lookups!$E$17:$G$17,MATCH($C$4,Lookups!$E$14:$G$14,0)),BE249,SUMIFS('EE Inputs'!$J$9:$J$32,'EE Inputs'!$C$9:$C$32,$AM$6,'EE Inputs'!$D$9:$D$32,$C$4,'EE Inputs'!$E$9:$E$32,$B262),0,1)))-BE263</f>
        <v>0</v>
      </c>
      <c r="BF262" s="72">
        <f ca="1">IF($C$4=Lookups!$D$40,SUM(INDIRECT("'Yr1'!"&amp;ADDRESS(ROW(BF262),COLUMN(BF262))),INDIRECT("'Yr2'!"&amp;ADDRESS(ROW(BF262),COLUMN(BF262))),INDIRECT("'Yr3'!"&amp;ADDRESS(ROW(BF262),COLUMN(BF262)))),
IF(BF249=0,0,-PMT(INDEX(Lookups!$E$17:$G$17,MATCH($C$4,Lookups!$E$14:$G$14,0)),BF249,SUMIFS('EE Inputs'!$J$9:$J$32,'EE Inputs'!$C$9:$C$32,$AM$6,'EE Inputs'!$D$9:$D$32,$C$4,'EE Inputs'!$E$9:$E$32,$B262),0,1)))-BF263</f>
        <v>0</v>
      </c>
      <c r="BG262" s="72">
        <f ca="1">IF($C$4=Lookups!$D$40,SUM(INDIRECT("'Yr1'!"&amp;ADDRESS(ROW(BG262),COLUMN(BG262))),INDIRECT("'Yr2'!"&amp;ADDRESS(ROW(BG262),COLUMN(BG262))),INDIRECT("'Yr3'!"&amp;ADDRESS(ROW(BG262),COLUMN(BG262)))),
IF(BG249=0,0,-PMT(INDEX(Lookups!$E$17:$G$17,MATCH($C$4,Lookups!$E$14:$G$14,0)),BG249,SUMIFS('EE Inputs'!$J$9:$J$32,'EE Inputs'!$C$9:$C$32,$AM$6,'EE Inputs'!$D$9:$D$32,$C$4,'EE Inputs'!$E$9:$E$32,$B262),0,1)))-BG263</f>
        <v>0</v>
      </c>
      <c r="BH262" s="72">
        <f ca="1">IF($C$4=Lookups!$D$40,SUM(INDIRECT("'Yr1'!"&amp;ADDRESS(ROW(BH262),COLUMN(BH262))),INDIRECT("'Yr2'!"&amp;ADDRESS(ROW(BH262),COLUMN(BH262))),INDIRECT("'Yr3'!"&amp;ADDRESS(ROW(BH262),COLUMN(BH262)))),
IF(BH249=0,0,-PMT(INDEX(Lookups!$E$17:$G$17,MATCH($C$4,Lookups!$E$14:$G$14,0)),BH249,SUMIFS('EE Inputs'!$J$9:$J$32,'EE Inputs'!$C$9:$C$32,$AM$6,'EE Inputs'!$D$9:$D$32,$C$4,'EE Inputs'!$E$9:$E$32,$B262),0,1)))-BH263</f>
        <v>0</v>
      </c>
      <c r="BI262" s="72">
        <f ca="1">IF($C$4=Lookups!$D$40,SUM(INDIRECT("'Yr1'!"&amp;ADDRESS(ROW(BI262),COLUMN(BI262))),INDIRECT("'Yr2'!"&amp;ADDRESS(ROW(BI262),COLUMN(BI262))),INDIRECT("'Yr3'!"&amp;ADDRESS(ROW(BI262),COLUMN(BI262)))),
IF(BI249=0,0,-PMT(INDEX(Lookups!$E$17:$G$17,MATCH($C$4,Lookups!$E$14:$G$14,0)),BI249,SUMIFS('EE Inputs'!$J$9:$J$32,'EE Inputs'!$C$9:$C$32,$AM$6,'EE Inputs'!$D$9:$D$32,$C$4,'EE Inputs'!$E$9:$E$32,$B262),0,1)))-BI263</f>
        <v>0</v>
      </c>
      <c r="BJ262" s="72">
        <f ca="1">IF($C$4=Lookups!$D$40,SUM(INDIRECT("'Yr1'!"&amp;ADDRESS(ROW(BJ262),COLUMN(BJ262))),INDIRECT("'Yr2'!"&amp;ADDRESS(ROW(BJ262),COLUMN(BJ262))),INDIRECT("'Yr3'!"&amp;ADDRESS(ROW(BJ262),COLUMN(BJ262)))),
IF(BJ249=0,0,-PMT(INDEX(Lookups!$E$17:$G$17,MATCH($C$4,Lookups!$E$14:$G$14,0)),BJ249,SUMIFS('EE Inputs'!$J$9:$J$32,'EE Inputs'!$C$9:$C$32,$AM$6,'EE Inputs'!$D$9:$D$32,$C$4,'EE Inputs'!$E$9:$E$32,$B262),0,1)))-BJ263</f>
        <v>0</v>
      </c>
      <c r="BK262" s="72">
        <f ca="1">IF($C$4=Lookups!$D$40,SUM(INDIRECT("'Yr1'!"&amp;ADDRESS(ROW(BK262),COLUMN(BK262))),INDIRECT("'Yr2'!"&amp;ADDRESS(ROW(BK262),COLUMN(BK262))),INDIRECT("'Yr3'!"&amp;ADDRESS(ROW(BK262),COLUMN(BK262)))),
IF(BK249=0,0,-PMT(INDEX(Lookups!$E$17:$G$17,MATCH($C$4,Lookups!$E$14:$G$14,0)),BK249,SUMIFS('EE Inputs'!$J$9:$J$32,'EE Inputs'!$C$9:$C$32,$AM$6,'EE Inputs'!$D$9:$D$32,$C$4,'EE Inputs'!$E$9:$E$32,$B262),0,1)))-BK263</f>
        <v>0</v>
      </c>
      <c r="BL262" s="72">
        <f ca="1">IF($C$4=Lookups!$D$40,SUM(INDIRECT("'Yr1'!"&amp;ADDRESS(ROW(BL262),COLUMN(BL262))),INDIRECT("'Yr2'!"&amp;ADDRESS(ROW(BL262),COLUMN(BL262))),INDIRECT("'Yr3'!"&amp;ADDRESS(ROW(BL262),COLUMN(BL262)))),
IF(BL249=0,0,-PMT(INDEX(Lookups!$E$17:$G$17,MATCH($C$4,Lookups!$E$14:$G$14,0)),BL249,SUMIFS('EE Inputs'!$J$9:$J$32,'EE Inputs'!$C$9:$C$32,$AM$6,'EE Inputs'!$D$9:$D$32,$C$4,'EE Inputs'!$E$9:$E$32,$B262),0,1)))-BL263</f>
        <v>0</v>
      </c>
      <c r="BM262" s="72">
        <f ca="1">IF($C$4=Lookups!$D$40,SUM(INDIRECT("'Yr1'!"&amp;ADDRESS(ROW(BM262),COLUMN(BM262))),INDIRECT("'Yr2'!"&amp;ADDRESS(ROW(BM262),COLUMN(BM262))),INDIRECT("'Yr3'!"&amp;ADDRESS(ROW(BM262),COLUMN(BM262)))),
IF(BM249=0,0,-PMT(INDEX(Lookups!$E$17:$G$17,MATCH($C$4,Lookups!$E$14:$G$14,0)),BM249,SUMIFS('EE Inputs'!$J$9:$J$32,'EE Inputs'!$C$9:$C$32,$AM$6,'EE Inputs'!$D$9:$D$32,$C$4,'EE Inputs'!$E$9:$E$32,$B262),0,1)))-BM263</f>
        <v>0</v>
      </c>
      <c r="BN262" s="72"/>
      <c r="BO262" s="72">
        <f ca="1">NPV(Lookups!$E$17,AM262:BM262)</f>
        <v>8430518.9111100938</v>
      </c>
      <c r="BP262" s="72"/>
      <c r="BS262" s="84" t="str">
        <f>"Avoided "&amp;E262&amp;" costs, less the retail margin."</f>
        <v>Avoided Gas costs, less the retail margin.</v>
      </c>
      <c r="BT262" s="51" t="s">
        <v>17</v>
      </c>
    </row>
    <row r="263" spans="1:72" x14ac:dyDescent="0.25">
      <c r="A263" s="246"/>
      <c r="B263" s="243" t="str">
        <f t="shared" si="284"/>
        <v>Large C&amp;I</v>
      </c>
      <c r="C263" s="243" t="str">
        <f t="shared" si="284"/>
        <v>Revenue Requirements</v>
      </c>
      <c r="D263" s="244" t="str">
        <f>D262</f>
        <v>Avoided Costs</v>
      </c>
      <c r="E263" s="84" t="s">
        <v>412</v>
      </c>
      <c r="F263" s="84" t="s">
        <v>32</v>
      </c>
      <c r="G263" s="65">
        <f ca="1">IF($C$4=Lookups!$D$40,SUM(INDIRECT("'Yr1'!"&amp;ADDRESS(ROW(G263),COLUMN(G263))),INDIRECT("'Yr2'!"&amp;ADDRESS(ROW(G263),COLUMN(G263))),INDIRECT("'Yr3'!"&amp;ADDRESS(ROW(G263),COLUMN(G263)))),
IF(G249=0,0,-PMT(INDEX(Lookups!$E$17:$G$17,MATCH($C$4,Lookups!$E$14:$G$14,0)),G249,SUMIFS('EE Inputs'!$W$9:$W$32,'EE Inputs'!$C$9:$C$32,$G$6,'EE Inputs'!$D$9:$D$32,$C$4,'EE Inputs'!$E$9:$E$32,$B263),0,1)))</f>
        <v>39906.188707960908</v>
      </c>
      <c r="H263" s="65">
        <f ca="1">IF($C$4=Lookups!$D$40,SUM(INDIRECT("'Yr1'!"&amp;ADDRESS(ROW(H263),COLUMN(H263))),INDIRECT("'Yr2'!"&amp;ADDRESS(ROW(H263),COLUMN(H263))),INDIRECT("'Yr3'!"&amp;ADDRESS(ROW(H263),COLUMN(H263)))),
IF(H249=0,0,-PMT(INDEX(Lookups!$E$17:$G$17,MATCH($C$4,Lookups!$E$14:$G$14,0)),H249,SUMIFS('EE Inputs'!$W$9:$W$32,'EE Inputs'!$C$9:$C$32,$G$6,'EE Inputs'!$D$9:$D$32,$C$4,'EE Inputs'!$E$9:$E$32,$B263),0,1)))</f>
        <v>39906.188707960908</v>
      </c>
      <c r="I263" s="65">
        <f ca="1">IF($C$4=Lookups!$D$40,SUM(INDIRECT("'Yr1'!"&amp;ADDRESS(ROW(I263),COLUMN(I263))),INDIRECT("'Yr2'!"&amp;ADDRESS(ROW(I263),COLUMN(I263))),INDIRECT("'Yr3'!"&amp;ADDRESS(ROW(I263),COLUMN(I263)))),
IF(I249=0,0,-PMT(INDEX(Lookups!$E$17:$G$17,MATCH($C$4,Lookups!$E$14:$G$14,0)),I249,SUMIFS('EE Inputs'!$W$9:$W$32,'EE Inputs'!$C$9:$C$32,$G$6,'EE Inputs'!$D$9:$D$32,$C$4,'EE Inputs'!$E$9:$E$32,$B263),0,1)))</f>
        <v>39906.188707960908</v>
      </c>
      <c r="J263" s="65">
        <f ca="1">IF($C$4=Lookups!$D$40,SUM(INDIRECT("'Yr1'!"&amp;ADDRESS(ROW(J263),COLUMN(J263))),INDIRECT("'Yr2'!"&amp;ADDRESS(ROW(J263),COLUMN(J263))),INDIRECT("'Yr3'!"&amp;ADDRESS(ROW(J263),COLUMN(J263)))),
IF(J249=0,0,-PMT(INDEX(Lookups!$E$17:$G$17,MATCH($C$4,Lookups!$E$14:$G$14,0)),J249,SUMIFS('EE Inputs'!$W$9:$W$32,'EE Inputs'!$C$9:$C$32,$G$6,'EE Inputs'!$D$9:$D$32,$C$4,'EE Inputs'!$E$9:$E$32,$B263),0,1)))</f>
        <v>39906.188707960908</v>
      </c>
      <c r="K263" s="65">
        <f ca="1">IF($C$4=Lookups!$D$40,SUM(INDIRECT("'Yr1'!"&amp;ADDRESS(ROW(K263),COLUMN(K263))),INDIRECT("'Yr2'!"&amp;ADDRESS(ROW(K263),COLUMN(K263))),INDIRECT("'Yr3'!"&amp;ADDRESS(ROW(K263),COLUMN(K263)))),
IF(K249=0,0,-PMT(INDEX(Lookups!$E$17:$G$17,MATCH($C$4,Lookups!$E$14:$G$14,0)),K249,SUMIFS('EE Inputs'!$W$9:$W$32,'EE Inputs'!$C$9:$C$32,$G$6,'EE Inputs'!$D$9:$D$32,$C$4,'EE Inputs'!$E$9:$E$32,$B263),0,1)))</f>
        <v>39906.188707960908</v>
      </c>
      <c r="L263" s="65">
        <f ca="1">IF($C$4=Lookups!$D$40,SUM(INDIRECT("'Yr1'!"&amp;ADDRESS(ROW(L263),COLUMN(L263))),INDIRECT("'Yr2'!"&amp;ADDRESS(ROW(L263),COLUMN(L263))),INDIRECT("'Yr3'!"&amp;ADDRESS(ROW(L263),COLUMN(L263)))),
IF(L249=0,0,-PMT(INDEX(Lookups!$E$17:$G$17,MATCH($C$4,Lookups!$E$14:$G$14,0)),L249,SUMIFS('EE Inputs'!$W$9:$W$32,'EE Inputs'!$C$9:$C$32,$G$6,'EE Inputs'!$D$9:$D$32,$C$4,'EE Inputs'!$E$9:$E$32,$B263),0,1)))</f>
        <v>39906.188707960908</v>
      </c>
      <c r="M263" s="65">
        <f ca="1">IF($C$4=Lookups!$D$40,SUM(INDIRECT("'Yr1'!"&amp;ADDRESS(ROW(M263),COLUMN(M263))),INDIRECT("'Yr2'!"&amp;ADDRESS(ROW(M263),COLUMN(M263))),INDIRECT("'Yr3'!"&amp;ADDRESS(ROW(M263),COLUMN(M263)))),
IF(M249=0,0,-PMT(INDEX(Lookups!$E$17:$G$17,MATCH($C$4,Lookups!$E$14:$G$14,0)),M249,SUMIFS('EE Inputs'!$W$9:$W$32,'EE Inputs'!$C$9:$C$32,$G$6,'EE Inputs'!$D$9:$D$32,$C$4,'EE Inputs'!$E$9:$E$32,$B263),0,1)))</f>
        <v>39906.188707960908</v>
      </c>
      <c r="N263" s="65">
        <f ca="1">IF($C$4=Lookups!$D$40,SUM(INDIRECT("'Yr1'!"&amp;ADDRESS(ROW(N263),COLUMN(N263))),INDIRECT("'Yr2'!"&amp;ADDRESS(ROW(N263),COLUMN(N263))),INDIRECT("'Yr3'!"&amp;ADDRESS(ROW(N263),COLUMN(N263)))),
IF(N249=0,0,-PMT(INDEX(Lookups!$E$17:$G$17,MATCH($C$4,Lookups!$E$14:$G$14,0)),N249,SUMIFS('EE Inputs'!$W$9:$W$32,'EE Inputs'!$C$9:$C$32,$G$6,'EE Inputs'!$D$9:$D$32,$C$4,'EE Inputs'!$E$9:$E$32,$B263),0,1)))</f>
        <v>39906.188707960908</v>
      </c>
      <c r="O263" s="65">
        <f ca="1">IF($C$4=Lookups!$D$40,SUM(INDIRECT("'Yr1'!"&amp;ADDRESS(ROW(O263),COLUMN(O263))),INDIRECT("'Yr2'!"&amp;ADDRESS(ROW(O263),COLUMN(O263))),INDIRECT("'Yr3'!"&amp;ADDRESS(ROW(O263),COLUMN(O263)))),
IF(O249=0,0,-PMT(INDEX(Lookups!$E$17:$G$17,MATCH($C$4,Lookups!$E$14:$G$14,0)),O249,SUMIFS('EE Inputs'!$W$9:$W$32,'EE Inputs'!$C$9:$C$32,$G$6,'EE Inputs'!$D$9:$D$32,$C$4,'EE Inputs'!$E$9:$E$32,$B263),0,1)))</f>
        <v>39906.188707960908</v>
      </c>
      <c r="P263" s="65">
        <f ca="1">IF($C$4=Lookups!$D$40,SUM(INDIRECT("'Yr1'!"&amp;ADDRESS(ROW(P263),COLUMN(P263))),INDIRECT("'Yr2'!"&amp;ADDRESS(ROW(P263),COLUMN(P263))),INDIRECT("'Yr3'!"&amp;ADDRESS(ROW(P263),COLUMN(P263)))),
IF(P249=0,0,-PMT(INDEX(Lookups!$E$17:$G$17,MATCH($C$4,Lookups!$E$14:$G$14,0)),P249,SUMIFS('EE Inputs'!$W$9:$W$32,'EE Inputs'!$C$9:$C$32,$G$6,'EE Inputs'!$D$9:$D$32,$C$4,'EE Inputs'!$E$9:$E$32,$B263),0,1)))</f>
        <v>39906.188707960908</v>
      </c>
      <c r="Q263" s="65">
        <f ca="1">IF($C$4=Lookups!$D$40,SUM(INDIRECT("'Yr1'!"&amp;ADDRESS(ROW(Q263),COLUMN(Q263))),INDIRECT("'Yr2'!"&amp;ADDRESS(ROW(Q263),COLUMN(Q263))),INDIRECT("'Yr3'!"&amp;ADDRESS(ROW(Q263),COLUMN(Q263)))),
IF(Q249=0,0,-PMT(INDEX(Lookups!$E$17:$G$17,MATCH($C$4,Lookups!$E$14:$G$14,0)),Q249,SUMIFS('EE Inputs'!$W$9:$W$32,'EE Inputs'!$C$9:$C$32,$G$6,'EE Inputs'!$D$9:$D$32,$C$4,'EE Inputs'!$E$9:$E$32,$B263),0,1)))</f>
        <v>39906.188707960908</v>
      </c>
      <c r="R263" s="65">
        <f ca="1">IF($C$4=Lookups!$D$40,SUM(INDIRECT("'Yr1'!"&amp;ADDRESS(ROW(R263),COLUMN(R263))),INDIRECT("'Yr2'!"&amp;ADDRESS(ROW(R263),COLUMN(R263))),INDIRECT("'Yr3'!"&amp;ADDRESS(ROW(R263),COLUMN(R263)))),
IF(R249=0,0,-PMT(INDEX(Lookups!$E$17:$G$17,MATCH($C$4,Lookups!$E$14:$G$14,0)),R249,SUMIFS('EE Inputs'!$W$9:$W$32,'EE Inputs'!$C$9:$C$32,$G$6,'EE Inputs'!$D$9:$D$32,$C$4,'EE Inputs'!$E$9:$E$32,$B263),0,1)))</f>
        <v>39906.188707960908</v>
      </c>
      <c r="S263" s="65">
        <f ca="1">IF($C$4=Lookups!$D$40,SUM(INDIRECT("'Yr1'!"&amp;ADDRESS(ROW(S263),COLUMN(S263))),INDIRECT("'Yr2'!"&amp;ADDRESS(ROW(S263),COLUMN(S263))),INDIRECT("'Yr3'!"&amp;ADDRESS(ROW(S263),COLUMN(S263)))),
IF(S249=0,0,-PMT(INDEX(Lookups!$E$17:$G$17,MATCH($C$4,Lookups!$E$14:$G$14,0)),S249,SUMIFS('EE Inputs'!$W$9:$W$32,'EE Inputs'!$C$9:$C$32,$G$6,'EE Inputs'!$D$9:$D$32,$C$4,'EE Inputs'!$E$9:$E$32,$B263),0,1)))</f>
        <v>39906.188707960908</v>
      </c>
      <c r="T263" s="65">
        <f ca="1">IF($C$4=Lookups!$D$40,SUM(INDIRECT("'Yr1'!"&amp;ADDRESS(ROW(T263),COLUMN(T263))),INDIRECT("'Yr2'!"&amp;ADDRESS(ROW(T263),COLUMN(T263))),INDIRECT("'Yr3'!"&amp;ADDRESS(ROW(T263),COLUMN(T263)))),
IF(T249=0,0,-PMT(INDEX(Lookups!$E$17:$G$17,MATCH($C$4,Lookups!$E$14:$G$14,0)),T249,SUMIFS('EE Inputs'!$W$9:$W$32,'EE Inputs'!$C$9:$C$32,$G$6,'EE Inputs'!$D$9:$D$32,$C$4,'EE Inputs'!$E$9:$E$32,$B263),0,1)))</f>
        <v>0</v>
      </c>
      <c r="U263" s="65">
        <f ca="1">IF($C$4=Lookups!$D$40,SUM(INDIRECT("'Yr1'!"&amp;ADDRESS(ROW(U263),COLUMN(U263))),INDIRECT("'Yr2'!"&amp;ADDRESS(ROW(U263),COLUMN(U263))),INDIRECT("'Yr3'!"&amp;ADDRESS(ROW(U263),COLUMN(U263)))),
IF(U249=0,0,-PMT(INDEX(Lookups!$E$17:$G$17,MATCH($C$4,Lookups!$E$14:$G$14,0)),U249,SUMIFS('EE Inputs'!$W$9:$W$32,'EE Inputs'!$C$9:$C$32,$G$6,'EE Inputs'!$D$9:$D$32,$C$4,'EE Inputs'!$E$9:$E$32,$B263),0,1)))</f>
        <v>0</v>
      </c>
      <c r="V263" s="65">
        <f ca="1">IF($C$4=Lookups!$D$40,SUM(INDIRECT("'Yr1'!"&amp;ADDRESS(ROW(V263),COLUMN(V263))),INDIRECT("'Yr2'!"&amp;ADDRESS(ROW(V263),COLUMN(V263))),INDIRECT("'Yr3'!"&amp;ADDRESS(ROW(V263),COLUMN(V263)))),
IF(V249=0,0,-PMT(INDEX(Lookups!$E$17:$G$17,MATCH($C$4,Lookups!$E$14:$G$14,0)),V249,SUMIFS('EE Inputs'!$W$9:$W$32,'EE Inputs'!$C$9:$C$32,$G$6,'EE Inputs'!$D$9:$D$32,$C$4,'EE Inputs'!$E$9:$E$32,$B263),0,1)))</f>
        <v>0</v>
      </c>
      <c r="W263" s="65">
        <f ca="1">IF($C$4=Lookups!$D$40,SUM(INDIRECT("'Yr1'!"&amp;ADDRESS(ROW(W263),COLUMN(W263))),INDIRECT("'Yr2'!"&amp;ADDRESS(ROW(W263),COLUMN(W263))),INDIRECT("'Yr3'!"&amp;ADDRESS(ROW(W263),COLUMN(W263)))),
IF(W249=0,0,-PMT(INDEX(Lookups!$E$17:$G$17,MATCH($C$4,Lookups!$E$14:$G$14,0)),W249,SUMIFS('EE Inputs'!$W$9:$W$32,'EE Inputs'!$C$9:$C$32,$G$6,'EE Inputs'!$D$9:$D$32,$C$4,'EE Inputs'!$E$9:$E$32,$B263),0,1)))</f>
        <v>0</v>
      </c>
      <c r="X263" s="65">
        <f ca="1">IF($C$4=Lookups!$D$40,SUM(INDIRECT("'Yr1'!"&amp;ADDRESS(ROW(X263),COLUMN(X263))),INDIRECT("'Yr2'!"&amp;ADDRESS(ROW(X263),COLUMN(X263))),INDIRECT("'Yr3'!"&amp;ADDRESS(ROW(X263),COLUMN(X263)))),
IF(X249=0,0,-PMT(INDEX(Lookups!$E$17:$G$17,MATCH($C$4,Lookups!$E$14:$G$14,0)),X249,SUMIFS('EE Inputs'!$W$9:$W$32,'EE Inputs'!$C$9:$C$32,$G$6,'EE Inputs'!$D$9:$D$32,$C$4,'EE Inputs'!$E$9:$E$32,$B263),0,1)))</f>
        <v>0</v>
      </c>
      <c r="Y263" s="65">
        <f ca="1">IF($C$4=Lookups!$D$40,SUM(INDIRECT("'Yr1'!"&amp;ADDRESS(ROW(Y263),COLUMN(Y263))),INDIRECT("'Yr2'!"&amp;ADDRESS(ROW(Y263),COLUMN(Y263))),INDIRECT("'Yr3'!"&amp;ADDRESS(ROW(Y263),COLUMN(Y263)))),
IF(Y249=0,0,-PMT(INDEX(Lookups!$E$17:$G$17,MATCH($C$4,Lookups!$E$14:$G$14,0)),Y249,SUMIFS('EE Inputs'!$W$9:$W$32,'EE Inputs'!$C$9:$C$32,$G$6,'EE Inputs'!$D$9:$D$32,$C$4,'EE Inputs'!$E$9:$E$32,$B263),0,1)))</f>
        <v>0</v>
      </c>
      <c r="Z263" s="65">
        <f ca="1">IF($C$4=Lookups!$D$40,SUM(INDIRECT("'Yr1'!"&amp;ADDRESS(ROW(Z263),COLUMN(Z263))),INDIRECT("'Yr2'!"&amp;ADDRESS(ROW(Z263),COLUMN(Z263))),INDIRECT("'Yr3'!"&amp;ADDRESS(ROW(Z263),COLUMN(Z263)))),
IF(Z249=0,0,-PMT(INDEX(Lookups!$E$17:$G$17,MATCH($C$4,Lookups!$E$14:$G$14,0)),Z249,SUMIFS('EE Inputs'!$W$9:$W$32,'EE Inputs'!$C$9:$C$32,$G$6,'EE Inputs'!$D$9:$D$32,$C$4,'EE Inputs'!$E$9:$E$32,$B263),0,1)))</f>
        <v>0</v>
      </c>
      <c r="AA263" s="65">
        <f ca="1">IF($C$4=Lookups!$D$40,SUM(INDIRECT("'Yr1'!"&amp;ADDRESS(ROW(AA263),COLUMN(AA263))),INDIRECT("'Yr2'!"&amp;ADDRESS(ROW(AA263),COLUMN(AA263))),INDIRECT("'Yr3'!"&amp;ADDRESS(ROW(AA263),COLUMN(AA263)))),
IF(AA249=0,0,-PMT(INDEX(Lookups!$E$17:$G$17,MATCH($C$4,Lookups!$E$14:$G$14,0)),AA249,SUMIFS('EE Inputs'!$W$9:$W$32,'EE Inputs'!$C$9:$C$32,$G$6,'EE Inputs'!$D$9:$D$32,$C$4,'EE Inputs'!$E$9:$E$32,$B263),0,1)))</f>
        <v>0</v>
      </c>
      <c r="AB263" s="65">
        <f ca="1">IF($C$4=Lookups!$D$40,SUM(INDIRECT("'Yr1'!"&amp;ADDRESS(ROW(AB263),COLUMN(AB263))),INDIRECT("'Yr2'!"&amp;ADDRESS(ROW(AB263),COLUMN(AB263))),INDIRECT("'Yr3'!"&amp;ADDRESS(ROW(AB263),COLUMN(AB263)))),
IF(AB249=0,0,-PMT(INDEX(Lookups!$E$17:$G$17,MATCH($C$4,Lookups!$E$14:$G$14,0)),AB249,SUMIFS('EE Inputs'!$W$9:$W$32,'EE Inputs'!$C$9:$C$32,$G$6,'EE Inputs'!$D$9:$D$32,$C$4,'EE Inputs'!$E$9:$E$32,$B263),0,1)))</f>
        <v>0</v>
      </c>
      <c r="AC263" s="65">
        <f ca="1">IF($C$4=Lookups!$D$40,SUM(INDIRECT("'Yr1'!"&amp;ADDRESS(ROW(AC263),COLUMN(AC263))),INDIRECT("'Yr2'!"&amp;ADDRESS(ROW(AC263),COLUMN(AC263))),INDIRECT("'Yr3'!"&amp;ADDRESS(ROW(AC263),COLUMN(AC263)))),
IF(AC249=0,0,-PMT(INDEX(Lookups!$E$17:$G$17,MATCH($C$4,Lookups!$E$14:$G$14,0)),AC249,SUMIFS('EE Inputs'!$W$9:$W$32,'EE Inputs'!$C$9:$C$32,$G$6,'EE Inputs'!$D$9:$D$32,$C$4,'EE Inputs'!$E$9:$E$32,$B263),0,1)))</f>
        <v>0</v>
      </c>
      <c r="AD263" s="65">
        <f ca="1">IF($C$4=Lookups!$D$40,SUM(INDIRECT("'Yr1'!"&amp;ADDRESS(ROW(AD263),COLUMN(AD263))),INDIRECT("'Yr2'!"&amp;ADDRESS(ROW(AD263),COLUMN(AD263))),INDIRECT("'Yr3'!"&amp;ADDRESS(ROW(AD263),COLUMN(AD263)))),
IF(AD249=0,0,-PMT(INDEX(Lookups!$E$17:$G$17,MATCH($C$4,Lookups!$E$14:$G$14,0)),AD249,SUMIFS('EE Inputs'!$W$9:$W$32,'EE Inputs'!$C$9:$C$32,$G$6,'EE Inputs'!$D$9:$D$32,$C$4,'EE Inputs'!$E$9:$E$32,$B263),0,1)))</f>
        <v>0</v>
      </c>
      <c r="AE263" s="65">
        <f ca="1">IF($C$4=Lookups!$D$40,SUM(INDIRECT("'Yr1'!"&amp;ADDRESS(ROW(AE263),COLUMN(AE263))),INDIRECT("'Yr2'!"&amp;ADDRESS(ROW(AE263),COLUMN(AE263))),INDIRECT("'Yr3'!"&amp;ADDRESS(ROW(AE263),COLUMN(AE263)))),
IF(AE249=0,0,-PMT(INDEX(Lookups!$E$17:$G$17,MATCH($C$4,Lookups!$E$14:$G$14,0)),AE249,SUMIFS('EE Inputs'!$W$9:$W$32,'EE Inputs'!$C$9:$C$32,$G$6,'EE Inputs'!$D$9:$D$32,$C$4,'EE Inputs'!$E$9:$E$32,$B263),0,1)))</f>
        <v>0</v>
      </c>
      <c r="AF263" s="65">
        <f ca="1">IF($C$4=Lookups!$D$40,SUM(INDIRECT("'Yr1'!"&amp;ADDRESS(ROW(AF263),COLUMN(AF263))),INDIRECT("'Yr2'!"&amp;ADDRESS(ROW(AF263),COLUMN(AF263))),INDIRECT("'Yr3'!"&amp;ADDRESS(ROW(AF263),COLUMN(AF263)))),
IF(AF249=0,0,-PMT(INDEX(Lookups!$E$17:$G$17,MATCH($C$4,Lookups!$E$14:$G$14,0)),AF249,SUMIFS('EE Inputs'!$W$9:$W$32,'EE Inputs'!$C$9:$C$32,$G$6,'EE Inputs'!$D$9:$D$32,$C$4,'EE Inputs'!$E$9:$E$32,$B263),0,1)))</f>
        <v>0</v>
      </c>
      <c r="AG263" s="65">
        <f ca="1">IF($C$4=Lookups!$D$40,SUM(INDIRECT("'Yr1'!"&amp;ADDRESS(ROW(AG263),COLUMN(AG263))),INDIRECT("'Yr2'!"&amp;ADDRESS(ROW(AG263),COLUMN(AG263))),INDIRECT("'Yr3'!"&amp;ADDRESS(ROW(AG263),COLUMN(AG263)))),
IF(AG249=0,0,-PMT(INDEX(Lookups!$E$17:$G$17,MATCH($C$4,Lookups!$E$14:$G$14,0)),AG249,SUMIFS('EE Inputs'!$W$9:$W$32,'EE Inputs'!$C$9:$C$32,$G$6,'EE Inputs'!$D$9:$D$32,$C$4,'EE Inputs'!$E$9:$E$32,$B263),0,1)))</f>
        <v>0</v>
      </c>
      <c r="AH263" s="65"/>
      <c r="AI263" s="65">
        <f ca="1">NPV(Lookups!$E$17,G263:AG263)</f>
        <v>470853.44982263801</v>
      </c>
      <c r="AJ263" s="65"/>
      <c r="AM263" s="72">
        <f ca="1">IF($C$4=Lookups!$D$40,SUM(INDIRECT("'Yr1'!"&amp;ADDRESS(ROW(AM263),COLUMN(AM263))),INDIRECT("'Yr2'!"&amp;ADDRESS(ROW(AM263),COLUMN(AM263))),INDIRECT("'Yr3'!"&amp;ADDRESS(ROW(AM263),COLUMN(AM263)))),
IF(AM249=0,0,-PMT(INDEX(Lookups!$E$17:$G$17,MATCH($C$4,Lookups!$E$14:$G$14,0)),AM249,SUMIFS('EE Inputs'!$W$9:$W$32,'EE Inputs'!$C$9:$C$32,$AM$6,'EE Inputs'!$D$9:$D$32,$C$4,'EE Inputs'!$E$9:$E$32,$B263),0,1)))</f>
        <v>45607.072809098187</v>
      </c>
      <c r="AN263" s="72">
        <f ca="1">IF($C$4=Lookups!$D$40,SUM(INDIRECT("'Yr1'!"&amp;ADDRESS(ROW(AN263),COLUMN(AN263))),INDIRECT("'Yr2'!"&amp;ADDRESS(ROW(AN263),COLUMN(AN263))),INDIRECT("'Yr3'!"&amp;ADDRESS(ROW(AN263),COLUMN(AN263)))),
IF(AN249=0,0,-PMT(INDEX(Lookups!$E$17:$G$17,MATCH($C$4,Lookups!$E$14:$G$14,0)),AN249,SUMIFS('EE Inputs'!$W$9:$W$32,'EE Inputs'!$C$9:$C$32,$AM$6,'EE Inputs'!$D$9:$D$32,$C$4,'EE Inputs'!$E$9:$E$32,$B263),0,1)))</f>
        <v>45607.072809098187</v>
      </c>
      <c r="AO263" s="72">
        <f ca="1">IF($C$4=Lookups!$D$40,SUM(INDIRECT("'Yr1'!"&amp;ADDRESS(ROW(AO263),COLUMN(AO263))),INDIRECT("'Yr2'!"&amp;ADDRESS(ROW(AO263),COLUMN(AO263))),INDIRECT("'Yr3'!"&amp;ADDRESS(ROW(AO263),COLUMN(AO263)))),
IF(AO249=0,0,-PMT(INDEX(Lookups!$E$17:$G$17,MATCH($C$4,Lookups!$E$14:$G$14,0)),AO249,SUMIFS('EE Inputs'!$W$9:$W$32,'EE Inputs'!$C$9:$C$32,$AM$6,'EE Inputs'!$D$9:$D$32,$C$4,'EE Inputs'!$E$9:$E$32,$B263),0,1)))</f>
        <v>45607.072809098187</v>
      </c>
      <c r="AP263" s="72">
        <f ca="1">IF($C$4=Lookups!$D$40,SUM(INDIRECT("'Yr1'!"&amp;ADDRESS(ROW(AP263),COLUMN(AP263))),INDIRECT("'Yr2'!"&amp;ADDRESS(ROW(AP263),COLUMN(AP263))),INDIRECT("'Yr3'!"&amp;ADDRESS(ROW(AP263),COLUMN(AP263)))),
IF(AP249=0,0,-PMT(INDEX(Lookups!$E$17:$G$17,MATCH($C$4,Lookups!$E$14:$G$14,0)),AP249,SUMIFS('EE Inputs'!$W$9:$W$32,'EE Inputs'!$C$9:$C$32,$AM$6,'EE Inputs'!$D$9:$D$32,$C$4,'EE Inputs'!$E$9:$E$32,$B263),0,1)))</f>
        <v>45607.072809098187</v>
      </c>
      <c r="AQ263" s="72">
        <f ca="1">IF($C$4=Lookups!$D$40,SUM(INDIRECT("'Yr1'!"&amp;ADDRESS(ROW(AQ263),COLUMN(AQ263))),INDIRECT("'Yr2'!"&amp;ADDRESS(ROW(AQ263),COLUMN(AQ263))),INDIRECT("'Yr3'!"&amp;ADDRESS(ROW(AQ263),COLUMN(AQ263)))),
IF(AQ249=0,0,-PMT(INDEX(Lookups!$E$17:$G$17,MATCH($C$4,Lookups!$E$14:$G$14,0)),AQ249,SUMIFS('EE Inputs'!$W$9:$W$32,'EE Inputs'!$C$9:$C$32,$AM$6,'EE Inputs'!$D$9:$D$32,$C$4,'EE Inputs'!$E$9:$E$32,$B263),0,1)))</f>
        <v>45607.072809098187</v>
      </c>
      <c r="AR263" s="72">
        <f ca="1">IF($C$4=Lookups!$D$40,SUM(INDIRECT("'Yr1'!"&amp;ADDRESS(ROW(AR263),COLUMN(AR263))),INDIRECT("'Yr2'!"&amp;ADDRESS(ROW(AR263),COLUMN(AR263))),INDIRECT("'Yr3'!"&amp;ADDRESS(ROW(AR263),COLUMN(AR263)))),
IF(AR249=0,0,-PMT(INDEX(Lookups!$E$17:$G$17,MATCH($C$4,Lookups!$E$14:$G$14,0)),AR249,SUMIFS('EE Inputs'!$W$9:$W$32,'EE Inputs'!$C$9:$C$32,$AM$6,'EE Inputs'!$D$9:$D$32,$C$4,'EE Inputs'!$E$9:$E$32,$B263),0,1)))</f>
        <v>45607.072809098187</v>
      </c>
      <c r="AS263" s="72">
        <f ca="1">IF($C$4=Lookups!$D$40,SUM(INDIRECT("'Yr1'!"&amp;ADDRESS(ROW(AS263),COLUMN(AS263))),INDIRECT("'Yr2'!"&amp;ADDRESS(ROW(AS263),COLUMN(AS263))),INDIRECT("'Yr3'!"&amp;ADDRESS(ROW(AS263),COLUMN(AS263)))),
IF(AS249=0,0,-PMT(INDEX(Lookups!$E$17:$G$17,MATCH($C$4,Lookups!$E$14:$G$14,0)),AS249,SUMIFS('EE Inputs'!$W$9:$W$32,'EE Inputs'!$C$9:$C$32,$AM$6,'EE Inputs'!$D$9:$D$32,$C$4,'EE Inputs'!$E$9:$E$32,$B263),0,1)))</f>
        <v>45607.072809098187</v>
      </c>
      <c r="AT263" s="72">
        <f ca="1">IF($C$4=Lookups!$D$40,SUM(INDIRECT("'Yr1'!"&amp;ADDRESS(ROW(AT263),COLUMN(AT263))),INDIRECT("'Yr2'!"&amp;ADDRESS(ROW(AT263),COLUMN(AT263))),INDIRECT("'Yr3'!"&amp;ADDRESS(ROW(AT263),COLUMN(AT263)))),
IF(AT249=0,0,-PMT(INDEX(Lookups!$E$17:$G$17,MATCH($C$4,Lookups!$E$14:$G$14,0)),AT249,SUMIFS('EE Inputs'!$W$9:$W$32,'EE Inputs'!$C$9:$C$32,$AM$6,'EE Inputs'!$D$9:$D$32,$C$4,'EE Inputs'!$E$9:$E$32,$B263),0,1)))</f>
        <v>45607.072809098187</v>
      </c>
      <c r="AU263" s="72">
        <f ca="1">IF($C$4=Lookups!$D$40,SUM(INDIRECT("'Yr1'!"&amp;ADDRESS(ROW(AU263),COLUMN(AU263))),INDIRECT("'Yr2'!"&amp;ADDRESS(ROW(AU263),COLUMN(AU263))),INDIRECT("'Yr3'!"&amp;ADDRESS(ROW(AU263),COLUMN(AU263)))),
IF(AU249=0,0,-PMT(INDEX(Lookups!$E$17:$G$17,MATCH($C$4,Lookups!$E$14:$G$14,0)),AU249,SUMIFS('EE Inputs'!$W$9:$W$32,'EE Inputs'!$C$9:$C$32,$AM$6,'EE Inputs'!$D$9:$D$32,$C$4,'EE Inputs'!$E$9:$E$32,$B263),0,1)))</f>
        <v>45607.072809098187</v>
      </c>
      <c r="AV263" s="72">
        <f ca="1">IF($C$4=Lookups!$D$40,SUM(INDIRECT("'Yr1'!"&amp;ADDRESS(ROW(AV263),COLUMN(AV263))),INDIRECT("'Yr2'!"&amp;ADDRESS(ROW(AV263),COLUMN(AV263))),INDIRECT("'Yr3'!"&amp;ADDRESS(ROW(AV263),COLUMN(AV263)))),
IF(AV249=0,0,-PMT(INDEX(Lookups!$E$17:$G$17,MATCH($C$4,Lookups!$E$14:$G$14,0)),AV249,SUMIFS('EE Inputs'!$W$9:$W$32,'EE Inputs'!$C$9:$C$32,$AM$6,'EE Inputs'!$D$9:$D$32,$C$4,'EE Inputs'!$E$9:$E$32,$B263),0,1)))</f>
        <v>45607.072809098187</v>
      </c>
      <c r="AW263" s="72">
        <f ca="1">IF($C$4=Lookups!$D$40,SUM(INDIRECT("'Yr1'!"&amp;ADDRESS(ROW(AW263),COLUMN(AW263))),INDIRECT("'Yr2'!"&amp;ADDRESS(ROW(AW263),COLUMN(AW263))),INDIRECT("'Yr3'!"&amp;ADDRESS(ROW(AW263),COLUMN(AW263)))),
IF(AW249=0,0,-PMT(INDEX(Lookups!$E$17:$G$17,MATCH($C$4,Lookups!$E$14:$G$14,0)),AW249,SUMIFS('EE Inputs'!$W$9:$W$32,'EE Inputs'!$C$9:$C$32,$AM$6,'EE Inputs'!$D$9:$D$32,$C$4,'EE Inputs'!$E$9:$E$32,$B263),0,1)))</f>
        <v>45607.072809098187</v>
      </c>
      <c r="AX263" s="72">
        <f ca="1">IF($C$4=Lookups!$D$40,SUM(INDIRECT("'Yr1'!"&amp;ADDRESS(ROW(AX263),COLUMN(AX263))),INDIRECT("'Yr2'!"&amp;ADDRESS(ROW(AX263),COLUMN(AX263))),INDIRECT("'Yr3'!"&amp;ADDRESS(ROW(AX263),COLUMN(AX263)))),
IF(AX249=0,0,-PMT(INDEX(Lookups!$E$17:$G$17,MATCH($C$4,Lookups!$E$14:$G$14,0)),AX249,SUMIFS('EE Inputs'!$W$9:$W$32,'EE Inputs'!$C$9:$C$32,$AM$6,'EE Inputs'!$D$9:$D$32,$C$4,'EE Inputs'!$E$9:$E$32,$B263),0,1)))</f>
        <v>45607.072809098187</v>
      </c>
      <c r="AY263" s="72">
        <f ca="1">IF($C$4=Lookups!$D$40,SUM(INDIRECT("'Yr1'!"&amp;ADDRESS(ROW(AY263),COLUMN(AY263))),INDIRECT("'Yr2'!"&amp;ADDRESS(ROW(AY263),COLUMN(AY263))),INDIRECT("'Yr3'!"&amp;ADDRESS(ROW(AY263),COLUMN(AY263)))),
IF(AY249=0,0,-PMT(INDEX(Lookups!$E$17:$G$17,MATCH($C$4,Lookups!$E$14:$G$14,0)),AY249,SUMIFS('EE Inputs'!$W$9:$W$32,'EE Inputs'!$C$9:$C$32,$AM$6,'EE Inputs'!$D$9:$D$32,$C$4,'EE Inputs'!$E$9:$E$32,$B263),0,1)))</f>
        <v>45607.072809098187</v>
      </c>
      <c r="AZ263" s="72">
        <f ca="1">IF($C$4=Lookups!$D$40,SUM(INDIRECT("'Yr1'!"&amp;ADDRESS(ROW(AZ263),COLUMN(AZ263))),INDIRECT("'Yr2'!"&amp;ADDRESS(ROW(AZ263),COLUMN(AZ263))),INDIRECT("'Yr3'!"&amp;ADDRESS(ROW(AZ263),COLUMN(AZ263)))),
IF(AZ249=0,0,-PMT(INDEX(Lookups!$E$17:$G$17,MATCH($C$4,Lookups!$E$14:$G$14,0)),AZ249,SUMIFS('EE Inputs'!$W$9:$W$32,'EE Inputs'!$C$9:$C$32,$AM$6,'EE Inputs'!$D$9:$D$32,$C$4,'EE Inputs'!$E$9:$E$32,$B263),0,1)))</f>
        <v>0</v>
      </c>
      <c r="BA263" s="72">
        <f ca="1">IF($C$4=Lookups!$D$40,SUM(INDIRECT("'Yr1'!"&amp;ADDRESS(ROW(BA263),COLUMN(BA263))),INDIRECT("'Yr2'!"&amp;ADDRESS(ROW(BA263),COLUMN(BA263))),INDIRECT("'Yr3'!"&amp;ADDRESS(ROW(BA263),COLUMN(BA263)))),
IF(BA249=0,0,-PMT(INDEX(Lookups!$E$17:$G$17,MATCH($C$4,Lookups!$E$14:$G$14,0)),BA249,SUMIFS('EE Inputs'!$W$9:$W$32,'EE Inputs'!$C$9:$C$32,$AM$6,'EE Inputs'!$D$9:$D$32,$C$4,'EE Inputs'!$E$9:$E$32,$B263),0,1)))</f>
        <v>0</v>
      </c>
      <c r="BB263" s="72">
        <f ca="1">IF($C$4=Lookups!$D$40,SUM(INDIRECT("'Yr1'!"&amp;ADDRESS(ROW(BB263),COLUMN(BB263))),INDIRECT("'Yr2'!"&amp;ADDRESS(ROW(BB263),COLUMN(BB263))),INDIRECT("'Yr3'!"&amp;ADDRESS(ROW(BB263),COLUMN(BB263)))),
IF(BB249=0,0,-PMT(INDEX(Lookups!$E$17:$G$17,MATCH($C$4,Lookups!$E$14:$G$14,0)),BB249,SUMIFS('EE Inputs'!$W$9:$W$32,'EE Inputs'!$C$9:$C$32,$AM$6,'EE Inputs'!$D$9:$D$32,$C$4,'EE Inputs'!$E$9:$E$32,$B263),0,1)))</f>
        <v>0</v>
      </c>
      <c r="BC263" s="72">
        <f ca="1">IF($C$4=Lookups!$D$40,SUM(INDIRECT("'Yr1'!"&amp;ADDRESS(ROW(BC263),COLUMN(BC263))),INDIRECT("'Yr2'!"&amp;ADDRESS(ROW(BC263),COLUMN(BC263))),INDIRECT("'Yr3'!"&amp;ADDRESS(ROW(BC263),COLUMN(BC263)))),
IF(BC249=0,0,-PMT(INDEX(Lookups!$E$17:$G$17,MATCH($C$4,Lookups!$E$14:$G$14,0)),BC249,SUMIFS('EE Inputs'!$W$9:$W$32,'EE Inputs'!$C$9:$C$32,$AM$6,'EE Inputs'!$D$9:$D$32,$C$4,'EE Inputs'!$E$9:$E$32,$B263),0,1)))</f>
        <v>0</v>
      </c>
      <c r="BD263" s="72">
        <f ca="1">IF($C$4=Lookups!$D$40,SUM(INDIRECT("'Yr1'!"&amp;ADDRESS(ROW(BD263),COLUMN(BD263))),INDIRECT("'Yr2'!"&amp;ADDRESS(ROW(BD263),COLUMN(BD263))),INDIRECT("'Yr3'!"&amp;ADDRESS(ROW(BD263),COLUMN(BD263)))),
IF(BD249=0,0,-PMT(INDEX(Lookups!$E$17:$G$17,MATCH($C$4,Lookups!$E$14:$G$14,0)),BD249,SUMIFS('EE Inputs'!$W$9:$W$32,'EE Inputs'!$C$9:$C$32,$AM$6,'EE Inputs'!$D$9:$D$32,$C$4,'EE Inputs'!$E$9:$E$32,$B263),0,1)))</f>
        <v>0</v>
      </c>
      <c r="BE263" s="72">
        <f ca="1">IF($C$4=Lookups!$D$40,SUM(INDIRECT("'Yr1'!"&amp;ADDRESS(ROW(BE263),COLUMN(BE263))),INDIRECT("'Yr2'!"&amp;ADDRESS(ROW(BE263),COLUMN(BE263))),INDIRECT("'Yr3'!"&amp;ADDRESS(ROW(BE263),COLUMN(BE263)))),
IF(BE249=0,0,-PMT(INDEX(Lookups!$E$17:$G$17,MATCH($C$4,Lookups!$E$14:$G$14,0)),BE249,SUMIFS('EE Inputs'!$W$9:$W$32,'EE Inputs'!$C$9:$C$32,$AM$6,'EE Inputs'!$D$9:$D$32,$C$4,'EE Inputs'!$E$9:$E$32,$B263),0,1)))</f>
        <v>0</v>
      </c>
      <c r="BF263" s="72">
        <f ca="1">IF($C$4=Lookups!$D$40,SUM(INDIRECT("'Yr1'!"&amp;ADDRESS(ROW(BF263),COLUMN(BF263))),INDIRECT("'Yr2'!"&amp;ADDRESS(ROW(BF263),COLUMN(BF263))),INDIRECT("'Yr3'!"&amp;ADDRESS(ROW(BF263),COLUMN(BF263)))),
IF(BF249=0,0,-PMT(INDEX(Lookups!$E$17:$G$17,MATCH($C$4,Lookups!$E$14:$G$14,0)),BF249,SUMIFS('EE Inputs'!$W$9:$W$32,'EE Inputs'!$C$9:$C$32,$AM$6,'EE Inputs'!$D$9:$D$32,$C$4,'EE Inputs'!$E$9:$E$32,$B263),0,1)))</f>
        <v>0</v>
      </c>
      <c r="BG263" s="72">
        <f ca="1">IF($C$4=Lookups!$D$40,SUM(INDIRECT("'Yr1'!"&amp;ADDRESS(ROW(BG263),COLUMN(BG263))),INDIRECT("'Yr2'!"&amp;ADDRESS(ROW(BG263),COLUMN(BG263))),INDIRECT("'Yr3'!"&amp;ADDRESS(ROW(BG263),COLUMN(BG263)))),
IF(BG249=0,0,-PMT(INDEX(Lookups!$E$17:$G$17,MATCH($C$4,Lookups!$E$14:$G$14,0)),BG249,SUMIFS('EE Inputs'!$W$9:$W$32,'EE Inputs'!$C$9:$C$32,$AM$6,'EE Inputs'!$D$9:$D$32,$C$4,'EE Inputs'!$E$9:$E$32,$B263),0,1)))</f>
        <v>0</v>
      </c>
      <c r="BH263" s="72">
        <f ca="1">IF($C$4=Lookups!$D$40,SUM(INDIRECT("'Yr1'!"&amp;ADDRESS(ROW(BH263),COLUMN(BH263))),INDIRECT("'Yr2'!"&amp;ADDRESS(ROW(BH263),COLUMN(BH263))),INDIRECT("'Yr3'!"&amp;ADDRESS(ROW(BH263),COLUMN(BH263)))),
IF(BH249=0,0,-PMT(INDEX(Lookups!$E$17:$G$17,MATCH($C$4,Lookups!$E$14:$G$14,0)),BH249,SUMIFS('EE Inputs'!$W$9:$W$32,'EE Inputs'!$C$9:$C$32,$AM$6,'EE Inputs'!$D$9:$D$32,$C$4,'EE Inputs'!$E$9:$E$32,$B263),0,1)))</f>
        <v>0</v>
      </c>
      <c r="BI263" s="72">
        <f ca="1">IF($C$4=Lookups!$D$40,SUM(INDIRECT("'Yr1'!"&amp;ADDRESS(ROW(BI263),COLUMN(BI263))),INDIRECT("'Yr2'!"&amp;ADDRESS(ROW(BI263),COLUMN(BI263))),INDIRECT("'Yr3'!"&amp;ADDRESS(ROW(BI263),COLUMN(BI263)))),
IF(BI249=0,0,-PMT(INDEX(Lookups!$E$17:$G$17,MATCH($C$4,Lookups!$E$14:$G$14,0)),BI249,SUMIFS('EE Inputs'!$W$9:$W$32,'EE Inputs'!$C$9:$C$32,$AM$6,'EE Inputs'!$D$9:$D$32,$C$4,'EE Inputs'!$E$9:$E$32,$B263),0,1)))</f>
        <v>0</v>
      </c>
      <c r="BJ263" s="72">
        <f ca="1">IF($C$4=Lookups!$D$40,SUM(INDIRECT("'Yr1'!"&amp;ADDRESS(ROW(BJ263),COLUMN(BJ263))),INDIRECT("'Yr2'!"&amp;ADDRESS(ROW(BJ263),COLUMN(BJ263))),INDIRECT("'Yr3'!"&amp;ADDRESS(ROW(BJ263),COLUMN(BJ263)))),
IF(BJ249=0,0,-PMT(INDEX(Lookups!$E$17:$G$17,MATCH($C$4,Lookups!$E$14:$G$14,0)),BJ249,SUMIFS('EE Inputs'!$W$9:$W$32,'EE Inputs'!$C$9:$C$32,$AM$6,'EE Inputs'!$D$9:$D$32,$C$4,'EE Inputs'!$E$9:$E$32,$B263),0,1)))</f>
        <v>0</v>
      </c>
      <c r="BK263" s="72">
        <f ca="1">IF($C$4=Lookups!$D$40,SUM(INDIRECT("'Yr1'!"&amp;ADDRESS(ROW(BK263),COLUMN(BK263))),INDIRECT("'Yr2'!"&amp;ADDRESS(ROW(BK263),COLUMN(BK263))),INDIRECT("'Yr3'!"&amp;ADDRESS(ROW(BK263),COLUMN(BK263)))),
IF(BK249=0,0,-PMT(INDEX(Lookups!$E$17:$G$17,MATCH($C$4,Lookups!$E$14:$G$14,0)),BK249,SUMIFS('EE Inputs'!$W$9:$W$32,'EE Inputs'!$C$9:$C$32,$AM$6,'EE Inputs'!$D$9:$D$32,$C$4,'EE Inputs'!$E$9:$E$32,$B263),0,1)))</f>
        <v>0</v>
      </c>
      <c r="BL263" s="72">
        <f ca="1">IF($C$4=Lookups!$D$40,SUM(INDIRECT("'Yr1'!"&amp;ADDRESS(ROW(BL263),COLUMN(BL263))),INDIRECT("'Yr2'!"&amp;ADDRESS(ROW(BL263),COLUMN(BL263))),INDIRECT("'Yr3'!"&amp;ADDRESS(ROW(BL263),COLUMN(BL263)))),
IF(BL249=0,0,-PMT(INDEX(Lookups!$E$17:$G$17,MATCH($C$4,Lookups!$E$14:$G$14,0)),BL249,SUMIFS('EE Inputs'!$W$9:$W$32,'EE Inputs'!$C$9:$C$32,$AM$6,'EE Inputs'!$D$9:$D$32,$C$4,'EE Inputs'!$E$9:$E$32,$B263),0,1)))</f>
        <v>0</v>
      </c>
      <c r="BM263" s="72">
        <f ca="1">IF($C$4=Lookups!$D$40,SUM(INDIRECT("'Yr1'!"&amp;ADDRESS(ROW(BM263),COLUMN(BM263))),INDIRECT("'Yr2'!"&amp;ADDRESS(ROW(BM263),COLUMN(BM263))),INDIRECT("'Yr3'!"&amp;ADDRESS(ROW(BM263),COLUMN(BM263)))),
IF(BM249=0,0,-PMT(INDEX(Lookups!$E$17:$G$17,MATCH($C$4,Lookups!$E$14:$G$14,0)),BM249,SUMIFS('EE Inputs'!$W$9:$W$32,'EE Inputs'!$C$9:$C$32,$AM$6,'EE Inputs'!$D$9:$D$32,$C$4,'EE Inputs'!$E$9:$E$32,$B263),0,1)))</f>
        <v>0</v>
      </c>
      <c r="BN263" s="72"/>
      <c r="BO263" s="72">
        <f ca="1">NPV(Lookups!$E$17,AM263:BM263)</f>
        <v>538118.22836872924</v>
      </c>
      <c r="BP263" s="72"/>
      <c r="BS263" s="84" t="s">
        <v>413</v>
      </c>
      <c r="BT263" s="51"/>
    </row>
    <row r="264" spans="1:72" x14ac:dyDescent="0.25">
      <c r="A264" s="246"/>
      <c r="B264" s="243" t="str">
        <f t="shared" ref="B264:C264" si="285">B262</f>
        <v>Large C&amp;I</v>
      </c>
      <c r="C264" s="243" t="str">
        <f t="shared" si="285"/>
        <v>Revenue Requirements</v>
      </c>
      <c r="D264" s="244" t="str">
        <f>D262</f>
        <v>Avoided Costs</v>
      </c>
      <c r="E264" s="86" t="s">
        <v>175</v>
      </c>
      <c r="F264" s="84" t="s">
        <v>32</v>
      </c>
      <c r="G264" s="65">
        <f ca="1">IF($C$4=Lookups!$D$40,SUM(INDIRECT("'Yr1'!"&amp;ADDRESS(ROW(G264),COLUMN(G264))),INDIRECT("'Yr2'!"&amp;ADDRESS(ROW(G264),COLUMN(G264))),INDIRECT("'Yr3'!"&amp;ADDRESS(ROW(G264),COLUMN(G264)))),
IF(G249=0,0,-PMT(INDEX(Lookups!$E$17:$G$17,MATCH($C$4,Lookups!$E$14:$G$14,0)),G249,SUMIFS('EE Inputs'!$K$9:$K$32,'EE Inputs'!$C$9:$C$32,$G$6,'EE Inputs'!$D$9:$D$32,$C$4,'EE Inputs'!$E$9:$E$32,$B264),0,1)))</f>
        <v>31701.116765578859</v>
      </c>
      <c r="H264" s="65">
        <f ca="1">IF($C$4=Lookups!$D$40,SUM(INDIRECT("'Yr1'!"&amp;ADDRESS(ROW(H264),COLUMN(H264))),INDIRECT("'Yr2'!"&amp;ADDRESS(ROW(H264),COLUMN(H264))),INDIRECT("'Yr3'!"&amp;ADDRESS(ROW(H264),COLUMN(H264)))),
IF(H249=0,0,-PMT(INDEX(Lookups!$E$17:$G$17,MATCH($C$4,Lookups!$E$14:$G$14,0)),H249,SUMIFS('EE Inputs'!$K$9:$K$32,'EE Inputs'!$C$9:$C$32,$G$6,'EE Inputs'!$D$9:$D$32,$C$4,'EE Inputs'!$E$9:$E$32,$B264),0,1)))</f>
        <v>31701.116765578859</v>
      </c>
      <c r="I264" s="65">
        <f ca="1">IF($C$4=Lookups!$D$40,SUM(INDIRECT("'Yr1'!"&amp;ADDRESS(ROW(I264),COLUMN(I264))),INDIRECT("'Yr2'!"&amp;ADDRESS(ROW(I264),COLUMN(I264))),INDIRECT("'Yr3'!"&amp;ADDRESS(ROW(I264),COLUMN(I264)))),
IF(I249=0,0,-PMT(INDEX(Lookups!$E$17:$G$17,MATCH($C$4,Lookups!$E$14:$G$14,0)),I249,SUMIFS('EE Inputs'!$K$9:$K$32,'EE Inputs'!$C$9:$C$32,$G$6,'EE Inputs'!$D$9:$D$32,$C$4,'EE Inputs'!$E$9:$E$32,$B264),0,1)))</f>
        <v>31701.116765578859</v>
      </c>
      <c r="J264" s="65">
        <f ca="1">IF($C$4=Lookups!$D$40,SUM(INDIRECT("'Yr1'!"&amp;ADDRESS(ROW(J264),COLUMN(J264))),INDIRECT("'Yr2'!"&amp;ADDRESS(ROW(J264),COLUMN(J264))),INDIRECT("'Yr3'!"&amp;ADDRESS(ROW(J264),COLUMN(J264)))),
IF(J249=0,0,-PMT(INDEX(Lookups!$E$17:$G$17,MATCH($C$4,Lookups!$E$14:$G$14,0)),J249,SUMIFS('EE Inputs'!$K$9:$K$32,'EE Inputs'!$C$9:$C$32,$G$6,'EE Inputs'!$D$9:$D$32,$C$4,'EE Inputs'!$E$9:$E$32,$B264),0,1)))</f>
        <v>31701.116765578859</v>
      </c>
      <c r="K264" s="65">
        <f ca="1">IF($C$4=Lookups!$D$40,SUM(INDIRECT("'Yr1'!"&amp;ADDRESS(ROW(K264),COLUMN(K264))),INDIRECT("'Yr2'!"&amp;ADDRESS(ROW(K264),COLUMN(K264))),INDIRECT("'Yr3'!"&amp;ADDRESS(ROW(K264),COLUMN(K264)))),
IF(K249=0,0,-PMT(INDEX(Lookups!$E$17:$G$17,MATCH($C$4,Lookups!$E$14:$G$14,0)),K249,SUMIFS('EE Inputs'!$K$9:$K$32,'EE Inputs'!$C$9:$C$32,$G$6,'EE Inputs'!$D$9:$D$32,$C$4,'EE Inputs'!$E$9:$E$32,$B264),0,1)))</f>
        <v>31701.116765578859</v>
      </c>
      <c r="L264" s="65">
        <f ca="1">IF($C$4=Lookups!$D$40,SUM(INDIRECT("'Yr1'!"&amp;ADDRESS(ROW(L264),COLUMN(L264))),INDIRECT("'Yr2'!"&amp;ADDRESS(ROW(L264),COLUMN(L264))),INDIRECT("'Yr3'!"&amp;ADDRESS(ROW(L264),COLUMN(L264)))),
IF(L249=0,0,-PMT(INDEX(Lookups!$E$17:$G$17,MATCH($C$4,Lookups!$E$14:$G$14,0)),L249,SUMIFS('EE Inputs'!$K$9:$K$32,'EE Inputs'!$C$9:$C$32,$G$6,'EE Inputs'!$D$9:$D$32,$C$4,'EE Inputs'!$E$9:$E$32,$B264),0,1)))</f>
        <v>31701.116765578859</v>
      </c>
      <c r="M264" s="65">
        <f ca="1">IF($C$4=Lookups!$D$40,SUM(INDIRECT("'Yr1'!"&amp;ADDRESS(ROW(M264),COLUMN(M264))),INDIRECT("'Yr2'!"&amp;ADDRESS(ROW(M264),COLUMN(M264))),INDIRECT("'Yr3'!"&amp;ADDRESS(ROW(M264),COLUMN(M264)))),
IF(M249=0,0,-PMT(INDEX(Lookups!$E$17:$G$17,MATCH($C$4,Lookups!$E$14:$G$14,0)),M249,SUMIFS('EE Inputs'!$K$9:$K$32,'EE Inputs'!$C$9:$C$32,$G$6,'EE Inputs'!$D$9:$D$32,$C$4,'EE Inputs'!$E$9:$E$32,$B264),0,1)))</f>
        <v>31701.116765578859</v>
      </c>
      <c r="N264" s="65">
        <f ca="1">IF($C$4=Lookups!$D$40,SUM(INDIRECT("'Yr1'!"&amp;ADDRESS(ROW(N264),COLUMN(N264))),INDIRECT("'Yr2'!"&amp;ADDRESS(ROW(N264),COLUMN(N264))),INDIRECT("'Yr3'!"&amp;ADDRESS(ROW(N264),COLUMN(N264)))),
IF(N249=0,0,-PMT(INDEX(Lookups!$E$17:$G$17,MATCH($C$4,Lookups!$E$14:$G$14,0)),N249,SUMIFS('EE Inputs'!$K$9:$K$32,'EE Inputs'!$C$9:$C$32,$G$6,'EE Inputs'!$D$9:$D$32,$C$4,'EE Inputs'!$E$9:$E$32,$B264),0,1)))</f>
        <v>31701.116765578859</v>
      </c>
      <c r="O264" s="65">
        <f ca="1">IF($C$4=Lookups!$D$40,SUM(INDIRECT("'Yr1'!"&amp;ADDRESS(ROW(O264),COLUMN(O264))),INDIRECT("'Yr2'!"&amp;ADDRESS(ROW(O264),COLUMN(O264))),INDIRECT("'Yr3'!"&amp;ADDRESS(ROW(O264),COLUMN(O264)))),
IF(O249=0,0,-PMT(INDEX(Lookups!$E$17:$G$17,MATCH($C$4,Lookups!$E$14:$G$14,0)),O249,SUMIFS('EE Inputs'!$K$9:$K$32,'EE Inputs'!$C$9:$C$32,$G$6,'EE Inputs'!$D$9:$D$32,$C$4,'EE Inputs'!$E$9:$E$32,$B264),0,1)))</f>
        <v>31701.116765578859</v>
      </c>
      <c r="P264" s="65">
        <f ca="1">IF($C$4=Lookups!$D$40,SUM(INDIRECT("'Yr1'!"&amp;ADDRESS(ROW(P264),COLUMN(P264))),INDIRECT("'Yr2'!"&amp;ADDRESS(ROW(P264),COLUMN(P264))),INDIRECT("'Yr3'!"&amp;ADDRESS(ROW(P264),COLUMN(P264)))),
IF(P249=0,0,-PMT(INDEX(Lookups!$E$17:$G$17,MATCH($C$4,Lookups!$E$14:$G$14,0)),P249,SUMIFS('EE Inputs'!$K$9:$K$32,'EE Inputs'!$C$9:$C$32,$G$6,'EE Inputs'!$D$9:$D$32,$C$4,'EE Inputs'!$E$9:$E$32,$B264),0,1)))</f>
        <v>31701.116765578859</v>
      </c>
      <c r="Q264" s="65">
        <f ca="1">IF($C$4=Lookups!$D$40,SUM(INDIRECT("'Yr1'!"&amp;ADDRESS(ROW(Q264),COLUMN(Q264))),INDIRECT("'Yr2'!"&amp;ADDRESS(ROW(Q264),COLUMN(Q264))),INDIRECT("'Yr3'!"&amp;ADDRESS(ROW(Q264),COLUMN(Q264)))),
IF(Q249=0,0,-PMT(INDEX(Lookups!$E$17:$G$17,MATCH($C$4,Lookups!$E$14:$G$14,0)),Q249,SUMIFS('EE Inputs'!$K$9:$K$32,'EE Inputs'!$C$9:$C$32,$G$6,'EE Inputs'!$D$9:$D$32,$C$4,'EE Inputs'!$E$9:$E$32,$B264),0,1)))</f>
        <v>31701.116765578859</v>
      </c>
      <c r="R264" s="65">
        <f ca="1">IF($C$4=Lookups!$D$40,SUM(INDIRECT("'Yr1'!"&amp;ADDRESS(ROW(R264),COLUMN(R264))),INDIRECT("'Yr2'!"&amp;ADDRESS(ROW(R264),COLUMN(R264))),INDIRECT("'Yr3'!"&amp;ADDRESS(ROW(R264),COLUMN(R264)))),
IF(R249=0,0,-PMT(INDEX(Lookups!$E$17:$G$17,MATCH($C$4,Lookups!$E$14:$G$14,0)),R249,SUMIFS('EE Inputs'!$K$9:$K$32,'EE Inputs'!$C$9:$C$32,$G$6,'EE Inputs'!$D$9:$D$32,$C$4,'EE Inputs'!$E$9:$E$32,$B264),0,1)))</f>
        <v>31701.116765578859</v>
      </c>
      <c r="S264" s="65">
        <f ca="1">IF($C$4=Lookups!$D$40,SUM(INDIRECT("'Yr1'!"&amp;ADDRESS(ROW(S264),COLUMN(S264))),INDIRECT("'Yr2'!"&amp;ADDRESS(ROW(S264),COLUMN(S264))),INDIRECT("'Yr3'!"&amp;ADDRESS(ROW(S264),COLUMN(S264)))),
IF(S249=0,0,-PMT(INDEX(Lookups!$E$17:$G$17,MATCH($C$4,Lookups!$E$14:$G$14,0)),S249,SUMIFS('EE Inputs'!$K$9:$K$32,'EE Inputs'!$C$9:$C$32,$G$6,'EE Inputs'!$D$9:$D$32,$C$4,'EE Inputs'!$E$9:$E$32,$B264),0,1)))</f>
        <v>31701.116765578859</v>
      </c>
      <c r="T264" s="65">
        <f ca="1">IF($C$4=Lookups!$D$40,SUM(INDIRECT("'Yr1'!"&amp;ADDRESS(ROW(T264),COLUMN(T264))),INDIRECT("'Yr2'!"&amp;ADDRESS(ROW(T264),COLUMN(T264))),INDIRECT("'Yr3'!"&amp;ADDRESS(ROW(T264),COLUMN(T264)))),
IF(T249=0,0,-PMT(INDEX(Lookups!$E$17:$G$17,MATCH($C$4,Lookups!$E$14:$G$14,0)),T249,SUMIFS('EE Inputs'!$K$9:$K$32,'EE Inputs'!$C$9:$C$32,$G$6,'EE Inputs'!$D$9:$D$32,$C$4,'EE Inputs'!$E$9:$E$32,$B264),0,1)))</f>
        <v>0</v>
      </c>
      <c r="U264" s="65">
        <f ca="1">IF($C$4=Lookups!$D$40,SUM(INDIRECT("'Yr1'!"&amp;ADDRESS(ROW(U264),COLUMN(U264))),INDIRECT("'Yr2'!"&amp;ADDRESS(ROW(U264),COLUMN(U264))),INDIRECT("'Yr3'!"&amp;ADDRESS(ROW(U264),COLUMN(U264)))),
IF(U249=0,0,-PMT(INDEX(Lookups!$E$17:$G$17,MATCH($C$4,Lookups!$E$14:$G$14,0)),U249,SUMIFS('EE Inputs'!$K$9:$K$32,'EE Inputs'!$C$9:$C$32,$G$6,'EE Inputs'!$D$9:$D$32,$C$4,'EE Inputs'!$E$9:$E$32,$B264),0,1)))</f>
        <v>0</v>
      </c>
      <c r="V264" s="65">
        <f ca="1">IF($C$4=Lookups!$D$40,SUM(INDIRECT("'Yr1'!"&amp;ADDRESS(ROW(V264),COLUMN(V264))),INDIRECT("'Yr2'!"&amp;ADDRESS(ROW(V264),COLUMN(V264))),INDIRECT("'Yr3'!"&amp;ADDRESS(ROW(V264),COLUMN(V264)))),
IF(V249=0,0,-PMT(INDEX(Lookups!$E$17:$G$17,MATCH($C$4,Lookups!$E$14:$G$14,0)),V249,SUMIFS('EE Inputs'!$K$9:$K$32,'EE Inputs'!$C$9:$C$32,$G$6,'EE Inputs'!$D$9:$D$32,$C$4,'EE Inputs'!$E$9:$E$32,$B264),0,1)))</f>
        <v>0</v>
      </c>
      <c r="W264" s="65">
        <f ca="1">IF($C$4=Lookups!$D$40,SUM(INDIRECT("'Yr1'!"&amp;ADDRESS(ROW(W264),COLUMN(W264))),INDIRECT("'Yr2'!"&amp;ADDRESS(ROW(W264),COLUMN(W264))),INDIRECT("'Yr3'!"&amp;ADDRESS(ROW(W264),COLUMN(W264)))),
IF(W249=0,0,-PMT(INDEX(Lookups!$E$17:$G$17,MATCH($C$4,Lookups!$E$14:$G$14,0)),W249,SUMIFS('EE Inputs'!$K$9:$K$32,'EE Inputs'!$C$9:$C$32,$G$6,'EE Inputs'!$D$9:$D$32,$C$4,'EE Inputs'!$E$9:$E$32,$B264),0,1)))</f>
        <v>0</v>
      </c>
      <c r="X264" s="65">
        <f ca="1">IF($C$4=Lookups!$D$40,SUM(INDIRECT("'Yr1'!"&amp;ADDRESS(ROW(X264),COLUMN(X264))),INDIRECT("'Yr2'!"&amp;ADDRESS(ROW(X264),COLUMN(X264))),INDIRECT("'Yr3'!"&amp;ADDRESS(ROW(X264),COLUMN(X264)))),
IF(X249=0,0,-PMT(INDEX(Lookups!$E$17:$G$17,MATCH($C$4,Lookups!$E$14:$G$14,0)),X249,SUMIFS('EE Inputs'!$K$9:$K$32,'EE Inputs'!$C$9:$C$32,$G$6,'EE Inputs'!$D$9:$D$32,$C$4,'EE Inputs'!$E$9:$E$32,$B264),0,1)))</f>
        <v>0</v>
      </c>
      <c r="Y264" s="65">
        <f ca="1">IF($C$4=Lookups!$D$40,SUM(INDIRECT("'Yr1'!"&amp;ADDRESS(ROW(Y264),COLUMN(Y264))),INDIRECT("'Yr2'!"&amp;ADDRESS(ROW(Y264),COLUMN(Y264))),INDIRECT("'Yr3'!"&amp;ADDRESS(ROW(Y264),COLUMN(Y264)))),
IF(Y249=0,0,-PMT(INDEX(Lookups!$E$17:$G$17,MATCH($C$4,Lookups!$E$14:$G$14,0)),Y249,SUMIFS('EE Inputs'!$K$9:$K$32,'EE Inputs'!$C$9:$C$32,$G$6,'EE Inputs'!$D$9:$D$32,$C$4,'EE Inputs'!$E$9:$E$32,$B264),0,1)))</f>
        <v>0</v>
      </c>
      <c r="Z264" s="65">
        <f ca="1">IF($C$4=Lookups!$D$40,SUM(INDIRECT("'Yr1'!"&amp;ADDRESS(ROW(Z264),COLUMN(Z264))),INDIRECT("'Yr2'!"&amp;ADDRESS(ROW(Z264),COLUMN(Z264))),INDIRECT("'Yr3'!"&amp;ADDRESS(ROW(Z264),COLUMN(Z264)))),
IF(Z249=0,0,-PMT(INDEX(Lookups!$E$17:$G$17,MATCH($C$4,Lookups!$E$14:$G$14,0)),Z249,SUMIFS('EE Inputs'!$K$9:$K$32,'EE Inputs'!$C$9:$C$32,$G$6,'EE Inputs'!$D$9:$D$32,$C$4,'EE Inputs'!$E$9:$E$32,$B264),0,1)))</f>
        <v>0</v>
      </c>
      <c r="AA264" s="65">
        <f ca="1">IF($C$4=Lookups!$D$40,SUM(INDIRECT("'Yr1'!"&amp;ADDRESS(ROW(AA264),COLUMN(AA264))),INDIRECT("'Yr2'!"&amp;ADDRESS(ROW(AA264),COLUMN(AA264))),INDIRECT("'Yr3'!"&amp;ADDRESS(ROW(AA264),COLUMN(AA264)))),
IF(AA249=0,0,-PMT(INDEX(Lookups!$E$17:$G$17,MATCH($C$4,Lookups!$E$14:$G$14,0)),AA249,SUMIFS('EE Inputs'!$K$9:$K$32,'EE Inputs'!$C$9:$C$32,$G$6,'EE Inputs'!$D$9:$D$32,$C$4,'EE Inputs'!$E$9:$E$32,$B264),0,1)))</f>
        <v>0</v>
      </c>
      <c r="AB264" s="65">
        <f ca="1">IF($C$4=Lookups!$D$40,SUM(INDIRECT("'Yr1'!"&amp;ADDRESS(ROW(AB264),COLUMN(AB264))),INDIRECT("'Yr2'!"&amp;ADDRESS(ROW(AB264),COLUMN(AB264))),INDIRECT("'Yr3'!"&amp;ADDRESS(ROW(AB264),COLUMN(AB264)))),
IF(AB249=0,0,-PMT(INDEX(Lookups!$E$17:$G$17,MATCH($C$4,Lookups!$E$14:$G$14,0)),AB249,SUMIFS('EE Inputs'!$K$9:$K$32,'EE Inputs'!$C$9:$C$32,$G$6,'EE Inputs'!$D$9:$D$32,$C$4,'EE Inputs'!$E$9:$E$32,$B264),0,1)))</f>
        <v>0</v>
      </c>
      <c r="AC264" s="65">
        <f ca="1">IF($C$4=Lookups!$D$40,SUM(INDIRECT("'Yr1'!"&amp;ADDRESS(ROW(AC264),COLUMN(AC264))),INDIRECT("'Yr2'!"&amp;ADDRESS(ROW(AC264),COLUMN(AC264))),INDIRECT("'Yr3'!"&amp;ADDRESS(ROW(AC264),COLUMN(AC264)))),
IF(AC249=0,0,-PMT(INDEX(Lookups!$E$17:$G$17,MATCH($C$4,Lookups!$E$14:$G$14,0)),AC249,SUMIFS('EE Inputs'!$K$9:$K$32,'EE Inputs'!$C$9:$C$32,$G$6,'EE Inputs'!$D$9:$D$32,$C$4,'EE Inputs'!$E$9:$E$32,$B264),0,1)))</f>
        <v>0</v>
      </c>
      <c r="AD264" s="65">
        <f ca="1">IF($C$4=Lookups!$D$40,SUM(INDIRECT("'Yr1'!"&amp;ADDRESS(ROW(AD264),COLUMN(AD264))),INDIRECT("'Yr2'!"&amp;ADDRESS(ROW(AD264),COLUMN(AD264))),INDIRECT("'Yr3'!"&amp;ADDRESS(ROW(AD264),COLUMN(AD264)))),
IF(AD249=0,0,-PMT(INDEX(Lookups!$E$17:$G$17,MATCH($C$4,Lookups!$E$14:$G$14,0)),AD249,SUMIFS('EE Inputs'!$K$9:$K$32,'EE Inputs'!$C$9:$C$32,$G$6,'EE Inputs'!$D$9:$D$32,$C$4,'EE Inputs'!$E$9:$E$32,$B264),0,1)))</f>
        <v>0</v>
      </c>
      <c r="AE264" s="65">
        <f ca="1">IF($C$4=Lookups!$D$40,SUM(INDIRECT("'Yr1'!"&amp;ADDRESS(ROW(AE264),COLUMN(AE264))),INDIRECT("'Yr2'!"&amp;ADDRESS(ROW(AE264),COLUMN(AE264))),INDIRECT("'Yr3'!"&amp;ADDRESS(ROW(AE264),COLUMN(AE264)))),
IF(AE249=0,0,-PMT(INDEX(Lookups!$E$17:$G$17,MATCH($C$4,Lookups!$E$14:$G$14,0)),AE249,SUMIFS('EE Inputs'!$K$9:$K$32,'EE Inputs'!$C$9:$C$32,$G$6,'EE Inputs'!$D$9:$D$32,$C$4,'EE Inputs'!$E$9:$E$32,$B264),0,1)))</f>
        <v>0</v>
      </c>
      <c r="AF264" s="65">
        <f ca="1">IF($C$4=Lookups!$D$40,SUM(INDIRECT("'Yr1'!"&amp;ADDRESS(ROW(AF264),COLUMN(AF264))),INDIRECT("'Yr2'!"&amp;ADDRESS(ROW(AF264),COLUMN(AF264))),INDIRECT("'Yr3'!"&amp;ADDRESS(ROW(AF264),COLUMN(AF264)))),
IF(AF249=0,0,-PMT(INDEX(Lookups!$E$17:$G$17,MATCH($C$4,Lookups!$E$14:$G$14,0)),AF249,SUMIFS('EE Inputs'!$K$9:$K$32,'EE Inputs'!$C$9:$C$32,$G$6,'EE Inputs'!$D$9:$D$32,$C$4,'EE Inputs'!$E$9:$E$32,$B264),0,1)))</f>
        <v>0</v>
      </c>
      <c r="AG264" s="65">
        <f ca="1">IF($C$4=Lookups!$D$40,SUM(INDIRECT("'Yr1'!"&amp;ADDRESS(ROW(AG264),COLUMN(AG264))),INDIRECT("'Yr2'!"&amp;ADDRESS(ROW(AG264),COLUMN(AG264))),INDIRECT("'Yr3'!"&amp;ADDRESS(ROW(AG264),COLUMN(AG264)))),
IF(AG249=0,0,-PMT(INDEX(Lookups!$E$17:$G$17,MATCH($C$4,Lookups!$E$14:$G$14,0)),AG249,SUMIFS('EE Inputs'!$K$9:$K$32,'EE Inputs'!$C$9:$C$32,$G$6,'EE Inputs'!$D$9:$D$32,$C$4,'EE Inputs'!$E$9:$E$32,$B264),0,1)))</f>
        <v>0</v>
      </c>
      <c r="AH264" s="65"/>
      <c r="AI264" s="65">
        <f ca="1">NPV(Lookups!$E$17,G264:AG264)</f>
        <v>374041.73827618279</v>
      </c>
      <c r="AJ264" s="65"/>
      <c r="AM264" s="72">
        <f ca="1">IF($C$4=Lookups!$D$40,SUM(INDIRECT("'Yr1'!"&amp;ADDRESS(ROW(AM264),COLUMN(AM264))),INDIRECT("'Yr2'!"&amp;ADDRESS(ROW(AM264),COLUMN(AM264))),INDIRECT("'Yr3'!"&amp;ADDRESS(ROW(AM264),COLUMN(AM264)))),
IF(AM249=0,0,-PMT(INDEX(Lookups!$E$17:$G$17,MATCH($C$4,Lookups!$E$14:$G$14,0)),AM249,SUMIFS('EE Inputs'!$K$9:$K$32,'EE Inputs'!$C$9:$C$32,$AM$6,'EE Inputs'!$D$9:$D$32,$C$4,'EE Inputs'!$E$9:$E$32,$B264),0,1)))</f>
        <v>36229.847732090129</v>
      </c>
      <c r="AN264" s="72">
        <f ca="1">IF($C$4=Lookups!$D$40,SUM(INDIRECT("'Yr1'!"&amp;ADDRESS(ROW(AN264),COLUMN(AN264))),INDIRECT("'Yr2'!"&amp;ADDRESS(ROW(AN264),COLUMN(AN264))),INDIRECT("'Yr3'!"&amp;ADDRESS(ROW(AN264),COLUMN(AN264)))),
IF(AN249=0,0,-PMT(INDEX(Lookups!$E$17:$G$17,MATCH($C$4,Lookups!$E$14:$G$14,0)),AN249,SUMIFS('EE Inputs'!$K$9:$K$32,'EE Inputs'!$C$9:$C$32,$AM$6,'EE Inputs'!$D$9:$D$32,$C$4,'EE Inputs'!$E$9:$E$32,$B264),0,1)))</f>
        <v>36229.847732090129</v>
      </c>
      <c r="AO264" s="72">
        <f ca="1">IF($C$4=Lookups!$D$40,SUM(INDIRECT("'Yr1'!"&amp;ADDRESS(ROW(AO264),COLUMN(AO264))),INDIRECT("'Yr2'!"&amp;ADDRESS(ROW(AO264),COLUMN(AO264))),INDIRECT("'Yr3'!"&amp;ADDRESS(ROW(AO264),COLUMN(AO264)))),
IF(AO249=0,0,-PMT(INDEX(Lookups!$E$17:$G$17,MATCH($C$4,Lookups!$E$14:$G$14,0)),AO249,SUMIFS('EE Inputs'!$K$9:$K$32,'EE Inputs'!$C$9:$C$32,$AM$6,'EE Inputs'!$D$9:$D$32,$C$4,'EE Inputs'!$E$9:$E$32,$B264),0,1)))</f>
        <v>36229.847732090129</v>
      </c>
      <c r="AP264" s="72">
        <f ca="1">IF($C$4=Lookups!$D$40,SUM(INDIRECT("'Yr1'!"&amp;ADDRESS(ROW(AP264),COLUMN(AP264))),INDIRECT("'Yr2'!"&amp;ADDRESS(ROW(AP264),COLUMN(AP264))),INDIRECT("'Yr3'!"&amp;ADDRESS(ROW(AP264),COLUMN(AP264)))),
IF(AP249=0,0,-PMT(INDEX(Lookups!$E$17:$G$17,MATCH($C$4,Lookups!$E$14:$G$14,0)),AP249,SUMIFS('EE Inputs'!$K$9:$K$32,'EE Inputs'!$C$9:$C$32,$AM$6,'EE Inputs'!$D$9:$D$32,$C$4,'EE Inputs'!$E$9:$E$32,$B264),0,1)))</f>
        <v>36229.847732090129</v>
      </c>
      <c r="AQ264" s="72">
        <f ca="1">IF($C$4=Lookups!$D$40,SUM(INDIRECT("'Yr1'!"&amp;ADDRESS(ROW(AQ264),COLUMN(AQ264))),INDIRECT("'Yr2'!"&amp;ADDRESS(ROW(AQ264),COLUMN(AQ264))),INDIRECT("'Yr3'!"&amp;ADDRESS(ROW(AQ264),COLUMN(AQ264)))),
IF(AQ249=0,0,-PMT(INDEX(Lookups!$E$17:$G$17,MATCH($C$4,Lookups!$E$14:$G$14,0)),AQ249,SUMIFS('EE Inputs'!$K$9:$K$32,'EE Inputs'!$C$9:$C$32,$AM$6,'EE Inputs'!$D$9:$D$32,$C$4,'EE Inputs'!$E$9:$E$32,$B264),0,1)))</f>
        <v>36229.847732090129</v>
      </c>
      <c r="AR264" s="72">
        <f ca="1">IF($C$4=Lookups!$D$40,SUM(INDIRECT("'Yr1'!"&amp;ADDRESS(ROW(AR264),COLUMN(AR264))),INDIRECT("'Yr2'!"&amp;ADDRESS(ROW(AR264),COLUMN(AR264))),INDIRECT("'Yr3'!"&amp;ADDRESS(ROW(AR264),COLUMN(AR264)))),
IF(AR249=0,0,-PMT(INDEX(Lookups!$E$17:$G$17,MATCH($C$4,Lookups!$E$14:$G$14,0)),AR249,SUMIFS('EE Inputs'!$K$9:$K$32,'EE Inputs'!$C$9:$C$32,$AM$6,'EE Inputs'!$D$9:$D$32,$C$4,'EE Inputs'!$E$9:$E$32,$B264),0,1)))</f>
        <v>36229.847732090129</v>
      </c>
      <c r="AS264" s="72">
        <f ca="1">IF($C$4=Lookups!$D$40,SUM(INDIRECT("'Yr1'!"&amp;ADDRESS(ROW(AS264),COLUMN(AS264))),INDIRECT("'Yr2'!"&amp;ADDRESS(ROW(AS264),COLUMN(AS264))),INDIRECT("'Yr3'!"&amp;ADDRESS(ROW(AS264),COLUMN(AS264)))),
IF(AS249=0,0,-PMT(INDEX(Lookups!$E$17:$G$17,MATCH($C$4,Lookups!$E$14:$G$14,0)),AS249,SUMIFS('EE Inputs'!$K$9:$K$32,'EE Inputs'!$C$9:$C$32,$AM$6,'EE Inputs'!$D$9:$D$32,$C$4,'EE Inputs'!$E$9:$E$32,$B264),0,1)))</f>
        <v>36229.847732090129</v>
      </c>
      <c r="AT264" s="72">
        <f ca="1">IF($C$4=Lookups!$D$40,SUM(INDIRECT("'Yr1'!"&amp;ADDRESS(ROW(AT264),COLUMN(AT264))),INDIRECT("'Yr2'!"&amp;ADDRESS(ROW(AT264),COLUMN(AT264))),INDIRECT("'Yr3'!"&amp;ADDRESS(ROW(AT264),COLUMN(AT264)))),
IF(AT249=0,0,-PMT(INDEX(Lookups!$E$17:$G$17,MATCH($C$4,Lookups!$E$14:$G$14,0)),AT249,SUMIFS('EE Inputs'!$K$9:$K$32,'EE Inputs'!$C$9:$C$32,$AM$6,'EE Inputs'!$D$9:$D$32,$C$4,'EE Inputs'!$E$9:$E$32,$B264),0,1)))</f>
        <v>36229.847732090129</v>
      </c>
      <c r="AU264" s="72">
        <f ca="1">IF($C$4=Lookups!$D$40,SUM(INDIRECT("'Yr1'!"&amp;ADDRESS(ROW(AU264),COLUMN(AU264))),INDIRECT("'Yr2'!"&amp;ADDRESS(ROW(AU264),COLUMN(AU264))),INDIRECT("'Yr3'!"&amp;ADDRESS(ROW(AU264),COLUMN(AU264)))),
IF(AU249=0,0,-PMT(INDEX(Lookups!$E$17:$G$17,MATCH($C$4,Lookups!$E$14:$G$14,0)),AU249,SUMIFS('EE Inputs'!$K$9:$K$32,'EE Inputs'!$C$9:$C$32,$AM$6,'EE Inputs'!$D$9:$D$32,$C$4,'EE Inputs'!$E$9:$E$32,$B264),0,1)))</f>
        <v>36229.847732090129</v>
      </c>
      <c r="AV264" s="72">
        <f ca="1">IF($C$4=Lookups!$D$40,SUM(INDIRECT("'Yr1'!"&amp;ADDRESS(ROW(AV264),COLUMN(AV264))),INDIRECT("'Yr2'!"&amp;ADDRESS(ROW(AV264),COLUMN(AV264))),INDIRECT("'Yr3'!"&amp;ADDRESS(ROW(AV264),COLUMN(AV264)))),
IF(AV249=0,0,-PMT(INDEX(Lookups!$E$17:$G$17,MATCH($C$4,Lookups!$E$14:$G$14,0)),AV249,SUMIFS('EE Inputs'!$K$9:$K$32,'EE Inputs'!$C$9:$C$32,$AM$6,'EE Inputs'!$D$9:$D$32,$C$4,'EE Inputs'!$E$9:$E$32,$B264),0,1)))</f>
        <v>36229.847732090129</v>
      </c>
      <c r="AW264" s="72">
        <f ca="1">IF($C$4=Lookups!$D$40,SUM(INDIRECT("'Yr1'!"&amp;ADDRESS(ROW(AW264),COLUMN(AW264))),INDIRECT("'Yr2'!"&amp;ADDRESS(ROW(AW264),COLUMN(AW264))),INDIRECT("'Yr3'!"&amp;ADDRESS(ROW(AW264),COLUMN(AW264)))),
IF(AW249=0,0,-PMT(INDEX(Lookups!$E$17:$G$17,MATCH($C$4,Lookups!$E$14:$G$14,0)),AW249,SUMIFS('EE Inputs'!$K$9:$K$32,'EE Inputs'!$C$9:$C$32,$AM$6,'EE Inputs'!$D$9:$D$32,$C$4,'EE Inputs'!$E$9:$E$32,$B264),0,1)))</f>
        <v>36229.847732090129</v>
      </c>
      <c r="AX264" s="72">
        <f ca="1">IF($C$4=Lookups!$D$40,SUM(INDIRECT("'Yr1'!"&amp;ADDRESS(ROW(AX264),COLUMN(AX264))),INDIRECT("'Yr2'!"&amp;ADDRESS(ROW(AX264),COLUMN(AX264))),INDIRECT("'Yr3'!"&amp;ADDRESS(ROW(AX264),COLUMN(AX264)))),
IF(AX249=0,0,-PMT(INDEX(Lookups!$E$17:$G$17,MATCH($C$4,Lookups!$E$14:$G$14,0)),AX249,SUMIFS('EE Inputs'!$K$9:$K$32,'EE Inputs'!$C$9:$C$32,$AM$6,'EE Inputs'!$D$9:$D$32,$C$4,'EE Inputs'!$E$9:$E$32,$B264),0,1)))</f>
        <v>36229.847732090129</v>
      </c>
      <c r="AY264" s="72">
        <f ca="1">IF($C$4=Lookups!$D$40,SUM(INDIRECT("'Yr1'!"&amp;ADDRESS(ROW(AY264),COLUMN(AY264))),INDIRECT("'Yr2'!"&amp;ADDRESS(ROW(AY264),COLUMN(AY264))),INDIRECT("'Yr3'!"&amp;ADDRESS(ROW(AY264),COLUMN(AY264)))),
IF(AY249=0,0,-PMT(INDEX(Lookups!$E$17:$G$17,MATCH($C$4,Lookups!$E$14:$G$14,0)),AY249,SUMIFS('EE Inputs'!$K$9:$K$32,'EE Inputs'!$C$9:$C$32,$AM$6,'EE Inputs'!$D$9:$D$32,$C$4,'EE Inputs'!$E$9:$E$32,$B264),0,1)))</f>
        <v>36229.847732090129</v>
      </c>
      <c r="AZ264" s="72">
        <f ca="1">IF($C$4=Lookups!$D$40,SUM(INDIRECT("'Yr1'!"&amp;ADDRESS(ROW(AZ264),COLUMN(AZ264))),INDIRECT("'Yr2'!"&amp;ADDRESS(ROW(AZ264),COLUMN(AZ264))),INDIRECT("'Yr3'!"&amp;ADDRESS(ROW(AZ264),COLUMN(AZ264)))),
IF(AZ249=0,0,-PMT(INDEX(Lookups!$E$17:$G$17,MATCH($C$4,Lookups!$E$14:$G$14,0)),AZ249,SUMIFS('EE Inputs'!$K$9:$K$32,'EE Inputs'!$C$9:$C$32,$AM$6,'EE Inputs'!$D$9:$D$32,$C$4,'EE Inputs'!$E$9:$E$32,$B264),0,1)))</f>
        <v>0</v>
      </c>
      <c r="BA264" s="72">
        <f ca="1">IF($C$4=Lookups!$D$40,SUM(INDIRECT("'Yr1'!"&amp;ADDRESS(ROW(BA264),COLUMN(BA264))),INDIRECT("'Yr2'!"&amp;ADDRESS(ROW(BA264),COLUMN(BA264))),INDIRECT("'Yr3'!"&amp;ADDRESS(ROW(BA264),COLUMN(BA264)))),
IF(BA249=0,0,-PMT(INDEX(Lookups!$E$17:$G$17,MATCH($C$4,Lookups!$E$14:$G$14,0)),BA249,SUMIFS('EE Inputs'!$K$9:$K$32,'EE Inputs'!$C$9:$C$32,$AM$6,'EE Inputs'!$D$9:$D$32,$C$4,'EE Inputs'!$E$9:$E$32,$B264),0,1)))</f>
        <v>0</v>
      </c>
      <c r="BB264" s="72">
        <f ca="1">IF($C$4=Lookups!$D$40,SUM(INDIRECT("'Yr1'!"&amp;ADDRESS(ROW(BB264),COLUMN(BB264))),INDIRECT("'Yr2'!"&amp;ADDRESS(ROW(BB264),COLUMN(BB264))),INDIRECT("'Yr3'!"&amp;ADDRESS(ROW(BB264),COLUMN(BB264)))),
IF(BB249=0,0,-PMT(INDEX(Lookups!$E$17:$G$17,MATCH($C$4,Lookups!$E$14:$G$14,0)),BB249,SUMIFS('EE Inputs'!$K$9:$K$32,'EE Inputs'!$C$9:$C$32,$AM$6,'EE Inputs'!$D$9:$D$32,$C$4,'EE Inputs'!$E$9:$E$32,$B264),0,1)))</f>
        <v>0</v>
      </c>
      <c r="BC264" s="72">
        <f ca="1">IF($C$4=Lookups!$D$40,SUM(INDIRECT("'Yr1'!"&amp;ADDRESS(ROW(BC264),COLUMN(BC264))),INDIRECT("'Yr2'!"&amp;ADDRESS(ROW(BC264),COLUMN(BC264))),INDIRECT("'Yr3'!"&amp;ADDRESS(ROW(BC264),COLUMN(BC264)))),
IF(BC249=0,0,-PMT(INDEX(Lookups!$E$17:$G$17,MATCH($C$4,Lookups!$E$14:$G$14,0)),BC249,SUMIFS('EE Inputs'!$K$9:$K$32,'EE Inputs'!$C$9:$C$32,$AM$6,'EE Inputs'!$D$9:$D$32,$C$4,'EE Inputs'!$E$9:$E$32,$B264),0,1)))</f>
        <v>0</v>
      </c>
      <c r="BD264" s="72">
        <f ca="1">IF($C$4=Lookups!$D$40,SUM(INDIRECT("'Yr1'!"&amp;ADDRESS(ROW(BD264),COLUMN(BD264))),INDIRECT("'Yr2'!"&amp;ADDRESS(ROW(BD264),COLUMN(BD264))),INDIRECT("'Yr3'!"&amp;ADDRESS(ROW(BD264),COLUMN(BD264)))),
IF(BD249=0,0,-PMT(INDEX(Lookups!$E$17:$G$17,MATCH($C$4,Lookups!$E$14:$G$14,0)),BD249,SUMIFS('EE Inputs'!$K$9:$K$32,'EE Inputs'!$C$9:$C$32,$AM$6,'EE Inputs'!$D$9:$D$32,$C$4,'EE Inputs'!$E$9:$E$32,$B264),0,1)))</f>
        <v>0</v>
      </c>
      <c r="BE264" s="72">
        <f ca="1">IF($C$4=Lookups!$D$40,SUM(INDIRECT("'Yr1'!"&amp;ADDRESS(ROW(BE264),COLUMN(BE264))),INDIRECT("'Yr2'!"&amp;ADDRESS(ROW(BE264),COLUMN(BE264))),INDIRECT("'Yr3'!"&amp;ADDRESS(ROW(BE264),COLUMN(BE264)))),
IF(BE249=0,0,-PMT(INDEX(Lookups!$E$17:$G$17,MATCH($C$4,Lookups!$E$14:$G$14,0)),BE249,SUMIFS('EE Inputs'!$K$9:$K$32,'EE Inputs'!$C$9:$C$32,$AM$6,'EE Inputs'!$D$9:$D$32,$C$4,'EE Inputs'!$E$9:$E$32,$B264),0,1)))</f>
        <v>0</v>
      </c>
      <c r="BF264" s="72">
        <f ca="1">IF($C$4=Lookups!$D$40,SUM(INDIRECT("'Yr1'!"&amp;ADDRESS(ROW(BF264),COLUMN(BF264))),INDIRECT("'Yr2'!"&amp;ADDRESS(ROW(BF264),COLUMN(BF264))),INDIRECT("'Yr3'!"&amp;ADDRESS(ROW(BF264),COLUMN(BF264)))),
IF(BF249=0,0,-PMT(INDEX(Lookups!$E$17:$G$17,MATCH($C$4,Lookups!$E$14:$G$14,0)),BF249,SUMIFS('EE Inputs'!$K$9:$K$32,'EE Inputs'!$C$9:$C$32,$AM$6,'EE Inputs'!$D$9:$D$32,$C$4,'EE Inputs'!$E$9:$E$32,$B264),0,1)))</f>
        <v>0</v>
      </c>
      <c r="BG264" s="72">
        <f ca="1">IF($C$4=Lookups!$D$40,SUM(INDIRECT("'Yr1'!"&amp;ADDRESS(ROW(BG264),COLUMN(BG264))),INDIRECT("'Yr2'!"&amp;ADDRESS(ROW(BG264),COLUMN(BG264))),INDIRECT("'Yr3'!"&amp;ADDRESS(ROW(BG264),COLUMN(BG264)))),
IF(BG249=0,0,-PMT(INDEX(Lookups!$E$17:$G$17,MATCH($C$4,Lookups!$E$14:$G$14,0)),BG249,SUMIFS('EE Inputs'!$K$9:$K$32,'EE Inputs'!$C$9:$C$32,$AM$6,'EE Inputs'!$D$9:$D$32,$C$4,'EE Inputs'!$E$9:$E$32,$B264),0,1)))</f>
        <v>0</v>
      </c>
      <c r="BH264" s="72">
        <f ca="1">IF($C$4=Lookups!$D$40,SUM(INDIRECT("'Yr1'!"&amp;ADDRESS(ROW(BH264),COLUMN(BH264))),INDIRECT("'Yr2'!"&amp;ADDRESS(ROW(BH264),COLUMN(BH264))),INDIRECT("'Yr3'!"&amp;ADDRESS(ROW(BH264),COLUMN(BH264)))),
IF(BH249=0,0,-PMT(INDEX(Lookups!$E$17:$G$17,MATCH($C$4,Lookups!$E$14:$G$14,0)),BH249,SUMIFS('EE Inputs'!$K$9:$K$32,'EE Inputs'!$C$9:$C$32,$AM$6,'EE Inputs'!$D$9:$D$32,$C$4,'EE Inputs'!$E$9:$E$32,$B264),0,1)))</f>
        <v>0</v>
      </c>
      <c r="BI264" s="72">
        <f ca="1">IF($C$4=Lookups!$D$40,SUM(INDIRECT("'Yr1'!"&amp;ADDRESS(ROW(BI264),COLUMN(BI264))),INDIRECT("'Yr2'!"&amp;ADDRESS(ROW(BI264),COLUMN(BI264))),INDIRECT("'Yr3'!"&amp;ADDRESS(ROW(BI264),COLUMN(BI264)))),
IF(BI249=0,0,-PMT(INDEX(Lookups!$E$17:$G$17,MATCH($C$4,Lookups!$E$14:$G$14,0)),BI249,SUMIFS('EE Inputs'!$K$9:$K$32,'EE Inputs'!$C$9:$C$32,$AM$6,'EE Inputs'!$D$9:$D$32,$C$4,'EE Inputs'!$E$9:$E$32,$B264),0,1)))</f>
        <v>0</v>
      </c>
      <c r="BJ264" s="72">
        <f ca="1">IF($C$4=Lookups!$D$40,SUM(INDIRECT("'Yr1'!"&amp;ADDRESS(ROW(BJ264),COLUMN(BJ264))),INDIRECT("'Yr2'!"&amp;ADDRESS(ROW(BJ264),COLUMN(BJ264))),INDIRECT("'Yr3'!"&amp;ADDRESS(ROW(BJ264),COLUMN(BJ264)))),
IF(BJ249=0,0,-PMT(INDEX(Lookups!$E$17:$G$17,MATCH($C$4,Lookups!$E$14:$G$14,0)),BJ249,SUMIFS('EE Inputs'!$K$9:$K$32,'EE Inputs'!$C$9:$C$32,$AM$6,'EE Inputs'!$D$9:$D$32,$C$4,'EE Inputs'!$E$9:$E$32,$B264),0,1)))</f>
        <v>0</v>
      </c>
      <c r="BK264" s="72">
        <f ca="1">IF($C$4=Lookups!$D$40,SUM(INDIRECT("'Yr1'!"&amp;ADDRESS(ROW(BK264),COLUMN(BK264))),INDIRECT("'Yr2'!"&amp;ADDRESS(ROW(BK264),COLUMN(BK264))),INDIRECT("'Yr3'!"&amp;ADDRESS(ROW(BK264),COLUMN(BK264)))),
IF(BK249=0,0,-PMT(INDEX(Lookups!$E$17:$G$17,MATCH($C$4,Lookups!$E$14:$G$14,0)),BK249,SUMIFS('EE Inputs'!$K$9:$K$32,'EE Inputs'!$C$9:$C$32,$AM$6,'EE Inputs'!$D$9:$D$32,$C$4,'EE Inputs'!$E$9:$E$32,$B264),0,1)))</f>
        <v>0</v>
      </c>
      <c r="BL264" s="72">
        <f ca="1">IF($C$4=Lookups!$D$40,SUM(INDIRECT("'Yr1'!"&amp;ADDRESS(ROW(BL264),COLUMN(BL264))),INDIRECT("'Yr2'!"&amp;ADDRESS(ROW(BL264),COLUMN(BL264))),INDIRECT("'Yr3'!"&amp;ADDRESS(ROW(BL264),COLUMN(BL264)))),
IF(BL249=0,0,-PMT(INDEX(Lookups!$E$17:$G$17,MATCH($C$4,Lookups!$E$14:$G$14,0)),BL249,SUMIFS('EE Inputs'!$K$9:$K$32,'EE Inputs'!$C$9:$C$32,$AM$6,'EE Inputs'!$D$9:$D$32,$C$4,'EE Inputs'!$E$9:$E$32,$B264),0,1)))</f>
        <v>0</v>
      </c>
      <c r="BM264" s="72">
        <f ca="1">IF($C$4=Lookups!$D$40,SUM(INDIRECT("'Yr1'!"&amp;ADDRESS(ROW(BM264),COLUMN(BM264))),INDIRECT("'Yr2'!"&amp;ADDRESS(ROW(BM264),COLUMN(BM264))),INDIRECT("'Yr3'!"&amp;ADDRESS(ROW(BM264),COLUMN(BM264)))),
IF(BM249=0,0,-PMT(INDEX(Lookups!$E$17:$G$17,MATCH($C$4,Lookups!$E$14:$G$14,0)),BM249,SUMIFS('EE Inputs'!$K$9:$K$32,'EE Inputs'!$C$9:$C$32,$AM$6,'EE Inputs'!$D$9:$D$32,$C$4,'EE Inputs'!$E$9:$E$32,$B264),0,1)))</f>
        <v>0</v>
      </c>
      <c r="BN264" s="72"/>
      <c r="BO264" s="72">
        <f ca="1">NPV(Lookups!$E$17,AM264:BM264)</f>
        <v>427476.27231563756</v>
      </c>
      <c r="BP264" s="72"/>
      <c r="BS264" s="84" t="str">
        <f>"Avoided "&amp;E264&amp;" costs."</f>
        <v>Avoided Gas DRIPE costs.</v>
      </c>
      <c r="BT264" s="51" t="s">
        <v>17</v>
      </c>
    </row>
    <row r="265" spans="1:72" x14ac:dyDescent="0.25">
      <c r="B265" s="243" t="str">
        <f t="shared" ref="B265:C267" si="286">B264</f>
        <v>Large C&amp;I</v>
      </c>
      <c r="C265" s="243" t="str">
        <f t="shared" si="286"/>
        <v>Revenue Requirements</v>
      </c>
      <c r="D265" s="114" t="s">
        <v>165</v>
      </c>
      <c r="E265" s="84"/>
      <c r="F265" s="84"/>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S265" s="84"/>
      <c r="BT265" s="51" t="s">
        <v>17</v>
      </c>
    </row>
    <row r="266" spans="1:72" x14ac:dyDescent="0.25">
      <c r="A266" s="476"/>
      <c r="B266" s="243" t="str">
        <f t="shared" si="286"/>
        <v>Large C&amp;I</v>
      </c>
      <c r="C266" s="243" t="str">
        <f t="shared" si="286"/>
        <v>Revenue Requirements</v>
      </c>
      <c r="D266" s="244" t="str">
        <f>D265</f>
        <v>Increased Costs and Cost Shifting</v>
      </c>
      <c r="E266" s="84" t="s">
        <v>406</v>
      </c>
      <c r="F266" s="84" t="s">
        <v>32</v>
      </c>
      <c r="G266" s="64">
        <f ca="1">IF($C$4=Lookups!$D$40,SUM(INDIRECT("'Yr1'!"&amp;ADDRESS(ROW(G266),COLUMN(G266))),INDIRECT("'Yr2'!"&amp;ADDRESS(ROW(G266),COLUMN(G266))),INDIRECT("'Yr3'!"&amp;ADDRESS(ROW(G266),COLUMN(G266)))),
IF($C$4=G$7,G286*G254,0))</f>
        <v>1472340.1415130887</v>
      </c>
      <c r="H266" s="64">
        <f ca="1">IF($C$4=Lookups!$D$40,SUM(INDIRECT("'Yr1'!"&amp;ADDRESS(ROW(H266),COLUMN(H266))),INDIRECT("'Yr2'!"&amp;ADDRESS(ROW(H266),COLUMN(H266))),INDIRECT("'Yr3'!"&amp;ADDRESS(ROW(H266),COLUMN(H266)))),
IF($C$4=H$7,H286*H254,0))</f>
        <v>0</v>
      </c>
      <c r="I266" s="64">
        <f ca="1">IF($C$4=Lookups!$D$40,SUM(INDIRECT("'Yr1'!"&amp;ADDRESS(ROW(I266),COLUMN(I266))),INDIRECT("'Yr2'!"&amp;ADDRESS(ROW(I266),COLUMN(I266))),INDIRECT("'Yr3'!"&amp;ADDRESS(ROW(I266),COLUMN(I266)))),
IF($C$4=I$7,I286*I254,0))</f>
        <v>0</v>
      </c>
      <c r="J266" s="64">
        <f ca="1">IF($C$4=Lookups!$D$40,SUM(INDIRECT("'Yr1'!"&amp;ADDRESS(ROW(J266),COLUMN(J266))),INDIRECT("'Yr2'!"&amp;ADDRESS(ROW(J266),COLUMN(J266))),INDIRECT("'Yr3'!"&amp;ADDRESS(ROW(J266),COLUMN(J266)))),
IF($C$4=J$7,J286*J254,0))</f>
        <v>0</v>
      </c>
      <c r="K266" s="64">
        <f ca="1">IF($C$4=Lookups!$D$40,SUM(INDIRECT("'Yr1'!"&amp;ADDRESS(ROW(K266),COLUMN(K266))),INDIRECT("'Yr2'!"&amp;ADDRESS(ROW(K266),COLUMN(K266))),INDIRECT("'Yr3'!"&amp;ADDRESS(ROW(K266),COLUMN(K266)))),
IF($C$4=K$7,K286*K254,0))</f>
        <v>0</v>
      </c>
      <c r="L266" s="64">
        <f ca="1">IF($C$4=Lookups!$D$40,SUM(INDIRECT("'Yr1'!"&amp;ADDRESS(ROW(L266),COLUMN(L266))),INDIRECT("'Yr2'!"&amp;ADDRESS(ROW(L266),COLUMN(L266))),INDIRECT("'Yr3'!"&amp;ADDRESS(ROW(L266),COLUMN(L266)))),
IF($C$4=L$7,L286*L254,0))</f>
        <v>0</v>
      </c>
      <c r="M266" s="64">
        <f ca="1">IF($C$4=Lookups!$D$40,SUM(INDIRECT("'Yr1'!"&amp;ADDRESS(ROW(M266),COLUMN(M266))),INDIRECT("'Yr2'!"&amp;ADDRESS(ROW(M266),COLUMN(M266))),INDIRECT("'Yr3'!"&amp;ADDRESS(ROW(M266),COLUMN(M266)))),
IF($C$4=M$7,M286*M254,0))</f>
        <v>0</v>
      </c>
      <c r="N266" s="64">
        <f ca="1">IF($C$4=Lookups!$D$40,SUM(INDIRECT("'Yr1'!"&amp;ADDRESS(ROW(N266),COLUMN(N266))),INDIRECT("'Yr2'!"&amp;ADDRESS(ROW(N266),COLUMN(N266))),INDIRECT("'Yr3'!"&amp;ADDRESS(ROW(N266),COLUMN(N266)))),
IF($C$4=N$7,N286*N254,0))</f>
        <v>0</v>
      </c>
      <c r="O266" s="64">
        <f ca="1">IF($C$4=Lookups!$D$40,SUM(INDIRECT("'Yr1'!"&amp;ADDRESS(ROW(O266),COLUMN(O266))),INDIRECT("'Yr2'!"&amp;ADDRESS(ROW(O266),COLUMN(O266))),INDIRECT("'Yr3'!"&amp;ADDRESS(ROW(O266),COLUMN(O266)))),
IF($C$4=O$7,O286*O254,0))</f>
        <v>0</v>
      </c>
      <c r="P266" s="64">
        <f ca="1">IF($C$4=Lookups!$D$40,SUM(INDIRECT("'Yr1'!"&amp;ADDRESS(ROW(P266),COLUMN(P266))),INDIRECT("'Yr2'!"&amp;ADDRESS(ROW(P266),COLUMN(P266))),INDIRECT("'Yr3'!"&amp;ADDRESS(ROW(P266),COLUMN(P266)))),
IF($C$4=P$7,P286*P254,0))</f>
        <v>0</v>
      </c>
      <c r="Q266" s="64">
        <f ca="1">IF($C$4=Lookups!$D$40,SUM(INDIRECT("'Yr1'!"&amp;ADDRESS(ROW(Q266),COLUMN(Q266))),INDIRECT("'Yr2'!"&amp;ADDRESS(ROW(Q266),COLUMN(Q266))),INDIRECT("'Yr3'!"&amp;ADDRESS(ROW(Q266),COLUMN(Q266)))),
IF($C$4=Q$7,Q286*Q254,0))</f>
        <v>0</v>
      </c>
      <c r="R266" s="64">
        <f ca="1">IF($C$4=Lookups!$D$40,SUM(INDIRECT("'Yr1'!"&amp;ADDRESS(ROW(R266),COLUMN(R266))),INDIRECT("'Yr2'!"&amp;ADDRESS(ROW(R266),COLUMN(R266))),INDIRECT("'Yr3'!"&amp;ADDRESS(ROW(R266),COLUMN(R266)))),
IF($C$4=R$7,R286*R254,0))</f>
        <v>0</v>
      </c>
      <c r="S266" s="64">
        <f ca="1">IF($C$4=Lookups!$D$40,SUM(INDIRECT("'Yr1'!"&amp;ADDRESS(ROW(S266),COLUMN(S266))),INDIRECT("'Yr2'!"&amp;ADDRESS(ROW(S266),COLUMN(S266))),INDIRECT("'Yr3'!"&amp;ADDRESS(ROW(S266),COLUMN(S266)))),
IF($C$4=S$7,S286*S254,0))</f>
        <v>0</v>
      </c>
      <c r="T266" s="64">
        <f ca="1">IF($C$4=Lookups!$D$40,SUM(INDIRECT("'Yr1'!"&amp;ADDRESS(ROW(T266),COLUMN(T266))),INDIRECT("'Yr2'!"&amp;ADDRESS(ROW(T266),COLUMN(T266))),INDIRECT("'Yr3'!"&amp;ADDRESS(ROW(T266),COLUMN(T266)))),
IF($C$4=T$7,T286*T254,0))</f>
        <v>0</v>
      </c>
      <c r="U266" s="64">
        <f ca="1">IF($C$4=Lookups!$D$40,SUM(INDIRECT("'Yr1'!"&amp;ADDRESS(ROW(U266),COLUMN(U266))),INDIRECT("'Yr2'!"&amp;ADDRESS(ROW(U266),COLUMN(U266))),INDIRECT("'Yr3'!"&amp;ADDRESS(ROW(U266),COLUMN(U266)))),
IF($C$4=U$7,U286*U254,0))</f>
        <v>0</v>
      </c>
      <c r="V266" s="64">
        <f ca="1">IF($C$4=Lookups!$D$40,SUM(INDIRECT("'Yr1'!"&amp;ADDRESS(ROW(V266),COLUMN(V266))),INDIRECT("'Yr2'!"&amp;ADDRESS(ROW(V266),COLUMN(V266))),INDIRECT("'Yr3'!"&amp;ADDRESS(ROW(V266),COLUMN(V266)))),
IF($C$4=V$7,V286*V254,0))</f>
        <v>0</v>
      </c>
      <c r="W266" s="64">
        <f ca="1">IF($C$4=Lookups!$D$40,SUM(INDIRECT("'Yr1'!"&amp;ADDRESS(ROW(W266),COLUMN(W266))),INDIRECT("'Yr2'!"&amp;ADDRESS(ROW(W266),COLUMN(W266))),INDIRECT("'Yr3'!"&amp;ADDRESS(ROW(W266),COLUMN(W266)))),
IF($C$4=W$7,W286*W254,0))</f>
        <v>0</v>
      </c>
      <c r="X266" s="64">
        <f ca="1">IF($C$4=Lookups!$D$40,SUM(INDIRECT("'Yr1'!"&amp;ADDRESS(ROW(X266),COLUMN(X266))),INDIRECT("'Yr2'!"&amp;ADDRESS(ROW(X266),COLUMN(X266))),INDIRECT("'Yr3'!"&amp;ADDRESS(ROW(X266),COLUMN(X266)))),
IF($C$4=X$7,X286*X254,0))</f>
        <v>0</v>
      </c>
      <c r="Y266" s="64">
        <f ca="1">IF($C$4=Lookups!$D$40,SUM(INDIRECT("'Yr1'!"&amp;ADDRESS(ROW(Y266),COLUMN(Y266))),INDIRECT("'Yr2'!"&amp;ADDRESS(ROW(Y266),COLUMN(Y266))),INDIRECT("'Yr3'!"&amp;ADDRESS(ROW(Y266),COLUMN(Y266)))),
IF($C$4=Y$7,Y286*Y254,0))</f>
        <v>0</v>
      </c>
      <c r="Z266" s="64">
        <f ca="1">IF($C$4=Lookups!$D$40,SUM(INDIRECT("'Yr1'!"&amp;ADDRESS(ROW(Z266),COLUMN(Z266))),INDIRECT("'Yr2'!"&amp;ADDRESS(ROW(Z266),COLUMN(Z266))),INDIRECT("'Yr3'!"&amp;ADDRESS(ROW(Z266),COLUMN(Z266)))),
IF($C$4=Z$7,Z286*Z254,0))</f>
        <v>0</v>
      </c>
      <c r="AA266" s="64">
        <f ca="1">IF($C$4=Lookups!$D$40,SUM(INDIRECT("'Yr1'!"&amp;ADDRESS(ROW(AA266),COLUMN(AA266))),INDIRECT("'Yr2'!"&amp;ADDRESS(ROW(AA266),COLUMN(AA266))),INDIRECT("'Yr3'!"&amp;ADDRESS(ROW(AA266),COLUMN(AA266)))),
IF($C$4=AA$7,AA286*AA254,0))</f>
        <v>0</v>
      </c>
      <c r="AB266" s="64">
        <f ca="1">IF($C$4=Lookups!$D$40,SUM(INDIRECT("'Yr1'!"&amp;ADDRESS(ROW(AB266),COLUMN(AB266))),INDIRECT("'Yr2'!"&amp;ADDRESS(ROW(AB266),COLUMN(AB266))),INDIRECT("'Yr3'!"&amp;ADDRESS(ROW(AB266),COLUMN(AB266)))),
IF($C$4=AB$7,AB286*AB254,0))</f>
        <v>0</v>
      </c>
      <c r="AC266" s="64">
        <f ca="1">IF($C$4=Lookups!$D$40,SUM(INDIRECT("'Yr1'!"&amp;ADDRESS(ROW(AC266),COLUMN(AC266))),INDIRECT("'Yr2'!"&amp;ADDRESS(ROW(AC266),COLUMN(AC266))),INDIRECT("'Yr3'!"&amp;ADDRESS(ROW(AC266),COLUMN(AC266)))),
IF($C$4=AC$7,AC286*AC254,0))</f>
        <v>0</v>
      </c>
      <c r="AD266" s="64">
        <f ca="1">IF($C$4=Lookups!$D$40,SUM(INDIRECT("'Yr1'!"&amp;ADDRESS(ROW(AD266),COLUMN(AD266))),INDIRECT("'Yr2'!"&amp;ADDRESS(ROW(AD266),COLUMN(AD266))),INDIRECT("'Yr3'!"&amp;ADDRESS(ROW(AD266),COLUMN(AD266)))),
IF($C$4=AD$7,AD286*AD254,0))</f>
        <v>0</v>
      </c>
      <c r="AE266" s="64">
        <f ca="1">IF($C$4=Lookups!$D$40,SUM(INDIRECT("'Yr1'!"&amp;ADDRESS(ROW(AE266),COLUMN(AE266))),INDIRECT("'Yr2'!"&amp;ADDRESS(ROW(AE266),COLUMN(AE266))),INDIRECT("'Yr3'!"&amp;ADDRESS(ROW(AE266),COLUMN(AE266)))),
IF($C$4=AE$7,AE286*AE254,0))</f>
        <v>0</v>
      </c>
      <c r="AF266" s="64">
        <f ca="1">IF($C$4=Lookups!$D$40,SUM(INDIRECT("'Yr1'!"&amp;ADDRESS(ROW(AF266),COLUMN(AF266))),INDIRECT("'Yr2'!"&amp;ADDRESS(ROW(AF266),COLUMN(AF266))),INDIRECT("'Yr3'!"&amp;ADDRESS(ROW(AF266),COLUMN(AF266)))),
IF($C$4=AF$7,AF286*AF254,0))</f>
        <v>0</v>
      </c>
      <c r="AG266" s="64">
        <f ca="1">IF($C$4=Lookups!$D$40,SUM(INDIRECT("'Yr1'!"&amp;ADDRESS(ROW(AG266),COLUMN(AG266))),INDIRECT("'Yr2'!"&amp;ADDRESS(ROW(AG266),COLUMN(AG266))),INDIRECT("'Yr3'!"&amp;ADDRESS(ROW(AG266),COLUMN(AG266)))),
IF($C$4=AG$7,AG286*AG254,0))</f>
        <v>0</v>
      </c>
      <c r="AH266" s="49"/>
      <c r="AI266" s="64">
        <f ca="1">NPV(Lookups!$E$17,G266:AG266)</f>
        <v>1451805.8092730998</v>
      </c>
      <c r="AJ266" s="65"/>
      <c r="AM266" s="71">
        <f ca="1">IF($C$4=Lookups!$D$40,SUM(INDIRECT("'Yr1'!"&amp;ADDRESS(ROW(AM266),COLUMN(AM266))),INDIRECT("'Yr2'!"&amp;ADDRESS(ROW(AM266),COLUMN(AM266))),INDIRECT("'Yr3'!"&amp;ADDRESS(ROW(AM266),COLUMN(AM266)))),
IF($C$4=AM$7,AM286*AM254,0))</f>
        <v>1744152.0008703598</v>
      </c>
      <c r="AN266" s="71">
        <f ca="1">IF($C$4=Lookups!$D$40,SUM(INDIRECT("'Yr1'!"&amp;ADDRESS(ROW(AN266),COLUMN(AN266))),INDIRECT("'Yr2'!"&amp;ADDRESS(ROW(AN266),COLUMN(AN266))),INDIRECT("'Yr3'!"&amp;ADDRESS(ROW(AN266),COLUMN(AN266)))),
IF($C$4=AN$7,AN286*AN254,0))</f>
        <v>0</v>
      </c>
      <c r="AO266" s="71">
        <f ca="1">IF($C$4=Lookups!$D$40,SUM(INDIRECT("'Yr1'!"&amp;ADDRESS(ROW(AO266),COLUMN(AO266))),INDIRECT("'Yr2'!"&amp;ADDRESS(ROW(AO266),COLUMN(AO266))),INDIRECT("'Yr3'!"&amp;ADDRESS(ROW(AO266),COLUMN(AO266)))),
IF($C$4=AO$7,AO286*AO254,0))</f>
        <v>0</v>
      </c>
      <c r="AP266" s="71">
        <f ca="1">IF($C$4=Lookups!$D$40,SUM(INDIRECT("'Yr1'!"&amp;ADDRESS(ROW(AP266),COLUMN(AP266))),INDIRECT("'Yr2'!"&amp;ADDRESS(ROW(AP266),COLUMN(AP266))),INDIRECT("'Yr3'!"&amp;ADDRESS(ROW(AP266),COLUMN(AP266)))),
IF($C$4=AP$7,AP286*AP254,0))</f>
        <v>0</v>
      </c>
      <c r="AQ266" s="71">
        <f ca="1">IF($C$4=Lookups!$D$40,SUM(INDIRECT("'Yr1'!"&amp;ADDRESS(ROW(AQ266),COLUMN(AQ266))),INDIRECT("'Yr2'!"&amp;ADDRESS(ROW(AQ266),COLUMN(AQ266))),INDIRECT("'Yr3'!"&amp;ADDRESS(ROW(AQ266),COLUMN(AQ266)))),
IF($C$4=AQ$7,AQ286*AQ254,0))</f>
        <v>0</v>
      </c>
      <c r="AR266" s="71">
        <f ca="1">IF($C$4=Lookups!$D$40,SUM(INDIRECT("'Yr1'!"&amp;ADDRESS(ROW(AR266),COLUMN(AR266))),INDIRECT("'Yr2'!"&amp;ADDRESS(ROW(AR266),COLUMN(AR266))),INDIRECT("'Yr3'!"&amp;ADDRESS(ROW(AR266),COLUMN(AR266)))),
IF($C$4=AR$7,AR286*AR254,0))</f>
        <v>0</v>
      </c>
      <c r="AS266" s="71">
        <f ca="1">IF($C$4=Lookups!$D$40,SUM(INDIRECT("'Yr1'!"&amp;ADDRESS(ROW(AS266),COLUMN(AS266))),INDIRECT("'Yr2'!"&amp;ADDRESS(ROW(AS266),COLUMN(AS266))),INDIRECT("'Yr3'!"&amp;ADDRESS(ROW(AS266),COLUMN(AS266)))),
IF($C$4=AS$7,AS286*AS254,0))</f>
        <v>0</v>
      </c>
      <c r="AT266" s="71">
        <f ca="1">IF($C$4=Lookups!$D$40,SUM(INDIRECT("'Yr1'!"&amp;ADDRESS(ROW(AT266),COLUMN(AT266))),INDIRECT("'Yr2'!"&amp;ADDRESS(ROW(AT266),COLUMN(AT266))),INDIRECT("'Yr3'!"&amp;ADDRESS(ROW(AT266),COLUMN(AT266)))),
IF($C$4=AT$7,AT286*AT254,0))</f>
        <v>0</v>
      </c>
      <c r="AU266" s="71">
        <f ca="1">IF($C$4=Lookups!$D$40,SUM(INDIRECT("'Yr1'!"&amp;ADDRESS(ROW(AU266),COLUMN(AU266))),INDIRECT("'Yr2'!"&amp;ADDRESS(ROW(AU266),COLUMN(AU266))),INDIRECT("'Yr3'!"&amp;ADDRESS(ROW(AU266),COLUMN(AU266)))),
IF($C$4=AU$7,AU286*AU254,0))</f>
        <v>0</v>
      </c>
      <c r="AV266" s="71">
        <f ca="1">IF($C$4=Lookups!$D$40,SUM(INDIRECT("'Yr1'!"&amp;ADDRESS(ROW(AV266),COLUMN(AV266))),INDIRECT("'Yr2'!"&amp;ADDRESS(ROW(AV266),COLUMN(AV266))),INDIRECT("'Yr3'!"&amp;ADDRESS(ROW(AV266),COLUMN(AV266)))),
IF($C$4=AV$7,AV286*AV254,0))</f>
        <v>0</v>
      </c>
      <c r="AW266" s="71">
        <f ca="1">IF($C$4=Lookups!$D$40,SUM(INDIRECT("'Yr1'!"&amp;ADDRESS(ROW(AW266),COLUMN(AW266))),INDIRECT("'Yr2'!"&amp;ADDRESS(ROW(AW266),COLUMN(AW266))),INDIRECT("'Yr3'!"&amp;ADDRESS(ROW(AW266),COLUMN(AW266)))),
IF($C$4=AW$7,AW286*AW254,0))</f>
        <v>0</v>
      </c>
      <c r="AX266" s="71">
        <f ca="1">IF($C$4=Lookups!$D$40,SUM(INDIRECT("'Yr1'!"&amp;ADDRESS(ROW(AX266),COLUMN(AX266))),INDIRECT("'Yr2'!"&amp;ADDRESS(ROW(AX266),COLUMN(AX266))),INDIRECT("'Yr3'!"&amp;ADDRESS(ROW(AX266),COLUMN(AX266)))),
IF($C$4=AX$7,AX286*AX254,0))</f>
        <v>0</v>
      </c>
      <c r="AY266" s="71">
        <f ca="1">IF($C$4=Lookups!$D$40,SUM(INDIRECT("'Yr1'!"&amp;ADDRESS(ROW(AY266),COLUMN(AY266))),INDIRECT("'Yr2'!"&amp;ADDRESS(ROW(AY266),COLUMN(AY266))),INDIRECT("'Yr3'!"&amp;ADDRESS(ROW(AY266),COLUMN(AY266)))),
IF($C$4=AY$7,AY286*AY254,0))</f>
        <v>0</v>
      </c>
      <c r="AZ266" s="71">
        <f ca="1">IF($C$4=Lookups!$D$40,SUM(INDIRECT("'Yr1'!"&amp;ADDRESS(ROW(AZ266),COLUMN(AZ266))),INDIRECT("'Yr2'!"&amp;ADDRESS(ROW(AZ266),COLUMN(AZ266))),INDIRECT("'Yr3'!"&amp;ADDRESS(ROW(AZ266),COLUMN(AZ266)))),
IF($C$4=AZ$7,AZ286*AZ254,0))</f>
        <v>0</v>
      </c>
      <c r="BA266" s="71">
        <f ca="1">IF($C$4=Lookups!$D$40,SUM(INDIRECT("'Yr1'!"&amp;ADDRESS(ROW(BA266),COLUMN(BA266))),INDIRECT("'Yr2'!"&amp;ADDRESS(ROW(BA266),COLUMN(BA266))),INDIRECT("'Yr3'!"&amp;ADDRESS(ROW(BA266),COLUMN(BA266)))),
IF($C$4=BA$7,BA286*BA254,0))</f>
        <v>0</v>
      </c>
      <c r="BB266" s="71">
        <f ca="1">IF($C$4=Lookups!$D$40,SUM(INDIRECT("'Yr1'!"&amp;ADDRESS(ROW(BB266),COLUMN(BB266))),INDIRECT("'Yr2'!"&amp;ADDRESS(ROW(BB266),COLUMN(BB266))),INDIRECT("'Yr3'!"&amp;ADDRESS(ROW(BB266),COLUMN(BB266)))),
IF($C$4=BB$7,BB286*BB254,0))</f>
        <v>0</v>
      </c>
      <c r="BC266" s="71">
        <f ca="1">IF($C$4=Lookups!$D$40,SUM(INDIRECT("'Yr1'!"&amp;ADDRESS(ROW(BC266),COLUMN(BC266))),INDIRECT("'Yr2'!"&amp;ADDRESS(ROW(BC266),COLUMN(BC266))),INDIRECT("'Yr3'!"&amp;ADDRESS(ROW(BC266),COLUMN(BC266)))),
IF($C$4=BC$7,BC286*BC254,0))</f>
        <v>0</v>
      </c>
      <c r="BD266" s="71">
        <f ca="1">IF($C$4=Lookups!$D$40,SUM(INDIRECT("'Yr1'!"&amp;ADDRESS(ROW(BD266),COLUMN(BD266))),INDIRECT("'Yr2'!"&amp;ADDRESS(ROW(BD266),COLUMN(BD266))),INDIRECT("'Yr3'!"&amp;ADDRESS(ROW(BD266),COLUMN(BD266)))),
IF($C$4=BD$7,BD286*BD254,0))</f>
        <v>0</v>
      </c>
      <c r="BE266" s="71">
        <f ca="1">IF($C$4=Lookups!$D$40,SUM(INDIRECT("'Yr1'!"&amp;ADDRESS(ROW(BE266),COLUMN(BE266))),INDIRECT("'Yr2'!"&amp;ADDRESS(ROW(BE266),COLUMN(BE266))),INDIRECT("'Yr3'!"&amp;ADDRESS(ROW(BE266),COLUMN(BE266)))),
IF($C$4=BE$7,BE286*BE254,0))</f>
        <v>0</v>
      </c>
      <c r="BF266" s="71">
        <f ca="1">IF($C$4=Lookups!$D$40,SUM(INDIRECT("'Yr1'!"&amp;ADDRESS(ROW(BF266),COLUMN(BF266))),INDIRECT("'Yr2'!"&amp;ADDRESS(ROW(BF266),COLUMN(BF266))),INDIRECT("'Yr3'!"&amp;ADDRESS(ROW(BF266),COLUMN(BF266)))),
IF($C$4=BF$7,BF286*BF254,0))</f>
        <v>0</v>
      </c>
      <c r="BG266" s="71">
        <f ca="1">IF($C$4=Lookups!$D$40,SUM(INDIRECT("'Yr1'!"&amp;ADDRESS(ROW(BG266),COLUMN(BG266))),INDIRECT("'Yr2'!"&amp;ADDRESS(ROW(BG266),COLUMN(BG266))),INDIRECT("'Yr3'!"&amp;ADDRESS(ROW(BG266),COLUMN(BG266)))),
IF($C$4=BG$7,BG286*BG254,0))</f>
        <v>0</v>
      </c>
      <c r="BH266" s="71">
        <f ca="1">IF($C$4=Lookups!$D$40,SUM(INDIRECT("'Yr1'!"&amp;ADDRESS(ROW(BH266),COLUMN(BH266))),INDIRECT("'Yr2'!"&amp;ADDRESS(ROW(BH266),COLUMN(BH266))),INDIRECT("'Yr3'!"&amp;ADDRESS(ROW(BH266),COLUMN(BH266)))),
IF($C$4=BH$7,BH286*BH254,0))</f>
        <v>0</v>
      </c>
      <c r="BI266" s="71">
        <f ca="1">IF($C$4=Lookups!$D$40,SUM(INDIRECT("'Yr1'!"&amp;ADDRESS(ROW(BI266),COLUMN(BI266))),INDIRECT("'Yr2'!"&amp;ADDRESS(ROW(BI266),COLUMN(BI266))),INDIRECT("'Yr3'!"&amp;ADDRESS(ROW(BI266),COLUMN(BI266)))),
IF($C$4=BI$7,BI286*BI254,0))</f>
        <v>0</v>
      </c>
      <c r="BJ266" s="71">
        <f ca="1">IF($C$4=Lookups!$D$40,SUM(INDIRECT("'Yr1'!"&amp;ADDRESS(ROW(BJ266),COLUMN(BJ266))),INDIRECT("'Yr2'!"&amp;ADDRESS(ROW(BJ266),COLUMN(BJ266))),INDIRECT("'Yr3'!"&amp;ADDRESS(ROW(BJ266),COLUMN(BJ266)))),
IF($C$4=BJ$7,BJ286*BJ254,0))</f>
        <v>0</v>
      </c>
      <c r="BK266" s="71">
        <f ca="1">IF($C$4=Lookups!$D$40,SUM(INDIRECT("'Yr1'!"&amp;ADDRESS(ROW(BK266),COLUMN(BK266))),INDIRECT("'Yr2'!"&amp;ADDRESS(ROW(BK266),COLUMN(BK266))),INDIRECT("'Yr3'!"&amp;ADDRESS(ROW(BK266),COLUMN(BK266)))),
IF($C$4=BK$7,BK286*BK254,0))</f>
        <v>0</v>
      </c>
      <c r="BL266" s="71">
        <f ca="1">IF($C$4=Lookups!$D$40,SUM(INDIRECT("'Yr1'!"&amp;ADDRESS(ROW(BL266),COLUMN(BL266))),INDIRECT("'Yr2'!"&amp;ADDRESS(ROW(BL266),COLUMN(BL266))),INDIRECT("'Yr3'!"&amp;ADDRESS(ROW(BL266),COLUMN(BL266)))),
IF($C$4=BL$7,BL286*BL254,0))</f>
        <v>0</v>
      </c>
      <c r="BM266" s="71">
        <f ca="1">IF($C$4=Lookups!$D$40,SUM(INDIRECT("'Yr1'!"&amp;ADDRESS(ROW(BM266),COLUMN(BM266))),INDIRECT("'Yr2'!"&amp;ADDRESS(ROW(BM266),COLUMN(BM266))),INDIRECT("'Yr3'!"&amp;ADDRESS(ROW(BM266),COLUMN(BM266)))),
IF($C$4=BM$7,BM286*BM254,0))</f>
        <v>0</v>
      </c>
      <c r="BN266" s="71"/>
      <c r="BO266" s="71">
        <f ca="1">NPV(Lookups!$E$17,AM266:BM266)</f>
        <v>1719826.7816814657</v>
      </c>
      <c r="BP266" s="72"/>
      <c r="BS266" s="84" t="str">
        <f>E266&amp;" rate multiplied by After DSM sales."</f>
        <v>LDAC, EE Only rate multiplied by After DSM sales.</v>
      </c>
      <c r="BT266" s="51" t="s">
        <v>17</v>
      </c>
    </row>
    <row r="267" spans="1:72" x14ac:dyDescent="0.25">
      <c r="A267" s="476"/>
      <c r="B267" s="243" t="str">
        <f t="shared" si="286"/>
        <v>Large C&amp;I</v>
      </c>
      <c r="C267" s="243" t="str">
        <f t="shared" si="286"/>
        <v>Revenue Requirements</v>
      </c>
      <c r="D267" s="244" t="str">
        <f>D266</f>
        <v>Increased Costs and Cost Shifting</v>
      </c>
      <c r="E267" s="86" t="s">
        <v>198</v>
      </c>
      <c r="F267" s="84" t="s">
        <v>32</v>
      </c>
      <c r="G267" s="64">
        <f ca="1">IF($C$4=Lookups!$D$40,SUM(INDIRECT("'Yr1'!"&amp;ADDRESS(ROW(G267),COLUMN(G267))),INDIRECT("'Yr2'!"&amp;ADDRESS(ROW(G267),COLUMN(G267))),INDIRECT("'Yr3'!"&amp;ADDRESS(ROW(G267),COLUMN(G267)))),
G287*G254)</f>
        <v>106280.74701567134</v>
      </c>
      <c r="H267" s="64">
        <f ca="1">IF($C$4=Lookups!$D$40,SUM(INDIRECT("'Yr1'!"&amp;ADDRESS(ROW(H267),COLUMN(H267))),INDIRECT("'Yr2'!"&amp;ADDRESS(ROW(H267),COLUMN(H267))),INDIRECT("'Yr3'!"&amp;ADDRESS(ROW(H267),COLUMN(H267)))),
H287*H254)</f>
        <v>106280.74701567134</v>
      </c>
      <c r="I267" s="64">
        <f ca="1">IF($C$4=Lookups!$D$40,SUM(INDIRECT("'Yr1'!"&amp;ADDRESS(ROW(I267),COLUMN(I267))),INDIRECT("'Yr2'!"&amp;ADDRESS(ROW(I267),COLUMN(I267))),INDIRECT("'Yr3'!"&amp;ADDRESS(ROW(I267),COLUMN(I267)))),
I287*I254)</f>
        <v>106280.74701567134</v>
      </c>
      <c r="J267" s="64">
        <f ca="1">IF($C$4=Lookups!$D$40,SUM(INDIRECT("'Yr1'!"&amp;ADDRESS(ROW(J267),COLUMN(J267))),INDIRECT("'Yr2'!"&amp;ADDRESS(ROW(J267),COLUMN(J267))),INDIRECT("'Yr3'!"&amp;ADDRESS(ROW(J267),COLUMN(J267)))),
J287*J254)</f>
        <v>106280.74701567134</v>
      </c>
      <c r="K267" s="64">
        <f ca="1">IF($C$4=Lookups!$D$40,SUM(INDIRECT("'Yr1'!"&amp;ADDRESS(ROW(K267),COLUMN(K267))),INDIRECT("'Yr2'!"&amp;ADDRESS(ROW(K267),COLUMN(K267))),INDIRECT("'Yr3'!"&amp;ADDRESS(ROW(K267),COLUMN(K267)))),
K287*K254)</f>
        <v>106280.74701567134</v>
      </c>
      <c r="L267" s="64">
        <f ca="1">IF($C$4=Lookups!$D$40,SUM(INDIRECT("'Yr1'!"&amp;ADDRESS(ROW(L267),COLUMN(L267))),INDIRECT("'Yr2'!"&amp;ADDRESS(ROW(L267),COLUMN(L267))),INDIRECT("'Yr3'!"&amp;ADDRESS(ROW(L267),COLUMN(L267)))),
L287*L254)</f>
        <v>106280.74701567134</v>
      </c>
      <c r="M267" s="64">
        <f ca="1">IF($C$4=Lookups!$D$40,SUM(INDIRECT("'Yr1'!"&amp;ADDRESS(ROW(M267),COLUMN(M267))),INDIRECT("'Yr2'!"&amp;ADDRESS(ROW(M267),COLUMN(M267))),INDIRECT("'Yr3'!"&amp;ADDRESS(ROW(M267),COLUMN(M267)))),
M287*M254)</f>
        <v>106280.74701567134</v>
      </c>
      <c r="N267" s="64">
        <f ca="1">IF($C$4=Lookups!$D$40,SUM(INDIRECT("'Yr1'!"&amp;ADDRESS(ROW(N267),COLUMN(N267))),INDIRECT("'Yr2'!"&amp;ADDRESS(ROW(N267),COLUMN(N267))),INDIRECT("'Yr3'!"&amp;ADDRESS(ROW(N267),COLUMN(N267)))),
N287*N254)</f>
        <v>106280.74701567134</v>
      </c>
      <c r="O267" s="64">
        <f ca="1">IF($C$4=Lookups!$D$40,SUM(INDIRECT("'Yr1'!"&amp;ADDRESS(ROW(O267),COLUMN(O267))),INDIRECT("'Yr2'!"&amp;ADDRESS(ROW(O267),COLUMN(O267))),INDIRECT("'Yr3'!"&amp;ADDRESS(ROW(O267),COLUMN(O267)))),
O287*O254)</f>
        <v>106280.74701567134</v>
      </c>
      <c r="P267" s="64">
        <f ca="1">IF($C$4=Lookups!$D$40,SUM(INDIRECT("'Yr1'!"&amp;ADDRESS(ROW(P267),COLUMN(P267))),INDIRECT("'Yr2'!"&amp;ADDRESS(ROW(P267),COLUMN(P267))),INDIRECT("'Yr3'!"&amp;ADDRESS(ROW(P267),COLUMN(P267)))),
P287*P254)</f>
        <v>106280.74701567134</v>
      </c>
      <c r="Q267" s="64">
        <f ca="1">IF($C$4=Lookups!$D$40,SUM(INDIRECT("'Yr1'!"&amp;ADDRESS(ROW(Q267),COLUMN(Q267))),INDIRECT("'Yr2'!"&amp;ADDRESS(ROW(Q267),COLUMN(Q267))),INDIRECT("'Yr3'!"&amp;ADDRESS(ROW(Q267),COLUMN(Q267)))),
Q287*Q254)</f>
        <v>106280.74701567134</v>
      </c>
      <c r="R267" s="64">
        <f ca="1">IF($C$4=Lookups!$D$40,SUM(INDIRECT("'Yr1'!"&amp;ADDRESS(ROW(R267),COLUMN(R267))),INDIRECT("'Yr2'!"&amp;ADDRESS(ROW(R267),COLUMN(R267))),INDIRECT("'Yr3'!"&amp;ADDRESS(ROW(R267),COLUMN(R267)))),
R287*R254)</f>
        <v>106280.74701567134</v>
      </c>
      <c r="S267" s="64">
        <f ca="1">IF($C$4=Lookups!$D$40,SUM(INDIRECT("'Yr1'!"&amp;ADDRESS(ROW(S267),COLUMN(S267))),INDIRECT("'Yr2'!"&amp;ADDRESS(ROW(S267),COLUMN(S267))),INDIRECT("'Yr3'!"&amp;ADDRESS(ROW(S267),COLUMN(S267)))),
S287*S254)</f>
        <v>106280.74701567134</v>
      </c>
      <c r="T267" s="64">
        <f ca="1">IF($C$4=Lookups!$D$40,SUM(INDIRECT("'Yr1'!"&amp;ADDRESS(ROW(T267),COLUMN(T267))),INDIRECT("'Yr2'!"&amp;ADDRESS(ROW(T267),COLUMN(T267))),INDIRECT("'Yr3'!"&amp;ADDRESS(ROW(T267),COLUMN(T267)))),
T287*T254)</f>
        <v>0</v>
      </c>
      <c r="U267" s="64">
        <f ca="1">IF($C$4=Lookups!$D$40,SUM(INDIRECT("'Yr1'!"&amp;ADDRESS(ROW(U267),COLUMN(U267))),INDIRECT("'Yr2'!"&amp;ADDRESS(ROW(U267),COLUMN(U267))),INDIRECT("'Yr3'!"&amp;ADDRESS(ROW(U267),COLUMN(U267)))),
U287*U254)</f>
        <v>0</v>
      </c>
      <c r="V267" s="64">
        <f ca="1">IF($C$4=Lookups!$D$40,SUM(INDIRECT("'Yr1'!"&amp;ADDRESS(ROW(V267),COLUMN(V267))),INDIRECT("'Yr2'!"&amp;ADDRESS(ROW(V267),COLUMN(V267))),INDIRECT("'Yr3'!"&amp;ADDRESS(ROW(V267),COLUMN(V267)))),
V287*V254)</f>
        <v>0</v>
      </c>
      <c r="W267" s="64">
        <f ca="1">IF($C$4=Lookups!$D$40,SUM(INDIRECT("'Yr1'!"&amp;ADDRESS(ROW(W267),COLUMN(W267))),INDIRECT("'Yr2'!"&amp;ADDRESS(ROW(W267),COLUMN(W267))),INDIRECT("'Yr3'!"&amp;ADDRESS(ROW(W267),COLUMN(W267)))),
W287*W254)</f>
        <v>0</v>
      </c>
      <c r="X267" s="64">
        <f ca="1">IF($C$4=Lookups!$D$40,SUM(INDIRECT("'Yr1'!"&amp;ADDRESS(ROW(X267),COLUMN(X267))),INDIRECT("'Yr2'!"&amp;ADDRESS(ROW(X267),COLUMN(X267))),INDIRECT("'Yr3'!"&amp;ADDRESS(ROW(X267),COLUMN(X267)))),
X287*X254)</f>
        <v>0</v>
      </c>
      <c r="Y267" s="64">
        <f ca="1">IF($C$4=Lookups!$D$40,SUM(INDIRECT("'Yr1'!"&amp;ADDRESS(ROW(Y267),COLUMN(Y267))),INDIRECT("'Yr2'!"&amp;ADDRESS(ROW(Y267),COLUMN(Y267))),INDIRECT("'Yr3'!"&amp;ADDRESS(ROW(Y267),COLUMN(Y267)))),
Y287*Y254)</f>
        <v>0</v>
      </c>
      <c r="Z267" s="64">
        <f ca="1">IF($C$4=Lookups!$D$40,SUM(INDIRECT("'Yr1'!"&amp;ADDRESS(ROW(Z267),COLUMN(Z267))),INDIRECT("'Yr2'!"&amp;ADDRESS(ROW(Z267),COLUMN(Z267))),INDIRECT("'Yr3'!"&amp;ADDRESS(ROW(Z267),COLUMN(Z267)))),
Z287*Z254)</f>
        <v>0</v>
      </c>
      <c r="AA267" s="64">
        <f ca="1">IF($C$4=Lookups!$D$40,SUM(INDIRECT("'Yr1'!"&amp;ADDRESS(ROW(AA267),COLUMN(AA267))),INDIRECT("'Yr2'!"&amp;ADDRESS(ROW(AA267),COLUMN(AA267))),INDIRECT("'Yr3'!"&amp;ADDRESS(ROW(AA267),COLUMN(AA267)))),
AA287*AA254)</f>
        <v>0</v>
      </c>
      <c r="AB267" s="64">
        <f ca="1">IF($C$4=Lookups!$D$40,SUM(INDIRECT("'Yr1'!"&amp;ADDRESS(ROW(AB267),COLUMN(AB267))),INDIRECT("'Yr2'!"&amp;ADDRESS(ROW(AB267),COLUMN(AB267))),INDIRECT("'Yr3'!"&amp;ADDRESS(ROW(AB267),COLUMN(AB267)))),
AB287*AB254)</f>
        <v>0</v>
      </c>
      <c r="AC267" s="64">
        <f ca="1">IF($C$4=Lookups!$D$40,SUM(INDIRECT("'Yr1'!"&amp;ADDRESS(ROW(AC267),COLUMN(AC267))),INDIRECT("'Yr2'!"&amp;ADDRESS(ROW(AC267),COLUMN(AC267))),INDIRECT("'Yr3'!"&amp;ADDRESS(ROW(AC267),COLUMN(AC267)))),
AC287*AC254)</f>
        <v>0</v>
      </c>
      <c r="AD267" s="64">
        <f ca="1">IF($C$4=Lookups!$D$40,SUM(INDIRECT("'Yr1'!"&amp;ADDRESS(ROW(AD267),COLUMN(AD267))),INDIRECT("'Yr2'!"&amp;ADDRESS(ROW(AD267),COLUMN(AD267))),INDIRECT("'Yr3'!"&amp;ADDRESS(ROW(AD267),COLUMN(AD267)))),
AD287*AD254)</f>
        <v>0</v>
      </c>
      <c r="AE267" s="64">
        <f ca="1">IF($C$4=Lookups!$D$40,SUM(INDIRECT("'Yr1'!"&amp;ADDRESS(ROW(AE267),COLUMN(AE267))),INDIRECT("'Yr2'!"&amp;ADDRESS(ROW(AE267),COLUMN(AE267))),INDIRECT("'Yr3'!"&amp;ADDRESS(ROW(AE267),COLUMN(AE267)))),
AE287*AE254)</f>
        <v>0</v>
      </c>
      <c r="AF267" s="64">
        <f ca="1">IF($C$4=Lookups!$D$40,SUM(INDIRECT("'Yr1'!"&amp;ADDRESS(ROW(AF267),COLUMN(AF267))),INDIRECT("'Yr2'!"&amp;ADDRESS(ROW(AF267),COLUMN(AF267))),INDIRECT("'Yr3'!"&amp;ADDRESS(ROW(AF267),COLUMN(AF267)))),
AF287*AF254)</f>
        <v>0</v>
      </c>
      <c r="AG267" s="64">
        <f ca="1">IF($C$4=Lookups!$D$40,SUM(INDIRECT("'Yr1'!"&amp;ADDRESS(ROW(AG267),COLUMN(AG267))),INDIRECT("'Yr2'!"&amp;ADDRESS(ROW(AG267),COLUMN(AG267))),INDIRECT("'Yr3'!"&amp;ADDRESS(ROW(AG267),COLUMN(AG267)))),
AG287*AG254)</f>
        <v>0</v>
      </c>
      <c r="AH267" s="49"/>
      <c r="AI267" s="64">
        <f ca="1">NPV(Lookups!$E$17,G267:AG267)</f>
        <v>1254007.4109375637</v>
      </c>
      <c r="AJ267" s="65"/>
      <c r="AM267" s="71">
        <f ca="1">IF($C$4=Lookups!$D$40,SUM(INDIRECT("'Yr1'!"&amp;ADDRESS(ROW(AM267),COLUMN(AM267))),INDIRECT("'Yr2'!"&amp;ADDRESS(ROW(AM267),COLUMN(AM267))),INDIRECT("'Yr3'!"&amp;ADDRESS(ROW(AM267),COLUMN(AM267)))),
AM287*AM254)</f>
        <v>120927.05313075487</v>
      </c>
      <c r="AN267" s="71">
        <f ca="1">IF($C$4=Lookups!$D$40,SUM(INDIRECT("'Yr1'!"&amp;ADDRESS(ROW(AN267),COLUMN(AN267))),INDIRECT("'Yr2'!"&amp;ADDRESS(ROW(AN267),COLUMN(AN267))),INDIRECT("'Yr3'!"&amp;ADDRESS(ROW(AN267),COLUMN(AN267)))),
AN287*AN254)</f>
        <v>120927.05313075487</v>
      </c>
      <c r="AO267" s="71">
        <f ca="1">IF($C$4=Lookups!$D$40,SUM(INDIRECT("'Yr1'!"&amp;ADDRESS(ROW(AO267),COLUMN(AO267))),INDIRECT("'Yr2'!"&amp;ADDRESS(ROW(AO267),COLUMN(AO267))),INDIRECT("'Yr3'!"&amp;ADDRESS(ROW(AO267),COLUMN(AO267)))),
AO287*AO254)</f>
        <v>120927.05313075487</v>
      </c>
      <c r="AP267" s="71">
        <f ca="1">IF($C$4=Lookups!$D$40,SUM(INDIRECT("'Yr1'!"&amp;ADDRESS(ROW(AP267),COLUMN(AP267))),INDIRECT("'Yr2'!"&amp;ADDRESS(ROW(AP267),COLUMN(AP267))),INDIRECT("'Yr3'!"&amp;ADDRESS(ROW(AP267),COLUMN(AP267)))),
AP287*AP254)</f>
        <v>120927.05313075487</v>
      </c>
      <c r="AQ267" s="71">
        <f ca="1">IF($C$4=Lookups!$D$40,SUM(INDIRECT("'Yr1'!"&amp;ADDRESS(ROW(AQ267),COLUMN(AQ267))),INDIRECT("'Yr2'!"&amp;ADDRESS(ROW(AQ267),COLUMN(AQ267))),INDIRECT("'Yr3'!"&amp;ADDRESS(ROW(AQ267),COLUMN(AQ267)))),
AQ287*AQ254)</f>
        <v>120927.05313075487</v>
      </c>
      <c r="AR267" s="71">
        <f ca="1">IF($C$4=Lookups!$D$40,SUM(INDIRECT("'Yr1'!"&amp;ADDRESS(ROW(AR267),COLUMN(AR267))),INDIRECT("'Yr2'!"&amp;ADDRESS(ROW(AR267),COLUMN(AR267))),INDIRECT("'Yr3'!"&amp;ADDRESS(ROW(AR267),COLUMN(AR267)))),
AR287*AR254)</f>
        <v>120927.05313075487</v>
      </c>
      <c r="AS267" s="71">
        <f ca="1">IF($C$4=Lookups!$D$40,SUM(INDIRECT("'Yr1'!"&amp;ADDRESS(ROW(AS267),COLUMN(AS267))),INDIRECT("'Yr2'!"&amp;ADDRESS(ROW(AS267),COLUMN(AS267))),INDIRECT("'Yr3'!"&amp;ADDRESS(ROW(AS267),COLUMN(AS267)))),
AS287*AS254)</f>
        <v>120927.05313075487</v>
      </c>
      <c r="AT267" s="71">
        <f ca="1">IF($C$4=Lookups!$D$40,SUM(INDIRECT("'Yr1'!"&amp;ADDRESS(ROW(AT267),COLUMN(AT267))),INDIRECT("'Yr2'!"&amp;ADDRESS(ROW(AT267),COLUMN(AT267))),INDIRECT("'Yr3'!"&amp;ADDRESS(ROW(AT267),COLUMN(AT267)))),
AT287*AT254)</f>
        <v>120927.05313075487</v>
      </c>
      <c r="AU267" s="71">
        <f ca="1">IF($C$4=Lookups!$D$40,SUM(INDIRECT("'Yr1'!"&amp;ADDRESS(ROW(AU267),COLUMN(AU267))),INDIRECT("'Yr2'!"&amp;ADDRESS(ROW(AU267),COLUMN(AU267))),INDIRECT("'Yr3'!"&amp;ADDRESS(ROW(AU267),COLUMN(AU267)))),
AU287*AU254)</f>
        <v>120927.05313075487</v>
      </c>
      <c r="AV267" s="71">
        <f ca="1">IF($C$4=Lookups!$D$40,SUM(INDIRECT("'Yr1'!"&amp;ADDRESS(ROW(AV267),COLUMN(AV267))),INDIRECT("'Yr2'!"&amp;ADDRESS(ROW(AV267),COLUMN(AV267))),INDIRECT("'Yr3'!"&amp;ADDRESS(ROW(AV267),COLUMN(AV267)))),
AV287*AV254)</f>
        <v>120927.05313075487</v>
      </c>
      <c r="AW267" s="71">
        <f ca="1">IF($C$4=Lookups!$D$40,SUM(INDIRECT("'Yr1'!"&amp;ADDRESS(ROW(AW267),COLUMN(AW267))),INDIRECT("'Yr2'!"&amp;ADDRESS(ROW(AW267),COLUMN(AW267))),INDIRECT("'Yr3'!"&amp;ADDRESS(ROW(AW267),COLUMN(AW267)))),
AW287*AW254)</f>
        <v>120927.05313075487</v>
      </c>
      <c r="AX267" s="71">
        <f ca="1">IF($C$4=Lookups!$D$40,SUM(INDIRECT("'Yr1'!"&amp;ADDRESS(ROW(AX267),COLUMN(AX267))),INDIRECT("'Yr2'!"&amp;ADDRESS(ROW(AX267),COLUMN(AX267))),INDIRECT("'Yr3'!"&amp;ADDRESS(ROW(AX267),COLUMN(AX267)))),
AX287*AX254)</f>
        <v>120927.05313075487</v>
      </c>
      <c r="AY267" s="71">
        <f ca="1">IF($C$4=Lookups!$D$40,SUM(INDIRECT("'Yr1'!"&amp;ADDRESS(ROW(AY267),COLUMN(AY267))),INDIRECT("'Yr2'!"&amp;ADDRESS(ROW(AY267),COLUMN(AY267))),INDIRECT("'Yr3'!"&amp;ADDRESS(ROW(AY267),COLUMN(AY267)))),
AY287*AY254)</f>
        <v>120927.05313075487</v>
      </c>
      <c r="AZ267" s="71">
        <f ca="1">IF($C$4=Lookups!$D$40,SUM(INDIRECT("'Yr1'!"&amp;ADDRESS(ROW(AZ267),COLUMN(AZ267))),INDIRECT("'Yr2'!"&amp;ADDRESS(ROW(AZ267),COLUMN(AZ267))),INDIRECT("'Yr3'!"&amp;ADDRESS(ROW(AZ267),COLUMN(AZ267)))),
AZ287*AZ254)</f>
        <v>0</v>
      </c>
      <c r="BA267" s="71">
        <f ca="1">IF($C$4=Lookups!$D$40,SUM(INDIRECT("'Yr1'!"&amp;ADDRESS(ROW(BA267),COLUMN(BA267))),INDIRECT("'Yr2'!"&amp;ADDRESS(ROW(BA267),COLUMN(BA267))),INDIRECT("'Yr3'!"&amp;ADDRESS(ROW(BA267),COLUMN(BA267)))),
BA287*BA254)</f>
        <v>0</v>
      </c>
      <c r="BB267" s="71">
        <f ca="1">IF($C$4=Lookups!$D$40,SUM(INDIRECT("'Yr1'!"&amp;ADDRESS(ROW(BB267),COLUMN(BB267))),INDIRECT("'Yr2'!"&amp;ADDRESS(ROW(BB267),COLUMN(BB267))),INDIRECT("'Yr3'!"&amp;ADDRESS(ROW(BB267),COLUMN(BB267)))),
BB287*BB254)</f>
        <v>0</v>
      </c>
      <c r="BC267" s="71">
        <f ca="1">IF($C$4=Lookups!$D$40,SUM(INDIRECT("'Yr1'!"&amp;ADDRESS(ROW(BC267),COLUMN(BC267))),INDIRECT("'Yr2'!"&amp;ADDRESS(ROW(BC267),COLUMN(BC267))),INDIRECT("'Yr3'!"&amp;ADDRESS(ROW(BC267),COLUMN(BC267)))),
BC287*BC254)</f>
        <v>0</v>
      </c>
      <c r="BD267" s="71">
        <f ca="1">IF($C$4=Lookups!$D$40,SUM(INDIRECT("'Yr1'!"&amp;ADDRESS(ROW(BD267),COLUMN(BD267))),INDIRECT("'Yr2'!"&amp;ADDRESS(ROW(BD267),COLUMN(BD267))),INDIRECT("'Yr3'!"&amp;ADDRESS(ROW(BD267),COLUMN(BD267)))),
BD287*BD254)</f>
        <v>0</v>
      </c>
      <c r="BE267" s="71">
        <f ca="1">IF($C$4=Lookups!$D$40,SUM(INDIRECT("'Yr1'!"&amp;ADDRESS(ROW(BE267),COLUMN(BE267))),INDIRECT("'Yr2'!"&amp;ADDRESS(ROW(BE267),COLUMN(BE267))),INDIRECT("'Yr3'!"&amp;ADDRESS(ROW(BE267),COLUMN(BE267)))),
BE287*BE254)</f>
        <v>0</v>
      </c>
      <c r="BF267" s="71">
        <f ca="1">IF($C$4=Lookups!$D$40,SUM(INDIRECT("'Yr1'!"&amp;ADDRESS(ROW(BF267),COLUMN(BF267))),INDIRECT("'Yr2'!"&amp;ADDRESS(ROW(BF267),COLUMN(BF267))),INDIRECT("'Yr3'!"&amp;ADDRESS(ROW(BF267),COLUMN(BF267)))),
BF287*BF254)</f>
        <v>0</v>
      </c>
      <c r="BG267" s="71">
        <f ca="1">IF($C$4=Lookups!$D$40,SUM(INDIRECT("'Yr1'!"&amp;ADDRESS(ROW(BG267),COLUMN(BG267))),INDIRECT("'Yr2'!"&amp;ADDRESS(ROW(BG267),COLUMN(BG267))),INDIRECT("'Yr3'!"&amp;ADDRESS(ROW(BG267),COLUMN(BG267)))),
BG287*BG254)</f>
        <v>0</v>
      </c>
      <c r="BH267" s="71">
        <f ca="1">IF($C$4=Lookups!$D$40,SUM(INDIRECT("'Yr1'!"&amp;ADDRESS(ROW(BH267),COLUMN(BH267))),INDIRECT("'Yr2'!"&amp;ADDRESS(ROW(BH267),COLUMN(BH267))),INDIRECT("'Yr3'!"&amp;ADDRESS(ROW(BH267),COLUMN(BH267)))),
BH287*BH254)</f>
        <v>0</v>
      </c>
      <c r="BI267" s="71">
        <f ca="1">IF($C$4=Lookups!$D$40,SUM(INDIRECT("'Yr1'!"&amp;ADDRESS(ROW(BI267),COLUMN(BI267))),INDIRECT("'Yr2'!"&amp;ADDRESS(ROW(BI267),COLUMN(BI267))),INDIRECT("'Yr3'!"&amp;ADDRESS(ROW(BI267),COLUMN(BI267)))),
BI287*BI254)</f>
        <v>0</v>
      </c>
      <c r="BJ267" s="71">
        <f ca="1">IF($C$4=Lookups!$D$40,SUM(INDIRECT("'Yr1'!"&amp;ADDRESS(ROW(BJ267),COLUMN(BJ267))),INDIRECT("'Yr2'!"&amp;ADDRESS(ROW(BJ267),COLUMN(BJ267))),INDIRECT("'Yr3'!"&amp;ADDRESS(ROW(BJ267),COLUMN(BJ267)))),
BJ287*BJ254)</f>
        <v>0</v>
      </c>
      <c r="BK267" s="71">
        <f ca="1">IF($C$4=Lookups!$D$40,SUM(INDIRECT("'Yr1'!"&amp;ADDRESS(ROW(BK267),COLUMN(BK267))),INDIRECT("'Yr2'!"&amp;ADDRESS(ROW(BK267),COLUMN(BK267))),INDIRECT("'Yr3'!"&amp;ADDRESS(ROW(BK267),COLUMN(BK267)))),
BK287*BK254)</f>
        <v>0</v>
      </c>
      <c r="BL267" s="71">
        <f ca="1">IF($C$4=Lookups!$D$40,SUM(INDIRECT("'Yr1'!"&amp;ADDRESS(ROW(BL267),COLUMN(BL267))),INDIRECT("'Yr2'!"&amp;ADDRESS(ROW(BL267),COLUMN(BL267))),INDIRECT("'Yr3'!"&amp;ADDRESS(ROW(BL267),COLUMN(BL267)))),
BL287*BL254)</f>
        <v>0</v>
      </c>
      <c r="BM267" s="71">
        <f ca="1">IF($C$4=Lookups!$D$40,SUM(INDIRECT("'Yr1'!"&amp;ADDRESS(ROW(BM267),COLUMN(BM267))),INDIRECT("'Yr2'!"&amp;ADDRESS(ROW(BM267),COLUMN(BM267))),INDIRECT("'Yr3'!"&amp;ADDRESS(ROW(BM267),COLUMN(BM267)))),
BM287*BM254)</f>
        <v>0</v>
      </c>
      <c r="BN267" s="71"/>
      <c r="BO267" s="71">
        <f ca="1">NPV(Lookups!$E$17,AM267:BM267)</f>
        <v>1426819.2976329657</v>
      </c>
      <c r="BP267" s="72"/>
      <c r="BS267" s="84" t="str">
        <f>E267&amp;" rate multiplied by After DSM sales."</f>
        <v>Distribution Lost Revenue rate multiplied by After DSM sales.</v>
      </c>
      <c r="BT267" s="51" t="s">
        <v>17</v>
      </c>
    </row>
    <row r="268" spans="1:72" x14ac:dyDescent="0.25">
      <c r="B268" s="243" t="str">
        <f>B266</f>
        <v>Large C&amp;I</v>
      </c>
      <c r="C268" s="243" t="str">
        <f>C266</f>
        <v>Revenue Requirements</v>
      </c>
      <c r="D268" s="114" t="s">
        <v>125</v>
      </c>
      <c r="E268" s="84"/>
      <c r="F268" s="84"/>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S268" s="84"/>
      <c r="BT268" s="51" t="s">
        <v>17</v>
      </c>
    </row>
    <row r="269" spans="1:72" x14ac:dyDescent="0.25">
      <c r="A269" s="1"/>
      <c r="B269" s="243" t="str">
        <f t="shared" ref="B269:C270" si="287">B268</f>
        <v>Large C&amp;I</v>
      </c>
      <c r="C269" s="243" t="str">
        <f t="shared" si="287"/>
        <v>Revenue Requirements</v>
      </c>
      <c r="D269" s="244" t="str">
        <f>D268</f>
        <v>Revenue Requirement after DSM Scenario</v>
      </c>
      <c r="E269" s="84" t="s">
        <v>26</v>
      </c>
      <c r="F269" s="84" t="s">
        <v>32</v>
      </c>
      <c r="G269" s="64">
        <f ca="1">G258-G263</f>
        <v>1290301.9579045365</v>
      </c>
      <c r="H269" s="64">
        <f t="shared" ref="H269:AG269" ca="1" si="288">H258-H263</f>
        <v>1290301.9579045365</v>
      </c>
      <c r="I269" s="64">
        <f t="shared" ca="1" si="288"/>
        <v>1290301.9579045365</v>
      </c>
      <c r="J269" s="64">
        <f t="shared" ca="1" si="288"/>
        <v>1290301.9579045365</v>
      </c>
      <c r="K269" s="64">
        <f t="shared" ca="1" si="288"/>
        <v>1290301.9579045365</v>
      </c>
      <c r="L269" s="64">
        <f t="shared" ca="1" si="288"/>
        <v>1290301.9579045365</v>
      </c>
      <c r="M269" s="64">
        <f t="shared" ca="1" si="288"/>
        <v>1290301.9579045365</v>
      </c>
      <c r="N269" s="64">
        <f t="shared" ca="1" si="288"/>
        <v>1290301.9579045365</v>
      </c>
      <c r="O269" s="64">
        <f t="shared" ca="1" si="288"/>
        <v>1290301.9579045365</v>
      </c>
      <c r="P269" s="64">
        <f t="shared" ca="1" si="288"/>
        <v>1290301.9579045365</v>
      </c>
      <c r="Q269" s="64">
        <f t="shared" ca="1" si="288"/>
        <v>1290301.9579045365</v>
      </c>
      <c r="R269" s="64">
        <f t="shared" ca="1" si="288"/>
        <v>1290301.9579045365</v>
      </c>
      <c r="S269" s="64">
        <f t="shared" ca="1" si="288"/>
        <v>1290301.9579045365</v>
      </c>
      <c r="T269" s="64">
        <f t="shared" ca="1" si="288"/>
        <v>1330208.1466124975</v>
      </c>
      <c r="U269" s="64">
        <f t="shared" ca="1" si="288"/>
        <v>1330208.1466124975</v>
      </c>
      <c r="V269" s="64">
        <f t="shared" ca="1" si="288"/>
        <v>1330208.1466124975</v>
      </c>
      <c r="W269" s="64">
        <f t="shared" ca="1" si="288"/>
        <v>1330208.1466124975</v>
      </c>
      <c r="X269" s="64">
        <f t="shared" ca="1" si="288"/>
        <v>1330208.1466124975</v>
      </c>
      <c r="Y269" s="64">
        <f t="shared" ca="1" si="288"/>
        <v>1330208.1466124975</v>
      </c>
      <c r="Z269" s="64">
        <f t="shared" ca="1" si="288"/>
        <v>1330208.1466124975</v>
      </c>
      <c r="AA269" s="64">
        <f t="shared" ca="1" si="288"/>
        <v>1330208.1466124975</v>
      </c>
      <c r="AB269" s="64">
        <f t="shared" ca="1" si="288"/>
        <v>1330208.1466124975</v>
      </c>
      <c r="AC269" s="64">
        <f t="shared" ca="1" si="288"/>
        <v>1330208.1466124975</v>
      </c>
      <c r="AD269" s="64">
        <f t="shared" ca="1" si="288"/>
        <v>1330208.1466124975</v>
      </c>
      <c r="AE269" s="64">
        <f t="shared" ca="1" si="288"/>
        <v>1330208.1466124975</v>
      </c>
      <c r="AF269" s="64">
        <f t="shared" ca="1" si="288"/>
        <v>1330208.1466124975</v>
      </c>
      <c r="AG269" s="64">
        <f t="shared" ca="1" si="288"/>
        <v>1330208.1466124975</v>
      </c>
      <c r="AH269" s="64"/>
      <c r="AI269" s="64">
        <f ca="1">NPV(Lookups!$E$17,G269:AG269)</f>
        <v>29210530.712577224</v>
      </c>
      <c r="AJ269" s="64"/>
      <c r="AM269" s="71">
        <f ca="1">AM258-AM263</f>
        <v>1284601.0738033992</v>
      </c>
      <c r="AN269" s="71">
        <f t="shared" ref="AN269:BM269" ca="1" si="289">AN258-AN263</f>
        <v>1284601.0738033992</v>
      </c>
      <c r="AO269" s="71">
        <f t="shared" ca="1" si="289"/>
        <v>1284601.0738033992</v>
      </c>
      <c r="AP269" s="71">
        <f t="shared" ca="1" si="289"/>
        <v>1284601.0738033992</v>
      </c>
      <c r="AQ269" s="71">
        <f t="shared" ca="1" si="289"/>
        <v>1284601.0738033992</v>
      </c>
      <c r="AR269" s="71">
        <f t="shared" ca="1" si="289"/>
        <v>1284601.0738033992</v>
      </c>
      <c r="AS269" s="71">
        <f t="shared" ca="1" si="289"/>
        <v>1284601.0738033992</v>
      </c>
      <c r="AT269" s="71">
        <f t="shared" ca="1" si="289"/>
        <v>1284601.0738033992</v>
      </c>
      <c r="AU269" s="71">
        <f t="shared" ca="1" si="289"/>
        <v>1284601.0738033992</v>
      </c>
      <c r="AV269" s="71">
        <f t="shared" ca="1" si="289"/>
        <v>1284601.0738033992</v>
      </c>
      <c r="AW269" s="71">
        <f t="shared" ca="1" si="289"/>
        <v>1284601.0738033992</v>
      </c>
      <c r="AX269" s="71">
        <f t="shared" ca="1" si="289"/>
        <v>1284601.0738033992</v>
      </c>
      <c r="AY269" s="71">
        <f t="shared" ca="1" si="289"/>
        <v>1284601.0738033992</v>
      </c>
      <c r="AZ269" s="71">
        <f t="shared" ca="1" si="289"/>
        <v>1330208.1466124975</v>
      </c>
      <c r="BA269" s="71">
        <f t="shared" ca="1" si="289"/>
        <v>1330208.1466124975</v>
      </c>
      <c r="BB269" s="71">
        <f t="shared" ca="1" si="289"/>
        <v>1330208.1466124975</v>
      </c>
      <c r="BC269" s="71">
        <f t="shared" ca="1" si="289"/>
        <v>1330208.1466124975</v>
      </c>
      <c r="BD269" s="71">
        <f t="shared" ca="1" si="289"/>
        <v>1330208.1466124975</v>
      </c>
      <c r="BE269" s="71">
        <f t="shared" ca="1" si="289"/>
        <v>1330208.1466124975</v>
      </c>
      <c r="BF269" s="71">
        <f t="shared" ca="1" si="289"/>
        <v>1330208.1466124975</v>
      </c>
      <c r="BG269" s="71">
        <f t="shared" ca="1" si="289"/>
        <v>1330208.1466124975</v>
      </c>
      <c r="BH269" s="71">
        <f t="shared" ca="1" si="289"/>
        <v>1330208.1466124975</v>
      </c>
      <c r="BI269" s="71">
        <f t="shared" ca="1" si="289"/>
        <v>1330208.1466124975</v>
      </c>
      <c r="BJ269" s="71">
        <f t="shared" ca="1" si="289"/>
        <v>1330208.1466124975</v>
      </c>
      <c r="BK269" s="71">
        <f t="shared" ca="1" si="289"/>
        <v>1330208.1466124975</v>
      </c>
      <c r="BL269" s="71">
        <f t="shared" ca="1" si="289"/>
        <v>1330208.1466124975</v>
      </c>
      <c r="BM269" s="71">
        <f t="shared" ca="1" si="289"/>
        <v>1330208.1466124975</v>
      </c>
      <c r="BN269" s="71"/>
      <c r="BO269" s="71">
        <f ca="1">NPV(Lookups!$E$17,AM269:BM269)</f>
        <v>29143265.934031136</v>
      </c>
      <c r="BP269" s="71"/>
      <c r="BS269" s="84" t="s">
        <v>229</v>
      </c>
      <c r="BT269" s="51" t="s">
        <v>17</v>
      </c>
    </row>
    <row r="270" spans="1:72" x14ac:dyDescent="0.25">
      <c r="A270" s="1"/>
      <c r="B270" s="243" t="str">
        <f t="shared" si="287"/>
        <v>Large C&amp;I</v>
      </c>
      <c r="C270" s="243" t="str">
        <f t="shared" si="287"/>
        <v>Revenue Requirements</v>
      </c>
      <c r="D270" s="244" t="str">
        <f>D269</f>
        <v>Revenue Requirement after DSM Scenario</v>
      </c>
      <c r="E270" s="84" t="s">
        <v>407</v>
      </c>
      <c r="F270" s="84" t="s">
        <v>32</v>
      </c>
      <c r="G270" s="64">
        <f>G259</f>
        <v>58569.706709441074</v>
      </c>
      <c r="H270" s="64">
        <f t="shared" ref="H270:AG270" si="290">H259</f>
        <v>58569.706709441074</v>
      </c>
      <c r="I270" s="64">
        <f t="shared" si="290"/>
        <v>58569.706709441074</v>
      </c>
      <c r="J270" s="64">
        <f t="shared" si="290"/>
        <v>58569.706709441074</v>
      </c>
      <c r="K270" s="64">
        <f t="shared" si="290"/>
        <v>58569.706709441074</v>
      </c>
      <c r="L270" s="64">
        <f t="shared" si="290"/>
        <v>58569.706709441074</v>
      </c>
      <c r="M270" s="64">
        <f t="shared" si="290"/>
        <v>58569.706709441074</v>
      </c>
      <c r="N270" s="64">
        <f t="shared" si="290"/>
        <v>58569.706709441074</v>
      </c>
      <c r="O270" s="64">
        <f t="shared" si="290"/>
        <v>58569.706709441074</v>
      </c>
      <c r="P270" s="64">
        <f t="shared" si="290"/>
        <v>58569.706709441074</v>
      </c>
      <c r="Q270" s="64">
        <f t="shared" si="290"/>
        <v>58569.706709441074</v>
      </c>
      <c r="R270" s="64">
        <f t="shared" si="290"/>
        <v>58569.706709441074</v>
      </c>
      <c r="S270" s="64">
        <f t="shared" si="290"/>
        <v>58569.706709441074</v>
      </c>
      <c r="T270" s="64">
        <f t="shared" si="290"/>
        <v>58569.706709441074</v>
      </c>
      <c r="U270" s="64">
        <f t="shared" si="290"/>
        <v>58569.706709441074</v>
      </c>
      <c r="V270" s="64">
        <f t="shared" si="290"/>
        <v>58569.706709441074</v>
      </c>
      <c r="W270" s="64">
        <f t="shared" si="290"/>
        <v>58569.706709441074</v>
      </c>
      <c r="X270" s="64">
        <f t="shared" si="290"/>
        <v>58569.706709441074</v>
      </c>
      <c r="Y270" s="64">
        <f t="shared" si="290"/>
        <v>58569.706709441074</v>
      </c>
      <c r="Z270" s="64">
        <f t="shared" si="290"/>
        <v>58569.706709441074</v>
      </c>
      <c r="AA270" s="64">
        <f t="shared" si="290"/>
        <v>58569.706709441074</v>
      </c>
      <c r="AB270" s="64">
        <f t="shared" si="290"/>
        <v>58569.706709441074</v>
      </c>
      <c r="AC270" s="64">
        <f t="shared" si="290"/>
        <v>58569.706709441074</v>
      </c>
      <c r="AD270" s="64">
        <f t="shared" si="290"/>
        <v>58569.706709441074</v>
      </c>
      <c r="AE270" s="64">
        <f t="shared" si="290"/>
        <v>58569.706709441074</v>
      </c>
      <c r="AF270" s="64">
        <f t="shared" si="290"/>
        <v>58569.706709441074</v>
      </c>
      <c r="AG270" s="64">
        <f t="shared" si="290"/>
        <v>58569.706709441074</v>
      </c>
      <c r="AH270" s="64"/>
      <c r="AI270" s="64">
        <f>NPV(Lookups!$E$17,G270:AG270)</f>
        <v>1306885.6701480052</v>
      </c>
      <c r="AJ270" s="64"/>
      <c r="AM270" s="71">
        <f>AM259</f>
        <v>58569.706709441074</v>
      </c>
      <c r="AN270" s="71">
        <f t="shared" ref="AN270:BM270" si="291">AN259</f>
        <v>58569.706709441074</v>
      </c>
      <c r="AO270" s="71">
        <f t="shared" si="291"/>
        <v>58569.706709441074</v>
      </c>
      <c r="AP270" s="71">
        <f t="shared" si="291"/>
        <v>58569.706709441074</v>
      </c>
      <c r="AQ270" s="71">
        <f t="shared" si="291"/>
        <v>58569.706709441074</v>
      </c>
      <c r="AR270" s="71">
        <f t="shared" si="291"/>
        <v>58569.706709441074</v>
      </c>
      <c r="AS270" s="71">
        <f t="shared" si="291"/>
        <v>58569.706709441074</v>
      </c>
      <c r="AT270" s="71">
        <f t="shared" si="291"/>
        <v>58569.706709441074</v>
      </c>
      <c r="AU270" s="71">
        <f t="shared" si="291"/>
        <v>58569.706709441074</v>
      </c>
      <c r="AV270" s="71">
        <f t="shared" si="291"/>
        <v>58569.706709441074</v>
      </c>
      <c r="AW270" s="71">
        <f t="shared" si="291"/>
        <v>58569.706709441074</v>
      </c>
      <c r="AX270" s="71">
        <f t="shared" si="291"/>
        <v>58569.706709441074</v>
      </c>
      <c r="AY270" s="71">
        <f t="shared" si="291"/>
        <v>58569.706709441074</v>
      </c>
      <c r="AZ270" s="71">
        <f t="shared" si="291"/>
        <v>58569.706709441074</v>
      </c>
      <c r="BA270" s="71">
        <f t="shared" si="291"/>
        <v>58569.706709441074</v>
      </c>
      <c r="BB270" s="71">
        <f t="shared" si="291"/>
        <v>58569.706709441074</v>
      </c>
      <c r="BC270" s="71">
        <f t="shared" si="291"/>
        <v>58569.706709441074</v>
      </c>
      <c r="BD270" s="71">
        <f t="shared" si="291"/>
        <v>58569.706709441074</v>
      </c>
      <c r="BE270" s="71">
        <f t="shared" si="291"/>
        <v>58569.706709441074</v>
      </c>
      <c r="BF270" s="71">
        <f t="shared" si="291"/>
        <v>58569.706709441074</v>
      </c>
      <c r="BG270" s="71">
        <f t="shared" si="291"/>
        <v>58569.706709441074</v>
      </c>
      <c r="BH270" s="71">
        <f t="shared" si="291"/>
        <v>58569.706709441074</v>
      </c>
      <c r="BI270" s="71">
        <f t="shared" si="291"/>
        <v>58569.706709441074</v>
      </c>
      <c r="BJ270" s="71">
        <f t="shared" si="291"/>
        <v>58569.706709441074</v>
      </c>
      <c r="BK270" s="71">
        <f t="shared" si="291"/>
        <v>58569.706709441074</v>
      </c>
      <c r="BL270" s="71">
        <f t="shared" si="291"/>
        <v>58569.706709441074</v>
      </c>
      <c r="BM270" s="71">
        <f t="shared" si="291"/>
        <v>58569.706709441074</v>
      </c>
      <c r="BN270" s="71"/>
      <c r="BO270" s="71">
        <f>NPV(Lookups!$E$17,AM270:BM270)</f>
        <v>1306885.6701480052</v>
      </c>
      <c r="BP270" s="71"/>
      <c r="BS270" s="84" t="s">
        <v>230</v>
      </c>
      <c r="BT270" s="51" t="s">
        <v>17</v>
      </c>
    </row>
    <row r="271" spans="1:72" x14ac:dyDescent="0.25">
      <c r="A271" s="1"/>
      <c r="B271" s="243" t="str">
        <f>B269</f>
        <v>Large C&amp;I</v>
      </c>
      <c r="C271" s="243" t="str">
        <f>C269</f>
        <v>Revenue Requirements</v>
      </c>
      <c r="D271" s="244" t="str">
        <f>D269</f>
        <v>Revenue Requirement after DSM Scenario</v>
      </c>
      <c r="E271" s="84" t="s">
        <v>197</v>
      </c>
      <c r="F271" s="84" t="s">
        <v>32</v>
      </c>
      <c r="G271" s="64">
        <f ca="1">G260-G262-G264</f>
        <v>6315149.7062604707</v>
      </c>
      <c r="H271" s="64">
        <f t="shared" ref="H271:AG271" ca="1" si="292">H260-H262-H264</f>
        <v>6315149.7062604707</v>
      </c>
      <c r="I271" s="64">
        <f t="shared" ca="1" si="292"/>
        <v>6315149.7062604707</v>
      </c>
      <c r="J271" s="64">
        <f t="shared" ca="1" si="292"/>
        <v>6315149.7062604707</v>
      </c>
      <c r="K271" s="64">
        <f t="shared" ca="1" si="292"/>
        <v>6315149.7062604707</v>
      </c>
      <c r="L271" s="64">
        <f t="shared" ca="1" si="292"/>
        <v>6315149.7062604707</v>
      </c>
      <c r="M271" s="64">
        <f t="shared" ca="1" si="292"/>
        <v>6315149.7062604707</v>
      </c>
      <c r="N271" s="64">
        <f t="shared" ca="1" si="292"/>
        <v>6315149.7062604707</v>
      </c>
      <c r="O271" s="64">
        <f t="shared" ca="1" si="292"/>
        <v>6315149.7062604707</v>
      </c>
      <c r="P271" s="64">
        <f t="shared" ca="1" si="292"/>
        <v>6315149.7062604707</v>
      </c>
      <c r="Q271" s="64">
        <f t="shared" ca="1" si="292"/>
        <v>6315149.7062604707</v>
      </c>
      <c r="R271" s="64">
        <f t="shared" ca="1" si="292"/>
        <v>6315149.7062604707</v>
      </c>
      <c r="S271" s="64">
        <f t="shared" ca="1" si="292"/>
        <v>6315149.7062604707</v>
      </c>
      <c r="T271" s="64">
        <f t="shared" ca="1" si="292"/>
        <v>6972047.7794507705</v>
      </c>
      <c r="U271" s="64">
        <f t="shared" ca="1" si="292"/>
        <v>6972047.7794507705</v>
      </c>
      <c r="V271" s="64">
        <f t="shared" ca="1" si="292"/>
        <v>6972047.7794507705</v>
      </c>
      <c r="W271" s="64">
        <f t="shared" ca="1" si="292"/>
        <v>6972047.7794507705</v>
      </c>
      <c r="X271" s="64">
        <f t="shared" ca="1" si="292"/>
        <v>6972047.7794507705</v>
      </c>
      <c r="Y271" s="64">
        <f t="shared" ca="1" si="292"/>
        <v>6972047.7794507705</v>
      </c>
      <c r="Z271" s="64">
        <f t="shared" ca="1" si="292"/>
        <v>6972047.7794507705</v>
      </c>
      <c r="AA271" s="64">
        <f t="shared" ca="1" si="292"/>
        <v>6972047.7794507705</v>
      </c>
      <c r="AB271" s="64">
        <f t="shared" ca="1" si="292"/>
        <v>6972047.7794507705</v>
      </c>
      <c r="AC271" s="64">
        <f t="shared" ca="1" si="292"/>
        <v>6972047.7794507705</v>
      </c>
      <c r="AD271" s="64">
        <f t="shared" ca="1" si="292"/>
        <v>6972047.7794507705</v>
      </c>
      <c r="AE271" s="64">
        <f t="shared" ca="1" si="292"/>
        <v>6972047.7794507705</v>
      </c>
      <c r="AF271" s="64">
        <f t="shared" ca="1" si="292"/>
        <v>6972047.7794507705</v>
      </c>
      <c r="AG271" s="64">
        <f t="shared" ca="1" si="292"/>
        <v>6972047.7794507705</v>
      </c>
      <c r="AH271" s="64"/>
      <c r="AI271" s="64">
        <f ca="1">NPV(Lookups!$E$17,G271:AG271)</f>
        <v>147818913.79558226</v>
      </c>
      <c r="AJ271" s="64"/>
      <c r="AM271" s="71">
        <f ca="1">AM260-AM262-AM264</f>
        <v>6221307.1243761415</v>
      </c>
      <c r="AN271" s="71">
        <f t="shared" ref="AN271:BM271" ca="1" si="293">AN260-AN262-AN264</f>
        <v>6221307.1243761415</v>
      </c>
      <c r="AO271" s="71">
        <f t="shared" ca="1" si="293"/>
        <v>6221307.1243761415</v>
      </c>
      <c r="AP271" s="71">
        <f t="shared" ca="1" si="293"/>
        <v>6221307.1243761415</v>
      </c>
      <c r="AQ271" s="71">
        <f t="shared" ca="1" si="293"/>
        <v>6221307.1243761415</v>
      </c>
      <c r="AR271" s="71">
        <f t="shared" ca="1" si="293"/>
        <v>6221307.1243761415</v>
      </c>
      <c r="AS271" s="71">
        <f t="shared" ca="1" si="293"/>
        <v>6221307.1243761415</v>
      </c>
      <c r="AT271" s="71">
        <f t="shared" ca="1" si="293"/>
        <v>6221307.1243761415</v>
      </c>
      <c r="AU271" s="71">
        <f t="shared" ca="1" si="293"/>
        <v>6221307.1243761415</v>
      </c>
      <c r="AV271" s="71">
        <f t="shared" ca="1" si="293"/>
        <v>6221307.1243761415</v>
      </c>
      <c r="AW271" s="71">
        <f t="shared" ca="1" si="293"/>
        <v>6221307.1243761415</v>
      </c>
      <c r="AX271" s="71">
        <f t="shared" ca="1" si="293"/>
        <v>6221307.1243761415</v>
      </c>
      <c r="AY271" s="71">
        <f t="shared" ca="1" si="293"/>
        <v>6221307.1243761415</v>
      </c>
      <c r="AZ271" s="71">
        <f t="shared" ca="1" si="293"/>
        <v>6972047.7794507705</v>
      </c>
      <c r="BA271" s="71">
        <f t="shared" ca="1" si="293"/>
        <v>6972047.7794507705</v>
      </c>
      <c r="BB271" s="71">
        <f t="shared" ca="1" si="293"/>
        <v>6972047.7794507705</v>
      </c>
      <c r="BC271" s="71">
        <f t="shared" ca="1" si="293"/>
        <v>6972047.7794507705</v>
      </c>
      <c r="BD271" s="71">
        <f t="shared" ca="1" si="293"/>
        <v>6972047.7794507705</v>
      </c>
      <c r="BE271" s="71">
        <f t="shared" ca="1" si="293"/>
        <v>6972047.7794507705</v>
      </c>
      <c r="BF271" s="71">
        <f t="shared" ca="1" si="293"/>
        <v>6972047.7794507705</v>
      </c>
      <c r="BG271" s="71">
        <f t="shared" ca="1" si="293"/>
        <v>6972047.7794507705</v>
      </c>
      <c r="BH271" s="71">
        <f t="shared" ca="1" si="293"/>
        <v>6972047.7794507705</v>
      </c>
      <c r="BI271" s="71">
        <f t="shared" ca="1" si="293"/>
        <v>6972047.7794507705</v>
      </c>
      <c r="BJ271" s="71">
        <f t="shared" ca="1" si="293"/>
        <v>6972047.7794507705</v>
      </c>
      <c r="BK271" s="71">
        <f t="shared" ca="1" si="293"/>
        <v>6972047.7794507705</v>
      </c>
      <c r="BL271" s="71">
        <f t="shared" ca="1" si="293"/>
        <v>6972047.7794507705</v>
      </c>
      <c r="BM271" s="71">
        <f t="shared" ca="1" si="293"/>
        <v>6972047.7794507705</v>
      </c>
      <c r="BN271" s="71"/>
      <c r="BO271" s="71">
        <f ca="1">NPV(Lookups!$E$17,AM271:BM271)</f>
        <v>146711664.39765403</v>
      </c>
      <c r="BP271" s="71"/>
      <c r="BS271" s="84" t="s">
        <v>231</v>
      </c>
      <c r="BT271" s="51" t="s">
        <v>17</v>
      </c>
    </row>
    <row r="272" spans="1:72" x14ac:dyDescent="0.25">
      <c r="B272" s="243" t="str">
        <f t="shared" ref="B272:C276" si="294">B271</f>
        <v>Large C&amp;I</v>
      </c>
      <c r="C272" s="243" t="str">
        <f t="shared" si="294"/>
        <v>Revenue Requirements</v>
      </c>
      <c r="D272" s="244"/>
      <c r="E272" s="84" t="s">
        <v>17</v>
      </c>
      <c r="F272" s="84"/>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S272" s="84"/>
      <c r="BT272" s="51" t="s">
        <v>17</v>
      </c>
    </row>
    <row r="273" spans="1:72" s="5" customFormat="1" ht="15.75" x14ac:dyDescent="0.25">
      <c r="A273" s="52"/>
      <c r="B273" s="241" t="str">
        <f t="shared" si="294"/>
        <v>Large C&amp;I</v>
      </c>
      <c r="C273" s="63" t="s">
        <v>30</v>
      </c>
      <c r="D273" s="61"/>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2"/>
      <c r="BO273" s="62"/>
      <c r="BP273" s="62"/>
      <c r="BS273" s="62"/>
      <c r="BT273" s="51" t="s">
        <v>17</v>
      </c>
    </row>
    <row r="274" spans="1:72" x14ac:dyDescent="0.25">
      <c r="B274" s="243" t="str">
        <f t="shared" si="294"/>
        <v>Large C&amp;I</v>
      </c>
      <c r="C274" s="243" t="str">
        <f t="shared" si="294"/>
        <v>Rates</v>
      </c>
      <c r="D274" s="114" t="str">
        <f>"Rates before DSM ("&amp;Lookups!$D$22&amp;" Scenario)"</f>
        <v>Rates before DSM (No EE Scenario)</v>
      </c>
      <c r="E274" s="84"/>
      <c r="F274" s="8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S274" s="84"/>
      <c r="BT274" s="51" t="s">
        <v>17</v>
      </c>
    </row>
    <row r="275" spans="1:72" x14ac:dyDescent="0.25">
      <c r="B275" s="243" t="str">
        <f t="shared" si="294"/>
        <v>Large C&amp;I</v>
      </c>
      <c r="C275" s="243" t="str">
        <f t="shared" si="294"/>
        <v>Rates</v>
      </c>
      <c r="D275" s="244" t="str">
        <f>D274</f>
        <v>Rates before DSM (No EE Scenario)</v>
      </c>
      <c r="E275" s="84" t="s">
        <v>26</v>
      </c>
      <c r="F275" s="84" t="s">
        <v>182</v>
      </c>
      <c r="G275" s="506">
        <f>IF(G$8=0,0,INDEX('R&amp;B Inputs'!$I$78:$V$78,MATCH($B275,'R&amp;B Inputs'!$I$4:$V$4,0))*(1+INDEX('R&amp;B Inputs'!$I$48:$V$48,MATCH($B275,'R&amp;B Inputs'!$I$4:$V$4,0)))^(G$7-Year1))</f>
        <v>0.1181</v>
      </c>
      <c r="H275" s="506">
        <f>IF(H$8=0,0,INDEX('R&amp;B Inputs'!$I$78:$V$78,MATCH($B275,'R&amp;B Inputs'!$I$4:$V$4,0))*(1+INDEX('R&amp;B Inputs'!$I$48:$V$48,MATCH($B275,'R&amp;B Inputs'!$I$4:$V$4,0)))^(H$7-Year1))</f>
        <v>0.1181</v>
      </c>
      <c r="I275" s="506">
        <f>IF(I$8=0,0,INDEX('R&amp;B Inputs'!$I$78:$V$78,MATCH($B275,'R&amp;B Inputs'!$I$4:$V$4,0))*(1+INDEX('R&amp;B Inputs'!$I$48:$V$48,MATCH($B275,'R&amp;B Inputs'!$I$4:$V$4,0)))^(I$7-Year1))</f>
        <v>0.1181</v>
      </c>
      <c r="J275" s="506">
        <f>IF(J$8=0,0,INDEX('R&amp;B Inputs'!$I$78:$V$78,MATCH($B275,'R&amp;B Inputs'!$I$4:$V$4,0))*(1+INDEX('R&amp;B Inputs'!$I$48:$V$48,MATCH($B275,'R&amp;B Inputs'!$I$4:$V$4,0)))^(J$7-Year1))</f>
        <v>0.1181</v>
      </c>
      <c r="K275" s="506">
        <f>IF(K$8=0,0,INDEX('R&amp;B Inputs'!$I$78:$V$78,MATCH($B275,'R&amp;B Inputs'!$I$4:$V$4,0))*(1+INDEX('R&amp;B Inputs'!$I$48:$V$48,MATCH($B275,'R&amp;B Inputs'!$I$4:$V$4,0)))^(K$7-Year1))</f>
        <v>0.1181</v>
      </c>
      <c r="L275" s="506">
        <f>IF(L$8=0,0,INDEX('R&amp;B Inputs'!$I$78:$V$78,MATCH($B275,'R&amp;B Inputs'!$I$4:$V$4,0))*(1+INDEX('R&amp;B Inputs'!$I$48:$V$48,MATCH($B275,'R&amp;B Inputs'!$I$4:$V$4,0)))^(L$7-Year1))</f>
        <v>0.1181</v>
      </c>
      <c r="M275" s="506">
        <f>IF(M$8=0,0,INDEX('R&amp;B Inputs'!$I$78:$V$78,MATCH($B275,'R&amp;B Inputs'!$I$4:$V$4,0))*(1+INDEX('R&amp;B Inputs'!$I$48:$V$48,MATCH($B275,'R&amp;B Inputs'!$I$4:$V$4,0)))^(M$7-Year1))</f>
        <v>0.1181</v>
      </c>
      <c r="N275" s="506">
        <f>IF(N$8=0,0,INDEX('R&amp;B Inputs'!$I$78:$V$78,MATCH($B275,'R&amp;B Inputs'!$I$4:$V$4,0))*(1+INDEX('R&amp;B Inputs'!$I$48:$V$48,MATCH($B275,'R&amp;B Inputs'!$I$4:$V$4,0)))^(N$7-Year1))</f>
        <v>0.1181</v>
      </c>
      <c r="O275" s="506">
        <f>IF(O$8=0,0,INDEX('R&amp;B Inputs'!$I$78:$V$78,MATCH($B275,'R&amp;B Inputs'!$I$4:$V$4,0))*(1+INDEX('R&amp;B Inputs'!$I$48:$V$48,MATCH($B275,'R&amp;B Inputs'!$I$4:$V$4,0)))^(O$7-Year1))</f>
        <v>0.1181</v>
      </c>
      <c r="P275" s="506">
        <f>IF(P$8=0,0,INDEX('R&amp;B Inputs'!$I$78:$V$78,MATCH($B275,'R&amp;B Inputs'!$I$4:$V$4,0))*(1+INDEX('R&amp;B Inputs'!$I$48:$V$48,MATCH($B275,'R&amp;B Inputs'!$I$4:$V$4,0)))^(P$7-Year1))</f>
        <v>0.1181</v>
      </c>
      <c r="Q275" s="506">
        <f>IF(Q$8=0,0,INDEX('R&amp;B Inputs'!$I$78:$V$78,MATCH($B275,'R&amp;B Inputs'!$I$4:$V$4,0))*(1+INDEX('R&amp;B Inputs'!$I$48:$V$48,MATCH($B275,'R&amp;B Inputs'!$I$4:$V$4,0)))^(Q$7-Year1))</f>
        <v>0.1181</v>
      </c>
      <c r="R275" s="506">
        <f>IF(R$8=0,0,INDEX('R&amp;B Inputs'!$I$78:$V$78,MATCH($B275,'R&amp;B Inputs'!$I$4:$V$4,0))*(1+INDEX('R&amp;B Inputs'!$I$48:$V$48,MATCH($B275,'R&amp;B Inputs'!$I$4:$V$4,0)))^(R$7-Year1))</f>
        <v>0.1181</v>
      </c>
      <c r="S275" s="506">
        <f>IF(S$8=0,0,INDEX('R&amp;B Inputs'!$I$78:$V$78,MATCH($B275,'R&amp;B Inputs'!$I$4:$V$4,0))*(1+INDEX('R&amp;B Inputs'!$I$48:$V$48,MATCH($B275,'R&amp;B Inputs'!$I$4:$V$4,0)))^(S$7-Year1))</f>
        <v>0.1181</v>
      </c>
      <c r="T275" s="506">
        <f>IF(T$8=0,0,INDEX('R&amp;B Inputs'!$I$78:$V$78,MATCH($B275,'R&amp;B Inputs'!$I$4:$V$4,0))*(1+INDEX('R&amp;B Inputs'!$I$48:$V$48,MATCH($B275,'R&amp;B Inputs'!$I$4:$V$4,0)))^(T$7-Year1))</f>
        <v>0.1181</v>
      </c>
      <c r="U275" s="506">
        <f>IF(U$8=0,0,INDEX('R&amp;B Inputs'!$I$78:$V$78,MATCH($B275,'R&amp;B Inputs'!$I$4:$V$4,0))*(1+INDEX('R&amp;B Inputs'!$I$48:$V$48,MATCH($B275,'R&amp;B Inputs'!$I$4:$V$4,0)))^(U$7-Year1))</f>
        <v>0.1181</v>
      </c>
      <c r="V275" s="506">
        <f>IF(V$8=0,0,INDEX('R&amp;B Inputs'!$I$78:$V$78,MATCH($B275,'R&amp;B Inputs'!$I$4:$V$4,0))*(1+INDEX('R&amp;B Inputs'!$I$48:$V$48,MATCH($B275,'R&amp;B Inputs'!$I$4:$V$4,0)))^(V$7-Year1))</f>
        <v>0.1181</v>
      </c>
      <c r="W275" s="506">
        <f>IF(W$8=0,0,INDEX('R&amp;B Inputs'!$I$78:$V$78,MATCH($B275,'R&amp;B Inputs'!$I$4:$V$4,0))*(1+INDEX('R&amp;B Inputs'!$I$48:$V$48,MATCH($B275,'R&amp;B Inputs'!$I$4:$V$4,0)))^(W$7-Year1))</f>
        <v>0.1181</v>
      </c>
      <c r="X275" s="506">
        <f>IF(X$8=0,0,INDEX('R&amp;B Inputs'!$I$78:$V$78,MATCH($B275,'R&amp;B Inputs'!$I$4:$V$4,0))*(1+INDEX('R&amp;B Inputs'!$I$48:$V$48,MATCH($B275,'R&amp;B Inputs'!$I$4:$V$4,0)))^(X$7-Year1))</f>
        <v>0.1181</v>
      </c>
      <c r="Y275" s="506">
        <f>IF(Y$8=0,0,INDEX('R&amp;B Inputs'!$I$78:$V$78,MATCH($B275,'R&amp;B Inputs'!$I$4:$V$4,0))*(1+INDEX('R&amp;B Inputs'!$I$48:$V$48,MATCH($B275,'R&amp;B Inputs'!$I$4:$V$4,0)))^(Y$7-Year1))</f>
        <v>0.1181</v>
      </c>
      <c r="Z275" s="506">
        <f>IF(Z$8=0,0,INDEX('R&amp;B Inputs'!$I$78:$V$78,MATCH($B275,'R&amp;B Inputs'!$I$4:$V$4,0))*(1+INDEX('R&amp;B Inputs'!$I$48:$V$48,MATCH($B275,'R&amp;B Inputs'!$I$4:$V$4,0)))^(Z$7-Year1))</f>
        <v>0.1181</v>
      </c>
      <c r="AA275" s="506">
        <f>IF(AA$8=0,0,INDEX('R&amp;B Inputs'!$I$78:$V$78,MATCH($B275,'R&amp;B Inputs'!$I$4:$V$4,0))*(1+INDEX('R&amp;B Inputs'!$I$48:$V$48,MATCH($B275,'R&amp;B Inputs'!$I$4:$V$4,0)))^(AA$7-Year1))</f>
        <v>0.1181</v>
      </c>
      <c r="AB275" s="506">
        <f>IF(AB$8=0,0,INDEX('R&amp;B Inputs'!$I$78:$V$78,MATCH($B275,'R&amp;B Inputs'!$I$4:$V$4,0))*(1+INDEX('R&amp;B Inputs'!$I$48:$V$48,MATCH($B275,'R&amp;B Inputs'!$I$4:$V$4,0)))^(AB$7-Year1))</f>
        <v>0.1181</v>
      </c>
      <c r="AC275" s="506">
        <f>IF(AC$8=0,0,INDEX('R&amp;B Inputs'!$I$78:$V$78,MATCH($B275,'R&amp;B Inputs'!$I$4:$V$4,0))*(1+INDEX('R&amp;B Inputs'!$I$48:$V$48,MATCH($B275,'R&amp;B Inputs'!$I$4:$V$4,0)))^(AC$7-Year1))</f>
        <v>0.1181</v>
      </c>
      <c r="AD275" s="506">
        <f>IF(AD$8=0,0,INDEX('R&amp;B Inputs'!$I$78:$V$78,MATCH($B275,'R&amp;B Inputs'!$I$4:$V$4,0))*(1+INDEX('R&amp;B Inputs'!$I$48:$V$48,MATCH($B275,'R&amp;B Inputs'!$I$4:$V$4,0)))^(AD$7-Year1))</f>
        <v>0.1181</v>
      </c>
      <c r="AE275" s="506">
        <f>IF(AE$8=0,0,INDEX('R&amp;B Inputs'!$I$78:$V$78,MATCH($B275,'R&amp;B Inputs'!$I$4:$V$4,0))*(1+INDEX('R&amp;B Inputs'!$I$48:$V$48,MATCH($B275,'R&amp;B Inputs'!$I$4:$V$4,0)))^(AE$7-Year1))</f>
        <v>0.1181</v>
      </c>
      <c r="AF275" s="506">
        <f>IF(AF$8=0,0,INDEX('R&amp;B Inputs'!$I$78:$V$78,MATCH($B275,'R&amp;B Inputs'!$I$4:$V$4,0))*(1+INDEX('R&amp;B Inputs'!$I$48:$V$48,MATCH($B275,'R&amp;B Inputs'!$I$4:$V$4,0)))^(AF$7-Year1))</f>
        <v>0.1181</v>
      </c>
      <c r="AG275" s="506">
        <f>IF(AG$8=0,0,INDEX('R&amp;B Inputs'!$I$78:$V$78,MATCH($B275,'R&amp;B Inputs'!$I$4:$V$4,0))*(1+INDEX('R&amp;B Inputs'!$I$48:$V$48,MATCH($B275,'R&amp;B Inputs'!$I$4:$V$4,0)))^(AG$7-Year1))</f>
        <v>0.1181</v>
      </c>
      <c r="AH275" s="506"/>
      <c r="AI275" s="506"/>
      <c r="AJ275" s="506">
        <f>IF($C$4=Year1,-PMT(Lookups!$E$17,25,NPV(Lookups!$E$17,G275:AE275),0,1),IF($C$4=Year2,-PMT(Lookups!$F$17,25,NPV(Lookups!$F$17,H275:AF275),0,1),IF($C$4=Year3,-PMT(Lookups!$G$17,25,NPV(Lookups!$G$17,I275:AG275),0,1),-PMT(Lookups!$G$17,27,NPV(Lookups!$G$17,G275:AG275),0,1))))</f>
        <v>0.11645289104116224</v>
      </c>
      <c r="AK275" s="507"/>
      <c r="AL275" s="507"/>
      <c r="AM275" s="508">
        <f>IF(AM$8=0,0,INDEX('R&amp;B Inputs'!$I$78:$V$78,MATCH($B275,'R&amp;B Inputs'!$I$4:$V$4,0))*(1+INDEX('R&amp;B Inputs'!$I$48:$V$48,MATCH($B275,'R&amp;B Inputs'!$I$4:$V$4,0)))^(AM$7-Year1))</f>
        <v>0.1181</v>
      </c>
      <c r="AN275" s="508">
        <f>IF(AN$8=0,0,INDEX('R&amp;B Inputs'!$I$78:$V$78,MATCH($B275,'R&amp;B Inputs'!$I$4:$V$4,0))*(1+INDEX('R&amp;B Inputs'!$I$48:$V$48,MATCH($B275,'R&amp;B Inputs'!$I$4:$V$4,0)))^(AN$7-Year1))</f>
        <v>0.1181</v>
      </c>
      <c r="AO275" s="508">
        <f>IF(AO$8=0,0,INDEX('R&amp;B Inputs'!$I$78:$V$78,MATCH($B275,'R&amp;B Inputs'!$I$4:$V$4,0))*(1+INDEX('R&amp;B Inputs'!$I$48:$V$48,MATCH($B275,'R&amp;B Inputs'!$I$4:$V$4,0)))^(AO$7-Year1))</f>
        <v>0.1181</v>
      </c>
      <c r="AP275" s="508">
        <f>IF(AP$8=0,0,INDEX('R&amp;B Inputs'!$I$78:$V$78,MATCH($B275,'R&amp;B Inputs'!$I$4:$V$4,0))*(1+INDEX('R&amp;B Inputs'!$I$48:$V$48,MATCH($B275,'R&amp;B Inputs'!$I$4:$V$4,0)))^(AP$7-Year1))</f>
        <v>0.1181</v>
      </c>
      <c r="AQ275" s="508">
        <f>IF(AQ$8=0,0,INDEX('R&amp;B Inputs'!$I$78:$V$78,MATCH($B275,'R&amp;B Inputs'!$I$4:$V$4,0))*(1+INDEX('R&amp;B Inputs'!$I$48:$V$48,MATCH($B275,'R&amp;B Inputs'!$I$4:$V$4,0)))^(AQ$7-Year1))</f>
        <v>0.1181</v>
      </c>
      <c r="AR275" s="508">
        <f>IF(AR$8=0,0,INDEX('R&amp;B Inputs'!$I$78:$V$78,MATCH($B275,'R&amp;B Inputs'!$I$4:$V$4,0))*(1+INDEX('R&amp;B Inputs'!$I$48:$V$48,MATCH($B275,'R&amp;B Inputs'!$I$4:$V$4,0)))^(AR$7-Year1))</f>
        <v>0.1181</v>
      </c>
      <c r="AS275" s="508">
        <f>IF(AS$8=0,0,INDEX('R&amp;B Inputs'!$I$78:$V$78,MATCH($B275,'R&amp;B Inputs'!$I$4:$V$4,0))*(1+INDEX('R&amp;B Inputs'!$I$48:$V$48,MATCH($B275,'R&amp;B Inputs'!$I$4:$V$4,0)))^(AS$7-Year1))</f>
        <v>0.1181</v>
      </c>
      <c r="AT275" s="508">
        <f>IF(AT$8=0,0,INDEX('R&amp;B Inputs'!$I$78:$V$78,MATCH($B275,'R&amp;B Inputs'!$I$4:$V$4,0))*(1+INDEX('R&amp;B Inputs'!$I$48:$V$48,MATCH($B275,'R&amp;B Inputs'!$I$4:$V$4,0)))^(AT$7-Year1))</f>
        <v>0.1181</v>
      </c>
      <c r="AU275" s="508">
        <f>IF(AU$8=0,0,INDEX('R&amp;B Inputs'!$I$78:$V$78,MATCH($B275,'R&amp;B Inputs'!$I$4:$V$4,0))*(1+INDEX('R&amp;B Inputs'!$I$48:$V$48,MATCH($B275,'R&amp;B Inputs'!$I$4:$V$4,0)))^(AU$7-Year1))</f>
        <v>0.1181</v>
      </c>
      <c r="AV275" s="508">
        <f>IF(AV$8=0,0,INDEX('R&amp;B Inputs'!$I$78:$V$78,MATCH($B275,'R&amp;B Inputs'!$I$4:$V$4,0))*(1+INDEX('R&amp;B Inputs'!$I$48:$V$48,MATCH($B275,'R&amp;B Inputs'!$I$4:$V$4,0)))^(AV$7-Year1))</f>
        <v>0.1181</v>
      </c>
      <c r="AW275" s="508">
        <f>IF(AW$8=0,0,INDEX('R&amp;B Inputs'!$I$78:$V$78,MATCH($B275,'R&amp;B Inputs'!$I$4:$V$4,0))*(1+INDEX('R&amp;B Inputs'!$I$48:$V$48,MATCH($B275,'R&amp;B Inputs'!$I$4:$V$4,0)))^(AW$7-Year1))</f>
        <v>0.1181</v>
      </c>
      <c r="AX275" s="508">
        <f>IF(AX$8=0,0,INDEX('R&amp;B Inputs'!$I$78:$V$78,MATCH($B275,'R&amp;B Inputs'!$I$4:$V$4,0))*(1+INDEX('R&amp;B Inputs'!$I$48:$V$48,MATCH($B275,'R&amp;B Inputs'!$I$4:$V$4,0)))^(AX$7-Year1))</f>
        <v>0.1181</v>
      </c>
      <c r="AY275" s="508">
        <f>IF(AY$8=0,0,INDEX('R&amp;B Inputs'!$I$78:$V$78,MATCH($B275,'R&amp;B Inputs'!$I$4:$V$4,0))*(1+INDEX('R&amp;B Inputs'!$I$48:$V$48,MATCH($B275,'R&amp;B Inputs'!$I$4:$V$4,0)))^(AY$7-Year1))</f>
        <v>0.1181</v>
      </c>
      <c r="AZ275" s="508">
        <f>IF(AZ$8=0,0,INDEX('R&amp;B Inputs'!$I$78:$V$78,MATCH($B275,'R&amp;B Inputs'!$I$4:$V$4,0))*(1+INDEX('R&amp;B Inputs'!$I$48:$V$48,MATCH($B275,'R&amp;B Inputs'!$I$4:$V$4,0)))^(AZ$7-Year1))</f>
        <v>0.1181</v>
      </c>
      <c r="BA275" s="508">
        <f>IF(BA$8=0,0,INDEX('R&amp;B Inputs'!$I$78:$V$78,MATCH($B275,'R&amp;B Inputs'!$I$4:$V$4,0))*(1+INDEX('R&amp;B Inputs'!$I$48:$V$48,MATCH($B275,'R&amp;B Inputs'!$I$4:$V$4,0)))^(BA$7-Year1))</f>
        <v>0.1181</v>
      </c>
      <c r="BB275" s="508">
        <f>IF(BB$8=0,0,INDEX('R&amp;B Inputs'!$I$78:$V$78,MATCH($B275,'R&amp;B Inputs'!$I$4:$V$4,0))*(1+INDEX('R&amp;B Inputs'!$I$48:$V$48,MATCH($B275,'R&amp;B Inputs'!$I$4:$V$4,0)))^(BB$7-Year1))</f>
        <v>0.1181</v>
      </c>
      <c r="BC275" s="508">
        <f>IF(BC$8=0,0,INDEX('R&amp;B Inputs'!$I$78:$V$78,MATCH($B275,'R&amp;B Inputs'!$I$4:$V$4,0))*(1+INDEX('R&amp;B Inputs'!$I$48:$V$48,MATCH($B275,'R&amp;B Inputs'!$I$4:$V$4,0)))^(BC$7-Year1))</f>
        <v>0.1181</v>
      </c>
      <c r="BD275" s="508">
        <f>IF(BD$8=0,0,INDEX('R&amp;B Inputs'!$I$78:$V$78,MATCH($B275,'R&amp;B Inputs'!$I$4:$V$4,0))*(1+INDEX('R&amp;B Inputs'!$I$48:$V$48,MATCH($B275,'R&amp;B Inputs'!$I$4:$V$4,0)))^(BD$7-Year1))</f>
        <v>0.1181</v>
      </c>
      <c r="BE275" s="508">
        <f>IF(BE$8=0,0,INDEX('R&amp;B Inputs'!$I$78:$V$78,MATCH($B275,'R&amp;B Inputs'!$I$4:$V$4,0))*(1+INDEX('R&amp;B Inputs'!$I$48:$V$48,MATCH($B275,'R&amp;B Inputs'!$I$4:$V$4,0)))^(BE$7-Year1))</f>
        <v>0.1181</v>
      </c>
      <c r="BF275" s="508">
        <f>IF(BF$8=0,0,INDEX('R&amp;B Inputs'!$I$78:$V$78,MATCH($B275,'R&amp;B Inputs'!$I$4:$V$4,0))*(1+INDEX('R&amp;B Inputs'!$I$48:$V$48,MATCH($B275,'R&amp;B Inputs'!$I$4:$V$4,0)))^(BF$7-Year1))</f>
        <v>0.1181</v>
      </c>
      <c r="BG275" s="508">
        <f>IF(BG$8=0,0,INDEX('R&amp;B Inputs'!$I$78:$V$78,MATCH($B275,'R&amp;B Inputs'!$I$4:$V$4,0))*(1+INDEX('R&amp;B Inputs'!$I$48:$V$48,MATCH($B275,'R&amp;B Inputs'!$I$4:$V$4,0)))^(BG$7-Year1))</f>
        <v>0.1181</v>
      </c>
      <c r="BH275" s="508">
        <f>IF(BH$8=0,0,INDEX('R&amp;B Inputs'!$I$78:$V$78,MATCH($B275,'R&amp;B Inputs'!$I$4:$V$4,0))*(1+INDEX('R&amp;B Inputs'!$I$48:$V$48,MATCH($B275,'R&amp;B Inputs'!$I$4:$V$4,0)))^(BH$7-Year1))</f>
        <v>0.1181</v>
      </c>
      <c r="BI275" s="508">
        <f>IF(BI$8=0,0,INDEX('R&amp;B Inputs'!$I$78:$V$78,MATCH($B275,'R&amp;B Inputs'!$I$4:$V$4,0))*(1+INDEX('R&amp;B Inputs'!$I$48:$V$48,MATCH($B275,'R&amp;B Inputs'!$I$4:$V$4,0)))^(BI$7-Year1))</f>
        <v>0.1181</v>
      </c>
      <c r="BJ275" s="508">
        <f>IF(BJ$8=0,0,INDEX('R&amp;B Inputs'!$I$78:$V$78,MATCH($B275,'R&amp;B Inputs'!$I$4:$V$4,0))*(1+INDEX('R&amp;B Inputs'!$I$48:$V$48,MATCH($B275,'R&amp;B Inputs'!$I$4:$V$4,0)))^(BJ$7-Year1))</f>
        <v>0.1181</v>
      </c>
      <c r="BK275" s="508">
        <f>IF(BK$8=0,0,INDEX('R&amp;B Inputs'!$I$78:$V$78,MATCH($B275,'R&amp;B Inputs'!$I$4:$V$4,0))*(1+INDEX('R&amp;B Inputs'!$I$48:$V$48,MATCH($B275,'R&amp;B Inputs'!$I$4:$V$4,0)))^(BK$7-Year1))</f>
        <v>0.1181</v>
      </c>
      <c r="BL275" s="508">
        <f>IF(BL$8=0,0,INDEX('R&amp;B Inputs'!$I$78:$V$78,MATCH($B275,'R&amp;B Inputs'!$I$4:$V$4,0))*(1+INDEX('R&amp;B Inputs'!$I$48:$V$48,MATCH($B275,'R&amp;B Inputs'!$I$4:$V$4,0)))^(BL$7-Year1))</f>
        <v>0.1181</v>
      </c>
      <c r="BM275" s="508">
        <f>IF(BM$8=0,0,INDEX('R&amp;B Inputs'!$I$78:$V$78,MATCH($B275,'R&amp;B Inputs'!$I$4:$V$4,0))*(1+INDEX('R&amp;B Inputs'!$I$48:$V$48,MATCH($B275,'R&amp;B Inputs'!$I$4:$V$4,0)))^(BM$7-Year1))</f>
        <v>0.1181</v>
      </c>
      <c r="BN275" s="508"/>
      <c r="BO275" s="508"/>
      <c r="BP275" s="508">
        <f>IF($C$4=Year1,-PMT(Lookups!$E$17,25,NPV(Lookups!$E$17,AM275:BK275),0,1),IF($C$4=Year2,-PMT(Lookups!$F$17,25,NPV(Lookups!$F$17,AN275:BL275),0,1),IF($C$4=Year3,-PMT(Lookups!$G$17,25,NPV(Lookups!$G$17,AO275:BM275),0,1),-PMT(Lookups!$G$17,27,NPV(Lookups!$G$17,AM275:BM275),0,1))))</f>
        <v>0.11645289104116224</v>
      </c>
      <c r="BS275" s="76" t="str">
        <f t="shared" ref="BS275:BS277" si="295">E275&amp;" charge from the R&amp;B Inputs tab, escalated annually by the growth rate included on the R&amp;B Inputs tab."</f>
        <v>Distribution charge from the R&amp;B Inputs tab, escalated annually by the growth rate included on the R&amp;B Inputs tab.</v>
      </c>
      <c r="BT275" s="51" t="s">
        <v>17</v>
      </c>
    </row>
    <row r="276" spans="1:72" x14ac:dyDescent="0.25">
      <c r="B276" s="243" t="str">
        <f t="shared" si="294"/>
        <v>Large C&amp;I</v>
      </c>
      <c r="C276" s="243" t="str">
        <f t="shared" si="294"/>
        <v>Rates</v>
      </c>
      <c r="D276" s="244" t="str">
        <f>D275</f>
        <v>Rates before DSM (No EE Scenario)</v>
      </c>
      <c r="E276" s="84" t="s">
        <v>407</v>
      </c>
      <c r="F276" s="84" t="s">
        <v>182</v>
      </c>
      <c r="G276" s="506">
        <f>IF(G$8=0,0,INDEX('R&amp;B Inputs'!$I$82:$V$82,MATCH($B276,'R&amp;B Inputs'!$I$4:$V$4,0))*(1+INDEX('R&amp;B Inputs'!$I$62:$V$62,MATCH($B276,'R&amp;B Inputs'!$I$4:$V$4,0)))^(G$7-Year1))</f>
        <v>5.2000000000000032E-3</v>
      </c>
      <c r="H276" s="506">
        <f>IF(H$8=0,0,INDEX('R&amp;B Inputs'!$I$82:$V$82,MATCH($B276,'R&amp;B Inputs'!$I$4:$V$4,0))*(1+INDEX('R&amp;B Inputs'!$I$62:$V$62,MATCH($B276,'R&amp;B Inputs'!$I$4:$V$4,0)))^(H$7-Year1))</f>
        <v>5.2000000000000032E-3</v>
      </c>
      <c r="I276" s="506">
        <f>IF(I$8=0,0,INDEX('R&amp;B Inputs'!$I$82:$V$82,MATCH($B276,'R&amp;B Inputs'!$I$4:$V$4,0))*(1+INDEX('R&amp;B Inputs'!$I$62:$V$62,MATCH($B276,'R&amp;B Inputs'!$I$4:$V$4,0)))^(I$7-Year1))</f>
        <v>5.2000000000000032E-3</v>
      </c>
      <c r="J276" s="506">
        <f>IF(J$8=0,0,INDEX('R&amp;B Inputs'!$I$82:$V$82,MATCH($B276,'R&amp;B Inputs'!$I$4:$V$4,0))*(1+INDEX('R&amp;B Inputs'!$I$62:$V$62,MATCH($B276,'R&amp;B Inputs'!$I$4:$V$4,0)))^(J$7-Year1))</f>
        <v>5.2000000000000032E-3</v>
      </c>
      <c r="K276" s="506">
        <f>IF(K$8=0,0,INDEX('R&amp;B Inputs'!$I$82:$V$82,MATCH($B276,'R&amp;B Inputs'!$I$4:$V$4,0))*(1+INDEX('R&amp;B Inputs'!$I$62:$V$62,MATCH($B276,'R&amp;B Inputs'!$I$4:$V$4,0)))^(K$7-Year1))</f>
        <v>5.2000000000000032E-3</v>
      </c>
      <c r="L276" s="506">
        <f>IF(L$8=0,0,INDEX('R&amp;B Inputs'!$I$82:$V$82,MATCH($B276,'R&amp;B Inputs'!$I$4:$V$4,0))*(1+INDEX('R&amp;B Inputs'!$I$62:$V$62,MATCH($B276,'R&amp;B Inputs'!$I$4:$V$4,0)))^(L$7-Year1))</f>
        <v>5.2000000000000032E-3</v>
      </c>
      <c r="M276" s="506">
        <f>IF(M$8=0,0,INDEX('R&amp;B Inputs'!$I$82:$V$82,MATCH($B276,'R&amp;B Inputs'!$I$4:$V$4,0))*(1+INDEX('R&amp;B Inputs'!$I$62:$V$62,MATCH($B276,'R&amp;B Inputs'!$I$4:$V$4,0)))^(M$7-Year1))</f>
        <v>5.2000000000000032E-3</v>
      </c>
      <c r="N276" s="506">
        <f>IF(N$8=0,0,INDEX('R&amp;B Inputs'!$I$82:$V$82,MATCH($B276,'R&amp;B Inputs'!$I$4:$V$4,0))*(1+INDEX('R&amp;B Inputs'!$I$62:$V$62,MATCH($B276,'R&amp;B Inputs'!$I$4:$V$4,0)))^(N$7-Year1))</f>
        <v>5.2000000000000032E-3</v>
      </c>
      <c r="O276" s="506">
        <f>IF(O$8=0,0,INDEX('R&amp;B Inputs'!$I$82:$V$82,MATCH($B276,'R&amp;B Inputs'!$I$4:$V$4,0))*(1+INDEX('R&amp;B Inputs'!$I$62:$V$62,MATCH($B276,'R&amp;B Inputs'!$I$4:$V$4,0)))^(O$7-Year1))</f>
        <v>5.2000000000000032E-3</v>
      </c>
      <c r="P276" s="506">
        <f>IF(P$8=0,0,INDEX('R&amp;B Inputs'!$I$82:$V$82,MATCH($B276,'R&amp;B Inputs'!$I$4:$V$4,0))*(1+INDEX('R&amp;B Inputs'!$I$62:$V$62,MATCH($B276,'R&amp;B Inputs'!$I$4:$V$4,0)))^(P$7-Year1))</f>
        <v>5.2000000000000032E-3</v>
      </c>
      <c r="Q276" s="506">
        <f>IF(Q$8=0,0,INDEX('R&amp;B Inputs'!$I$82:$V$82,MATCH($B276,'R&amp;B Inputs'!$I$4:$V$4,0))*(1+INDEX('R&amp;B Inputs'!$I$62:$V$62,MATCH($B276,'R&amp;B Inputs'!$I$4:$V$4,0)))^(Q$7-Year1))</f>
        <v>5.2000000000000032E-3</v>
      </c>
      <c r="R276" s="506">
        <f>IF(R$8=0,0,INDEX('R&amp;B Inputs'!$I$82:$V$82,MATCH($B276,'R&amp;B Inputs'!$I$4:$V$4,0))*(1+INDEX('R&amp;B Inputs'!$I$62:$V$62,MATCH($B276,'R&amp;B Inputs'!$I$4:$V$4,0)))^(R$7-Year1))</f>
        <v>5.2000000000000032E-3</v>
      </c>
      <c r="S276" s="506">
        <f>IF(S$8=0,0,INDEX('R&amp;B Inputs'!$I$82:$V$82,MATCH($B276,'R&amp;B Inputs'!$I$4:$V$4,0))*(1+INDEX('R&amp;B Inputs'!$I$62:$V$62,MATCH($B276,'R&amp;B Inputs'!$I$4:$V$4,0)))^(S$7-Year1))</f>
        <v>5.2000000000000032E-3</v>
      </c>
      <c r="T276" s="506">
        <f>IF(T$8=0,0,INDEX('R&amp;B Inputs'!$I$82:$V$82,MATCH($B276,'R&amp;B Inputs'!$I$4:$V$4,0))*(1+INDEX('R&amp;B Inputs'!$I$62:$V$62,MATCH($B276,'R&amp;B Inputs'!$I$4:$V$4,0)))^(T$7-Year1))</f>
        <v>5.2000000000000032E-3</v>
      </c>
      <c r="U276" s="506">
        <f>IF(U$8=0,0,INDEX('R&amp;B Inputs'!$I$82:$V$82,MATCH($B276,'R&amp;B Inputs'!$I$4:$V$4,0))*(1+INDEX('R&amp;B Inputs'!$I$62:$V$62,MATCH($B276,'R&amp;B Inputs'!$I$4:$V$4,0)))^(U$7-Year1))</f>
        <v>5.2000000000000032E-3</v>
      </c>
      <c r="V276" s="506">
        <f>IF(V$8=0,0,INDEX('R&amp;B Inputs'!$I$82:$V$82,MATCH($B276,'R&amp;B Inputs'!$I$4:$V$4,0))*(1+INDEX('R&amp;B Inputs'!$I$62:$V$62,MATCH($B276,'R&amp;B Inputs'!$I$4:$V$4,0)))^(V$7-Year1))</f>
        <v>5.2000000000000032E-3</v>
      </c>
      <c r="W276" s="506">
        <f>IF(W$8=0,0,INDEX('R&amp;B Inputs'!$I$82:$V$82,MATCH($B276,'R&amp;B Inputs'!$I$4:$V$4,0))*(1+INDEX('R&amp;B Inputs'!$I$62:$V$62,MATCH($B276,'R&amp;B Inputs'!$I$4:$V$4,0)))^(W$7-Year1))</f>
        <v>5.2000000000000032E-3</v>
      </c>
      <c r="X276" s="506">
        <f>IF(X$8=0,0,INDEX('R&amp;B Inputs'!$I$82:$V$82,MATCH($B276,'R&amp;B Inputs'!$I$4:$V$4,0))*(1+INDEX('R&amp;B Inputs'!$I$62:$V$62,MATCH($B276,'R&amp;B Inputs'!$I$4:$V$4,0)))^(X$7-Year1))</f>
        <v>5.2000000000000032E-3</v>
      </c>
      <c r="Y276" s="506">
        <f>IF(Y$8=0,0,INDEX('R&amp;B Inputs'!$I$82:$V$82,MATCH($B276,'R&amp;B Inputs'!$I$4:$V$4,0))*(1+INDEX('R&amp;B Inputs'!$I$62:$V$62,MATCH($B276,'R&amp;B Inputs'!$I$4:$V$4,0)))^(Y$7-Year1))</f>
        <v>5.2000000000000032E-3</v>
      </c>
      <c r="Z276" s="506">
        <f>IF(Z$8=0,0,INDEX('R&amp;B Inputs'!$I$82:$V$82,MATCH($B276,'R&amp;B Inputs'!$I$4:$V$4,0))*(1+INDEX('R&amp;B Inputs'!$I$62:$V$62,MATCH($B276,'R&amp;B Inputs'!$I$4:$V$4,0)))^(Z$7-Year1))</f>
        <v>5.2000000000000032E-3</v>
      </c>
      <c r="AA276" s="506">
        <f>IF(AA$8=0,0,INDEX('R&amp;B Inputs'!$I$82:$V$82,MATCH($B276,'R&amp;B Inputs'!$I$4:$V$4,0))*(1+INDEX('R&amp;B Inputs'!$I$62:$V$62,MATCH($B276,'R&amp;B Inputs'!$I$4:$V$4,0)))^(AA$7-Year1))</f>
        <v>5.2000000000000032E-3</v>
      </c>
      <c r="AB276" s="506">
        <f>IF(AB$8=0,0,INDEX('R&amp;B Inputs'!$I$82:$V$82,MATCH($B276,'R&amp;B Inputs'!$I$4:$V$4,0))*(1+INDEX('R&amp;B Inputs'!$I$62:$V$62,MATCH($B276,'R&amp;B Inputs'!$I$4:$V$4,0)))^(AB$7-Year1))</f>
        <v>5.2000000000000032E-3</v>
      </c>
      <c r="AC276" s="506">
        <f>IF(AC$8=0,0,INDEX('R&amp;B Inputs'!$I$82:$V$82,MATCH($B276,'R&amp;B Inputs'!$I$4:$V$4,0))*(1+INDEX('R&amp;B Inputs'!$I$62:$V$62,MATCH($B276,'R&amp;B Inputs'!$I$4:$V$4,0)))^(AC$7-Year1))</f>
        <v>5.2000000000000032E-3</v>
      </c>
      <c r="AD276" s="506">
        <f>IF(AD$8=0,0,INDEX('R&amp;B Inputs'!$I$82:$V$82,MATCH($B276,'R&amp;B Inputs'!$I$4:$V$4,0))*(1+INDEX('R&amp;B Inputs'!$I$62:$V$62,MATCH($B276,'R&amp;B Inputs'!$I$4:$V$4,0)))^(AD$7-Year1))</f>
        <v>5.2000000000000032E-3</v>
      </c>
      <c r="AE276" s="506">
        <f>IF(AE$8=0,0,INDEX('R&amp;B Inputs'!$I$82:$V$82,MATCH($B276,'R&amp;B Inputs'!$I$4:$V$4,0))*(1+INDEX('R&amp;B Inputs'!$I$62:$V$62,MATCH($B276,'R&amp;B Inputs'!$I$4:$V$4,0)))^(AE$7-Year1))</f>
        <v>5.2000000000000032E-3</v>
      </c>
      <c r="AF276" s="506">
        <f>IF(AF$8=0,0,INDEX('R&amp;B Inputs'!$I$82:$V$82,MATCH($B276,'R&amp;B Inputs'!$I$4:$V$4,0))*(1+INDEX('R&amp;B Inputs'!$I$62:$V$62,MATCH($B276,'R&amp;B Inputs'!$I$4:$V$4,0)))^(AF$7-Year1))</f>
        <v>5.2000000000000032E-3</v>
      </c>
      <c r="AG276" s="506">
        <f>IF(AG$8=0,0,INDEX('R&amp;B Inputs'!$I$82:$V$82,MATCH($B276,'R&amp;B Inputs'!$I$4:$V$4,0))*(1+INDEX('R&amp;B Inputs'!$I$62:$V$62,MATCH($B276,'R&amp;B Inputs'!$I$4:$V$4,0)))^(AG$7-Year1))</f>
        <v>5.2000000000000032E-3</v>
      </c>
      <c r="AH276" s="506"/>
      <c r="AI276" s="506"/>
      <c r="AJ276" s="506">
        <f>IF($C$4=Year1,-PMT(Lookups!$E$17,25,NPV(Lookups!$E$17,G276:AE276),0,1),IF($C$4=Year2,-PMT(Lookups!$F$17,25,NPV(Lookups!$F$17,H276:AF276),0,1),IF($C$4=Year3,-PMT(Lookups!$G$17,25,NPV(Lookups!$G$17,I276:AG276),0,1),-PMT(Lookups!$G$17,27,NPV(Lookups!$G$17,G276:AG276),0,1))))</f>
        <v>5.1274769975786939E-3</v>
      </c>
      <c r="AK276" s="507"/>
      <c r="AL276" s="507"/>
      <c r="AM276" s="508">
        <f>IF(AM$8=0,0,INDEX('R&amp;B Inputs'!$I$82:$V$82,MATCH($B276,'R&amp;B Inputs'!$I$4:$V$4,0))*(1+INDEX('R&amp;B Inputs'!$I$62:$V$62,MATCH($B276,'R&amp;B Inputs'!$I$4:$V$4,0)))^(AM$7-Year1))</f>
        <v>5.2000000000000032E-3</v>
      </c>
      <c r="AN276" s="508">
        <f>IF(AN$8=0,0,INDEX('R&amp;B Inputs'!$I$82:$V$82,MATCH($B276,'R&amp;B Inputs'!$I$4:$V$4,0))*(1+INDEX('R&amp;B Inputs'!$I$62:$V$62,MATCH($B276,'R&amp;B Inputs'!$I$4:$V$4,0)))^(AN$7-Year1))</f>
        <v>5.2000000000000032E-3</v>
      </c>
      <c r="AO276" s="508">
        <f>IF(AO$8=0,0,INDEX('R&amp;B Inputs'!$I$82:$V$82,MATCH($B276,'R&amp;B Inputs'!$I$4:$V$4,0))*(1+INDEX('R&amp;B Inputs'!$I$62:$V$62,MATCH($B276,'R&amp;B Inputs'!$I$4:$V$4,0)))^(AO$7-Year1))</f>
        <v>5.2000000000000032E-3</v>
      </c>
      <c r="AP276" s="508">
        <f>IF(AP$8=0,0,INDEX('R&amp;B Inputs'!$I$82:$V$82,MATCH($B276,'R&amp;B Inputs'!$I$4:$V$4,0))*(1+INDEX('R&amp;B Inputs'!$I$62:$V$62,MATCH($B276,'R&amp;B Inputs'!$I$4:$V$4,0)))^(AP$7-Year1))</f>
        <v>5.2000000000000032E-3</v>
      </c>
      <c r="AQ276" s="508">
        <f>IF(AQ$8=0,0,INDEX('R&amp;B Inputs'!$I$82:$V$82,MATCH($B276,'R&amp;B Inputs'!$I$4:$V$4,0))*(1+INDEX('R&amp;B Inputs'!$I$62:$V$62,MATCH($B276,'R&amp;B Inputs'!$I$4:$V$4,0)))^(AQ$7-Year1))</f>
        <v>5.2000000000000032E-3</v>
      </c>
      <c r="AR276" s="508">
        <f>IF(AR$8=0,0,INDEX('R&amp;B Inputs'!$I$82:$V$82,MATCH($B276,'R&amp;B Inputs'!$I$4:$V$4,0))*(1+INDEX('R&amp;B Inputs'!$I$62:$V$62,MATCH($B276,'R&amp;B Inputs'!$I$4:$V$4,0)))^(AR$7-Year1))</f>
        <v>5.2000000000000032E-3</v>
      </c>
      <c r="AS276" s="508">
        <f>IF(AS$8=0,0,INDEX('R&amp;B Inputs'!$I$82:$V$82,MATCH($B276,'R&amp;B Inputs'!$I$4:$V$4,0))*(1+INDEX('R&amp;B Inputs'!$I$62:$V$62,MATCH($B276,'R&amp;B Inputs'!$I$4:$V$4,0)))^(AS$7-Year1))</f>
        <v>5.2000000000000032E-3</v>
      </c>
      <c r="AT276" s="508">
        <f>IF(AT$8=0,0,INDEX('R&amp;B Inputs'!$I$82:$V$82,MATCH($B276,'R&amp;B Inputs'!$I$4:$V$4,0))*(1+INDEX('R&amp;B Inputs'!$I$62:$V$62,MATCH($B276,'R&amp;B Inputs'!$I$4:$V$4,0)))^(AT$7-Year1))</f>
        <v>5.2000000000000032E-3</v>
      </c>
      <c r="AU276" s="508">
        <f>IF(AU$8=0,0,INDEX('R&amp;B Inputs'!$I$82:$V$82,MATCH($B276,'R&amp;B Inputs'!$I$4:$V$4,0))*(1+INDEX('R&amp;B Inputs'!$I$62:$V$62,MATCH($B276,'R&amp;B Inputs'!$I$4:$V$4,0)))^(AU$7-Year1))</f>
        <v>5.2000000000000032E-3</v>
      </c>
      <c r="AV276" s="508">
        <f>IF(AV$8=0,0,INDEX('R&amp;B Inputs'!$I$82:$V$82,MATCH($B276,'R&amp;B Inputs'!$I$4:$V$4,0))*(1+INDEX('R&amp;B Inputs'!$I$62:$V$62,MATCH($B276,'R&amp;B Inputs'!$I$4:$V$4,0)))^(AV$7-Year1))</f>
        <v>5.2000000000000032E-3</v>
      </c>
      <c r="AW276" s="508">
        <f>IF(AW$8=0,0,INDEX('R&amp;B Inputs'!$I$82:$V$82,MATCH($B276,'R&amp;B Inputs'!$I$4:$V$4,0))*(1+INDEX('R&amp;B Inputs'!$I$62:$V$62,MATCH($B276,'R&amp;B Inputs'!$I$4:$V$4,0)))^(AW$7-Year1))</f>
        <v>5.2000000000000032E-3</v>
      </c>
      <c r="AX276" s="508">
        <f>IF(AX$8=0,0,INDEX('R&amp;B Inputs'!$I$82:$V$82,MATCH($B276,'R&amp;B Inputs'!$I$4:$V$4,0))*(1+INDEX('R&amp;B Inputs'!$I$62:$V$62,MATCH($B276,'R&amp;B Inputs'!$I$4:$V$4,0)))^(AX$7-Year1))</f>
        <v>5.2000000000000032E-3</v>
      </c>
      <c r="AY276" s="508">
        <f>IF(AY$8=0,0,INDEX('R&amp;B Inputs'!$I$82:$V$82,MATCH($B276,'R&amp;B Inputs'!$I$4:$V$4,0))*(1+INDEX('R&amp;B Inputs'!$I$62:$V$62,MATCH($B276,'R&amp;B Inputs'!$I$4:$V$4,0)))^(AY$7-Year1))</f>
        <v>5.2000000000000032E-3</v>
      </c>
      <c r="AZ276" s="508">
        <f>IF(AZ$8=0,0,INDEX('R&amp;B Inputs'!$I$82:$V$82,MATCH($B276,'R&amp;B Inputs'!$I$4:$V$4,0))*(1+INDEX('R&amp;B Inputs'!$I$62:$V$62,MATCH($B276,'R&amp;B Inputs'!$I$4:$V$4,0)))^(AZ$7-Year1))</f>
        <v>5.2000000000000032E-3</v>
      </c>
      <c r="BA276" s="508">
        <f>IF(BA$8=0,0,INDEX('R&amp;B Inputs'!$I$82:$V$82,MATCH($B276,'R&amp;B Inputs'!$I$4:$V$4,0))*(1+INDEX('R&amp;B Inputs'!$I$62:$V$62,MATCH($B276,'R&amp;B Inputs'!$I$4:$V$4,0)))^(BA$7-Year1))</f>
        <v>5.2000000000000032E-3</v>
      </c>
      <c r="BB276" s="508">
        <f>IF(BB$8=0,0,INDEX('R&amp;B Inputs'!$I$82:$V$82,MATCH($B276,'R&amp;B Inputs'!$I$4:$V$4,0))*(1+INDEX('R&amp;B Inputs'!$I$62:$V$62,MATCH($B276,'R&amp;B Inputs'!$I$4:$V$4,0)))^(BB$7-Year1))</f>
        <v>5.2000000000000032E-3</v>
      </c>
      <c r="BC276" s="508">
        <f>IF(BC$8=0,0,INDEX('R&amp;B Inputs'!$I$82:$V$82,MATCH($B276,'R&amp;B Inputs'!$I$4:$V$4,0))*(1+INDEX('R&amp;B Inputs'!$I$62:$V$62,MATCH($B276,'R&amp;B Inputs'!$I$4:$V$4,0)))^(BC$7-Year1))</f>
        <v>5.2000000000000032E-3</v>
      </c>
      <c r="BD276" s="508">
        <f>IF(BD$8=0,0,INDEX('R&amp;B Inputs'!$I$82:$V$82,MATCH($B276,'R&amp;B Inputs'!$I$4:$V$4,0))*(1+INDEX('R&amp;B Inputs'!$I$62:$V$62,MATCH($B276,'R&amp;B Inputs'!$I$4:$V$4,0)))^(BD$7-Year1))</f>
        <v>5.2000000000000032E-3</v>
      </c>
      <c r="BE276" s="508">
        <f>IF(BE$8=0,0,INDEX('R&amp;B Inputs'!$I$82:$V$82,MATCH($B276,'R&amp;B Inputs'!$I$4:$V$4,0))*(1+INDEX('R&amp;B Inputs'!$I$62:$V$62,MATCH($B276,'R&amp;B Inputs'!$I$4:$V$4,0)))^(BE$7-Year1))</f>
        <v>5.2000000000000032E-3</v>
      </c>
      <c r="BF276" s="508">
        <f>IF(BF$8=0,0,INDEX('R&amp;B Inputs'!$I$82:$V$82,MATCH($B276,'R&amp;B Inputs'!$I$4:$V$4,0))*(1+INDEX('R&amp;B Inputs'!$I$62:$V$62,MATCH($B276,'R&amp;B Inputs'!$I$4:$V$4,0)))^(BF$7-Year1))</f>
        <v>5.2000000000000032E-3</v>
      </c>
      <c r="BG276" s="508">
        <f>IF(BG$8=0,0,INDEX('R&amp;B Inputs'!$I$82:$V$82,MATCH($B276,'R&amp;B Inputs'!$I$4:$V$4,0))*(1+INDEX('R&amp;B Inputs'!$I$62:$V$62,MATCH($B276,'R&amp;B Inputs'!$I$4:$V$4,0)))^(BG$7-Year1))</f>
        <v>5.2000000000000032E-3</v>
      </c>
      <c r="BH276" s="508">
        <f>IF(BH$8=0,0,INDEX('R&amp;B Inputs'!$I$82:$V$82,MATCH($B276,'R&amp;B Inputs'!$I$4:$V$4,0))*(1+INDEX('R&amp;B Inputs'!$I$62:$V$62,MATCH($B276,'R&amp;B Inputs'!$I$4:$V$4,0)))^(BH$7-Year1))</f>
        <v>5.2000000000000032E-3</v>
      </c>
      <c r="BI276" s="508">
        <f>IF(BI$8=0,0,INDEX('R&amp;B Inputs'!$I$82:$V$82,MATCH($B276,'R&amp;B Inputs'!$I$4:$V$4,0))*(1+INDEX('R&amp;B Inputs'!$I$62:$V$62,MATCH($B276,'R&amp;B Inputs'!$I$4:$V$4,0)))^(BI$7-Year1))</f>
        <v>5.2000000000000032E-3</v>
      </c>
      <c r="BJ276" s="508">
        <f>IF(BJ$8=0,0,INDEX('R&amp;B Inputs'!$I$82:$V$82,MATCH($B276,'R&amp;B Inputs'!$I$4:$V$4,0))*(1+INDEX('R&amp;B Inputs'!$I$62:$V$62,MATCH($B276,'R&amp;B Inputs'!$I$4:$V$4,0)))^(BJ$7-Year1))</f>
        <v>5.2000000000000032E-3</v>
      </c>
      <c r="BK276" s="508">
        <f>IF(BK$8=0,0,INDEX('R&amp;B Inputs'!$I$82:$V$82,MATCH($B276,'R&amp;B Inputs'!$I$4:$V$4,0))*(1+INDEX('R&amp;B Inputs'!$I$62:$V$62,MATCH($B276,'R&amp;B Inputs'!$I$4:$V$4,0)))^(BK$7-Year1))</f>
        <v>5.2000000000000032E-3</v>
      </c>
      <c r="BL276" s="508">
        <f>IF(BL$8=0,0,INDEX('R&amp;B Inputs'!$I$82:$V$82,MATCH($B276,'R&amp;B Inputs'!$I$4:$V$4,0))*(1+INDEX('R&amp;B Inputs'!$I$62:$V$62,MATCH($B276,'R&amp;B Inputs'!$I$4:$V$4,0)))^(BL$7-Year1))</f>
        <v>5.2000000000000032E-3</v>
      </c>
      <c r="BM276" s="508">
        <f>IF(BM$8=0,0,INDEX('R&amp;B Inputs'!$I$82:$V$82,MATCH($B276,'R&amp;B Inputs'!$I$4:$V$4,0))*(1+INDEX('R&amp;B Inputs'!$I$62:$V$62,MATCH($B276,'R&amp;B Inputs'!$I$4:$V$4,0)))^(BM$7-Year1))</f>
        <v>5.2000000000000032E-3</v>
      </c>
      <c r="BN276" s="508"/>
      <c r="BO276" s="508"/>
      <c r="BP276" s="508">
        <f>IF($C$4=Year1,-PMT(Lookups!$E$17,25,NPV(Lookups!$E$17,AM276:BK276),0,1),IF($C$4=Year2,-PMT(Lookups!$F$17,25,NPV(Lookups!$F$17,AN276:BL276),0,1),IF($C$4=Year3,-PMT(Lookups!$G$17,25,NPV(Lookups!$G$17,AO276:BM276),0,1),-PMT(Lookups!$G$17,27,NPV(Lookups!$G$17,AM276:BM276),0,1))))</f>
        <v>5.1274769975786939E-3</v>
      </c>
      <c r="BS276" s="76" t="str">
        <f t="shared" si="295"/>
        <v>LDAC, Non-EE charge from the R&amp;B Inputs tab, escalated annually by the growth rate included on the R&amp;B Inputs tab.</v>
      </c>
      <c r="BT276" s="51" t="s">
        <v>17</v>
      </c>
    </row>
    <row r="277" spans="1:72" x14ac:dyDescent="0.25">
      <c r="B277" s="243" t="str">
        <f>B275</f>
        <v>Large C&amp;I</v>
      </c>
      <c r="C277" s="243" t="str">
        <f>C275</f>
        <v>Rates</v>
      </c>
      <c r="D277" s="244" t="str">
        <f>D275</f>
        <v>Rates before DSM (No EE Scenario)</v>
      </c>
      <c r="E277" s="84" t="s">
        <v>197</v>
      </c>
      <c r="F277" s="84" t="s">
        <v>182</v>
      </c>
      <c r="G277" s="506">
        <f>IF(G$8=0,0,INDEX('R&amp;B Inputs'!$I$86:$V$86,MATCH($B277,'R&amp;B Inputs'!$I$4:$V$4,0))*(1+INDEX('R&amp;B Inputs'!$I$66:$V$66,MATCH($B277,'R&amp;B Inputs'!$I$4:$V$4,0)))^(G$7-Year1))</f>
        <v>0.61899999999999999</v>
      </c>
      <c r="H277" s="506">
        <f>IF(H$8=0,0,INDEX('R&amp;B Inputs'!$I$86:$V$86,MATCH($B277,'R&amp;B Inputs'!$I$4:$V$4,0))*(1+INDEX('R&amp;B Inputs'!$I$66:$V$66,MATCH($B277,'R&amp;B Inputs'!$I$4:$V$4,0)))^(H$7-Year1))</f>
        <v>0.61899999999999999</v>
      </c>
      <c r="I277" s="506">
        <f>IF(I$8=0,0,INDEX('R&amp;B Inputs'!$I$86:$V$86,MATCH($B277,'R&amp;B Inputs'!$I$4:$V$4,0))*(1+INDEX('R&amp;B Inputs'!$I$66:$V$66,MATCH($B277,'R&amp;B Inputs'!$I$4:$V$4,0)))^(I$7-Year1))</f>
        <v>0.61899999999999999</v>
      </c>
      <c r="J277" s="506">
        <f>IF(J$8=0,0,INDEX('R&amp;B Inputs'!$I$86:$V$86,MATCH($B277,'R&amp;B Inputs'!$I$4:$V$4,0))*(1+INDEX('R&amp;B Inputs'!$I$66:$V$66,MATCH($B277,'R&amp;B Inputs'!$I$4:$V$4,0)))^(J$7-Year1))</f>
        <v>0.61899999999999999</v>
      </c>
      <c r="K277" s="506">
        <f>IF(K$8=0,0,INDEX('R&amp;B Inputs'!$I$86:$V$86,MATCH($B277,'R&amp;B Inputs'!$I$4:$V$4,0))*(1+INDEX('R&amp;B Inputs'!$I$66:$V$66,MATCH($B277,'R&amp;B Inputs'!$I$4:$V$4,0)))^(K$7-Year1))</f>
        <v>0.61899999999999999</v>
      </c>
      <c r="L277" s="506">
        <f>IF(L$8=0,0,INDEX('R&amp;B Inputs'!$I$86:$V$86,MATCH($B277,'R&amp;B Inputs'!$I$4:$V$4,0))*(1+INDEX('R&amp;B Inputs'!$I$66:$V$66,MATCH($B277,'R&amp;B Inputs'!$I$4:$V$4,0)))^(L$7-Year1))</f>
        <v>0.61899999999999999</v>
      </c>
      <c r="M277" s="506">
        <f>IF(M$8=0,0,INDEX('R&amp;B Inputs'!$I$86:$V$86,MATCH($B277,'R&amp;B Inputs'!$I$4:$V$4,0))*(1+INDEX('R&amp;B Inputs'!$I$66:$V$66,MATCH($B277,'R&amp;B Inputs'!$I$4:$V$4,0)))^(M$7-Year1))</f>
        <v>0.61899999999999999</v>
      </c>
      <c r="N277" s="506">
        <f>IF(N$8=0,0,INDEX('R&amp;B Inputs'!$I$86:$V$86,MATCH($B277,'R&amp;B Inputs'!$I$4:$V$4,0))*(1+INDEX('R&amp;B Inputs'!$I$66:$V$66,MATCH($B277,'R&amp;B Inputs'!$I$4:$V$4,0)))^(N$7-Year1))</f>
        <v>0.61899999999999999</v>
      </c>
      <c r="O277" s="506">
        <f>IF(O$8=0,0,INDEX('R&amp;B Inputs'!$I$86:$V$86,MATCH($B277,'R&amp;B Inputs'!$I$4:$V$4,0))*(1+INDEX('R&amp;B Inputs'!$I$66:$V$66,MATCH($B277,'R&amp;B Inputs'!$I$4:$V$4,0)))^(O$7-Year1))</f>
        <v>0.61899999999999999</v>
      </c>
      <c r="P277" s="506">
        <f>IF(P$8=0,0,INDEX('R&amp;B Inputs'!$I$86:$V$86,MATCH($B277,'R&amp;B Inputs'!$I$4:$V$4,0))*(1+INDEX('R&amp;B Inputs'!$I$66:$V$66,MATCH($B277,'R&amp;B Inputs'!$I$4:$V$4,0)))^(P$7-Year1))</f>
        <v>0.61899999999999999</v>
      </c>
      <c r="Q277" s="506">
        <f>IF(Q$8=0,0,INDEX('R&amp;B Inputs'!$I$86:$V$86,MATCH($B277,'R&amp;B Inputs'!$I$4:$V$4,0))*(1+INDEX('R&amp;B Inputs'!$I$66:$V$66,MATCH($B277,'R&amp;B Inputs'!$I$4:$V$4,0)))^(Q$7-Year1))</f>
        <v>0.61899999999999999</v>
      </c>
      <c r="R277" s="506">
        <f>IF(R$8=0,0,INDEX('R&amp;B Inputs'!$I$86:$V$86,MATCH($B277,'R&amp;B Inputs'!$I$4:$V$4,0))*(1+INDEX('R&amp;B Inputs'!$I$66:$V$66,MATCH($B277,'R&amp;B Inputs'!$I$4:$V$4,0)))^(R$7-Year1))</f>
        <v>0.61899999999999999</v>
      </c>
      <c r="S277" s="506">
        <f>IF(S$8=0,0,INDEX('R&amp;B Inputs'!$I$86:$V$86,MATCH($B277,'R&amp;B Inputs'!$I$4:$V$4,0))*(1+INDEX('R&amp;B Inputs'!$I$66:$V$66,MATCH($B277,'R&amp;B Inputs'!$I$4:$V$4,0)))^(S$7-Year1))</f>
        <v>0.61899999999999999</v>
      </c>
      <c r="T277" s="506">
        <f>IF(T$8=0,0,INDEX('R&amp;B Inputs'!$I$86:$V$86,MATCH($B277,'R&amp;B Inputs'!$I$4:$V$4,0))*(1+INDEX('R&amp;B Inputs'!$I$66:$V$66,MATCH($B277,'R&amp;B Inputs'!$I$4:$V$4,0)))^(T$7-Year1))</f>
        <v>0.61899999999999999</v>
      </c>
      <c r="U277" s="506">
        <f>IF(U$8=0,0,INDEX('R&amp;B Inputs'!$I$86:$V$86,MATCH($B277,'R&amp;B Inputs'!$I$4:$V$4,0))*(1+INDEX('R&amp;B Inputs'!$I$66:$V$66,MATCH($B277,'R&amp;B Inputs'!$I$4:$V$4,0)))^(U$7-Year1))</f>
        <v>0.61899999999999999</v>
      </c>
      <c r="V277" s="506">
        <f>IF(V$8=0,0,INDEX('R&amp;B Inputs'!$I$86:$V$86,MATCH($B277,'R&amp;B Inputs'!$I$4:$V$4,0))*(1+INDEX('R&amp;B Inputs'!$I$66:$V$66,MATCH($B277,'R&amp;B Inputs'!$I$4:$V$4,0)))^(V$7-Year1))</f>
        <v>0.61899999999999999</v>
      </c>
      <c r="W277" s="506">
        <f>IF(W$8=0,0,INDEX('R&amp;B Inputs'!$I$86:$V$86,MATCH($B277,'R&amp;B Inputs'!$I$4:$V$4,0))*(1+INDEX('R&amp;B Inputs'!$I$66:$V$66,MATCH($B277,'R&amp;B Inputs'!$I$4:$V$4,0)))^(W$7-Year1))</f>
        <v>0.61899999999999999</v>
      </c>
      <c r="X277" s="506">
        <f>IF(X$8=0,0,INDEX('R&amp;B Inputs'!$I$86:$V$86,MATCH($B277,'R&amp;B Inputs'!$I$4:$V$4,0))*(1+INDEX('R&amp;B Inputs'!$I$66:$V$66,MATCH($B277,'R&amp;B Inputs'!$I$4:$V$4,0)))^(X$7-Year1))</f>
        <v>0.61899999999999999</v>
      </c>
      <c r="Y277" s="506">
        <f>IF(Y$8=0,0,INDEX('R&amp;B Inputs'!$I$86:$V$86,MATCH($B277,'R&amp;B Inputs'!$I$4:$V$4,0))*(1+INDEX('R&amp;B Inputs'!$I$66:$V$66,MATCH($B277,'R&amp;B Inputs'!$I$4:$V$4,0)))^(Y$7-Year1))</f>
        <v>0.61899999999999999</v>
      </c>
      <c r="Z277" s="506">
        <f>IF(Z$8=0,0,INDEX('R&amp;B Inputs'!$I$86:$V$86,MATCH($B277,'R&amp;B Inputs'!$I$4:$V$4,0))*(1+INDEX('R&amp;B Inputs'!$I$66:$V$66,MATCH($B277,'R&amp;B Inputs'!$I$4:$V$4,0)))^(Z$7-Year1))</f>
        <v>0.61899999999999999</v>
      </c>
      <c r="AA277" s="506">
        <f>IF(AA$8=0,0,INDEX('R&amp;B Inputs'!$I$86:$V$86,MATCH($B277,'R&amp;B Inputs'!$I$4:$V$4,0))*(1+INDEX('R&amp;B Inputs'!$I$66:$V$66,MATCH($B277,'R&amp;B Inputs'!$I$4:$V$4,0)))^(AA$7-Year1))</f>
        <v>0.61899999999999999</v>
      </c>
      <c r="AB277" s="506">
        <f>IF(AB$8=0,0,INDEX('R&amp;B Inputs'!$I$86:$V$86,MATCH($B277,'R&amp;B Inputs'!$I$4:$V$4,0))*(1+INDEX('R&amp;B Inputs'!$I$66:$V$66,MATCH($B277,'R&amp;B Inputs'!$I$4:$V$4,0)))^(AB$7-Year1))</f>
        <v>0.61899999999999999</v>
      </c>
      <c r="AC277" s="506">
        <f>IF(AC$8=0,0,INDEX('R&amp;B Inputs'!$I$86:$V$86,MATCH($B277,'R&amp;B Inputs'!$I$4:$V$4,0))*(1+INDEX('R&amp;B Inputs'!$I$66:$V$66,MATCH($B277,'R&amp;B Inputs'!$I$4:$V$4,0)))^(AC$7-Year1))</f>
        <v>0.61899999999999999</v>
      </c>
      <c r="AD277" s="506">
        <f>IF(AD$8=0,0,INDEX('R&amp;B Inputs'!$I$86:$V$86,MATCH($B277,'R&amp;B Inputs'!$I$4:$V$4,0))*(1+INDEX('R&amp;B Inputs'!$I$66:$V$66,MATCH($B277,'R&amp;B Inputs'!$I$4:$V$4,0)))^(AD$7-Year1))</f>
        <v>0.61899999999999999</v>
      </c>
      <c r="AE277" s="506">
        <f>IF(AE$8=0,0,INDEX('R&amp;B Inputs'!$I$86:$V$86,MATCH($B277,'R&amp;B Inputs'!$I$4:$V$4,0))*(1+INDEX('R&amp;B Inputs'!$I$66:$V$66,MATCH($B277,'R&amp;B Inputs'!$I$4:$V$4,0)))^(AE$7-Year1))</f>
        <v>0.61899999999999999</v>
      </c>
      <c r="AF277" s="506">
        <f>IF(AF$8=0,0,INDEX('R&amp;B Inputs'!$I$86:$V$86,MATCH($B277,'R&amp;B Inputs'!$I$4:$V$4,0))*(1+INDEX('R&amp;B Inputs'!$I$66:$V$66,MATCH($B277,'R&amp;B Inputs'!$I$4:$V$4,0)))^(AF$7-Year1))</f>
        <v>0.61899999999999999</v>
      </c>
      <c r="AG277" s="506">
        <f>IF(AG$8=0,0,INDEX('R&amp;B Inputs'!$I$86:$V$86,MATCH($B277,'R&amp;B Inputs'!$I$4:$V$4,0))*(1+INDEX('R&amp;B Inputs'!$I$66:$V$66,MATCH($B277,'R&amp;B Inputs'!$I$4:$V$4,0)))^(AG$7-Year1))</f>
        <v>0.61899999999999999</v>
      </c>
      <c r="AH277" s="506"/>
      <c r="AI277" s="506"/>
      <c r="AJ277" s="506">
        <f>IF($C$4=Year1,-PMT(Lookups!$E$17,25,NPV(Lookups!$E$17,G277:AE277),0,1),IF($C$4=Year2,-PMT(Lookups!$F$17,25,NPV(Lookups!$F$17,H277:AF277),0,1),IF($C$4=Year3,-PMT(Lookups!$G$17,25,NPV(Lookups!$G$17,I277:AG277),0,1),-PMT(Lookups!$G$17,27,NPV(Lookups!$G$17,G277:AG277),0,1))))</f>
        <v>0.61036697336561752</v>
      </c>
      <c r="AK277" s="507"/>
      <c r="AL277" s="507"/>
      <c r="AM277" s="508">
        <f>IF(AM$8=0,0,INDEX('R&amp;B Inputs'!$I$86:$V$86,MATCH($B277,'R&amp;B Inputs'!$I$4:$V$4,0))*(1+INDEX('R&amp;B Inputs'!$I$66:$V$66,MATCH($B277,'R&amp;B Inputs'!$I$4:$V$4,0)))^(AM$7-Year1))</f>
        <v>0.61899999999999999</v>
      </c>
      <c r="AN277" s="508">
        <f>IF(AN$8=0,0,INDEX('R&amp;B Inputs'!$I$86:$V$86,MATCH($B277,'R&amp;B Inputs'!$I$4:$V$4,0))*(1+INDEX('R&amp;B Inputs'!$I$66:$V$66,MATCH($B277,'R&amp;B Inputs'!$I$4:$V$4,0)))^(AN$7-Year1))</f>
        <v>0.61899999999999999</v>
      </c>
      <c r="AO277" s="508">
        <f>IF(AO$8=0,0,INDEX('R&amp;B Inputs'!$I$86:$V$86,MATCH($B277,'R&amp;B Inputs'!$I$4:$V$4,0))*(1+INDEX('R&amp;B Inputs'!$I$66:$V$66,MATCH($B277,'R&amp;B Inputs'!$I$4:$V$4,0)))^(AO$7-Year1))</f>
        <v>0.61899999999999999</v>
      </c>
      <c r="AP277" s="508">
        <f>IF(AP$8=0,0,INDEX('R&amp;B Inputs'!$I$86:$V$86,MATCH($B277,'R&amp;B Inputs'!$I$4:$V$4,0))*(1+INDEX('R&amp;B Inputs'!$I$66:$V$66,MATCH($B277,'R&amp;B Inputs'!$I$4:$V$4,0)))^(AP$7-Year1))</f>
        <v>0.61899999999999999</v>
      </c>
      <c r="AQ277" s="508">
        <f>IF(AQ$8=0,0,INDEX('R&amp;B Inputs'!$I$86:$V$86,MATCH($B277,'R&amp;B Inputs'!$I$4:$V$4,0))*(1+INDEX('R&amp;B Inputs'!$I$66:$V$66,MATCH($B277,'R&amp;B Inputs'!$I$4:$V$4,0)))^(AQ$7-Year1))</f>
        <v>0.61899999999999999</v>
      </c>
      <c r="AR277" s="508">
        <f>IF(AR$8=0,0,INDEX('R&amp;B Inputs'!$I$86:$V$86,MATCH($B277,'R&amp;B Inputs'!$I$4:$V$4,0))*(1+INDEX('R&amp;B Inputs'!$I$66:$V$66,MATCH($B277,'R&amp;B Inputs'!$I$4:$V$4,0)))^(AR$7-Year1))</f>
        <v>0.61899999999999999</v>
      </c>
      <c r="AS277" s="508">
        <f>IF(AS$8=0,0,INDEX('R&amp;B Inputs'!$I$86:$V$86,MATCH($B277,'R&amp;B Inputs'!$I$4:$V$4,0))*(1+INDEX('R&amp;B Inputs'!$I$66:$V$66,MATCH($B277,'R&amp;B Inputs'!$I$4:$V$4,0)))^(AS$7-Year1))</f>
        <v>0.61899999999999999</v>
      </c>
      <c r="AT277" s="508">
        <f>IF(AT$8=0,0,INDEX('R&amp;B Inputs'!$I$86:$V$86,MATCH($B277,'R&amp;B Inputs'!$I$4:$V$4,0))*(1+INDEX('R&amp;B Inputs'!$I$66:$V$66,MATCH($B277,'R&amp;B Inputs'!$I$4:$V$4,0)))^(AT$7-Year1))</f>
        <v>0.61899999999999999</v>
      </c>
      <c r="AU277" s="508">
        <f>IF(AU$8=0,0,INDEX('R&amp;B Inputs'!$I$86:$V$86,MATCH($B277,'R&amp;B Inputs'!$I$4:$V$4,0))*(1+INDEX('R&amp;B Inputs'!$I$66:$V$66,MATCH($B277,'R&amp;B Inputs'!$I$4:$V$4,0)))^(AU$7-Year1))</f>
        <v>0.61899999999999999</v>
      </c>
      <c r="AV277" s="508">
        <f>IF(AV$8=0,0,INDEX('R&amp;B Inputs'!$I$86:$V$86,MATCH($B277,'R&amp;B Inputs'!$I$4:$V$4,0))*(1+INDEX('R&amp;B Inputs'!$I$66:$V$66,MATCH($B277,'R&amp;B Inputs'!$I$4:$V$4,0)))^(AV$7-Year1))</f>
        <v>0.61899999999999999</v>
      </c>
      <c r="AW277" s="508">
        <f>IF(AW$8=0,0,INDEX('R&amp;B Inputs'!$I$86:$V$86,MATCH($B277,'R&amp;B Inputs'!$I$4:$V$4,0))*(1+INDEX('R&amp;B Inputs'!$I$66:$V$66,MATCH($B277,'R&amp;B Inputs'!$I$4:$V$4,0)))^(AW$7-Year1))</f>
        <v>0.61899999999999999</v>
      </c>
      <c r="AX277" s="508">
        <f>IF(AX$8=0,0,INDEX('R&amp;B Inputs'!$I$86:$V$86,MATCH($B277,'R&amp;B Inputs'!$I$4:$V$4,0))*(1+INDEX('R&amp;B Inputs'!$I$66:$V$66,MATCH($B277,'R&amp;B Inputs'!$I$4:$V$4,0)))^(AX$7-Year1))</f>
        <v>0.61899999999999999</v>
      </c>
      <c r="AY277" s="508">
        <f>IF(AY$8=0,0,INDEX('R&amp;B Inputs'!$I$86:$V$86,MATCH($B277,'R&amp;B Inputs'!$I$4:$V$4,0))*(1+INDEX('R&amp;B Inputs'!$I$66:$V$66,MATCH($B277,'R&amp;B Inputs'!$I$4:$V$4,0)))^(AY$7-Year1))</f>
        <v>0.61899999999999999</v>
      </c>
      <c r="AZ277" s="508">
        <f>IF(AZ$8=0,0,INDEX('R&amp;B Inputs'!$I$86:$V$86,MATCH($B277,'R&amp;B Inputs'!$I$4:$V$4,0))*(1+INDEX('R&amp;B Inputs'!$I$66:$V$66,MATCH($B277,'R&amp;B Inputs'!$I$4:$V$4,0)))^(AZ$7-Year1))</f>
        <v>0.61899999999999999</v>
      </c>
      <c r="BA277" s="508">
        <f>IF(BA$8=0,0,INDEX('R&amp;B Inputs'!$I$86:$V$86,MATCH($B277,'R&amp;B Inputs'!$I$4:$V$4,0))*(1+INDEX('R&amp;B Inputs'!$I$66:$V$66,MATCH($B277,'R&amp;B Inputs'!$I$4:$V$4,0)))^(BA$7-Year1))</f>
        <v>0.61899999999999999</v>
      </c>
      <c r="BB277" s="508">
        <f>IF(BB$8=0,0,INDEX('R&amp;B Inputs'!$I$86:$V$86,MATCH($B277,'R&amp;B Inputs'!$I$4:$V$4,0))*(1+INDEX('R&amp;B Inputs'!$I$66:$V$66,MATCH($B277,'R&amp;B Inputs'!$I$4:$V$4,0)))^(BB$7-Year1))</f>
        <v>0.61899999999999999</v>
      </c>
      <c r="BC277" s="508">
        <f>IF(BC$8=0,0,INDEX('R&amp;B Inputs'!$I$86:$V$86,MATCH($B277,'R&amp;B Inputs'!$I$4:$V$4,0))*(1+INDEX('R&amp;B Inputs'!$I$66:$V$66,MATCH($B277,'R&amp;B Inputs'!$I$4:$V$4,0)))^(BC$7-Year1))</f>
        <v>0.61899999999999999</v>
      </c>
      <c r="BD277" s="508">
        <f>IF(BD$8=0,0,INDEX('R&amp;B Inputs'!$I$86:$V$86,MATCH($B277,'R&amp;B Inputs'!$I$4:$V$4,0))*(1+INDEX('R&amp;B Inputs'!$I$66:$V$66,MATCH($B277,'R&amp;B Inputs'!$I$4:$V$4,0)))^(BD$7-Year1))</f>
        <v>0.61899999999999999</v>
      </c>
      <c r="BE277" s="508">
        <f>IF(BE$8=0,0,INDEX('R&amp;B Inputs'!$I$86:$V$86,MATCH($B277,'R&amp;B Inputs'!$I$4:$V$4,0))*(1+INDEX('R&amp;B Inputs'!$I$66:$V$66,MATCH($B277,'R&amp;B Inputs'!$I$4:$V$4,0)))^(BE$7-Year1))</f>
        <v>0.61899999999999999</v>
      </c>
      <c r="BF277" s="508">
        <f>IF(BF$8=0,0,INDEX('R&amp;B Inputs'!$I$86:$V$86,MATCH($B277,'R&amp;B Inputs'!$I$4:$V$4,0))*(1+INDEX('R&amp;B Inputs'!$I$66:$V$66,MATCH($B277,'R&amp;B Inputs'!$I$4:$V$4,0)))^(BF$7-Year1))</f>
        <v>0.61899999999999999</v>
      </c>
      <c r="BG277" s="508">
        <f>IF(BG$8=0,0,INDEX('R&amp;B Inputs'!$I$86:$V$86,MATCH($B277,'R&amp;B Inputs'!$I$4:$V$4,0))*(1+INDEX('R&amp;B Inputs'!$I$66:$V$66,MATCH($B277,'R&amp;B Inputs'!$I$4:$V$4,0)))^(BG$7-Year1))</f>
        <v>0.61899999999999999</v>
      </c>
      <c r="BH277" s="508">
        <f>IF(BH$8=0,0,INDEX('R&amp;B Inputs'!$I$86:$V$86,MATCH($B277,'R&amp;B Inputs'!$I$4:$V$4,0))*(1+INDEX('R&amp;B Inputs'!$I$66:$V$66,MATCH($B277,'R&amp;B Inputs'!$I$4:$V$4,0)))^(BH$7-Year1))</f>
        <v>0.61899999999999999</v>
      </c>
      <c r="BI277" s="508">
        <f>IF(BI$8=0,0,INDEX('R&amp;B Inputs'!$I$86:$V$86,MATCH($B277,'R&amp;B Inputs'!$I$4:$V$4,0))*(1+INDEX('R&amp;B Inputs'!$I$66:$V$66,MATCH($B277,'R&amp;B Inputs'!$I$4:$V$4,0)))^(BI$7-Year1))</f>
        <v>0.61899999999999999</v>
      </c>
      <c r="BJ277" s="508">
        <f>IF(BJ$8=0,0,INDEX('R&amp;B Inputs'!$I$86:$V$86,MATCH($B277,'R&amp;B Inputs'!$I$4:$V$4,0))*(1+INDEX('R&amp;B Inputs'!$I$66:$V$66,MATCH($B277,'R&amp;B Inputs'!$I$4:$V$4,0)))^(BJ$7-Year1))</f>
        <v>0.61899999999999999</v>
      </c>
      <c r="BK277" s="508">
        <f>IF(BK$8=0,0,INDEX('R&amp;B Inputs'!$I$86:$V$86,MATCH($B277,'R&amp;B Inputs'!$I$4:$V$4,0))*(1+INDEX('R&amp;B Inputs'!$I$66:$V$66,MATCH($B277,'R&amp;B Inputs'!$I$4:$V$4,0)))^(BK$7-Year1))</f>
        <v>0.61899999999999999</v>
      </c>
      <c r="BL277" s="508">
        <f>IF(BL$8=0,0,INDEX('R&amp;B Inputs'!$I$86:$V$86,MATCH($B277,'R&amp;B Inputs'!$I$4:$V$4,0))*(1+INDEX('R&amp;B Inputs'!$I$66:$V$66,MATCH($B277,'R&amp;B Inputs'!$I$4:$V$4,0)))^(BL$7-Year1))</f>
        <v>0.61899999999999999</v>
      </c>
      <c r="BM277" s="508">
        <f>IF(BM$8=0,0,INDEX('R&amp;B Inputs'!$I$86:$V$86,MATCH($B277,'R&amp;B Inputs'!$I$4:$V$4,0))*(1+INDEX('R&amp;B Inputs'!$I$66:$V$66,MATCH($B277,'R&amp;B Inputs'!$I$4:$V$4,0)))^(BM$7-Year1))</f>
        <v>0.61899999999999999</v>
      </c>
      <c r="BN277" s="508"/>
      <c r="BO277" s="508"/>
      <c r="BP277" s="508">
        <f>IF($C$4=Year1,-PMT(Lookups!$E$17,25,NPV(Lookups!$E$17,AM277:BK277),0,1),IF($C$4=Year2,-PMT(Lookups!$F$17,25,NPV(Lookups!$F$17,AN277:BL277),0,1),IF($C$4=Year3,-PMT(Lookups!$G$17,25,NPV(Lookups!$G$17,AO277:BM277),0,1),-PMT(Lookups!$G$17,27,NPV(Lookups!$G$17,AM277:BM277),0,1))))</f>
        <v>0.61036697336561752</v>
      </c>
      <c r="BS277" s="76" t="str">
        <f t="shared" si="295"/>
        <v>Cost of Gas charge from the R&amp;B Inputs tab, escalated annually by the growth rate included on the R&amp;B Inputs tab.</v>
      </c>
      <c r="BT277" s="51" t="s">
        <v>17</v>
      </c>
    </row>
    <row r="278" spans="1:72" x14ac:dyDescent="0.25">
      <c r="B278" s="243" t="str">
        <f>B279</f>
        <v>Large C&amp;I</v>
      </c>
      <c r="C278" s="243" t="str">
        <f>C279</f>
        <v>Rates</v>
      </c>
      <c r="D278" s="244" t="str">
        <f>D279</f>
        <v>Rates before DSM (No EE Scenario)</v>
      </c>
      <c r="E278" s="86" t="s">
        <v>75</v>
      </c>
      <c r="F278" s="84" t="s">
        <v>182</v>
      </c>
      <c r="G278" s="506">
        <f>IF(G$8=0,0,INDEX('R&amp;B Inputs'!$H$73:$U$73,MATCH($B277,'R&amp;B Inputs'!$H$4:$U$4,0))*(1+INDEX('R&amp;B Inputs'!$H$46:$U$46,MATCH($B277,'R&amp;B Inputs'!$H$4:$U$4,0)))^(G$7-Year1))</f>
        <v>4.271893828439878E-2</v>
      </c>
      <c r="H278" s="506">
        <f>IF(H$8=0,0,INDEX('R&amp;B Inputs'!$H$73:$U$73,MATCH($B277,'R&amp;B Inputs'!$H$4:$U$4,0))*(1+INDEX('R&amp;B Inputs'!$H$46:$U$46,MATCH($B277,'R&amp;B Inputs'!$H$4:$U$4,0)))^(H$7-Year1))</f>
        <v>4.271893828439878E-2</v>
      </c>
      <c r="I278" s="506">
        <f>IF(I$8=0,0,INDEX('R&amp;B Inputs'!$H$73:$U$73,MATCH($B277,'R&amp;B Inputs'!$H$4:$U$4,0))*(1+INDEX('R&amp;B Inputs'!$H$46:$U$46,MATCH($B277,'R&amp;B Inputs'!$H$4:$U$4,0)))^(I$7-Year1))</f>
        <v>4.271893828439878E-2</v>
      </c>
      <c r="J278" s="506">
        <f>IF(J$8=0,0,INDEX('R&amp;B Inputs'!$H$73:$U$73,MATCH($B277,'R&amp;B Inputs'!$H$4:$U$4,0))*(1+INDEX('R&amp;B Inputs'!$H$46:$U$46,MATCH($B277,'R&amp;B Inputs'!$H$4:$U$4,0)))^(J$7-Year1))</f>
        <v>4.271893828439878E-2</v>
      </c>
      <c r="K278" s="506">
        <f>IF(K$8=0,0,INDEX('R&amp;B Inputs'!$H$73:$U$73,MATCH($B277,'R&amp;B Inputs'!$H$4:$U$4,0))*(1+INDEX('R&amp;B Inputs'!$H$46:$U$46,MATCH($B277,'R&amp;B Inputs'!$H$4:$U$4,0)))^(K$7-Year1))</f>
        <v>4.271893828439878E-2</v>
      </c>
      <c r="L278" s="506">
        <f>IF(L$8=0,0,INDEX('R&amp;B Inputs'!$H$73:$U$73,MATCH($B277,'R&amp;B Inputs'!$H$4:$U$4,0))*(1+INDEX('R&amp;B Inputs'!$H$46:$U$46,MATCH($B277,'R&amp;B Inputs'!$H$4:$U$4,0)))^(L$7-Year1))</f>
        <v>4.271893828439878E-2</v>
      </c>
      <c r="M278" s="506">
        <f>IF(M$8=0,0,INDEX('R&amp;B Inputs'!$H$73:$U$73,MATCH($B277,'R&amp;B Inputs'!$H$4:$U$4,0))*(1+INDEX('R&amp;B Inputs'!$H$46:$U$46,MATCH($B277,'R&amp;B Inputs'!$H$4:$U$4,0)))^(M$7-Year1))</f>
        <v>4.271893828439878E-2</v>
      </c>
      <c r="N278" s="506">
        <f>IF(N$8=0,0,INDEX('R&amp;B Inputs'!$H$73:$U$73,MATCH($B277,'R&amp;B Inputs'!$H$4:$U$4,0))*(1+INDEX('R&amp;B Inputs'!$H$46:$U$46,MATCH($B277,'R&amp;B Inputs'!$H$4:$U$4,0)))^(N$7-Year1))</f>
        <v>4.271893828439878E-2</v>
      </c>
      <c r="O278" s="506">
        <f>IF(O$8=0,0,INDEX('R&amp;B Inputs'!$H$73:$U$73,MATCH($B277,'R&amp;B Inputs'!$H$4:$U$4,0))*(1+INDEX('R&amp;B Inputs'!$H$46:$U$46,MATCH($B277,'R&amp;B Inputs'!$H$4:$U$4,0)))^(O$7-Year1))</f>
        <v>4.271893828439878E-2</v>
      </c>
      <c r="P278" s="506">
        <f>IF(P$8=0,0,INDEX('R&amp;B Inputs'!$H$73:$U$73,MATCH($B277,'R&amp;B Inputs'!$H$4:$U$4,0))*(1+INDEX('R&amp;B Inputs'!$H$46:$U$46,MATCH($B277,'R&amp;B Inputs'!$H$4:$U$4,0)))^(P$7-Year1))</f>
        <v>4.271893828439878E-2</v>
      </c>
      <c r="Q278" s="506">
        <f>IF(Q$8=0,0,INDEX('R&amp;B Inputs'!$H$73:$U$73,MATCH($B277,'R&amp;B Inputs'!$H$4:$U$4,0))*(1+INDEX('R&amp;B Inputs'!$H$46:$U$46,MATCH($B277,'R&amp;B Inputs'!$H$4:$U$4,0)))^(Q$7-Year1))</f>
        <v>4.271893828439878E-2</v>
      </c>
      <c r="R278" s="506">
        <f>IF(R$8=0,0,INDEX('R&amp;B Inputs'!$H$73:$U$73,MATCH($B277,'R&amp;B Inputs'!$H$4:$U$4,0))*(1+INDEX('R&amp;B Inputs'!$H$46:$U$46,MATCH($B277,'R&amp;B Inputs'!$H$4:$U$4,0)))^(R$7-Year1))</f>
        <v>4.271893828439878E-2</v>
      </c>
      <c r="S278" s="506">
        <f>IF(S$8=0,0,INDEX('R&amp;B Inputs'!$H$73:$U$73,MATCH($B277,'R&amp;B Inputs'!$H$4:$U$4,0))*(1+INDEX('R&amp;B Inputs'!$H$46:$U$46,MATCH($B277,'R&amp;B Inputs'!$H$4:$U$4,0)))^(S$7-Year1))</f>
        <v>4.271893828439878E-2</v>
      </c>
      <c r="T278" s="506">
        <f>IF(T$8=0,0,INDEX('R&amp;B Inputs'!$H$73:$U$73,MATCH($B277,'R&amp;B Inputs'!$H$4:$U$4,0))*(1+INDEX('R&amp;B Inputs'!$H$46:$U$46,MATCH($B277,'R&amp;B Inputs'!$H$4:$U$4,0)))^(T$7-Year1))</f>
        <v>4.271893828439878E-2</v>
      </c>
      <c r="U278" s="506">
        <f>IF(U$8=0,0,INDEX('R&amp;B Inputs'!$H$73:$U$73,MATCH($B277,'R&amp;B Inputs'!$H$4:$U$4,0))*(1+INDEX('R&amp;B Inputs'!$H$46:$U$46,MATCH($B277,'R&amp;B Inputs'!$H$4:$U$4,0)))^(U$7-Year1))</f>
        <v>4.271893828439878E-2</v>
      </c>
      <c r="V278" s="506">
        <f>IF(V$8=0,0,INDEX('R&amp;B Inputs'!$H$73:$U$73,MATCH($B277,'R&amp;B Inputs'!$H$4:$U$4,0))*(1+INDEX('R&amp;B Inputs'!$H$46:$U$46,MATCH($B277,'R&amp;B Inputs'!$H$4:$U$4,0)))^(V$7-Year1))</f>
        <v>4.271893828439878E-2</v>
      </c>
      <c r="W278" s="506">
        <f>IF(W$8=0,0,INDEX('R&amp;B Inputs'!$H$73:$U$73,MATCH($B277,'R&amp;B Inputs'!$H$4:$U$4,0))*(1+INDEX('R&amp;B Inputs'!$H$46:$U$46,MATCH($B277,'R&amp;B Inputs'!$H$4:$U$4,0)))^(W$7-Year1))</f>
        <v>4.271893828439878E-2</v>
      </c>
      <c r="X278" s="506">
        <f>IF(X$8=0,0,INDEX('R&amp;B Inputs'!$H$73:$U$73,MATCH($B277,'R&amp;B Inputs'!$H$4:$U$4,0))*(1+INDEX('R&amp;B Inputs'!$H$46:$U$46,MATCH($B277,'R&amp;B Inputs'!$H$4:$U$4,0)))^(X$7-Year1))</f>
        <v>4.271893828439878E-2</v>
      </c>
      <c r="Y278" s="506">
        <f>IF(Y$8=0,0,INDEX('R&amp;B Inputs'!$H$73:$U$73,MATCH($B277,'R&amp;B Inputs'!$H$4:$U$4,0))*(1+INDEX('R&amp;B Inputs'!$H$46:$U$46,MATCH($B277,'R&amp;B Inputs'!$H$4:$U$4,0)))^(Y$7-Year1))</f>
        <v>4.271893828439878E-2</v>
      </c>
      <c r="Z278" s="506">
        <f>IF(Z$8=0,0,INDEX('R&amp;B Inputs'!$H$73:$U$73,MATCH($B277,'R&amp;B Inputs'!$H$4:$U$4,0))*(1+INDEX('R&amp;B Inputs'!$H$46:$U$46,MATCH($B277,'R&amp;B Inputs'!$H$4:$U$4,0)))^(Z$7-Year1))</f>
        <v>4.271893828439878E-2</v>
      </c>
      <c r="AA278" s="506">
        <f>IF(AA$8=0,0,INDEX('R&amp;B Inputs'!$H$73:$U$73,MATCH($B277,'R&amp;B Inputs'!$H$4:$U$4,0))*(1+INDEX('R&amp;B Inputs'!$H$46:$U$46,MATCH($B277,'R&amp;B Inputs'!$H$4:$U$4,0)))^(AA$7-Year1))</f>
        <v>4.271893828439878E-2</v>
      </c>
      <c r="AB278" s="506">
        <f>IF(AB$8=0,0,INDEX('R&amp;B Inputs'!$H$73:$U$73,MATCH($B277,'R&amp;B Inputs'!$H$4:$U$4,0))*(1+INDEX('R&amp;B Inputs'!$H$46:$U$46,MATCH($B277,'R&amp;B Inputs'!$H$4:$U$4,0)))^(AB$7-Year1))</f>
        <v>4.271893828439878E-2</v>
      </c>
      <c r="AC278" s="506">
        <f>IF(AC$8=0,0,INDEX('R&amp;B Inputs'!$H$73:$U$73,MATCH($B277,'R&amp;B Inputs'!$H$4:$U$4,0))*(1+INDEX('R&amp;B Inputs'!$H$46:$U$46,MATCH($B277,'R&amp;B Inputs'!$H$4:$U$4,0)))^(AC$7-Year1))</f>
        <v>4.271893828439878E-2</v>
      </c>
      <c r="AD278" s="506">
        <f>IF(AD$8=0,0,INDEX('R&amp;B Inputs'!$H$73:$U$73,MATCH($B277,'R&amp;B Inputs'!$H$4:$U$4,0))*(1+INDEX('R&amp;B Inputs'!$H$46:$U$46,MATCH($B277,'R&amp;B Inputs'!$H$4:$U$4,0)))^(AD$7-Year1))</f>
        <v>4.271893828439878E-2</v>
      </c>
      <c r="AE278" s="506">
        <f>IF(AE$8=0,0,INDEX('R&amp;B Inputs'!$H$73:$U$73,MATCH($B277,'R&amp;B Inputs'!$H$4:$U$4,0))*(1+INDEX('R&amp;B Inputs'!$H$46:$U$46,MATCH($B277,'R&amp;B Inputs'!$H$4:$U$4,0)))^(AE$7-Year1))</f>
        <v>4.271893828439878E-2</v>
      </c>
      <c r="AF278" s="506">
        <f>IF(AF$8=0,0,INDEX('R&amp;B Inputs'!$H$73:$U$73,MATCH($B277,'R&amp;B Inputs'!$H$4:$U$4,0))*(1+INDEX('R&amp;B Inputs'!$H$46:$U$46,MATCH($B277,'R&amp;B Inputs'!$H$4:$U$4,0)))^(AF$7-Year1))</f>
        <v>4.271893828439878E-2</v>
      </c>
      <c r="AG278" s="506">
        <f>IF(AG$8=0,0,INDEX('R&amp;B Inputs'!$H$73:$U$73,MATCH($B277,'R&amp;B Inputs'!$H$4:$U$4,0))*(1+INDEX('R&amp;B Inputs'!$H$46:$U$46,MATCH($B277,'R&amp;B Inputs'!$H$4:$U$4,0)))^(AG$7-Year1))</f>
        <v>4.271893828439878E-2</v>
      </c>
      <c r="AH278" s="506"/>
      <c r="AI278" s="506"/>
      <c r="AJ278" s="506">
        <f>IF($C$4=Year1,-PMT(Lookups!$E$17,25,NPV(Lookups!$E$17,G278:AE278),0,1),IF($C$4=Year2,-PMT(Lookups!$F$17,25,NPV(Lookups!$F$17,H278:AF278),0,1),IF($C$4=Year3,-PMT(Lookups!$G$17,25,NPV(Lookups!$G$17,I278:AG278),0,1),-PMT(Lookups!$G$17,27,NPV(Lookups!$G$17,G278:AG278),0,1))))</f>
        <v>4.2123148733507407E-2</v>
      </c>
      <c r="AK278" s="507"/>
      <c r="AL278" s="507"/>
      <c r="AM278" s="508">
        <f>IF(AM$8=0,0,INDEX('R&amp;B Inputs'!$H$73:$U$73,MATCH($B277,'R&amp;B Inputs'!$H$4:$U$4,0))*(1+INDEX('R&amp;B Inputs'!$H$46:$U$46,MATCH($B277,'R&amp;B Inputs'!$H$4:$U$4,0)))^(AM$7-Year1))</f>
        <v>4.271893828439878E-2</v>
      </c>
      <c r="AN278" s="508">
        <f>IF(AN$8=0,0,INDEX('R&amp;B Inputs'!$H$73:$U$73,MATCH($B277,'R&amp;B Inputs'!$H$4:$U$4,0))*(1+INDEX('R&amp;B Inputs'!$H$46:$U$46,MATCH($B277,'R&amp;B Inputs'!$H$4:$U$4,0)))^(AN$7-Year1))</f>
        <v>4.271893828439878E-2</v>
      </c>
      <c r="AO278" s="508">
        <f>IF(AO$8=0,0,INDEX('R&amp;B Inputs'!$H$73:$U$73,MATCH($B277,'R&amp;B Inputs'!$H$4:$U$4,0))*(1+INDEX('R&amp;B Inputs'!$H$46:$U$46,MATCH($B277,'R&amp;B Inputs'!$H$4:$U$4,0)))^(AO$7-Year1))</f>
        <v>4.271893828439878E-2</v>
      </c>
      <c r="AP278" s="508">
        <f>IF(AP$8=0,0,INDEX('R&amp;B Inputs'!$H$73:$U$73,MATCH($B277,'R&amp;B Inputs'!$H$4:$U$4,0))*(1+INDEX('R&amp;B Inputs'!$H$46:$U$46,MATCH($B277,'R&amp;B Inputs'!$H$4:$U$4,0)))^(AP$7-Year1))</f>
        <v>4.271893828439878E-2</v>
      </c>
      <c r="AQ278" s="508">
        <f>IF(AQ$8=0,0,INDEX('R&amp;B Inputs'!$H$73:$U$73,MATCH($B277,'R&amp;B Inputs'!$H$4:$U$4,0))*(1+INDEX('R&amp;B Inputs'!$H$46:$U$46,MATCH($B277,'R&amp;B Inputs'!$H$4:$U$4,0)))^(AQ$7-Year1))</f>
        <v>4.271893828439878E-2</v>
      </c>
      <c r="AR278" s="508">
        <f>IF(AR$8=0,0,INDEX('R&amp;B Inputs'!$H$73:$U$73,MATCH($B277,'R&amp;B Inputs'!$H$4:$U$4,0))*(1+INDEX('R&amp;B Inputs'!$H$46:$U$46,MATCH($B277,'R&amp;B Inputs'!$H$4:$U$4,0)))^(AR$7-Year1))</f>
        <v>4.271893828439878E-2</v>
      </c>
      <c r="AS278" s="508">
        <f>IF(AS$8=0,0,INDEX('R&amp;B Inputs'!$H$73:$U$73,MATCH($B277,'R&amp;B Inputs'!$H$4:$U$4,0))*(1+INDEX('R&amp;B Inputs'!$H$46:$U$46,MATCH($B277,'R&amp;B Inputs'!$H$4:$U$4,0)))^(AS$7-Year1))</f>
        <v>4.271893828439878E-2</v>
      </c>
      <c r="AT278" s="508">
        <f>IF(AT$8=0,0,INDEX('R&amp;B Inputs'!$H$73:$U$73,MATCH($B277,'R&amp;B Inputs'!$H$4:$U$4,0))*(1+INDEX('R&amp;B Inputs'!$H$46:$U$46,MATCH($B277,'R&amp;B Inputs'!$H$4:$U$4,0)))^(AT$7-Year1))</f>
        <v>4.271893828439878E-2</v>
      </c>
      <c r="AU278" s="508">
        <f>IF(AU$8=0,0,INDEX('R&amp;B Inputs'!$H$73:$U$73,MATCH($B277,'R&amp;B Inputs'!$H$4:$U$4,0))*(1+INDEX('R&amp;B Inputs'!$H$46:$U$46,MATCH($B277,'R&amp;B Inputs'!$H$4:$U$4,0)))^(AU$7-Year1))</f>
        <v>4.271893828439878E-2</v>
      </c>
      <c r="AV278" s="508">
        <f>IF(AV$8=0,0,INDEX('R&amp;B Inputs'!$H$73:$U$73,MATCH($B277,'R&amp;B Inputs'!$H$4:$U$4,0))*(1+INDEX('R&amp;B Inputs'!$H$46:$U$46,MATCH($B277,'R&amp;B Inputs'!$H$4:$U$4,0)))^(AV$7-Year1))</f>
        <v>4.271893828439878E-2</v>
      </c>
      <c r="AW278" s="508">
        <f>IF(AW$8=0,0,INDEX('R&amp;B Inputs'!$H$73:$U$73,MATCH($B277,'R&amp;B Inputs'!$H$4:$U$4,0))*(1+INDEX('R&amp;B Inputs'!$H$46:$U$46,MATCH($B277,'R&amp;B Inputs'!$H$4:$U$4,0)))^(AW$7-Year1))</f>
        <v>4.271893828439878E-2</v>
      </c>
      <c r="AX278" s="508">
        <f>IF(AX$8=0,0,INDEX('R&amp;B Inputs'!$H$73:$U$73,MATCH($B277,'R&amp;B Inputs'!$H$4:$U$4,0))*(1+INDEX('R&amp;B Inputs'!$H$46:$U$46,MATCH($B277,'R&amp;B Inputs'!$H$4:$U$4,0)))^(AX$7-Year1))</f>
        <v>4.271893828439878E-2</v>
      </c>
      <c r="AY278" s="508">
        <f>IF(AY$8=0,0,INDEX('R&amp;B Inputs'!$H$73:$U$73,MATCH($B277,'R&amp;B Inputs'!$H$4:$U$4,0))*(1+INDEX('R&amp;B Inputs'!$H$46:$U$46,MATCH($B277,'R&amp;B Inputs'!$H$4:$U$4,0)))^(AY$7-Year1))</f>
        <v>4.271893828439878E-2</v>
      </c>
      <c r="AZ278" s="508">
        <f>IF(AZ$8=0,0,INDEX('R&amp;B Inputs'!$H$73:$U$73,MATCH($B277,'R&amp;B Inputs'!$H$4:$U$4,0))*(1+INDEX('R&amp;B Inputs'!$H$46:$U$46,MATCH($B277,'R&amp;B Inputs'!$H$4:$U$4,0)))^(AZ$7-Year1))</f>
        <v>4.271893828439878E-2</v>
      </c>
      <c r="BA278" s="508">
        <f>IF(BA$8=0,0,INDEX('R&amp;B Inputs'!$H$73:$U$73,MATCH($B277,'R&amp;B Inputs'!$H$4:$U$4,0))*(1+INDEX('R&amp;B Inputs'!$H$46:$U$46,MATCH($B277,'R&amp;B Inputs'!$H$4:$U$4,0)))^(BA$7-Year1))</f>
        <v>4.271893828439878E-2</v>
      </c>
      <c r="BB278" s="508">
        <f>IF(BB$8=0,0,INDEX('R&amp;B Inputs'!$H$73:$U$73,MATCH($B277,'R&amp;B Inputs'!$H$4:$U$4,0))*(1+INDEX('R&amp;B Inputs'!$H$46:$U$46,MATCH($B277,'R&amp;B Inputs'!$H$4:$U$4,0)))^(BB$7-Year1))</f>
        <v>4.271893828439878E-2</v>
      </c>
      <c r="BC278" s="508">
        <f>IF(BC$8=0,0,INDEX('R&amp;B Inputs'!$H$73:$U$73,MATCH($B277,'R&amp;B Inputs'!$H$4:$U$4,0))*(1+INDEX('R&amp;B Inputs'!$H$46:$U$46,MATCH($B277,'R&amp;B Inputs'!$H$4:$U$4,0)))^(BC$7-Year1))</f>
        <v>4.271893828439878E-2</v>
      </c>
      <c r="BD278" s="508">
        <f>IF(BD$8=0,0,INDEX('R&amp;B Inputs'!$H$73:$U$73,MATCH($B277,'R&amp;B Inputs'!$H$4:$U$4,0))*(1+INDEX('R&amp;B Inputs'!$H$46:$U$46,MATCH($B277,'R&amp;B Inputs'!$H$4:$U$4,0)))^(BD$7-Year1))</f>
        <v>4.271893828439878E-2</v>
      </c>
      <c r="BE278" s="508">
        <f>IF(BE$8=0,0,INDEX('R&amp;B Inputs'!$H$73:$U$73,MATCH($B277,'R&amp;B Inputs'!$H$4:$U$4,0))*(1+INDEX('R&amp;B Inputs'!$H$46:$U$46,MATCH($B277,'R&amp;B Inputs'!$H$4:$U$4,0)))^(BE$7-Year1))</f>
        <v>4.271893828439878E-2</v>
      </c>
      <c r="BF278" s="508">
        <f>IF(BF$8=0,0,INDEX('R&amp;B Inputs'!$H$73:$U$73,MATCH($B277,'R&amp;B Inputs'!$H$4:$U$4,0))*(1+INDEX('R&amp;B Inputs'!$H$46:$U$46,MATCH($B277,'R&amp;B Inputs'!$H$4:$U$4,0)))^(BF$7-Year1))</f>
        <v>4.271893828439878E-2</v>
      </c>
      <c r="BG278" s="508">
        <f>IF(BG$8=0,0,INDEX('R&amp;B Inputs'!$H$73:$U$73,MATCH($B277,'R&amp;B Inputs'!$H$4:$U$4,0))*(1+INDEX('R&amp;B Inputs'!$H$46:$U$46,MATCH($B277,'R&amp;B Inputs'!$H$4:$U$4,0)))^(BG$7-Year1))</f>
        <v>4.271893828439878E-2</v>
      </c>
      <c r="BH278" s="508">
        <f>IF(BH$8=0,0,INDEX('R&amp;B Inputs'!$H$73:$U$73,MATCH($B277,'R&amp;B Inputs'!$H$4:$U$4,0))*(1+INDEX('R&amp;B Inputs'!$H$46:$U$46,MATCH($B277,'R&amp;B Inputs'!$H$4:$U$4,0)))^(BH$7-Year1))</f>
        <v>4.271893828439878E-2</v>
      </c>
      <c r="BI278" s="508">
        <f>IF(BI$8=0,0,INDEX('R&amp;B Inputs'!$H$73:$U$73,MATCH($B277,'R&amp;B Inputs'!$H$4:$U$4,0))*(1+INDEX('R&amp;B Inputs'!$H$46:$U$46,MATCH($B277,'R&amp;B Inputs'!$H$4:$U$4,0)))^(BI$7-Year1))</f>
        <v>4.271893828439878E-2</v>
      </c>
      <c r="BJ278" s="508">
        <f>IF(BJ$8=0,0,INDEX('R&amp;B Inputs'!$H$73:$U$73,MATCH($B277,'R&amp;B Inputs'!$H$4:$U$4,0))*(1+INDEX('R&amp;B Inputs'!$H$46:$U$46,MATCH($B277,'R&amp;B Inputs'!$H$4:$U$4,0)))^(BJ$7-Year1))</f>
        <v>4.271893828439878E-2</v>
      </c>
      <c r="BK278" s="508">
        <f>IF(BK$8=0,0,INDEX('R&amp;B Inputs'!$H$73:$U$73,MATCH($B277,'R&amp;B Inputs'!$H$4:$U$4,0))*(1+INDEX('R&amp;B Inputs'!$H$46:$U$46,MATCH($B277,'R&amp;B Inputs'!$H$4:$U$4,0)))^(BK$7-Year1))</f>
        <v>4.271893828439878E-2</v>
      </c>
      <c r="BL278" s="508">
        <f>IF(BL$8=0,0,INDEX('R&amp;B Inputs'!$H$73:$U$73,MATCH($B277,'R&amp;B Inputs'!$H$4:$U$4,0))*(1+INDEX('R&amp;B Inputs'!$H$46:$U$46,MATCH($B277,'R&amp;B Inputs'!$H$4:$U$4,0)))^(BL$7-Year1))</f>
        <v>4.271893828439878E-2</v>
      </c>
      <c r="BM278" s="508">
        <f>IF(BM$8=0,0,INDEX('R&amp;B Inputs'!$H$73:$U$73,MATCH($B277,'R&amp;B Inputs'!$H$4:$U$4,0))*(1+INDEX('R&amp;B Inputs'!$H$46:$U$46,MATCH($B277,'R&amp;B Inputs'!$H$4:$U$4,0)))^(BM$7-Year1))</f>
        <v>4.271893828439878E-2</v>
      </c>
      <c r="BN278" s="508"/>
      <c r="BO278" s="508"/>
      <c r="BP278" s="508">
        <f>IF($C$4=Year1,-PMT(Lookups!$E$17,25,NPV(Lookups!$E$17,AM278:BK278),0,1),IF($C$4=Year2,-PMT(Lookups!$F$17,25,NPV(Lookups!$F$17,AN278:BL278),0,1),IF($C$4=Year3,-PMT(Lookups!$G$17,25,NPV(Lookups!$G$17,AO278:BM278),0,1),-PMT(Lookups!$G$17,27,NPV(Lookups!$G$17,AM278:BM278),0,1))))</f>
        <v>4.2123148733507407E-2</v>
      </c>
      <c r="BS278" s="84" t="str">
        <f>E278&amp;" charge from the R&amp;B Inputs tab, escalated annually by the growth rate included on the R&amp;B Inputs tab."</f>
        <v>Customer Charge charge from the R&amp;B Inputs tab, escalated annually by the growth rate included on the R&amp;B Inputs tab.</v>
      </c>
      <c r="BT278" s="51" t="s">
        <v>17</v>
      </c>
    </row>
    <row r="279" spans="1:72" x14ac:dyDescent="0.25">
      <c r="B279" s="243" t="str">
        <f>B277</f>
        <v>Large C&amp;I</v>
      </c>
      <c r="C279" s="243" t="str">
        <f>C277</f>
        <v>Rates</v>
      </c>
      <c r="D279" s="244" t="str">
        <f>D277</f>
        <v>Rates before DSM (No EE Scenario)</v>
      </c>
      <c r="E279" s="84" t="s">
        <v>76</v>
      </c>
      <c r="F279" s="84" t="s">
        <v>182</v>
      </c>
      <c r="G279" s="506">
        <f>SUM(G275:G278)</f>
        <v>0.78501893828439873</v>
      </c>
      <c r="H279" s="506">
        <f t="shared" ref="H279:AG279" si="296">SUM(H275:H278)</f>
        <v>0.78501893828439873</v>
      </c>
      <c r="I279" s="506">
        <f t="shared" si="296"/>
        <v>0.78501893828439873</v>
      </c>
      <c r="J279" s="506">
        <f t="shared" si="296"/>
        <v>0.78501893828439873</v>
      </c>
      <c r="K279" s="506">
        <f t="shared" si="296"/>
        <v>0.78501893828439873</v>
      </c>
      <c r="L279" s="506">
        <f t="shared" si="296"/>
        <v>0.78501893828439873</v>
      </c>
      <c r="M279" s="506">
        <f t="shared" si="296"/>
        <v>0.78501893828439873</v>
      </c>
      <c r="N279" s="506">
        <f t="shared" si="296"/>
        <v>0.78501893828439873</v>
      </c>
      <c r="O279" s="506">
        <f t="shared" si="296"/>
        <v>0.78501893828439873</v>
      </c>
      <c r="P279" s="506">
        <f t="shared" si="296"/>
        <v>0.78501893828439873</v>
      </c>
      <c r="Q279" s="506">
        <f t="shared" si="296"/>
        <v>0.78501893828439873</v>
      </c>
      <c r="R279" s="506">
        <f t="shared" si="296"/>
        <v>0.78501893828439873</v>
      </c>
      <c r="S279" s="506">
        <f t="shared" si="296"/>
        <v>0.78501893828439873</v>
      </c>
      <c r="T279" s="506">
        <f t="shared" si="296"/>
        <v>0.78501893828439873</v>
      </c>
      <c r="U279" s="506">
        <f t="shared" si="296"/>
        <v>0.78501893828439873</v>
      </c>
      <c r="V279" s="506">
        <f t="shared" si="296"/>
        <v>0.78501893828439873</v>
      </c>
      <c r="W279" s="506">
        <f t="shared" si="296"/>
        <v>0.78501893828439873</v>
      </c>
      <c r="X279" s="506">
        <f t="shared" si="296"/>
        <v>0.78501893828439873</v>
      </c>
      <c r="Y279" s="506">
        <f t="shared" si="296"/>
        <v>0.78501893828439873</v>
      </c>
      <c r="Z279" s="506">
        <f t="shared" si="296"/>
        <v>0.78501893828439873</v>
      </c>
      <c r="AA279" s="506">
        <f t="shared" si="296"/>
        <v>0.78501893828439873</v>
      </c>
      <c r="AB279" s="506">
        <f t="shared" si="296"/>
        <v>0.78501893828439873</v>
      </c>
      <c r="AC279" s="506">
        <f t="shared" si="296"/>
        <v>0.78501893828439873</v>
      </c>
      <c r="AD279" s="506">
        <f t="shared" si="296"/>
        <v>0.78501893828439873</v>
      </c>
      <c r="AE279" s="506">
        <f t="shared" si="296"/>
        <v>0.78501893828439873</v>
      </c>
      <c r="AF279" s="506">
        <f t="shared" si="296"/>
        <v>0.78501893828439873</v>
      </c>
      <c r="AG279" s="506">
        <f t="shared" si="296"/>
        <v>0.78501893828439873</v>
      </c>
      <c r="AH279" s="506"/>
      <c r="AI279" s="506"/>
      <c r="AJ279" s="506">
        <f>IF($C$4=Year1,-PMT(Lookups!$E$17,25,NPV(Lookups!$E$17,G279:AE279),0,1),IF($C$4=Year2,-PMT(Lookups!$F$17,25,NPV(Lookups!$F$17,H279:AF279),0,1),IF($C$4=Year3,-PMT(Lookups!$G$17,25,NPV(Lookups!$G$17,I279:AG279),0,1),-PMT(Lookups!$G$17,27,NPV(Lookups!$G$17,G279:AG279),0,1))))</f>
        <v>0.77407049013786566</v>
      </c>
      <c r="AK279" s="507"/>
      <c r="AL279" s="507"/>
      <c r="AM279" s="508">
        <f>SUM(AM275:AM278)</f>
        <v>0.78501893828439873</v>
      </c>
      <c r="AN279" s="508">
        <f t="shared" ref="AN279:BM279" si="297">SUM(AN275:AN278)</f>
        <v>0.78501893828439873</v>
      </c>
      <c r="AO279" s="508">
        <f t="shared" si="297"/>
        <v>0.78501893828439873</v>
      </c>
      <c r="AP279" s="508">
        <f t="shared" si="297"/>
        <v>0.78501893828439873</v>
      </c>
      <c r="AQ279" s="508">
        <f t="shared" si="297"/>
        <v>0.78501893828439873</v>
      </c>
      <c r="AR279" s="508">
        <f t="shared" si="297"/>
        <v>0.78501893828439873</v>
      </c>
      <c r="AS279" s="508">
        <f t="shared" si="297"/>
        <v>0.78501893828439873</v>
      </c>
      <c r="AT279" s="508">
        <f t="shared" si="297"/>
        <v>0.78501893828439873</v>
      </c>
      <c r="AU279" s="508">
        <f t="shared" si="297"/>
        <v>0.78501893828439873</v>
      </c>
      <c r="AV279" s="508">
        <f t="shared" si="297"/>
        <v>0.78501893828439873</v>
      </c>
      <c r="AW279" s="508">
        <f t="shared" si="297"/>
        <v>0.78501893828439873</v>
      </c>
      <c r="AX279" s="508">
        <f t="shared" si="297"/>
        <v>0.78501893828439873</v>
      </c>
      <c r="AY279" s="508">
        <f t="shared" si="297"/>
        <v>0.78501893828439873</v>
      </c>
      <c r="AZ279" s="508">
        <f t="shared" si="297"/>
        <v>0.78501893828439873</v>
      </c>
      <c r="BA279" s="508">
        <f t="shared" si="297"/>
        <v>0.78501893828439873</v>
      </c>
      <c r="BB279" s="508">
        <f t="shared" si="297"/>
        <v>0.78501893828439873</v>
      </c>
      <c r="BC279" s="508">
        <f t="shared" si="297"/>
        <v>0.78501893828439873</v>
      </c>
      <c r="BD279" s="508">
        <f t="shared" si="297"/>
        <v>0.78501893828439873</v>
      </c>
      <c r="BE279" s="508">
        <f t="shared" si="297"/>
        <v>0.78501893828439873</v>
      </c>
      <c r="BF279" s="508">
        <f t="shared" si="297"/>
        <v>0.78501893828439873</v>
      </c>
      <c r="BG279" s="508">
        <f t="shared" si="297"/>
        <v>0.78501893828439873</v>
      </c>
      <c r="BH279" s="508">
        <f t="shared" si="297"/>
        <v>0.78501893828439873</v>
      </c>
      <c r="BI279" s="508">
        <f t="shared" si="297"/>
        <v>0.78501893828439873</v>
      </c>
      <c r="BJ279" s="508">
        <f t="shared" si="297"/>
        <v>0.78501893828439873</v>
      </c>
      <c r="BK279" s="508">
        <f t="shared" si="297"/>
        <v>0.78501893828439873</v>
      </c>
      <c r="BL279" s="508">
        <f t="shared" si="297"/>
        <v>0.78501893828439873</v>
      </c>
      <c r="BM279" s="508">
        <f t="shared" si="297"/>
        <v>0.78501893828439873</v>
      </c>
      <c r="BN279" s="508"/>
      <c r="BO279" s="508"/>
      <c r="BP279" s="508">
        <f>IF($C$4=Year1,-PMT(Lookups!$E$17,25,NPV(Lookups!$E$17,AM279:BK279),0,1),IF($C$4=Year2,-PMT(Lookups!$F$17,25,NPV(Lookups!$F$17,AN279:BL279),0,1),IF($C$4=Year3,-PMT(Lookups!$G$17,25,NPV(Lookups!$G$17,AO279:BM279),0,1),-PMT(Lookups!$G$17,27,NPV(Lookups!$G$17,AM279:BM279),0,1))))</f>
        <v>0.77407049013786566</v>
      </c>
      <c r="BS279" s="84" t="s">
        <v>94</v>
      </c>
      <c r="BT279" s="51" t="s">
        <v>17</v>
      </c>
    </row>
    <row r="280" spans="1:72" x14ac:dyDescent="0.25">
      <c r="B280" s="243" t="str">
        <f>B278</f>
        <v>Large C&amp;I</v>
      </c>
      <c r="C280" s="243" t="str">
        <f>C278</f>
        <v>Rates</v>
      </c>
      <c r="D280" s="114" t="s">
        <v>24</v>
      </c>
      <c r="E280" s="86"/>
      <c r="F280" s="8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89"/>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S280" s="84"/>
      <c r="BT280" s="51" t="s">
        <v>17</v>
      </c>
    </row>
    <row r="281" spans="1:72" x14ac:dyDescent="0.25">
      <c r="B281" s="243" t="str">
        <f t="shared" ref="B281:D282" si="298">B280</f>
        <v>Large C&amp;I</v>
      </c>
      <c r="C281" s="243" t="str">
        <f t="shared" si="298"/>
        <v>Rates</v>
      </c>
      <c r="D281" s="244" t="str">
        <f t="shared" si="298"/>
        <v>Avoided Costs</v>
      </c>
      <c r="E281" s="84" t="s">
        <v>45</v>
      </c>
      <c r="F281" s="84" t="s">
        <v>182</v>
      </c>
      <c r="G281" s="506">
        <f ca="1">IFERROR(-G262/G254,0)</f>
        <v>-6.0489364691856617E-2</v>
      </c>
      <c r="H281" s="506">
        <f t="shared" ref="H281:AG281" ca="1" si="299">IFERROR(-H262/H254,0)</f>
        <v>-6.0489364691856617E-2</v>
      </c>
      <c r="I281" s="506">
        <f t="shared" ca="1" si="299"/>
        <v>-6.0489364691856617E-2</v>
      </c>
      <c r="J281" s="506">
        <f t="shared" ca="1" si="299"/>
        <v>-6.0489364691856617E-2</v>
      </c>
      <c r="K281" s="506">
        <f t="shared" ca="1" si="299"/>
        <v>-6.0489364691856617E-2</v>
      </c>
      <c r="L281" s="506">
        <f t="shared" ca="1" si="299"/>
        <v>-6.0489364691856617E-2</v>
      </c>
      <c r="M281" s="506">
        <f t="shared" ca="1" si="299"/>
        <v>-6.0489364691856617E-2</v>
      </c>
      <c r="N281" s="506">
        <f t="shared" ca="1" si="299"/>
        <v>-6.0489364691856617E-2</v>
      </c>
      <c r="O281" s="506">
        <f t="shared" ca="1" si="299"/>
        <v>-6.0489364691856617E-2</v>
      </c>
      <c r="P281" s="506">
        <f t="shared" ca="1" si="299"/>
        <v>-6.0489364691856617E-2</v>
      </c>
      <c r="Q281" s="506">
        <f t="shared" ca="1" si="299"/>
        <v>-6.0489364691856617E-2</v>
      </c>
      <c r="R281" s="506">
        <f t="shared" ca="1" si="299"/>
        <v>-6.0489364691856617E-2</v>
      </c>
      <c r="S281" s="506">
        <f t="shared" ca="1" si="299"/>
        <v>-6.0489364691856617E-2</v>
      </c>
      <c r="T281" s="506">
        <f t="shared" ca="1" si="299"/>
        <v>0</v>
      </c>
      <c r="U281" s="506">
        <f t="shared" ca="1" si="299"/>
        <v>0</v>
      </c>
      <c r="V281" s="506">
        <f t="shared" ca="1" si="299"/>
        <v>0</v>
      </c>
      <c r="W281" s="506">
        <f t="shared" ca="1" si="299"/>
        <v>0</v>
      </c>
      <c r="X281" s="506">
        <f t="shared" ca="1" si="299"/>
        <v>0</v>
      </c>
      <c r="Y281" s="506">
        <f t="shared" ca="1" si="299"/>
        <v>0</v>
      </c>
      <c r="Z281" s="506">
        <f t="shared" ca="1" si="299"/>
        <v>0</v>
      </c>
      <c r="AA281" s="506">
        <f t="shared" ca="1" si="299"/>
        <v>0</v>
      </c>
      <c r="AB281" s="506">
        <f t="shared" ca="1" si="299"/>
        <v>0</v>
      </c>
      <c r="AC281" s="506">
        <f t="shared" ca="1" si="299"/>
        <v>0</v>
      </c>
      <c r="AD281" s="506">
        <f t="shared" ca="1" si="299"/>
        <v>0</v>
      </c>
      <c r="AE281" s="506">
        <f t="shared" ca="1" si="299"/>
        <v>0</v>
      </c>
      <c r="AF281" s="506">
        <f t="shared" ca="1" si="299"/>
        <v>0</v>
      </c>
      <c r="AG281" s="506">
        <f t="shared" ca="1" si="299"/>
        <v>0</v>
      </c>
      <c r="AH281" s="506"/>
      <c r="AI281" s="506"/>
      <c r="AJ281" s="506">
        <f ca="1">IF($C$4=Year1,-PMT(Lookups!$E$17,25,NPV(Lookups!$E$17,G281:AE281),0,1),IF($C$4=Year2,-PMT(Lookups!$F$17,25,NPV(Lookups!$F$17,H281:AF281),0,1),IF($C$4=Year3,-PMT(Lookups!$G$17,25,NPV(Lookups!$G$17,I281:AG281),0,1),-PMT(Lookups!$G$17,27,NPV(Lookups!$G$17,G281:AG281),0,1))))</f>
        <v>-3.3616686031064671E-2</v>
      </c>
      <c r="AK281" s="507"/>
      <c r="AL281" s="507"/>
      <c r="AM281" s="508">
        <f ca="1">IFERROR(-AM262/AM254,0)</f>
        <v>-7.0028695841845137E-2</v>
      </c>
      <c r="AN281" s="508">
        <f t="shared" ref="AN281:BM281" ca="1" si="300">IFERROR(-AN262/AN254,0)</f>
        <v>-7.0028695841845137E-2</v>
      </c>
      <c r="AO281" s="508">
        <f t="shared" ca="1" si="300"/>
        <v>-7.0028695841845137E-2</v>
      </c>
      <c r="AP281" s="508">
        <f t="shared" ca="1" si="300"/>
        <v>-7.0028695841845137E-2</v>
      </c>
      <c r="AQ281" s="508">
        <f t="shared" ca="1" si="300"/>
        <v>-7.0028695841845137E-2</v>
      </c>
      <c r="AR281" s="508">
        <f t="shared" ca="1" si="300"/>
        <v>-7.0028695841845137E-2</v>
      </c>
      <c r="AS281" s="508">
        <f t="shared" ca="1" si="300"/>
        <v>-7.0028695841845137E-2</v>
      </c>
      <c r="AT281" s="508">
        <f t="shared" ca="1" si="300"/>
        <v>-7.0028695841845137E-2</v>
      </c>
      <c r="AU281" s="508">
        <f t="shared" ca="1" si="300"/>
        <v>-7.0028695841845137E-2</v>
      </c>
      <c r="AV281" s="508">
        <f t="shared" ca="1" si="300"/>
        <v>-7.0028695841845137E-2</v>
      </c>
      <c r="AW281" s="508">
        <f t="shared" ca="1" si="300"/>
        <v>-7.0028695841845137E-2</v>
      </c>
      <c r="AX281" s="508">
        <f t="shared" ca="1" si="300"/>
        <v>-7.0028695841845137E-2</v>
      </c>
      <c r="AY281" s="508">
        <f t="shared" ca="1" si="300"/>
        <v>-7.0028695841845137E-2</v>
      </c>
      <c r="AZ281" s="508">
        <f t="shared" ca="1" si="300"/>
        <v>0</v>
      </c>
      <c r="BA281" s="508">
        <f t="shared" ca="1" si="300"/>
        <v>0</v>
      </c>
      <c r="BB281" s="508">
        <f t="shared" ca="1" si="300"/>
        <v>0</v>
      </c>
      <c r="BC281" s="508">
        <f t="shared" ca="1" si="300"/>
        <v>0</v>
      </c>
      <c r="BD281" s="508">
        <f t="shared" ca="1" si="300"/>
        <v>0</v>
      </c>
      <c r="BE281" s="508">
        <f t="shared" ca="1" si="300"/>
        <v>0</v>
      </c>
      <c r="BF281" s="508">
        <f t="shared" ca="1" si="300"/>
        <v>0</v>
      </c>
      <c r="BG281" s="508">
        <f t="shared" ca="1" si="300"/>
        <v>0</v>
      </c>
      <c r="BH281" s="508">
        <f t="shared" ca="1" si="300"/>
        <v>0</v>
      </c>
      <c r="BI281" s="508">
        <f t="shared" ca="1" si="300"/>
        <v>0</v>
      </c>
      <c r="BJ281" s="508">
        <f t="shared" ca="1" si="300"/>
        <v>0</v>
      </c>
      <c r="BK281" s="508">
        <f t="shared" ca="1" si="300"/>
        <v>0</v>
      </c>
      <c r="BL281" s="508">
        <f t="shared" ca="1" si="300"/>
        <v>0</v>
      </c>
      <c r="BM281" s="508">
        <f t="shared" ca="1" si="300"/>
        <v>0</v>
      </c>
      <c r="BN281" s="508"/>
      <c r="BO281" s="508"/>
      <c r="BP281" s="508">
        <f ca="1">IF($C$4=Year1,-PMT(Lookups!$E$17,25,NPV(Lookups!$E$17,AM281:BK281),0,1),IF($C$4=Year2,-PMT(Lookups!$F$17,25,NPV(Lookups!$F$17,AN281:BL281),0,1),IF($C$4=Year3,-PMT(Lookups!$G$17,25,NPV(Lookups!$G$17,AO281:BM281),0,1),-PMT(Lookups!$G$17,27,NPV(Lookups!$G$17,AM281:BM281),0,1))))</f>
        <v>-3.8918125413824313E-2</v>
      </c>
      <c r="BS281" s="84" t="str">
        <f t="shared" ref="BS281:BS283" si="301">"Avoided "&amp;E281&amp;" avoided costs divided by After Scenario sales."</f>
        <v>Avoided Gas avoided costs divided by After Scenario sales.</v>
      </c>
      <c r="BT281" s="51" t="s">
        <v>17</v>
      </c>
    </row>
    <row r="282" spans="1:72" x14ac:dyDescent="0.25">
      <c r="B282" s="243" t="str">
        <f t="shared" si="298"/>
        <v>Large C&amp;I</v>
      </c>
      <c r="C282" s="243" t="str">
        <f t="shared" si="298"/>
        <v>Rates</v>
      </c>
      <c r="D282" s="244" t="str">
        <f t="shared" si="298"/>
        <v>Avoided Costs</v>
      </c>
      <c r="E282" s="86" t="s">
        <v>412</v>
      </c>
      <c r="F282" s="84" t="s">
        <v>182</v>
      </c>
      <c r="G282" s="506">
        <f ca="1">IFERROR(-G263/G254,0)</f>
        <v>-3.8610232782036141E-3</v>
      </c>
      <c r="H282" s="506">
        <f t="shared" ref="H282:AG282" ca="1" si="302">IFERROR(-H263/H254,0)</f>
        <v>-3.8610232782036141E-3</v>
      </c>
      <c r="I282" s="506">
        <f t="shared" ca="1" si="302"/>
        <v>-3.8610232782036141E-3</v>
      </c>
      <c r="J282" s="506">
        <f t="shared" ca="1" si="302"/>
        <v>-3.8610232782036141E-3</v>
      </c>
      <c r="K282" s="506">
        <f t="shared" ca="1" si="302"/>
        <v>-3.8610232782036141E-3</v>
      </c>
      <c r="L282" s="506">
        <f t="shared" ca="1" si="302"/>
        <v>-3.8610232782036141E-3</v>
      </c>
      <c r="M282" s="506">
        <f t="shared" ca="1" si="302"/>
        <v>-3.8610232782036141E-3</v>
      </c>
      <c r="N282" s="506">
        <f t="shared" ca="1" si="302"/>
        <v>-3.8610232782036141E-3</v>
      </c>
      <c r="O282" s="506">
        <f t="shared" ca="1" si="302"/>
        <v>-3.8610232782036141E-3</v>
      </c>
      <c r="P282" s="506">
        <f t="shared" ca="1" si="302"/>
        <v>-3.8610232782036141E-3</v>
      </c>
      <c r="Q282" s="506">
        <f t="shared" ca="1" si="302"/>
        <v>-3.8610232782036141E-3</v>
      </c>
      <c r="R282" s="506">
        <f t="shared" ca="1" si="302"/>
        <v>-3.8610232782036141E-3</v>
      </c>
      <c r="S282" s="506">
        <f t="shared" ca="1" si="302"/>
        <v>-3.8610232782036141E-3</v>
      </c>
      <c r="T282" s="506">
        <f t="shared" ca="1" si="302"/>
        <v>0</v>
      </c>
      <c r="U282" s="506">
        <f t="shared" ca="1" si="302"/>
        <v>0</v>
      </c>
      <c r="V282" s="506">
        <f t="shared" ca="1" si="302"/>
        <v>0</v>
      </c>
      <c r="W282" s="506">
        <f t="shared" ca="1" si="302"/>
        <v>0</v>
      </c>
      <c r="X282" s="506">
        <f t="shared" ca="1" si="302"/>
        <v>0</v>
      </c>
      <c r="Y282" s="506">
        <f t="shared" ca="1" si="302"/>
        <v>0</v>
      </c>
      <c r="Z282" s="506">
        <f t="shared" ca="1" si="302"/>
        <v>0</v>
      </c>
      <c r="AA282" s="506">
        <f t="shared" ca="1" si="302"/>
        <v>0</v>
      </c>
      <c r="AB282" s="506">
        <f t="shared" ca="1" si="302"/>
        <v>0</v>
      </c>
      <c r="AC282" s="506">
        <f t="shared" ca="1" si="302"/>
        <v>0</v>
      </c>
      <c r="AD282" s="506">
        <f t="shared" ca="1" si="302"/>
        <v>0</v>
      </c>
      <c r="AE282" s="506">
        <f t="shared" ca="1" si="302"/>
        <v>0</v>
      </c>
      <c r="AF282" s="506">
        <f t="shared" ca="1" si="302"/>
        <v>0</v>
      </c>
      <c r="AG282" s="506">
        <f t="shared" ca="1" si="302"/>
        <v>0</v>
      </c>
      <c r="AH282" s="506"/>
      <c r="AI282" s="506"/>
      <c r="AJ282" s="506">
        <f ca="1">IF($C$4=Year1,-PMT(Lookups!$E$17,25,NPV(Lookups!$E$17,G282:AE282),0,1),IF($C$4=Year2,-PMT(Lookups!$F$17,25,NPV(Lookups!$F$17,H282:AF282),0,1),IF($C$4=Year3,-PMT(Lookups!$G$17,25,NPV(Lookups!$G$17,I282:AG282),0,1),-PMT(Lookups!$G$17,27,NPV(Lookups!$G$17,G282:AG282),0,1))))</f>
        <v>-2.145745916876469E-3</v>
      </c>
      <c r="AK282" s="507"/>
      <c r="AL282" s="507"/>
      <c r="AM282" s="508">
        <f ca="1">IFERROR(-AM263/AM254,0)</f>
        <v>-4.4699167558624551E-3</v>
      </c>
      <c r="AN282" s="508">
        <f t="shared" ref="AN282:BM282" ca="1" si="303">IFERROR(-AN263/AN254,0)</f>
        <v>-4.4699167558624551E-3</v>
      </c>
      <c r="AO282" s="508">
        <f t="shared" ca="1" si="303"/>
        <v>-4.4699167558624551E-3</v>
      </c>
      <c r="AP282" s="508">
        <f t="shared" ca="1" si="303"/>
        <v>-4.4699167558624551E-3</v>
      </c>
      <c r="AQ282" s="508">
        <f t="shared" ca="1" si="303"/>
        <v>-4.4699167558624551E-3</v>
      </c>
      <c r="AR282" s="508">
        <f t="shared" ca="1" si="303"/>
        <v>-4.4699167558624551E-3</v>
      </c>
      <c r="AS282" s="508">
        <f t="shared" ca="1" si="303"/>
        <v>-4.4699167558624551E-3</v>
      </c>
      <c r="AT282" s="508">
        <f t="shared" ca="1" si="303"/>
        <v>-4.4699167558624551E-3</v>
      </c>
      <c r="AU282" s="508">
        <f t="shared" ca="1" si="303"/>
        <v>-4.4699167558624551E-3</v>
      </c>
      <c r="AV282" s="508">
        <f t="shared" ca="1" si="303"/>
        <v>-4.4699167558624551E-3</v>
      </c>
      <c r="AW282" s="508">
        <f t="shared" ca="1" si="303"/>
        <v>-4.4699167558624551E-3</v>
      </c>
      <c r="AX282" s="508">
        <f t="shared" ca="1" si="303"/>
        <v>-4.4699167558624551E-3</v>
      </c>
      <c r="AY282" s="508">
        <f t="shared" ca="1" si="303"/>
        <v>-4.4699167558624551E-3</v>
      </c>
      <c r="AZ282" s="508">
        <f t="shared" ca="1" si="303"/>
        <v>0</v>
      </c>
      <c r="BA282" s="508">
        <f t="shared" ca="1" si="303"/>
        <v>0</v>
      </c>
      <c r="BB282" s="508">
        <f t="shared" ca="1" si="303"/>
        <v>0</v>
      </c>
      <c r="BC282" s="508">
        <f t="shared" ca="1" si="303"/>
        <v>0</v>
      </c>
      <c r="BD282" s="508">
        <f t="shared" ca="1" si="303"/>
        <v>0</v>
      </c>
      <c r="BE282" s="508">
        <f t="shared" ca="1" si="303"/>
        <v>0</v>
      </c>
      <c r="BF282" s="508">
        <f t="shared" ca="1" si="303"/>
        <v>0</v>
      </c>
      <c r="BG282" s="508">
        <f t="shared" ca="1" si="303"/>
        <v>0</v>
      </c>
      <c r="BH282" s="508">
        <f t="shared" ca="1" si="303"/>
        <v>0</v>
      </c>
      <c r="BI282" s="508">
        <f t="shared" ca="1" si="303"/>
        <v>0</v>
      </c>
      <c r="BJ282" s="508">
        <f t="shared" ca="1" si="303"/>
        <v>0</v>
      </c>
      <c r="BK282" s="508">
        <f t="shared" ca="1" si="303"/>
        <v>0</v>
      </c>
      <c r="BL282" s="508">
        <f t="shared" ca="1" si="303"/>
        <v>0</v>
      </c>
      <c r="BM282" s="508">
        <f t="shared" ca="1" si="303"/>
        <v>0</v>
      </c>
      <c r="BN282" s="508"/>
      <c r="BO282" s="508"/>
      <c r="BP282" s="508">
        <f ca="1">IF($C$4=Year1,-PMT(Lookups!$E$17,25,NPV(Lookups!$E$17,AM282:BK282),0,1),IF($C$4=Year2,-PMT(Lookups!$F$17,25,NPV(Lookups!$F$17,AN282:BL282),0,1),IF($C$4=Year3,-PMT(Lookups!$G$17,25,NPV(Lookups!$G$17,AO282:BM282),0,1),-PMT(Lookups!$G$17,27,NPV(Lookups!$G$17,AM282:BM282),0,1))))</f>
        <v>-2.48413566471219E-3</v>
      </c>
      <c r="BS282" s="84" t="str">
        <f t="shared" si="301"/>
        <v>Avoided Gas, Retail Margin avoided costs divided by After Scenario sales.</v>
      </c>
      <c r="BT282" s="51"/>
    </row>
    <row r="283" spans="1:72" x14ac:dyDescent="0.25">
      <c r="B283" s="243" t="str">
        <f t="shared" ref="B283:D283" si="304">B281</f>
        <v>Large C&amp;I</v>
      </c>
      <c r="C283" s="243" t="str">
        <f t="shared" si="304"/>
        <v>Rates</v>
      </c>
      <c r="D283" s="244" t="str">
        <f t="shared" si="304"/>
        <v>Avoided Costs</v>
      </c>
      <c r="E283" s="86" t="s">
        <v>175</v>
      </c>
      <c r="F283" s="84" t="s">
        <v>182</v>
      </c>
      <c r="G283" s="506">
        <f ca="1">IFERROR(-G264/G254,0)</f>
        <v>-3.0671621054238498E-3</v>
      </c>
      <c r="H283" s="506">
        <f t="shared" ref="H283:AG283" ca="1" si="305">IFERROR(-H264/H254,0)</f>
        <v>-3.0671621054238498E-3</v>
      </c>
      <c r="I283" s="506">
        <f t="shared" ca="1" si="305"/>
        <v>-3.0671621054238498E-3</v>
      </c>
      <c r="J283" s="506">
        <f t="shared" ca="1" si="305"/>
        <v>-3.0671621054238498E-3</v>
      </c>
      <c r="K283" s="506">
        <f t="shared" ca="1" si="305"/>
        <v>-3.0671621054238498E-3</v>
      </c>
      <c r="L283" s="506">
        <f t="shared" ca="1" si="305"/>
        <v>-3.0671621054238498E-3</v>
      </c>
      <c r="M283" s="506">
        <f t="shared" ca="1" si="305"/>
        <v>-3.0671621054238498E-3</v>
      </c>
      <c r="N283" s="506">
        <f t="shared" ca="1" si="305"/>
        <v>-3.0671621054238498E-3</v>
      </c>
      <c r="O283" s="506">
        <f t="shared" ca="1" si="305"/>
        <v>-3.0671621054238498E-3</v>
      </c>
      <c r="P283" s="506">
        <f t="shared" ca="1" si="305"/>
        <v>-3.0671621054238498E-3</v>
      </c>
      <c r="Q283" s="506">
        <f t="shared" ca="1" si="305"/>
        <v>-3.0671621054238498E-3</v>
      </c>
      <c r="R283" s="506">
        <f t="shared" ca="1" si="305"/>
        <v>-3.0671621054238498E-3</v>
      </c>
      <c r="S283" s="506">
        <f t="shared" ca="1" si="305"/>
        <v>-3.0671621054238498E-3</v>
      </c>
      <c r="T283" s="506">
        <f t="shared" ca="1" si="305"/>
        <v>0</v>
      </c>
      <c r="U283" s="506">
        <f t="shared" ca="1" si="305"/>
        <v>0</v>
      </c>
      <c r="V283" s="506">
        <f t="shared" ca="1" si="305"/>
        <v>0</v>
      </c>
      <c r="W283" s="506">
        <f t="shared" ca="1" si="305"/>
        <v>0</v>
      </c>
      <c r="X283" s="506">
        <f t="shared" ca="1" si="305"/>
        <v>0</v>
      </c>
      <c r="Y283" s="506">
        <f t="shared" ca="1" si="305"/>
        <v>0</v>
      </c>
      <c r="Z283" s="506">
        <f t="shared" ca="1" si="305"/>
        <v>0</v>
      </c>
      <c r="AA283" s="506">
        <f t="shared" ca="1" si="305"/>
        <v>0</v>
      </c>
      <c r="AB283" s="506">
        <f t="shared" ca="1" si="305"/>
        <v>0</v>
      </c>
      <c r="AC283" s="506">
        <f t="shared" ca="1" si="305"/>
        <v>0</v>
      </c>
      <c r="AD283" s="506">
        <f t="shared" ca="1" si="305"/>
        <v>0</v>
      </c>
      <c r="AE283" s="506">
        <f t="shared" ca="1" si="305"/>
        <v>0</v>
      </c>
      <c r="AF283" s="506">
        <f t="shared" ca="1" si="305"/>
        <v>0</v>
      </c>
      <c r="AG283" s="506">
        <f t="shared" ca="1" si="305"/>
        <v>0</v>
      </c>
      <c r="AH283" s="506"/>
      <c r="AI283" s="506"/>
      <c r="AJ283" s="506">
        <f ca="1">IF($C$4=Year1,-PMT(Lookups!$E$17,25,NPV(Lookups!$E$17,G283:AE283),0,1),IF($C$4=Year2,-PMT(Lookups!$F$17,25,NPV(Lookups!$F$17,H283:AF283),0,1),IF($C$4=Year3,-PMT(Lookups!$G$17,25,NPV(Lookups!$G$17,I283:AG283),0,1),-PMT(Lookups!$G$17,27,NPV(Lookups!$G$17,G283:AG283),0,1))))</f>
        <v>-1.704561223773173E-3</v>
      </c>
      <c r="AK283" s="507"/>
      <c r="AL283" s="507"/>
      <c r="AM283" s="508">
        <f ca="1">IFERROR(-AM264/AM254,0)</f>
        <v>-3.550861598109595E-3</v>
      </c>
      <c r="AN283" s="508">
        <f t="shared" ref="AN283:BM283" ca="1" si="306">IFERROR(-AN264/AN254,0)</f>
        <v>-3.550861598109595E-3</v>
      </c>
      <c r="AO283" s="508">
        <f t="shared" ca="1" si="306"/>
        <v>-3.550861598109595E-3</v>
      </c>
      <c r="AP283" s="508">
        <f t="shared" ca="1" si="306"/>
        <v>-3.550861598109595E-3</v>
      </c>
      <c r="AQ283" s="508">
        <f t="shared" ca="1" si="306"/>
        <v>-3.550861598109595E-3</v>
      </c>
      <c r="AR283" s="508">
        <f t="shared" ca="1" si="306"/>
        <v>-3.550861598109595E-3</v>
      </c>
      <c r="AS283" s="508">
        <f t="shared" ca="1" si="306"/>
        <v>-3.550861598109595E-3</v>
      </c>
      <c r="AT283" s="508">
        <f t="shared" ca="1" si="306"/>
        <v>-3.550861598109595E-3</v>
      </c>
      <c r="AU283" s="508">
        <f t="shared" ca="1" si="306"/>
        <v>-3.550861598109595E-3</v>
      </c>
      <c r="AV283" s="508">
        <f t="shared" ca="1" si="306"/>
        <v>-3.550861598109595E-3</v>
      </c>
      <c r="AW283" s="508">
        <f t="shared" ca="1" si="306"/>
        <v>-3.550861598109595E-3</v>
      </c>
      <c r="AX283" s="508">
        <f t="shared" ca="1" si="306"/>
        <v>-3.550861598109595E-3</v>
      </c>
      <c r="AY283" s="508">
        <f t="shared" ca="1" si="306"/>
        <v>-3.550861598109595E-3</v>
      </c>
      <c r="AZ283" s="508">
        <f t="shared" ca="1" si="306"/>
        <v>0</v>
      </c>
      <c r="BA283" s="508">
        <f t="shared" ca="1" si="306"/>
        <v>0</v>
      </c>
      <c r="BB283" s="508">
        <f t="shared" ca="1" si="306"/>
        <v>0</v>
      </c>
      <c r="BC283" s="508">
        <f t="shared" ca="1" si="306"/>
        <v>0</v>
      </c>
      <c r="BD283" s="508">
        <f t="shared" ca="1" si="306"/>
        <v>0</v>
      </c>
      <c r="BE283" s="508">
        <f t="shared" ca="1" si="306"/>
        <v>0</v>
      </c>
      <c r="BF283" s="508">
        <f t="shared" ca="1" si="306"/>
        <v>0</v>
      </c>
      <c r="BG283" s="508">
        <f t="shared" ca="1" si="306"/>
        <v>0</v>
      </c>
      <c r="BH283" s="508">
        <f t="shared" ca="1" si="306"/>
        <v>0</v>
      </c>
      <c r="BI283" s="508">
        <f t="shared" ca="1" si="306"/>
        <v>0</v>
      </c>
      <c r="BJ283" s="508">
        <f t="shared" ca="1" si="306"/>
        <v>0</v>
      </c>
      <c r="BK283" s="508">
        <f t="shared" ca="1" si="306"/>
        <v>0</v>
      </c>
      <c r="BL283" s="508">
        <f t="shared" ca="1" si="306"/>
        <v>0</v>
      </c>
      <c r="BM283" s="508">
        <f t="shared" ca="1" si="306"/>
        <v>0</v>
      </c>
      <c r="BN283" s="508"/>
      <c r="BO283" s="508"/>
      <c r="BP283" s="508">
        <f ca="1">IF($C$4=Year1,-PMT(Lookups!$E$17,25,NPV(Lookups!$E$17,AM283:BK283),0,1),IF($C$4=Year2,-PMT(Lookups!$F$17,25,NPV(Lookups!$F$17,AN283:BL283),0,1),IF($C$4=Year3,-PMT(Lookups!$G$17,25,NPV(Lookups!$G$17,AO283:BM283),0,1),-PMT(Lookups!$G$17,27,NPV(Lookups!$G$17,AM283:BM283),0,1))))</f>
        <v>-1.9733749906532703E-3</v>
      </c>
      <c r="BS283" s="84" t="str">
        <f t="shared" si="301"/>
        <v>Avoided Gas DRIPE avoided costs divided by After Scenario sales.</v>
      </c>
      <c r="BT283" s="51" t="s">
        <v>17</v>
      </c>
    </row>
    <row r="284" spans="1:72" x14ac:dyDescent="0.25">
      <c r="B284" s="243" t="str">
        <f t="shared" ref="B284:D292" si="307">B283</f>
        <v>Large C&amp;I</v>
      </c>
      <c r="C284" s="243" t="str">
        <f t="shared" si="307"/>
        <v>Rates</v>
      </c>
      <c r="D284" s="244" t="str">
        <f t="shared" si="307"/>
        <v>Avoided Costs</v>
      </c>
      <c r="E284" s="86" t="s">
        <v>76</v>
      </c>
      <c r="F284" s="84" t="s">
        <v>182</v>
      </c>
      <c r="G284" s="506">
        <f ca="1">SUM(G281:G283)</f>
        <v>-6.7417550075484084E-2</v>
      </c>
      <c r="H284" s="506">
        <f t="shared" ref="H284:AG284" ca="1" si="308">SUM(H281:H283)</f>
        <v>-6.7417550075484084E-2</v>
      </c>
      <c r="I284" s="506">
        <f t="shared" ca="1" si="308"/>
        <v>-6.7417550075484084E-2</v>
      </c>
      <c r="J284" s="506">
        <f t="shared" ca="1" si="308"/>
        <v>-6.7417550075484084E-2</v>
      </c>
      <c r="K284" s="506">
        <f t="shared" ca="1" si="308"/>
        <v>-6.7417550075484084E-2</v>
      </c>
      <c r="L284" s="506">
        <f t="shared" ca="1" si="308"/>
        <v>-6.7417550075484084E-2</v>
      </c>
      <c r="M284" s="506">
        <f t="shared" ca="1" si="308"/>
        <v>-6.7417550075484084E-2</v>
      </c>
      <c r="N284" s="506">
        <f t="shared" ca="1" si="308"/>
        <v>-6.7417550075484084E-2</v>
      </c>
      <c r="O284" s="506">
        <f t="shared" ca="1" si="308"/>
        <v>-6.7417550075484084E-2</v>
      </c>
      <c r="P284" s="506">
        <f t="shared" ca="1" si="308"/>
        <v>-6.7417550075484084E-2</v>
      </c>
      <c r="Q284" s="506">
        <f t="shared" ca="1" si="308"/>
        <v>-6.7417550075484084E-2</v>
      </c>
      <c r="R284" s="506">
        <f t="shared" ca="1" si="308"/>
        <v>-6.7417550075484084E-2</v>
      </c>
      <c r="S284" s="506">
        <f t="shared" ca="1" si="308"/>
        <v>-6.7417550075484084E-2</v>
      </c>
      <c r="T284" s="506">
        <f t="shared" ca="1" si="308"/>
        <v>0</v>
      </c>
      <c r="U284" s="506">
        <f t="shared" ca="1" si="308"/>
        <v>0</v>
      </c>
      <c r="V284" s="506">
        <f t="shared" ca="1" si="308"/>
        <v>0</v>
      </c>
      <c r="W284" s="506">
        <f t="shared" ca="1" si="308"/>
        <v>0</v>
      </c>
      <c r="X284" s="506">
        <f t="shared" ca="1" si="308"/>
        <v>0</v>
      </c>
      <c r="Y284" s="506">
        <f t="shared" ca="1" si="308"/>
        <v>0</v>
      </c>
      <c r="Z284" s="506">
        <f t="shared" ca="1" si="308"/>
        <v>0</v>
      </c>
      <c r="AA284" s="506">
        <f t="shared" ca="1" si="308"/>
        <v>0</v>
      </c>
      <c r="AB284" s="506">
        <f t="shared" ca="1" si="308"/>
        <v>0</v>
      </c>
      <c r="AC284" s="506">
        <f t="shared" ca="1" si="308"/>
        <v>0</v>
      </c>
      <c r="AD284" s="506">
        <f t="shared" ca="1" si="308"/>
        <v>0</v>
      </c>
      <c r="AE284" s="506">
        <f t="shared" ca="1" si="308"/>
        <v>0</v>
      </c>
      <c r="AF284" s="506">
        <f t="shared" ca="1" si="308"/>
        <v>0</v>
      </c>
      <c r="AG284" s="506">
        <f t="shared" ca="1" si="308"/>
        <v>0</v>
      </c>
      <c r="AH284" s="506"/>
      <c r="AI284" s="506"/>
      <c r="AJ284" s="506">
        <f ca="1">IF($C$4=Year1,-PMT(Lookups!$E$17,25,NPV(Lookups!$E$17,G284:AE284),0,1),IF($C$4=Year2,-PMT(Lookups!$F$17,25,NPV(Lookups!$F$17,H284:AF284),0,1),IF($C$4=Year3,-PMT(Lookups!$G$17,25,NPV(Lookups!$G$17,I284:AG284),0,1),-PMT(Lookups!$G$17,27,NPV(Lookups!$G$17,G284:AG284),0,1))))</f>
        <v>-3.7466993171714313E-2</v>
      </c>
      <c r="AK284" s="507"/>
      <c r="AL284" s="507"/>
      <c r="AM284" s="508">
        <f ca="1">SUM(AM281:AM283)</f>
        <v>-7.8049474195817189E-2</v>
      </c>
      <c r="AN284" s="508">
        <f t="shared" ref="AN284:BM284" ca="1" si="309">SUM(AN281:AN283)</f>
        <v>-7.8049474195817189E-2</v>
      </c>
      <c r="AO284" s="508">
        <f t="shared" ca="1" si="309"/>
        <v>-7.8049474195817189E-2</v>
      </c>
      <c r="AP284" s="508">
        <f t="shared" ca="1" si="309"/>
        <v>-7.8049474195817189E-2</v>
      </c>
      <c r="AQ284" s="508">
        <f t="shared" ca="1" si="309"/>
        <v>-7.8049474195817189E-2</v>
      </c>
      <c r="AR284" s="508">
        <f t="shared" ca="1" si="309"/>
        <v>-7.8049474195817189E-2</v>
      </c>
      <c r="AS284" s="508">
        <f t="shared" ca="1" si="309"/>
        <v>-7.8049474195817189E-2</v>
      </c>
      <c r="AT284" s="508">
        <f t="shared" ca="1" si="309"/>
        <v>-7.8049474195817189E-2</v>
      </c>
      <c r="AU284" s="508">
        <f t="shared" ca="1" si="309"/>
        <v>-7.8049474195817189E-2</v>
      </c>
      <c r="AV284" s="508">
        <f t="shared" ca="1" si="309"/>
        <v>-7.8049474195817189E-2</v>
      </c>
      <c r="AW284" s="508">
        <f t="shared" ca="1" si="309"/>
        <v>-7.8049474195817189E-2</v>
      </c>
      <c r="AX284" s="508">
        <f t="shared" ca="1" si="309"/>
        <v>-7.8049474195817189E-2</v>
      </c>
      <c r="AY284" s="508">
        <f t="shared" ca="1" si="309"/>
        <v>-7.8049474195817189E-2</v>
      </c>
      <c r="AZ284" s="508">
        <f t="shared" ca="1" si="309"/>
        <v>0</v>
      </c>
      <c r="BA284" s="508">
        <f t="shared" ca="1" si="309"/>
        <v>0</v>
      </c>
      <c r="BB284" s="508">
        <f t="shared" ca="1" si="309"/>
        <v>0</v>
      </c>
      <c r="BC284" s="508">
        <f t="shared" ca="1" si="309"/>
        <v>0</v>
      </c>
      <c r="BD284" s="508">
        <f t="shared" ca="1" si="309"/>
        <v>0</v>
      </c>
      <c r="BE284" s="508">
        <f t="shared" ca="1" si="309"/>
        <v>0</v>
      </c>
      <c r="BF284" s="508">
        <f t="shared" ca="1" si="309"/>
        <v>0</v>
      </c>
      <c r="BG284" s="508">
        <f t="shared" ca="1" si="309"/>
        <v>0</v>
      </c>
      <c r="BH284" s="508">
        <f t="shared" ca="1" si="309"/>
        <v>0</v>
      </c>
      <c r="BI284" s="508">
        <f t="shared" ca="1" si="309"/>
        <v>0</v>
      </c>
      <c r="BJ284" s="508">
        <f t="shared" ca="1" si="309"/>
        <v>0</v>
      </c>
      <c r="BK284" s="508">
        <f t="shared" ca="1" si="309"/>
        <v>0</v>
      </c>
      <c r="BL284" s="508">
        <f t="shared" ca="1" si="309"/>
        <v>0</v>
      </c>
      <c r="BM284" s="508">
        <f t="shared" ca="1" si="309"/>
        <v>0</v>
      </c>
      <c r="BN284" s="508"/>
      <c r="BO284" s="508"/>
      <c r="BP284" s="508">
        <f ca="1">IF($C$4=Year1,-PMT(Lookups!$E$17,25,NPV(Lookups!$E$17,AM284:BK284),0,1),IF($C$4=Year2,-PMT(Lookups!$F$17,25,NPV(Lookups!$F$17,AN284:BL284),0,1),IF($C$4=Year3,-PMT(Lookups!$G$17,25,NPV(Lookups!$G$17,AO284:BM284),0,1),-PMT(Lookups!$G$17,27,NPV(Lookups!$G$17,AM284:BM284),0,1))))</f>
        <v>-4.3375636069189781E-2</v>
      </c>
      <c r="BS284" s="84" t="s">
        <v>232</v>
      </c>
      <c r="BT284" s="51" t="s">
        <v>17</v>
      </c>
    </row>
    <row r="285" spans="1:72" x14ac:dyDescent="0.25">
      <c r="B285" s="243" t="str">
        <f t="shared" si="307"/>
        <v>Large C&amp;I</v>
      </c>
      <c r="C285" s="243" t="str">
        <f t="shared" si="307"/>
        <v>Rates</v>
      </c>
      <c r="D285" s="114" t="s">
        <v>165</v>
      </c>
      <c r="E285" s="86"/>
      <c r="F285" s="86"/>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S285" s="84"/>
      <c r="BT285" s="51" t="s">
        <v>17</v>
      </c>
    </row>
    <row r="286" spans="1:72" x14ac:dyDescent="0.25">
      <c r="A286" s="246"/>
      <c r="B286" s="243" t="str">
        <f t="shared" si="307"/>
        <v>Large C&amp;I</v>
      </c>
      <c r="C286" s="243" t="str">
        <f t="shared" si="307"/>
        <v>Rates</v>
      </c>
      <c r="D286" s="244" t="str">
        <f t="shared" si="307"/>
        <v>Increased Costs and Cost Shifting</v>
      </c>
      <c r="E286" s="84" t="s">
        <v>406</v>
      </c>
      <c r="F286" s="84" t="s">
        <v>182</v>
      </c>
      <c r="G286" s="509">
        <f ca="1">IF($C$4=Lookups!$D$40,SUM(INDIRECT("'Yr1'!"&amp;ADDRESS(ROW(G286),COLUMN(G286))),INDIRECT("'Yr2'!"&amp;ADDRESS(ROW(G286),COLUMN(G286))),INDIRECT("'Yr3'!"&amp;ADDRESS(ROW(G286),COLUMN(G286)))),
IF($C$4=G$7,SUMIFS('EE Inputs'!$L$9:$L$32,'EE Inputs'!$C$9:$C$32,$G$6,'EE Inputs'!$D$9:$D$32,$C$4,'EE Inputs'!$E$9:$E$32,$B286),0))</f>
        <v>0.14245258051119242</v>
      </c>
      <c r="H286" s="509">
        <f ca="1">IF($C$4=Lookups!$D$40,SUM(INDIRECT("'Yr1'!"&amp;ADDRESS(ROW(H286),COLUMN(H286))),INDIRECT("'Yr2'!"&amp;ADDRESS(ROW(H286),COLUMN(H286))),INDIRECT("'Yr3'!"&amp;ADDRESS(ROW(H286),COLUMN(H286)))),
IF($C$4=H$7,SUMIFS('EE Inputs'!$L$9:$L$32,'EE Inputs'!$C$9:$C$32,$G$6,'EE Inputs'!$D$9:$D$32,$C$4,'EE Inputs'!$E$9:$E$32,$B286),0))</f>
        <v>0</v>
      </c>
      <c r="I286" s="509">
        <f ca="1">IF($C$4=Lookups!$D$40,SUM(INDIRECT("'Yr1'!"&amp;ADDRESS(ROW(I286),COLUMN(I286))),INDIRECT("'Yr2'!"&amp;ADDRESS(ROW(I286),COLUMN(I286))),INDIRECT("'Yr3'!"&amp;ADDRESS(ROW(I286),COLUMN(I286)))),
IF($C$4=I$7,SUMIFS('EE Inputs'!$L$9:$L$32,'EE Inputs'!$C$9:$C$32,$G$6,'EE Inputs'!$D$9:$D$32,$C$4,'EE Inputs'!$E$9:$E$32,$B286),0))</f>
        <v>0</v>
      </c>
      <c r="J286" s="509">
        <f ca="1">IF($C$4=Lookups!$D$40,SUM(INDIRECT("'Yr1'!"&amp;ADDRESS(ROW(J286),COLUMN(J286))),INDIRECT("'Yr2'!"&amp;ADDRESS(ROW(J286),COLUMN(J286))),INDIRECT("'Yr3'!"&amp;ADDRESS(ROW(J286),COLUMN(J286)))),
IF($C$4=J$7,SUMIFS('EE Inputs'!$L$9:$L$32,'EE Inputs'!$C$9:$C$32,$G$6,'EE Inputs'!$D$9:$D$32,$C$4,'EE Inputs'!$E$9:$E$32,$B286),0))</f>
        <v>0</v>
      </c>
      <c r="K286" s="509">
        <f ca="1">IF($C$4=Lookups!$D$40,SUM(INDIRECT("'Yr1'!"&amp;ADDRESS(ROW(K286),COLUMN(K286))),INDIRECT("'Yr2'!"&amp;ADDRESS(ROW(K286),COLUMN(K286))),INDIRECT("'Yr3'!"&amp;ADDRESS(ROW(K286),COLUMN(K286)))),
IF($C$4=K$7,SUMIFS('EE Inputs'!$L$9:$L$32,'EE Inputs'!$C$9:$C$32,$G$6,'EE Inputs'!$D$9:$D$32,$C$4,'EE Inputs'!$E$9:$E$32,$B286),0))</f>
        <v>0</v>
      </c>
      <c r="L286" s="509">
        <f ca="1">IF($C$4=Lookups!$D$40,SUM(INDIRECT("'Yr1'!"&amp;ADDRESS(ROW(L286),COLUMN(L286))),INDIRECT("'Yr2'!"&amp;ADDRESS(ROW(L286),COLUMN(L286))),INDIRECT("'Yr3'!"&amp;ADDRESS(ROW(L286),COLUMN(L286)))),
IF($C$4=L$7,SUMIFS('EE Inputs'!$L$9:$L$32,'EE Inputs'!$C$9:$C$32,$G$6,'EE Inputs'!$D$9:$D$32,$C$4,'EE Inputs'!$E$9:$E$32,$B286),0))</f>
        <v>0</v>
      </c>
      <c r="M286" s="509">
        <f ca="1">IF($C$4=Lookups!$D$40,SUM(INDIRECT("'Yr1'!"&amp;ADDRESS(ROW(M286),COLUMN(M286))),INDIRECT("'Yr2'!"&amp;ADDRESS(ROW(M286),COLUMN(M286))),INDIRECT("'Yr3'!"&amp;ADDRESS(ROW(M286),COLUMN(M286)))),
IF($C$4=M$7,SUMIFS('EE Inputs'!$L$9:$L$32,'EE Inputs'!$C$9:$C$32,$G$6,'EE Inputs'!$D$9:$D$32,$C$4,'EE Inputs'!$E$9:$E$32,$B286),0))</f>
        <v>0</v>
      </c>
      <c r="N286" s="509">
        <f ca="1">IF($C$4=Lookups!$D$40,SUM(INDIRECT("'Yr1'!"&amp;ADDRESS(ROW(N286),COLUMN(N286))),INDIRECT("'Yr2'!"&amp;ADDRESS(ROW(N286),COLUMN(N286))),INDIRECT("'Yr3'!"&amp;ADDRESS(ROW(N286),COLUMN(N286)))),
IF($C$4=N$7,SUMIFS('EE Inputs'!$L$9:$L$32,'EE Inputs'!$C$9:$C$32,$G$6,'EE Inputs'!$D$9:$D$32,$C$4,'EE Inputs'!$E$9:$E$32,$B286),0))</f>
        <v>0</v>
      </c>
      <c r="O286" s="509">
        <f ca="1">IF($C$4=Lookups!$D$40,SUM(INDIRECT("'Yr1'!"&amp;ADDRESS(ROW(O286),COLUMN(O286))),INDIRECT("'Yr2'!"&amp;ADDRESS(ROW(O286),COLUMN(O286))),INDIRECT("'Yr3'!"&amp;ADDRESS(ROW(O286),COLUMN(O286)))),
IF($C$4=O$7,SUMIFS('EE Inputs'!$L$9:$L$32,'EE Inputs'!$C$9:$C$32,$G$6,'EE Inputs'!$D$9:$D$32,$C$4,'EE Inputs'!$E$9:$E$32,$B286),0))</f>
        <v>0</v>
      </c>
      <c r="P286" s="509">
        <f ca="1">IF($C$4=Lookups!$D$40,SUM(INDIRECT("'Yr1'!"&amp;ADDRESS(ROW(P286),COLUMN(P286))),INDIRECT("'Yr2'!"&amp;ADDRESS(ROW(P286),COLUMN(P286))),INDIRECT("'Yr3'!"&amp;ADDRESS(ROW(P286),COLUMN(P286)))),
IF($C$4=P$7,SUMIFS('EE Inputs'!$L$9:$L$32,'EE Inputs'!$C$9:$C$32,$G$6,'EE Inputs'!$D$9:$D$32,$C$4,'EE Inputs'!$E$9:$E$32,$B286),0))</f>
        <v>0</v>
      </c>
      <c r="Q286" s="509">
        <f ca="1">IF($C$4=Lookups!$D$40,SUM(INDIRECT("'Yr1'!"&amp;ADDRESS(ROW(Q286),COLUMN(Q286))),INDIRECT("'Yr2'!"&amp;ADDRESS(ROW(Q286),COLUMN(Q286))),INDIRECT("'Yr3'!"&amp;ADDRESS(ROW(Q286),COLUMN(Q286)))),
IF($C$4=Q$7,SUMIFS('EE Inputs'!$L$9:$L$32,'EE Inputs'!$C$9:$C$32,$G$6,'EE Inputs'!$D$9:$D$32,$C$4,'EE Inputs'!$E$9:$E$32,$B286),0))</f>
        <v>0</v>
      </c>
      <c r="R286" s="509">
        <f ca="1">IF($C$4=Lookups!$D$40,SUM(INDIRECT("'Yr1'!"&amp;ADDRESS(ROW(R286),COLUMN(R286))),INDIRECT("'Yr2'!"&amp;ADDRESS(ROW(R286),COLUMN(R286))),INDIRECT("'Yr3'!"&amp;ADDRESS(ROW(R286),COLUMN(R286)))),
IF($C$4=R$7,SUMIFS('EE Inputs'!$L$9:$L$32,'EE Inputs'!$C$9:$C$32,$G$6,'EE Inputs'!$D$9:$D$32,$C$4,'EE Inputs'!$E$9:$E$32,$B286),0))</f>
        <v>0</v>
      </c>
      <c r="S286" s="509">
        <f ca="1">IF($C$4=Lookups!$D$40,SUM(INDIRECT("'Yr1'!"&amp;ADDRESS(ROW(S286),COLUMN(S286))),INDIRECT("'Yr2'!"&amp;ADDRESS(ROW(S286),COLUMN(S286))),INDIRECT("'Yr3'!"&amp;ADDRESS(ROW(S286),COLUMN(S286)))),
IF($C$4=S$7,SUMIFS('EE Inputs'!$L$9:$L$32,'EE Inputs'!$C$9:$C$32,$G$6,'EE Inputs'!$D$9:$D$32,$C$4,'EE Inputs'!$E$9:$E$32,$B286),0))</f>
        <v>0</v>
      </c>
      <c r="T286" s="509">
        <f ca="1">IF($C$4=Lookups!$D$40,SUM(INDIRECT("'Yr1'!"&amp;ADDRESS(ROW(T286),COLUMN(T286))),INDIRECT("'Yr2'!"&amp;ADDRESS(ROW(T286),COLUMN(T286))),INDIRECT("'Yr3'!"&amp;ADDRESS(ROW(T286),COLUMN(T286)))),
IF($C$4=T$7,SUMIFS('EE Inputs'!$L$9:$L$32,'EE Inputs'!$C$9:$C$32,$G$6,'EE Inputs'!$D$9:$D$32,$C$4,'EE Inputs'!$E$9:$E$32,$B286),0))</f>
        <v>0</v>
      </c>
      <c r="U286" s="509">
        <f ca="1">IF($C$4=Lookups!$D$40,SUM(INDIRECT("'Yr1'!"&amp;ADDRESS(ROW(U286),COLUMN(U286))),INDIRECT("'Yr2'!"&amp;ADDRESS(ROW(U286),COLUMN(U286))),INDIRECT("'Yr3'!"&amp;ADDRESS(ROW(U286),COLUMN(U286)))),
IF($C$4=U$7,SUMIFS('EE Inputs'!$L$9:$L$32,'EE Inputs'!$C$9:$C$32,$G$6,'EE Inputs'!$D$9:$D$32,$C$4,'EE Inputs'!$E$9:$E$32,$B286),0))</f>
        <v>0</v>
      </c>
      <c r="V286" s="509">
        <f ca="1">IF($C$4=Lookups!$D$40,SUM(INDIRECT("'Yr1'!"&amp;ADDRESS(ROW(V286),COLUMN(V286))),INDIRECT("'Yr2'!"&amp;ADDRESS(ROW(V286),COLUMN(V286))),INDIRECT("'Yr3'!"&amp;ADDRESS(ROW(V286),COLUMN(V286)))),
IF($C$4=V$7,SUMIFS('EE Inputs'!$L$9:$L$32,'EE Inputs'!$C$9:$C$32,$G$6,'EE Inputs'!$D$9:$D$32,$C$4,'EE Inputs'!$E$9:$E$32,$B286),0))</f>
        <v>0</v>
      </c>
      <c r="W286" s="509">
        <f ca="1">IF($C$4=Lookups!$D$40,SUM(INDIRECT("'Yr1'!"&amp;ADDRESS(ROW(W286),COLUMN(W286))),INDIRECT("'Yr2'!"&amp;ADDRESS(ROW(W286),COLUMN(W286))),INDIRECT("'Yr3'!"&amp;ADDRESS(ROW(W286),COLUMN(W286)))),
IF($C$4=W$7,SUMIFS('EE Inputs'!$L$9:$L$32,'EE Inputs'!$C$9:$C$32,$G$6,'EE Inputs'!$D$9:$D$32,$C$4,'EE Inputs'!$E$9:$E$32,$B286),0))</f>
        <v>0</v>
      </c>
      <c r="X286" s="509">
        <f ca="1">IF($C$4=Lookups!$D$40,SUM(INDIRECT("'Yr1'!"&amp;ADDRESS(ROW(X286),COLUMN(X286))),INDIRECT("'Yr2'!"&amp;ADDRESS(ROW(X286),COLUMN(X286))),INDIRECT("'Yr3'!"&amp;ADDRESS(ROW(X286),COLUMN(X286)))),
IF($C$4=X$7,SUMIFS('EE Inputs'!$L$9:$L$32,'EE Inputs'!$C$9:$C$32,$G$6,'EE Inputs'!$D$9:$D$32,$C$4,'EE Inputs'!$E$9:$E$32,$B286),0))</f>
        <v>0</v>
      </c>
      <c r="Y286" s="509">
        <f ca="1">IF($C$4=Lookups!$D$40,SUM(INDIRECT("'Yr1'!"&amp;ADDRESS(ROW(Y286),COLUMN(Y286))),INDIRECT("'Yr2'!"&amp;ADDRESS(ROW(Y286),COLUMN(Y286))),INDIRECT("'Yr3'!"&amp;ADDRESS(ROW(Y286),COLUMN(Y286)))),
IF($C$4=Y$7,SUMIFS('EE Inputs'!$L$9:$L$32,'EE Inputs'!$C$9:$C$32,$G$6,'EE Inputs'!$D$9:$D$32,$C$4,'EE Inputs'!$E$9:$E$32,$B286),0))</f>
        <v>0</v>
      </c>
      <c r="Z286" s="509">
        <f ca="1">IF($C$4=Lookups!$D$40,SUM(INDIRECT("'Yr1'!"&amp;ADDRESS(ROW(Z286),COLUMN(Z286))),INDIRECT("'Yr2'!"&amp;ADDRESS(ROW(Z286),COLUMN(Z286))),INDIRECT("'Yr3'!"&amp;ADDRESS(ROW(Z286),COLUMN(Z286)))),
IF($C$4=Z$7,SUMIFS('EE Inputs'!$L$9:$L$32,'EE Inputs'!$C$9:$C$32,$G$6,'EE Inputs'!$D$9:$D$32,$C$4,'EE Inputs'!$E$9:$E$32,$B286),0))</f>
        <v>0</v>
      </c>
      <c r="AA286" s="509">
        <f ca="1">IF($C$4=Lookups!$D$40,SUM(INDIRECT("'Yr1'!"&amp;ADDRESS(ROW(AA286),COLUMN(AA286))),INDIRECT("'Yr2'!"&amp;ADDRESS(ROW(AA286),COLUMN(AA286))),INDIRECT("'Yr3'!"&amp;ADDRESS(ROW(AA286),COLUMN(AA286)))),
IF($C$4=AA$7,SUMIFS('EE Inputs'!$L$9:$L$32,'EE Inputs'!$C$9:$C$32,$G$6,'EE Inputs'!$D$9:$D$32,$C$4,'EE Inputs'!$E$9:$E$32,$B286),0))</f>
        <v>0</v>
      </c>
      <c r="AB286" s="509">
        <f ca="1">IF($C$4=Lookups!$D$40,SUM(INDIRECT("'Yr1'!"&amp;ADDRESS(ROW(AB286),COLUMN(AB286))),INDIRECT("'Yr2'!"&amp;ADDRESS(ROW(AB286),COLUMN(AB286))),INDIRECT("'Yr3'!"&amp;ADDRESS(ROW(AB286),COLUMN(AB286)))),
IF($C$4=AB$7,SUMIFS('EE Inputs'!$L$9:$L$32,'EE Inputs'!$C$9:$C$32,$G$6,'EE Inputs'!$D$9:$D$32,$C$4,'EE Inputs'!$E$9:$E$32,$B286),0))</f>
        <v>0</v>
      </c>
      <c r="AC286" s="509">
        <f ca="1">IF($C$4=Lookups!$D$40,SUM(INDIRECT("'Yr1'!"&amp;ADDRESS(ROW(AC286),COLUMN(AC286))),INDIRECT("'Yr2'!"&amp;ADDRESS(ROW(AC286),COLUMN(AC286))),INDIRECT("'Yr3'!"&amp;ADDRESS(ROW(AC286),COLUMN(AC286)))),
IF($C$4=AC$7,SUMIFS('EE Inputs'!$L$9:$L$32,'EE Inputs'!$C$9:$C$32,$G$6,'EE Inputs'!$D$9:$D$32,$C$4,'EE Inputs'!$E$9:$E$32,$B286),0))</f>
        <v>0</v>
      </c>
      <c r="AD286" s="509">
        <f ca="1">IF($C$4=Lookups!$D$40,SUM(INDIRECT("'Yr1'!"&amp;ADDRESS(ROW(AD286),COLUMN(AD286))),INDIRECT("'Yr2'!"&amp;ADDRESS(ROW(AD286),COLUMN(AD286))),INDIRECT("'Yr3'!"&amp;ADDRESS(ROW(AD286),COLUMN(AD286)))),
IF($C$4=AD$7,SUMIFS('EE Inputs'!$L$9:$L$32,'EE Inputs'!$C$9:$C$32,$G$6,'EE Inputs'!$D$9:$D$32,$C$4,'EE Inputs'!$E$9:$E$32,$B286),0))</f>
        <v>0</v>
      </c>
      <c r="AE286" s="509">
        <f ca="1">IF($C$4=Lookups!$D$40,SUM(INDIRECT("'Yr1'!"&amp;ADDRESS(ROW(AE286),COLUMN(AE286))),INDIRECT("'Yr2'!"&amp;ADDRESS(ROW(AE286),COLUMN(AE286))),INDIRECT("'Yr3'!"&amp;ADDRESS(ROW(AE286),COLUMN(AE286)))),
IF($C$4=AE$7,SUMIFS('EE Inputs'!$L$9:$L$32,'EE Inputs'!$C$9:$C$32,$G$6,'EE Inputs'!$D$9:$D$32,$C$4,'EE Inputs'!$E$9:$E$32,$B286),0))</f>
        <v>0</v>
      </c>
      <c r="AF286" s="509">
        <f ca="1">IF($C$4=Lookups!$D$40,SUM(INDIRECT("'Yr1'!"&amp;ADDRESS(ROW(AF286),COLUMN(AF286))),INDIRECT("'Yr2'!"&amp;ADDRESS(ROW(AF286),COLUMN(AF286))),INDIRECT("'Yr3'!"&amp;ADDRESS(ROW(AF286),COLUMN(AF286)))),
IF($C$4=AF$7,SUMIFS('EE Inputs'!$L$9:$L$32,'EE Inputs'!$C$9:$C$32,$G$6,'EE Inputs'!$D$9:$D$32,$C$4,'EE Inputs'!$E$9:$E$32,$B286),0))</f>
        <v>0</v>
      </c>
      <c r="AG286" s="509">
        <f ca="1">IF($C$4=Lookups!$D$40,SUM(INDIRECT("'Yr1'!"&amp;ADDRESS(ROW(AG286),COLUMN(AG286))),INDIRECT("'Yr2'!"&amp;ADDRESS(ROW(AG286),COLUMN(AG286))),INDIRECT("'Yr3'!"&amp;ADDRESS(ROW(AG286),COLUMN(AG286)))),
IF($C$4=AG$7,SUMIFS('EE Inputs'!$L$9:$L$32,'EE Inputs'!$C$9:$C$32,$G$6,'EE Inputs'!$D$9:$D$32,$C$4,'EE Inputs'!$E$9:$E$32,$B286),0))</f>
        <v>0</v>
      </c>
      <c r="AH286" s="509"/>
      <c r="AI286" s="509"/>
      <c r="AJ286" s="509">
        <f ca="1">IF($C$4=Year1,-PMT(Lookups!$E$17,25,NPV(Lookups!$E$17,G286:AE286),0,1),IF($C$4=Year2,-PMT(Lookups!$F$17,25,NPV(Lookups!$F$17,H286:AF286),0,1),IF($C$4=Year3,-PMT(Lookups!$G$17,25,NPV(Lookups!$G$17,I286:AG286),0,1),-PMT(Lookups!$G$17,27,NPV(Lookups!$G$17,G286:AG286),0,1))))</f>
        <v>6.6160848742187897E-3</v>
      </c>
      <c r="AK286" s="507"/>
      <c r="AL286" s="507"/>
      <c r="AM286" s="508">
        <f ca="1">IF($C$4=Lookups!$D$40,SUM(INDIRECT("'Yr1'!"&amp;ADDRESS(ROW(AM286),COLUMN(AM286))),INDIRECT("'Yr2'!"&amp;ADDRESS(ROW(AM286),COLUMN(AM286))),INDIRECT("'Yr3'!"&amp;ADDRESS(ROW(AM286),COLUMN(AM286)))),
IF($C$4=AM$7,SUMIFS('EE Inputs'!$L$9:$L$32,'EE Inputs'!$C$9:$C$32,$AM$6,'EE Inputs'!$D$9:$D$32,$C$4,'EE Inputs'!$E$9:$E$32,$B286),0))</f>
        <v>0.17094309661343091</v>
      </c>
      <c r="AN286" s="508">
        <f ca="1">IF($C$4=Lookups!$D$40,SUM(INDIRECT("'Yr1'!"&amp;ADDRESS(ROW(AN286),COLUMN(AN286))),INDIRECT("'Yr2'!"&amp;ADDRESS(ROW(AN286),COLUMN(AN286))),INDIRECT("'Yr3'!"&amp;ADDRESS(ROW(AN286),COLUMN(AN286)))),
IF($C$4=AN$7,SUMIFS('EE Inputs'!$L$9:$L$32,'EE Inputs'!$C$9:$C$32,$AM$6,'EE Inputs'!$D$9:$D$32,$C$4,'EE Inputs'!$E$9:$E$32,$B286),0))</f>
        <v>0</v>
      </c>
      <c r="AO286" s="508">
        <f ca="1">IF($C$4=Lookups!$D$40,SUM(INDIRECT("'Yr1'!"&amp;ADDRESS(ROW(AO286),COLUMN(AO286))),INDIRECT("'Yr2'!"&amp;ADDRESS(ROW(AO286),COLUMN(AO286))),INDIRECT("'Yr3'!"&amp;ADDRESS(ROW(AO286),COLUMN(AO286)))),
IF($C$4=AO$7,SUMIFS('EE Inputs'!$L$9:$L$32,'EE Inputs'!$C$9:$C$32,$AM$6,'EE Inputs'!$D$9:$D$32,$C$4,'EE Inputs'!$E$9:$E$32,$B286),0))</f>
        <v>0</v>
      </c>
      <c r="AP286" s="508">
        <f ca="1">IF($C$4=Lookups!$D$40,SUM(INDIRECT("'Yr1'!"&amp;ADDRESS(ROW(AP286),COLUMN(AP286))),INDIRECT("'Yr2'!"&amp;ADDRESS(ROW(AP286),COLUMN(AP286))),INDIRECT("'Yr3'!"&amp;ADDRESS(ROW(AP286),COLUMN(AP286)))),
IF($C$4=AP$7,SUMIFS('EE Inputs'!$L$9:$L$32,'EE Inputs'!$C$9:$C$32,$AM$6,'EE Inputs'!$D$9:$D$32,$C$4,'EE Inputs'!$E$9:$E$32,$B286),0))</f>
        <v>0</v>
      </c>
      <c r="AQ286" s="508">
        <f ca="1">IF($C$4=Lookups!$D$40,SUM(INDIRECT("'Yr1'!"&amp;ADDRESS(ROW(AQ286),COLUMN(AQ286))),INDIRECT("'Yr2'!"&amp;ADDRESS(ROW(AQ286),COLUMN(AQ286))),INDIRECT("'Yr3'!"&amp;ADDRESS(ROW(AQ286),COLUMN(AQ286)))),
IF($C$4=AQ$7,SUMIFS('EE Inputs'!$L$9:$L$32,'EE Inputs'!$C$9:$C$32,$AM$6,'EE Inputs'!$D$9:$D$32,$C$4,'EE Inputs'!$E$9:$E$32,$B286),0))</f>
        <v>0</v>
      </c>
      <c r="AR286" s="508">
        <f ca="1">IF($C$4=Lookups!$D$40,SUM(INDIRECT("'Yr1'!"&amp;ADDRESS(ROW(AR286),COLUMN(AR286))),INDIRECT("'Yr2'!"&amp;ADDRESS(ROW(AR286),COLUMN(AR286))),INDIRECT("'Yr3'!"&amp;ADDRESS(ROW(AR286),COLUMN(AR286)))),
IF($C$4=AR$7,SUMIFS('EE Inputs'!$L$9:$L$32,'EE Inputs'!$C$9:$C$32,$AM$6,'EE Inputs'!$D$9:$D$32,$C$4,'EE Inputs'!$E$9:$E$32,$B286),0))</f>
        <v>0</v>
      </c>
      <c r="AS286" s="508">
        <f ca="1">IF($C$4=Lookups!$D$40,SUM(INDIRECT("'Yr1'!"&amp;ADDRESS(ROW(AS286),COLUMN(AS286))),INDIRECT("'Yr2'!"&amp;ADDRESS(ROW(AS286),COLUMN(AS286))),INDIRECT("'Yr3'!"&amp;ADDRESS(ROW(AS286),COLUMN(AS286)))),
IF($C$4=AS$7,SUMIFS('EE Inputs'!$L$9:$L$32,'EE Inputs'!$C$9:$C$32,$AM$6,'EE Inputs'!$D$9:$D$32,$C$4,'EE Inputs'!$E$9:$E$32,$B286),0))</f>
        <v>0</v>
      </c>
      <c r="AT286" s="508">
        <f ca="1">IF($C$4=Lookups!$D$40,SUM(INDIRECT("'Yr1'!"&amp;ADDRESS(ROW(AT286),COLUMN(AT286))),INDIRECT("'Yr2'!"&amp;ADDRESS(ROW(AT286),COLUMN(AT286))),INDIRECT("'Yr3'!"&amp;ADDRESS(ROW(AT286),COLUMN(AT286)))),
IF($C$4=AT$7,SUMIFS('EE Inputs'!$L$9:$L$32,'EE Inputs'!$C$9:$C$32,$AM$6,'EE Inputs'!$D$9:$D$32,$C$4,'EE Inputs'!$E$9:$E$32,$B286),0))</f>
        <v>0</v>
      </c>
      <c r="AU286" s="508">
        <f ca="1">IF($C$4=Lookups!$D$40,SUM(INDIRECT("'Yr1'!"&amp;ADDRESS(ROW(AU286),COLUMN(AU286))),INDIRECT("'Yr2'!"&amp;ADDRESS(ROW(AU286),COLUMN(AU286))),INDIRECT("'Yr3'!"&amp;ADDRESS(ROW(AU286),COLUMN(AU286)))),
IF($C$4=AU$7,SUMIFS('EE Inputs'!$L$9:$L$32,'EE Inputs'!$C$9:$C$32,$AM$6,'EE Inputs'!$D$9:$D$32,$C$4,'EE Inputs'!$E$9:$E$32,$B286),0))</f>
        <v>0</v>
      </c>
      <c r="AV286" s="508">
        <f ca="1">IF($C$4=Lookups!$D$40,SUM(INDIRECT("'Yr1'!"&amp;ADDRESS(ROW(AV286),COLUMN(AV286))),INDIRECT("'Yr2'!"&amp;ADDRESS(ROW(AV286),COLUMN(AV286))),INDIRECT("'Yr3'!"&amp;ADDRESS(ROW(AV286),COLUMN(AV286)))),
IF($C$4=AV$7,SUMIFS('EE Inputs'!$L$9:$L$32,'EE Inputs'!$C$9:$C$32,$AM$6,'EE Inputs'!$D$9:$D$32,$C$4,'EE Inputs'!$E$9:$E$32,$B286),0))</f>
        <v>0</v>
      </c>
      <c r="AW286" s="508">
        <f ca="1">IF($C$4=Lookups!$D$40,SUM(INDIRECT("'Yr1'!"&amp;ADDRESS(ROW(AW286),COLUMN(AW286))),INDIRECT("'Yr2'!"&amp;ADDRESS(ROW(AW286),COLUMN(AW286))),INDIRECT("'Yr3'!"&amp;ADDRESS(ROW(AW286),COLUMN(AW286)))),
IF($C$4=AW$7,SUMIFS('EE Inputs'!$L$9:$L$32,'EE Inputs'!$C$9:$C$32,$AM$6,'EE Inputs'!$D$9:$D$32,$C$4,'EE Inputs'!$E$9:$E$32,$B286),0))</f>
        <v>0</v>
      </c>
      <c r="AX286" s="508">
        <f ca="1">IF($C$4=Lookups!$D$40,SUM(INDIRECT("'Yr1'!"&amp;ADDRESS(ROW(AX286),COLUMN(AX286))),INDIRECT("'Yr2'!"&amp;ADDRESS(ROW(AX286),COLUMN(AX286))),INDIRECT("'Yr3'!"&amp;ADDRESS(ROW(AX286),COLUMN(AX286)))),
IF($C$4=AX$7,SUMIFS('EE Inputs'!$L$9:$L$32,'EE Inputs'!$C$9:$C$32,$AM$6,'EE Inputs'!$D$9:$D$32,$C$4,'EE Inputs'!$E$9:$E$32,$B286),0))</f>
        <v>0</v>
      </c>
      <c r="AY286" s="508">
        <f ca="1">IF($C$4=Lookups!$D$40,SUM(INDIRECT("'Yr1'!"&amp;ADDRESS(ROW(AY286),COLUMN(AY286))),INDIRECT("'Yr2'!"&amp;ADDRESS(ROW(AY286),COLUMN(AY286))),INDIRECT("'Yr3'!"&amp;ADDRESS(ROW(AY286),COLUMN(AY286)))),
IF($C$4=AY$7,SUMIFS('EE Inputs'!$L$9:$L$32,'EE Inputs'!$C$9:$C$32,$AM$6,'EE Inputs'!$D$9:$D$32,$C$4,'EE Inputs'!$E$9:$E$32,$B286),0))</f>
        <v>0</v>
      </c>
      <c r="AZ286" s="508">
        <f ca="1">IF($C$4=Lookups!$D$40,SUM(INDIRECT("'Yr1'!"&amp;ADDRESS(ROW(AZ286),COLUMN(AZ286))),INDIRECT("'Yr2'!"&amp;ADDRESS(ROW(AZ286),COLUMN(AZ286))),INDIRECT("'Yr3'!"&amp;ADDRESS(ROW(AZ286),COLUMN(AZ286)))),
IF($C$4=AZ$7,SUMIFS('EE Inputs'!$L$9:$L$32,'EE Inputs'!$C$9:$C$32,$AM$6,'EE Inputs'!$D$9:$D$32,$C$4,'EE Inputs'!$E$9:$E$32,$B286),0))</f>
        <v>0</v>
      </c>
      <c r="BA286" s="508">
        <f ca="1">IF($C$4=Lookups!$D$40,SUM(INDIRECT("'Yr1'!"&amp;ADDRESS(ROW(BA286),COLUMN(BA286))),INDIRECT("'Yr2'!"&amp;ADDRESS(ROW(BA286),COLUMN(BA286))),INDIRECT("'Yr3'!"&amp;ADDRESS(ROW(BA286),COLUMN(BA286)))),
IF($C$4=BA$7,SUMIFS('EE Inputs'!$L$9:$L$32,'EE Inputs'!$C$9:$C$32,$AM$6,'EE Inputs'!$D$9:$D$32,$C$4,'EE Inputs'!$E$9:$E$32,$B286),0))</f>
        <v>0</v>
      </c>
      <c r="BB286" s="508">
        <f ca="1">IF($C$4=Lookups!$D$40,SUM(INDIRECT("'Yr1'!"&amp;ADDRESS(ROW(BB286),COLUMN(BB286))),INDIRECT("'Yr2'!"&amp;ADDRESS(ROW(BB286),COLUMN(BB286))),INDIRECT("'Yr3'!"&amp;ADDRESS(ROW(BB286),COLUMN(BB286)))),
IF($C$4=BB$7,SUMIFS('EE Inputs'!$L$9:$L$32,'EE Inputs'!$C$9:$C$32,$AM$6,'EE Inputs'!$D$9:$D$32,$C$4,'EE Inputs'!$E$9:$E$32,$B286),0))</f>
        <v>0</v>
      </c>
      <c r="BC286" s="508">
        <f ca="1">IF($C$4=Lookups!$D$40,SUM(INDIRECT("'Yr1'!"&amp;ADDRESS(ROW(BC286),COLUMN(BC286))),INDIRECT("'Yr2'!"&amp;ADDRESS(ROW(BC286),COLUMN(BC286))),INDIRECT("'Yr3'!"&amp;ADDRESS(ROW(BC286),COLUMN(BC286)))),
IF($C$4=BC$7,SUMIFS('EE Inputs'!$L$9:$L$32,'EE Inputs'!$C$9:$C$32,$AM$6,'EE Inputs'!$D$9:$D$32,$C$4,'EE Inputs'!$E$9:$E$32,$B286),0))</f>
        <v>0</v>
      </c>
      <c r="BD286" s="508">
        <f ca="1">IF($C$4=Lookups!$D$40,SUM(INDIRECT("'Yr1'!"&amp;ADDRESS(ROW(BD286),COLUMN(BD286))),INDIRECT("'Yr2'!"&amp;ADDRESS(ROW(BD286),COLUMN(BD286))),INDIRECT("'Yr3'!"&amp;ADDRESS(ROW(BD286),COLUMN(BD286)))),
IF($C$4=BD$7,SUMIFS('EE Inputs'!$L$9:$L$32,'EE Inputs'!$C$9:$C$32,$AM$6,'EE Inputs'!$D$9:$D$32,$C$4,'EE Inputs'!$E$9:$E$32,$B286),0))</f>
        <v>0</v>
      </c>
      <c r="BE286" s="508">
        <f ca="1">IF($C$4=Lookups!$D$40,SUM(INDIRECT("'Yr1'!"&amp;ADDRESS(ROW(BE286),COLUMN(BE286))),INDIRECT("'Yr2'!"&amp;ADDRESS(ROW(BE286),COLUMN(BE286))),INDIRECT("'Yr3'!"&amp;ADDRESS(ROW(BE286),COLUMN(BE286)))),
IF($C$4=BE$7,SUMIFS('EE Inputs'!$L$9:$L$32,'EE Inputs'!$C$9:$C$32,$AM$6,'EE Inputs'!$D$9:$D$32,$C$4,'EE Inputs'!$E$9:$E$32,$B286),0))</f>
        <v>0</v>
      </c>
      <c r="BF286" s="508">
        <f ca="1">IF($C$4=Lookups!$D$40,SUM(INDIRECT("'Yr1'!"&amp;ADDRESS(ROW(BF286),COLUMN(BF286))),INDIRECT("'Yr2'!"&amp;ADDRESS(ROW(BF286),COLUMN(BF286))),INDIRECT("'Yr3'!"&amp;ADDRESS(ROW(BF286),COLUMN(BF286)))),
IF($C$4=BF$7,SUMIFS('EE Inputs'!$L$9:$L$32,'EE Inputs'!$C$9:$C$32,$AM$6,'EE Inputs'!$D$9:$D$32,$C$4,'EE Inputs'!$E$9:$E$32,$B286),0))</f>
        <v>0</v>
      </c>
      <c r="BG286" s="508">
        <f ca="1">IF($C$4=Lookups!$D$40,SUM(INDIRECT("'Yr1'!"&amp;ADDRESS(ROW(BG286),COLUMN(BG286))),INDIRECT("'Yr2'!"&amp;ADDRESS(ROW(BG286),COLUMN(BG286))),INDIRECT("'Yr3'!"&amp;ADDRESS(ROW(BG286),COLUMN(BG286)))),
IF($C$4=BG$7,SUMIFS('EE Inputs'!$L$9:$L$32,'EE Inputs'!$C$9:$C$32,$AM$6,'EE Inputs'!$D$9:$D$32,$C$4,'EE Inputs'!$E$9:$E$32,$B286),0))</f>
        <v>0</v>
      </c>
      <c r="BH286" s="508">
        <f ca="1">IF($C$4=Lookups!$D$40,SUM(INDIRECT("'Yr1'!"&amp;ADDRESS(ROW(BH286),COLUMN(BH286))),INDIRECT("'Yr2'!"&amp;ADDRESS(ROW(BH286),COLUMN(BH286))),INDIRECT("'Yr3'!"&amp;ADDRESS(ROW(BH286),COLUMN(BH286)))),
IF($C$4=BH$7,SUMIFS('EE Inputs'!$L$9:$L$32,'EE Inputs'!$C$9:$C$32,$AM$6,'EE Inputs'!$D$9:$D$32,$C$4,'EE Inputs'!$E$9:$E$32,$B286),0))</f>
        <v>0</v>
      </c>
      <c r="BI286" s="508">
        <f ca="1">IF($C$4=Lookups!$D$40,SUM(INDIRECT("'Yr1'!"&amp;ADDRESS(ROW(BI286),COLUMN(BI286))),INDIRECT("'Yr2'!"&amp;ADDRESS(ROW(BI286),COLUMN(BI286))),INDIRECT("'Yr3'!"&amp;ADDRESS(ROW(BI286),COLUMN(BI286)))),
IF($C$4=BI$7,SUMIFS('EE Inputs'!$L$9:$L$32,'EE Inputs'!$C$9:$C$32,$AM$6,'EE Inputs'!$D$9:$D$32,$C$4,'EE Inputs'!$E$9:$E$32,$B286),0))</f>
        <v>0</v>
      </c>
      <c r="BJ286" s="508">
        <f ca="1">IF($C$4=Lookups!$D$40,SUM(INDIRECT("'Yr1'!"&amp;ADDRESS(ROW(BJ286),COLUMN(BJ286))),INDIRECT("'Yr2'!"&amp;ADDRESS(ROW(BJ286),COLUMN(BJ286))),INDIRECT("'Yr3'!"&amp;ADDRESS(ROW(BJ286),COLUMN(BJ286)))),
IF($C$4=BJ$7,SUMIFS('EE Inputs'!$L$9:$L$32,'EE Inputs'!$C$9:$C$32,$AM$6,'EE Inputs'!$D$9:$D$32,$C$4,'EE Inputs'!$E$9:$E$32,$B286),0))</f>
        <v>0</v>
      </c>
      <c r="BK286" s="508">
        <f ca="1">IF($C$4=Lookups!$D$40,SUM(INDIRECT("'Yr1'!"&amp;ADDRESS(ROW(BK286),COLUMN(BK286))),INDIRECT("'Yr2'!"&amp;ADDRESS(ROW(BK286),COLUMN(BK286))),INDIRECT("'Yr3'!"&amp;ADDRESS(ROW(BK286),COLUMN(BK286)))),
IF($C$4=BK$7,SUMIFS('EE Inputs'!$L$9:$L$32,'EE Inputs'!$C$9:$C$32,$AM$6,'EE Inputs'!$D$9:$D$32,$C$4,'EE Inputs'!$E$9:$E$32,$B286),0))</f>
        <v>0</v>
      </c>
      <c r="BL286" s="508">
        <f ca="1">IF($C$4=Lookups!$D$40,SUM(INDIRECT("'Yr1'!"&amp;ADDRESS(ROW(BL286),COLUMN(BL286))),INDIRECT("'Yr2'!"&amp;ADDRESS(ROW(BL286),COLUMN(BL286))),INDIRECT("'Yr3'!"&amp;ADDRESS(ROW(BL286),COLUMN(BL286)))),
IF($C$4=BL$7,SUMIFS('EE Inputs'!$L$9:$L$32,'EE Inputs'!$C$9:$C$32,$AM$6,'EE Inputs'!$D$9:$D$32,$C$4,'EE Inputs'!$E$9:$E$32,$B286),0))</f>
        <v>0</v>
      </c>
      <c r="BM286" s="508">
        <f ca="1">IF($C$4=Lookups!$D$40,SUM(INDIRECT("'Yr1'!"&amp;ADDRESS(ROW(BM286),COLUMN(BM286))),INDIRECT("'Yr2'!"&amp;ADDRESS(ROW(BM286),COLUMN(BM286))),INDIRECT("'Yr3'!"&amp;ADDRESS(ROW(BM286),COLUMN(BM286)))),
IF($C$4=BM$7,SUMIFS('EE Inputs'!$L$9:$L$32,'EE Inputs'!$C$9:$C$32,$AM$6,'EE Inputs'!$D$9:$D$32,$C$4,'EE Inputs'!$E$9:$E$32,$B286),0))</f>
        <v>0</v>
      </c>
      <c r="BN286" s="508"/>
      <c r="BO286" s="508"/>
      <c r="BP286" s="508">
        <f ca="1">IF($C$4=Year1,-PMT(Lookups!$E$17,25,NPV(Lookups!$E$17,AM286:BK286),0,1),IF($C$4=Year2,-PMT(Lookups!$F$17,25,NPV(Lookups!$F$17,AN286:BL286),0,1),IF($C$4=Year3,-PMT(Lookups!$G$17,25,NPV(Lookups!$G$17,AO286:BM286),0,1),-PMT(Lookups!$G$17,27,NPV(Lookups!$G$17,AM286:BM286),0,1))))</f>
        <v>7.9393018490625487E-3</v>
      </c>
      <c r="BS286" s="86" t="s">
        <v>402</v>
      </c>
      <c r="BT286" s="51" t="s">
        <v>17</v>
      </c>
    </row>
    <row r="287" spans="1:72" x14ac:dyDescent="0.25">
      <c r="A287" s="246"/>
      <c r="B287" s="243" t="str">
        <f t="shared" si="307"/>
        <v>Large C&amp;I</v>
      </c>
      <c r="C287" s="243" t="str">
        <f t="shared" si="307"/>
        <v>Rates</v>
      </c>
      <c r="D287" s="244" t="str">
        <f t="shared" si="307"/>
        <v>Increased Costs and Cost Shifting</v>
      </c>
      <c r="E287" s="86" t="s">
        <v>198</v>
      </c>
      <c r="F287" s="84" t="s">
        <v>182</v>
      </c>
      <c r="G287" s="506">
        <f ca="1">IFERROR((G269/G254)-(G269/G252),0)</f>
        <v>1.0282927323764068E-2</v>
      </c>
      <c r="H287" s="506">
        <f t="shared" ref="H287:AG287" ca="1" si="310">IFERROR((H269/H254)-(H269/H252),0)</f>
        <v>1.0282927323764068E-2</v>
      </c>
      <c r="I287" s="506">
        <f t="shared" ca="1" si="310"/>
        <v>1.0282927323764068E-2</v>
      </c>
      <c r="J287" s="506">
        <f t="shared" ca="1" si="310"/>
        <v>1.0282927323764068E-2</v>
      </c>
      <c r="K287" s="506">
        <f t="shared" ca="1" si="310"/>
        <v>1.0282927323764068E-2</v>
      </c>
      <c r="L287" s="506">
        <f t="shared" ca="1" si="310"/>
        <v>1.0282927323764068E-2</v>
      </c>
      <c r="M287" s="506">
        <f t="shared" ca="1" si="310"/>
        <v>1.0282927323764068E-2</v>
      </c>
      <c r="N287" s="506">
        <f t="shared" ca="1" si="310"/>
        <v>1.0282927323764068E-2</v>
      </c>
      <c r="O287" s="506">
        <f t="shared" ca="1" si="310"/>
        <v>1.0282927323764068E-2</v>
      </c>
      <c r="P287" s="506">
        <f t="shared" ca="1" si="310"/>
        <v>1.0282927323764068E-2</v>
      </c>
      <c r="Q287" s="506">
        <f t="shared" ca="1" si="310"/>
        <v>1.0282927323764068E-2</v>
      </c>
      <c r="R287" s="506">
        <f t="shared" ca="1" si="310"/>
        <v>1.0282927323764068E-2</v>
      </c>
      <c r="S287" s="506">
        <f t="shared" ca="1" si="310"/>
        <v>1.0282927323764068E-2</v>
      </c>
      <c r="T287" s="506">
        <f t="shared" ca="1" si="310"/>
        <v>0</v>
      </c>
      <c r="U287" s="506">
        <f t="shared" ca="1" si="310"/>
        <v>0</v>
      </c>
      <c r="V287" s="506">
        <f t="shared" ca="1" si="310"/>
        <v>0</v>
      </c>
      <c r="W287" s="506">
        <f t="shared" ca="1" si="310"/>
        <v>0</v>
      </c>
      <c r="X287" s="506">
        <f t="shared" ca="1" si="310"/>
        <v>0</v>
      </c>
      <c r="Y287" s="506">
        <f t="shared" ca="1" si="310"/>
        <v>0</v>
      </c>
      <c r="Z287" s="506">
        <f t="shared" ca="1" si="310"/>
        <v>0</v>
      </c>
      <c r="AA287" s="506">
        <f t="shared" ca="1" si="310"/>
        <v>0</v>
      </c>
      <c r="AB287" s="506">
        <f t="shared" ca="1" si="310"/>
        <v>0</v>
      </c>
      <c r="AC287" s="506">
        <f t="shared" ca="1" si="310"/>
        <v>0</v>
      </c>
      <c r="AD287" s="506">
        <f t="shared" ca="1" si="310"/>
        <v>0</v>
      </c>
      <c r="AE287" s="506">
        <f t="shared" ca="1" si="310"/>
        <v>0</v>
      </c>
      <c r="AF287" s="506">
        <f t="shared" ca="1" si="310"/>
        <v>0</v>
      </c>
      <c r="AG287" s="506">
        <f t="shared" ca="1" si="310"/>
        <v>0</v>
      </c>
      <c r="AH287" s="506"/>
      <c r="AI287" s="506"/>
      <c r="AJ287" s="506">
        <f ca="1">IF($C$4=Year1,-PMT(Lookups!$E$17,25,NPV(Lookups!$E$17,G287:AE287),0,1),IF($C$4=Year2,-PMT(Lookups!$F$17,25,NPV(Lookups!$F$17,H287:AF287),0,1),IF($C$4=Year3,-PMT(Lookups!$G$17,25,NPV(Lookups!$G$17,I287:AG287),0,1),-PMT(Lookups!$G$17,27,NPV(Lookups!$G$17,G287:AG287),0,1))))</f>
        <v>5.7146895340061295E-3</v>
      </c>
      <c r="AK287" s="507"/>
      <c r="AL287" s="507"/>
      <c r="AM287" s="508">
        <f ca="1">IFERROR((AM269/AM254)-(AM269/AM252),0)</f>
        <v>1.1851974435824766E-2</v>
      </c>
      <c r="AN287" s="508">
        <f t="shared" ref="AN287:BM287" ca="1" si="311">IFERROR((AN269/AN254)-(AN269/AN252),0)</f>
        <v>1.1851974435824766E-2</v>
      </c>
      <c r="AO287" s="508">
        <f t="shared" ca="1" si="311"/>
        <v>1.1851974435824766E-2</v>
      </c>
      <c r="AP287" s="508">
        <f t="shared" ca="1" si="311"/>
        <v>1.1851974435824766E-2</v>
      </c>
      <c r="AQ287" s="508">
        <f t="shared" ca="1" si="311"/>
        <v>1.1851974435824766E-2</v>
      </c>
      <c r="AR287" s="508">
        <f t="shared" ca="1" si="311"/>
        <v>1.1851974435824766E-2</v>
      </c>
      <c r="AS287" s="508">
        <f t="shared" ca="1" si="311"/>
        <v>1.1851974435824766E-2</v>
      </c>
      <c r="AT287" s="508">
        <f t="shared" ca="1" si="311"/>
        <v>1.1851974435824766E-2</v>
      </c>
      <c r="AU287" s="508">
        <f t="shared" ca="1" si="311"/>
        <v>1.1851974435824766E-2</v>
      </c>
      <c r="AV287" s="508">
        <f t="shared" ca="1" si="311"/>
        <v>1.1851974435824766E-2</v>
      </c>
      <c r="AW287" s="508">
        <f t="shared" ca="1" si="311"/>
        <v>1.1851974435824766E-2</v>
      </c>
      <c r="AX287" s="508">
        <f t="shared" ca="1" si="311"/>
        <v>1.1851974435824766E-2</v>
      </c>
      <c r="AY287" s="508">
        <f t="shared" ca="1" si="311"/>
        <v>1.1851974435824766E-2</v>
      </c>
      <c r="AZ287" s="508">
        <f t="shared" ca="1" si="311"/>
        <v>0</v>
      </c>
      <c r="BA287" s="508">
        <f t="shared" ca="1" si="311"/>
        <v>0</v>
      </c>
      <c r="BB287" s="508">
        <f t="shared" ca="1" si="311"/>
        <v>0</v>
      </c>
      <c r="BC287" s="508">
        <f t="shared" ca="1" si="311"/>
        <v>0</v>
      </c>
      <c r="BD287" s="508">
        <f t="shared" ca="1" si="311"/>
        <v>0</v>
      </c>
      <c r="BE287" s="508">
        <f t="shared" ca="1" si="311"/>
        <v>0</v>
      </c>
      <c r="BF287" s="508">
        <f t="shared" ca="1" si="311"/>
        <v>0</v>
      </c>
      <c r="BG287" s="508">
        <f t="shared" ca="1" si="311"/>
        <v>0</v>
      </c>
      <c r="BH287" s="508">
        <f t="shared" ca="1" si="311"/>
        <v>0</v>
      </c>
      <c r="BI287" s="508">
        <f t="shared" ca="1" si="311"/>
        <v>0</v>
      </c>
      <c r="BJ287" s="508">
        <f t="shared" ca="1" si="311"/>
        <v>0</v>
      </c>
      <c r="BK287" s="508">
        <f t="shared" ca="1" si="311"/>
        <v>0</v>
      </c>
      <c r="BL287" s="508">
        <f t="shared" ca="1" si="311"/>
        <v>0</v>
      </c>
      <c r="BM287" s="508">
        <f t="shared" ca="1" si="311"/>
        <v>0</v>
      </c>
      <c r="BN287" s="508"/>
      <c r="BO287" s="508"/>
      <c r="BP287" s="508">
        <f ca="1">IF($C$4=Year1,-PMT(Lookups!$E$17,25,NPV(Lookups!$E$17,AM287:BK287),0,1),IF($C$4=Year2,-PMT(Lookups!$F$17,25,NPV(Lookups!$F$17,AN287:BL287),0,1),IF($C$4=Year3,-PMT(Lookups!$G$17,25,NPV(Lookups!$G$17,AO287:BM287),0,1),-PMT(Lookups!$G$17,27,NPV(Lookups!$G$17,AM287:BM287),0,1))))</f>
        <v>6.5866802451466947E-3</v>
      </c>
      <c r="BS287" s="84" t="s">
        <v>103</v>
      </c>
      <c r="BT287" s="51" t="s">
        <v>17</v>
      </c>
    </row>
    <row r="288" spans="1:72" x14ac:dyDescent="0.25">
      <c r="B288" s="243" t="str">
        <f t="shared" si="307"/>
        <v>Large C&amp;I</v>
      </c>
      <c r="C288" s="243" t="str">
        <f t="shared" si="307"/>
        <v>Rates</v>
      </c>
      <c r="D288" s="114" t="s">
        <v>110</v>
      </c>
      <c r="E288" s="86"/>
      <c r="F288" s="86"/>
      <c r="G288" s="238"/>
      <c r="H288" s="238"/>
      <c r="I288" s="238"/>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49"/>
      <c r="AI288" s="238"/>
      <c r="AJ288" s="49"/>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S288" s="84"/>
      <c r="BT288" s="51" t="s">
        <v>17</v>
      </c>
    </row>
    <row r="289" spans="1:72" x14ac:dyDescent="0.25">
      <c r="B289" s="243" t="str">
        <f t="shared" si="307"/>
        <v>Large C&amp;I</v>
      </c>
      <c r="C289" s="243" t="str">
        <f t="shared" si="307"/>
        <v>Rates</v>
      </c>
      <c r="D289" s="244" t="str">
        <f>D288</f>
        <v>Rates after DSM Scenario</v>
      </c>
      <c r="E289" s="86" t="s">
        <v>26</v>
      </c>
      <c r="F289" s="84" t="s">
        <v>182</v>
      </c>
      <c r="G289" s="506">
        <f ca="1">IFERROR(G269/G254,0)</f>
        <v>0.12483993226813153</v>
      </c>
      <c r="H289" s="506">
        <f t="shared" ref="H289:AG289" ca="1" si="312">IFERROR(H269/H254,0)</f>
        <v>0.12483993226813153</v>
      </c>
      <c r="I289" s="506">
        <f t="shared" ca="1" si="312"/>
        <v>0.12483993226813153</v>
      </c>
      <c r="J289" s="506">
        <f t="shared" ca="1" si="312"/>
        <v>0.12483993226813153</v>
      </c>
      <c r="K289" s="506">
        <f t="shared" ca="1" si="312"/>
        <v>0.12483993226813153</v>
      </c>
      <c r="L289" s="506">
        <f t="shared" ca="1" si="312"/>
        <v>0.12483993226813153</v>
      </c>
      <c r="M289" s="506">
        <f t="shared" ca="1" si="312"/>
        <v>0.12483993226813153</v>
      </c>
      <c r="N289" s="506">
        <f t="shared" ca="1" si="312"/>
        <v>0.12483993226813153</v>
      </c>
      <c r="O289" s="506">
        <f t="shared" ca="1" si="312"/>
        <v>0.12483993226813153</v>
      </c>
      <c r="P289" s="506">
        <f t="shared" ca="1" si="312"/>
        <v>0.12483993226813153</v>
      </c>
      <c r="Q289" s="506">
        <f t="shared" ca="1" si="312"/>
        <v>0.12483993226813153</v>
      </c>
      <c r="R289" s="506">
        <f t="shared" ca="1" si="312"/>
        <v>0.12483993226813153</v>
      </c>
      <c r="S289" s="506">
        <f t="shared" ca="1" si="312"/>
        <v>0.12483993226813153</v>
      </c>
      <c r="T289" s="506">
        <f t="shared" ca="1" si="312"/>
        <v>0.1181</v>
      </c>
      <c r="U289" s="506">
        <f t="shared" ca="1" si="312"/>
        <v>0.1181</v>
      </c>
      <c r="V289" s="506">
        <f t="shared" ca="1" si="312"/>
        <v>0.1181</v>
      </c>
      <c r="W289" s="506">
        <f t="shared" ca="1" si="312"/>
        <v>0.1181</v>
      </c>
      <c r="X289" s="506">
        <f t="shared" ca="1" si="312"/>
        <v>0.1181</v>
      </c>
      <c r="Y289" s="506">
        <f t="shared" ca="1" si="312"/>
        <v>0.1181</v>
      </c>
      <c r="Z289" s="506">
        <f t="shared" ca="1" si="312"/>
        <v>0.1181</v>
      </c>
      <c r="AA289" s="506">
        <f t="shared" ca="1" si="312"/>
        <v>0.1181</v>
      </c>
      <c r="AB289" s="506">
        <f t="shared" ca="1" si="312"/>
        <v>0.1181</v>
      </c>
      <c r="AC289" s="506">
        <f t="shared" ca="1" si="312"/>
        <v>0.1181</v>
      </c>
      <c r="AD289" s="506">
        <f t="shared" ca="1" si="312"/>
        <v>0.1181</v>
      </c>
      <c r="AE289" s="506">
        <f t="shared" ca="1" si="312"/>
        <v>0.1181</v>
      </c>
      <c r="AF289" s="506">
        <f t="shared" ca="1" si="312"/>
        <v>0.1181</v>
      </c>
      <c r="AG289" s="506">
        <f t="shared" ca="1" si="312"/>
        <v>0.1181</v>
      </c>
      <c r="AH289" s="509"/>
      <c r="AI289" s="506"/>
      <c r="AJ289" s="509">
        <f ca="1">IF($C$4=Year1,-PMT(Lookups!$E$17,25,NPV(Lookups!$E$17,G289:AE289),0,1),IF($C$4=Year2,-PMT(Lookups!$F$17,25,NPV(Lookups!$F$17,H289:AF289),0,1),IF($C$4=Year3,-PMT(Lookups!$G$17,25,NPV(Lookups!$G$17,I289:AG289),0,1),-PMT(Lookups!$G$17,27,NPV(Lookups!$G$17,G289:AG289),0,1))))</f>
        <v>0.1201985773792917</v>
      </c>
      <c r="AK289" s="507"/>
      <c r="AL289" s="507"/>
      <c r="AM289" s="508">
        <f ca="1">IFERROR(AM269/AM254,0)</f>
        <v>0.12590283722938758</v>
      </c>
      <c r="AN289" s="508">
        <f t="shared" ref="AN289:BM289" ca="1" si="313">IFERROR(AN269/AN254,0)</f>
        <v>0.12590283722938758</v>
      </c>
      <c r="AO289" s="508">
        <f t="shared" ca="1" si="313"/>
        <v>0.12590283722938758</v>
      </c>
      <c r="AP289" s="508">
        <f t="shared" ca="1" si="313"/>
        <v>0.12590283722938758</v>
      </c>
      <c r="AQ289" s="508">
        <f t="shared" ca="1" si="313"/>
        <v>0.12590283722938758</v>
      </c>
      <c r="AR289" s="508">
        <f t="shared" ca="1" si="313"/>
        <v>0.12590283722938758</v>
      </c>
      <c r="AS289" s="508">
        <f t="shared" ca="1" si="313"/>
        <v>0.12590283722938758</v>
      </c>
      <c r="AT289" s="508">
        <f t="shared" ca="1" si="313"/>
        <v>0.12590283722938758</v>
      </c>
      <c r="AU289" s="508">
        <f t="shared" ca="1" si="313"/>
        <v>0.12590283722938758</v>
      </c>
      <c r="AV289" s="508">
        <f t="shared" ca="1" si="313"/>
        <v>0.12590283722938758</v>
      </c>
      <c r="AW289" s="508">
        <f t="shared" ca="1" si="313"/>
        <v>0.12590283722938758</v>
      </c>
      <c r="AX289" s="508">
        <f t="shared" ca="1" si="313"/>
        <v>0.12590283722938758</v>
      </c>
      <c r="AY289" s="508">
        <f t="shared" ca="1" si="313"/>
        <v>0.12590283722938758</v>
      </c>
      <c r="AZ289" s="508">
        <f t="shared" ca="1" si="313"/>
        <v>0.1181</v>
      </c>
      <c r="BA289" s="508">
        <f t="shared" ca="1" si="313"/>
        <v>0.1181</v>
      </c>
      <c r="BB289" s="508">
        <f t="shared" ca="1" si="313"/>
        <v>0.1181</v>
      </c>
      <c r="BC289" s="508">
        <f t="shared" ca="1" si="313"/>
        <v>0.1181</v>
      </c>
      <c r="BD289" s="508">
        <f t="shared" ca="1" si="313"/>
        <v>0.1181</v>
      </c>
      <c r="BE289" s="508">
        <f t="shared" ca="1" si="313"/>
        <v>0.1181</v>
      </c>
      <c r="BF289" s="508">
        <f t="shared" ca="1" si="313"/>
        <v>0.1181</v>
      </c>
      <c r="BG289" s="508">
        <f t="shared" ca="1" si="313"/>
        <v>0.1181</v>
      </c>
      <c r="BH289" s="508">
        <f t="shared" ca="1" si="313"/>
        <v>0.1181</v>
      </c>
      <c r="BI289" s="508">
        <f t="shared" ca="1" si="313"/>
        <v>0.1181</v>
      </c>
      <c r="BJ289" s="508">
        <f t="shared" ca="1" si="313"/>
        <v>0.1181</v>
      </c>
      <c r="BK289" s="508">
        <f t="shared" ca="1" si="313"/>
        <v>0.1181</v>
      </c>
      <c r="BL289" s="508">
        <f t="shared" ca="1" si="313"/>
        <v>0.1181</v>
      </c>
      <c r="BM289" s="508">
        <f t="shared" ca="1" si="313"/>
        <v>0.1181</v>
      </c>
      <c r="BN289" s="508"/>
      <c r="BO289" s="508"/>
      <c r="BP289" s="508">
        <f ca="1">IF($C$4=Year1,-PMT(Lookups!$E$17,25,NPV(Lookups!$E$17,AM289:BK289),0,1),IF($C$4=Year2,-PMT(Lookups!$F$17,25,NPV(Lookups!$F$17,AN289:BL289),0,1),IF($C$4=Year3,-PMT(Lookups!$G$17,25,NPV(Lookups!$G$17,AO289:BM289),0,1),-PMT(Lookups!$G$17,27,NPV(Lookups!$G$17,AM289:BM289),0,1))))</f>
        <v>0.12078928191959276</v>
      </c>
      <c r="BS289" s="84" t="s">
        <v>238</v>
      </c>
      <c r="BT289" s="51" t="s">
        <v>17</v>
      </c>
    </row>
    <row r="290" spans="1:72" x14ac:dyDescent="0.25">
      <c r="B290" s="243" t="str">
        <f t="shared" si="307"/>
        <v>Large C&amp;I</v>
      </c>
      <c r="C290" s="243" t="str">
        <f t="shared" si="307"/>
        <v>Rates</v>
      </c>
      <c r="D290" s="244" t="str">
        <f>D289</f>
        <v>Rates after DSM Scenario</v>
      </c>
      <c r="E290" s="84" t="s">
        <v>407</v>
      </c>
      <c r="F290" s="84" t="s">
        <v>182</v>
      </c>
      <c r="G290" s="506">
        <f ca="1">IFERROR(G270/G254,0)</f>
        <v>5.6667651891697136E-3</v>
      </c>
      <c r="H290" s="506">
        <f t="shared" ref="H290:AG290" ca="1" si="314">IFERROR(H270/H254,0)</f>
        <v>5.6667651891697136E-3</v>
      </c>
      <c r="I290" s="506">
        <f t="shared" ca="1" si="314"/>
        <v>5.6667651891697136E-3</v>
      </c>
      <c r="J290" s="506">
        <f t="shared" ca="1" si="314"/>
        <v>5.6667651891697136E-3</v>
      </c>
      <c r="K290" s="506">
        <f t="shared" ca="1" si="314"/>
        <v>5.6667651891697136E-3</v>
      </c>
      <c r="L290" s="506">
        <f t="shared" ca="1" si="314"/>
        <v>5.6667651891697136E-3</v>
      </c>
      <c r="M290" s="506">
        <f t="shared" ca="1" si="314"/>
        <v>5.6667651891697136E-3</v>
      </c>
      <c r="N290" s="506">
        <f t="shared" ca="1" si="314"/>
        <v>5.6667651891697136E-3</v>
      </c>
      <c r="O290" s="506">
        <f t="shared" ca="1" si="314"/>
        <v>5.6667651891697136E-3</v>
      </c>
      <c r="P290" s="506">
        <f t="shared" ca="1" si="314"/>
        <v>5.6667651891697136E-3</v>
      </c>
      <c r="Q290" s="506">
        <f t="shared" ca="1" si="314"/>
        <v>5.6667651891697136E-3</v>
      </c>
      <c r="R290" s="506">
        <f t="shared" ca="1" si="314"/>
        <v>5.6667651891697136E-3</v>
      </c>
      <c r="S290" s="506">
        <f t="shared" ca="1" si="314"/>
        <v>5.6667651891697136E-3</v>
      </c>
      <c r="T290" s="506">
        <f t="shared" ca="1" si="314"/>
        <v>5.2000000000000032E-3</v>
      </c>
      <c r="U290" s="506">
        <f t="shared" ca="1" si="314"/>
        <v>5.2000000000000032E-3</v>
      </c>
      <c r="V290" s="506">
        <f t="shared" ca="1" si="314"/>
        <v>5.2000000000000032E-3</v>
      </c>
      <c r="W290" s="506">
        <f t="shared" ca="1" si="314"/>
        <v>5.2000000000000032E-3</v>
      </c>
      <c r="X290" s="506">
        <f t="shared" ca="1" si="314"/>
        <v>5.2000000000000032E-3</v>
      </c>
      <c r="Y290" s="506">
        <f t="shared" ca="1" si="314"/>
        <v>5.2000000000000032E-3</v>
      </c>
      <c r="Z290" s="506">
        <f t="shared" ca="1" si="314"/>
        <v>5.2000000000000032E-3</v>
      </c>
      <c r="AA290" s="506">
        <f t="shared" ca="1" si="314"/>
        <v>5.2000000000000032E-3</v>
      </c>
      <c r="AB290" s="506">
        <f t="shared" ca="1" si="314"/>
        <v>5.2000000000000032E-3</v>
      </c>
      <c r="AC290" s="506">
        <f t="shared" ca="1" si="314"/>
        <v>5.2000000000000032E-3</v>
      </c>
      <c r="AD290" s="506">
        <f t="shared" ca="1" si="314"/>
        <v>5.2000000000000032E-3</v>
      </c>
      <c r="AE290" s="506">
        <f t="shared" ca="1" si="314"/>
        <v>5.2000000000000032E-3</v>
      </c>
      <c r="AF290" s="506">
        <f t="shared" ca="1" si="314"/>
        <v>5.2000000000000032E-3</v>
      </c>
      <c r="AG290" s="506">
        <f t="shared" ca="1" si="314"/>
        <v>5.2000000000000032E-3</v>
      </c>
      <c r="AH290" s="509"/>
      <c r="AI290" s="506"/>
      <c r="AJ290" s="509">
        <f ca="1">IF($C$4=Year1,-PMT(Lookups!$E$17,25,NPV(Lookups!$E$17,G290:AE290),0,1),IF($C$4=Year2,-PMT(Lookups!$F$17,25,NPV(Lookups!$F$17,H290:AF290),0,1),IF($C$4=Year3,-PMT(Lookups!$G$17,25,NPV(Lookups!$G$17,I290:AG290),0,1),-PMT(Lookups!$G$17,27,NPV(Lookups!$G$17,G290:AG290),0,1))))</f>
        <v>5.386879603218246E-3</v>
      </c>
      <c r="AK290" s="507"/>
      <c r="AL290" s="507"/>
      <c r="AM290" s="508">
        <f ca="1">IFERROR(AM270/AM254,0)</f>
        <v>5.740375281314992E-3</v>
      </c>
      <c r="AN290" s="508">
        <f t="shared" ref="AN290:BM290" ca="1" si="315">IFERROR(AN270/AN254,0)</f>
        <v>5.740375281314992E-3</v>
      </c>
      <c r="AO290" s="508">
        <f t="shared" ca="1" si="315"/>
        <v>5.740375281314992E-3</v>
      </c>
      <c r="AP290" s="508">
        <f t="shared" ca="1" si="315"/>
        <v>5.740375281314992E-3</v>
      </c>
      <c r="AQ290" s="508">
        <f t="shared" ca="1" si="315"/>
        <v>5.740375281314992E-3</v>
      </c>
      <c r="AR290" s="508">
        <f t="shared" ca="1" si="315"/>
        <v>5.740375281314992E-3</v>
      </c>
      <c r="AS290" s="508">
        <f t="shared" ca="1" si="315"/>
        <v>5.740375281314992E-3</v>
      </c>
      <c r="AT290" s="508">
        <f t="shared" ca="1" si="315"/>
        <v>5.740375281314992E-3</v>
      </c>
      <c r="AU290" s="508">
        <f t="shared" ca="1" si="315"/>
        <v>5.740375281314992E-3</v>
      </c>
      <c r="AV290" s="508">
        <f t="shared" ca="1" si="315"/>
        <v>5.740375281314992E-3</v>
      </c>
      <c r="AW290" s="508">
        <f t="shared" ca="1" si="315"/>
        <v>5.740375281314992E-3</v>
      </c>
      <c r="AX290" s="508">
        <f t="shared" ca="1" si="315"/>
        <v>5.740375281314992E-3</v>
      </c>
      <c r="AY290" s="508">
        <f t="shared" ca="1" si="315"/>
        <v>5.740375281314992E-3</v>
      </c>
      <c r="AZ290" s="508">
        <f t="shared" ca="1" si="315"/>
        <v>5.2000000000000032E-3</v>
      </c>
      <c r="BA290" s="508">
        <f t="shared" ca="1" si="315"/>
        <v>5.2000000000000032E-3</v>
      </c>
      <c r="BB290" s="508">
        <f t="shared" ca="1" si="315"/>
        <v>5.2000000000000032E-3</v>
      </c>
      <c r="BC290" s="508">
        <f t="shared" ca="1" si="315"/>
        <v>5.2000000000000032E-3</v>
      </c>
      <c r="BD290" s="508">
        <f t="shared" ca="1" si="315"/>
        <v>5.2000000000000032E-3</v>
      </c>
      <c r="BE290" s="508">
        <f t="shared" ca="1" si="315"/>
        <v>5.2000000000000032E-3</v>
      </c>
      <c r="BF290" s="508">
        <f t="shared" ca="1" si="315"/>
        <v>5.2000000000000032E-3</v>
      </c>
      <c r="BG290" s="508">
        <f t="shared" ca="1" si="315"/>
        <v>5.2000000000000032E-3</v>
      </c>
      <c r="BH290" s="508">
        <f t="shared" ca="1" si="315"/>
        <v>5.2000000000000032E-3</v>
      </c>
      <c r="BI290" s="508">
        <f t="shared" ca="1" si="315"/>
        <v>5.2000000000000032E-3</v>
      </c>
      <c r="BJ290" s="508">
        <f t="shared" ca="1" si="315"/>
        <v>5.2000000000000032E-3</v>
      </c>
      <c r="BK290" s="508">
        <f t="shared" ca="1" si="315"/>
        <v>5.2000000000000032E-3</v>
      </c>
      <c r="BL290" s="508">
        <f t="shared" ca="1" si="315"/>
        <v>5.2000000000000032E-3</v>
      </c>
      <c r="BM290" s="508">
        <f t="shared" ca="1" si="315"/>
        <v>5.2000000000000032E-3</v>
      </c>
      <c r="BN290" s="508"/>
      <c r="BO290" s="508"/>
      <c r="BP290" s="508">
        <f ca="1">IF($C$4=Year1,-PMT(Lookups!$E$17,25,NPV(Lookups!$E$17,AM290:BK290),0,1),IF($C$4=Year2,-PMT(Lookups!$F$17,25,NPV(Lookups!$F$17,AN290:BL290),0,1),IF($C$4=Year3,-PMT(Lookups!$G$17,25,NPV(Lookups!$G$17,AO290:BM290),0,1),-PMT(Lookups!$G$17,27,NPV(Lookups!$G$17,AM290:BM290),0,1))))</f>
        <v>5.4277880731446746E-3</v>
      </c>
      <c r="BS290" s="84" t="s">
        <v>237</v>
      </c>
      <c r="BT290" s="51" t="s">
        <v>17</v>
      </c>
    </row>
    <row r="291" spans="1:72" x14ac:dyDescent="0.25">
      <c r="B291" s="243" t="str">
        <f t="shared" si="307"/>
        <v>Large C&amp;I</v>
      </c>
      <c r="C291" s="243" t="str">
        <f t="shared" si="307"/>
        <v>Rates</v>
      </c>
      <c r="D291" s="244" t="str">
        <f t="shared" si="307"/>
        <v>Rates after DSM Scenario</v>
      </c>
      <c r="E291" s="84" t="s">
        <v>197</v>
      </c>
      <c r="F291" s="84" t="s">
        <v>182</v>
      </c>
      <c r="G291" s="506">
        <f ca="1">IFERROR(G277+G283,0)</f>
        <v>0.61593283789457609</v>
      </c>
      <c r="H291" s="506">
        <f t="shared" ref="H291:AG291" ca="1" si="316">IFERROR(H277+H283,0)</f>
        <v>0.61593283789457609</v>
      </c>
      <c r="I291" s="506">
        <f t="shared" ca="1" si="316"/>
        <v>0.61593283789457609</v>
      </c>
      <c r="J291" s="506">
        <f t="shared" ca="1" si="316"/>
        <v>0.61593283789457609</v>
      </c>
      <c r="K291" s="506">
        <f t="shared" ca="1" si="316"/>
        <v>0.61593283789457609</v>
      </c>
      <c r="L291" s="506">
        <f t="shared" ca="1" si="316"/>
        <v>0.61593283789457609</v>
      </c>
      <c r="M291" s="506">
        <f t="shared" ca="1" si="316"/>
        <v>0.61593283789457609</v>
      </c>
      <c r="N291" s="506">
        <f t="shared" ca="1" si="316"/>
        <v>0.61593283789457609</v>
      </c>
      <c r="O291" s="506">
        <f t="shared" ca="1" si="316"/>
        <v>0.61593283789457609</v>
      </c>
      <c r="P291" s="506">
        <f t="shared" ca="1" si="316"/>
        <v>0.61593283789457609</v>
      </c>
      <c r="Q291" s="506">
        <f t="shared" ca="1" si="316"/>
        <v>0.61593283789457609</v>
      </c>
      <c r="R291" s="506">
        <f t="shared" ca="1" si="316"/>
        <v>0.61593283789457609</v>
      </c>
      <c r="S291" s="506">
        <f t="shared" ca="1" si="316"/>
        <v>0.61593283789457609</v>
      </c>
      <c r="T291" s="506">
        <f t="shared" ca="1" si="316"/>
        <v>0.61899999999999999</v>
      </c>
      <c r="U291" s="506">
        <f t="shared" ca="1" si="316"/>
        <v>0.61899999999999999</v>
      </c>
      <c r="V291" s="506">
        <f t="shared" ca="1" si="316"/>
        <v>0.61899999999999999</v>
      </c>
      <c r="W291" s="506">
        <f t="shared" ca="1" si="316"/>
        <v>0.61899999999999999</v>
      </c>
      <c r="X291" s="506">
        <f t="shared" ca="1" si="316"/>
        <v>0.61899999999999999</v>
      </c>
      <c r="Y291" s="506">
        <f t="shared" ca="1" si="316"/>
        <v>0.61899999999999999</v>
      </c>
      <c r="Z291" s="506">
        <f t="shared" ca="1" si="316"/>
        <v>0.61899999999999999</v>
      </c>
      <c r="AA291" s="506">
        <f t="shared" ca="1" si="316"/>
        <v>0.61899999999999999</v>
      </c>
      <c r="AB291" s="506">
        <f t="shared" ca="1" si="316"/>
        <v>0.61899999999999999</v>
      </c>
      <c r="AC291" s="506">
        <f t="shared" ca="1" si="316"/>
        <v>0.61899999999999999</v>
      </c>
      <c r="AD291" s="506">
        <f t="shared" ca="1" si="316"/>
        <v>0.61899999999999999</v>
      </c>
      <c r="AE291" s="506">
        <f t="shared" ca="1" si="316"/>
        <v>0.61899999999999999</v>
      </c>
      <c r="AF291" s="506">
        <f t="shared" ca="1" si="316"/>
        <v>0.61899999999999999</v>
      </c>
      <c r="AG291" s="506">
        <f t="shared" ca="1" si="316"/>
        <v>0.61899999999999999</v>
      </c>
      <c r="AH291" s="509"/>
      <c r="AI291" s="506"/>
      <c r="AJ291" s="509">
        <f ca="1">IF($C$4=Year1,-PMT(Lookups!$E$17,25,NPV(Lookups!$E$17,G291:AE291),0,1),IF($C$4=Year2,-PMT(Lookups!$F$17,25,NPV(Lookups!$F$17,H291:AF291),0,1),IF($C$4=Year3,-PMT(Lookups!$G$17,25,NPV(Lookups!$G$17,I291:AG291),0,1),-PMT(Lookups!$G$17,27,NPV(Lookups!$G$17,G291:AG291),0,1))))</f>
        <v>0.60866241214184436</v>
      </c>
      <c r="AK291" s="507"/>
      <c r="AL291" s="507"/>
      <c r="AM291" s="508">
        <f ca="1">IFERROR(AM277+AM283,0)</f>
        <v>0.61544913840189042</v>
      </c>
      <c r="AN291" s="508">
        <f t="shared" ref="AN291:BM291" ca="1" si="317">IFERROR(AN277+AN283,0)</f>
        <v>0.61544913840189042</v>
      </c>
      <c r="AO291" s="508">
        <f t="shared" ca="1" si="317"/>
        <v>0.61544913840189042</v>
      </c>
      <c r="AP291" s="508">
        <f t="shared" ca="1" si="317"/>
        <v>0.61544913840189042</v>
      </c>
      <c r="AQ291" s="508">
        <f t="shared" ca="1" si="317"/>
        <v>0.61544913840189042</v>
      </c>
      <c r="AR291" s="508">
        <f t="shared" ca="1" si="317"/>
        <v>0.61544913840189042</v>
      </c>
      <c r="AS291" s="508">
        <f t="shared" ca="1" si="317"/>
        <v>0.61544913840189042</v>
      </c>
      <c r="AT291" s="508">
        <f t="shared" ca="1" si="317"/>
        <v>0.61544913840189042</v>
      </c>
      <c r="AU291" s="508">
        <f t="shared" ca="1" si="317"/>
        <v>0.61544913840189042</v>
      </c>
      <c r="AV291" s="508">
        <f t="shared" ca="1" si="317"/>
        <v>0.61544913840189042</v>
      </c>
      <c r="AW291" s="508">
        <f t="shared" ca="1" si="317"/>
        <v>0.61544913840189042</v>
      </c>
      <c r="AX291" s="508">
        <f t="shared" ca="1" si="317"/>
        <v>0.61544913840189042</v>
      </c>
      <c r="AY291" s="508">
        <f t="shared" ca="1" si="317"/>
        <v>0.61544913840189042</v>
      </c>
      <c r="AZ291" s="508">
        <f t="shared" ca="1" si="317"/>
        <v>0.61899999999999999</v>
      </c>
      <c r="BA291" s="508">
        <f t="shared" ca="1" si="317"/>
        <v>0.61899999999999999</v>
      </c>
      <c r="BB291" s="508">
        <f t="shared" ca="1" si="317"/>
        <v>0.61899999999999999</v>
      </c>
      <c r="BC291" s="508">
        <f t="shared" ca="1" si="317"/>
        <v>0.61899999999999999</v>
      </c>
      <c r="BD291" s="508">
        <f t="shared" ca="1" si="317"/>
        <v>0.61899999999999999</v>
      </c>
      <c r="BE291" s="508">
        <f t="shared" ca="1" si="317"/>
        <v>0.61899999999999999</v>
      </c>
      <c r="BF291" s="508">
        <f t="shared" ca="1" si="317"/>
        <v>0.61899999999999999</v>
      </c>
      <c r="BG291" s="508">
        <f t="shared" ca="1" si="317"/>
        <v>0.61899999999999999</v>
      </c>
      <c r="BH291" s="508">
        <f t="shared" ca="1" si="317"/>
        <v>0.61899999999999999</v>
      </c>
      <c r="BI291" s="508">
        <f t="shared" ca="1" si="317"/>
        <v>0.61899999999999999</v>
      </c>
      <c r="BJ291" s="508">
        <f t="shared" ca="1" si="317"/>
        <v>0.61899999999999999</v>
      </c>
      <c r="BK291" s="508">
        <f t="shared" ca="1" si="317"/>
        <v>0.61899999999999999</v>
      </c>
      <c r="BL291" s="508">
        <f t="shared" ca="1" si="317"/>
        <v>0.61899999999999999</v>
      </c>
      <c r="BM291" s="508">
        <f t="shared" ca="1" si="317"/>
        <v>0.61899999999999999</v>
      </c>
      <c r="BN291" s="508"/>
      <c r="BO291" s="508"/>
      <c r="BP291" s="508">
        <f ca="1">IF($C$4=Year1,-PMT(Lookups!$E$17,25,NPV(Lookups!$E$17,AM291:BK291),0,1),IF($C$4=Year2,-PMT(Lookups!$F$17,25,NPV(Lookups!$F$17,AN291:BL291),0,1),IF($C$4=Year3,-PMT(Lookups!$G$17,25,NPV(Lookups!$G$17,AO291:BM291),0,1),-PMT(Lookups!$G$17,27,NPV(Lookups!$G$17,AM291:BM291),0,1))))</f>
        <v>0.60839359837496421</v>
      </c>
      <c r="BS291" s="86" t="s">
        <v>236</v>
      </c>
      <c r="BT291" s="51" t="s">
        <v>17</v>
      </c>
    </row>
    <row r="292" spans="1:72" x14ac:dyDescent="0.25">
      <c r="B292" s="243" t="str">
        <f t="shared" si="307"/>
        <v>Large C&amp;I</v>
      </c>
      <c r="C292" s="243" t="str">
        <f t="shared" si="307"/>
        <v>Rates</v>
      </c>
      <c r="D292" s="244" t="str">
        <f t="shared" si="307"/>
        <v>Rates after DSM Scenario</v>
      </c>
      <c r="E292" s="84" t="s">
        <v>406</v>
      </c>
      <c r="F292" s="84" t="s">
        <v>182</v>
      </c>
      <c r="G292" s="509">
        <f ca="1">G286</f>
        <v>0.14245258051119242</v>
      </c>
      <c r="H292" s="509">
        <f t="shared" ref="H292:AG292" ca="1" si="318">H286</f>
        <v>0</v>
      </c>
      <c r="I292" s="509">
        <f t="shared" ca="1" si="318"/>
        <v>0</v>
      </c>
      <c r="J292" s="509">
        <f t="shared" ca="1" si="318"/>
        <v>0</v>
      </c>
      <c r="K292" s="509">
        <f t="shared" ca="1" si="318"/>
        <v>0</v>
      </c>
      <c r="L292" s="509">
        <f t="shared" ca="1" si="318"/>
        <v>0</v>
      </c>
      <c r="M292" s="509">
        <f t="shared" ca="1" si="318"/>
        <v>0</v>
      </c>
      <c r="N292" s="509">
        <f t="shared" ca="1" si="318"/>
        <v>0</v>
      </c>
      <c r="O292" s="509">
        <f t="shared" ca="1" si="318"/>
        <v>0</v>
      </c>
      <c r="P292" s="509">
        <f t="shared" ca="1" si="318"/>
        <v>0</v>
      </c>
      <c r="Q292" s="509">
        <f t="shared" ca="1" si="318"/>
        <v>0</v>
      </c>
      <c r="R292" s="509">
        <f t="shared" ca="1" si="318"/>
        <v>0</v>
      </c>
      <c r="S292" s="509">
        <f t="shared" ca="1" si="318"/>
        <v>0</v>
      </c>
      <c r="T292" s="509">
        <f t="shared" ca="1" si="318"/>
        <v>0</v>
      </c>
      <c r="U292" s="509">
        <f t="shared" ca="1" si="318"/>
        <v>0</v>
      </c>
      <c r="V292" s="509">
        <f t="shared" ca="1" si="318"/>
        <v>0</v>
      </c>
      <c r="W292" s="509">
        <f t="shared" ca="1" si="318"/>
        <v>0</v>
      </c>
      <c r="X292" s="509">
        <f t="shared" ca="1" si="318"/>
        <v>0</v>
      </c>
      <c r="Y292" s="509">
        <f t="shared" ca="1" si="318"/>
        <v>0</v>
      </c>
      <c r="Z292" s="509">
        <f t="shared" ca="1" si="318"/>
        <v>0</v>
      </c>
      <c r="AA292" s="509">
        <f t="shared" ca="1" si="318"/>
        <v>0</v>
      </c>
      <c r="AB292" s="509">
        <f t="shared" ca="1" si="318"/>
        <v>0</v>
      </c>
      <c r="AC292" s="509">
        <f t="shared" ca="1" si="318"/>
        <v>0</v>
      </c>
      <c r="AD292" s="509">
        <f t="shared" ca="1" si="318"/>
        <v>0</v>
      </c>
      <c r="AE292" s="509">
        <f t="shared" ca="1" si="318"/>
        <v>0</v>
      </c>
      <c r="AF292" s="509">
        <f t="shared" ca="1" si="318"/>
        <v>0</v>
      </c>
      <c r="AG292" s="509">
        <f t="shared" ca="1" si="318"/>
        <v>0</v>
      </c>
      <c r="AH292" s="509"/>
      <c r="AI292" s="509"/>
      <c r="AJ292" s="509">
        <f ca="1">IF($C$4=Year1,-PMT(Lookups!$E$17,25,NPV(Lookups!$E$17,G292:AE292),0,1),IF($C$4=Year2,-PMT(Lookups!$F$17,25,NPV(Lookups!$F$17,H292:AF292),0,1),IF($C$4=Year3,-PMT(Lookups!$G$17,25,NPV(Lookups!$G$17,I292:AG292),0,1),-PMT(Lookups!$G$17,27,NPV(Lookups!$G$17,G292:AG292),0,1))))</f>
        <v>6.6160848742187897E-3</v>
      </c>
      <c r="AK292" s="507"/>
      <c r="AL292" s="507"/>
      <c r="AM292" s="508">
        <f ca="1">AM286</f>
        <v>0.17094309661343091</v>
      </c>
      <c r="AN292" s="508">
        <f t="shared" ref="AN292:BM292" ca="1" si="319">AN286</f>
        <v>0</v>
      </c>
      <c r="AO292" s="508">
        <f t="shared" ca="1" si="319"/>
        <v>0</v>
      </c>
      <c r="AP292" s="508">
        <f t="shared" ca="1" si="319"/>
        <v>0</v>
      </c>
      <c r="AQ292" s="508">
        <f t="shared" ca="1" si="319"/>
        <v>0</v>
      </c>
      <c r="AR292" s="508">
        <f t="shared" ca="1" si="319"/>
        <v>0</v>
      </c>
      <c r="AS292" s="508">
        <f t="shared" ca="1" si="319"/>
        <v>0</v>
      </c>
      <c r="AT292" s="508">
        <f t="shared" ca="1" si="319"/>
        <v>0</v>
      </c>
      <c r="AU292" s="508">
        <f t="shared" ca="1" si="319"/>
        <v>0</v>
      </c>
      <c r="AV292" s="508">
        <f t="shared" ca="1" si="319"/>
        <v>0</v>
      </c>
      <c r="AW292" s="508">
        <f t="shared" ca="1" si="319"/>
        <v>0</v>
      </c>
      <c r="AX292" s="508">
        <f t="shared" ca="1" si="319"/>
        <v>0</v>
      </c>
      <c r="AY292" s="508">
        <f t="shared" ca="1" si="319"/>
        <v>0</v>
      </c>
      <c r="AZ292" s="508">
        <f t="shared" ca="1" si="319"/>
        <v>0</v>
      </c>
      <c r="BA292" s="508">
        <f t="shared" ca="1" si="319"/>
        <v>0</v>
      </c>
      <c r="BB292" s="508">
        <f t="shared" ca="1" si="319"/>
        <v>0</v>
      </c>
      <c r="BC292" s="508">
        <f t="shared" ca="1" si="319"/>
        <v>0</v>
      </c>
      <c r="BD292" s="508">
        <f t="shared" ca="1" si="319"/>
        <v>0</v>
      </c>
      <c r="BE292" s="508">
        <f t="shared" ca="1" si="319"/>
        <v>0</v>
      </c>
      <c r="BF292" s="508">
        <f t="shared" ca="1" si="319"/>
        <v>0</v>
      </c>
      <c r="BG292" s="508">
        <f t="shared" ca="1" si="319"/>
        <v>0</v>
      </c>
      <c r="BH292" s="508">
        <f t="shared" ca="1" si="319"/>
        <v>0</v>
      </c>
      <c r="BI292" s="508">
        <f t="shared" ca="1" si="319"/>
        <v>0</v>
      </c>
      <c r="BJ292" s="508">
        <f t="shared" ca="1" si="319"/>
        <v>0</v>
      </c>
      <c r="BK292" s="508">
        <f t="shared" ca="1" si="319"/>
        <v>0</v>
      </c>
      <c r="BL292" s="508">
        <f t="shared" ca="1" si="319"/>
        <v>0</v>
      </c>
      <c r="BM292" s="508">
        <f t="shared" ca="1" si="319"/>
        <v>0</v>
      </c>
      <c r="BN292" s="508"/>
      <c r="BO292" s="508"/>
      <c r="BP292" s="508">
        <f ca="1">IF($C$4=Year1,-PMT(Lookups!$E$17,25,NPV(Lookups!$E$17,AM292:BK292),0,1),IF($C$4=Year2,-PMT(Lookups!$F$17,25,NPV(Lookups!$F$17,AN292:BL292),0,1),IF($C$4=Year3,-PMT(Lookups!$G$17,25,NPV(Lookups!$G$17,AO292:BM292),0,1),-PMT(Lookups!$G$17,27,NPV(Lookups!$G$17,AM292:BM292),0,1))))</f>
        <v>7.9393018490625487E-3</v>
      </c>
      <c r="BS292" s="84" t="s">
        <v>403</v>
      </c>
      <c r="BT292" s="51" t="s">
        <v>17</v>
      </c>
    </row>
    <row r="293" spans="1:72" x14ac:dyDescent="0.25">
      <c r="B293" s="243" t="str">
        <f>B294</f>
        <v>Large C&amp;I</v>
      </c>
      <c r="C293" s="243" t="str">
        <f>C294</f>
        <v>Rates</v>
      </c>
      <c r="D293" s="244" t="str">
        <f>D294</f>
        <v>Rates after DSM Scenario</v>
      </c>
      <c r="E293" s="86" t="s">
        <v>75</v>
      </c>
      <c r="F293" s="84" t="s">
        <v>182</v>
      </c>
      <c r="G293" s="506">
        <f>G278</f>
        <v>4.271893828439878E-2</v>
      </c>
      <c r="H293" s="506">
        <f t="shared" ref="H293:AG293" si="320">H278</f>
        <v>4.271893828439878E-2</v>
      </c>
      <c r="I293" s="506">
        <f t="shared" si="320"/>
        <v>4.271893828439878E-2</v>
      </c>
      <c r="J293" s="506">
        <f t="shared" si="320"/>
        <v>4.271893828439878E-2</v>
      </c>
      <c r="K293" s="506">
        <f t="shared" si="320"/>
        <v>4.271893828439878E-2</v>
      </c>
      <c r="L293" s="506">
        <f t="shared" si="320"/>
        <v>4.271893828439878E-2</v>
      </c>
      <c r="M293" s="506">
        <f t="shared" si="320"/>
        <v>4.271893828439878E-2</v>
      </c>
      <c r="N293" s="506">
        <f t="shared" si="320"/>
        <v>4.271893828439878E-2</v>
      </c>
      <c r="O293" s="506">
        <f t="shared" si="320"/>
        <v>4.271893828439878E-2</v>
      </c>
      <c r="P293" s="506">
        <f t="shared" si="320"/>
        <v>4.271893828439878E-2</v>
      </c>
      <c r="Q293" s="506">
        <f t="shared" si="320"/>
        <v>4.271893828439878E-2</v>
      </c>
      <c r="R293" s="506">
        <f t="shared" si="320"/>
        <v>4.271893828439878E-2</v>
      </c>
      <c r="S293" s="506">
        <f t="shared" si="320"/>
        <v>4.271893828439878E-2</v>
      </c>
      <c r="T293" s="506">
        <f t="shared" si="320"/>
        <v>4.271893828439878E-2</v>
      </c>
      <c r="U293" s="506">
        <f t="shared" si="320"/>
        <v>4.271893828439878E-2</v>
      </c>
      <c r="V293" s="506">
        <f t="shared" si="320"/>
        <v>4.271893828439878E-2</v>
      </c>
      <c r="W293" s="506">
        <f t="shared" si="320"/>
        <v>4.271893828439878E-2</v>
      </c>
      <c r="X293" s="506">
        <f t="shared" si="320"/>
        <v>4.271893828439878E-2</v>
      </c>
      <c r="Y293" s="506">
        <f t="shared" si="320"/>
        <v>4.271893828439878E-2</v>
      </c>
      <c r="Z293" s="506">
        <f t="shared" si="320"/>
        <v>4.271893828439878E-2</v>
      </c>
      <c r="AA293" s="506">
        <f t="shared" si="320"/>
        <v>4.271893828439878E-2</v>
      </c>
      <c r="AB293" s="506">
        <f t="shared" si="320"/>
        <v>4.271893828439878E-2</v>
      </c>
      <c r="AC293" s="506">
        <f t="shared" si="320"/>
        <v>4.271893828439878E-2</v>
      </c>
      <c r="AD293" s="506">
        <f t="shared" si="320"/>
        <v>4.271893828439878E-2</v>
      </c>
      <c r="AE293" s="506">
        <f t="shared" si="320"/>
        <v>4.271893828439878E-2</v>
      </c>
      <c r="AF293" s="506">
        <f t="shared" si="320"/>
        <v>4.271893828439878E-2</v>
      </c>
      <c r="AG293" s="506">
        <f t="shared" si="320"/>
        <v>4.271893828439878E-2</v>
      </c>
      <c r="AH293" s="506"/>
      <c r="AI293" s="506"/>
      <c r="AJ293" s="506">
        <f>IF($C$4=Year1,-PMT(Lookups!$E$17,25,NPV(Lookups!$E$17,G293:AE293),0,1),IF($C$4=Year2,-PMT(Lookups!$F$17,25,NPV(Lookups!$F$17,H293:AF293),0,1),IF($C$4=Year3,-PMT(Lookups!$G$17,25,NPV(Lookups!$G$17,I293:AG293),0,1),-PMT(Lookups!$G$17,27,NPV(Lookups!$G$17,G293:AG293),0,1))))</f>
        <v>4.2123148733507407E-2</v>
      </c>
      <c r="AK293" s="507"/>
      <c r="AL293" s="507"/>
      <c r="AM293" s="508">
        <f>AM278</f>
        <v>4.271893828439878E-2</v>
      </c>
      <c r="AN293" s="508">
        <f t="shared" ref="AN293:BM293" si="321">AN278</f>
        <v>4.271893828439878E-2</v>
      </c>
      <c r="AO293" s="508">
        <f t="shared" si="321"/>
        <v>4.271893828439878E-2</v>
      </c>
      <c r="AP293" s="508">
        <f t="shared" si="321"/>
        <v>4.271893828439878E-2</v>
      </c>
      <c r="AQ293" s="508">
        <f t="shared" si="321"/>
        <v>4.271893828439878E-2</v>
      </c>
      <c r="AR293" s="508">
        <f t="shared" si="321"/>
        <v>4.271893828439878E-2</v>
      </c>
      <c r="AS293" s="508">
        <f t="shared" si="321"/>
        <v>4.271893828439878E-2</v>
      </c>
      <c r="AT293" s="508">
        <f t="shared" si="321"/>
        <v>4.271893828439878E-2</v>
      </c>
      <c r="AU293" s="508">
        <f t="shared" si="321"/>
        <v>4.271893828439878E-2</v>
      </c>
      <c r="AV293" s="508">
        <f t="shared" si="321"/>
        <v>4.271893828439878E-2</v>
      </c>
      <c r="AW293" s="508">
        <f t="shared" si="321"/>
        <v>4.271893828439878E-2</v>
      </c>
      <c r="AX293" s="508">
        <f t="shared" si="321"/>
        <v>4.271893828439878E-2</v>
      </c>
      <c r="AY293" s="508">
        <f t="shared" si="321"/>
        <v>4.271893828439878E-2</v>
      </c>
      <c r="AZ293" s="508">
        <f t="shared" si="321"/>
        <v>4.271893828439878E-2</v>
      </c>
      <c r="BA293" s="508">
        <f t="shared" si="321"/>
        <v>4.271893828439878E-2</v>
      </c>
      <c r="BB293" s="508">
        <f t="shared" si="321"/>
        <v>4.271893828439878E-2</v>
      </c>
      <c r="BC293" s="508">
        <f t="shared" si="321"/>
        <v>4.271893828439878E-2</v>
      </c>
      <c r="BD293" s="508">
        <f t="shared" si="321"/>
        <v>4.271893828439878E-2</v>
      </c>
      <c r="BE293" s="508">
        <f t="shared" si="321"/>
        <v>4.271893828439878E-2</v>
      </c>
      <c r="BF293" s="508">
        <f t="shared" si="321"/>
        <v>4.271893828439878E-2</v>
      </c>
      <c r="BG293" s="508">
        <f t="shared" si="321"/>
        <v>4.271893828439878E-2</v>
      </c>
      <c r="BH293" s="508">
        <f t="shared" si="321"/>
        <v>4.271893828439878E-2</v>
      </c>
      <c r="BI293" s="508">
        <f t="shared" si="321"/>
        <v>4.271893828439878E-2</v>
      </c>
      <c r="BJ293" s="508">
        <f t="shared" si="321"/>
        <v>4.271893828439878E-2</v>
      </c>
      <c r="BK293" s="508">
        <f t="shared" si="321"/>
        <v>4.271893828439878E-2</v>
      </c>
      <c r="BL293" s="508">
        <f t="shared" si="321"/>
        <v>4.271893828439878E-2</v>
      </c>
      <c r="BM293" s="508">
        <f t="shared" si="321"/>
        <v>4.271893828439878E-2</v>
      </c>
      <c r="BN293" s="508"/>
      <c r="BO293" s="508"/>
      <c r="BP293" s="508">
        <f>IF($C$4=Year1,-PMT(Lookups!$E$17,25,NPV(Lookups!$E$17,AM293:BK293),0,1),IF($C$4=Year2,-PMT(Lookups!$F$17,25,NPV(Lookups!$F$17,AN293:BL293),0,1),IF($C$4=Year3,-PMT(Lookups!$G$17,25,NPV(Lookups!$G$17,AO293:BM293),0,1),-PMT(Lookups!$G$17,27,NPV(Lookups!$G$17,AM293:BM293),0,1))))</f>
        <v>4.2123148733507407E-2</v>
      </c>
      <c r="BS293" s="84" t="s">
        <v>171</v>
      </c>
      <c r="BT293" s="51" t="s">
        <v>17</v>
      </c>
    </row>
    <row r="294" spans="1:72" x14ac:dyDescent="0.25">
      <c r="B294" s="243" t="str">
        <f>B292</f>
        <v>Large C&amp;I</v>
      </c>
      <c r="C294" s="243" t="str">
        <f>C292</f>
        <v>Rates</v>
      </c>
      <c r="D294" s="244" t="str">
        <f>D292</f>
        <v>Rates after DSM Scenario</v>
      </c>
      <c r="E294" s="84" t="s">
        <v>76</v>
      </c>
      <c r="F294" s="84" t="s">
        <v>182</v>
      </c>
      <c r="G294" s="506">
        <f ca="1">SUM(G289:G293)</f>
        <v>0.93161105414746859</v>
      </c>
      <c r="H294" s="506">
        <f t="shared" ref="H294:AG294" ca="1" si="322">SUM(H289:H293)</f>
        <v>0.78915847363627611</v>
      </c>
      <c r="I294" s="506">
        <f t="shared" ca="1" si="322"/>
        <v>0.78915847363627611</v>
      </c>
      <c r="J294" s="506">
        <f t="shared" ca="1" si="322"/>
        <v>0.78915847363627611</v>
      </c>
      <c r="K294" s="506">
        <f t="shared" ca="1" si="322"/>
        <v>0.78915847363627611</v>
      </c>
      <c r="L294" s="506">
        <f t="shared" ca="1" si="322"/>
        <v>0.78915847363627611</v>
      </c>
      <c r="M294" s="506">
        <f t="shared" ca="1" si="322"/>
        <v>0.78915847363627611</v>
      </c>
      <c r="N294" s="506">
        <f t="shared" ca="1" si="322"/>
        <v>0.78915847363627611</v>
      </c>
      <c r="O294" s="506">
        <f t="shared" ca="1" si="322"/>
        <v>0.78915847363627611</v>
      </c>
      <c r="P294" s="506">
        <f t="shared" ca="1" si="322"/>
        <v>0.78915847363627611</v>
      </c>
      <c r="Q294" s="506">
        <f t="shared" ca="1" si="322"/>
        <v>0.78915847363627611</v>
      </c>
      <c r="R294" s="506">
        <f t="shared" ca="1" si="322"/>
        <v>0.78915847363627611</v>
      </c>
      <c r="S294" s="506">
        <f t="shared" ca="1" si="322"/>
        <v>0.78915847363627611</v>
      </c>
      <c r="T294" s="506">
        <f t="shared" ca="1" si="322"/>
        <v>0.78501893828439873</v>
      </c>
      <c r="U294" s="506">
        <f t="shared" ca="1" si="322"/>
        <v>0.78501893828439873</v>
      </c>
      <c r="V294" s="506">
        <f t="shared" ca="1" si="322"/>
        <v>0.78501893828439873</v>
      </c>
      <c r="W294" s="506">
        <f t="shared" ca="1" si="322"/>
        <v>0.78501893828439873</v>
      </c>
      <c r="X294" s="506">
        <f t="shared" ca="1" si="322"/>
        <v>0.78501893828439873</v>
      </c>
      <c r="Y294" s="506">
        <f t="shared" ca="1" si="322"/>
        <v>0.78501893828439873</v>
      </c>
      <c r="Z294" s="506">
        <f t="shared" ca="1" si="322"/>
        <v>0.78501893828439873</v>
      </c>
      <c r="AA294" s="506">
        <f t="shared" ca="1" si="322"/>
        <v>0.78501893828439873</v>
      </c>
      <c r="AB294" s="506">
        <f t="shared" ca="1" si="322"/>
        <v>0.78501893828439873</v>
      </c>
      <c r="AC294" s="506">
        <f t="shared" ca="1" si="322"/>
        <v>0.78501893828439873</v>
      </c>
      <c r="AD294" s="506">
        <f t="shared" ca="1" si="322"/>
        <v>0.78501893828439873</v>
      </c>
      <c r="AE294" s="506">
        <f t="shared" ca="1" si="322"/>
        <v>0.78501893828439873</v>
      </c>
      <c r="AF294" s="506">
        <f t="shared" ca="1" si="322"/>
        <v>0.78501893828439873</v>
      </c>
      <c r="AG294" s="506">
        <f t="shared" ca="1" si="322"/>
        <v>0.78501893828439873</v>
      </c>
      <c r="AH294" s="506"/>
      <c r="AI294" s="506"/>
      <c r="AJ294" s="506">
        <f ca="1">IF($C$4=Year1,-PMT(Lookups!$E$17,25,NPV(Lookups!$E$17,G294:AE294),0,1),IF($C$4=Year2,-PMT(Lookups!$F$17,25,NPV(Lookups!$F$17,H294:AF294),0,1),IF($C$4=Year3,-PMT(Lookups!$G$17,25,NPV(Lookups!$G$17,I294:AG294),0,1),-PMT(Lookups!$G$17,27,NPV(Lookups!$G$17,G294:AG294),0,1))))</f>
        <v>0.78298710273208039</v>
      </c>
      <c r="AK294" s="507"/>
      <c r="AL294" s="507"/>
      <c r="AM294" s="508">
        <f ca="1">SUM(AM289:AM293)</f>
        <v>0.96075438581042261</v>
      </c>
      <c r="AN294" s="508">
        <f t="shared" ref="AN294:BM294" ca="1" si="323">SUM(AN289:AN293)</f>
        <v>0.78981128919699173</v>
      </c>
      <c r="AO294" s="508">
        <f t="shared" ca="1" si="323"/>
        <v>0.78981128919699173</v>
      </c>
      <c r="AP294" s="508">
        <f t="shared" ca="1" si="323"/>
        <v>0.78981128919699173</v>
      </c>
      <c r="AQ294" s="508">
        <f t="shared" ca="1" si="323"/>
        <v>0.78981128919699173</v>
      </c>
      <c r="AR294" s="508">
        <f t="shared" ca="1" si="323"/>
        <v>0.78981128919699173</v>
      </c>
      <c r="AS294" s="508">
        <f t="shared" ca="1" si="323"/>
        <v>0.78981128919699173</v>
      </c>
      <c r="AT294" s="508">
        <f t="shared" ca="1" si="323"/>
        <v>0.78981128919699173</v>
      </c>
      <c r="AU294" s="508">
        <f t="shared" ca="1" si="323"/>
        <v>0.78981128919699173</v>
      </c>
      <c r="AV294" s="508">
        <f t="shared" ca="1" si="323"/>
        <v>0.78981128919699173</v>
      </c>
      <c r="AW294" s="508">
        <f t="shared" ca="1" si="323"/>
        <v>0.78981128919699173</v>
      </c>
      <c r="AX294" s="508">
        <f t="shared" ca="1" si="323"/>
        <v>0.78981128919699173</v>
      </c>
      <c r="AY294" s="508">
        <f t="shared" ca="1" si="323"/>
        <v>0.78981128919699173</v>
      </c>
      <c r="AZ294" s="508">
        <f t="shared" ca="1" si="323"/>
        <v>0.78501893828439873</v>
      </c>
      <c r="BA294" s="508">
        <f t="shared" ca="1" si="323"/>
        <v>0.78501893828439873</v>
      </c>
      <c r="BB294" s="508">
        <f t="shared" ca="1" si="323"/>
        <v>0.78501893828439873</v>
      </c>
      <c r="BC294" s="508">
        <f t="shared" ca="1" si="323"/>
        <v>0.78501893828439873</v>
      </c>
      <c r="BD294" s="508">
        <f t="shared" ca="1" si="323"/>
        <v>0.78501893828439873</v>
      </c>
      <c r="BE294" s="508">
        <f t="shared" ca="1" si="323"/>
        <v>0.78501893828439873</v>
      </c>
      <c r="BF294" s="508">
        <f t="shared" ca="1" si="323"/>
        <v>0.78501893828439873</v>
      </c>
      <c r="BG294" s="508">
        <f t="shared" ca="1" si="323"/>
        <v>0.78501893828439873</v>
      </c>
      <c r="BH294" s="508">
        <f t="shared" ca="1" si="323"/>
        <v>0.78501893828439873</v>
      </c>
      <c r="BI294" s="508">
        <f t="shared" ca="1" si="323"/>
        <v>0.78501893828439873</v>
      </c>
      <c r="BJ294" s="508">
        <f t="shared" ca="1" si="323"/>
        <v>0.78501893828439873</v>
      </c>
      <c r="BK294" s="508">
        <f t="shared" ca="1" si="323"/>
        <v>0.78501893828439873</v>
      </c>
      <c r="BL294" s="508">
        <f t="shared" ca="1" si="323"/>
        <v>0.78501893828439873</v>
      </c>
      <c r="BM294" s="508">
        <f t="shared" ca="1" si="323"/>
        <v>0.78501893828439873</v>
      </c>
      <c r="BN294" s="508"/>
      <c r="BO294" s="508"/>
      <c r="BP294" s="508">
        <f ca="1">IF($C$4=Year1,-PMT(Lookups!$E$17,25,NPV(Lookups!$E$17,AM294:BK294),0,1),IF($C$4=Year2,-PMT(Lookups!$F$17,25,NPV(Lookups!$F$17,AN294:BL294),0,1),IF($C$4=Year3,-PMT(Lookups!$G$17,25,NPV(Lookups!$G$17,AO294:BM294),0,1),-PMT(Lookups!$G$17,27,NPV(Lookups!$G$17,AM294:BM294),0,1))))</f>
        <v>0.7846731189502717</v>
      </c>
      <c r="BS294" s="84" t="s">
        <v>235</v>
      </c>
      <c r="BT294" s="51" t="s">
        <v>17</v>
      </c>
    </row>
    <row r="295" spans="1:72" x14ac:dyDescent="0.25">
      <c r="B295" s="243" t="str">
        <f>B293</f>
        <v>Large C&amp;I</v>
      </c>
      <c r="C295" s="243" t="str">
        <f>C293</f>
        <v>Rates</v>
      </c>
      <c r="D295" s="114" t="s">
        <v>114</v>
      </c>
      <c r="E295" s="84"/>
      <c r="F295" s="84"/>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49"/>
      <c r="AI295" s="109"/>
      <c r="AJ295" s="49"/>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S295" s="84"/>
      <c r="BT295" s="51" t="s">
        <v>17</v>
      </c>
    </row>
    <row r="296" spans="1:72" x14ac:dyDescent="0.25">
      <c r="B296" s="243" t="str">
        <f t="shared" ref="B296:D311" si="324">B295</f>
        <v>Large C&amp;I</v>
      </c>
      <c r="C296" s="243" t="str">
        <f t="shared" si="324"/>
        <v>Rates</v>
      </c>
      <c r="D296" s="244" t="str">
        <f t="shared" si="324"/>
        <v>Change in Rates after DSM Scenario</v>
      </c>
      <c r="E296" s="84" t="s">
        <v>76</v>
      </c>
      <c r="F296" s="84" t="s">
        <v>182</v>
      </c>
      <c r="G296" s="510">
        <f ca="1">G294-G279</f>
        <v>0.14659211586306986</v>
      </c>
      <c r="H296" s="510">
        <f t="shared" ref="H296:AG296" ca="1" si="325">H294-H279</f>
        <v>4.1395353518773881E-3</v>
      </c>
      <c r="I296" s="510">
        <f t="shared" ca="1" si="325"/>
        <v>4.1395353518773881E-3</v>
      </c>
      <c r="J296" s="510">
        <f t="shared" ca="1" si="325"/>
        <v>4.1395353518773881E-3</v>
      </c>
      <c r="K296" s="510">
        <f t="shared" ca="1" si="325"/>
        <v>4.1395353518773881E-3</v>
      </c>
      <c r="L296" s="510">
        <f t="shared" ca="1" si="325"/>
        <v>4.1395353518773881E-3</v>
      </c>
      <c r="M296" s="510">
        <f t="shared" ca="1" si="325"/>
        <v>4.1395353518773881E-3</v>
      </c>
      <c r="N296" s="510">
        <f t="shared" ca="1" si="325"/>
        <v>4.1395353518773881E-3</v>
      </c>
      <c r="O296" s="510">
        <f t="shared" ca="1" si="325"/>
        <v>4.1395353518773881E-3</v>
      </c>
      <c r="P296" s="510">
        <f t="shared" ca="1" si="325"/>
        <v>4.1395353518773881E-3</v>
      </c>
      <c r="Q296" s="510">
        <f t="shared" ca="1" si="325"/>
        <v>4.1395353518773881E-3</v>
      </c>
      <c r="R296" s="510">
        <f t="shared" ca="1" si="325"/>
        <v>4.1395353518773881E-3</v>
      </c>
      <c r="S296" s="510">
        <f t="shared" ca="1" si="325"/>
        <v>4.1395353518773881E-3</v>
      </c>
      <c r="T296" s="510">
        <f t="shared" ca="1" si="325"/>
        <v>0</v>
      </c>
      <c r="U296" s="510">
        <f t="shared" ca="1" si="325"/>
        <v>0</v>
      </c>
      <c r="V296" s="510">
        <f t="shared" ca="1" si="325"/>
        <v>0</v>
      </c>
      <c r="W296" s="510">
        <f t="shared" ca="1" si="325"/>
        <v>0</v>
      </c>
      <c r="X296" s="510">
        <f t="shared" ca="1" si="325"/>
        <v>0</v>
      </c>
      <c r="Y296" s="510">
        <f t="shared" ca="1" si="325"/>
        <v>0</v>
      </c>
      <c r="Z296" s="510">
        <f t="shared" ca="1" si="325"/>
        <v>0</v>
      </c>
      <c r="AA296" s="510">
        <f t="shared" ca="1" si="325"/>
        <v>0</v>
      </c>
      <c r="AB296" s="510">
        <f t="shared" ca="1" si="325"/>
        <v>0</v>
      </c>
      <c r="AC296" s="510">
        <f t="shared" ca="1" si="325"/>
        <v>0</v>
      </c>
      <c r="AD296" s="510">
        <f t="shared" ca="1" si="325"/>
        <v>0</v>
      </c>
      <c r="AE296" s="510">
        <f t="shared" ca="1" si="325"/>
        <v>0</v>
      </c>
      <c r="AF296" s="510">
        <f t="shared" ca="1" si="325"/>
        <v>0</v>
      </c>
      <c r="AG296" s="510">
        <f t="shared" ca="1" si="325"/>
        <v>0</v>
      </c>
      <c r="AH296" s="510"/>
      <c r="AI296" s="510"/>
      <c r="AJ296" s="510">
        <f ca="1">IF($C$4=Year1,-PMT(Lookups!$E$17,25,NPV(Lookups!$E$17,G296:AE296),0,1),IF($C$4=Year2,-PMT(Lookups!$F$17,25,NPV(Lookups!$F$17,H296:AF296),0,1),IF($C$4=Year3,-PMT(Lookups!$G$17,25,NPV(Lookups!$G$17,I296:AG296),0,1),-PMT(Lookups!$G$17,27,NPV(Lookups!$G$17,G296:AG296),0,1))))</f>
        <v>8.916612594214654E-3</v>
      </c>
      <c r="AK296" s="507"/>
      <c r="AL296" s="507"/>
      <c r="AM296" s="508">
        <f ca="1">AM294-AM279</f>
        <v>0.17573544752602388</v>
      </c>
      <c r="AN296" s="508">
        <f t="shared" ref="AN296:BM296" ca="1" si="326">AN294-AN279</f>
        <v>4.7923509125930019E-3</v>
      </c>
      <c r="AO296" s="508">
        <f t="shared" ca="1" si="326"/>
        <v>4.7923509125930019E-3</v>
      </c>
      <c r="AP296" s="508">
        <f t="shared" ca="1" si="326"/>
        <v>4.7923509125930019E-3</v>
      </c>
      <c r="AQ296" s="508">
        <f t="shared" ca="1" si="326"/>
        <v>4.7923509125930019E-3</v>
      </c>
      <c r="AR296" s="508">
        <f t="shared" ca="1" si="326"/>
        <v>4.7923509125930019E-3</v>
      </c>
      <c r="AS296" s="508">
        <f t="shared" ca="1" si="326"/>
        <v>4.7923509125930019E-3</v>
      </c>
      <c r="AT296" s="508">
        <f t="shared" ca="1" si="326"/>
        <v>4.7923509125930019E-3</v>
      </c>
      <c r="AU296" s="508">
        <f t="shared" ca="1" si="326"/>
        <v>4.7923509125930019E-3</v>
      </c>
      <c r="AV296" s="508">
        <f t="shared" ca="1" si="326"/>
        <v>4.7923509125930019E-3</v>
      </c>
      <c r="AW296" s="508">
        <f t="shared" ca="1" si="326"/>
        <v>4.7923509125930019E-3</v>
      </c>
      <c r="AX296" s="508">
        <f t="shared" ca="1" si="326"/>
        <v>4.7923509125930019E-3</v>
      </c>
      <c r="AY296" s="508">
        <f t="shared" ca="1" si="326"/>
        <v>4.7923509125930019E-3</v>
      </c>
      <c r="AZ296" s="508">
        <f t="shared" ca="1" si="326"/>
        <v>0</v>
      </c>
      <c r="BA296" s="508">
        <f t="shared" ca="1" si="326"/>
        <v>0</v>
      </c>
      <c r="BB296" s="508">
        <f t="shared" ca="1" si="326"/>
        <v>0</v>
      </c>
      <c r="BC296" s="508">
        <f t="shared" ca="1" si="326"/>
        <v>0</v>
      </c>
      <c r="BD296" s="508">
        <f t="shared" ca="1" si="326"/>
        <v>0</v>
      </c>
      <c r="BE296" s="508">
        <f t="shared" ca="1" si="326"/>
        <v>0</v>
      </c>
      <c r="BF296" s="508">
        <f t="shared" ca="1" si="326"/>
        <v>0</v>
      </c>
      <c r="BG296" s="508">
        <f t="shared" ca="1" si="326"/>
        <v>0</v>
      </c>
      <c r="BH296" s="508">
        <f t="shared" ca="1" si="326"/>
        <v>0</v>
      </c>
      <c r="BI296" s="508">
        <f t="shared" ca="1" si="326"/>
        <v>0</v>
      </c>
      <c r="BJ296" s="508">
        <f t="shared" ca="1" si="326"/>
        <v>0</v>
      </c>
      <c r="BK296" s="508">
        <f t="shared" ca="1" si="326"/>
        <v>0</v>
      </c>
      <c r="BL296" s="508">
        <f t="shared" ca="1" si="326"/>
        <v>0</v>
      </c>
      <c r="BM296" s="508">
        <f t="shared" ca="1" si="326"/>
        <v>0</v>
      </c>
      <c r="BN296" s="508"/>
      <c r="BO296" s="508"/>
      <c r="BP296" s="508">
        <f ca="1">IF($C$4=Year1,-PMT(Lookups!$E$17,25,NPV(Lookups!$E$17,AM296:BK296),0,1),IF($C$4=Year2,-PMT(Lookups!$F$17,25,NPV(Lookups!$F$17,AN296:BL296),0,1),IF($C$4=Year3,-PMT(Lookups!$G$17,25,NPV(Lookups!$G$17,AO296:BM296),0,1),-PMT(Lookups!$G$17,27,NPV(Lookups!$G$17,AM296:BM296),0,1))))</f>
        <v>1.0602628812405803E-2</v>
      </c>
      <c r="BS296" s="84" t="s">
        <v>233</v>
      </c>
      <c r="BT296" s="51" t="s">
        <v>17</v>
      </c>
    </row>
    <row r="297" spans="1:72" x14ac:dyDescent="0.25">
      <c r="B297" s="243" t="str">
        <f t="shared" si="324"/>
        <v>Large C&amp;I</v>
      </c>
      <c r="C297" s="243" t="str">
        <f t="shared" si="324"/>
        <v>Rates</v>
      </c>
      <c r="D297" s="244" t="str">
        <f t="shared" si="324"/>
        <v>Change in Rates after DSM Scenario</v>
      </c>
      <c r="E297" s="84" t="s">
        <v>76</v>
      </c>
      <c r="F297" s="84" t="s">
        <v>16</v>
      </c>
      <c r="G297" s="224">
        <f ca="1">IFERROR(G294/G279-1,0)</f>
        <v>0.18673704380105294</v>
      </c>
      <c r="H297" s="224">
        <f t="shared" ref="H297:AG297" ca="1" si="327">IFERROR(H294/H279-1,0)</f>
        <v>5.2731662256759737E-3</v>
      </c>
      <c r="I297" s="224">
        <f t="shared" ca="1" si="327"/>
        <v>5.2731662256759737E-3</v>
      </c>
      <c r="J297" s="224">
        <f t="shared" ca="1" si="327"/>
        <v>5.2731662256759737E-3</v>
      </c>
      <c r="K297" s="224">
        <f t="shared" ca="1" si="327"/>
        <v>5.2731662256759737E-3</v>
      </c>
      <c r="L297" s="224">
        <f t="shared" ca="1" si="327"/>
        <v>5.2731662256759737E-3</v>
      </c>
      <c r="M297" s="224">
        <f t="shared" ca="1" si="327"/>
        <v>5.2731662256759737E-3</v>
      </c>
      <c r="N297" s="224">
        <f t="shared" ca="1" si="327"/>
        <v>5.2731662256759737E-3</v>
      </c>
      <c r="O297" s="224">
        <f t="shared" ca="1" si="327"/>
        <v>5.2731662256759737E-3</v>
      </c>
      <c r="P297" s="224">
        <f t="shared" ca="1" si="327"/>
        <v>5.2731662256759737E-3</v>
      </c>
      <c r="Q297" s="224">
        <f t="shared" ca="1" si="327"/>
        <v>5.2731662256759737E-3</v>
      </c>
      <c r="R297" s="224">
        <f t="shared" ca="1" si="327"/>
        <v>5.2731662256759737E-3</v>
      </c>
      <c r="S297" s="224">
        <f t="shared" ca="1" si="327"/>
        <v>5.2731662256759737E-3</v>
      </c>
      <c r="T297" s="224">
        <f t="shared" ca="1" si="327"/>
        <v>0</v>
      </c>
      <c r="U297" s="224">
        <f t="shared" ca="1" si="327"/>
        <v>0</v>
      </c>
      <c r="V297" s="224">
        <f t="shared" ca="1" si="327"/>
        <v>0</v>
      </c>
      <c r="W297" s="224">
        <f t="shared" ca="1" si="327"/>
        <v>0</v>
      </c>
      <c r="X297" s="224">
        <f t="shared" ca="1" si="327"/>
        <v>0</v>
      </c>
      <c r="Y297" s="224">
        <f t="shared" ca="1" si="327"/>
        <v>0</v>
      </c>
      <c r="Z297" s="224">
        <f t="shared" ca="1" si="327"/>
        <v>0</v>
      </c>
      <c r="AA297" s="224">
        <f t="shared" ca="1" si="327"/>
        <v>0</v>
      </c>
      <c r="AB297" s="224">
        <f t="shared" ca="1" si="327"/>
        <v>0</v>
      </c>
      <c r="AC297" s="224">
        <f t="shared" ca="1" si="327"/>
        <v>0</v>
      </c>
      <c r="AD297" s="224">
        <f t="shared" ca="1" si="327"/>
        <v>0</v>
      </c>
      <c r="AE297" s="224">
        <f t="shared" ca="1" si="327"/>
        <v>0</v>
      </c>
      <c r="AF297" s="224">
        <f t="shared" ca="1" si="327"/>
        <v>0</v>
      </c>
      <c r="AG297" s="224">
        <f t="shared" ca="1" si="327"/>
        <v>0</v>
      </c>
      <c r="AH297" s="224"/>
      <c r="AI297" s="224"/>
      <c r="AJ297" s="224">
        <f ca="1">IFERROR(AJ294/AJ279-1,0)</f>
        <v>1.1519122234754819E-2</v>
      </c>
      <c r="AK297" s="212"/>
      <c r="AL297" s="212"/>
      <c r="AM297" s="504">
        <f ca="1">IFERROR(AM294/AM279-1,0)</f>
        <v>0.22386141143305505</v>
      </c>
      <c r="AN297" s="504">
        <f t="shared" ref="AN297:BM297" ca="1" si="328">IFERROR(AN294/AN279-1,0)</f>
        <v>6.104758342603045E-3</v>
      </c>
      <c r="AO297" s="504">
        <f t="shared" ca="1" si="328"/>
        <v>6.104758342603045E-3</v>
      </c>
      <c r="AP297" s="504">
        <f t="shared" ca="1" si="328"/>
        <v>6.104758342603045E-3</v>
      </c>
      <c r="AQ297" s="504">
        <f t="shared" ca="1" si="328"/>
        <v>6.104758342603045E-3</v>
      </c>
      <c r="AR297" s="504">
        <f t="shared" ca="1" si="328"/>
        <v>6.104758342603045E-3</v>
      </c>
      <c r="AS297" s="504">
        <f t="shared" ca="1" si="328"/>
        <v>6.104758342603045E-3</v>
      </c>
      <c r="AT297" s="504">
        <f t="shared" ca="1" si="328"/>
        <v>6.104758342603045E-3</v>
      </c>
      <c r="AU297" s="504">
        <f t="shared" ca="1" si="328"/>
        <v>6.104758342603045E-3</v>
      </c>
      <c r="AV297" s="504">
        <f t="shared" ca="1" si="328"/>
        <v>6.104758342603045E-3</v>
      </c>
      <c r="AW297" s="504">
        <f t="shared" ca="1" si="328"/>
        <v>6.104758342603045E-3</v>
      </c>
      <c r="AX297" s="504">
        <f t="shared" ca="1" si="328"/>
        <v>6.104758342603045E-3</v>
      </c>
      <c r="AY297" s="504">
        <f t="shared" ca="1" si="328"/>
        <v>6.104758342603045E-3</v>
      </c>
      <c r="AZ297" s="504">
        <f t="shared" ca="1" si="328"/>
        <v>0</v>
      </c>
      <c r="BA297" s="504">
        <f t="shared" ca="1" si="328"/>
        <v>0</v>
      </c>
      <c r="BB297" s="504">
        <f t="shared" ca="1" si="328"/>
        <v>0</v>
      </c>
      <c r="BC297" s="504">
        <f t="shared" ca="1" si="328"/>
        <v>0</v>
      </c>
      <c r="BD297" s="504">
        <f t="shared" ca="1" si="328"/>
        <v>0</v>
      </c>
      <c r="BE297" s="504">
        <f t="shared" ca="1" si="328"/>
        <v>0</v>
      </c>
      <c r="BF297" s="504">
        <f t="shared" ca="1" si="328"/>
        <v>0</v>
      </c>
      <c r="BG297" s="504">
        <f t="shared" ca="1" si="328"/>
        <v>0</v>
      </c>
      <c r="BH297" s="504">
        <f t="shared" ca="1" si="328"/>
        <v>0</v>
      </c>
      <c r="BI297" s="504">
        <f t="shared" ca="1" si="328"/>
        <v>0</v>
      </c>
      <c r="BJ297" s="504">
        <f t="shared" ca="1" si="328"/>
        <v>0</v>
      </c>
      <c r="BK297" s="504">
        <f t="shared" ca="1" si="328"/>
        <v>0</v>
      </c>
      <c r="BL297" s="504">
        <f t="shared" ca="1" si="328"/>
        <v>0</v>
      </c>
      <c r="BM297" s="504">
        <f t="shared" ca="1" si="328"/>
        <v>0</v>
      </c>
      <c r="BN297" s="504"/>
      <c r="BO297" s="504"/>
      <c r="BP297" s="504">
        <f ca="1">IFERROR(BP294/BP279-1,0)</f>
        <v>1.3697239395494387E-2</v>
      </c>
      <c r="BS297" s="84" t="s">
        <v>234</v>
      </c>
      <c r="BT297" s="51" t="s">
        <v>17</v>
      </c>
    </row>
    <row r="298" spans="1:72" x14ac:dyDescent="0.25">
      <c r="B298" s="243" t="str">
        <f t="shared" si="324"/>
        <v>Large C&amp;I</v>
      </c>
      <c r="C298" s="243" t="str">
        <f t="shared" si="324"/>
        <v>Rates</v>
      </c>
      <c r="D298" s="85"/>
      <c r="E298" s="84" t="s">
        <v>17</v>
      </c>
      <c r="F298" s="84"/>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S298" s="84"/>
      <c r="BT298" s="51" t="s">
        <v>17</v>
      </c>
    </row>
    <row r="299" spans="1:72" s="5" customFormat="1" ht="15.75" x14ac:dyDescent="0.25">
      <c r="A299" s="52"/>
      <c r="B299" s="241" t="str">
        <f t="shared" si="324"/>
        <v>Large C&amp;I</v>
      </c>
      <c r="C299" s="63" t="s">
        <v>51</v>
      </c>
      <c r="D299" s="61"/>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2"/>
      <c r="BO299" s="62"/>
      <c r="BP299" s="62"/>
      <c r="BS299" s="62"/>
      <c r="BT299" s="51" t="s">
        <v>17</v>
      </c>
    </row>
    <row r="300" spans="1:72" x14ac:dyDescent="0.25">
      <c r="B300" s="243" t="str">
        <f t="shared" si="324"/>
        <v>Large C&amp;I</v>
      </c>
      <c r="C300" s="243" t="str">
        <f>C299</f>
        <v>Bills</v>
      </c>
      <c r="D300" s="114" t="str">
        <f>"Bills before DSM ("&amp;Lookups!$D$22&amp;" Scenario, Non-Participant)"</f>
        <v>Bills before DSM (No EE Scenario, Non-Participant)</v>
      </c>
      <c r="E300" s="86"/>
      <c r="F300" s="84"/>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S300" s="84"/>
      <c r="BT300" s="51" t="s">
        <v>17</v>
      </c>
    </row>
    <row r="301" spans="1:72" x14ac:dyDescent="0.25">
      <c r="B301" s="243" t="str">
        <f t="shared" si="324"/>
        <v>Large C&amp;I</v>
      </c>
      <c r="C301" s="243" t="str">
        <f t="shared" si="324"/>
        <v>Bills</v>
      </c>
      <c r="D301" s="244" t="str">
        <f>D300</f>
        <v>Bills before DSM (No EE Scenario, Non-Participant)</v>
      </c>
      <c r="E301" s="86" t="s">
        <v>75</v>
      </c>
      <c r="F301" s="84" t="s">
        <v>31</v>
      </c>
      <c r="G301" s="659">
        <f>IF(G$8=0,0,INDEX('R&amp;B Inputs'!$H$45:$U$45,MATCH($B301,'R&amp;B Inputs'!$H$4:$U$4,0))*(1+INDEX('R&amp;B Inputs'!$H$46:$U$46,MATCH($B301,'R&amp;B Inputs'!$H$4:$U$4,0)))^(G$7-Year1)*12)</f>
        <v>8707.92</v>
      </c>
      <c r="H301" s="659">
        <f>IF(H$8=0,0,INDEX('R&amp;B Inputs'!$H$45:$U$45,MATCH($B301,'R&amp;B Inputs'!$H$4:$U$4,0))*(1+INDEX('R&amp;B Inputs'!$H$46:$U$46,MATCH($B301,'R&amp;B Inputs'!$H$4:$U$4,0)))^(H$7-Year1)*12)</f>
        <v>8707.92</v>
      </c>
      <c r="I301" s="659">
        <f>IF(I$8=0,0,INDEX('R&amp;B Inputs'!$H$45:$U$45,MATCH($B301,'R&amp;B Inputs'!$H$4:$U$4,0))*(1+INDEX('R&amp;B Inputs'!$H$46:$U$46,MATCH($B301,'R&amp;B Inputs'!$H$4:$U$4,0)))^(I$7-Year1)*12)</f>
        <v>8707.92</v>
      </c>
      <c r="J301" s="659">
        <f>IF(J$8=0,0,INDEX('R&amp;B Inputs'!$H$45:$U$45,MATCH($B301,'R&amp;B Inputs'!$H$4:$U$4,0))*(1+INDEX('R&amp;B Inputs'!$H$46:$U$46,MATCH($B301,'R&amp;B Inputs'!$H$4:$U$4,0)))^(J$7-Year1)*12)</f>
        <v>8707.92</v>
      </c>
      <c r="K301" s="659">
        <f>IF(K$8=0,0,INDEX('R&amp;B Inputs'!$H$45:$U$45,MATCH($B301,'R&amp;B Inputs'!$H$4:$U$4,0))*(1+INDEX('R&amp;B Inputs'!$H$46:$U$46,MATCH($B301,'R&amp;B Inputs'!$H$4:$U$4,0)))^(K$7-Year1)*12)</f>
        <v>8707.92</v>
      </c>
      <c r="L301" s="659">
        <f>IF(L$8=0,0,INDEX('R&amp;B Inputs'!$H$45:$U$45,MATCH($B301,'R&amp;B Inputs'!$H$4:$U$4,0))*(1+INDEX('R&amp;B Inputs'!$H$46:$U$46,MATCH($B301,'R&amp;B Inputs'!$H$4:$U$4,0)))^(L$7-Year1)*12)</f>
        <v>8707.92</v>
      </c>
      <c r="M301" s="659">
        <f>IF(M$8=0,0,INDEX('R&amp;B Inputs'!$H$45:$U$45,MATCH($B301,'R&amp;B Inputs'!$H$4:$U$4,0))*(1+INDEX('R&amp;B Inputs'!$H$46:$U$46,MATCH($B301,'R&amp;B Inputs'!$H$4:$U$4,0)))^(M$7-Year1)*12)</f>
        <v>8707.92</v>
      </c>
      <c r="N301" s="659">
        <f>IF(N$8=0,0,INDEX('R&amp;B Inputs'!$H$45:$U$45,MATCH($B301,'R&amp;B Inputs'!$H$4:$U$4,0))*(1+INDEX('R&amp;B Inputs'!$H$46:$U$46,MATCH($B301,'R&amp;B Inputs'!$H$4:$U$4,0)))^(N$7-Year1)*12)</f>
        <v>8707.92</v>
      </c>
      <c r="O301" s="659">
        <f>IF(O$8=0,0,INDEX('R&amp;B Inputs'!$H$45:$U$45,MATCH($B301,'R&amp;B Inputs'!$H$4:$U$4,0))*(1+INDEX('R&amp;B Inputs'!$H$46:$U$46,MATCH($B301,'R&amp;B Inputs'!$H$4:$U$4,0)))^(O$7-Year1)*12)</f>
        <v>8707.92</v>
      </c>
      <c r="P301" s="659">
        <f>IF(P$8=0,0,INDEX('R&amp;B Inputs'!$H$45:$U$45,MATCH($B301,'R&amp;B Inputs'!$H$4:$U$4,0))*(1+INDEX('R&amp;B Inputs'!$H$46:$U$46,MATCH($B301,'R&amp;B Inputs'!$H$4:$U$4,0)))^(P$7-Year1)*12)</f>
        <v>8707.92</v>
      </c>
      <c r="Q301" s="659">
        <f>IF(Q$8=0,0,INDEX('R&amp;B Inputs'!$H$45:$U$45,MATCH($B301,'R&amp;B Inputs'!$H$4:$U$4,0))*(1+INDEX('R&amp;B Inputs'!$H$46:$U$46,MATCH($B301,'R&amp;B Inputs'!$H$4:$U$4,0)))^(Q$7-Year1)*12)</f>
        <v>8707.92</v>
      </c>
      <c r="R301" s="659">
        <f>IF(R$8=0,0,INDEX('R&amp;B Inputs'!$H$45:$U$45,MATCH($B301,'R&amp;B Inputs'!$H$4:$U$4,0))*(1+INDEX('R&amp;B Inputs'!$H$46:$U$46,MATCH($B301,'R&amp;B Inputs'!$H$4:$U$4,0)))^(R$7-Year1)*12)</f>
        <v>8707.92</v>
      </c>
      <c r="S301" s="659">
        <f>IF(S$8=0,0,INDEX('R&amp;B Inputs'!$H$45:$U$45,MATCH($B301,'R&amp;B Inputs'!$H$4:$U$4,0))*(1+INDEX('R&amp;B Inputs'!$H$46:$U$46,MATCH($B301,'R&amp;B Inputs'!$H$4:$U$4,0)))^(S$7-Year1)*12)</f>
        <v>8707.92</v>
      </c>
      <c r="T301" s="659">
        <f>IF(T$8=0,0,INDEX('R&amp;B Inputs'!$H$45:$U$45,MATCH($B301,'R&amp;B Inputs'!$H$4:$U$4,0))*(1+INDEX('R&amp;B Inputs'!$H$46:$U$46,MATCH($B301,'R&amp;B Inputs'!$H$4:$U$4,0)))^(T$7-Year1)*12)</f>
        <v>8707.92</v>
      </c>
      <c r="U301" s="659">
        <f>IF(U$8=0,0,INDEX('R&amp;B Inputs'!$H$45:$U$45,MATCH($B301,'R&amp;B Inputs'!$H$4:$U$4,0))*(1+INDEX('R&amp;B Inputs'!$H$46:$U$46,MATCH($B301,'R&amp;B Inputs'!$H$4:$U$4,0)))^(U$7-Year1)*12)</f>
        <v>8707.92</v>
      </c>
      <c r="V301" s="659">
        <f>IF(V$8=0,0,INDEX('R&amp;B Inputs'!$H$45:$U$45,MATCH($B301,'R&amp;B Inputs'!$H$4:$U$4,0))*(1+INDEX('R&amp;B Inputs'!$H$46:$U$46,MATCH($B301,'R&amp;B Inputs'!$H$4:$U$4,0)))^(V$7-Year1)*12)</f>
        <v>8707.92</v>
      </c>
      <c r="W301" s="659">
        <f>IF(W$8=0,0,INDEX('R&amp;B Inputs'!$H$45:$U$45,MATCH($B301,'R&amp;B Inputs'!$H$4:$U$4,0))*(1+INDEX('R&amp;B Inputs'!$H$46:$U$46,MATCH($B301,'R&amp;B Inputs'!$H$4:$U$4,0)))^(W$7-Year1)*12)</f>
        <v>8707.92</v>
      </c>
      <c r="X301" s="659">
        <f>IF(X$8=0,0,INDEX('R&amp;B Inputs'!$H$45:$U$45,MATCH($B301,'R&amp;B Inputs'!$H$4:$U$4,0))*(1+INDEX('R&amp;B Inputs'!$H$46:$U$46,MATCH($B301,'R&amp;B Inputs'!$H$4:$U$4,0)))^(X$7-Year1)*12)</f>
        <v>8707.92</v>
      </c>
      <c r="Y301" s="659">
        <f>IF(Y$8=0,0,INDEX('R&amp;B Inputs'!$H$45:$U$45,MATCH($B301,'R&amp;B Inputs'!$H$4:$U$4,0))*(1+INDEX('R&amp;B Inputs'!$H$46:$U$46,MATCH($B301,'R&amp;B Inputs'!$H$4:$U$4,0)))^(Y$7-Year1)*12)</f>
        <v>8707.92</v>
      </c>
      <c r="Z301" s="659">
        <f>IF(Z$8=0,0,INDEX('R&amp;B Inputs'!$H$45:$U$45,MATCH($B301,'R&amp;B Inputs'!$H$4:$U$4,0))*(1+INDEX('R&amp;B Inputs'!$H$46:$U$46,MATCH($B301,'R&amp;B Inputs'!$H$4:$U$4,0)))^(Z$7-Year1)*12)</f>
        <v>8707.92</v>
      </c>
      <c r="AA301" s="659">
        <f>IF(AA$8=0,0,INDEX('R&amp;B Inputs'!$H$45:$U$45,MATCH($B301,'R&amp;B Inputs'!$H$4:$U$4,0))*(1+INDEX('R&amp;B Inputs'!$H$46:$U$46,MATCH($B301,'R&amp;B Inputs'!$H$4:$U$4,0)))^(AA$7-Year1)*12)</f>
        <v>8707.92</v>
      </c>
      <c r="AB301" s="659">
        <f>IF(AB$8=0,0,INDEX('R&amp;B Inputs'!$H$45:$U$45,MATCH($B301,'R&amp;B Inputs'!$H$4:$U$4,0))*(1+INDEX('R&amp;B Inputs'!$H$46:$U$46,MATCH($B301,'R&amp;B Inputs'!$H$4:$U$4,0)))^(AB$7-Year1)*12)</f>
        <v>8707.92</v>
      </c>
      <c r="AC301" s="659">
        <f>IF(AC$8=0,0,INDEX('R&amp;B Inputs'!$H$45:$U$45,MATCH($B301,'R&amp;B Inputs'!$H$4:$U$4,0))*(1+INDEX('R&amp;B Inputs'!$H$46:$U$46,MATCH($B301,'R&amp;B Inputs'!$H$4:$U$4,0)))^(AC$7-Year1)*12)</f>
        <v>8707.92</v>
      </c>
      <c r="AD301" s="659">
        <f>IF(AD$8=0,0,INDEX('R&amp;B Inputs'!$H$45:$U$45,MATCH($B301,'R&amp;B Inputs'!$H$4:$U$4,0))*(1+INDEX('R&amp;B Inputs'!$H$46:$U$46,MATCH($B301,'R&amp;B Inputs'!$H$4:$U$4,0)))^(AD$7-Year1)*12)</f>
        <v>8707.92</v>
      </c>
      <c r="AE301" s="659">
        <f>IF(AE$8=0,0,INDEX('R&amp;B Inputs'!$H$45:$U$45,MATCH($B301,'R&amp;B Inputs'!$H$4:$U$4,0))*(1+INDEX('R&amp;B Inputs'!$H$46:$U$46,MATCH($B301,'R&amp;B Inputs'!$H$4:$U$4,0)))^(AE$7-Year1)*12)</f>
        <v>8707.92</v>
      </c>
      <c r="AF301" s="659">
        <f>IF(AF$8=0,0,INDEX('R&amp;B Inputs'!$H$45:$U$45,MATCH($B301,'R&amp;B Inputs'!$H$4:$U$4,0))*(1+INDEX('R&amp;B Inputs'!$H$46:$U$46,MATCH($B301,'R&amp;B Inputs'!$H$4:$U$4,0)))^(AF$7-Year1)*12)</f>
        <v>8707.92</v>
      </c>
      <c r="AG301" s="659">
        <f>IF(AG$8=0,0,INDEX('R&amp;B Inputs'!$H$45:$U$45,MATCH($B301,'R&amp;B Inputs'!$H$4:$U$4,0))*(1+INDEX('R&amp;B Inputs'!$H$46:$U$46,MATCH($B301,'R&amp;B Inputs'!$H$4:$U$4,0)))^(AG$7-Year1)*12)</f>
        <v>8707.92</v>
      </c>
      <c r="AH301" s="49"/>
      <c r="AI301" s="49"/>
      <c r="AJ301" s="103">
        <f>IF($C$4=Year1,-PMT(Lookups!$E$17,25,NPV(Lookups!$E$17,G301:AE301),0,1),IF($C$4=Year2,-PMT(Lookups!$F$17,25,NPV(Lookups!$F$17,H301:AF301),0,1),IF($C$4=Year3,-PMT(Lookups!$G$17,25,NPV(Lookups!$G$17,I301:AG301),0,1),-PMT(Lookups!$G$17,27,NPV(Lookups!$G$17,G301:AG301),0,1))))</f>
        <v>8586.4729801452795</v>
      </c>
      <c r="AM301" s="705">
        <f>IF(AM$8=0,0,INDEX('R&amp;B Inputs'!$H$45:$U$45,MATCH($B301,'R&amp;B Inputs'!$H$4:$U$4,0))*(1+INDEX('R&amp;B Inputs'!$H$46:$U$46,MATCH($B301,'R&amp;B Inputs'!$H$4:$U$4,0)))^(AM$7-Year1)*12)</f>
        <v>8707.92</v>
      </c>
      <c r="AN301" s="705">
        <f>IF(AN$8=0,0,INDEX('R&amp;B Inputs'!$H$45:$U$45,MATCH($B301,'R&amp;B Inputs'!$H$4:$U$4,0))*(1+INDEX('R&amp;B Inputs'!$H$46:$U$46,MATCH($B301,'R&amp;B Inputs'!$H$4:$U$4,0)))^(AN$7-Year1)*12)</f>
        <v>8707.92</v>
      </c>
      <c r="AO301" s="705">
        <f>IF(AO$8=0,0,INDEX('R&amp;B Inputs'!$H$45:$U$45,MATCH($B301,'R&amp;B Inputs'!$H$4:$U$4,0))*(1+INDEX('R&amp;B Inputs'!$H$46:$U$46,MATCH($B301,'R&amp;B Inputs'!$H$4:$U$4,0)))^(AO$7-Year1)*12)</f>
        <v>8707.92</v>
      </c>
      <c r="AP301" s="705">
        <f>IF(AP$8=0,0,INDEX('R&amp;B Inputs'!$H$45:$U$45,MATCH($B301,'R&amp;B Inputs'!$H$4:$U$4,0))*(1+INDEX('R&amp;B Inputs'!$H$46:$U$46,MATCH($B301,'R&amp;B Inputs'!$H$4:$U$4,0)))^(AP$7-Year1)*12)</f>
        <v>8707.92</v>
      </c>
      <c r="AQ301" s="705">
        <f>IF(AQ$8=0,0,INDEX('R&amp;B Inputs'!$H$45:$U$45,MATCH($B301,'R&amp;B Inputs'!$H$4:$U$4,0))*(1+INDEX('R&amp;B Inputs'!$H$46:$U$46,MATCH($B301,'R&amp;B Inputs'!$H$4:$U$4,0)))^(AQ$7-Year1)*12)</f>
        <v>8707.92</v>
      </c>
      <c r="AR301" s="705">
        <f>IF(AR$8=0,0,INDEX('R&amp;B Inputs'!$H$45:$U$45,MATCH($B301,'R&amp;B Inputs'!$H$4:$U$4,0))*(1+INDEX('R&amp;B Inputs'!$H$46:$U$46,MATCH($B301,'R&amp;B Inputs'!$H$4:$U$4,0)))^(AR$7-Year1)*12)</f>
        <v>8707.92</v>
      </c>
      <c r="AS301" s="705">
        <f>IF(AS$8=0,0,INDEX('R&amp;B Inputs'!$H$45:$U$45,MATCH($B301,'R&amp;B Inputs'!$H$4:$U$4,0))*(1+INDEX('R&amp;B Inputs'!$H$46:$U$46,MATCH($B301,'R&amp;B Inputs'!$H$4:$U$4,0)))^(AS$7-Year1)*12)</f>
        <v>8707.92</v>
      </c>
      <c r="AT301" s="705">
        <f>IF(AT$8=0,0,INDEX('R&amp;B Inputs'!$H$45:$U$45,MATCH($B301,'R&amp;B Inputs'!$H$4:$U$4,0))*(1+INDEX('R&amp;B Inputs'!$H$46:$U$46,MATCH($B301,'R&amp;B Inputs'!$H$4:$U$4,0)))^(AT$7-Year1)*12)</f>
        <v>8707.92</v>
      </c>
      <c r="AU301" s="705">
        <f>IF(AU$8=0,0,INDEX('R&amp;B Inputs'!$H$45:$U$45,MATCH($B301,'R&amp;B Inputs'!$H$4:$U$4,0))*(1+INDEX('R&amp;B Inputs'!$H$46:$U$46,MATCH($B301,'R&amp;B Inputs'!$H$4:$U$4,0)))^(AU$7-Year1)*12)</f>
        <v>8707.92</v>
      </c>
      <c r="AV301" s="705">
        <f>IF(AV$8=0,0,INDEX('R&amp;B Inputs'!$H$45:$U$45,MATCH($B301,'R&amp;B Inputs'!$H$4:$U$4,0))*(1+INDEX('R&amp;B Inputs'!$H$46:$U$46,MATCH($B301,'R&amp;B Inputs'!$H$4:$U$4,0)))^(AV$7-Year1)*12)</f>
        <v>8707.92</v>
      </c>
      <c r="AW301" s="705">
        <f>IF(AW$8=0,0,INDEX('R&amp;B Inputs'!$H$45:$U$45,MATCH($B301,'R&amp;B Inputs'!$H$4:$U$4,0))*(1+INDEX('R&amp;B Inputs'!$H$46:$U$46,MATCH($B301,'R&amp;B Inputs'!$H$4:$U$4,0)))^(AW$7-Year1)*12)</f>
        <v>8707.92</v>
      </c>
      <c r="AX301" s="705">
        <f>IF(AX$8=0,0,INDEX('R&amp;B Inputs'!$H$45:$U$45,MATCH($B301,'R&amp;B Inputs'!$H$4:$U$4,0))*(1+INDEX('R&amp;B Inputs'!$H$46:$U$46,MATCH($B301,'R&amp;B Inputs'!$H$4:$U$4,0)))^(AX$7-Year1)*12)</f>
        <v>8707.92</v>
      </c>
      <c r="AY301" s="705">
        <f>IF(AY$8=0,0,INDEX('R&amp;B Inputs'!$H$45:$U$45,MATCH($B301,'R&amp;B Inputs'!$H$4:$U$4,0))*(1+INDEX('R&amp;B Inputs'!$H$46:$U$46,MATCH($B301,'R&amp;B Inputs'!$H$4:$U$4,0)))^(AY$7-Year1)*12)</f>
        <v>8707.92</v>
      </c>
      <c r="AZ301" s="705">
        <f>IF(AZ$8=0,0,INDEX('R&amp;B Inputs'!$H$45:$U$45,MATCH($B301,'R&amp;B Inputs'!$H$4:$U$4,0))*(1+INDEX('R&amp;B Inputs'!$H$46:$U$46,MATCH($B301,'R&amp;B Inputs'!$H$4:$U$4,0)))^(AZ$7-Year1)*12)</f>
        <v>8707.92</v>
      </c>
      <c r="BA301" s="705">
        <f>IF(BA$8=0,0,INDEX('R&amp;B Inputs'!$H$45:$U$45,MATCH($B301,'R&amp;B Inputs'!$H$4:$U$4,0))*(1+INDEX('R&amp;B Inputs'!$H$46:$U$46,MATCH($B301,'R&amp;B Inputs'!$H$4:$U$4,0)))^(BA$7-Year1)*12)</f>
        <v>8707.92</v>
      </c>
      <c r="BB301" s="705">
        <f>IF(BB$8=0,0,INDEX('R&amp;B Inputs'!$H$45:$U$45,MATCH($B301,'R&amp;B Inputs'!$H$4:$U$4,0))*(1+INDEX('R&amp;B Inputs'!$H$46:$U$46,MATCH($B301,'R&amp;B Inputs'!$H$4:$U$4,0)))^(BB$7-Year1)*12)</f>
        <v>8707.92</v>
      </c>
      <c r="BC301" s="705">
        <f>IF(BC$8=0,0,INDEX('R&amp;B Inputs'!$H$45:$U$45,MATCH($B301,'R&amp;B Inputs'!$H$4:$U$4,0))*(1+INDEX('R&amp;B Inputs'!$H$46:$U$46,MATCH($B301,'R&amp;B Inputs'!$H$4:$U$4,0)))^(BC$7-Year1)*12)</f>
        <v>8707.92</v>
      </c>
      <c r="BD301" s="705">
        <f>IF(BD$8=0,0,INDEX('R&amp;B Inputs'!$H$45:$U$45,MATCH($B301,'R&amp;B Inputs'!$H$4:$U$4,0))*(1+INDEX('R&amp;B Inputs'!$H$46:$U$46,MATCH($B301,'R&amp;B Inputs'!$H$4:$U$4,0)))^(BD$7-Year1)*12)</f>
        <v>8707.92</v>
      </c>
      <c r="BE301" s="705">
        <f>IF(BE$8=0,0,INDEX('R&amp;B Inputs'!$H$45:$U$45,MATCH($B301,'R&amp;B Inputs'!$H$4:$U$4,0))*(1+INDEX('R&amp;B Inputs'!$H$46:$U$46,MATCH($B301,'R&amp;B Inputs'!$H$4:$U$4,0)))^(BE$7-Year1)*12)</f>
        <v>8707.92</v>
      </c>
      <c r="BF301" s="705">
        <f>IF(BF$8=0,0,INDEX('R&amp;B Inputs'!$H$45:$U$45,MATCH($B301,'R&amp;B Inputs'!$H$4:$U$4,0))*(1+INDEX('R&amp;B Inputs'!$H$46:$U$46,MATCH($B301,'R&amp;B Inputs'!$H$4:$U$4,0)))^(BF$7-Year1)*12)</f>
        <v>8707.92</v>
      </c>
      <c r="BG301" s="705">
        <f>IF(BG$8=0,0,INDEX('R&amp;B Inputs'!$H$45:$U$45,MATCH($B301,'R&amp;B Inputs'!$H$4:$U$4,0))*(1+INDEX('R&amp;B Inputs'!$H$46:$U$46,MATCH($B301,'R&amp;B Inputs'!$H$4:$U$4,0)))^(BG$7-Year1)*12)</f>
        <v>8707.92</v>
      </c>
      <c r="BH301" s="705">
        <f>IF(BH$8=0,0,INDEX('R&amp;B Inputs'!$H$45:$U$45,MATCH($B301,'R&amp;B Inputs'!$H$4:$U$4,0))*(1+INDEX('R&amp;B Inputs'!$H$46:$U$46,MATCH($B301,'R&amp;B Inputs'!$H$4:$U$4,0)))^(BH$7-Year1)*12)</f>
        <v>8707.92</v>
      </c>
      <c r="BI301" s="705">
        <f>IF(BI$8=0,0,INDEX('R&amp;B Inputs'!$H$45:$U$45,MATCH($B301,'R&amp;B Inputs'!$H$4:$U$4,0))*(1+INDEX('R&amp;B Inputs'!$H$46:$U$46,MATCH($B301,'R&amp;B Inputs'!$H$4:$U$4,0)))^(BI$7-Year1)*12)</f>
        <v>8707.92</v>
      </c>
      <c r="BJ301" s="705">
        <f>IF(BJ$8=0,0,INDEX('R&amp;B Inputs'!$H$45:$U$45,MATCH($B301,'R&amp;B Inputs'!$H$4:$U$4,0))*(1+INDEX('R&amp;B Inputs'!$H$46:$U$46,MATCH($B301,'R&amp;B Inputs'!$H$4:$U$4,0)))^(BJ$7-Year1)*12)</f>
        <v>8707.92</v>
      </c>
      <c r="BK301" s="705">
        <f>IF(BK$8=0,0,INDEX('R&amp;B Inputs'!$H$45:$U$45,MATCH($B301,'R&amp;B Inputs'!$H$4:$U$4,0))*(1+INDEX('R&amp;B Inputs'!$H$46:$U$46,MATCH($B301,'R&amp;B Inputs'!$H$4:$U$4,0)))^(BK$7-Year1)*12)</f>
        <v>8707.92</v>
      </c>
      <c r="BL301" s="705">
        <f>IF(BL$8=0,0,INDEX('R&amp;B Inputs'!$H$45:$U$45,MATCH($B301,'R&amp;B Inputs'!$H$4:$U$4,0))*(1+INDEX('R&amp;B Inputs'!$H$46:$U$46,MATCH($B301,'R&amp;B Inputs'!$H$4:$U$4,0)))^(BL$7-Year1)*12)</f>
        <v>8707.92</v>
      </c>
      <c r="BM301" s="705">
        <f>IF(BM$8=0,0,INDEX('R&amp;B Inputs'!$H$45:$U$45,MATCH($B301,'R&amp;B Inputs'!$H$4:$U$4,0))*(1+INDEX('R&amp;B Inputs'!$H$46:$U$46,MATCH($B301,'R&amp;B Inputs'!$H$4:$U$4,0)))^(BM$7-Year1)*12)</f>
        <v>8707.92</v>
      </c>
      <c r="BN301" s="74"/>
      <c r="BO301" s="74"/>
      <c r="BP301" s="149">
        <f>IF($C$4=Year1,-PMT(Lookups!$E$17,25,NPV(Lookups!$E$17,AM301:BK301),0,1),IF($C$4=Year2,-PMT(Lookups!$F$17,25,NPV(Lookups!$F$17,AN301:BL301),0,1),IF($C$4=Year3,-PMT(Lookups!$G$17,25,NPV(Lookups!$G$17,AO301:BM301),0,1),-PMT(Lookups!$G$17,27,NPV(Lookups!$G$17,AM301:BM301),0,1))))</f>
        <v>8586.4729801452795</v>
      </c>
      <c r="BS301" s="84" t="str">
        <f t="shared" ref="BS301" si="329">E301&amp;" charge from the R&amp;B Inputs tab, escalated annually by the growth rate included on the R&amp;B Inputs tab."</f>
        <v>Customer Charge charge from the R&amp;B Inputs tab, escalated annually by the growth rate included on the R&amp;B Inputs tab.</v>
      </c>
      <c r="BT301" s="51" t="s">
        <v>17</v>
      </c>
    </row>
    <row r="302" spans="1:72" x14ac:dyDescent="0.25">
      <c r="B302" s="243" t="str">
        <f t="shared" si="324"/>
        <v>Large C&amp;I</v>
      </c>
      <c r="C302" s="243" t="str">
        <f t="shared" si="324"/>
        <v>Bills</v>
      </c>
      <c r="D302" s="244" t="str">
        <f>D301</f>
        <v>Bills before DSM (No EE Scenario, Non-Participant)</v>
      </c>
      <c r="E302" s="84" t="s">
        <v>309</v>
      </c>
      <c r="F302" s="84" t="s">
        <v>195</v>
      </c>
      <c r="G302" s="64">
        <f>IF(G$8=0,0,INDEX('R&amp;B Inputs'!$I$27:$V$27,MATCH($B302,'R&amp;B Inputs'!$I$4:$V$4,0))+INDEX('R&amp;B Inputs'!$I$28:$V$28,MATCH($B302,'R&amp;B Inputs'!$I$4:$V$4,0)))</f>
        <v>192845.93356180895</v>
      </c>
      <c r="H302" s="64">
        <f>IF(H$8=0,0,INDEX('R&amp;B Inputs'!$I$27:$V$27,MATCH($B302,'R&amp;B Inputs'!$I$4:$V$4,0))+INDEX('R&amp;B Inputs'!$I$28:$V$28,MATCH($B302,'R&amp;B Inputs'!$I$4:$V$4,0)))</f>
        <v>192845.93356180895</v>
      </c>
      <c r="I302" s="64">
        <f>IF(I$8=0,0,INDEX('R&amp;B Inputs'!$I$27:$V$27,MATCH($B302,'R&amp;B Inputs'!$I$4:$V$4,0))+INDEX('R&amp;B Inputs'!$I$28:$V$28,MATCH($B302,'R&amp;B Inputs'!$I$4:$V$4,0)))</f>
        <v>192845.93356180895</v>
      </c>
      <c r="J302" s="64">
        <f>IF(J$8=0,0,INDEX('R&amp;B Inputs'!$I$27:$V$27,MATCH($B302,'R&amp;B Inputs'!$I$4:$V$4,0))+INDEX('R&amp;B Inputs'!$I$28:$V$28,MATCH($B302,'R&amp;B Inputs'!$I$4:$V$4,0)))</f>
        <v>192845.93356180895</v>
      </c>
      <c r="K302" s="64">
        <f>IF(K$8=0,0,INDEX('R&amp;B Inputs'!$I$27:$V$27,MATCH($B302,'R&amp;B Inputs'!$I$4:$V$4,0))+INDEX('R&amp;B Inputs'!$I$28:$V$28,MATCH($B302,'R&amp;B Inputs'!$I$4:$V$4,0)))</f>
        <v>192845.93356180895</v>
      </c>
      <c r="L302" s="64">
        <f>IF(L$8=0,0,INDEX('R&amp;B Inputs'!$I$27:$V$27,MATCH($B302,'R&amp;B Inputs'!$I$4:$V$4,0))+INDEX('R&amp;B Inputs'!$I$28:$V$28,MATCH($B302,'R&amp;B Inputs'!$I$4:$V$4,0)))</f>
        <v>192845.93356180895</v>
      </c>
      <c r="M302" s="64">
        <f>IF(M$8=0,0,INDEX('R&amp;B Inputs'!$I$27:$V$27,MATCH($B302,'R&amp;B Inputs'!$I$4:$V$4,0))+INDEX('R&amp;B Inputs'!$I$28:$V$28,MATCH($B302,'R&amp;B Inputs'!$I$4:$V$4,0)))</f>
        <v>192845.93356180895</v>
      </c>
      <c r="N302" s="64">
        <f>IF(N$8=0,0,INDEX('R&amp;B Inputs'!$I$27:$V$27,MATCH($B302,'R&amp;B Inputs'!$I$4:$V$4,0))+INDEX('R&amp;B Inputs'!$I$28:$V$28,MATCH($B302,'R&amp;B Inputs'!$I$4:$V$4,0)))</f>
        <v>192845.93356180895</v>
      </c>
      <c r="O302" s="64">
        <f>IF(O$8=0,0,INDEX('R&amp;B Inputs'!$I$27:$V$27,MATCH($B302,'R&amp;B Inputs'!$I$4:$V$4,0))+INDEX('R&amp;B Inputs'!$I$28:$V$28,MATCH($B302,'R&amp;B Inputs'!$I$4:$V$4,0)))</f>
        <v>192845.93356180895</v>
      </c>
      <c r="P302" s="64">
        <f>IF(P$8=0,0,INDEX('R&amp;B Inputs'!$I$27:$V$27,MATCH($B302,'R&amp;B Inputs'!$I$4:$V$4,0))+INDEX('R&amp;B Inputs'!$I$28:$V$28,MATCH($B302,'R&amp;B Inputs'!$I$4:$V$4,0)))</f>
        <v>192845.93356180895</v>
      </c>
      <c r="Q302" s="64">
        <f>IF(Q$8=0,0,INDEX('R&amp;B Inputs'!$I$27:$V$27,MATCH($B302,'R&amp;B Inputs'!$I$4:$V$4,0))+INDEX('R&amp;B Inputs'!$I$28:$V$28,MATCH($B302,'R&amp;B Inputs'!$I$4:$V$4,0)))</f>
        <v>192845.93356180895</v>
      </c>
      <c r="R302" s="64">
        <f>IF(R$8=0,0,INDEX('R&amp;B Inputs'!$I$27:$V$27,MATCH($B302,'R&amp;B Inputs'!$I$4:$V$4,0))+INDEX('R&amp;B Inputs'!$I$28:$V$28,MATCH($B302,'R&amp;B Inputs'!$I$4:$V$4,0)))</f>
        <v>192845.93356180895</v>
      </c>
      <c r="S302" s="64">
        <f>IF(S$8=0,0,INDEX('R&amp;B Inputs'!$I$27:$V$27,MATCH($B302,'R&amp;B Inputs'!$I$4:$V$4,0))+INDEX('R&amp;B Inputs'!$I$28:$V$28,MATCH($B302,'R&amp;B Inputs'!$I$4:$V$4,0)))</f>
        <v>192845.93356180895</v>
      </c>
      <c r="T302" s="64">
        <f>IF(T$8=0,0,INDEX('R&amp;B Inputs'!$I$27:$V$27,MATCH($B302,'R&amp;B Inputs'!$I$4:$V$4,0))+INDEX('R&amp;B Inputs'!$I$28:$V$28,MATCH($B302,'R&amp;B Inputs'!$I$4:$V$4,0)))</f>
        <v>192845.93356180895</v>
      </c>
      <c r="U302" s="64">
        <f>IF(U$8=0,0,INDEX('R&amp;B Inputs'!$I$27:$V$27,MATCH($B302,'R&amp;B Inputs'!$I$4:$V$4,0))+INDEX('R&amp;B Inputs'!$I$28:$V$28,MATCH($B302,'R&amp;B Inputs'!$I$4:$V$4,0)))</f>
        <v>192845.93356180895</v>
      </c>
      <c r="V302" s="64">
        <f>IF(V$8=0,0,INDEX('R&amp;B Inputs'!$I$27:$V$27,MATCH($B302,'R&amp;B Inputs'!$I$4:$V$4,0))+INDEX('R&amp;B Inputs'!$I$28:$V$28,MATCH($B302,'R&amp;B Inputs'!$I$4:$V$4,0)))</f>
        <v>192845.93356180895</v>
      </c>
      <c r="W302" s="64">
        <f>IF(W$8=0,0,INDEX('R&amp;B Inputs'!$I$27:$V$27,MATCH($B302,'R&amp;B Inputs'!$I$4:$V$4,0))+INDEX('R&amp;B Inputs'!$I$28:$V$28,MATCH($B302,'R&amp;B Inputs'!$I$4:$V$4,0)))</f>
        <v>192845.93356180895</v>
      </c>
      <c r="X302" s="64">
        <f>IF(X$8=0,0,INDEX('R&amp;B Inputs'!$I$27:$V$27,MATCH($B302,'R&amp;B Inputs'!$I$4:$V$4,0))+INDEX('R&amp;B Inputs'!$I$28:$V$28,MATCH($B302,'R&amp;B Inputs'!$I$4:$V$4,0)))</f>
        <v>192845.93356180895</v>
      </c>
      <c r="Y302" s="64">
        <f>IF(Y$8=0,0,INDEX('R&amp;B Inputs'!$I$27:$V$27,MATCH($B302,'R&amp;B Inputs'!$I$4:$V$4,0))+INDEX('R&amp;B Inputs'!$I$28:$V$28,MATCH($B302,'R&amp;B Inputs'!$I$4:$V$4,0)))</f>
        <v>192845.93356180895</v>
      </c>
      <c r="Z302" s="64">
        <f>IF(Z$8=0,0,INDEX('R&amp;B Inputs'!$I$27:$V$27,MATCH($B302,'R&amp;B Inputs'!$I$4:$V$4,0))+INDEX('R&amp;B Inputs'!$I$28:$V$28,MATCH($B302,'R&amp;B Inputs'!$I$4:$V$4,0)))</f>
        <v>192845.93356180895</v>
      </c>
      <c r="AA302" s="64">
        <f>IF(AA$8=0,0,INDEX('R&amp;B Inputs'!$I$27:$V$27,MATCH($B302,'R&amp;B Inputs'!$I$4:$V$4,0))+INDEX('R&amp;B Inputs'!$I$28:$V$28,MATCH($B302,'R&amp;B Inputs'!$I$4:$V$4,0)))</f>
        <v>192845.93356180895</v>
      </c>
      <c r="AB302" s="64">
        <f>IF(AB$8=0,0,INDEX('R&amp;B Inputs'!$I$27:$V$27,MATCH($B302,'R&amp;B Inputs'!$I$4:$V$4,0))+INDEX('R&amp;B Inputs'!$I$28:$V$28,MATCH($B302,'R&amp;B Inputs'!$I$4:$V$4,0)))</f>
        <v>192845.93356180895</v>
      </c>
      <c r="AC302" s="64">
        <f>IF(AC$8=0,0,INDEX('R&amp;B Inputs'!$I$27:$V$27,MATCH($B302,'R&amp;B Inputs'!$I$4:$V$4,0))+INDEX('R&amp;B Inputs'!$I$28:$V$28,MATCH($B302,'R&amp;B Inputs'!$I$4:$V$4,0)))</f>
        <v>192845.93356180895</v>
      </c>
      <c r="AD302" s="64">
        <f>IF(AD$8=0,0,INDEX('R&amp;B Inputs'!$I$27:$V$27,MATCH($B302,'R&amp;B Inputs'!$I$4:$V$4,0))+INDEX('R&amp;B Inputs'!$I$28:$V$28,MATCH($B302,'R&amp;B Inputs'!$I$4:$V$4,0)))</f>
        <v>192845.93356180895</v>
      </c>
      <c r="AE302" s="64">
        <f>IF(AE$8=0,0,INDEX('R&amp;B Inputs'!$I$27:$V$27,MATCH($B302,'R&amp;B Inputs'!$I$4:$V$4,0))+INDEX('R&amp;B Inputs'!$I$28:$V$28,MATCH($B302,'R&amp;B Inputs'!$I$4:$V$4,0)))</f>
        <v>192845.93356180895</v>
      </c>
      <c r="AF302" s="64">
        <f>IF(AF$8=0,0,INDEX('R&amp;B Inputs'!$I$27:$V$27,MATCH($B302,'R&amp;B Inputs'!$I$4:$V$4,0))+INDEX('R&amp;B Inputs'!$I$28:$V$28,MATCH($B302,'R&amp;B Inputs'!$I$4:$V$4,0)))</f>
        <v>192845.93356180895</v>
      </c>
      <c r="AG302" s="64">
        <f>IF(AG$8=0,0,INDEX('R&amp;B Inputs'!$I$27:$V$27,MATCH($B302,'R&amp;B Inputs'!$I$4:$V$4,0))+INDEX('R&amp;B Inputs'!$I$28:$V$28,MATCH($B302,'R&amp;B Inputs'!$I$4:$V$4,0)))</f>
        <v>192845.93356180895</v>
      </c>
      <c r="AH302" s="64"/>
      <c r="AI302" s="64"/>
      <c r="AJ302" s="103"/>
      <c r="AM302" s="71">
        <f>IF(AM$8=0,0,INDEX('R&amp;B Inputs'!$I$27:$V$27,MATCH($B302,'R&amp;B Inputs'!$I$4:$V$4,0))+INDEX('R&amp;B Inputs'!$I$28:$V$28,MATCH($B302,'R&amp;B Inputs'!$I$4:$V$4,0)))</f>
        <v>192845.93356180895</v>
      </c>
      <c r="AN302" s="71">
        <f>IF(AN$8=0,0,INDEX('R&amp;B Inputs'!$I$27:$V$27,MATCH($B302,'R&amp;B Inputs'!$I$4:$V$4,0))+INDEX('R&amp;B Inputs'!$I$28:$V$28,MATCH($B302,'R&amp;B Inputs'!$I$4:$V$4,0)))</f>
        <v>192845.93356180895</v>
      </c>
      <c r="AO302" s="71">
        <f>IF(AO$8=0,0,INDEX('R&amp;B Inputs'!$I$27:$V$27,MATCH($B302,'R&amp;B Inputs'!$I$4:$V$4,0))+INDEX('R&amp;B Inputs'!$I$28:$V$28,MATCH($B302,'R&amp;B Inputs'!$I$4:$V$4,0)))</f>
        <v>192845.93356180895</v>
      </c>
      <c r="AP302" s="71">
        <f>IF(AP$8=0,0,INDEX('R&amp;B Inputs'!$I$27:$V$27,MATCH($B302,'R&amp;B Inputs'!$I$4:$V$4,0))+INDEX('R&amp;B Inputs'!$I$28:$V$28,MATCH($B302,'R&amp;B Inputs'!$I$4:$V$4,0)))</f>
        <v>192845.93356180895</v>
      </c>
      <c r="AQ302" s="71">
        <f>IF(AQ$8=0,0,INDEX('R&amp;B Inputs'!$I$27:$V$27,MATCH($B302,'R&amp;B Inputs'!$I$4:$V$4,0))+INDEX('R&amp;B Inputs'!$I$28:$V$28,MATCH($B302,'R&amp;B Inputs'!$I$4:$V$4,0)))</f>
        <v>192845.93356180895</v>
      </c>
      <c r="AR302" s="71">
        <f>IF(AR$8=0,0,INDEX('R&amp;B Inputs'!$I$27:$V$27,MATCH($B302,'R&amp;B Inputs'!$I$4:$V$4,0))+INDEX('R&amp;B Inputs'!$I$28:$V$28,MATCH($B302,'R&amp;B Inputs'!$I$4:$V$4,0)))</f>
        <v>192845.93356180895</v>
      </c>
      <c r="AS302" s="71">
        <f>IF(AS$8=0,0,INDEX('R&amp;B Inputs'!$I$27:$V$27,MATCH($B302,'R&amp;B Inputs'!$I$4:$V$4,0))+INDEX('R&amp;B Inputs'!$I$28:$V$28,MATCH($B302,'R&amp;B Inputs'!$I$4:$V$4,0)))</f>
        <v>192845.93356180895</v>
      </c>
      <c r="AT302" s="71">
        <f>IF(AT$8=0,0,INDEX('R&amp;B Inputs'!$I$27:$V$27,MATCH($B302,'R&amp;B Inputs'!$I$4:$V$4,0))+INDEX('R&amp;B Inputs'!$I$28:$V$28,MATCH($B302,'R&amp;B Inputs'!$I$4:$V$4,0)))</f>
        <v>192845.93356180895</v>
      </c>
      <c r="AU302" s="71">
        <f>IF(AU$8=0,0,INDEX('R&amp;B Inputs'!$I$27:$V$27,MATCH($B302,'R&amp;B Inputs'!$I$4:$V$4,0))+INDEX('R&amp;B Inputs'!$I$28:$V$28,MATCH($B302,'R&amp;B Inputs'!$I$4:$V$4,0)))</f>
        <v>192845.93356180895</v>
      </c>
      <c r="AV302" s="71">
        <f>IF(AV$8=0,0,INDEX('R&amp;B Inputs'!$I$27:$V$27,MATCH($B302,'R&amp;B Inputs'!$I$4:$V$4,0))+INDEX('R&amp;B Inputs'!$I$28:$V$28,MATCH($B302,'R&amp;B Inputs'!$I$4:$V$4,0)))</f>
        <v>192845.93356180895</v>
      </c>
      <c r="AW302" s="71">
        <f>IF(AW$8=0,0,INDEX('R&amp;B Inputs'!$I$27:$V$27,MATCH($B302,'R&amp;B Inputs'!$I$4:$V$4,0))+INDEX('R&amp;B Inputs'!$I$28:$V$28,MATCH($B302,'R&amp;B Inputs'!$I$4:$V$4,0)))</f>
        <v>192845.93356180895</v>
      </c>
      <c r="AX302" s="71">
        <f>IF(AX$8=0,0,INDEX('R&amp;B Inputs'!$I$27:$V$27,MATCH($B302,'R&amp;B Inputs'!$I$4:$V$4,0))+INDEX('R&amp;B Inputs'!$I$28:$V$28,MATCH($B302,'R&amp;B Inputs'!$I$4:$V$4,0)))</f>
        <v>192845.93356180895</v>
      </c>
      <c r="AY302" s="71">
        <f>IF(AY$8=0,0,INDEX('R&amp;B Inputs'!$I$27:$V$27,MATCH($B302,'R&amp;B Inputs'!$I$4:$V$4,0))+INDEX('R&amp;B Inputs'!$I$28:$V$28,MATCH($B302,'R&amp;B Inputs'!$I$4:$V$4,0)))</f>
        <v>192845.93356180895</v>
      </c>
      <c r="AZ302" s="71">
        <f>IF(AZ$8=0,0,INDEX('R&amp;B Inputs'!$I$27:$V$27,MATCH($B302,'R&amp;B Inputs'!$I$4:$V$4,0))+INDEX('R&amp;B Inputs'!$I$28:$V$28,MATCH($B302,'R&amp;B Inputs'!$I$4:$V$4,0)))</f>
        <v>192845.93356180895</v>
      </c>
      <c r="BA302" s="71">
        <f>IF(BA$8=0,0,INDEX('R&amp;B Inputs'!$I$27:$V$27,MATCH($B302,'R&amp;B Inputs'!$I$4:$V$4,0))+INDEX('R&amp;B Inputs'!$I$28:$V$28,MATCH($B302,'R&amp;B Inputs'!$I$4:$V$4,0)))</f>
        <v>192845.93356180895</v>
      </c>
      <c r="BB302" s="71">
        <f>IF(BB$8=0,0,INDEX('R&amp;B Inputs'!$I$27:$V$27,MATCH($B302,'R&amp;B Inputs'!$I$4:$V$4,0))+INDEX('R&amp;B Inputs'!$I$28:$V$28,MATCH($B302,'R&amp;B Inputs'!$I$4:$V$4,0)))</f>
        <v>192845.93356180895</v>
      </c>
      <c r="BC302" s="71">
        <f>IF(BC$8=0,0,INDEX('R&amp;B Inputs'!$I$27:$V$27,MATCH($B302,'R&amp;B Inputs'!$I$4:$V$4,0))+INDEX('R&amp;B Inputs'!$I$28:$V$28,MATCH($B302,'R&amp;B Inputs'!$I$4:$V$4,0)))</f>
        <v>192845.93356180895</v>
      </c>
      <c r="BD302" s="71">
        <f>IF(BD$8=0,0,INDEX('R&amp;B Inputs'!$I$27:$V$27,MATCH($B302,'R&amp;B Inputs'!$I$4:$V$4,0))+INDEX('R&amp;B Inputs'!$I$28:$V$28,MATCH($B302,'R&amp;B Inputs'!$I$4:$V$4,0)))</f>
        <v>192845.93356180895</v>
      </c>
      <c r="BE302" s="71">
        <f>IF(BE$8=0,0,INDEX('R&amp;B Inputs'!$I$27:$V$27,MATCH($B302,'R&amp;B Inputs'!$I$4:$V$4,0))+INDEX('R&amp;B Inputs'!$I$28:$V$28,MATCH($B302,'R&amp;B Inputs'!$I$4:$V$4,0)))</f>
        <v>192845.93356180895</v>
      </c>
      <c r="BF302" s="71">
        <f>IF(BF$8=0,0,INDEX('R&amp;B Inputs'!$I$27:$V$27,MATCH($B302,'R&amp;B Inputs'!$I$4:$V$4,0))+INDEX('R&amp;B Inputs'!$I$28:$V$28,MATCH($B302,'R&amp;B Inputs'!$I$4:$V$4,0)))</f>
        <v>192845.93356180895</v>
      </c>
      <c r="BG302" s="71">
        <f>IF(BG$8=0,0,INDEX('R&amp;B Inputs'!$I$27:$V$27,MATCH($B302,'R&amp;B Inputs'!$I$4:$V$4,0))+INDEX('R&amp;B Inputs'!$I$28:$V$28,MATCH($B302,'R&amp;B Inputs'!$I$4:$V$4,0)))</f>
        <v>192845.93356180895</v>
      </c>
      <c r="BH302" s="71">
        <f>IF(BH$8=0,0,INDEX('R&amp;B Inputs'!$I$27:$V$27,MATCH($B302,'R&amp;B Inputs'!$I$4:$V$4,0))+INDEX('R&amp;B Inputs'!$I$28:$V$28,MATCH($B302,'R&amp;B Inputs'!$I$4:$V$4,0)))</f>
        <v>192845.93356180895</v>
      </c>
      <c r="BI302" s="71">
        <f>IF(BI$8=0,0,INDEX('R&amp;B Inputs'!$I$27:$V$27,MATCH($B302,'R&amp;B Inputs'!$I$4:$V$4,0))+INDEX('R&amp;B Inputs'!$I$28:$V$28,MATCH($B302,'R&amp;B Inputs'!$I$4:$V$4,0)))</f>
        <v>192845.93356180895</v>
      </c>
      <c r="BJ302" s="71">
        <f>IF(BJ$8=0,0,INDEX('R&amp;B Inputs'!$I$27:$V$27,MATCH($B302,'R&amp;B Inputs'!$I$4:$V$4,0))+INDEX('R&amp;B Inputs'!$I$28:$V$28,MATCH($B302,'R&amp;B Inputs'!$I$4:$V$4,0)))</f>
        <v>192845.93356180895</v>
      </c>
      <c r="BK302" s="71">
        <f>IF(BK$8=0,0,INDEX('R&amp;B Inputs'!$I$27:$V$27,MATCH($B302,'R&amp;B Inputs'!$I$4:$V$4,0))+INDEX('R&amp;B Inputs'!$I$28:$V$28,MATCH($B302,'R&amp;B Inputs'!$I$4:$V$4,0)))</f>
        <v>192845.93356180895</v>
      </c>
      <c r="BL302" s="71">
        <f>IF(BL$8=0,0,INDEX('R&amp;B Inputs'!$I$27:$V$27,MATCH($B302,'R&amp;B Inputs'!$I$4:$V$4,0))+INDEX('R&amp;B Inputs'!$I$28:$V$28,MATCH($B302,'R&amp;B Inputs'!$I$4:$V$4,0)))</f>
        <v>192845.93356180895</v>
      </c>
      <c r="BM302" s="71">
        <f>IF(BM$8=0,0,INDEX('R&amp;B Inputs'!$I$27:$V$27,MATCH($B302,'R&amp;B Inputs'!$I$4:$V$4,0))+INDEX('R&amp;B Inputs'!$I$28:$V$28,MATCH($B302,'R&amp;B Inputs'!$I$4:$V$4,0)))</f>
        <v>192845.93356180895</v>
      </c>
      <c r="BN302" s="71"/>
      <c r="BO302" s="71"/>
      <c r="BP302" s="149"/>
      <c r="BS302" s="76" t="s">
        <v>96</v>
      </c>
      <c r="BT302" s="51" t="s">
        <v>17</v>
      </c>
    </row>
    <row r="303" spans="1:72" x14ac:dyDescent="0.25">
      <c r="B303" s="243" t="str">
        <f t="shared" si="324"/>
        <v>Large C&amp;I</v>
      </c>
      <c r="C303" s="243" t="str">
        <f t="shared" si="324"/>
        <v>Bills</v>
      </c>
      <c r="D303" s="244" t="str">
        <f>D302</f>
        <v>Bills before DSM (No EE Scenario, Non-Participant)</v>
      </c>
      <c r="E303" s="84" t="s">
        <v>77</v>
      </c>
      <c r="F303" s="84" t="s">
        <v>32</v>
      </c>
      <c r="G303" s="103">
        <f>G301+G302*(G279-G278)</f>
        <v>151857.45648293078</v>
      </c>
      <c r="H303" s="103">
        <f>H301+H302*(H279-H278)</f>
        <v>151857.45648293078</v>
      </c>
      <c r="I303" s="103">
        <f t="shared" ref="I303:AG303" si="330">I301+I302*(I279-I278)</f>
        <v>151857.45648293078</v>
      </c>
      <c r="J303" s="103">
        <f t="shared" si="330"/>
        <v>151857.45648293078</v>
      </c>
      <c r="K303" s="103">
        <f t="shared" si="330"/>
        <v>151857.45648293078</v>
      </c>
      <c r="L303" s="103">
        <f t="shared" si="330"/>
        <v>151857.45648293078</v>
      </c>
      <c r="M303" s="103">
        <f t="shared" si="330"/>
        <v>151857.45648293078</v>
      </c>
      <c r="N303" s="103">
        <f t="shared" si="330"/>
        <v>151857.45648293078</v>
      </c>
      <c r="O303" s="103">
        <f t="shared" si="330"/>
        <v>151857.45648293078</v>
      </c>
      <c r="P303" s="103">
        <f t="shared" si="330"/>
        <v>151857.45648293078</v>
      </c>
      <c r="Q303" s="103">
        <f t="shared" si="330"/>
        <v>151857.45648293078</v>
      </c>
      <c r="R303" s="103">
        <f t="shared" si="330"/>
        <v>151857.45648293078</v>
      </c>
      <c r="S303" s="103">
        <f t="shared" si="330"/>
        <v>151857.45648293078</v>
      </c>
      <c r="T303" s="103">
        <f t="shared" si="330"/>
        <v>151857.45648293078</v>
      </c>
      <c r="U303" s="103">
        <f t="shared" si="330"/>
        <v>151857.45648293078</v>
      </c>
      <c r="V303" s="103">
        <f t="shared" si="330"/>
        <v>151857.45648293078</v>
      </c>
      <c r="W303" s="103">
        <f t="shared" si="330"/>
        <v>151857.45648293078</v>
      </c>
      <c r="X303" s="103">
        <f t="shared" si="330"/>
        <v>151857.45648293078</v>
      </c>
      <c r="Y303" s="103">
        <f t="shared" si="330"/>
        <v>151857.45648293078</v>
      </c>
      <c r="Z303" s="103">
        <f t="shared" si="330"/>
        <v>151857.45648293078</v>
      </c>
      <c r="AA303" s="103">
        <f t="shared" si="330"/>
        <v>151857.45648293078</v>
      </c>
      <c r="AB303" s="103">
        <f t="shared" si="330"/>
        <v>151857.45648293078</v>
      </c>
      <c r="AC303" s="103">
        <f t="shared" si="330"/>
        <v>151857.45648293078</v>
      </c>
      <c r="AD303" s="103">
        <f t="shared" si="330"/>
        <v>151857.45648293078</v>
      </c>
      <c r="AE303" s="103">
        <f t="shared" si="330"/>
        <v>151857.45648293078</v>
      </c>
      <c r="AF303" s="103">
        <f t="shared" si="330"/>
        <v>151857.45648293078</v>
      </c>
      <c r="AG303" s="103">
        <f t="shared" si="330"/>
        <v>151857.45648293078</v>
      </c>
      <c r="AH303" s="103"/>
      <c r="AI303" s="103"/>
      <c r="AJ303" s="103">
        <f>IF($C$4=Year1,-PMT(Lookups!$E$17,25,NPV(Lookups!$E$17,G303:AE303),0,1),IF($C$4=Year2,-PMT(Lookups!$F$17,25,NPV(Lookups!$F$17,H303:AF303),0,1),IF($C$4=Year3,-PMT(Lookups!$G$17,25,NPV(Lookups!$G$17,I303:AG303),0,1),-PMT(Lookups!$G$17,27,NPV(Lookups!$G$17,G303:AG303),0,1))))</f>
        <v>149739.54135135285</v>
      </c>
      <c r="AM303" s="149">
        <f>AM301+AM302*(AM279-AM278)</f>
        <v>151857.45648293078</v>
      </c>
      <c r="AN303" s="149">
        <f t="shared" ref="AN303:BM303" si="331">AN301+AN302*(AN279-AN278)</f>
        <v>151857.45648293078</v>
      </c>
      <c r="AO303" s="149">
        <f t="shared" si="331"/>
        <v>151857.45648293078</v>
      </c>
      <c r="AP303" s="149">
        <f t="shared" si="331"/>
        <v>151857.45648293078</v>
      </c>
      <c r="AQ303" s="149">
        <f t="shared" si="331"/>
        <v>151857.45648293078</v>
      </c>
      <c r="AR303" s="149">
        <f t="shared" si="331"/>
        <v>151857.45648293078</v>
      </c>
      <c r="AS303" s="149">
        <f t="shared" si="331"/>
        <v>151857.45648293078</v>
      </c>
      <c r="AT303" s="149">
        <f t="shared" si="331"/>
        <v>151857.45648293078</v>
      </c>
      <c r="AU303" s="149">
        <f t="shared" si="331"/>
        <v>151857.45648293078</v>
      </c>
      <c r="AV303" s="149">
        <f t="shared" si="331"/>
        <v>151857.45648293078</v>
      </c>
      <c r="AW303" s="149">
        <f t="shared" si="331"/>
        <v>151857.45648293078</v>
      </c>
      <c r="AX303" s="149">
        <f t="shared" si="331"/>
        <v>151857.45648293078</v>
      </c>
      <c r="AY303" s="149">
        <f t="shared" si="331"/>
        <v>151857.45648293078</v>
      </c>
      <c r="AZ303" s="149">
        <f t="shared" si="331"/>
        <v>151857.45648293078</v>
      </c>
      <c r="BA303" s="149">
        <f t="shared" si="331"/>
        <v>151857.45648293078</v>
      </c>
      <c r="BB303" s="149">
        <f t="shared" si="331"/>
        <v>151857.45648293078</v>
      </c>
      <c r="BC303" s="149">
        <f t="shared" si="331"/>
        <v>151857.45648293078</v>
      </c>
      <c r="BD303" s="149">
        <f t="shared" si="331"/>
        <v>151857.45648293078</v>
      </c>
      <c r="BE303" s="149">
        <f t="shared" si="331"/>
        <v>151857.45648293078</v>
      </c>
      <c r="BF303" s="149">
        <f t="shared" si="331"/>
        <v>151857.45648293078</v>
      </c>
      <c r="BG303" s="149">
        <f t="shared" si="331"/>
        <v>151857.45648293078</v>
      </c>
      <c r="BH303" s="149">
        <f t="shared" si="331"/>
        <v>151857.45648293078</v>
      </c>
      <c r="BI303" s="149">
        <f t="shared" si="331"/>
        <v>151857.45648293078</v>
      </c>
      <c r="BJ303" s="149">
        <f t="shared" si="331"/>
        <v>151857.45648293078</v>
      </c>
      <c r="BK303" s="149">
        <f t="shared" si="331"/>
        <v>151857.45648293078</v>
      </c>
      <c r="BL303" s="149">
        <f t="shared" si="331"/>
        <v>151857.45648293078</v>
      </c>
      <c r="BM303" s="149">
        <f t="shared" si="331"/>
        <v>151857.45648293078</v>
      </c>
      <c r="BN303" s="149"/>
      <c r="BO303" s="149"/>
      <c r="BP303" s="149">
        <f>IF($C$4=Year1,-PMT(Lookups!$E$17,25,NPV(Lookups!$E$17,AM303:BK303),0,1),IF($C$4=Year2,-PMT(Lookups!$F$17,25,NPV(Lookups!$F$17,AN303:BL303),0,1),IF($C$4=Year3,-PMT(Lookups!$G$17,25,NPV(Lookups!$G$17,AO303:BM303),0,1),-PMT(Lookups!$G$17,27,NPV(Lookups!$G$17,AM303:BM303),0,1))))</f>
        <v>149739.54135135285</v>
      </c>
      <c r="BS303" s="84" t="s">
        <v>97</v>
      </c>
      <c r="BT303" s="51" t="s">
        <v>17</v>
      </c>
    </row>
    <row r="304" spans="1:72" x14ac:dyDescent="0.25">
      <c r="B304" s="243" t="str">
        <f t="shared" si="324"/>
        <v>Large C&amp;I</v>
      </c>
      <c r="C304" s="243" t="str">
        <f t="shared" si="324"/>
        <v>Bills</v>
      </c>
      <c r="D304" s="114" t="s">
        <v>347</v>
      </c>
      <c r="E304" s="84"/>
      <c r="F304" s="84"/>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S304" s="84"/>
      <c r="BT304" s="51" t="s">
        <v>17</v>
      </c>
    </row>
    <row r="305" spans="1:72" x14ac:dyDescent="0.25">
      <c r="B305" s="243" t="str">
        <f t="shared" si="324"/>
        <v>Large C&amp;I</v>
      </c>
      <c r="C305" s="243" t="str">
        <f t="shared" si="324"/>
        <v>Bills</v>
      </c>
      <c r="D305" s="244" t="str">
        <f>D304</f>
        <v>Annual Savings from DSM Scenario</v>
      </c>
      <c r="E305" s="84" t="s">
        <v>78</v>
      </c>
      <c r="F305" s="84" t="s">
        <v>195</v>
      </c>
      <c r="G305" s="65">
        <f t="shared" ref="G305:AG305" ca="1" si="332">IFERROR(G253/G248,0)</f>
        <v>16790.252298128176</v>
      </c>
      <c r="H305" s="65">
        <f t="shared" ca="1" si="332"/>
        <v>16790.252298128176</v>
      </c>
      <c r="I305" s="65">
        <f t="shared" ca="1" si="332"/>
        <v>16790.252298128176</v>
      </c>
      <c r="J305" s="65">
        <f t="shared" ca="1" si="332"/>
        <v>16790.252298128176</v>
      </c>
      <c r="K305" s="65">
        <f t="shared" ca="1" si="332"/>
        <v>16790.252298128176</v>
      </c>
      <c r="L305" s="65">
        <f t="shared" ca="1" si="332"/>
        <v>16790.252298128176</v>
      </c>
      <c r="M305" s="65">
        <f t="shared" ca="1" si="332"/>
        <v>16790.252298128176</v>
      </c>
      <c r="N305" s="65">
        <f t="shared" ca="1" si="332"/>
        <v>16790.252298128176</v>
      </c>
      <c r="O305" s="65">
        <f t="shared" ca="1" si="332"/>
        <v>16790.252298128176</v>
      </c>
      <c r="P305" s="65">
        <f t="shared" ca="1" si="332"/>
        <v>16790.252298128176</v>
      </c>
      <c r="Q305" s="65">
        <f t="shared" ca="1" si="332"/>
        <v>16790.252298128176</v>
      </c>
      <c r="R305" s="65">
        <f t="shared" ca="1" si="332"/>
        <v>16790.252298128176</v>
      </c>
      <c r="S305" s="65">
        <f t="shared" ca="1" si="332"/>
        <v>16790.252298128176</v>
      </c>
      <c r="T305" s="65">
        <f t="shared" ca="1" si="332"/>
        <v>0</v>
      </c>
      <c r="U305" s="65">
        <f t="shared" ca="1" si="332"/>
        <v>0</v>
      </c>
      <c r="V305" s="65">
        <f t="shared" ca="1" si="332"/>
        <v>0</v>
      </c>
      <c r="W305" s="65">
        <f t="shared" ca="1" si="332"/>
        <v>0</v>
      </c>
      <c r="X305" s="65">
        <f t="shared" ca="1" si="332"/>
        <v>0</v>
      </c>
      <c r="Y305" s="65">
        <f t="shared" ca="1" si="332"/>
        <v>0</v>
      </c>
      <c r="Z305" s="65">
        <f t="shared" ca="1" si="332"/>
        <v>0</v>
      </c>
      <c r="AA305" s="65">
        <f t="shared" ca="1" si="332"/>
        <v>0</v>
      </c>
      <c r="AB305" s="65">
        <f t="shared" ca="1" si="332"/>
        <v>0</v>
      </c>
      <c r="AC305" s="65">
        <f t="shared" ca="1" si="332"/>
        <v>0</v>
      </c>
      <c r="AD305" s="65">
        <f t="shared" ca="1" si="332"/>
        <v>0</v>
      </c>
      <c r="AE305" s="65">
        <f t="shared" ca="1" si="332"/>
        <v>0</v>
      </c>
      <c r="AF305" s="65">
        <f t="shared" ca="1" si="332"/>
        <v>0</v>
      </c>
      <c r="AG305" s="65">
        <f t="shared" ca="1" si="332"/>
        <v>0</v>
      </c>
      <c r="AH305" s="65"/>
      <c r="AI305" s="65"/>
      <c r="AJ305" s="65"/>
      <c r="AM305" s="645">
        <f ca="1">IFERROR(AM253/AM248,0)</f>
        <v>19188.859769289342</v>
      </c>
      <c r="AN305" s="645">
        <f t="shared" ref="AN305:BM305" ca="1" si="333">IFERROR(AN253/AN248,0)</f>
        <v>19188.859769289342</v>
      </c>
      <c r="AO305" s="645">
        <f t="shared" ca="1" si="333"/>
        <v>19188.859769289342</v>
      </c>
      <c r="AP305" s="645">
        <f t="shared" ca="1" si="333"/>
        <v>19188.859769289342</v>
      </c>
      <c r="AQ305" s="645">
        <f t="shared" ca="1" si="333"/>
        <v>19188.859769289342</v>
      </c>
      <c r="AR305" s="645">
        <f t="shared" ca="1" si="333"/>
        <v>19188.859769289342</v>
      </c>
      <c r="AS305" s="645">
        <f t="shared" ca="1" si="333"/>
        <v>19188.859769289342</v>
      </c>
      <c r="AT305" s="645">
        <f t="shared" ca="1" si="333"/>
        <v>19188.859769289342</v>
      </c>
      <c r="AU305" s="645">
        <f t="shared" ca="1" si="333"/>
        <v>19188.859769289342</v>
      </c>
      <c r="AV305" s="645">
        <f t="shared" ca="1" si="333"/>
        <v>19188.859769289342</v>
      </c>
      <c r="AW305" s="645">
        <f t="shared" ca="1" si="333"/>
        <v>19188.859769289342</v>
      </c>
      <c r="AX305" s="645">
        <f t="shared" ca="1" si="333"/>
        <v>19188.859769289342</v>
      </c>
      <c r="AY305" s="645">
        <f t="shared" ca="1" si="333"/>
        <v>19188.859769289342</v>
      </c>
      <c r="AZ305" s="645">
        <f t="shared" ca="1" si="333"/>
        <v>0</v>
      </c>
      <c r="BA305" s="645">
        <f t="shared" ca="1" si="333"/>
        <v>0</v>
      </c>
      <c r="BB305" s="645">
        <f t="shared" ca="1" si="333"/>
        <v>0</v>
      </c>
      <c r="BC305" s="645">
        <f t="shared" ca="1" si="333"/>
        <v>0</v>
      </c>
      <c r="BD305" s="645">
        <f t="shared" ca="1" si="333"/>
        <v>0</v>
      </c>
      <c r="BE305" s="645">
        <f t="shared" ca="1" si="333"/>
        <v>0</v>
      </c>
      <c r="BF305" s="645">
        <f t="shared" ca="1" si="333"/>
        <v>0</v>
      </c>
      <c r="BG305" s="645">
        <f t="shared" ca="1" si="333"/>
        <v>0</v>
      </c>
      <c r="BH305" s="645">
        <f t="shared" ca="1" si="333"/>
        <v>0</v>
      </c>
      <c r="BI305" s="645">
        <f t="shared" ca="1" si="333"/>
        <v>0</v>
      </c>
      <c r="BJ305" s="645">
        <f t="shared" ca="1" si="333"/>
        <v>0</v>
      </c>
      <c r="BK305" s="645">
        <f t="shared" ca="1" si="333"/>
        <v>0</v>
      </c>
      <c r="BL305" s="645">
        <f t="shared" ca="1" si="333"/>
        <v>0</v>
      </c>
      <c r="BM305" s="645">
        <f t="shared" ca="1" si="333"/>
        <v>0</v>
      </c>
      <c r="BN305" s="71"/>
      <c r="BO305" s="71"/>
      <c r="BP305" s="71"/>
      <c r="BS305" s="84" t="s">
        <v>104</v>
      </c>
      <c r="BT305" s="51" t="s">
        <v>17</v>
      </c>
    </row>
    <row r="306" spans="1:72" x14ac:dyDescent="0.25">
      <c r="A306" s="246"/>
      <c r="B306" s="243" t="str">
        <f t="shared" si="324"/>
        <v>Large C&amp;I</v>
      </c>
      <c r="C306" s="243" t="str">
        <f t="shared" si="324"/>
        <v>Bills</v>
      </c>
      <c r="D306" s="244" t="str">
        <f>D305</f>
        <v>Annual Savings from DSM Scenario</v>
      </c>
      <c r="E306" s="84" t="str">
        <f>'EE Inputs'!$N$15&amp;" Participant"</f>
        <v>Low Savings Participant</v>
      </c>
      <c r="F306" s="84" t="s">
        <v>195</v>
      </c>
      <c r="G306" s="64" cm="1">
        <f t="array" aca="1" ref="G306" ca="1">IF($C$4=Lookups!$D$40,INDIRECT("'Yr1'!"&amp;ADDRESS(ROW(G306),COLUMN(G306))),
IF(G249=0,0,SUMIFS('EE Inputs'!$S$9:$S$32,'EE Inputs'!$C$9:$C$32,$G$6,'EE Inputs'!$D$9:$D$32,$C$4,'EE Inputs'!$E$9:$E$32,$B306)))</f>
        <v>9642.296678090448</v>
      </c>
      <c r="H306" s="64" cm="1">
        <f t="array" aca="1" ref="H306" ca="1">IF($C$4=Lookups!$D$40,INDIRECT("'Yr1'!"&amp;ADDRESS(ROW(H306),COLUMN(H306))),
IF(H249=0,0,SUMIFS('EE Inputs'!$S$9:$S$32,'EE Inputs'!$C$9:$C$32,$G$6,'EE Inputs'!$D$9:$D$32,$C$4,'EE Inputs'!$E$9:$E$32,$B306)))</f>
        <v>9642.296678090448</v>
      </c>
      <c r="I306" s="64" cm="1">
        <f t="array" aca="1" ref="I306" ca="1">IF($C$4=Lookups!$D$40,INDIRECT("'Yr1'!"&amp;ADDRESS(ROW(I306),COLUMN(I306))),
IF(I249=0,0,SUMIFS('EE Inputs'!$S$9:$S$32,'EE Inputs'!$C$9:$C$32,$G$6,'EE Inputs'!$D$9:$D$32,$C$4,'EE Inputs'!$E$9:$E$32,$B306)))</f>
        <v>9642.296678090448</v>
      </c>
      <c r="J306" s="64" cm="1">
        <f t="array" aca="1" ref="J306" ca="1">IF($C$4=Lookups!$D$40,INDIRECT("'Yr1'!"&amp;ADDRESS(ROW(J306),COLUMN(J306))),
IF(J249=0,0,SUMIFS('EE Inputs'!$S$9:$S$32,'EE Inputs'!$C$9:$C$32,$G$6,'EE Inputs'!$D$9:$D$32,$C$4,'EE Inputs'!$E$9:$E$32,$B306)))</f>
        <v>9642.296678090448</v>
      </c>
      <c r="K306" s="64" cm="1">
        <f t="array" aca="1" ref="K306" ca="1">IF($C$4=Lookups!$D$40,INDIRECT("'Yr1'!"&amp;ADDRESS(ROW(K306),COLUMN(K306))),
IF(K249=0,0,SUMIFS('EE Inputs'!$S$9:$S$32,'EE Inputs'!$C$9:$C$32,$G$6,'EE Inputs'!$D$9:$D$32,$C$4,'EE Inputs'!$E$9:$E$32,$B306)))</f>
        <v>9642.296678090448</v>
      </c>
      <c r="L306" s="64" cm="1">
        <f t="array" aca="1" ref="L306" ca="1">IF($C$4=Lookups!$D$40,INDIRECT("'Yr1'!"&amp;ADDRESS(ROW(L306),COLUMN(L306))),
IF(L249=0,0,SUMIFS('EE Inputs'!$S$9:$S$32,'EE Inputs'!$C$9:$C$32,$G$6,'EE Inputs'!$D$9:$D$32,$C$4,'EE Inputs'!$E$9:$E$32,$B306)))</f>
        <v>9642.296678090448</v>
      </c>
      <c r="M306" s="64" cm="1">
        <f t="array" aca="1" ref="M306" ca="1">IF($C$4=Lookups!$D$40,INDIRECT("'Yr1'!"&amp;ADDRESS(ROW(M306),COLUMN(M306))),
IF(M249=0,0,SUMIFS('EE Inputs'!$S$9:$S$32,'EE Inputs'!$C$9:$C$32,$G$6,'EE Inputs'!$D$9:$D$32,$C$4,'EE Inputs'!$E$9:$E$32,$B306)))</f>
        <v>9642.296678090448</v>
      </c>
      <c r="N306" s="64" cm="1">
        <f t="array" aca="1" ref="N306" ca="1">IF($C$4=Lookups!$D$40,INDIRECT("'Yr1'!"&amp;ADDRESS(ROW(N306),COLUMN(N306))),
IF(N249=0,0,SUMIFS('EE Inputs'!$S$9:$S$32,'EE Inputs'!$C$9:$C$32,$G$6,'EE Inputs'!$D$9:$D$32,$C$4,'EE Inputs'!$E$9:$E$32,$B306)))</f>
        <v>9642.296678090448</v>
      </c>
      <c r="O306" s="64" cm="1">
        <f t="array" aca="1" ref="O306" ca="1">IF($C$4=Lookups!$D$40,INDIRECT("'Yr1'!"&amp;ADDRESS(ROW(O306),COLUMN(O306))),
IF(O249=0,0,SUMIFS('EE Inputs'!$S$9:$S$32,'EE Inputs'!$C$9:$C$32,$G$6,'EE Inputs'!$D$9:$D$32,$C$4,'EE Inputs'!$E$9:$E$32,$B306)))</f>
        <v>9642.296678090448</v>
      </c>
      <c r="P306" s="64" cm="1">
        <f t="array" aca="1" ref="P306" ca="1">IF($C$4=Lookups!$D$40,INDIRECT("'Yr1'!"&amp;ADDRESS(ROW(P306),COLUMN(P306))),
IF(P249=0,0,SUMIFS('EE Inputs'!$S$9:$S$32,'EE Inputs'!$C$9:$C$32,$G$6,'EE Inputs'!$D$9:$D$32,$C$4,'EE Inputs'!$E$9:$E$32,$B306)))</f>
        <v>9642.296678090448</v>
      </c>
      <c r="Q306" s="64" cm="1">
        <f t="array" aca="1" ref="Q306" ca="1">IF($C$4=Lookups!$D$40,INDIRECT("'Yr1'!"&amp;ADDRESS(ROW(Q306),COLUMN(Q306))),
IF(Q249=0,0,SUMIFS('EE Inputs'!$S$9:$S$32,'EE Inputs'!$C$9:$C$32,$G$6,'EE Inputs'!$D$9:$D$32,$C$4,'EE Inputs'!$E$9:$E$32,$B306)))</f>
        <v>9642.296678090448</v>
      </c>
      <c r="R306" s="64" cm="1">
        <f t="array" aca="1" ref="R306" ca="1">IF($C$4=Lookups!$D$40,INDIRECT("'Yr1'!"&amp;ADDRESS(ROW(R306),COLUMN(R306))),
IF(R249=0,0,SUMIFS('EE Inputs'!$S$9:$S$32,'EE Inputs'!$C$9:$C$32,$G$6,'EE Inputs'!$D$9:$D$32,$C$4,'EE Inputs'!$E$9:$E$32,$B306)))</f>
        <v>9642.296678090448</v>
      </c>
      <c r="S306" s="64" cm="1">
        <f t="array" aca="1" ref="S306" ca="1">IF($C$4=Lookups!$D$40,INDIRECT("'Yr1'!"&amp;ADDRESS(ROW(S306),COLUMN(S306))),
IF(S249=0,0,SUMIFS('EE Inputs'!$S$9:$S$32,'EE Inputs'!$C$9:$C$32,$G$6,'EE Inputs'!$D$9:$D$32,$C$4,'EE Inputs'!$E$9:$E$32,$B306)))</f>
        <v>9642.296678090448</v>
      </c>
      <c r="T306" s="64" cm="1">
        <f t="array" aca="1" ref="T306" ca="1">IF($C$4=Lookups!$D$40,INDIRECT("'Yr1'!"&amp;ADDRESS(ROW(T306),COLUMN(T306))),
IF(T249=0,0,SUMIFS('EE Inputs'!$S$9:$S$32,'EE Inputs'!$C$9:$C$32,$G$6,'EE Inputs'!$D$9:$D$32,$C$4,'EE Inputs'!$E$9:$E$32,$B306)))</f>
        <v>0</v>
      </c>
      <c r="U306" s="64" cm="1">
        <f t="array" aca="1" ref="U306" ca="1">IF($C$4=Lookups!$D$40,INDIRECT("'Yr1'!"&amp;ADDRESS(ROW(U306),COLUMN(U306))),
IF(U249=0,0,SUMIFS('EE Inputs'!$S$9:$S$32,'EE Inputs'!$C$9:$C$32,$G$6,'EE Inputs'!$D$9:$D$32,$C$4,'EE Inputs'!$E$9:$E$32,$B306)))</f>
        <v>0</v>
      </c>
      <c r="V306" s="64" cm="1">
        <f t="array" aca="1" ref="V306" ca="1">IF($C$4=Lookups!$D$40,INDIRECT("'Yr1'!"&amp;ADDRESS(ROW(V306),COLUMN(V306))),
IF(V249=0,0,SUMIFS('EE Inputs'!$S$9:$S$32,'EE Inputs'!$C$9:$C$32,$G$6,'EE Inputs'!$D$9:$D$32,$C$4,'EE Inputs'!$E$9:$E$32,$B306)))</f>
        <v>0</v>
      </c>
      <c r="W306" s="64" cm="1">
        <f t="array" aca="1" ref="W306" ca="1">IF($C$4=Lookups!$D$40,INDIRECT("'Yr1'!"&amp;ADDRESS(ROW(W306),COLUMN(W306))),
IF(W249=0,0,SUMIFS('EE Inputs'!$S$9:$S$32,'EE Inputs'!$C$9:$C$32,$G$6,'EE Inputs'!$D$9:$D$32,$C$4,'EE Inputs'!$E$9:$E$32,$B306)))</f>
        <v>0</v>
      </c>
      <c r="X306" s="64" cm="1">
        <f t="array" aca="1" ref="X306" ca="1">IF($C$4=Lookups!$D$40,INDIRECT("'Yr1'!"&amp;ADDRESS(ROW(X306),COLUMN(X306))),
IF(X249=0,0,SUMIFS('EE Inputs'!$S$9:$S$32,'EE Inputs'!$C$9:$C$32,$G$6,'EE Inputs'!$D$9:$D$32,$C$4,'EE Inputs'!$E$9:$E$32,$B306)))</f>
        <v>0</v>
      </c>
      <c r="Y306" s="64" cm="1">
        <f t="array" aca="1" ref="Y306" ca="1">IF($C$4=Lookups!$D$40,INDIRECT("'Yr1'!"&amp;ADDRESS(ROW(Y306),COLUMN(Y306))),
IF(Y249=0,0,SUMIFS('EE Inputs'!$S$9:$S$32,'EE Inputs'!$C$9:$C$32,$G$6,'EE Inputs'!$D$9:$D$32,$C$4,'EE Inputs'!$E$9:$E$32,$B306)))</f>
        <v>0</v>
      </c>
      <c r="Z306" s="64" cm="1">
        <f t="array" aca="1" ref="Z306" ca="1">IF($C$4=Lookups!$D$40,INDIRECT("'Yr1'!"&amp;ADDRESS(ROW(Z306),COLUMN(Z306))),
IF(Z249=0,0,SUMIFS('EE Inputs'!$S$9:$S$32,'EE Inputs'!$C$9:$C$32,$G$6,'EE Inputs'!$D$9:$D$32,$C$4,'EE Inputs'!$E$9:$E$32,$B306)))</f>
        <v>0</v>
      </c>
      <c r="AA306" s="64" cm="1">
        <f t="array" aca="1" ref="AA306" ca="1">IF($C$4=Lookups!$D$40,INDIRECT("'Yr1'!"&amp;ADDRESS(ROW(AA306),COLUMN(AA306))),
IF(AA249=0,0,SUMIFS('EE Inputs'!$S$9:$S$32,'EE Inputs'!$C$9:$C$32,$G$6,'EE Inputs'!$D$9:$D$32,$C$4,'EE Inputs'!$E$9:$E$32,$B306)))</f>
        <v>0</v>
      </c>
      <c r="AB306" s="64" cm="1">
        <f t="array" aca="1" ref="AB306" ca="1">IF($C$4=Lookups!$D$40,INDIRECT("'Yr1'!"&amp;ADDRESS(ROW(AB306),COLUMN(AB306))),
IF(AB249=0,0,SUMIFS('EE Inputs'!$S$9:$S$32,'EE Inputs'!$C$9:$C$32,$G$6,'EE Inputs'!$D$9:$D$32,$C$4,'EE Inputs'!$E$9:$E$32,$B306)))</f>
        <v>0</v>
      </c>
      <c r="AC306" s="64" cm="1">
        <f t="array" aca="1" ref="AC306" ca="1">IF($C$4=Lookups!$D$40,INDIRECT("'Yr1'!"&amp;ADDRESS(ROW(AC306),COLUMN(AC306))),
IF(AC249=0,0,SUMIFS('EE Inputs'!$S$9:$S$32,'EE Inputs'!$C$9:$C$32,$G$6,'EE Inputs'!$D$9:$D$32,$C$4,'EE Inputs'!$E$9:$E$32,$B306)))</f>
        <v>0</v>
      </c>
      <c r="AD306" s="64" cm="1">
        <f t="array" aca="1" ref="AD306" ca="1">IF($C$4=Lookups!$D$40,INDIRECT("'Yr1'!"&amp;ADDRESS(ROW(AD306),COLUMN(AD306))),
IF(AD249=0,0,SUMIFS('EE Inputs'!$S$9:$S$32,'EE Inputs'!$C$9:$C$32,$G$6,'EE Inputs'!$D$9:$D$32,$C$4,'EE Inputs'!$E$9:$E$32,$B306)))</f>
        <v>0</v>
      </c>
      <c r="AE306" s="64" cm="1">
        <f t="array" aca="1" ref="AE306" ca="1">IF($C$4=Lookups!$D$40,INDIRECT("'Yr1'!"&amp;ADDRESS(ROW(AE306),COLUMN(AE306))),
IF(AE249=0,0,SUMIFS('EE Inputs'!$S$9:$S$32,'EE Inputs'!$C$9:$C$32,$G$6,'EE Inputs'!$D$9:$D$32,$C$4,'EE Inputs'!$E$9:$E$32,$B306)))</f>
        <v>0</v>
      </c>
      <c r="AF306" s="64" cm="1">
        <f t="array" aca="1" ref="AF306" ca="1">IF($C$4=Lookups!$D$40,INDIRECT("'Yr1'!"&amp;ADDRESS(ROW(AF306),COLUMN(AF306))),
IF(AF249=0,0,SUMIFS('EE Inputs'!$S$9:$S$32,'EE Inputs'!$C$9:$C$32,$G$6,'EE Inputs'!$D$9:$D$32,$C$4,'EE Inputs'!$E$9:$E$32,$B306)))</f>
        <v>0</v>
      </c>
      <c r="AG306" s="64" cm="1">
        <f t="array" aca="1" ref="AG306" ca="1">IF($C$4=Lookups!$D$40,INDIRECT("'Yr1'!"&amp;ADDRESS(ROW(AG306),COLUMN(AG306))),
IF(AG249=0,0,SUMIFS('EE Inputs'!$S$9:$S$32,'EE Inputs'!$C$9:$C$32,$G$6,'EE Inputs'!$D$9:$D$32,$C$4,'EE Inputs'!$E$9:$E$32,$B306)))</f>
        <v>0</v>
      </c>
      <c r="AH306" s="64"/>
      <c r="AI306" s="64"/>
      <c r="AJ306" s="64"/>
      <c r="AM306" s="645" cm="1">
        <f t="array" aca="1" ref="AM306" ca="1">IF($C$4=Lookups!$D$40,INDIRECT("'Yr1'!"&amp;ADDRESS(ROW(AM306),COLUMN(AM306))),
IF(AM249=0,0,SUMIFS('EE Inputs'!$S$9:$S$32,'EE Inputs'!$C$9:$C$32,$AM$6,'EE Inputs'!$D$9:$D$32,$C$4,'EE Inputs'!$E$9:$E$32,$B306)))</f>
        <v>11570.756013708537</v>
      </c>
      <c r="AN306" s="645" cm="1">
        <f t="array" aca="1" ref="AN306" ca="1">IF($C$4=Lookups!$D$40,INDIRECT("'Yr1'!"&amp;ADDRESS(ROW(AN306),COLUMN(AN306))),
IF(AN249=0,0,SUMIFS('EE Inputs'!$S$9:$S$32,'EE Inputs'!$C$9:$C$32,$AM$6,'EE Inputs'!$D$9:$D$32,$C$4,'EE Inputs'!$E$9:$E$32,$B306)))</f>
        <v>11570.756013708537</v>
      </c>
      <c r="AO306" s="645" cm="1">
        <f t="array" aca="1" ref="AO306" ca="1">IF($C$4=Lookups!$D$40,INDIRECT("'Yr1'!"&amp;ADDRESS(ROW(AO306),COLUMN(AO306))),
IF(AO249=0,0,SUMIFS('EE Inputs'!$S$9:$S$32,'EE Inputs'!$C$9:$C$32,$AM$6,'EE Inputs'!$D$9:$D$32,$C$4,'EE Inputs'!$E$9:$E$32,$B306)))</f>
        <v>11570.756013708537</v>
      </c>
      <c r="AP306" s="645" cm="1">
        <f t="array" aca="1" ref="AP306" ca="1">IF($C$4=Lookups!$D$40,INDIRECT("'Yr1'!"&amp;ADDRESS(ROW(AP306),COLUMN(AP306))),
IF(AP249=0,0,SUMIFS('EE Inputs'!$S$9:$S$32,'EE Inputs'!$C$9:$C$32,$AM$6,'EE Inputs'!$D$9:$D$32,$C$4,'EE Inputs'!$E$9:$E$32,$B306)))</f>
        <v>11570.756013708537</v>
      </c>
      <c r="AQ306" s="645" cm="1">
        <f t="array" aca="1" ref="AQ306" ca="1">IF($C$4=Lookups!$D$40,INDIRECT("'Yr1'!"&amp;ADDRESS(ROW(AQ306),COLUMN(AQ306))),
IF(AQ249=0,0,SUMIFS('EE Inputs'!$S$9:$S$32,'EE Inputs'!$C$9:$C$32,$AM$6,'EE Inputs'!$D$9:$D$32,$C$4,'EE Inputs'!$E$9:$E$32,$B306)))</f>
        <v>11570.756013708537</v>
      </c>
      <c r="AR306" s="645" cm="1">
        <f t="array" aca="1" ref="AR306" ca="1">IF($C$4=Lookups!$D$40,INDIRECT("'Yr1'!"&amp;ADDRESS(ROW(AR306),COLUMN(AR306))),
IF(AR249=0,0,SUMIFS('EE Inputs'!$S$9:$S$32,'EE Inputs'!$C$9:$C$32,$AM$6,'EE Inputs'!$D$9:$D$32,$C$4,'EE Inputs'!$E$9:$E$32,$B306)))</f>
        <v>11570.756013708537</v>
      </c>
      <c r="AS306" s="645" cm="1">
        <f t="array" aca="1" ref="AS306" ca="1">IF($C$4=Lookups!$D$40,INDIRECT("'Yr1'!"&amp;ADDRESS(ROW(AS306),COLUMN(AS306))),
IF(AS249=0,0,SUMIFS('EE Inputs'!$S$9:$S$32,'EE Inputs'!$C$9:$C$32,$AM$6,'EE Inputs'!$D$9:$D$32,$C$4,'EE Inputs'!$E$9:$E$32,$B306)))</f>
        <v>11570.756013708537</v>
      </c>
      <c r="AT306" s="645" cm="1">
        <f t="array" aca="1" ref="AT306" ca="1">IF($C$4=Lookups!$D$40,INDIRECT("'Yr1'!"&amp;ADDRESS(ROW(AT306),COLUMN(AT306))),
IF(AT249=0,0,SUMIFS('EE Inputs'!$S$9:$S$32,'EE Inputs'!$C$9:$C$32,$AM$6,'EE Inputs'!$D$9:$D$32,$C$4,'EE Inputs'!$E$9:$E$32,$B306)))</f>
        <v>11570.756013708537</v>
      </c>
      <c r="AU306" s="645" cm="1">
        <f t="array" aca="1" ref="AU306" ca="1">IF($C$4=Lookups!$D$40,INDIRECT("'Yr1'!"&amp;ADDRESS(ROW(AU306),COLUMN(AU306))),
IF(AU249=0,0,SUMIFS('EE Inputs'!$S$9:$S$32,'EE Inputs'!$C$9:$C$32,$AM$6,'EE Inputs'!$D$9:$D$32,$C$4,'EE Inputs'!$E$9:$E$32,$B306)))</f>
        <v>11570.756013708537</v>
      </c>
      <c r="AV306" s="645" cm="1">
        <f t="array" aca="1" ref="AV306" ca="1">IF($C$4=Lookups!$D$40,INDIRECT("'Yr1'!"&amp;ADDRESS(ROW(AV306),COLUMN(AV306))),
IF(AV249=0,0,SUMIFS('EE Inputs'!$S$9:$S$32,'EE Inputs'!$C$9:$C$32,$AM$6,'EE Inputs'!$D$9:$D$32,$C$4,'EE Inputs'!$E$9:$E$32,$B306)))</f>
        <v>11570.756013708537</v>
      </c>
      <c r="AW306" s="645" cm="1">
        <f t="array" aca="1" ref="AW306" ca="1">IF($C$4=Lookups!$D$40,INDIRECT("'Yr1'!"&amp;ADDRESS(ROW(AW306),COLUMN(AW306))),
IF(AW249=0,0,SUMIFS('EE Inputs'!$S$9:$S$32,'EE Inputs'!$C$9:$C$32,$AM$6,'EE Inputs'!$D$9:$D$32,$C$4,'EE Inputs'!$E$9:$E$32,$B306)))</f>
        <v>11570.756013708537</v>
      </c>
      <c r="AX306" s="645" cm="1">
        <f t="array" aca="1" ref="AX306" ca="1">IF($C$4=Lookups!$D$40,INDIRECT("'Yr1'!"&amp;ADDRESS(ROW(AX306),COLUMN(AX306))),
IF(AX249=0,0,SUMIFS('EE Inputs'!$S$9:$S$32,'EE Inputs'!$C$9:$C$32,$AM$6,'EE Inputs'!$D$9:$D$32,$C$4,'EE Inputs'!$E$9:$E$32,$B306)))</f>
        <v>11570.756013708537</v>
      </c>
      <c r="AY306" s="645" cm="1">
        <f t="array" aca="1" ref="AY306" ca="1">IF($C$4=Lookups!$D$40,INDIRECT("'Yr1'!"&amp;ADDRESS(ROW(AY306),COLUMN(AY306))),
IF(AY249=0,0,SUMIFS('EE Inputs'!$S$9:$S$32,'EE Inputs'!$C$9:$C$32,$AM$6,'EE Inputs'!$D$9:$D$32,$C$4,'EE Inputs'!$E$9:$E$32,$B306)))</f>
        <v>11570.756013708537</v>
      </c>
      <c r="AZ306" s="645" cm="1">
        <f t="array" aca="1" ref="AZ306" ca="1">IF($C$4=Lookups!$D$40,INDIRECT("'Yr1'!"&amp;ADDRESS(ROW(AZ306),COLUMN(AZ306))),
IF(AZ249=0,0,SUMIFS('EE Inputs'!$S$9:$S$32,'EE Inputs'!$C$9:$C$32,$AM$6,'EE Inputs'!$D$9:$D$32,$C$4,'EE Inputs'!$E$9:$E$32,$B306)))</f>
        <v>0</v>
      </c>
      <c r="BA306" s="645" cm="1">
        <f t="array" aca="1" ref="BA306" ca="1">IF($C$4=Lookups!$D$40,INDIRECT("'Yr1'!"&amp;ADDRESS(ROW(BA306),COLUMN(BA306))),
IF(BA249=0,0,SUMIFS('EE Inputs'!$S$9:$S$32,'EE Inputs'!$C$9:$C$32,$AM$6,'EE Inputs'!$D$9:$D$32,$C$4,'EE Inputs'!$E$9:$E$32,$B306)))</f>
        <v>0</v>
      </c>
      <c r="BB306" s="645" cm="1">
        <f t="array" aca="1" ref="BB306" ca="1">IF($C$4=Lookups!$D$40,INDIRECT("'Yr1'!"&amp;ADDRESS(ROW(BB306),COLUMN(BB306))),
IF(BB249=0,0,SUMIFS('EE Inputs'!$S$9:$S$32,'EE Inputs'!$C$9:$C$32,$AM$6,'EE Inputs'!$D$9:$D$32,$C$4,'EE Inputs'!$E$9:$E$32,$B306)))</f>
        <v>0</v>
      </c>
      <c r="BC306" s="645" cm="1">
        <f t="array" aca="1" ref="BC306" ca="1">IF($C$4=Lookups!$D$40,INDIRECT("'Yr1'!"&amp;ADDRESS(ROW(BC306),COLUMN(BC306))),
IF(BC249=0,0,SUMIFS('EE Inputs'!$S$9:$S$32,'EE Inputs'!$C$9:$C$32,$AM$6,'EE Inputs'!$D$9:$D$32,$C$4,'EE Inputs'!$E$9:$E$32,$B306)))</f>
        <v>0</v>
      </c>
      <c r="BD306" s="645" cm="1">
        <f t="array" aca="1" ref="BD306" ca="1">IF($C$4=Lookups!$D$40,INDIRECT("'Yr1'!"&amp;ADDRESS(ROW(BD306),COLUMN(BD306))),
IF(BD249=0,0,SUMIFS('EE Inputs'!$S$9:$S$32,'EE Inputs'!$C$9:$C$32,$AM$6,'EE Inputs'!$D$9:$D$32,$C$4,'EE Inputs'!$E$9:$E$32,$B306)))</f>
        <v>0</v>
      </c>
      <c r="BE306" s="645" cm="1">
        <f t="array" aca="1" ref="BE306" ca="1">IF($C$4=Lookups!$D$40,INDIRECT("'Yr1'!"&amp;ADDRESS(ROW(BE306),COLUMN(BE306))),
IF(BE249=0,0,SUMIFS('EE Inputs'!$S$9:$S$32,'EE Inputs'!$C$9:$C$32,$AM$6,'EE Inputs'!$D$9:$D$32,$C$4,'EE Inputs'!$E$9:$E$32,$B306)))</f>
        <v>0</v>
      </c>
      <c r="BF306" s="645" cm="1">
        <f t="array" aca="1" ref="BF306" ca="1">IF($C$4=Lookups!$D$40,INDIRECT("'Yr1'!"&amp;ADDRESS(ROW(BF306),COLUMN(BF306))),
IF(BF249=0,0,SUMIFS('EE Inputs'!$S$9:$S$32,'EE Inputs'!$C$9:$C$32,$AM$6,'EE Inputs'!$D$9:$D$32,$C$4,'EE Inputs'!$E$9:$E$32,$B306)))</f>
        <v>0</v>
      </c>
      <c r="BG306" s="645" cm="1">
        <f t="array" aca="1" ref="BG306" ca="1">IF($C$4=Lookups!$D$40,INDIRECT("'Yr1'!"&amp;ADDRESS(ROW(BG306),COLUMN(BG306))),
IF(BG249=0,0,SUMIFS('EE Inputs'!$S$9:$S$32,'EE Inputs'!$C$9:$C$32,$AM$6,'EE Inputs'!$D$9:$D$32,$C$4,'EE Inputs'!$E$9:$E$32,$B306)))</f>
        <v>0</v>
      </c>
      <c r="BH306" s="645" cm="1">
        <f t="array" aca="1" ref="BH306" ca="1">IF($C$4=Lookups!$D$40,INDIRECT("'Yr1'!"&amp;ADDRESS(ROW(BH306),COLUMN(BH306))),
IF(BH249=0,0,SUMIFS('EE Inputs'!$S$9:$S$32,'EE Inputs'!$C$9:$C$32,$AM$6,'EE Inputs'!$D$9:$D$32,$C$4,'EE Inputs'!$E$9:$E$32,$B306)))</f>
        <v>0</v>
      </c>
      <c r="BI306" s="645" cm="1">
        <f t="array" aca="1" ref="BI306" ca="1">IF($C$4=Lookups!$D$40,INDIRECT("'Yr1'!"&amp;ADDRESS(ROW(BI306),COLUMN(BI306))),
IF(BI249=0,0,SUMIFS('EE Inputs'!$S$9:$S$32,'EE Inputs'!$C$9:$C$32,$AM$6,'EE Inputs'!$D$9:$D$32,$C$4,'EE Inputs'!$E$9:$E$32,$B306)))</f>
        <v>0</v>
      </c>
      <c r="BJ306" s="645" cm="1">
        <f t="array" aca="1" ref="BJ306" ca="1">IF($C$4=Lookups!$D$40,INDIRECT("'Yr1'!"&amp;ADDRESS(ROW(BJ306),COLUMN(BJ306))),
IF(BJ249=0,0,SUMIFS('EE Inputs'!$S$9:$S$32,'EE Inputs'!$C$9:$C$32,$AM$6,'EE Inputs'!$D$9:$D$32,$C$4,'EE Inputs'!$E$9:$E$32,$B306)))</f>
        <v>0</v>
      </c>
      <c r="BK306" s="645" cm="1">
        <f t="array" aca="1" ref="BK306" ca="1">IF($C$4=Lookups!$D$40,INDIRECT("'Yr1'!"&amp;ADDRESS(ROW(BK306),COLUMN(BK306))),
IF(BK249=0,0,SUMIFS('EE Inputs'!$S$9:$S$32,'EE Inputs'!$C$9:$C$32,$AM$6,'EE Inputs'!$D$9:$D$32,$C$4,'EE Inputs'!$E$9:$E$32,$B306)))</f>
        <v>0</v>
      </c>
      <c r="BL306" s="645" cm="1">
        <f t="array" aca="1" ref="BL306" ca="1">IF($C$4=Lookups!$D$40,INDIRECT("'Yr1'!"&amp;ADDRESS(ROW(BL306),COLUMN(BL306))),
IF(BL249=0,0,SUMIFS('EE Inputs'!$S$9:$S$32,'EE Inputs'!$C$9:$C$32,$AM$6,'EE Inputs'!$D$9:$D$32,$C$4,'EE Inputs'!$E$9:$E$32,$B306)))</f>
        <v>0</v>
      </c>
      <c r="BM306" s="645" cm="1">
        <f t="array" aca="1" ref="BM306" ca="1">IF($C$4=Lookups!$D$40,INDIRECT("'Yr1'!"&amp;ADDRESS(ROW(BM306),COLUMN(BM306))),
IF(BM249=0,0,SUMIFS('EE Inputs'!$S$9:$S$32,'EE Inputs'!$C$9:$C$32,$AM$6,'EE Inputs'!$D$9:$D$32,$C$4,'EE Inputs'!$E$9:$E$32,$B306)))</f>
        <v>0</v>
      </c>
      <c r="BN306" s="71"/>
      <c r="BO306" s="71"/>
      <c r="BP306" s="71"/>
      <c r="BS306" s="76" t="s">
        <v>96</v>
      </c>
      <c r="BT306" s="51" t="s">
        <v>17</v>
      </c>
    </row>
    <row r="307" spans="1:72" x14ac:dyDescent="0.25">
      <c r="A307" s="246"/>
      <c r="B307" s="243" t="str">
        <f t="shared" si="324"/>
        <v>Large C&amp;I</v>
      </c>
      <c r="C307" s="243" t="str">
        <f t="shared" si="324"/>
        <v>Bills</v>
      </c>
      <c r="D307" s="244" t="str">
        <f t="shared" si="324"/>
        <v>Annual Savings from DSM Scenario</v>
      </c>
      <c r="E307" s="84" t="str">
        <f>'EE Inputs'!$N$16&amp;" Participant"</f>
        <v>High Savings Participant</v>
      </c>
      <c r="F307" s="84" t="s">
        <v>195</v>
      </c>
      <c r="G307" s="704" cm="1">
        <f t="array" aca="1" ref="G307" ca="1">IF($C$4=Lookups!$D$40,INDIRECT("'Yr1'!"&amp;ADDRESS(ROW(G307),COLUMN(G307))),
IF(G249=0,0,SUMIFS('EE Inputs'!$T$9:$T$32,'EE Inputs'!$C$9:$C$32,$G$6,'EE Inputs'!$D$9:$D$32,$C$4,'EE Inputs'!$E$9:$E$32,$B307)))</f>
        <v>19284.593356180896</v>
      </c>
      <c r="H307" s="704" cm="1">
        <f t="array" aca="1" ref="H307" ca="1">IF($C$4=Lookups!$D$40,INDIRECT("'Yr1'!"&amp;ADDRESS(ROW(H307),COLUMN(H307))),
IF(H249=0,0,SUMIFS('EE Inputs'!$T$9:$T$32,'EE Inputs'!$C$9:$C$32,$G$6,'EE Inputs'!$D$9:$D$32,$C$4,'EE Inputs'!$E$9:$E$32,$B307)))</f>
        <v>19284.593356180896</v>
      </c>
      <c r="I307" s="704" cm="1">
        <f t="array" aca="1" ref="I307" ca="1">IF($C$4=Lookups!$D$40,INDIRECT("'Yr1'!"&amp;ADDRESS(ROW(I307),COLUMN(I307))),
IF(I249=0,0,SUMIFS('EE Inputs'!$T$9:$T$32,'EE Inputs'!$C$9:$C$32,$G$6,'EE Inputs'!$D$9:$D$32,$C$4,'EE Inputs'!$E$9:$E$32,$B307)))</f>
        <v>19284.593356180896</v>
      </c>
      <c r="J307" s="704" cm="1">
        <f t="array" aca="1" ref="J307" ca="1">IF($C$4=Lookups!$D$40,INDIRECT("'Yr1'!"&amp;ADDRESS(ROW(J307),COLUMN(J307))),
IF(J249=0,0,SUMIFS('EE Inputs'!$T$9:$T$32,'EE Inputs'!$C$9:$C$32,$G$6,'EE Inputs'!$D$9:$D$32,$C$4,'EE Inputs'!$E$9:$E$32,$B307)))</f>
        <v>19284.593356180896</v>
      </c>
      <c r="K307" s="704" cm="1">
        <f t="array" aca="1" ref="K307" ca="1">IF($C$4=Lookups!$D$40,INDIRECT("'Yr1'!"&amp;ADDRESS(ROW(K307),COLUMN(K307))),
IF(K249=0,0,SUMIFS('EE Inputs'!$T$9:$T$32,'EE Inputs'!$C$9:$C$32,$G$6,'EE Inputs'!$D$9:$D$32,$C$4,'EE Inputs'!$E$9:$E$32,$B307)))</f>
        <v>19284.593356180896</v>
      </c>
      <c r="L307" s="704" cm="1">
        <f t="array" aca="1" ref="L307" ca="1">IF($C$4=Lookups!$D$40,INDIRECT("'Yr1'!"&amp;ADDRESS(ROW(L307),COLUMN(L307))),
IF(L249=0,0,SUMIFS('EE Inputs'!$T$9:$T$32,'EE Inputs'!$C$9:$C$32,$G$6,'EE Inputs'!$D$9:$D$32,$C$4,'EE Inputs'!$E$9:$E$32,$B307)))</f>
        <v>19284.593356180896</v>
      </c>
      <c r="M307" s="704" cm="1">
        <f t="array" aca="1" ref="M307" ca="1">IF($C$4=Lookups!$D$40,INDIRECT("'Yr1'!"&amp;ADDRESS(ROW(M307),COLUMN(M307))),
IF(M249=0,0,SUMIFS('EE Inputs'!$T$9:$T$32,'EE Inputs'!$C$9:$C$32,$G$6,'EE Inputs'!$D$9:$D$32,$C$4,'EE Inputs'!$E$9:$E$32,$B307)))</f>
        <v>19284.593356180896</v>
      </c>
      <c r="N307" s="704" cm="1">
        <f t="array" aca="1" ref="N307" ca="1">IF($C$4=Lookups!$D$40,INDIRECT("'Yr1'!"&amp;ADDRESS(ROW(N307),COLUMN(N307))),
IF(N249=0,0,SUMIFS('EE Inputs'!$T$9:$T$32,'EE Inputs'!$C$9:$C$32,$G$6,'EE Inputs'!$D$9:$D$32,$C$4,'EE Inputs'!$E$9:$E$32,$B307)))</f>
        <v>19284.593356180896</v>
      </c>
      <c r="O307" s="704" cm="1">
        <f t="array" aca="1" ref="O307" ca="1">IF($C$4=Lookups!$D$40,INDIRECT("'Yr1'!"&amp;ADDRESS(ROW(O307),COLUMN(O307))),
IF(O249=0,0,SUMIFS('EE Inputs'!$T$9:$T$32,'EE Inputs'!$C$9:$C$32,$G$6,'EE Inputs'!$D$9:$D$32,$C$4,'EE Inputs'!$E$9:$E$32,$B307)))</f>
        <v>19284.593356180896</v>
      </c>
      <c r="P307" s="704" cm="1">
        <f t="array" aca="1" ref="P307" ca="1">IF($C$4=Lookups!$D$40,INDIRECT("'Yr1'!"&amp;ADDRESS(ROW(P307),COLUMN(P307))),
IF(P249=0,0,SUMIFS('EE Inputs'!$T$9:$T$32,'EE Inputs'!$C$9:$C$32,$G$6,'EE Inputs'!$D$9:$D$32,$C$4,'EE Inputs'!$E$9:$E$32,$B307)))</f>
        <v>19284.593356180896</v>
      </c>
      <c r="Q307" s="704" cm="1">
        <f t="array" aca="1" ref="Q307" ca="1">IF($C$4=Lookups!$D$40,INDIRECT("'Yr1'!"&amp;ADDRESS(ROW(Q307),COLUMN(Q307))),
IF(Q249=0,0,SUMIFS('EE Inputs'!$T$9:$T$32,'EE Inputs'!$C$9:$C$32,$G$6,'EE Inputs'!$D$9:$D$32,$C$4,'EE Inputs'!$E$9:$E$32,$B307)))</f>
        <v>19284.593356180896</v>
      </c>
      <c r="R307" s="704" cm="1">
        <f t="array" aca="1" ref="R307" ca="1">IF($C$4=Lookups!$D$40,INDIRECT("'Yr1'!"&amp;ADDRESS(ROW(R307),COLUMN(R307))),
IF(R249=0,0,SUMIFS('EE Inputs'!$T$9:$T$32,'EE Inputs'!$C$9:$C$32,$G$6,'EE Inputs'!$D$9:$D$32,$C$4,'EE Inputs'!$E$9:$E$32,$B307)))</f>
        <v>19284.593356180896</v>
      </c>
      <c r="S307" s="704" cm="1">
        <f t="array" aca="1" ref="S307" ca="1">IF($C$4=Lookups!$D$40,INDIRECT("'Yr1'!"&amp;ADDRESS(ROW(S307),COLUMN(S307))),
IF(S249=0,0,SUMIFS('EE Inputs'!$T$9:$T$32,'EE Inputs'!$C$9:$C$32,$G$6,'EE Inputs'!$D$9:$D$32,$C$4,'EE Inputs'!$E$9:$E$32,$B307)))</f>
        <v>19284.593356180896</v>
      </c>
      <c r="T307" s="704" cm="1">
        <f t="array" aca="1" ref="T307" ca="1">IF($C$4=Lookups!$D$40,INDIRECT("'Yr1'!"&amp;ADDRESS(ROW(T307),COLUMN(T307))),
IF(T249=0,0,SUMIFS('EE Inputs'!$T$9:$T$32,'EE Inputs'!$C$9:$C$32,$G$6,'EE Inputs'!$D$9:$D$32,$C$4,'EE Inputs'!$E$9:$E$32,$B307)))</f>
        <v>0</v>
      </c>
      <c r="U307" s="704" cm="1">
        <f t="array" aca="1" ref="U307" ca="1">IF($C$4=Lookups!$D$40,INDIRECT("'Yr1'!"&amp;ADDRESS(ROW(U307),COLUMN(U307))),
IF(U249=0,0,SUMIFS('EE Inputs'!$T$9:$T$32,'EE Inputs'!$C$9:$C$32,$G$6,'EE Inputs'!$D$9:$D$32,$C$4,'EE Inputs'!$E$9:$E$32,$B307)))</f>
        <v>0</v>
      </c>
      <c r="V307" s="704" cm="1">
        <f t="array" aca="1" ref="V307" ca="1">IF($C$4=Lookups!$D$40,INDIRECT("'Yr1'!"&amp;ADDRESS(ROW(V307),COLUMN(V307))),
IF(V249=0,0,SUMIFS('EE Inputs'!$T$9:$T$32,'EE Inputs'!$C$9:$C$32,$G$6,'EE Inputs'!$D$9:$D$32,$C$4,'EE Inputs'!$E$9:$E$32,$B307)))</f>
        <v>0</v>
      </c>
      <c r="W307" s="704" cm="1">
        <f t="array" aca="1" ref="W307" ca="1">IF($C$4=Lookups!$D$40,INDIRECT("'Yr1'!"&amp;ADDRESS(ROW(W307),COLUMN(W307))),
IF(W249=0,0,SUMIFS('EE Inputs'!$T$9:$T$32,'EE Inputs'!$C$9:$C$32,$G$6,'EE Inputs'!$D$9:$D$32,$C$4,'EE Inputs'!$E$9:$E$32,$B307)))</f>
        <v>0</v>
      </c>
      <c r="X307" s="704" cm="1">
        <f t="array" aca="1" ref="X307" ca="1">IF($C$4=Lookups!$D$40,INDIRECT("'Yr1'!"&amp;ADDRESS(ROW(X307),COLUMN(X307))),
IF(X249=0,0,SUMIFS('EE Inputs'!$T$9:$T$32,'EE Inputs'!$C$9:$C$32,$G$6,'EE Inputs'!$D$9:$D$32,$C$4,'EE Inputs'!$E$9:$E$32,$B307)))</f>
        <v>0</v>
      </c>
      <c r="Y307" s="704" cm="1">
        <f t="array" aca="1" ref="Y307" ca="1">IF($C$4=Lookups!$D$40,INDIRECT("'Yr1'!"&amp;ADDRESS(ROW(Y307),COLUMN(Y307))),
IF(Y249=0,0,SUMIFS('EE Inputs'!$T$9:$T$32,'EE Inputs'!$C$9:$C$32,$G$6,'EE Inputs'!$D$9:$D$32,$C$4,'EE Inputs'!$E$9:$E$32,$B307)))</f>
        <v>0</v>
      </c>
      <c r="Z307" s="704" cm="1">
        <f t="array" aca="1" ref="Z307" ca="1">IF($C$4=Lookups!$D$40,INDIRECT("'Yr1'!"&amp;ADDRESS(ROW(Z307),COLUMN(Z307))),
IF(Z249=0,0,SUMIFS('EE Inputs'!$T$9:$T$32,'EE Inputs'!$C$9:$C$32,$G$6,'EE Inputs'!$D$9:$D$32,$C$4,'EE Inputs'!$E$9:$E$32,$B307)))</f>
        <v>0</v>
      </c>
      <c r="AA307" s="704" cm="1">
        <f t="array" aca="1" ref="AA307" ca="1">IF($C$4=Lookups!$D$40,INDIRECT("'Yr1'!"&amp;ADDRESS(ROW(AA307),COLUMN(AA307))),
IF(AA249=0,0,SUMIFS('EE Inputs'!$T$9:$T$32,'EE Inputs'!$C$9:$C$32,$G$6,'EE Inputs'!$D$9:$D$32,$C$4,'EE Inputs'!$E$9:$E$32,$B307)))</f>
        <v>0</v>
      </c>
      <c r="AB307" s="704" cm="1">
        <f t="array" aca="1" ref="AB307" ca="1">IF($C$4=Lookups!$D$40,INDIRECT("'Yr1'!"&amp;ADDRESS(ROW(AB307),COLUMN(AB307))),
IF(AB249=0,0,SUMIFS('EE Inputs'!$T$9:$T$32,'EE Inputs'!$C$9:$C$32,$G$6,'EE Inputs'!$D$9:$D$32,$C$4,'EE Inputs'!$E$9:$E$32,$B307)))</f>
        <v>0</v>
      </c>
      <c r="AC307" s="704" cm="1">
        <f t="array" aca="1" ref="AC307" ca="1">IF($C$4=Lookups!$D$40,INDIRECT("'Yr1'!"&amp;ADDRESS(ROW(AC307),COLUMN(AC307))),
IF(AC249=0,0,SUMIFS('EE Inputs'!$T$9:$T$32,'EE Inputs'!$C$9:$C$32,$G$6,'EE Inputs'!$D$9:$D$32,$C$4,'EE Inputs'!$E$9:$E$32,$B307)))</f>
        <v>0</v>
      </c>
      <c r="AD307" s="704" cm="1">
        <f t="array" aca="1" ref="AD307" ca="1">IF($C$4=Lookups!$D$40,INDIRECT("'Yr1'!"&amp;ADDRESS(ROW(AD307),COLUMN(AD307))),
IF(AD249=0,0,SUMIFS('EE Inputs'!$T$9:$T$32,'EE Inputs'!$C$9:$C$32,$G$6,'EE Inputs'!$D$9:$D$32,$C$4,'EE Inputs'!$E$9:$E$32,$B307)))</f>
        <v>0</v>
      </c>
      <c r="AE307" s="704" cm="1">
        <f t="array" aca="1" ref="AE307" ca="1">IF($C$4=Lookups!$D$40,INDIRECT("'Yr1'!"&amp;ADDRESS(ROW(AE307),COLUMN(AE307))),
IF(AE249=0,0,SUMIFS('EE Inputs'!$T$9:$T$32,'EE Inputs'!$C$9:$C$32,$G$6,'EE Inputs'!$D$9:$D$32,$C$4,'EE Inputs'!$E$9:$E$32,$B307)))</f>
        <v>0</v>
      </c>
      <c r="AF307" s="704" cm="1">
        <f t="array" aca="1" ref="AF307" ca="1">IF($C$4=Lookups!$D$40,INDIRECT("'Yr1'!"&amp;ADDRESS(ROW(AF307),COLUMN(AF307))),
IF(AF249=0,0,SUMIFS('EE Inputs'!$T$9:$T$32,'EE Inputs'!$C$9:$C$32,$G$6,'EE Inputs'!$D$9:$D$32,$C$4,'EE Inputs'!$E$9:$E$32,$B307)))</f>
        <v>0</v>
      </c>
      <c r="AG307" s="704" cm="1">
        <f t="array" aca="1" ref="AG307" ca="1">IF($C$4=Lookups!$D$40,INDIRECT("'Yr1'!"&amp;ADDRESS(ROW(AG307),COLUMN(AG307))),
IF(AG249=0,0,SUMIFS('EE Inputs'!$T$9:$T$32,'EE Inputs'!$C$9:$C$32,$G$6,'EE Inputs'!$D$9:$D$32,$C$4,'EE Inputs'!$E$9:$E$32,$B307)))</f>
        <v>0</v>
      </c>
      <c r="AH307" s="64"/>
      <c r="AI307" s="64"/>
      <c r="AJ307" s="64"/>
      <c r="AM307" s="645" cm="1">
        <f t="array" aca="1" ref="AM307" ca="1">IF($C$4=Lookups!$D$40,INDIRECT("'Yr1'!"&amp;ADDRESS(ROW(AM307),COLUMN(AM307))),
IF(AM249=0,0,SUMIFS('EE Inputs'!$T$9:$T$32,'EE Inputs'!$C$9:$C$32,$AM$6,'EE Inputs'!$D$9:$D$32,$C$4,'EE Inputs'!$E$9:$E$32,$B307)))</f>
        <v>23141.512027417073</v>
      </c>
      <c r="AN307" s="645" cm="1">
        <f t="array" aca="1" ref="AN307" ca="1">IF($C$4=Lookups!$D$40,INDIRECT("'Yr1'!"&amp;ADDRESS(ROW(AN307),COLUMN(AN307))),
IF(AN249=0,0,SUMIFS('EE Inputs'!$T$9:$T$32,'EE Inputs'!$C$9:$C$32,$AM$6,'EE Inputs'!$D$9:$D$32,$C$4,'EE Inputs'!$E$9:$E$32,$B307)))</f>
        <v>23141.512027417073</v>
      </c>
      <c r="AO307" s="645" cm="1">
        <f t="array" aca="1" ref="AO307" ca="1">IF($C$4=Lookups!$D$40,INDIRECT("'Yr1'!"&amp;ADDRESS(ROW(AO307),COLUMN(AO307))),
IF(AO249=0,0,SUMIFS('EE Inputs'!$T$9:$T$32,'EE Inputs'!$C$9:$C$32,$AM$6,'EE Inputs'!$D$9:$D$32,$C$4,'EE Inputs'!$E$9:$E$32,$B307)))</f>
        <v>23141.512027417073</v>
      </c>
      <c r="AP307" s="645" cm="1">
        <f t="array" aca="1" ref="AP307" ca="1">IF($C$4=Lookups!$D$40,INDIRECT("'Yr1'!"&amp;ADDRESS(ROW(AP307),COLUMN(AP307))),
IF(AP249=0,0,SUMIFS('EE Inputs'!$T$9:$T$32,'EE Inputs'!$C$9:$C$32,$AM$6,'EE Inputs'!$D$9:$D$32,$C$4,'EE Inputs'!$E$9:$E$32,$B307)))</f>
        <v>23141.512027417073</v>
      </c>
      <c r="AQ307" s="645" cm="1">
        <f t="array" aca="1" ref="AQ307" ca="1">IF($C$4=Lookups!$D$40,INDIRECT("'Yr1'!"&amp;ADDRESS(ROW(AQ307),COLUMN(AQ307))),
IF(AQ249=0,0,SUMIFS('EE Inputs'!$T$9:$T$32,'EE Inputs'!$C$9:$C$32,$AM$6,'EE Inputs'!$D$9:$D$32,$C$4,'EE Inputs'!$E$9:$E$32,$B307)))</f>
        <v>23141.512027417073</v>
      </c>
      <c r="AR307" s="645" cm="1">
        <f t="array" aca="1" ref="AR307" ca="1">IF($C$4=Lookups!$D$40,INDIRECT("'Yr1'!"&amp;ADDRESS(ROW(AR307),COLUMN(AR307))),
IF(AR249=0,0,SUMIFS('EE Inputs'!$T$9:$T$32,'EE Inputs'!$C$9:$C$32,$AM$6,'EE Inputs'!$D$9:$D$32,$C$4,'EE Inputs'!$E$9:$E$32,$B307)))</f>
        <v>23141.512027417073</v>
      </c>
      <c r="AS307" s="645" cm="1">
        <f t="array" aca="1" ref="AS307" ca="1">IF($C$4=Lookups!$D$40,INDIRECT("'Yr1'!"&amp;ADDRESS(ROW(AS307),COLUMN(AS307))),
IF(AS249=0,0,SUMIFS('EE Inputs'!$T$9:$T$32,'EE Inputs'!$C$9:$C$32,$AM$6,'EE Inputs'!$D$9:$D$32,$C$4,'EE Inputs'!$E$9:$E$32,$B307)))</f>
        <v>23141.512027417073</v>
      </c>
      <c r="AT307" s="645" cm="1">
        <f t="array" aca="1" ref="AT307" ca="1">IF($C$4=Lookups!$D$40,INDIRECT("'Yr1'!"&amp;ADDRESS(ROW(AT307),COLUMN(AT307))),
IF(AT249=0,0,SUMIFS('EE Inputs'!$T$9:$T$32,'EE Inputs'!$C$9:$C$32,$AM$6,'EE Inputs'!$D$9:$D$32,$C$4,'EE Inputs'!$E$9:$E$32,$B307)))</f>
        <v>23141.512027417073</v>
      </c>
      <c r="AU307" s="645" cm="1">
        <f t="array" aca="1" ref="AU307" ca="1">IF($C$4=Lookups!$D$40,INDIRECT("'Yr1'!"&amp;ADDRESS(ROW(AU307),COLUMN(AU307))),
IF(AU249=0,0,SUMIFS('EE Inputs'!$T$9:$T$32,'EE Inputs'!$C$9:$C$32,$AM$6,'EE Inputs'!$D$9:$D$32,$C$4,'EE Inputs'!$E$9:$E$32,$B307)))</f>
        <v>23141.512027417073</v>
      </c>
      <c r="AV307" s="645" cm="1">
        <f t="array" aca="1" ref="AV307" ca="1">IF($C$4=Lookups!$D$40,INDIRECT("'Yr1'!"&amp;ADDRESS(ROW(AV307),COLUMN(AV307))),
IF(AV249=0,0,SUMIFS('EE Inputs'!$T$9:$T$32,'EE Inputs'!$C$9:$C$32,$AM$6,'EE Inputs'!$D$9:$D$32,$C$4,'EE Inputs'!$E$9:$E$32,$B307)))</f>
        <v>23141.512027417073</v>
      </c>
      <c r="AW307" s="645" cm="1">
        <f t="array" aca="1" ref="AW307" ca="1">IF($C$4=Lookups!$D$40,INDIRECT("'Yr1'!"&amp;ADDRESS(ROW(AW307),COLUMN(AW307))),
IF(AW249=0,0,SUMIFS('EE Inputs'!$T$9:$T$32,'EE Inputs'!$C$9:$C$32,$AM$6,'EE Inputs'!$D$9:$D$32,$C$4,'EE Inputs'!$E$9:$E$32,$B307)))</f>
        <v>23141.512027417073</v>
      </c>
      <c r="AX307" s="645" cm="1">
        <f t="array" aca="1" ref="AX307" ca="1">IF($C$4=Lookups!$D$40,INDIRECT("'Yr1'!"&amp;ADDRESS(ROW(AX307),COLUMN(AX307))),
IF(AX249=0,0,SUMIFS('EE Inputs'!$T$9:$T$32,'EE Inputs'!$C$9:$C$32,$AM$6,'EE Inputs'!$D$9:$D$32,$C$4,'EE Inputs'!$E$9:$E$32,$B307)))</f>
        <v>23141.512027417073</v>
      </c>
      <c r="AY307" s="645" cm="1">
        <f t="array" aca="1" ref="AY307" ca="1">IF($C$4=Lookups!$D$40,INDIRECT("'Yr1'!"&amp;ADDRESS(ROW(AY307),COLUMN(AY307))),
IF(AY249=0,0,SUMIFS('EE Inputs'!$T$9:$T$32,'EE Inputs'!$C$9:$C$32,$AM$6,'EE Inputs'!$D$9:$D$32,$C$4,'EE Inputs'!$E$9:$E$32,$B307)))</f>
        <v>23141.512027417073</v>
      </c>
      <c r="AZ307" s="645" cm="1">
        <f t="array" aca="1" ref="AZ307" ca="1">IF($C$4=Lookups!$D$40,INDIRECT("'Yr1'!"&amp;ADDRESS(ROW(AZ307),COLUMN(AZ307))),
IF(AZ249=0,0,SUMIFS('EE Inputs'!$T$9:$T$32,'EE Inputs'!$C$9:$C$32,$AM$6,'EE Inputs'!$D$9:$D$32,$C$4,'EE Inputs'!$E$9:$E$32,$B307)))</f>
        <v>0</v>
      </c>
      <c r="BA307" s="645" cm="1">
        <f t="array" aca="1" ref="BA307" ca="1">IF($C$4=Lookups!$D$40,INDIRECT("'Yr1'!"&amp;ADDRESS(ROW(BA307),COLUMN(BA307))),
IF(BA249=0,0,SUMIFS('EE Inputs'!$T$9:$T$32,'EE Inputs'!$C$9:$C$32,$AM$6,'EE Inputs'!$D$9:$D$32,$C$4,'EE Inputs'!$E$9:$E$32,$B307)))</f>
        <v>0</v>
      </c>
      <c r="BB307" s="645" cm="1">
        <f t="array" aca="1" ref="BB307" ca="1">IF($C$4=Lookups!$D$40,INDIRECT("'Yr1'!"&amp;ADDRESS(ROW(BB307),COLUMN(BB307))),
IF(BB249=0,0,SUMIFS('EE Inputs'!$T$9:$T$32,'EE Inputs'!$C$9:$C$32,$AM$6,'EE Inputs'!$D$9:$D$32,$C$4,'EE Inputs'!$E$9:$E$32,$B307)))</f>
        <v>0</v>
      </c>
      <c r="BC307" s="645" cm="1">
        <f t="array" aca="1" ref="BC307" ca="1">IF($C$4=Lookups!$D$40,INDIRECT("'Yr1'!"&amp;ADDRESS(ROW(BC307),COLUMN(BC307))),
IF(BC249=0,0,SUMIFS('EE Inputs'!$T$9:$T$32,'EE Inputs'!$C$9:$C$32,$AM$6,'EE Inputs'!$D$9:$D$32,$C$4,'EE Inputs'!$E$9:$E$32,$B307)))</f>
        <v>0</v>
      </c>
      <c r="BD307" s="645" cm="1">
        <f t="array" aca="1" ref="BD307" ca="1">IF($C$4=Lookups!$D$40,INDIRECT("'Yr1'!"&amp;ADDRESS(ROW(BD307),COLUMN(BD307))),
IF(BD249=0,0,SUMIFS('EE Inputs'!$T$9:$T$32,'EE Inputs'!$C$9:$C$32,$AM$6,'EE Inputs'!$D$9:$D$32,$C$4,'EE Inputs'!$E$9:$E$32,$B307)))</f>
        <v>0</v>
      </c>
      <c r="BE307" s="645" cm="1">
        <f t="array" aca="1" ref="BE307" ca="1">IF($C$4=Lookups!$D$40,INDIRECT("'Yr1'!"&amp;ADDRESS(ROW(BE307),COLUMN(BE307))),
IF(BE249=0,0,SUMIFS('EE Inputs'!$T$9:$T$32,'EE Inputs'!$C$9:$C$32,$AM$6,'EE Inputs'!$D$9:$D$32,$C$4,'EE Inputs'!$E$9:$E$32,$B307)))</f>
        <v>0</v>
      </c>
      <c r="BF307" s="645" cm="1">
        <f t="array" aca="1" ref="BF307" ca="1">IF($C$4=Lookups!$D$40,INDIRECT("'Yr1'!"&amp;ADDRESS(ROW(BF307),COLUMN(BF307))),
IF(BF249=0,0,SUMIFS('EE Inputs'!$T$9:$T$32,'EE Inputs'!$C$9:$C$32,$AM$6,'EE Inputs'!$D$9:$D$32,$C$4,'EE Inputs'!$E$9:$E$32,$B307)))</f>
        <v>0</v>
      </c>
      <c r="BG307" s="645" cm="1">
        <f t="array" aca="1" ref="BG307" ca="1">IF($C$4=Lookups!$D$40,INDIRECT("'Yr1'!"&amp;ADDRESS(ROW(BG307),COLUMN(BG307))),
IF(BG249=0,0,SUMIFS('EE Inputs'!$T$9:$T$32,'EE Inputs'!$C$9:$C$32,$AM$6,'EE Inputs'!$D$9:$D$32,$C$4,'EE Inputs'!$E$9:$E$32,$B307)))</f>
        <v>0</v>
      </c>
      <c r="BH307" s="645" cm="1">
        <f t="array" aca="1" ref="BH307" ca="1">IF($C$4=Lookups!$D$40,INDIRECT("'Yr1'!"&amp;ADDRESS(ROW(BH307),COLUMN(BH307))),
IF(BH249=0,0,SUMIFS('EE Inputs'!$T$9:$T$32,'EE Inputs'!$C$9:$C$32,$AM$6,'EE Inputs'!$D$9:$D$32,$C$4,'EE Inputs'!$E$9:$E$32,$B307)))</f>
        <v>0</v>
      </c>
      <c r="BI307" s="645" cm="1">
        <f t="array" aca="1" ref="BI307" ca="1">IF($C$4=Lookups!$D$40,INDIRECT("'Yr1'!"&amp;ADDRESS(ROW(BI307),COLUMN(BI307))),
IF(BI249=0,0,SUMIFS('EE Inputs'!$T$9:$T$32,'EE Inputs'!$C$9:$C$32,$AM$6,'EE Inputs'!$D$9:$D$32,$C$4,'EE Inputs'!$E$9:$E$32,$B307)))</f>
        <v>0</v>
      </c>
      <c r="BJ307" s="645" cm="1">
        <f t="array" aca="1" ref="BJ307" ca="1">IF($C$4=Lookups!$D$40,INDIRECT("'Yr1'!"&amp;ADDRESS(ROW(BJ307),COLUMN(BJ307))),
IF(BJ249=0,0,SUMIFS('EE Inputs'!$T$9:$T$32,'EE Inputs'!$C$9:$C$32,$AM$6,'EE Inputs'!$D$9:$D$32,$C$4,'EE Inputs'!$E$9:$E$32,$B307)))</f>
        <v>0</v>
      </c>
      <c r="BK307" s="645" cm="1">
        <f t="array" aca="1" ref="BK307" ca="1">IF($C$4=Lookups!$D$40,INDIRECT("'Yr1'!"&amp;ADDRESS(ROW(BK307),COLUMN(BK307))),
IF(BK249=0,0,SUMIFS('EE Inputs'!$T$9:$T$32,'EE Inputs'!$C$9:$C$32,$AM$6,'EE Inputs'!$D$9:$D$32,$C$4,'EE Inputs'!$E$9:$E$32,$B307)))</f>
        <v>0</v>
      </c>
      <c r="BL307" s="645" cm="1">
        <f t="array" aca="1" ref="BL307" ca="1">IF($C$4=Lookups!$D$40,INDIRECT("'Yr1'!"&amp;ADDRESS(ROW(BL307),COLUMN(BL307))),
IF(BL249=0,0,SUMIFS('EE Inputs'!$T$9:$T$32,'EE Inputs'!$C$9:$C$32,$AM$6,'EE Inputs'!$D$9:$D$32,$C$4,'EE Inputs'!$E$9:$E$32,$B307)))</f>
        <v>0</v>
      </c>
      <c r="BM307" s="645" cm="1">
        <f t="array" aca="1" ref="BM307" ca="1">IF($C$4=Lookups!$D$40,INDIRECT("'Yr1'!"&amp;ADDRESS(ROW(BM307),COLUMN(BM307))),
IF(BM249=0,0,SUMIFS('EE Inputs'!$T$9:$T$32,'EE Inputs'!$C$9:$C$32,$AM$6,'EE Inputs'!$D$9:$D$32,$C$4,'EE Inputs'!$E$9:$E$32,$B307)))</f>
        <v>0</v>
      </c>
      <c r="BN307" s="71"/>
      <c r="BO307" s="71"/>
      <c r="BP307" s="71"/>
      <c r="BS307" s="76" t="s">
        <v>96</v>
      </c>
      <c r="BT307" s="51" t="s">
        <v>17</v>
      </c>
    </row>
    <row r="308" spans="1:72" x14ac:dyDescent="0.25">
      <c r="B308" s="243" t="str">
        <f t="shared" si="324"/>
        <v>Large C&amp;I</v>
      </c>
      <c r="C308" s="243" t="str">
        <f t="shared" si="324"/>
        <v>Bills</v>
      </c>
      <c r="D308" s="114" t="s">
        <v>111</v>
      </c>
      <c r="E308" s="84"/>
      <c r="F308" s="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49"/>
      <c r="AI308" s="184"/>
      <c r="AJ308" s="49"/>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S308" s="84"/>
      <c r="BT308" s="51" t="s">
        <v>17</v>
      </c>
    </row>
    <row r="309" spans="1:72" x14ac:dyDescent="0.25">
      <c r="B309" s="243" t="str">
        <f t="shared" si="324"/>
        <v>Large C&amp;I</v>
      </c>
      <c r="C309" s="243" t="str">
        <f t="shared" si="324"/>
        <v>Bills</v>
      </c>
      <c r="D309" s="244" t="str">
        <f t="shared" si="324"/>
        <v>Bills after DSM Scenario</v>
      </c>
      <c r="E309" s="84" t="s">
        <v>348</v>
      </c>
      <c r="F309" s="84" t="s">
        <v>32</v>
      </c>
      <c r="G309" s="103">
        <f ca="1">G301+G302*(G294-G293)</f>
        <v>180127.14991934536</v>
      </c>
      <c r="H309" s="103">
        <f ca="1">H301+H302*(H294-H293)</f>
        <v>152655.74904237571</v>
      </c>
      <c r="I309" s="103">
        <f t="shared" ref="I309:AG309" ca="1" si="334">I301+I302*(I294-I293)</f>
        <v>152655.74904237571</v>
      </c>
      <c r="J309" s="103">
        <f t="shared" ca="1" si="334"/>
        <v>152655.74904237571</v>
      </c>
      <c r="K309" s="103">
        <f t="shared" ca="1" si="334"/>
        <v>152655.74904237571</v>
      </c>
      <c r="L309" s="103">
        <f t="shared" ca="1" si="334"/>
        <v>152655.74904237571</v>
      </c>
      <c r="M309" s="103">
        <f t="shared" ca="1" si="334"/>
        <v>152655.74904237571</v>
      </c>
      <c r="N309" s="103">
        <f t="shared" ca="1" si="334"/>
        <v>152655.74904237571</v>
      </c>
      <c r="O309" s="103">
        <f t="shared" ca="1" si="334"/>
        <v>152655.74904237571</v>
      </c>
      <c r="P309" s="103">
        <f t="shared" ca="1" si="334"/>
        <v>152655.74904237571</v>
      </c>
      <c r="Q309" s="103">
        <f t="shared" ca="1" si="334"/>
        <v>152655.74904237571</v>
      </c>
      <c r="R309" s="103">
        <f t="shared" ca="1" si="334"/>
        <v>152655.74904237571</v>
      </c>
      <c r="S309" s="103">
        <f ca="1">S301+S302*(S294-S293)</f>
        <v>152655.74904237571</v>
      </c>
      <c r="T309" s="103">
        <f t="shared" ca="1" si="334"/>
        <v>151857.45648293078</v>
      </c>
      <c r="U309" s="103">
        <f t="shared" ca="1" si="334"/>
        <v>151857.45648293078</v>
      </c>
      <c r="V309" s="103">
        <f t="shared" ca="1" si="334"/>
        <v>151857.45648293078</v>
      </c>
      <c r="W309" s="103">
        <f t="shared" ca="1" si="334"/>
        <v>151857.45648293078</v>
      </c>
      <c r="X309" s="103">
        <f t="shared" ca="1" si="334"/>
        <v>151857.45648293078</v>
      </c>
      <c r="Y309" s="103">
        <f t="shared" ca="1" si="334"/>
        <v>151857.45648293078</v>
      </c>
      <c r="Z309" s="103">
        <f t="shared" ca="1" si="334"/>
        <v>151857.45648293078</v>
      </c>
      <c r="AA309" s="103">
        <f t="shared" ca="1" si="334"/>
        <v>151857.45648293078</v>
      </c>
      <c r="AB309" s="103">
        <f t="shared" ca="1" si="334"/>
        <v>151857.45648293078</v>
      </c>
      <c r="AC309" s="103">
        <f t="shared" ca="1" si="334"/>
        <v>151857.45648293078</v>
      </c>
      <c r="AD309" s="103">
        <f t="shared" ca="1" si="334"/>
        <v>151857.45648293078</v>
      </c>
      <c r="AE309" s="103">
        <f t="shared" ca="1" si="334"/>
        <v>151857.45648293078</v>
      </c>
      <c r="AF309" s="103">
        <f t="shared" ca="1" si="334"/>
        <v>151857.45648293078</v>
      </c>
      <c r="AG309" s="103">
        <f t="shared" ca="1" si="334"/>
        <v>151857.45648293078</v>
      </c>
      <c r="AH309" s="103"/>
      <c r="AI309" s="103"/>
      <c r="AJ309" s="103">
        <f ca="1">IF($C$4=Year1,-PMT(Lookups!$E$17,25,NPV(Lookups!$E$17,G309:AE309),0,1),IF($C$4=Year2,-PMT(Lookups!$F$17,25,NPV(Lookups!$F$17,H309:AF309),0,1),IF($C$4=Year3,-PMT(Lookups!$G$17,25,NPV(Lookups!$G$17,I309:AG309),0,1),-PMT(Lookups!$G$17,27,NPV(Lookups!$G$17,G309:AG309),0,1))))</f>
        <v>151459.07383129318</v>
      </c>
      <c r="AM309" s="149">
        <f ca="1">AM301+AM302*(AM294-AM293)</f>
        <v>185747.32292098916</v>
      </c>
      <c r="AN309" s="149">
        <f t="shared" ref="AN309:BM309" ca="1" si="335">AN301+AN302*(AN294-AN293)</f>
        <v>152781.64186862556</v>
      </c>
      <c r="AO309" s="149">
        <f t="shared" ca="1" si="335"/>
        <v>152781.64186862556</v>
      </c>
      <c r="AP309" s="149">
        <f t="shared" ca="1" si="335"/>
        <v>152781.64186862556</v>
      </c>
      <c r="AQ309" s="149">
        <f t="shared" ca="1" si="335"/>
        <v>152781.64186862556</v>
      </c>
      <c r="AR309" s="149">
        <f t="shared" ca="1" si="335"/>
        <v>152781.64186862556</v>
      </c>
      <c r="AS309" s="149">
        <f t="shared" ca="1" si="335"/>
        <v>152781.64186862556</v>
      </c>
      <c r="AT309" s="149">
        <f t="shared" ca="1" si="335"/>
        <v>152781.64186862556</v>
      </c>
      <c r="AU309" s="149">
        <f t="shared" ca="1" si="335"/>
        <v>152781.64186862556</v>
      </c>
      <c r="AV309" s="149">
        <f t="shared" ca="1" si="335"/>
        <v>152781.64186862556</v>
      </c>
      <c r="AW309" s="149">
        <f t="shared" ca="1" si="335"/>
        <v>152781.64186862556</v>
      </c>
      <c r="AX309" s="149">
        <f t="shared" ca="1" si="335"/>
        <v>152781.64186862556</v>
      </c>
      <c r="AY309" s="149">
        <f t="shared" ca="1" si="335"/>
        <v>152781.64186862556</v>
      </c>
      <c r="AZ309" s="149">
        <f t="shared" ca="1" si="335"/>
        <v>151857.45648293078</v>
      </c>
      <c r="BA309" s="149">
        <f t="shared" ca="1" si="335"/>
        <v>151857.45648293078</v>
      </c>
      <c r="BB309" s="149">
        <f t="shared" ca="1" si="335"/>
        <v>151857.45648293078</v>
      </c>
      <c r="BC309" s="149">
        <f t="shared" ca="1" si="335"/>
        <v>151857.45648293078</v>
      </c>
      <c r="BD309" s="149">
        <f t="shared" ca="1" si="335"/>
        <v>151857.45648293078</v>
      </c>
      <c r="BE309" s="149">
        <f t="shared" ca="1" si="335"/>
        <v>151857.45648293078</v>
      </c>
      <c r="BF309" s="149">
        <f t="shared" ca="1" si="335"/>
        <v>151857.45648293078</v>
      </c>
      <c r="BG309" s="149">
        <f t="shared" ca="1" si="335"/>
        <v>151857.45648293078</v>
      </c>
      <c r="BH309" s="149">
        <f t="shared" ca="1" si="335"/>
        <v>151857.45648293078</v>
      </c>
      <c r="BI309" s="149">
        <f t="shared" ca="1" si="335"/>
        <v>151857.45648293078</v>
      </c>
      <c r="BJ309" s="149">
        <f t="shared" ca="1" si="335"/>
        <v>151857.45648293078</v>
      </c>
      <c r="BK309" s="149">
        <f t="shared" ca="1" si="335"/>
        <v>151857.45648293078</v>
      </c>
      <c r="BL309" s="149">
        <f t="shared" ca="1" si="335"/>
        <v>151857.45648293078</v>
      </c>
      <c r="BM309" s="149">
        <f t="shared" ca="1" si="335"/>
        <v>151857.45648293078</v>
      </c>
      <c r="BN309" s="149"/>
      <c r="BO309" s="149"/>
      <c r="BP309" s="149">
        <f ca="1">IF($C$4=Year1,-PMT(Lookups!$E$17,25,NPV(Lookups!$E$17,AM309:BK309),0,1),IF($C$4=Year2,-PMT(Lookups!$F$17,25,NPV(Lookups!$F$17,AN309:BL309),0,1),IF($C$4=Year3,-PMT(Lookups!$G$17,25,NPV(Lookups!$G$17,AO309:BM309),0,1),-PMT(Lookups!$G$17,27,NPV(Lookups!$G$17,AM309:BM309),0,1))))</f>
        <v>151784.21520289057</v>
      </c>
      <c r="BS309" s="84" t="s">
        <v>239</v>
      </c>
      <c r="BT309" s="51" t="s">
        <v>17</v>
      </c>
    </row>
    <row r="310" spans="1:72" x14ac:dyDescent="0.25">
      <c r="B310" s="243" t="str">
        <f t="shared" si="324"/>
        <v>Large C&amp;I</v>
      </c>
      <c r="C310" s="243" t="str">
        <f t="shared" si="324"/>
        <v>Bills</v>
      </c>
      <c r="D310" s="244" t="str">
        <f t="shared" si="324"/>
        <v>Bills after DSM Scenario</v>
      </c>
      <c r="E310" s="84" t="s">
        <v>349</v>
      </c>
      <c r="F310" s="84" t="s">
        <v>32</v>
      </c>
      <c r="G310" s="103">
        <f ca="1">G301+(G302-G305)*(G294-G293)</f>
        <v>165202.42702818743</v>
      </c>
      <c r="H310" s="103">
        <f ca="1">H301+(H302-H305)*(H294-H293)</f>
        <v>140122.84091852012</v>
      </c>
      <c r="I310" s="103">
        <f t="shared" ref="I310:AG310" ca="1" si="336">I301+(I302-I305)*(I294-I293)</f>
        <v>140122.84091852012</v>
      </c>
      <c r="J310" s="103">
        <f t="shared" ca="1" si="336"/>
        <v>140122.84091852012</v>
      </c>
      <c r="K310" s="103">
        <f t="shared" ca="1" si="336"/>
        <v>140122.84091852012</v>
      </c>
      <c r="L310" s="103">
        <f t="shared" ca="1" si="336"/>
        <v>140122.84091852012</v>
      </c>
      <c r="M310" s="103">
        <f t="shared" ca="1" si="336"/>
        <v>140122.84091852012</v>
      </c>
      <c r="N310" s="103">
        <f t="shared" ca="1" si="336"/>
        <v>140122.84091852012</v>
      </c>
      <c r="O310" s="103">
        <f t="shared" ca="1" si="336"/>
        <v>140122.84091852012</v>
      </c>
      <c r="P310" s="103">
        <f t="shared" ca="1" si="336"/>
        <v>140122.84091852012</v>
      </c>
      <c r="Q310" s="103">
        <f t="shared" ca="1" si="336"/>
        <v>140122.84091852012</v>
      </c>
      <c r="R310" s="103">
        <f t="shared" ca="1" si="336"/>
        <v>140122.84091852012</v>
      </c>
      <c r="S310" s="103">
        <f ca="1">S301+(S302-S305)*(S294-S293)</f>
        <v>140122.84091852012</v>
      </c>
      <c r="T310" s="103">
        <f t="shared" ca="1" si="336"/>
        <v>151857.45648293078</v>
      </c>
      <c r="U310" s="103">
        <f t="shared" ca="1" si="336"/>
        <v>151857.45648293078</v>
      </c>
      <c r="V310" s="103">
        <f t="shared" ca="1" si="336"/>
        <v>151857.45648293078</v>
      </c>
      <c r="W310" s="103">
        <f t="shared" ca="1" si="336"/>
        <v>151857.45648293078</v>
      </c>
      <c r="X310" s="103">
        <f t="shared" ca="1" si="336"/>
        <v>151857.45648293078</v>
      </c>
      <c r="Y310" s="103">
        <f t="shared" ca="1" si="336"/>
        <v>151857.45648293078</v>
      </c>
      <c r="Z310" s="103">
        <f t="shared" ca="1" si="336"/>
        <v>151857.45648293078</v>
      </c>
      <c r="AA310" s="103">
        <f t="shared" ca="1" si="336"/>
        <v>151857.45648293078</v>
      </c>
      <c r="AB310" s="103">
        <f t="shared" ca="1" si="336"/>
        <v>151857.45648293078</v>
      </c>
      <c r="AC310" s="103">
        <f t="shared" ca="1" si="336"/>
        <v>151857.45648293078</v>
      </c>
      <c r="AD310" s="103">
        <f t="shared" ca="1" si="336"/>
        <v>151857.45648293078</v>
      </c>
      <c r="AE310" s="103">
        <f t="shared" ca="1" si="336"/>
        <v>151857.45648293078</v>
      </c>
      <c r="AF310" s="103">
        <f t="shared" ca="1" si="336"/>
        <v>151857.45648293078</v>
      </c>
      <c r="AG310" s="103">
        <f t="shared" ca="1" si="336"/>
        <v>151857.45648293078</v>
      </c>
      <c r="AH310" s="103"/>
      <c r="AI310" s="103"/>
      <c r="AJ310" s="103">
        <f ca="1">IF($C$4=Year1,-PMT(Lookups!$E$17,25,NPV(Lookups!$E$17,G310:AE310),0,1),IF($C$4=Year2,-PMT(Lookups!$F$17,25,NPV(Lookups!$F$17,H310:AF310),0,1),IF($C$4=Year3,-PMT(Lookups!$G$17,25,NPV(Lookups!$G$17,I310:AG310),0,1),-PMT(Lookups!$G$17,27,NPV(Lookups!$G$17,G310:AG310),0,1))))</f>
        <v>144382.88208869065</v>
      </c>
      <c r="AM310" s="149">
        <f ca="1">AM301+(AM302-AM305)*(AM294-AM293)</f>
        <v>168131.2694551755</v>
      </c>
      <c r="AN310" s="149">
        <f t="shared" ref="AN310:BM310" ca="1" si="337">AN301+(AN302-AN305)*(AN294-AN293)</f>
        <v>138445.79151225512</v>
      </c>
      <c r="AO310" s="149">
        <f t="shared" ca="1" si="337"/>
        <v>138445.79151225512</v>
      </c>
      <c r="AP310" s="149">
        <f t="shared" ca="1" si="337"/>
        <v>138445.79151225512</v>
      </c>
      <c r="AQ310" s="149">
        <f t="shared" ca="1" si="337"/>
        <v>138445.79151225512</v>
      </c>
      <c r="AR310" s="149">
        <f t="shared" ca="1" si="337"/>
        <v>138445.79151225512</v>
      </c>
      <c r="AS310" s="149">
        <f t="shared" ca="1" si="337"/>
        <v>138445.79151225512</v>
      </c>
      <c r="AT310" s="149">
        <f t="shared" ca="1" si="337"/>
        <v>138445.79151225512</v>
      </c>
      <c r="AU310" s="149">
        <f t="shared" ca="1" si="337"/>
        <v>138445.79151225512</v>
      </c>
      <c r="AV310" s="149">
        <f t="shared" ca="1" si="337"/>
        <v>138445.79151225512</v>
      </c>
      <c r="AW310" s="149">
        <f t="shared" ca="1" si="337"/>
        <v>138445.79151225512</v>
      </c>
      <c r="AX310" s="149">
        <f t="shared" ca="1" si="337"/>
        <v>138445.79151225512</v>
      </c>
      <c r="AY310" s="149">
        <f t="shared" ca="1" si="337"/>
        <v>138445.79151225512</v>
      </c>
      <c r="AZ310" s="149">
        <f t="shared" ca="1" si="337"/>
        <v>151857.45648293078</v>
      </c>
      <c r="BA310" s="149">
        <f t="shared" ca="1" si="337"/>
        <v>151857.45648293078</v>
      </c>
      <c r="BB310" s="149">
        <f t="shared" ca="1" si="337"/>
        <v>151857.45648293078</v>
      </c>
      <c r="BC310" s="149">
        <f t="shared" ca="1" si="337"/>
        <v>151857.45648293078</v>
      </c>
      <c r="BD310" s="149">
        <f t="shared" ca="1" si="337"/>
        <v>151857.45648293078</v>
      </c>
      <c r="BE310" s="149">
        <f t="shared" ca="1" si="337"/>
        <v>151857.45648293078</v>
      </c>
      <c r="BF310" s="149">
        <f t="shared" ca="1" si="337"/>
        <v>151857.45648293078</v>
      </c>
      <c r="BG310" s="149">
        <f t="shared" ca="1" si="337"/>
        <v>151857.45648293078</v>
      </c>
      <c r="BH310" s="149">
        <f t="shared" ca="1" si="337"/>
        <v>151857.45648293078</v>
      </c>
      <c r="BI310" s="149">
        <f t="shared" ca="1" si="337"/>
        <v>151857.45648293078</v>
      </c>
      <c r="BJ310" s="149">
        <f t="shared" ca="1" si="337"/>
        <v>151857.45648293078</v>
      </c>
      <c r="BK310" s="149">
        <f t="shared" ca="1" si="337"/>
        <v>151857.45648293078</v>
      </c>
      <c r="BL310" s="149">
        <f t="shared" ca="1" si="337"/>
        <v>151857.45648293078</v>
      </c>
      <c r="BM310" s="149">
        <f t="shared" ca="1" si="337"/>
        <v>151857.45648293078</v>
      </c>
      <c r="BN310" s="149"/>
      <c r="BO310" s="149"/>
      <c r="BP310" s="149">
        <f ca="1">IF($C$4=Year1,-PMT(Lookups!$E$17,25,NPV(Lookups!$E$17,AM310:BK310),0,1),IF($C$4=Year2,-PMT(Lookups!$F$17,25,NPV(Lookups!$F$17,AN310:BL310),0,1),IF($C$4=Year3,-PMT(Lookups!$G$17,25,NPV(Lookups!$G$17,AO310:BM310),0,1),-PMT(Lookups!$G$17,27,NPV(Lookups!$G$17,AM310:BM310),0,1))))</f>
        <v>143664.78619685091</v>
      </c>
      <c r="BS310" s="84" t="s">
        <v>240</v>
      </c>
      <c r="BT310" s="51" t="s">
        <v>17</v>
      </c>
    </row>
    <row r="311" spans="1:72" x14ac:dyDescent="0.25">
      <c r="B311" s="243" t="str">
        <f t="shared" si="324"/>
        <v>Large C&amp;I</v>
      </c>
      <c r="C311" s="243" t="str">
        <f t="shared" si="324"/>
        <v>Bills</v>
      </c>
      <c r="D311" s="244" t="str">
        <f t="shared" si="324"/>
        <v>Bills after DSM Scenario</v>
      </c>
      <c r="E311" s="84" t="str">
        <f>'EE Inputs'!$N$15&amp;" Participant Annual Bill"</f>
        <v>Low Savings Participant Annual Bill</v>
      </c>
      <c r="F311" s="84" t="s">
        <v>32</v>
      </c>
      <c r="G311" s="103">
        <f ca="1">G301+(G302-G306)*(G294-G293)</f>
        <v>171556.1884233781</v>
      </c>
      <c r="H311" s="103">
        <f ca="1">H301+(H302-H306)*(H294-H293)</f>
        <v>145458.35759025693</v>
      </c>
      <c r="I311" s="103">
        <f t="shared" ref="I311:AG311" ca="1" si="338">I301+(I302-I306)*(I294-I293)</f>
        <v>145458.35759025693</v>
      </c>
      <c r="J311" s="103">
        <f t="shared" ca="1" si="338"/>
        <v>145458.35759025693</v>
      </c>
      <c r="K311" s="103">
        <f t="shared" ca="1" si="338"/>
        <v>145458.35759025693</v>
      </c>
      <c r="L311" s="103">
        <f t="shared" ca="1" si="338"/>
        <v>145458.35759025693</v>
      </c>
      <c r="M311" s="103">
        <f t="shared" ca="1" si="338"/>
        <v>145458.35759025693</v>
      </c>
      <c r="N311" s="103">
        <f t="shared" ca="1" si="338"/>
        <v>145458.35759025693</v>
      </c>
      <c r="O311" s="103">
        <f t="shared" ca="1" si="338"/>
        <v>145458.35759025693</v>
      </c>
      <c r="P311" s="103">
        <f t="shared" ca="1" si="338"/>
        <v>145458.35759025693</v>
      </c>
      <c r="Q311" s="103">
        <f t="shared" ca="1" si="338"/>
        <v>145458.35759025693</v>
      </c>
      <c r="R311" s="103">
        <f t="shared" ca="1" si="338"/>
        <v>145458.35759025693</v>
      </c>
      <c r="S311" s="103">
        <f t="shared" ca="1" si="338"/>
        <v>145458.35759025693</v>
      </c>
      <c r="T311" s="103">
        <f t="shared" ca="1" si="338"/>
        <v>151857.45648293078</v>
      </c>
      <c r="U311" s="103">
        <f t="shared" ca="1" si="338"/>
        <v>151857.45648293078</v>
      </c>
      <c r="V311" s="103">
        <f t="shared" ca="1" si="338"/>
        <v>151857.45648293078</v>
      </c>
      <c r="W311" s="103">
        <f t="shared" ca="1" si="338"/>
        <v>151857.45648293078</v>
      </c>
      <c r="X311" s="103">
        <f t="shared" ca="1" si="338"/>
        <v>151857.45648293078</v>
      </c>
      <c r="Y311" s="103">
        <f t="shared" ca="1" si="338"/>
        <v>151857.45648293078</v>
      </c>
      <c r="Z311" s="103">
        <f t="shared" ca="1" si="338"/>
        <v>151857.45648293078</v>
      </c>
      <c r="AA311" s="103">
        <f t="shared" ca="1" si="338"/>
        <v>151857.45648293078</v>
      </c>
      <c r="AB311" s="103">
        <f t="shared" ca="1" si="338"/>
        <v>151857.45648293078</v>
      </c>
      <c r="AC311" s="103">
        <f t="shared" ca="1" si="338"/>
        <v>151857.45648293078</v>
      </c>
      <c r="AD311" s="103">
        <f t="shared" ca="1" si="338"/>
        <v>151857.45648293078</v>
      </c>
      <c r="AE311" s="103">
        <f t="shared" ca="1" si="338"/>
        <v>151857.45648293078</v>
      </c>
      <c r="AF311" s="103">
        <f t="shared" ca="1" si="338"/>
        <v>151857.45648293078</v>
      </c>
      <c r="AG311" s="103">
        <f t="shared" ca="1" si="338"/>
        <v>151857.45648293078</v>
      </c>
      <c r="AH311" s="103"/>
      <c r="AI311" s="103"/>
      <c r="AJ311" s="103">
        <f ca="1">IF($C$4=Year1,-PMT(Lookups!$E$17,25,NPV(Lookups!$E$17,G311:AE311),0,1),IF($C$4=Year2,-PMT(Lookups!$F$17,25,NPV(Lookups!$F$17,H311:AF311),0,1),IF($C$4=Year3,-PMT(Lookups!$G$17,25,NPV(Lookups!$G$17,I311:AG311),0,1),-PMT(Lookups!$G$17,27,NPV(Lookups!$G$17,G311:AG311),0,1))))</f>
        <v>147395.36240386963</v>
      </c>
      <c r="AM311" s="149">
        <f ca="1">AM301+(AM302-AM306)*(AM294-AM293)</f>
        <v>175124.95874572982</v>
      </c>
      <c r="AN311" s="149">
        <f t="shared" ref="AN311:BM311" ca="1" si="339">AN301+(AN302-AN306)*(AN294-AN293)</f>
        <v>144137.21855650804</v>
      </c>
      <c r="AO311" s="149">
        <f t="shared" ca="1" si="339"/>
        <v>144137.21855650804</v>
      </c>
      <c r="AP311" s="149">
        <f t="shared" ca="1" si="339"/>
        <v>144137.21855650804</v>
      </c>
      <c r="AQ311" s="149">
        <f t="shared" ca="1" si="339"/>
        <v>144137.21855650804</v>
      </c>
      <c r="AR311" s="149">
        <f t="shared" ca="1" si="339"/>
        <v>144137.21855650804</v>
      </c>
      <c r="AS311" s="149">
        <f t="shared" ca="1" si="339"/>
        <v>144137.21855650804</v>
      </c>
      <c r="AT311" s="149">
        <f t="shared" ca="1" si="339"/>
        <v>144137.21855650804</v>
      </c>
      <c r="AU311" s="149">
        <f t="shared" ca="1" si="339"/>
        <v>144137.21855650804</v>
      </c>
      <c r="AV311" s="149">
        <f t="shared" ca="1" si="339"/>
        <v>144137.21855650804</v>
      </c>
      <c r="AW311" s="149">
        <f t="shared" ca="1" si="339"/>
        <v>144137.21855650804</v>
      </c>
      <c r="AX311" s="149">
        <f t="shared" ca="1" si="339"/>
        <v>144137.21855650804</v>
      </c>
      <c r="AY311" s="149">
        <f t="shared" ca="1" si="339"/>
        <v>144137.21855650804</v>
      </c>
      <c r="AZ311" s="149">
        <f t="shared" ca="1" si="339"/>
        <v>151857.45648293078</v>
      </c>
      <c r="BA311" s="149">
        <f t="shared" ca="1" si="339"/>
        <v>151857.45648293078</v>
      </c>
      <c r="BB311" s="149">
        <f t="shared" ca="1" si="339"/>
        <v>151857.45648293078</v>
      </c>
      <c r="BC311" s="149">
        <f t="shared" ca="1" si="339"/>
        <v>151857.45648293078</v>
      </c>
      <c r="BD311" s="149">
        <f t="shared" ca="1" si="339"/>
        <v>151857.45648293078</v>
      </c>
      <c r="BE311" s="149">
        <f t="shared" ca="1" si="339"/>
        <v>151857.45648293078</v>
      </c>
      <c r="BF311" s="149">
        <f t="shared" ca="1" si="339"/>
        <v>151857.45648293078</v>
      </c>
      <c r="BG311" s="149">
        <f t="shared" ca="1" si="339"/>
        <v>151857.45648293078</v>
      </c>
      <c r="BH311" s="149">
        <f t="shared" ca="1" si="339"/>
        <v>151857.45648293078</v>
      </c>
      <c r="BI311" s="149">
        <f t="shared" ca="1" si="339"/>
        <v>151857.45648293078</v>
      </c>
      <c r="BJ311" s="149">
        <f t="shared" ca="1" si="339"/>
        <v>151857.45648293078</v>
      </c>
      <c r="BK311" s="149">
        <f t="shared" ca="1" si="339"/>
        <v>151857.45648293078</v>
      </c>
      <c r="BL311" s="149">
        <f t="shared" ca="1" si="339"/>
        <v>151857.45648293078</v>
      </c>
      <c r="BM311" s="149">
        <f t="shared" ca="1" si="339"/>
        <v>151857.45648293078</v>
      </c>
      <c r="BN311" s="149"/>
      <c r="BO311" s="149"/>
      <c r="BP311" s="149">
        <f ca="1">IF($C$4=Year1,-PMT(Lookups!$E$17,25,NPV(Lookups!$E$17,AM311:BK311),0,1),IF($C$4=Year2,-PMT(Lookups!$F$17,25,NPV(Lookups!$F$17,AN311:BL311),0,1),IF($C$4=Year3,-PMT(Lookups!$G$17,25,NPV(Lookups!$G$17,AO311:BM311),0,1),-PMT(Lookups!$G$17,27,NPV(Lookups!$G$17,AM311:BM311),0,1))))</f>
        <v>146888.25300768652</v>
      </c>
      <c r="BS311" s="84" t="s">
        <v>240</v>
      </c>
      <c r="BT311" s="51" t="s">
        <v>17</v>
      </c>
    </row>
    <row r="312" spans="1:72" x14ac:dyDescent="0.25">
      <c r="B312" s="243" t="str">
        <f t="shared" ref="B312:D322" si="340">B311</f>
        <v>Large C&amp;I</v>
      </c>
      <c r="C312" s="243" t="str">
        <f t="shared" si="340"/>
        <v>Bills</v>
      </c>
      <c r="D312" s="244" t="str">
        <f t="shared" si="340"/>
        <v>Bills after DSM Scenario</v>
      </c>
      <c r="E312" s="84" t="str">
        <f>'EE Inputs'!$N$16&amp;" Participant Annual Bill"</f>
        <v>High Savings Participant Annual Bill</v>
      </c>
      <c r="F312" s="84" t="s">
        <v>32</v>
      </c>
      <c r="G312" s="103">
        <f ca="1">G301+(G302-G307)*(G294-G293)</f>
        <v>162985.22692741081</v>
      </c>
      <c r="H312" s="103">
        <f ca="1">H301+(H302-H307)*(H294-H293)</f>
        <v>138260.96613813812</v>
      </c>
      <c r="I312" s="103">
        <f t="shared" ref="I312:AG312" ca="1" si="341">I301+(I302-I307)*(I294-I293)</f>
        <v>138260.96613813812</v>
      </c>
      <c r="J312" s="103">
        <f t="shared" ca="1" si="341"/>
        <v>138260.96613813812</v>
      </c>
      <c r="K312" s="103">
        <f t="shared" ca="1" si="341"/>
        <v>138260.96613813812</v>
      </c>
      <c r="L312" s="103">
        <f t="shared" ca="1" si="341"/>
        <v>138260.96613813812</v>
      </c>
      <c r="M312" s="103">
        <f t="shared" ca="1" si="341"/>
        <v>138260.96613813812</v>
      </c>
      <c r="N312" s="103">
        <f t="shared" ca="1" si="341"/>
        <v>138260.96613813812</v>
      </c>
      <c r="O312" s="103">
        <f t="shared" ca="1" si="341"/>
        <v>138260.96613813812</v>
      </c>
      <c r="P312" s="103">
        <f t="shared" ca="1" si="341"/>
        <v>138260.96613813812</v>
      </c>
      <c r="Q312" s="103">
        <f t="shared" ca="1" si="341"/>
        <v>138260.96613813812</v>
      </c>
      <c r="R312" s="103">
        <f t="shared" ca="1" si="341"/>
        <v>138260.96613813812</v>
      </c>
      <c r="S312" s="103">
        <f t="shared" ca="1" si="341"/>
        <v>138260.96613813812</v>
      </c>
      <c r="T312" s="103">
        <f t="shared" ca="1" si="341"/>
        <v>151857.45648293078</v>
      </c>
      <c r="U312" s="103">
        <f t="shared" ca="1" si="341"/>
        <v>151857.45648293078</v>
      </c>
      <c r="V312" s="103">
        <f t="shared" ca="1" si="341"/>
        <v>151857.45648293078</v>
      </c>
      <c r="W312" s="103">
        <f t="shared" ca="1" si="341"/>
        <v>151857.45648293078</v>
      </c>
      <c r="X312" s="103">
        <f t="shared" ca="1" si="341"/>
        <v>151857.45648293078</v>
      </c>
      <c r="Y312" s="103">
        <f t="shared" ca="1" si="341"/>
        <v>151857.45648293078</v>
      </c>
      <c r="Z312" s="103">
        <f t="shared" ca="1" si="341"/>
        <v>151857.45648293078</v>
      </c>
      <c r="AA312" s="103">
        <f t="shared" ca="1" si="341"/>
        <v>151857.45648293078</v>
      </c>
      <c r="AB312" s="103">
        <f t="shared" ca="1" si="341"/>
        <v>151857.45648293078</v>
      </c>
      <c r="AC312" s="103">
        <f t="shared" ca="1" si="341"/>
        <v>151857.45648293078</v>
      </c>
      <c r="AD312" s="103">
        <f t="shared" ca="1" si="341"/>
        <v>151857.45648293078</v>
      </c>
      <c r="AE312" s="103">
        <f t="shared" ca="1" si="341"/>
        <v>151857.45648293078</v>
      </c>
      <c r="AF312" s="103">
        <f t="shared" ca="1" si="341"/>
        <v>151857.45648293078</v>
      </c>
      <c r="AG312" s="103">
        <f t="shared" ca="1" si="341"/>
        <v>151857.45648293078</v>
      </c>
      <c r="AH312" s="103"/>
      <c r="AI312" s="103"/>
      <c r="AJ312" s="103">
        <f ca="1">IF($C$4=Year1,-PMT(Lookups!$E$17,25,NPV(Lookups!$E$17,G312:AE312),0,1),IF($C$4=Year2,-PMT(Lookups!$F$17,25,NPV(Lookups!$F$17,H312:AF312),0,1),IF($C$4=Year3,-PMT(Lookups!$G$17,25,NPV(Lookups!$G$17,I312:AG312),0,1),-PMT(Lookups!$G$17,27,NPV(Lookups!$G$17,G312:AG312),0,1))))</f>
        <v>143331.65097644611</v>
      </c>
      <c r="AM312" s="149">
        <f ca="1">AM301+(AM302-AM307)*(AM294-AM293)</f>
        <v>164502.59457047045</v>
      </c>
      <c r="AN312" s="149">
        <f t="shared" ref="AN312:BM312" ca="1" si="342">AN301+(AN302-AN307)*(AN294-AN293)</f>
        <v>135492.79524439049</v>
      </c>
      <c r="AO312" s="149">
        <f t="shared" ca="1" si="342"/>
        <v>135492.79524439049</v>
      </c>
      <c r="AP312" s="149">
        <f t="shared" ca="1" si="342"/>
        <v>135492.79524439049</v>
      </c>
      <c r="AQ312" s="149">
        <f t="shared" ca="1" si="342"/>
        <v>135492.79524439049</v>
      </c>
      <c r="AR312" s="149">
        <f t="shared" ca="1" si="342"/>
        <v>135492.79524439049</v>
      </c>
      <c r="AS312" s="149">
        <f t="shared" ca="1" si="342"/>
        <v>135492.79524439049</v>
      </c>
      <c r="AT312" s="149">
        <f t="shared" ca="1" si="342"/>
        <v>135492.79524439049</v>
      </c>
      <c r="AU312" s="149">
        <f t="shared" ca="1" si="342"/>
        <v>135492.79524439049</v>
      </c>
      <c r="AV312" s="149">
        <f t="shared" ca="1" si="342"/>
        <v>135492.79524439049</v>
      </c>
      <c r="AW312" s="149">
        <f t="shared" ca="1" si="342"/>
        <v>135492.79524439049</v>
      </c>
      <c r="AX312" s="149">
        <f t="shared" ca="1" si="342"/>
        <v>135492.79524439049</v>
      </c>
      <c r="AY312" s="149">
        <f t="shared" ca="1" si="342"/>
        <v>135492.79524439049</v>
      </c>
      <c r="AZ312" s="149">
        <f t="shared" ca="1" si="342"/>
        <v>151857.45648293078</v>
      </c>
      <c r="BA312" s="149">
        <f t="shared" ca="1" si="342"/>
        <v>151857.45648293078</v>
      </c>
      <c r="BB312" s="149">
        <f t="shared" ca="1" si="342"/>
        <v>151857.45648293078</v>
      </c>
      <c r="BC312" s="149">
        <f t="shared" ca="1" si="342"/>
        <v>151857.45648293078</v>
      </c>
      <c r="BD312" s="149">
        <f t="shared" ca="1" si="342"/>
        <v>151857.45648293078</v>
      </c>
      <c r="BE312" s="149">
        <f t="shared" ca="1" si="342"/>
        <v>151857.45648293078</v>
      </c>
      <c r="BF312" s="149">
        <f t="shared" ca="1" si="342"/>
        <v>151857.45648293078</v>
      </c>
      <c r="BG312" s="149">
        <f t="shared" ca="1" si="342"/>
        <v>151857.45648293078</v>
      </c>
      <c r="BH312" s="149">
        <f t="shared" ca="1" si="342"/>
        <v>151857.45648293078</v>
      </c>
      <c r="BI312" s="149">
        <f t="shared" ca="1" si="342"/>
        <v>151857.45648293078</v>
      </c>
      <c r="BJ312" s="149">
        <f t="shared" ca="1" si="342"/>
        <v>151857.45648293078</v>
      </c>
      <c r="BK312" s="149">
        <f t="shared" ca="1" si="342"/>
        <v>151857.45648293078</v>
      </c>
      <c r="BL312" s="149">
        <f t="shared" ca="1" si="342"/>
        <v>151857.45648293078</v>
      </c>
      <c r="BM312" s="149">
        <f t="shared" ca="1" si="342"/>
        <v>151857.45648293078</v>
      </c>
      <c r="BN312" s="149"/>
      <c r="BO312" s="149"/>
      <c r="BP312" s="149">
        <f ca="1">IF($C$4=Year1,-PMT(Lookups!$E$17,25,NPV(Lookups!$E$17,AM312:BK312),0,1),IF($C$4=Year2,-PMT(Lookups!$F$17,25,NPV(Lookups!$F$17,AN312:BL312),0,1),IF($C$4=Year3,-PMT(Lookups!$G$17,25,NPV(Lookups!$G$17,AO312:BM312),0,1),-PMT(Lookups!$G$17,27,NPV(Lookups!$G$17,AM312:BM312),0,1))))</f>
        <v>141992.29081248242</v>
      </c>
      <c r="BS312" s="84" t="s">
        <v>240</v>
      </c>
      <c r="BT312" s="51" t="s">
        <v>17</v>
      </c>
    </row>
    <row r="313" spans="1:72" x14ac:dyDescent="0.25">
      <c r="B313" s="243" t="str">
        <f t="shared" si="340"/>
        <v>Large C&amp;I</v>
      </c>
      <c r="C313" s="243" t="str">
        <f t="shared" si="340"/>
        <v>Bills</v>
      </c>
      <c r="D313" s="114" t="s">
        <v>115</v>
      </c>
      <c r="E313" s="84"/>
      <c r="F313" s="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49"/>
      <c r="AI313" s="184"/>
      <c r="AJ313" s="49"/>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S313" s="84"/>
      <c r="BT313" s="51" t="s">
        <v>17</v>
      </c>
    </row>
    <row r="314" spans="1:72" x14ac:dyDescent="0.25">
      <c r="B314" s="243" t="str">
        <f t="shared" si="340"/>
        <v>Large C&amp;I</v>
      </c>
      <c r="C314" s="243" t="str">
        <f t="shared" si="340"/>
        <v>Bills</v>
      </c>
      <c r="D314" s="244" t="str">
        <f t="shared" si="340"/>
        <v>Change in Bills</v>
      </c>
      <c r="E314" s="84" t="s">
        <v>348</v>
      </c>
      <c r="F314" s="84" t="s">
        <v>32</v>
      </c>
      <c r="G314" s="103">
        <f ca="1">G309-G303</f>
        <v>28269.693436414585</v>
      </c>
      <c r="H314" s="103">
        <f t="shared" ref="H314:AG314" ca="1" si="343">H309-H303</f>
        <v>798.29255944493343</v>
      </c>
      <c r="I314" s="103">
        <f t="shared" ca="1" si="343"/>
        <v>798.29255944493343</v>
      </c>
      <c r="J314" s="103">
        <f t="shared" ca="1" si="343"/>
        <v>798.29255944493343</v>
      </c>
      <c r="K314" s="103">
        <f t="shared" ca="1" si="343"/>
        <v>798.29255944493343</v>
      </c>
      <c r="L314" s="103">
        <f t="shared" ca="1" si="343"/>
        <v>798.29255944493343</v>
      </c>
      <c r="M314" s="103">
        <f t="shared" ca="1" si="343"/>
        <v>798.29255944493343</v>
      </c>
      <c r="N314" s="103">
        <f t="shared" ca="1" si="343"/>
        <v>798.29255944493343</v>
      </c>
      <c r="O314" s="103">
        <f t="shared" ca="1" si="343"/>
        <v>798.29255944493343</v>
      </c>
      <c r="P314" s="103">
        <f t="shared" ca="1" si="343"/>
        <v>798.29255944493343</v>
      </c>
      <c r="Q314" s="103">
        <f t="shared" ca="1" si="343"/>
        <v>798.29255944493343</v>
      </c>
      <c r="R314" s="103">
        <f t="shared" ca="1" si="343"/>
        <v>798.29255944493343</v>
      </c>
      <c r="S314" s="103">
        <f t="shared" ca="1" si="343"/>
        <v>798.29255944493343</v>
      </c>
      <c r="T314" s="103">
        <f t="shared" ca="1" si="343"/>
        <v>0</v>
      </c>
      <c r="U314" s="103">
        <f t="shared" ca="1" si="343"/>
        <v>0</v>
      </c>
      <c r="V314" s="103">
        <f t="shared" ca="1" si="343"/>
        <v>0</v>
      </c>
      <c r="W314" s="103">
        <f t="shared" ca="1" si="343"/>
        <v>0</v>
      </c>
      <c r="X314" s="103">
        <f t="shared" ca="1" si="343"/>
        <v>0</v>
      </c>
      <c r="Y314" s="103">
        <f t="shared" ca="1" si="343"/>
        <v>0</v>
      </c>
      <c r="Z314" s="103">
        <f t="shared" ca="1" si="343"/>
        <v>0</v>
      </c>
      <c r="AA314" s="103">
        <f t="shared" ca="1" si="343"/>
        <v>0</v>
      </c>
      <c r="AB314" s="103">
        <f t="shared" ca="1" si="343"/>
        <v>0</v>
      </c>
      <c r="AC314" s="103">
        <f t="shared" ca="1" si="343"/>
        <v>0</v>
      </c>
      <c r="AD314" s="103">
        <f t="shared" ca="1" si="343"/>
        <v>0</v>
      </c>
      <c r="AE314" s="103">
        <f t="shared" ca="1" si="343"/>
        <v>0</v>
      </c>
      <c r="AF314" s="103">
        <f t="shared" ca="1" si="343"/>
        <v>0</v>
      </c>
      <c r="AG314" s="103">
        <f t="shared" ca="1" si="343"/>
        <v>0</v>
      </c>
      <c r="AH314" s="103"/>
      <c r="AI314" s="103">
        <f ca="1">NPV(Lookups!$E$17,G314:AG314)</f>
        <v>36507.325127724798</v>
      </c>
      <c r="AJ314" s="103">
        <f ca="1">IF($C$4=Year1,-PMT(Lookups!$E$17,25,NPV(Lookups!$E$17,G314:AE314),0,1),IF($C$4=Year2,-PMT(Lookups!$F$17,25,NPV(Lookups!$F$17,H314:AF314),0,1),IF($C$4=Year3,-PMT(Lookups!$G$17,25,NPV(Lookups!$G$17,I314:AG314),0,1),-PMT(Lookups!$G$17,27,NPV(Lookups!$G$17,G314:AG314),0,1))))</f>
        <v>1719.5324799403224</v>
      </c>
      <c r="AM314" s="149">
        <f ca="1">AM309-AM303</f>
        <v>33889.86643805838</v>
      </c>
      <c r="AN314" s="149">
        <f t="shared" ref="AN314:BM314" ca="1" si="344">AN309-AN303</f>
        <v>924.18538569478551</v>
      </c>
      <c r="AO314" s="149">
        <f t="shared" ca="1" si="344"/>
        <v>924.18538569478551</v>
      </c>
      <c r="AP314" s="149">
        <f t="shared" ca="1" si="344"/>
        <v>924.18538569478551</v>
      </c>
      <c r="AQ314" s="149">
        <f t="shared" ca="1" si="344"/>
        <v>924.18538569478551</v>
      </c>
      <c r="AR314" s="149">
        <f t="shared" ca="1" si="344"/>
        <v>924.18538569478551</v>
      </c>
      <c r="AS314" s="149">
        <f t="shared" ca="1" si="344"/>
        <v>924.18538569478551</v>
      </c>
      <c r="AT314" s="149">
        <f t="shared" ca="1" si="344"/>
        <v>924.18538569478551</v>
      </c>
      <c r="AU314" s="149">
        <f t="shared" ca="1" si="344"/>
        <v>924.18538569478551</v>
      </c>
      <c r="AV314" s="149">
        <f t="shared" ca="1" si="344"/>
        <v>924.18538569478551</v>
      </c>
      <c r="AW314" s="149">
        <f t="shared" ca="1" si="344"/>
        <v>924.18538569478551</v>
      </c>
      <c r="AX314" s="149">
        <f t="shared" ca="1" si="344"/>
        <v>924.18538569478551</v>
      </c>
      <c r="AY314" s="149">
        <f t="shared" ca="1" si="344"/>
        <v>924.18538569478551</v>
      </c>
      <c r="AZ314" s="149">
        <f t="shared" ca="1" si="344"/>
        <v>0</v>
      </c>
      <c r="BA314" s="149">
        <f t="shared" ca="1" si="344"/>
        <v>0</v>
      </c>
      <c r="BB314" s="149">
        <f t="shared" ca="1" si="344"/>
        <v>0</v>
      </c>
      <c r="BC314" s="149">
        <f t="shared" ca="1" si="344"/>
        <v>0</v>
      </c>
      <c r="BD314" s="149">
        <f t="shared" ca="1" si="344"/>
        <v>0</v>
      </c>
      <c r="BE314" s="149">
        <f t="shared" ca="1" si="344"/>
        <v>0</v>
      </c>
      <c r="BF314" s="149">
        <f t="shared" ca="1" si="344"/>
        <v>0</v>
      </c>
      <c r="BG314" s="149">
        <f t="shared" ca="1" si="344"/>
        <v>0</v>
      </c>
      <c r="BH314" s="149">
        <f t="shared" ca="1" si="344"/>
        <v>0</v>
      </c>
      <c r="BI314" s="149">
        <f t="shared" ca="1" si="344"/>
        <v>0</v>
      </c>
      <c r="BJ314" s="149">
        <f t="shared" ca="1" si="344"/>
        <v>0</v>
      </c>
      <c r="BK314" s="149">
        <f t="shared" ca="1" si="344"/>
        <v>0</v>
      </c>
      <c r="BL314" s="149">
        <f t="shared" ca="1" si="344"/>
        <v>0</v>
      </c>
      <c r="BM314" s="149">
        <f t="shared" ca="1" si="344"/>
        <v>0</v>
      </c>
      <c r="BN314" s="149"/>
      <c r="BO314" s="726">
        <f ca="1">NPV(Lookups!$E$17,AM314:BM314)</f>
        <v>43410.388549820185</v>
      </c>
      <c r="BP314" s="149">
        <f ca="1">IF($C$4=Year1,-PMT(Lookups!$E$17,25,NPV(Lookups!$E$17,AM314:BK314),0,1),IF($C$4=Year2,-PMT(Lookups!$F$17,25,NPV(Lookups!$F$17,AN314:BL314),0,1),IF($C$4=Year3,-PMT(Lookups!$G$17,25,NPV(Lookups!$G$17,AO314:BM314),0,1),-PMT(Lookups!$G$17,27,NPV(Lookups!$G$17,AM314:BM314),0,1))))</f>
        <v>2044.6738515377319</v>
      </c>
      <c r="BS314" s="84" t="s">
        <v>241</v>
      </c>
      <c r="BT314" s="51" t="s">
        <v>17</v>
      </c>
    </row>
    <row r="315" spans="1:72" x14ac:dyDescent="0.25">
      <c r="B315" s="243" t="str">
        <f t="shared" si="340"/>
        <v>Large C&amp;I</v>
      </c>
      <c r="C315" s="243" t="str">
        <f t="shared" si="340"/>
        <v>Bills</v>
      </c>
      <c r="D315" s="244" t="str">
        <f t="shared" si="340"/>
        <v>Change in Bills</v>
      </c>
      <c r="E315" s="84" t="s">
        <v>348</v>
      </c>
      <c r="F315" s="84" t="s">
        <v>16</v>
      </c>
      <c r="G315" s="223">
        <f ca="1">IFERROR(G309/G303-1,0)</f>
        <v>0.18615940297664735</v>
      </c>
      <c r="H315" s="223">
        <f t="shared" ref="H315:AG315" ca="1" si="345">IFERROR(H309/H303-1,0)</f>
        <v>5.2568545393401056E-3</v>
      </c>
      <c r="I315" s="223">
        <f t="shared" ca="1" si="345"/>
        <v>5.2568545393401056E-3</v>
      </c>
      <c r="J315" s="223">
        <f t="shared" ca="1" si="345"/>
        <v>5.2568545393401056E-3</v>
      </c>
      <c r="K315" s="223">
        <f t="shared" ca="1" si="345"/>
        <v>5.2568545393401056E-3</v>
      </c>
      <c r="L315" s="223">
        <f t="shared" ca="1" si="345"/>
        <v>5.2568545393401056E-3</v>
      </c>
      <c r="M315" s="223">
        <f t="shared" ca="1" si="345"/>
        <v>5.2568545393401056E-3</v>
      </c>
      <c r="N315" s="223">
        <f t="shared" ca="1" si="345"/>
        <v>5.2568545393401056E-3</v>
      </c>
      <c r="O315" s="223">
        <f t="shared" ca="1" si="345"/>
        <v>5.2568545393401056E-3</v>
      </c>
      <c r="P315" s="223">
        <f t="shared" ca="1" si="345"/>
        <v>5.2568545393401056E-3</v>
      </c>
      <c r="Q315" s="223">
        <f t="shared" ca="1" si="345"/>
        <v>5.2568545393401056E-3</v>
      </c>
      <c r="R315" s="223">
        <f t="shared" ca="1" si="345"/>
        <v>5.2568545393401056E-3</v>
      </c>
      <c r="S315" s="224">
        <f t="shared" ca="1" si="345"/>
        <v>5.2568545393401056E-3</v>
      </c>
      <c r="T315" s="224">
        <f t="shared" ca="1" si="345"/>
        <v>0</v>
      </c>
      <c r="U315" s="224">
        <f t="shared" ca="1" si="345"/>
        <v>0</v>
      </c>
      <c r="V315" s="224">
        <f t="shared" ca="1" si="345"/>
        <v>0</v>
      </c>
      <c r="W315" s="224">
        <f t="shared" ca="1" si="345"/>
        <v>0</v>
      </c>
      <c r="X315" s="224">
        <f t="shared" ca="1" si="345"/>
        <v>0</v>
      </c>
      <c r="Y315" s="224">
        <f t="shared" ca="1" si="345"/>
        <v>0</v>
      </c>
      <c r="Z315" s="224">
        <f t="shared" ca="1" si="345"/>
        <v>0</v>
      </c>
      <c r="AA315" s="224">
        <f t="shared" ca="1" si="345"/>
        <v>0</v>
      </c>
      <c r="AB315" s="224">
        <f t="shared" ca="1" si="345"/>
        <v>0</v>
      </c>
      <c r="AC315" s="224">
        <f t="shared" ca="1" si="345"/>
        <v>0</v>
      </c>
      <c r="AD315" s="224">
        <f t="shared" ca="1" si="345"/>
        <v>0</v>
      </c>
      <c r="AE315" s="224">
        <f t="shared" ca="1" si="345"/>
        <v>0</v>
      </c>
      <c r="AF315" s="224">
        <f t="shared" ca="1" si="345"/>
        <v>0</v>
      </c>
      <c r="AG315" s="224">
        <f t="shared" ca="1" si="345"/>
        <v>0</v>
      </c>
      <c r="AH315" s="224"/>
      <c r="AI315" s="224"/>
      <c r="AJ315" s="224">
        <f ca="1">IFERROR(AJ309/AJ303-1,0)</f>
        <v>1.1483489694319227E-2</v>
      </c>
      <c r="AK315" s="212"/>
      <c r="AL315" s="212"/>
      <c r="AM315" s="504">
        <f ca="1">IFERROR(AM309/AM303-1,0)</f>
        <v>0.22316893238540247</v>
      </c>
      <c r="AN315" s="504">
        <f t="shared" ref="AN315:BM315" ca="1" si="346">IFERROR(AN309/AN303-1,0)</f>
        <v>6.0858742606337835E-3</v>
      </c>
      <c r="AO315" s="504">
        <f t="shared" ca="1" si="346"/>
        <v>6.0858742606337835E-3</v>
      </c>
      <c r="AP315" s="504">
        <f t="shared" ca="1" si="346"/>
        <v>6.0858742606337835E-3</v>
      </c>
      <c r="AQ315" s="504">
        <f t="shared" ca="1" si="346"/>
        <v>6.0858742606337835E-3</v>
      </c>
      <c r="AR315" s="504">
        <f t="shared" ca="1" si="346"/>
        <v>6.0858742606337835E-3</v>
      </c>
      <c r="AS315" s="504">
        <f t="shared" ca="1" si="346"/>
        <v>6.0858742606337835E-3</v>
      </c>
      <c r="AT315" s="504">
        <f t="shared" ca="1" si="346"/>
        <v>6.0858742606337835E-3</v>
      </c>
      <c r="AU315" s="504">
        <f t="shared" ca="1" si="346"/>
        <v>6.0858742606337835E-3</v>
      </c>
      <c r="AV315" s="504">
        <f t="shared" ca="1" si="346"/>
        <v>6.0858742606337835E-3</v>
      </c>
      <c r="AW315" s="504">
        <f t="shared" ca="1" si="346"/>
        <v>6.0858742606337835E-3</v>
      </c>
      <c r="AX315" s="504">
        <f t="shared" ca="1" si="346"/>
        <v>6.0858742606337835E-3</v>
      </c>
      <c r="AY315" s="504">
        <f t="shared" ca="1" si="346"/>
        <v>6.0858742606337835E-3</v>
      </c>
      <c r="AZ315" s="504">
        <f t="shared" ca="1" si="346"/>
        <v>0</v>
      </c>
      <c r="BA315" s="504">
        <f t="shared" ca="1" si="346"/>
        <v>0</v>
      </c>
      <c r="BB315" s="504">
        <f t="shared" ca="1" si="346"/>
        <v>0</v>
      </c>
      <c r="BC315" s="504">
        <f t="shared" ca="1" si="346"/>
        <v>0</v>
      </c>
      <c r="BD315" s="504">
        <f t="shared" ca="1" si="346"/>
        <v>0</v>
      </c>
      <c r="BE315" s="504">
        <f t="shared" ca="1" si="346"/>
        <v>0</v>
      </c>
      <c r="BF315" s="504">
        <f t="shared" ca="1" si="346"/>
        <v>0</v>
      </c>
      <c r="BG315" s="504">
        <f t="shared" ca="1" si="346"/>
        <v>0</v>
      </c>
      <c r="BH315" s="504">
        <f t="shared" ca="1" si="346"/>
        <v>0</v>
      </c>
      <c r="BI315" s="504">
        <f t="shared" ca="1" si="346"/>
        <v>0</v>
      </c>
      <c r="BJ315" s="504">
        <f t="shared" ca="1" si="346"/>
        <v>0</v>
      </c>
      <c r="BK315" s="504">
        <f t="shared" ca="1" si="346"/>
        <v>0</v>
      </c>
      <c r="BL315" s="504">
        <f t="shared" ca="1" si="346"/>
        <v>0</v>
      </c>
      <c r="BM315" s="504">
        <f t="shared" ca="1" si="346"/>
        <v>0</v>
      </c>
      <c r="BN315" s="504"/>
      <c r="BO315" s="504"/>
      <c r="BP315" s="504">
        <f ca="1">IFERROR(BP309/BP303-1,0)</f>
        <v>1.3654869202117004E-2</v>
      </c>
      <c r="BS315" s="84" t="s">
        <v>242</v>
      </c>
      <c r="BT315" s="51" t="s">
        <v>17</v>
      </c>
    </row>
    <row r="316" spans="1:72" x14ac:dyDescent="0.25">
      <c r="B316" s="243" t="str">
        <f t="shared" si="340"/>
        <v>Large C&amp;I</v>
      </c>
      <c r="C316" s="243" t="str">
        <f t="shared" si="340"/>
        <v>Bills</v>
      </c>
      <c r="D316" s="244" t="str">
        <f t="shared" si="340"/>
        <v>Change in Bills</v>
      </c>
      <c r="E316" s="84" t="s">
        <v>349</v>
      </c>
      <c r="F316" s="84" t="s">
        <v>32</v>
      </c>
      <c r="G316" s="103">
        <f ca="1">G310-G303</f>
        <v>13344.970545256656</v>
      </c>
      <c r="H316" s="103">
        <f t="shared" ref="H316:AG316" ca="1" si="347">H310-H303</f>
        <v>-11734.615564410662</v>
      </c>
      <c r="I316" s="103">
        <f t="shared" ca="1" si="347"/>
        <v>-11734.615564410662</v>
      </c>
      <c r="J316" s="103">
        <f t="shared" ca="1" si="347"/>
        <v>-11734.615564410662</v>
      </c>
      <c r="K316" s="103">
        <f t="shared" ca="1" si="347"/>
        <v>-11734.615564410662</v>
      </c>
      <c r="L316" s="103">
        <f t="shared" ca="1" si="347"/>
        <v>-11734.615564410662</v>
      </c>
      <c r="M316" s="103">
        <f t="shared" ca="1" si="347"/>
        <v>-11734.615564410662</v>
      </c>
      <c r="N316" s="103">
        <f t="shared" ca="1" si="347"/>
        <v>-11734.615564410662</v>
      </c>
      <c r="O316" s="103">
        <f t="shared" ca="1" si="347"/>
        <v>-11734.615564410662</v>
      </c>
      <c r="P316" s="103">
        <f t="shared" ca="1" si="347"/>
        <v>-11734.615564410662</v>
      </c>
      <c r="Q316" s="103">
        <f t="shared" ca="1" si="347"/>
        <v>-11734.615564410662</v>
      </c>
      <c r="R316" s="103">
        <f t="shared" ca="1" si="347"/>
        <v>-11734.615564410662</v>
      </c>
      <c r="S316" s="103">
        <f t="shared" ca="1" si="347"/>
        <v>-11734.615564410662</v>
      </c>
      <c r="T316" s="103">
        <f t="shared" ca="1" si="347"/>
        <v>0</v>
      </c>
      <c r="U316" s="103">
        <f t="shared" ca="1" si="347"/>
        <v>0</v>
      </c>
      <c r="V316" s="103">
        <f t="shared" ca="1" si="347"/>
        <v>0</v>
      </c>
      <c r="W316" s="103">
        <f t="shared" ca="1" si="347"/>
        <v>0</v>
      </c>
      <c r="X316" s="103">
        <f t="shared" ca="1" si="347"/>
        <v>0</v>
      </c>
      <c r="Y316" s="103">
        <f t="shared" ca="1" si="347"/>
        <v>0</v>
      </c>
      <c r="Z316" s="103">
        <f t="shared" ca="1" si="347"/>
        <v>0</v>
      </c>
      <c r="AA316" s="103">
        <f t="shared" ca="1" si="347"/>
        <v>0</v>
      </c>
      <c r="AB316" s="103">
        <f t="shared" ca="1" si="347"/>
        <v>0</v>
      </c>
      <c r="AC316" s="103">
        <f t="shared" ca="1" si="347"/>
        <v>0</v>
      </c>
      <c r="AD316" s="103">
        <f t="shared" ca="1" si="347"/>
        <v>0</v>
      </c>
      <c r="AE316" s="103">
        <f t="shared" ca="1" si="347"/>
        <v>0</v>
      </c>
      <c r="AF316" s="103">
        <f t="shared" ca="1" si="347"/>
        <v>0</v>
      </c>
      <c r="AG316" s="103">
        <f t="shared" ca="1" si="347"/>
        <v>0</v>
      </c>
      <c r="AH316" s="103"/>
      <c r="AI316" s="103">
        <f ca="1">NPV(Lookups!$E$17,G316:AG316)</f>
        <v>-113727.01800156447</v>
      </c>
      <c r="AJ316" s="103">
        <f ca="1">IF($C$4=Year1,-PMT(Lookups!$E$17,25,NPV(Lookups!$E$17,G316:AE316),0,1),IF($C$4=Year2,-PMT(Lookups!$F$17,25,NPV(Lookups!$F$17,H316:AF316),0,1),IF($C$4=Year3,-PMT(Lookups!$G$17,25,NPV(Lookups!$G$17,I316:AG316),0,1),-PMT(Lookups!$G$17,27,NPV(Lookups!$G$17,G316:AG316),0,1))))</f>
        <v>-5356.6592626622096</v>
      </c>
      <c r="AM316" s="149">
        <f ca="1">AM310-AM303</f>
        <v>16273.812972244719</v>
      </c>
      <c r="AN316" s="149">
        <f t="shared" ref="AN316:BM316" ca="1" si="348">AN310-AN303</f>
        <v>-13411.664970675658</v>
      </c>
      <c r="AO316" s="149">
        <f t="shared" ca="1" si="348"/>
        <v>-13411.664970675658</v>
      </c>
      <c r="AP316" s="149">
        <f t="shared" ca="1" si="348"/>
        <v>-13411.664970675658</v>
      </c>
      <c r="AQ316" s="149">
        <f t="shared" ca="1" si="348"/>
        <v>-13411.664970675658</v>
      </c>
      <c r="AR316" s="149">
        <f t="shared" ca="1" si="348"/>
        <v>-13411.664970675658</v>
      </c>
      <c r="AS316" s="149">
        <f t="shared" ca="1" si="348"/>
        <v>-13411.664970675658</v>
      </c>
      <c r="AT316" s="149">
        <f t="shared" ca="1" si="348"/>
        <v>-13411.664970675658</v>
      </c>
      <c r="AU316" s="149">
        <f t="shared" ca="1" si="348"/>
        <v>-13411.664970675658</v>
      </c>
      <c r="AV316" s="149">
        <f t="shared" ca="1" si="348"/>
        <v>-13411.664970675658</v>
      </c>
      <c r="AW316" s="149">
        <f t="shared" ca="1" si="348"/>
        <v>-13411.664970675658</v>
      </c>
      <c r="AX316" s="149">
        <f t="shared" ca="1" si="348"/>
        <v>-13411.664970675658</v>
      </c>
      <c r="AY316" s="149">
        <f t="shared" ca="1" si="348"/>
        <v>-13411.664970675658</v>
      </c>
      <c r="AZ316" s="149">
        <f t="shared" ca="1" si="348"/>
        <v>0</v>
      </c>
      <c r="BA316" s="149">
        <f t="shared" ca="1" si="348"/>
        <v>0</v>
      </c>
      <c r="BB316" s="149">
        <f t="shared" ca="1" si="348"/>
        <v>0</v>
      </c>
      <c r="BC316" s="149">
        <f t="shared" ca="1" si="348"/>
        <v>0</v>
      </c>
      <c r="BD316" s="149">
        <f t="shared" ca="1" si="348"/>
        <v>0</v>
      </c>
      <c r="BE316" s="149">
        <f t="shared" ca="1" si="348"/>
        <v>0</v>
      </c>
      <c r="BF316" s="149">
        <f t="shared" ca="1" si="348"/>
        <v>0</v>
      </c>
      <c r="BG316" s="149">
        <f t="shared" ca="1" si="348"/>
        <v>0</v>
      </c>
      <c r="BH316" s="149">
        <f t="shared" ca="1" si="348"/>
        <v>0</v>
      </c>
      <c r="BI316" s="149">
        <f t="shared" ca="1" si="348"/>
        <v>0</v>
      </c>
      <c r="BJ316" s="149">
        <f t="shared" ca="1" si="348"/>
        <v>0</v>
      </c>
      <c r="BK316" s="149">
        <f t="shared" ca="1" si="348"/>
        <v>0</v>
      </c>
      <c r="BL316" s="149">
        <f t="shared" ca="1" si="348"/>
        <v>0</v>
      </c>
      <c r="BM316" s="149">
        <f t="shared" ca="1" si="348"/>
        <v>0</v>
      </c>
      <c r="BN316" s="149"/>
      <c r="BO316" s="149">
        <f ca="1">NPV(Lookups!$E$17,AM316:BM316)</f>
        <v>-128972.88308530244</v>
      </c>
      <c r="BP316" s="149">
        <f ca="1">IF($C$4=Year1,-PMT(Lookups!$E$17,25,NPV(Lookups!$E$17,AM316:BK316),0,1),IF($C$4=Year2,-PMT(Lookups!$F$17,25,NPV(Lookups!$F$17,AN316:BL316),0,1),IF($C$4=Year3,-PMT(Lookups!$G$17,25,NPV(Lookups!$G$17,AO316:BM316),0,1),-PMT(Lookups!$G$17,27,NPV(Lookups!$G$17,AM316:BM316),0,1))))</f>
        <v>-6074.7551545019114</v>
      </c>
      <c r="BS316" s="84" t="s">
        <v>241</v>
      </c>
      <c r="BT316" s="51" t="s">
        <v>17</v>
      </c>
    </row>
    <row r="317" spans="1:72" x14ac:dyDescent="0.25">
      <c r="B317" s="243" t="str">
        <f t="shared" si="340"/>
        <v>Large C&amp;I</v>
      </c>
      <c r="C317" s="243" t="str">
        <f t="shared" si="340"/>
        <v>Bills</v>
      </c>
      <c r="D317" s="244" t="str">
        <f t="shared" si="340"/>
        <v>Change in Bills</v>
      </c>
      <c r="E317" s="84" t="s">
        <v>349</v>
      </c>
      <c r="F317" s="84" t="s">
        <v>16</v>
      </c>
      <c r="G317" s="223">
        <f ca="1">IFERROR(G310/G303-1,0)</f>
        <v>8.7878269887634142E-2</v>
      </c>
      <c r="H317" s="223">
        <f t="shared" ref="H317:AG317" ca="1" si="349">IFERROR(H310/H303-1,0)</f>
        <v>-7.7273884576946505E-2</v>
      </c>
      <c r="I317" s="223">
        <f t="shared" ca="1" si="349"/>
        <v>-7.7273884576946505E-2</v>
      </c>
      <c r="J317" s="223">
        <f t="shared" ca="1" si="349"/>
        <v>-7.7273884576946505E-2</v>
      </c>
      <c r="K317" s="223">
        <f t="shared" ca="1" si="349"/>
        <v>-7.7273884576946505E-2</v>
      </c>
      <c r="L317" s="223">
        <f t="shared" ca="1" si="349"/>
        <v>-7.7273884576946505E-2</v>
      </c>
      <c r="M317" s="223">
        <f t="shared" ca="1" si="349"/>
        <v>-7.7273884576946505E-2</v>
      </c>
      <c r="N317" s="223">
        <f t="shared" ca="1" si="349"/>
        <v>-7.7273884576946505E-2</v>
      </c>
      <c r="O317" s="223">
        <f t="shared" ca="1" si="349"/>
        <v>-7.7273884576946505E-2</v>
      </c>
      <c r="P317" s="223">
        <f t="shared" ca="1" si="349"/>
        <v>-7.7273884576946505E-2</v>
      </c>
      <c r="Q317" s="223">
        <f t="shared" ca="1" si="349"/>
        <v>-7.7273884576946505E-2</v>
      </c>
      <c r="R317" s="223">
        <f t="shared" ca="1" si="349"/>
        <v>-7.7273884576946505E-2</v>
      </c>
      <c r="S317" s="224">
        <f t="shared" ca="1" si="349"/>
        <v>-7.7273884576946505E-2</v>
      </c>
      <c r="T317" s="224">
        <f t="shared" ca="1" si="349"/>
        <v>0</v>
      </c>
      <c r="U317" s="224">
        <f t="shared" ca="1" si="349"/>
        <v>0</v>
      </c>
      <c r="V317" s="224">
        <f t="shared" ca="1" si="349"/>
        <v>0</v>
      </c>
      <c r="W317" s="224">
        <f t="shared" ca="1" si="349"/>
        <v>0</v>
      </c>
      <c r="X317" s="224">
        <f t="shared" ca="1" si="349"/>
        <v>0</v>
      </c>
      <c r="Y317" s="224">
        <f t="shared" ca="1" si="349"/>
        <v>0</v>
      </c>
      <c r="Z317" s="224">
        <f t="shared" ca="1" si="349"/>
        <v>0</v>
      </c>
      <c r="AA317" s="224">
        <f t="shared" ca="1" si="349"/>
        <v>0</v>
      </c>
      <c r="AB317" s="224">
        <f t="shared" ca="1" si="349"/>
        <v>0</v>
      </c>
      <c r="AC317" s="224">
        <f t="shared" ca="1" si="349"/>
        <v>0</v>
      </c>
      <c r="AD317" s="224">
        <f t="shared" ca="1" si="349"/>
        <v>0</v>
      </c>
      <c r="AE317" s="224">
        <f t="shared" ca="1" si="349"/>
        <v>0</v>
      </c>
      <c r="AF317" s="224">
        <f t="shared" ca="1" si="349"/>
        <v>0</v>
      </c>
      <c r="AG317" s="224">
        <f t="shared" ca="1" si="349"/>
        <v>0</v>
      </c>
      <c r="AH317" s="224"/>
      <c r="AI317" s="224"/>
      <c r="AJ317" s="224">
        <f ca="1">IFERROR(AJ310/AJ303-1,0)</f>
        <v>-3.5773177975035986E-2</v>
      </c>
      <c r="AK317" s="212"/>
      <c r="AL317" s="212"/>
      <c r="AM317" s="504">
        <f ca="1">IFERROR(AM310/AM303-1,0)</f>
        <v>0.10716505694979772</v>
      </c>
      <c r="AN317" s="504">
        <f t="shared" ref="AN317:BM317" ca="1" si="350">IFERROR(AN310/AN303-1,0)</f>
        <v>-8.8317460869517306E-2</v>
      </c>
      <c r="AO317" s="504">
        <f t="shared" ca="1" si="350"/>
        <v>-8.8317460869517306E-2</v>
      </c>
      <c r="AP317" s="504">
        <f t="shared" ca="1" si="350"/>
        <v>-8.8317460869517306E-2</v>
      </c>
      <c r="AQ317" s="504">
        <f t="shared" ca="1" si="350"/>
        <v>-8.8317460869517306E-2</v>
      </c>
      <c r="AR317" s="504">
        <f t="shared" ca="1" si="350"/>
        <v>-8.8317460869517306E-2</v>
      </c>
      <c r="AS317" s="504">
        <f t="shared" ca="1" si="350"/>
        <v>-8.8317460869517306E-2</v>
      </c>
      <c r="AT317" s="504">
        <f t="shared" ca="1" si="350"/>
        <v>-8.8317460869517306E-2</v>
      </c>
      <c r="AU317" s="504">
        <f t="shared" ca="1" si="350"/>
        <v>-8.8317460869517306E-2</v>
      </c>
      <c r="AV317" s="504">
        <f t="shared" ca="1" si="350"/>
        <v>-8.8317460869517306E-2</v>
      </c>
      <c r="AW317" s="504">
        <f t="shared" ca="1" si="350"/>
        <v>-8.8317460869517306E-2</v>
      </c>
      <c r="AX317" s="504">
        <f t="shared" ca="1" si="350"/>
        <v>-8.8317460869517306E-2</v>
      </c>
      <c r="AY317" s="504">
        <f t="shared" ca="1" si="350"/>
        <v>-8.8317460869517306E-2</v>
      </c>
      <c r="AZ317" s="504">
        <f t="shared" ca="1" si="350"/>
        <v>0</v>
      </c>
      <c r="BA317" s="504">
        <f t="shared" ca="1" si="350"/>
        <v>0</v>
      </c>
      <c r="BB317" s="504">
        <f t="shared" ca="1" si="350"/>
        <v>0</v>
      </c>
      <c r="BC317" s="504">
        <f t="shared" ca="1" si="350"/>
        <v>0</v>
      </c>
      <c r="BD317" s="504">
        <f t="shared" ca="1" si="350"/>
        <v>0</v>
      </c>
      <c r="BE317" s="504">
        <f t="shared" ca="1" si="350"/>
        <v>0</v>
      </c>
      <c r="BF317" s="504">
        <f t="shared" ca="1" si="350"/>
        <v>0</v>
      </c>
      <c r="BG317" s="504">
        <f t="shared" ca="1" si="350"/>
        <v>0</v>
      </c>
      <c r="BH317" s="504">
        <f t="shared" ca="1" si="350"/>
        <v>0</v>
      </c>
      <c r="BI317" s="504">
        <f t="shared" ca="1" si="350"/>
        <v>0</v>
      </c>
      <c r="BJ317" s="504">
        <f t="shared" ca="1" si="350"/>
        <v>0</v>
      </c>
      <c r="BK317" s="504">
        <f t="shared" ca="1" si="350"/>
        <v>0</v>
      </c>
      <c r="BL317" s="504">
        <f t="shared" ca="1" si="350"/>
        <v>0</v>
      </c>
      <c r="BM317" s="504">
        <f t="shared" ca="1" si="350"/>
        <v>0</v>
      </c>
      <c r="BN317" s="504"/>
      <c r="BO317" s="504"/>
      <c r="BP317" s="504">
        <f ca="1">IFERROR(BP310/BP303-1,0)</f>
        <v>-4.0568811014640271E-2</v>
      </c>
      <c r="BS317" s="84" t="s">
        <v>242</v>
      </c>
      <c r="BT317" s="51" t="s">
        <v>17</v>
      </c>
    </row>
    <row r="318" spans="1:72" x14ac:dyDescent="0.25">
      <c r="B318" s="243" t="str">
        <f t="shared" si="340"/>
        <v>Large C&amp;I</v>
      </c>
      <c r="C318" s="243" t="str">
        <f t="shared" si="340"/>
        <v>Bills</v>
      </c>
      <c r="D318" s="244" t="str">
        <f t="shared" si="340"/>
        <v>Change in Bills</v>
      </c>
      <c r="E318" s="84" t="str">
        <f>'EE Inputs'!$N$15&amp;" Participant Annual Bill"</f>
        <v>Low Savings Participant Annual Bill</v>
      </c>
      <c r="F318" s="84" t="s">
        <v>32</v>
      </c>
      <c r="G318" s="103">
        <f ca="1">G311-G303</f>
        <v>19698.731940447324</v>
      </c>
      <c r="H318" s="103">
        <f t="shared" ref="H318:AG318" ca="1" si="351">H311-H303</f>
        <v>-6399.0988926738501</v>
      </c>
      <c r="I318" s="103">
        <f t="shared" ca="1" si="351"/>
        <v>-6399.0988926738501</v>
      </c>
      <c r="J318" s="103">
        <f t="shared" ca="1" si="351"/>
        <v>-6399.0988926738501</v>
      </c>
      <c r="K318" s="103">
        <f t="shared" ca="1" si="351"/>
        <v>-6399.0988926738501</v>
      </c>
      <c r="L318" s="103">
        <f t="shared" ca="1" si="351"/>
        <v>-6399.0988926738501</v>
      </c>
      <c r="M318" s="103">
        <f t="shared" ca="1" si="351"/>
        <v>-6399.0988926738501</v>
      </c>
      <c r="N318" s="103">
        <f t="shared" ca="1" si="351"/>
        <v>-6399.0988926738501</v>
      </c>
      <c r="O318" s="103">
        <f t="shared" ca="1" si="351"/>
        <v>-6399.0988926738501</v>
      </c>
      <c r="P318" s="103">
        <f t="shared" ca="1" si="351"/>
        <v>-6399.0988926738501</v>
      </c>
      <c r="Q318" s="103">
        <f t="shared" ca="1" si="351"/>
        <v>-6399.0988926738501</v>
      </c>
      <c r="R318" s="103">
        <f t="shared" ca="1" si="351"/>
        <v>-6399.0988926738501</v>
      </c>
      <c r="S318" s="103">
        <f t="shared" ca="1" si="351"/>
        <v>-6399.0988926738501</v>
      </c>
      <c r="T318" s="103">
        <f t="shared" ca="1" si="351"/>
        <v>0</v>
      </c>
      <c r="U318" s="103">
        <f t="shared" ca="1" si="351"/>
        <v>0</v>
      </c>
      <c r="V318" s="103">
        <f t="shared" ca="1" si="351"/>
        <v>0</v>
      </c>
      <c r="W318" s="103">
        <f t="shared" ca="1" si="351"/>
        <v>0</v>
      </c>
      <c r="X318" s="103">
        <f t="shared" ca="1" si="351"/>
        <v>0</v>
      </c>
      <c r="Y318" s="103">
        <f t="shared" ca="1" si="351"/>
        <v>0</v>
      </c>
      <c r="Z318" s="103">
        <f t="shared" ca="1" si="351"/>
        <v>0</v>
      </c>
      <c r="AA318" s="103">
        <f t="shared" ca="1" si="351"/>
        <v>0</v>
      </c>
      <c r="AB318" s="103">
        <f t="shared" ca="1" si="351"/>
        <v>0</v>
      </c>
      <c r="AC318" s="103">
        <f t="shared" ca="1" si="351"/>
        <v>0</v>
      </c>
      <c r="AD318" s="103">
        <f t="shared" ca="1" si="351"/>
        <v>0</v>
      </c>
      <c r="AE318" s="103">
        <f t="shared" ca="1" si="351"/>
        <v>0</v>
      </c>
      <c r="AF318" s="103">
        <f t="shared" ca="1" si="351"/>
        <v>0</v>
      </c>
      <c r="AG318" s="103">
        <f t="shared" ca="1" si="351"/>
        <v>0</v>
      </c>
      <c r="AH318" s="103"/>
      <c r="AI318" s="103">
        <f ca="1">NPV(Lookups!$E$17,G318:AG318)</f>
        <v>-49769.169231573171</v>
      </c>
      <c r="AJ318" s="103">
        <f ca="1">IF($C$4=Year1,-PMT(Lookups!$E$17,25,NPV(Lookups!$E$17,G318:AE318),0,1),IF($C$4=Year2,-PMT(Lookups!$F$17,25,NPV(Lookups!$F$17,H318:AF318),0,1),IF($C$4=Year3,-PMT(Lookups!$G$17,25,NPV(Lookups!$G$17,I318:AG318),0,1),-PMT(Lookups!$G$17,27,NPV(Lookups!$G$17,G318:AG318),0,1))))</f>
        <v>-2344.1789474831921</v>
      </c>
      <c r="AM318" s="149">
        <f ca="1">AM311-AM303</f>
        <v>23267.50226279904</v>
      </c>
      <c r="AN318" s="149">
        <f t="shared" ref="AN318:BM318" ca="1" si="352">AN311-AN303</f>
        <v>-7720.2379264227347</v>
      </c>
      <c r="AO318" s="149">
        <f t="shared" ca="1" si="352"/>
        <v>-7720.2379264227347</v>
      </c>
      <c r="AP318" s="149">
        <f t="shared" ca="1" si="352"/>
        <v>-7720.2379264227347</v>
      </c>
      <c r="AQ318" s="149">
        <f t="shared" ca="1" si="352"/>
        <v>-7720.2379264227347</v>
      </c>
      <c r="AR318" s="149">
        <f t="shared" ca="1" si="352"/>
        <v>-7720.2379264227347</v>
      </c>
      <c r="AS318" s="149">
        <f t="shared" ca="1" si="352"/>
        <v>-7720.2379264227347</v>
      </c>
      <c r="AT318" s="149">
        <f t="shared" ca="1" si="352"/>
        <v>-7720.2379264227347</v>
      </c>
      <c r="AU318" s="149">
        <f t="shared" ca="1" si="352"/>
        <v>-7720.2379264227347</v>
      </c>
      <c r="AV318" s="149">
        <f t="shared" ca="1" si="352"/>
        <v>-7720.2379264227347</v>
      </c>
      <c r="AW318" s="149">
        <f t="shared" ca="1" si="352"/>
        <v>-7720.2379264227347</v>
      </c>
      <c r="AX318" s="149">
        <f t="shared" ca="1" si="352"/>
        <v>-7720.2379264227347</v>
      </c>
      <c r="AY318" s="149">
        <f t="shared" ca="1" si="352"/>
        <v>-7720.2379264227347</v>
      </c>
      <c r="AZ318" s="149">
        <f t="shared" ca="1" si="352"/>
        <v>0</v>
      </c>
      <c r="BA318" s="149">
        <f t="shared" ca="1" si="352"/>
        <v>0</v>
      </c>
      <c r="BB318" s="149">
        <f t="shared" ca="1" si="352"/>
        <v>0</v>
      </c>
      <c r="BC318" s="149">
        <f t="shared" ca="1" si="352"/>
        <v>0</v>
      </c>
      <c r="BD318" s="149">
        <f t="shared" ca="1" si="352"/>
        <v>0</v>
      </c>
      <c r="BE318" s="149">
        <f t="shared" ca="1" si="352"/>
        <v>0</v>
      </c>
      <c r="BF318" s="149">
        <f t="shared" ca="1" si="352"/>
        <v>0</v>
      </c>
      <c r="BG318" s="149">
        <f t="shared" ca="1" si="352"/>
        <v>0</v>
      </c>
      <c r="BH318" s="149">
        <f t="shared" ca="1" si="352"/>
        <v>0</v>
      </c>
      <c r="BI318" s="149">
        <f t="shared" ca="1" si="352"/>
        <v>0</v>
      </c>
      <c r="BJ318" s="149">
        <f t="shared" ca="1" si="352"/>
        <v>0</v>
      </c>
      <c r="BK318" s="149">
        <f t="shared" ca="1" si="352"/>
        <v>0</v>
      </c>
      <c r="BL318" s="149">
        <f t="shared" ca="1" si="352"/>
        <v>0</v>
      </c>
      <c r="BM318" s="149">
        <f t="shared" ca="1" si="352"/>
        <v>0</v>
      </c>
      <c r="BN318" s="149"/>
      <c r="BO318" s="149">
        <f ca="1">NPV(Lookups!$E$17,AM318:BM318)</f>
        <v>-60535.588486662971</v>
      </c>
      <c r="BP318" s="149">
        <f ca="1">IF($C$4=Year1,-PMT(Lookups!$E$17,25,NPV(Lookups!$E$17,AM318:BK318),0,1),IF($C$4=Year2,-PMT(Lookups!$F$17,25,NPV(Lookups!$F$17,AN318:BL318),0,1),IF($C$4=Year3,-PMT(Lookups!$G$17,25,NPV(Lookups!$G$17,AO318:BM318),0,1),-PMT(Lookups!$G$17,27,NPV(Lookups!$G$17,AM318:BM318),0,1))))</f>
        <v>-2851.2883436663242</v>
      </c>
      <c r="BS318" s="84" t="s">
        <v>241</v>
      </c>
      <c r="BT318" s="51" t="s">
        <v>17</v>
      </c>
    </row>
    <row r="319" spans="1:72" x14ac:dyDescent="0.25">
      <c r="B319" s="243" t="str">
        <f t="shared" si="340"/>
        <v>Large C&amp;I</v>
      </c>
      <c r="C319" s="243" t="str">
        <f t="shared" si="340"/>
        <v>Bills</v>
      </c>
      <c r="D319" s="244" t="str">
        <f t="shared" si="340"/>
        <v>Change in Bills</v>
      </c>
      <c r="E319" s="84" t="str">
        <f>'EE Inputs'!$N$15&amp;" Participant Annual Bill"</f>
        <v>Low Savings Participant Annual Bill</v>
      </c>
      <c r="F319" s="84" t="s">
        <v>16</v>
      </c>
      <c r="G319" s="223">
        <f ca="1">IFERROR(G311/G303-1,0)</f>
        <v>0.12971856895720846</v>
      </c>
      <c r="H319" s="223">
        <f t="shared" ref="H319:AG319" ca="1" si="353">IFERROR(H311/H303-1,0)</f>
        <v>-4.2138852058233534E-2</v>
      </c>
      <c r="I319" s="223">
        <f t="shared" ca="1" si="353"/>
        <v>-4.2138852058233534E-2</v>
      </c>
      <c r="J319" s="223">
        <f t="shared" ca="1" si="353"/>
        <v>-4.2138852058233534E-2</v>
      </c>
      <c r="K319" s="223">
        <f t="shared" ca="1" si="353"/>
        <v>-4.2138852058233534E-2</v>
      </c>
      <c r="L319" s="223">
        <f t="shared" ca="1" si="353"/>
        <v>-4.2138852058233534E-2</v>
      </c>
      <c r="M319" s="223">
        <f t="shared" ca="1" si="353"/>
        <v>-4.2138852058233534E-2</v>
      </c>
      <c r="N319" s="223">
        <f t="shared" ca="1" si="353"/>
        <v>-4.2138852058233534E-2</v>
      </c>
      <c r="O319" s="223">
        <f t="shared" ca="1" si="353"/>
        <v>-4.2138852058233534E-2</v>
      </c>
      <c r="P319" s="223">
        <f t="shared" ca="1" si="353"/>
        <v>-4.2138852058233534E-2</v>
      </c>
      <c r="Q319" s="223">
        <f t="shared" ca="1" si="353"/>
        <v>-4.2138852058233534E-2</v>
      </c>
      <c r="R319" s="223">
        <f t="shared" ca="1" si="353"/>
        <v>-4.2138852058233534E-2</v>
      </c>
      <c r="S319" s="224">
        <f t="shared" ca="1" si="353"/>
        <v>-4.2138852058233534E-2</v>
      </c>
      <c r="T319" s="224">
        <f t="shared" ca="1" si="353"/>
        <v>0</v>
      </c>
      <c r="U319" s="224">
        <f t="shared" ca="1" si="353"/>
        <v>0</v>
      </c>
      <c r="V319" s="224">
        <f t="shared" ca="1" si="353"/>
        <v>0</v>
      </c>
      <c r="W319" s="224">
        <f t="shared" ca="1" si="353"/>
        <v>0</v>
      </c>
      <c r="X319" s="224">
        <f t="shared" ca="1" si="353"/>
        <v>0</v>
      </c>
      <c r="Y319" s="224">
        <f t="shared" ca="1" si="353"/>
        <v>0</v>
      </c>
      <c r="Z319" s="224">
        <f t="shared" ca="1" si="353"/>
        <v>0</v>
      </c>
      <c r="AA319" s="224">
        <f t="shared" ca="1" si="353"/>
        <v>0</v>
      </c>
      <c r="AB319" s="224">
        <f t="shared" ca="1" si="353"/>
        <v>0</v>
      </c>
      <c r="AC319" s="224">
        <f t="shared" ca="1" si="353"/>
        <v>0</v>
      </c>
      <c r="AD319" s="224">
        <f t="shared" ca="1" si="353"/>
        <v>0</v>
      </c>
      <c r="AE319" s="224">
        <f t="shared" ca="1" si="353"/>
        <v>0</v>
      </c>
      <c r="AF319" s="224">
        <f t="shared" ca="1" si="353"/>
        <v>0</v>
      </c>
      <c r="AG319" s="224">
        <f t="shared" ca="1" si="353"/>
        <v>0</v>
      </c>
      <c r="AH319" s="224"/>
      <c r="AI319" s="224"/>
      <c r="AJ319" s="224">
        <f t="shared" ref="AJ319" ca="1" si="354">IFERROR(AJ311/AJ303-1,0)</f>
        <v>-1.5655042925387219E-2</v>
      </c>
      <c r="AK319" s="212"/>
      <c r="AL319" s="212"/>
      <c r="AM319" s="504">
        <f ca="1">IFERROR(AM311/AM303-1,0)</f>
        <v>0.15321935979755041</v>
      </c>
      <c r="AN319" s="504">
        <f t="shared" ref="AN319:BM319" ca="1" si="355">IFERROR(AN311/AN303-1,0)</f>
        <v>-5.0838714839732013E-2</v>
      </c>
      <c r="AO319" s="504">
        <f t="shared" ca="1" si="355"/>
        <v>-5.0838714839732013E-2</v>
      </c>
      <c r="AP319" s="504">
        <f t="shared" ca="1" si="355"/>
        <v>-5.0838714839732013E-2</v>
      </c>
      <c r="AQ319" s="504">
        <f t="shared" ca="1" si="355"/>
        <v>-5.0838714839732013E-2</v>
      </c>
      <c r="AR319" s="504">
        <f t="shared" ca="1" si="355"/>
        <v>-5.0838714839732013E-2</v>
      </c>
      <c r="AS319" s="504">
        <f t="shared" ca="1" si="355"/>
        <v>-5.0838714839732013E-2</v>
      </c>
      <c r="AT319" s="504">
        <f t="shared" ca="1" si="355"/>
        <v>-5.0838714839732013E-2</v>
      </c>
      <c r="AU319" s="504">
        <f t="shared" ca="1" si="355"/>
        <v>-5.0838714839732013E-2</v>
      </c>
      <c r="AV319" s="504">
        <f t="shared" ca="1" si="355"/>
        <v>-5.0838714839732013E-2</v>
      </c>
      <c r="AW319" s="504">
        <f t="shared" ca="1" si="355"/>
        <v>-5.0838714839732013E-2</v>
      </c>
      <c r="AX319" s="504">
        <f t="shared" ca="1" si="355"/>
        <v>-5.0838714839732013E-2</v>
      </c>
      <c r="AY319" s="504">
        <f t="shared" ca="1" si="355"/>
        <v>-5.0838714839732013E-2</v>
      </c>
      <c r="AZ319" s="504">
        <f t="shared" ca="1" si="355"/>
        <v>0</v>
      </c>
      <c r="BA319" s="504">
        <f t="shared" ca="1" si="355"/>
        <v>0</v>
      </c>
      <c r="BB319" s="504">
        <f t="shared" ca="1" si="355"/>
        <v>0</v>
      </c>
      <c r="BC319" s="504">
        <f t="shared" ca="1" si="355"/>
        <v>0</v>
      </c>
      <c r="BD319" s="504">
        <f t="shared" ca="1" si="355"/>
        <v>0</v>
      </c>
      <c r="BE319" s="504">
        <f t="shared" ca="1" si="355"/>
        <v>0</v>
      </c>
      <c r="BF319" s="504">
        <f t="shared" ca="1" si="355"/>
        <v>0</v>
      </c>
      <c r="BG319" s="504">
        <f t="shared" ca="1" si="355"/>
        <v>0</v>
      </c>
      <c r="BH319" s="504">
        <f t="shared" ca="1" si="355"/>
        <v>0</v>
      </c>
      <c r="BI319" s="504">
        <f t="shared" ca="1" si="355"/>
        <v>0</v>
      </c>
      <c r="BJ319" s="504">
        <f t="shared" ca="1" si="355"/>
        <v>0</v>
      </c>
      <c r="BK319" s="504">
        <f t="shared" ca="1" si="355"/>
        <v>0</v>
      </c>
      <c r="BL319" s="504">
        <f t="shared" ca="1" si="355"/>
        <v>0</v>
      </c>
      <c r="BM319" s="504">
        <f t="shared" ca="1" si="355"/>
        <v>0</v>
      </c>
      <c r="BN319" s="504"/>
      <c r="BO319" s="504"/>
      <c r="BP319" s="504">
        <f t="shared" ref="BP319" ca="1" si="356">IFERROR(BP311/BP303-1,0)</f>
        <v>-1.9041652711997981E-2</v>
      </c>
      <c r="BS319" s="84" t="s">
        <v>242</v>
      </c>
      <c r="BT319" s="51" t="s">
        <v>17</v>
      </c>
    </row>
    <row r="320" spans="1:72" x14ac:dyDescent="0.25">
      <c r="B320" s="243" t="str">
        <f t="shared" si="340"/>
        <v>Large C&amp;I</v>
      </c>
      <c r="C320" s="243" t="str">
        <f t="shared" si="340"/>
        <v>Bills</v>
      </c>
      <c r="D320" s="244" t="str">
        <f t="shared" si="340"/>
        <v>Change in Bills</v>
      </c>
      <c r="E320" s="84" t="str">
        <f>'EE Inputs'!$N$16&amp;" Participant Annual Bill"</f>
        <v>High Savings Participant Annual Bill</v>
      </c>
      <c r="F320" s="84" t="s">
        <v>32</v>
      </c>
      <c r="G320" s="103">
        <f ca="1">G312-G303</f>
        <v>11127.770444480033</v>
      </c>
      <c r="H320" s="103">
        <f t="shared" ref="H320:AG320" ca="1" si="357">H312-H303</f>
        <v>-13596.490344792663</v>
      </c>
      <c r="I320" s="103">
        <f t="shared" ca="1" si="357"/>
        <v>-13596.490344792663</v>
      </c>
      <c r="J320" s="103">
        <f t="shared" ca="1" si="357"/>
        <v>-13596.490344792663</v>
      </c>
      <c r="K320" s="103">
        <f t="shared" ca="1" si="357"/>
        <v>-13596.490344792663</v>
      </c>
      <c r="L320" s="103">
        <f t="shared" ca="1" si="357"/>
        <v>-13596.490344792663</v>
      </c>
      <c r="M320" s="103">
        <f t="shared" ca="1" si="357"/>
        <v>-13596.490344792663</v>
      </c>
      <c r="N320" s="103">
        <f t="shared" ca="1" si="357"/>
        <v>-13596.490344792663</v>
      </c>
      <c r="O320" s="103">
        <f t="shared" ca="1" si="357"/>
        <v>-13596.490344792663</v>
      </c>
      <c r="P320" s="103">
        <f t="shared" ca="1" si="357"/>
        <v>-13596.490344792663</v>
      </c>
      <c r="Q320" s="103">
        <f t="shared" ca="1" si="357"/>
        <v>-13596.490344792663</v>
      </c>
      <c r="R320" s="103">
        <f t="shared" ca="1" si="357"/>
        <v>-13596.490344792663</v>
      </c>
      <c r="S320" s="103">
        <f t="shared" ca="1" si="357"/>
        <v>-13596.490344792663</v>
      </c>
      <c r="T320" s="103">
        <f t="shared" ca="1" si="357"/>
        <v>0</v>
      </c>
      <c r="U320" s="103">
        <f t="shared" ca="1" si="357"/>
        <v>0</v>
      </c>
      <c r="V320" s="103">
        <f t="shared" ca="1" si="357"/>
        <v>0</v>
      </c>
      <c r="W320" s="103">
        <f t="shared" ca="1" si="357"/>
        <v>0</v>
      </c>
      <c r="X320" s="103">
        <f t="shared" ca="1" si="357"/>
        <v>0</v>
      </c>
      <c r="Y320" s="103">
        <f t="shared" ca="1" si="357"/>
        <v>0</v>
      </c>
      <c r="Z320" s="103">
        <f t="shared" ca="1" si="357"/>
        <v>0</v>
      </c>
      <c r="AA320" s="103">
        <f t="shared" ca="1" si="357"/>
        <v>0</v>
      </c>
      <c r="AB320" s="103">
        <f t="shared" ca="1" si="357"/>
        <v>0</v>
      </c>
      <c r="AC320" s="103">
        <f t="shared" ca="1" si="357"/>
        <v>0</v>
      </c>
      <c r="AD320" s="103">
        <f t="shared" ca="1" si="357"/>
        <v>0</v>
      </c>
      <c r="AE320" s="103">
        <f t="shared" ca="1" si="357"/>
        <v>0</v>
      </c>
      <c r="AF320" s="103">
        <f t="shared" ca="1" si="357"/>
        <v>0</v>
      </c>
      <c r="AG320" s="103">
        <f t="shared" ca="1" si="357"/>
        <v>0</v>
      </c>
      <c r="AH320" s="103"/>
      <c r="AI320" s="103">
        <f ca="1">NPV(Lookups!$E$17,G320:AG320)</f>
        <v>-136045.66359087147</v>
      </c>
      <c r="AJ320" s="103">
        <f ca="1">IF($C$4=Year1,-PMT(Lookups!$E$17,25,NPV(Lookups!$E$17,G320:AE320),0,1),IF($C$4=Year2,-PMT(Lookups!$F$17,25,NPV(Lookups!$F$17,H320:AF320),0,1),IF($C$4=Year3,-PMT(Lookups!$G$17,25,NPV(Lookups!$G$17,I320:AG320),0,1),-PMT(Lookups!$G$17,27,NPV(Lookups!$G$17,G320:AG320),0,1))))</f>
        <v>-6407.8903749067222</v>
      </c>
      <c r="AM320" s="149">
        <f ca="1">AM312-AM303</f>
        <v>12645.138087539672</v>
      </c>
      <c r="AN320" s="149">
        <f t="shared" ref="AN320:BM320" ca="1" si="358">AN312-AN303</f>
        <v>-16364.661238540284</v>
      </c>
      <c r="AO320" s="149">
        <f t="shared" ca="1" si="358"/>
        <v>-16364.661238540284</v>
      </c>
      <c r="AP320" s="149">
        <f t="shared" ca="1" si="358"/>
        <v>-16364.661238540284</v>
      </c>
      <c r="AQ320" s="149">
        <f t="shared" ca="1" si="358"/>
        <v>-16364.661238540284</v>
      </c>
      <c r="AR320" s="149">
        <f t="shared" ca="1" si="358"/>
        <v>-16364.661238540284</v>
      </c>
      <c r="AS320" s="149">
        <f t="shared" ca="1" si="358"/>
        <v>-16364.661238540284</v>
      </c>
      <c r="AT320" s="149">
        <f t="shared" ca="1" si="358"/>
        <v>-16364.661238540284</v>
      </c>
      <c r="AU320" s="149">
        <f t="shared" ca="1" si="358"/>
        <v>-16364.661238540284</v>
      </c>
      <c r="AV320" s="149">
        <f t="shared" ca="1" si="358"/>
        <v>-16364.661238540284</v>
      </c>
      <c r="AW320" s="149">
        <f t="shared" ca="1" si="358"/>
        <v>-16364.661238540284</v>
      </c>
      <c r="AX320" s="149">
        <f t="shared" ca="1" si="358"/>
        <v>-16364.661238540284</v>
      </c>
      <c r="AY320" s="149">
        <f t="shared" ca="1" si="358"/>
        <v>-16364.661238540284</v>
      </c>
      <c r="AZ320" s="149">
        <f t="shared" ca="1" si="358"/>
        <v>0</v>
      </c>
      <c r="BA320" s="149">
        <f t="shared" ca="1" si="358"/>
        <v>0</v>
      </c>
      <c r="BB320" s="149">
        <f t="shared" ca="1" si="358"/>
        <v>0</v>
      </c>
      <c r="BC320" s="149">
        <f t="shared" ca="1" si="358"/>
        <v>0</v>
      </c>
      <c r="BD320" s="149">
        <f t="shared" ca="1" si="358"/>
        <v>0</v>
      </c>
      <c r="BE320" s="149">
        <f t="shared" ca="1" si="358"/>
        <v>0</v>
      </c>
      <c r="BF320" s="149">
        <f t="shared" ca="1" si="358"/>
        <v>0</v>
      </c>
      <c r="BG320" s="149">
        <f t="shared" ca="1" si="358"/>
        <v>0</v>
      </c>
      <c r="BH320" s="149">
        <f t="shared" ca="1" si="358"/>
        <v>0</v>
      </c>
      <c r="BI320" s="149">
        <f t="shared" ca="1" si="358"/>
        <v>0</v>
      </c>
      <c r="BJ320" s="149">
        <f t="shared" ca="1" si="358"/>
        <v>0</v>
      </c>
      <c r="BK320" s="149">
        <f t="shared" ca="1" si="358"/>
        <v>0</v>
      </c>
      <c r="BL320" s="149">
        <f t="shared" ca="1" si="358"/>
        <v>0</v>
      </c>
      <c r="BM320" s="149">
        <f t="shared" ca="1" si="358"/>
        <v>0</v>
      </c>
      <c r="BN320" s="149"/>
      <c r="BO320" s="149">
        <f ca="1">NPV(Lookups!$E$17,AM320:BM320)</f>
        <v>-164481.56552314645</v>
      </c>
      <c r="BP320" s="149">
        <f ca="1">IF($C$4=Year1,-PMT(Lookups!$E$17,25,NPV(Lookups!$E$17,AM320:BK320),0,1),IF($C$4=Year2,-PMT(Lookups!$F$17,25,NPV(Lookups!$F$17,AN320:BL320),0,1),IF($C$4=Year3,-PMT(Lookups!$G$17,25,NPV(Lookups!$G$17,AO320:BM320),0,1),-PMT(Lookups!$G$17,27,NPV(Lookups!$G$17,AM320:BM320),0,1))))</f>
        <v>-7747.2505388703958</v>
      </c>
      <c r="BS320" s="84" t="s">
        <v>241</v>
      </c>
      <c r="BT320" s="51" t="s">
        <v>17</v>
      </c>
    </row>
    <row r="321" spans="1:72" x14ac:dyDescent="0.25">
      <c r="B321" s="243" t="str">
        <f t="shared" si="340"/>
        <v>Large C&amp;I</v>
      </c>
      <c r="C321" s="243" t="str">
        <f t="shared" si="340"/>
        <v>Bills</v>
      </c>
      <c r="D321" s="244" t="str">
        <f t="shared" si="340"/>
        <v>Change in Bills</v>
      </c>
      <c r="E321" s="84" t="str">
        <f>'EE Inputs'!$N$16&amp;" Participant Annual Bill"</f>
        <v>High Savings Participant Annual Bill</v>
      </c>
      <c r="F321" s="84" t="s">
        <v>16</v>
      </c>
      <c r="G321" s="223">
        <f ca="1">IFERROR(G312/G303-1,0)</f>
        <v>7.3277734937769345E-2</v>
      </c>
      <c r="H321" s="223">
        <f t="shared" ref="H321:AG321" ca="1" si="359">IFERROR(H312/H303-1,0)</f>
        <v>-8.9534558655807284E-2</v>
      </c>
      <c r="I321" s="223">
        <f t="shared" ca="1" si="359"/>
        <v>-8.9534558655807284E-2</v>
      </c>
      <c r="J321" s="223">
        <f t="shared" ca="1" si="359"/>
        <v>-8.9534558655807284E-2</v>
      </c>
      <c r="K321" s="223">
        <f t="shared" ca="1" si="359"/>
        <v>-8.9534558655807284E-2</v>
      </c>
      <c r="L321" s="223">
        <f t="shared" ca="1" si="359"/>
        <v>-8.9534558655807284E-2</v>
      </c>
      <c r="M321" s="223">
        <f t="shared" ca="1" si="359"/>
        <v>-8.9534558655807284E-2</v>
      </c>
      <c r="N321" s="223">
        <f t="shared" ca="1" si="359"/>
        <v>-8.9534558655807284E-2</v>
      </c>
      <c r="O321" s="223">
        <f t="shared" ca="1" si="359"/>
        <v>-8.9534558655807284E-2</v>
      </c>
      <c r="P321" s="223">
        <f t="shared" ca="1" si="359"/>
        <v>-8.9534558655807284E-2</v>
      </c>
      <c r="Q321" s="223">
        <f t="shared" ca="1" si="359"/>
        <v>-8.9534558655807284E-2</v>
      </c>
      <c r="R321" s="223">
        <f t="shared" ca="1" si="359"/>
        <v>-8.9534558655807284E-2</v>
      </c>
      <c r="S321" s="224">
        <f t="shared" ca="1" si="359"/>
        <v>-8.9534558655807284E-2</v>
      </c>
      <c r="T321" s="224">
        <f t="shared" ca="1" si="359"/>
        <v>0</v>
      </c>
      <c r="U321" s="224">
        <f t="shared" ca="1" si="359"/>
        <v>0</v>
      </c>
      <c r="V321" s="224">
        <f t="shared" ca="1" si="359"/>
        <v>0</v>
      </c>
      <c r="W321" s="224">
        <f t="shared" ca="1" si="359"/>
        <v>0</v>
      </c>
      <c r="X321" s="224">
        <f t="shared" ca="1" si="359"/>
        <v>0</v>
      </c>
      <c r="Y321" s="224">
        <f t="shared" ca="1" si="359"/>
        <v>0</v>
      </c>
      <c r="Z321" s="224">
        <f t="shared" ca="1" si="359"/>
        <v>0</v>
      </c>
      <c r="AA321" s="224">
        <f t="shared" ca="1" si="359"/>
        <v>0</v>
      </c>
      <c r="AB321" s="224">
        <f t="shared" ca="1" si="359"/>
        <v>0</v>
      </c>
      <c r="AC321" s="224">
        <f t="shared" ca="1" si="359"/>
        <v>0</v>
      </c>
      <c r="AD321" s="224">
        <f t="shared" ca="1" si="359"/>
        <v>0</v>
      </c>
      <c r="AE321" s="224">
        <f t="shared" ca="1" si="359"/>
        <v>0</v>
      </c>
      <c r="AF321" s="224">
        <f t="shared" ca="1" si="359"/>
        <v>0</v>
      </c>
      <c r="AG321" s="224">
        <f t="shared" ca="1" si="359"/>
        <v>0</v>
      </c>
      <c r="AH321" s="224"/>
      <c r="AI321" s="224"/>
      <c r="AJ321" s="224">
        <f t="shared" ref="AJ321" ca="1" si="360">IFERROR(AJ312/AJ303-1,0)</f>
        <v>-4.2793575545093332E-2</v>
      </c>
      <c r="AK321" s="212"/>
      <c r="AL321" s="212"/>
      <c r="AM321" s="504">
        <f ca="1">IFERROR(AM312/AM303-1,0)</f>
        <v>8.3269787209698354E-2</v>
      </c>
      <c r="AN321" s="504">
        <f t="shared" ref="AN321:BM321" ca="1" si="361">IFERROR(AN312/AN303-1,0)</f>
        <v>-0.10776330394009803</v>
      </c>
      <c r="AO321" s="504">
        <f t="shared" ca="1" si="361"/>
        <v>-0.10776330394009803</v>
      </c>
      <c r="AP321" s="504">
        <f t="shared" ca="1" si="361"/>
        <v>-0.10776330394009803</v>
      </c>
      <c r="AQ321" s="504">
        <f t="shared" ca="1" si="361"/>
        <v>-0.10776330394009803</v>
      </c>
      <c r="AR321" s="504">
        <f t="shared" ca="1" si="361"/>
        <v>-0.10776330394009803</v>
      </c>
      <c r="AS321" s="504">
        <f t="shared" ca="1" si="361"/>
        <v>-0.10776330394009803</v>
      </c>
      <c r="AT321" s="504">
        <f t="shared" ca="1" si="361"/>
        <v>-0.10776330394009803</v>
      </c>
      <c r="AU321" s="504">
        <f t="shared" ca="1" si="361"/>
        <v>-0.10776330394009803</v>
      </c>
      <c r="AV321" s="504">
        <f t="shared" ca="1" si="361"/>
        <v>-0.10776330394009803</v>
      </c>
      <c r="AW321" s="504">
        <f t="shared" ca="1" si="361"/>
        <v>-0.10776330394009803</v>
      </c>
      <c r="AX321" s="504">
        <f t="shared" ca="1" si="361"/>
        <v>-0.10776330394009803</v>
      </c>
      <c r="AY321" s="504">
        <f t="shared" ca="1" si="361"/>
        <v>-0.10776330394009803</v>
      </c>
      <c r="AZ321" s="504">
        <f t="shared" ca="1" si="361"/>
        <v>0</v>
      </c>
      <c r="BA321" s="504">
        <f t="shared" ca="1" si="361"/>
        <v>0</v>
      </c>
      <c r="BB321" s="504">
        <f t="shared" ca="1" si="361"/>
        <v>0</v>
      </c>
      <c r="BC321" s="504">
        <f t="shared" ca="1" si="361"/>
        <v>0</v>
      </c>
      <c r="BD321" s="504">
        <f t="shared" ca="1" si="361"/>
        <v>0</v>
      </c>
      <c r="BE321" s="504">
        <f t="shared" ca="1" si="361"/>
        <v>0</v>
      </c>
      <c r="BF321" s="504">
        <f t="shared" ca="1" si="361"/>
        <v>0</v>
      </c>
      <c r="BG321" s="504">
        <f t="shared" ca="1" si="361"/>
        <v>0</v>
      </c>
      <c r="BH321" s="504">
        <f t="shared" ca="1" si="361"/>
        <v>0</v>
      </c>
      <c r="BI321" s="504">
        <f t="shared" ca="1" si="361"/>
        <v>0</v>
      </c>
      <c r="BJ321" s="504">
        <f t="shared" ca="1" si="361"/>
        <v>0</v>
      </c>
      <c r="BK321" s="504">
        <f t="shared" ca="1" si="361"/>
        <v>0</v>
      </c>
      <c r="BL321" s="504">
        <f t="shared" ca="1" si="361"/>
        <v>0</v>
      </c>
      <c r="BM321" s="504">
        <f t="shared" ca="1" si="361"/>
        <v>0</v>
      </c>
      <c r="BN321" s="504"/>
      <c r="BO321" s="504"/>
      <c r="BP321" s="504">
        <f t="shared" ref="BP321" ca="1" si="362">IFERROR(BP312/BP303-1,0)</f>
        <v>-5.1738174626113409E-2</v>
      </c>
      <c r="BS321" s="84" t="s">
        <v>242</v>
      </c>
      <c r="BT321" s="51" t="s">
        <v>17</v>
      </c>
    </row>
    <row r="322" spans="1:72" x14ac:dyDescent="0.25">
      <c r="B322" s="243" t="str">
        <f t="shared" si="340"/>
        <v>Large C&amp;I</v>
      </c>
      <c r="C322" s="243" t="str">
        <f t="shared" si="340"/>
        <v>Bills</v>
      </c>
      <c r="D322" s="244" t="str">
        <f t="shared" si="340"/>
        <v>Change in Bills</v>
      </c>
      <c r="E322" s="84" t="s">
        <v>17</v>
      </c>
      <c r="F322" s="84"/>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S322" s="84"/>
      <c r="BT322" s="51" t="s">
        <v>17</v>
      </c>
    </row>
    <row r="323" spans="1:72" x14ac:dyDescent="0.25">
      <c r="A323" s="52" t="s">
        <v>17</v>
      </c>
      <c r="B323" t="s">
        <v>17</v>
      </c>
      <c r="BT323" s="51" t="s">
        <v>17</v>
      </c>
    </row>
    <row r="324" spans="1:72" x14ac:dyDescent="0.25">
      <c r="A324" s="52" t="s">
        <v>17</v>
      </c>
      <c r="B324" t="s">
        <v>17</v>
      </c>
      <c r="BT324" s="51" t="s">
        <v>17</v>
      </c>
    </row>
    <row r="325" spans="1:72" s="51" customFormat="1" ht="23.25" x14ac:dyDescent="0.25">
      <c r="A325" s="52" t="s">
        <v>17</v>
      </c>
      <c r="B325" s="195" t="s">
        <v>271</v>
      </c>
      <c r="C325" s="196"/>
      <c r="D325" s="196"/>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51" t="s">
        <v>17</v>
      </c>
    </row>
    <row r="326" spans="1:72" s="5" customFormat="1" ht="15.75" x14ac:dyDescent="0.25">
      <c r="A326" s="52" t="s">
        <v>17</v>
      </c>
      <c r="B326" s="241" t="str">
        <f t="shared" ref="B326:C329" si="363">B325</f>
        <v>Portfolio Total</v>
      </c>
      <c r="C326" s="63" t="s">
        <v>124</v>
      </c>
      <c r="D326" s="6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M326" s="63"/>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S326" s="62"/>
      <c r="BT326" s="51" t="s">
        <v>17</v>
      </c>
    </row>
    <row r="327" spans="1:72" x14ac:dyDescent="0.25">
      <c r="A327" s="52" t="s">
        <v>17</v>
      </c>
      <c r="B327" s="243" t="str">
        <f t="shared" si="363"/>
        <v>Portfolio Total</v>
      </c>
      <c r="C327" s="243" t="str">
        <f t="shared" si="363"/>
        <v>Revenue Requirements</v>
      </c>
      <c r="D327" s="114" t="str">
        <f>"Revenue Requirement before DSM ("&amp;Lookups!$D$22&amp;" Scenario)"</f>
        <v>Revenue Requirement before DSM (No EE Scenario)</v>
      </c>
      <c r="E327" s="84"/>
      <c r="F327" s="84"/>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S327" s="84"/>
      <c r="BT327" s="51" t="s">
        <v>17</v>
      </c>
    </row>
    <row r="328" spans="1:72" x14ac:dyDescent="0.25">
      <c r="A328" s="52" t="s">
        <v>17</v>
      </c>
      <c r="B328" s="243" t="str">
        <f t="shared" si="363"/>
        <v>Portfolio Total</v>
      </c>
      <c r="C328" s="243" t="str">
        <f t="shared" si="363"/>
        <v>Revenue Requirements</v>
      </c>
      <c r="D328" s="244" t="str">
        <f>D327</f>
        <v>Revenue Requirement before DSM (No EE Scenario)</v>
      </c>
      <c r="E328" s="84" t="s">
        <v>26</v>
      </c>
      <c r="F328" s="84" t="s">
        <v>32</v>
      </c>
      <c r="G328" s="65">
        <f t="shared" ref="G328:V330" si="364">SUMIFS(G$9:G$322,$D$9:$D$322,$D328,$E$9:$E$322,$E328)</f>
        <v>43337415.643864036</v>
      </c>
      <c r="H328" s="65">
        <f t="shared" si="364"/>
        <v>43337415.643864036</v>
      </c>
      <c r="I328" s="65">
        <f t="shared" si="364"/>
        <v>43337415.643864036</v>
      </c>
      <c r="J328" s="65">
        <f t="shared" si="364"/>
        <v>43337415.643864036</v>
      </c>
      <c r="K328" s="65">
        <f t="shared" si="364"/>
        <v>43337415.643864036</v>
      </c>
      <c r="L328" s="65">
        <f t="shared" si="364"/>
        <v>43337415.643864036</v>
      </c>
      <c r="M328" s="65">
        <f t="shared" si="364"/>
        <v>43337415.643864036</v>
      </c>
      <c r="N328" s="65">
        <f t="shared" si="364"/>
        <v>43337415.643864036</v>
      </c>
      <c r="O328" s="65">
        <f t="shared" si="364"/>
        <v>43337415.643864036</v>
      </c>
      <c r="P328" s="65">
        <f t="shared" si="364"/>
        <v>43337415.643864036</v>
      </c>
      <c r="Q328" s="65">
        <f t="shared" si="364"/>
        <v>43337415.643864036</v>
      </c>
      <c r="R328" s="65">
        <f t="shared" si="364"/>
        <v>43337415.643864036</v>
      </c>
      <c r="S328" s="65">
        <f t="shared" si="364"/>
        <v>43337415.643864036</v>
      </c>
      <c r="T328" s="65">
        <f t="shared" si="364"/>
        <v>43337415.643864036</v>
      </c>
      <c r="U328" s="65">
        <f t="shared" si="364"/>
        <v>43337415.643864036</v>
      </c>
      <c r="V328" s="65">
        <f t="shared" si="364"/>
        <v>43337415.643864036</v>
      </c>
      <c r="W328" s="65">
        <f t="shared" ref="W328:AG330" si="365">SUMIFS(W$9:W$322,$D$9:$D$322,$D328,$E$9:$E$322,$E328)</f>
        <v>43337415.643864036</v>
      </c>
      <c r="X328" s="65">
        <f t="shared" si="365"/>
        <v>43337415.643864036</v>
      </c>
      <c r="Y328" s="65">
        <f t="shared" si="365"/>
        <v>43337415.643864036</v>
      </c>
      <c r="Z328" s="65">
        <f t="shared" si="365"/>
        <v>43337415.643864036</v>
      </c>
      <c r="AA328" s="65">
        <f t="shared" si="365"/>
        <v>43337415.643864036</v>
      </c>
      <c r="AB328" s="65">
        <f t="shared" si="365"/>
        <v>43337415.643864036</v>
      </c>
      <c r="AC328" s="65">
        <f t="shared" si="365"/>
        <v>43337415.643864036</v>
      </c>
      <c r="AD328" s="65">
        <f t="shared" si="365"/>
        <v>43337415.643864036</v>
      </c>
      <c r="AE328" s="65">
        <f t="shared" si="365"/>
        <v>43337415.643864036</v>
      </c>
      <c r="AF328" s="65">
        <f t="shared" si="365"/>
        <v>43337415.643864036</v>
      </c>
      <c r="AG328" s="65">
        <f t="shared" si="365"/>
        <v>43337415.643864036</v>
      </c>
      <c r="AH328" s="65"/>
      <c r="AI328" s="65">
        <f>NPV(Lookups!$E$17,G328:AG328)</f>
        <v>967002409.0642128</v>
      </c>
      <c r="AJ328" s="65">
        <f>IF($C$4=Year1,-PMT(Lookups!$E$17,25,NPV(Lookups!$E$17,G328:AE328),0,1),IF($C$4=Year2,-PMT(Lookups!$F$17,25,NPV(Lookups!$F$17,H328:AF328),0,1),IF($C$4=Year3,-PMT(Lookups!$G$17,25,NPV(Lookups!$G$17,I328:AG328),0,1),-PMT(Lookups!$G$17,27,NPV(Lookups!$G$17,G328:AG328),0,1))))</f>
        <v>42733000.355465345</v>
      </c>
      <c r="AM328" s="72">
        <f t="shared" ref="AM328:BB330" si="366">SUMIFS(AM$9:AM$322,$D$9:$D$322,$D328,$E$9:$E$322,$E328)</f>
        <v>43337415.643864036</v>
      </c>
      <c r="AN328" s="72">
        <f t="shared" si="366"/>
        <v>43337415.643864036</v>
      </c>
      <c r="AO328" s="72">
        <f t="shared" si="366"/>
        <v>43337415.643864036</v>
      </c>
      <c r="AP328" s="72">
        <f t="shared" si="366"/>
        <v>43337415.643864036</v>
      </c>
      <c r="AQ328" s="72">
        <f t="shared" si="366"/>
        <v>43337415.643864036</v>
      </c>
      <c r="AR328" s="72">
        <f t="shared" si="366"/>
        <v>43337415.643864036</v>
      </c>
      <c r="AS328" s="72">
        <f t="shared" si="366"/>
        <v>43337415.643864036</v>
      </c>
      <c r="AT328" s="72">
        <f t="shared" si="366"/>
        <v>43337415.643864036</v>
      </c>
      <c r="AU328" s="72">
        <f t="shared" si="366"/>
        <v>43337415.643864036</v>
      </c>
      <c r="AV328" s="72">
        <f t="shared" si="366"/>
        <v>43337415.643864036</v>
      </c>
      <c r="AW328" s="72">
        <f t="shared" si="366"/>
        <v>43337415.643864036</v>
      </c>
      <c r="AX328" s="72">
        <f t="shared" si="366"/>
        <v>43337415.643864036</v>
      </c>
      <c r="AY328" s="72">
        <f t="shared" si="366"/>
        <v>43337415.643864036</v>
      </c>
      <c r="AZ328" s="72">
        <f t="shared" si="366"/>
        <v>43337415.643864036</v>
      </c>
      <c r="BA328" s="72">
        <f t="shared" si="366"/>
        <v>43337415.643864036</v>
      </c>
      <c r="BB328" s="72">
        <f t="shared" si="366"/>
        <v>43337415.643864036</v>
      </c>
      <c r="BC328" s="72">
        <f t="shared" ref="BC328:BM330" si="367">SUMIFS(BC$9:BC$322,$D$9:$D$322,$D328,$E$9:$E$322,$E328)</f>
        <v>43337415.643864036</v>
      </c>
      <c r="BD328" s="72">
        <f t="shared" si="367"/>
        <v>43337415.643864036</v>
      </c>
      <c r="BE328" s="72">
        <f t="shared" si="367"/>
        <v>43337415.643864036</v>
      </c>
      <c r="BF328" s="72">
        <f t="shared" si="367"/>
        <v>43337415.643864036</v>
      </c>
      <c r="BG328" s="72">
        <f t="shared" si="367"/>
        <v>43337415.643864036</v>
      </c>
      <c r="BH328" s="72">
        <f t="shared" si="367"/>
        <v>43337415.643864036</v>
      </c>
      <c r="BI328" s="72">
        <f t="shared" si="367"/>
        <v>43337415.643864036</v>
      </c>
      <c r="BJ328" s="72">
        <f t="shared" si="367"/>
        <v>43337415.643864036</v>
      </c>
      <c r="BK328" s="72">
        <f t="shared" si="367"/>
        <v>43337415.643864036</v>
      </c>
      <c r="BL328" s="72">
        <f t="shared" si="367"/>
        <v>43337415.643864036</v>
      </c>
      <c r="BM328" s="72">
        <f t="shared" si="367"/>
        <v>43337415.643864036</v>
      </c>
      <c r="BN328" s="72"/>
      <c r="BO328" s="72">
        <f>NPV(Lookups!$E$17,AM328:BM328)</f>
        <v>967002409.0642128</v>
      </c>
      <c r="BP328" s="72">
        <f>IF($C$4=Year1,-PMT(Lookups!$E$17,25,NPV(Lookups!$E$17,AM328:BK328),0,1),IF($C$4=Year2,-PMT(Lookups!$F$17,25,NPV(Lookups!$F$17,AN328:BL328),0,1),IF($C$4=Year3,-PMT(Lookups!$G$17,25,NPV(Lookups!$G$17,AO328:BM328),0,1),-PMT(Lookups!$G$17,27,NPV(Lookups!$G$17,AM328:BM328),0,1))))</f>
        <v>42733000.355465345</v>
      </c>
      <c r="BS328" s="84" t="str">
        <f>"No EE Scenario "&amp;E328&amp;" rate multiplied by No EE Scenario sales."</f>
        <v>No EE Scenario Distribution rate multiplied by No EE Scenario sales.</v>
      </c>
      <c r="BT328" s="51" t="s">
        <v>17</v>
      </c>
    </row>
    <row r="329" spans="1:72" x14ac:dyDescent="0.25">
      <c r="A329" s="52" t="s">
        <v>17</v>
      </c>
      <c r="B329" s="243" t="str">
        <f t="shared" si="363"/>
        <v>Portfolio Total</v>
      </c>
      <c r="C329" s="243" t="str">
        <f t="shared" si="363"/>
        <v>Revenue Requirements</v>
      </c>
      <c r="D329" s="244" t="str">
        <f>D328</f>
        <v>Revenue Requirement before DSM (No EE Scenario)</v>
      </c>
      <c r="E329" s="84" t="s">
        <v>407</v>
      </c>
      <c r="F329" s="84" t="s">
        <v>32</v>
      </c>
      <c r="G329" s="65">
        <f t="shared" si="364"/>
        <v>-1915965.2564594061</v>
      </c>
      <c r="H329" s="65">
        <f t="shared" si="364"/>
        <v>-1915965.2564594061</v>
      </c>
      <c r="I329" s="65">
        <f t="shared" si="364"/>
        <v>-1915965.2564594061</v>
      </c>
      <c r="J329" s="65">
        <f t="shared" si="364"/>
        <v>-1915965.2564594061</v>
      </c>
      <c r="K329" s="65">
        <f t="shared" si="364"/>
        <v>-1915965.2564594061</v>
      </c>
      <c r="L329" s="65">
        <f t="shared" si="364"/>
        <v>-1915965.2564594061</v>
      </c>
      <c r="M329" s="65">
        <f t="shared" si="364"/>
        <v>-1915965.2564594061</v>
      </c>
      <c r="N329" s="65">
        <f t="shared" si="364"/>
        <v>-1915965.2564594061</v>
      </c>
      <c r="O329" s="65">
        <f t="shared" si="364"/>
        <v>-1915965.2564594061</v>
      </c>
      <c r="P329" s="65">
        <f t="shared" si="364"/>
        <v>-1915965.2564594061</v>
      </c>
      <c r="Q329" s="65">
        <f t="shared" si="364"/>
        <v>-1915965.2564594061</v>
      </c>
      <c r="R329" s="65">
        <f t="shared" si="364"/>
        <v>-1915965.2564594061</v>
      </c>
      <c r="S329" s="65">
        <f t="shared" si="364"/>
        <v>-1915965.2564594061</v>
      </c>
      <c r="T329" s="65">
        <f t="shared" si="364"/>
        <v>-1915965.2564594061</v>
      </c>
      <c r="U329" s="65">
        <f t="shared" si="364"/>
        <v>-1915965.2564594061</v>
      </c>
      <c r="V329" s="65">
        <f t="shared" si="364"/>
        <v>-1915965.2564594061</v>
      </c>
      <c r="W329" s="65">
        <f t="shared" si="365"/>
        <v>-1915965.2564594061</v>
      </c>
      <c r="X329" s="65">
        <f t="shared" si="365"/>
        <v>-1915965.2564594061</v>
      </c>
      <c r="Y329" s="65">
        <f t="shared" si="365"/>
        <v>-1915965.2564594061</v>
      </c>
      <c r="Z329" s="65">
        <f t="shared" si="365"/>
        <v>-1915965.2564594061</v>
      </c>
      <c r="AA329" s="65">
        <f t="shared" si="365"/>
        <v>-1915965.2564594061</v>
      </c>
      <c r="AB329" s="65">
        <f t="shared" si="365"/>
        <v>-1915965.2564594061</v>
      </c>
      <c r="AC329" s="65">
        <f t="shared" si="365"/>
        <v>-1915965.2564594061</v>
      </c>
      <c r="AD329" s="65">
        <f t="shared" si="365"/>
        <v>-1915965.2564594061</v>
      </c>
      <c r="AE329" s="65">
        <f t="shared" si="365"/>
        <v>-1915965.2564594061</v>
      </c>
      <c r="AF329" s="65">
        <f t="shared" si="365"/>
        <v>-1915965.2564594061</v>
      </c>
      <c r="AG329" s="65">
        <f t="shared" si="365"/>
        <v>-1915965.2564594061</v>
      </c>
      <c r="AH329" s="65"/>
      <c r="AI329" s="65">
        <f>NPV(Lookups!$E$17,G329:AG329)</f>
        <v>-42751580.61811883</v>
      </c>
      <c r="AJ329" s="65">
        <f>IF($C$4=Year1,-PMT(Lookups!$E$17,25,NPV(Lookups!$E$17,G329:AE329),0,1),IF($C$4=Year2,-PMT(Lookups!$F$17,25,NPV(Lookups!$F$17,H329:AF329),0,1),IF($C$4=Year3,-PMT(Lookups!$G$17,25,NPV(Lookups!$G$17,I329:AG329),0,1),-PMT(Lookups!$G$17,27,NPV(Lookups!$G$17,G329:AG329),0,1))))</f>
        <v>-1889243.8039722238</v>
      </c>
      <c r="AM329" s="72">
        <f t="shared" si="366"/>
        <v>-1915965.2564594061</v>
      </c>
      <c r="AN329" s="72">
        <f t="shared" si="366"/>
        <v>-1915965.2564594061</v>
      </c>
      <c r="AO329" s="72">
        <f t="shared" si="366"/>
        <v>-1915965.2564594061</v>
      </c>
      <c r="AP329" s="72">
        <f t="shared" si="366"/>
        <v>-1915965.2564594061</v>
      </c>
      <c r="AQ329" s="72">
        <f t="shared" si="366"/>
        <v>-1915965.2564594061</v>
      </c>
      <c r="AR329" s="72">
        <f t="shared" si="366"/>
        <v>-1915965.2564594061</v>
      </c>
      <c r="AS329" s="72">
        <f t="shared" si="366"/>
        <v>-1915965.2564594061</v>
      </c>
      <c r="AT329" s="72">
        <f t="shared" si="366"/>
        <v>-1915965.2564594061</v>
      </c>
      <c r="AU329" s="72">
        <f t="shared" si="366"/>
        <v>-1915965.2564594061</v>
      </c>
      <c r="AV329" s="72">
        <f t="shared" si="366"/>
        <v>-1915965.2564594061</v>
      </c>
      <c r="AW329" s="72">
        <f t="shared" si="366"/>
        <v>-1915965.2564594061</v>
      </c>
      <c r="AX329" s="72">
        <f t="shared" si="366"/>
        <v>-1915965.2564594061</v>
      </c>
      <c r="AY329" s="72">
        <f t="shared" si="366"/>
        <v>-1915965.2564594061</v>
      </c>
      <c r="AZ329" s="72">
        <f t="shared" si="366"/>
        <v>-1915965.2564594061</v>
      </c>
      <c r="BA329" s="72">
        <f t="shared" si="366"/>
        <v>-1915965.2564594061</v>
      </c>
      <c r="BB329" s="72">
        <f t="shared" si="366"/>
        <v>-1915965.2564594061</v>
      </c>
      <c r="BC329" s="72">
        <f t="shared" si="367"/>
        <v>-1915965.2564594061</v>
      </c>
      <c r="BD329" s="72">
        <f t="shared" si="367"/>
        <v>-1915965.2564594061</v>
      </c>
      <c r="BE329" s="72">
        <f t="shared" si="367"/>
        <v>-1915965.2564594061</v>
      </c>
      <c r="BF329" s="72">
        <f t="shared" si="367"/>
        <v>-1915965.2564594061</v>
      </c>
      <c r="BG329" s="72">
        <f t="shared" si="367"/>
        <v>-1915965.2564594061</v>
      </c>
      <c r="BH329" s="72">
        <f t="shared" si="367"/>
        <v>-1915965.2564594061</v>
      </c>
      <c r="BI329" s="72">
        <f t="shared" si="367"/>
        <v>-1915965.2564594061</v>
      </c>
      <c r="BJ329" s="72">
        <f t="shared" si="367"/>
        <v>-1915965.2564594061</v>
      </c>
      <c r="BK329" s="72">
        <f t="shared" si="367"/>
        <v>-1915965.2564594061</v>
      </c>
      <c r="BL329" s="72">
        <f t="shared" si="367"/>
        <v>-1915965.2564594061</v>
      </c>
      <c r="BM329" s="72">
        <f t="shared" si="367"/>
        <v>-1915965.2564594061</v>
      </c>
      <c r="BN329" s="72"/>
      <c r="BO329" s="72">
        <f>NPV(Lookups!$E$17,AM329:BM329)</f>
        <v>-42751580.61811883</v>
      </c>
      <c r="BP329" s="72">
        <f>IF($C$4=Year1,-PMT(Lookups!$E$17,25,NPV(Lookups!$E$17,AM329:BK329),0,1),IF($C$4=Year2,-PMT(Lookups!$F$17,25,NPV(Lookups!$F$17,AN329:BL329),0,1),IF($C$4=Year3,-PMT(Lookups!$G$17,25,NPV(Lookups!$G$17,AO329:BM329),0,1),-PMT(Lookups!$G$17,27,NPV(Lookups!$G$17,AM329:BM329),0,1))))</f>
        <v>-1889243.8039722238</v>
      </c>
      <c r="BS329" s="84" t="str">
        <f>"No EE Scenario "&amp;E329&amp;" rate multiplied by No EE Scenario sales."</f>
        <v>No EE Scenario LDAC, Non-EE rate multiplied by No EE Scenario sales.</v>
      </c>
      <c r="BT329" s="51" t="s">
        <v>17</v>
      </c>
    </row>
    <row r="330" spans="1:72" x14ac:dyDescent="0.25">
      <c r="A330" s="52" t="s">
        <v>17</v>
      </c>
      <c r="B330" s="243" t="str">
        <f>B328</f>
        <v>Portfolio Total</v>
      </c>
      <c r="C330" s="243" t="str">
        <f>C328</f>
        <v>Revenue Requirements</v>
      </c>
      <c r="D330" s="244" t="str">
        <f>D328</f>
        <v>Revenue Requirement before DSM (No EE Scenario)</v>
      </c>
      <c r="E330" s="84" t="s">
        <v>197</v>
      </c>
      <c r="F330" s="84" t="s">
        <v>32</v>
      </c>
      <c r="G330" s="65">
        <f t="shared" si="364"/>
        <v>59392410.029498205</v>
      </c>
      <c r="H330" s="65">
        <f t="shared" si="364"/>
        <v>59392410.029498205</v>
      </c>
      <c r="I330" s="65">
        <f t="shared" si="364"/>
        <v>59392410.029498205</v>
      </c>
      <c r="J330" s="65">
        <f t="shared" si="364"/>
        <v>59392410.029498205</v>
      </c>
      <c r="K330" s="65">
        <f t="shared" si="364"/>
        <v>59392410.029498205</v>
      </c>
      <c r="L330" s="65">
        <f t="shared" si="364"/>
        <v>59392410.029498205</v>
      </c>
      <c r="M330" s="65">
        <f t="shared" si="364"/>
        <v>59392410.029498205</v>
      </c>
      <c r="N330" s="65">
        <f t="shared" si="364"/>
        <v>59392410.029498205</v>
      </c>
      <c r="O330" s="65">
        <f t="shared" si="364"/>
        <v>59392410.029498205</v>
      </c>
      <c r="P330" s="65">
        <f t="shared" si="364"/>
        <v>59392410.029498205</v>
      </c>
      <c r="Q330" s="65">
        <f t="shared" si="364"/>
        <v>59392410.029498205</v>
      </c>
      <c r="R330" s="65">
        <f t="shared" si="364"/>
        <v>59392410.029498205</v>
      </c>
      <c r="S330" s="65">
        <f t="shared" si="364"/>
        <v>59392410.029498205</v>
      </c>
      <c r="T330" s="65">
        <f t="shared" si="364"/>
        <v>59392410.029498205</v>
      </c>
      <c r="U330" s="65">
        <f t="shared" si="364"/>
        <v>59392410.029498205</v>
      </c>
      <c r="V330" s="65">
        <f t="shared" si="364"/>
        <v>59392410.029498205</v>
      </c>
      <c r="W330" s="65">
        <f t="shared" si="365"/>
        <v>59392410.029498205</v>
      </c>
      <c r="X330" s="65">
        <f t="shared" si="365"/>
        <v>59392410.029498205</v>
      </c>
      <c r="Y330" s="65">
        <f t="shared" si="365"/>
        <v>59392410.029498205</v>
      </c>
      <c r="Z330" s="65">
        <f t="shared" si="365"/>
        <v>59392410.029498205</v>
      </c>
      <c r="AA330" s="65">
        <f t="shared" si="365"/>
        <v>59392410.029498205</v>
      </c>
      <c r="AB330" s="65">
        <f t="shared" si="365"/>
        <v>59392410.029498205</v>
      </c>
      <c r="AC330" s="65">
        <f t="shared" si="365"/>
        <v>59392410.029498205</v>
      </c>
      <c r="AD330" s="65">
        <f t="shared" si="365"/>
        <v>59392410.029498205</v>
      </c>
      <c r="AE330" s="65">
        <f t="shared" si="365"/>
        <v>59392410.029498205</v>
      </c>
      <c r="AF330" s="65">
        <f t="shared" si="365"/>
        <v>59392410.029498205</v>
      </c>
      <c r="AG330" s="65">
        <f t="shared" si="365"/>
        <v>59392410.029498205</v>
      </c>
      <c r="AH330" s="65"/>
      <c r="AI330" s="65">
        <f>NPV(Lookups!$E$17,G330:AG330)</f>
        <v>1325242927.5114357</v>
      </c>
      <c r="AJ330" s="65">
        <f>IF($C$4=Year1,-PMT(Lookups!$E$17,25,NPV(Lookups!$E$17,G330:AE330),0,1),IF($C$4=Year2,-PMT(Lookups!$F$17,25,NPV(Lookups!$F$17,H330:AF330),0,1),IF($C$4=Year3,-PMT(Lookups!$G$17,25,NPV(Lookups!$G$17,I330:AG330),0,1),-PMT(Lookups!$G$17,27,NPV(Lookups!$G$17,G330:AG330),0,1))))</f>
        <v>58564080.049425758</v>
      </c>
      <c r="AM330" s="72">
        <f t="shared" si="366"/>
        <v>59392410.029498205</v>
      </c>
      <c r="AN330" s="72">
        <f t="shared" si="366"/>
        <v>59392410.029498205</v>
      </c>
      <c r="AO330" s="72">
        <f t="shared" si="366"/>
        <v>59392410.029498205</v>
      </c>
      <c r="AP330" s="72">
        <f t="shared" si="366"/>
        <v>59392410.029498205</v>
      </c>
      <c r="AQ330" s="72">
        <f t="shared" si="366"/>
        <v>59392410.029498205</v>
      </c>
      <c r="AR330" s="72">
        <f t="shared" si="366"/>
        <v>59392410.029498205</v>
      </c>
      <c r="AS330" s="72">
        <f t="shared" si="366"/>
        <v>59392410.029498205</v>
      </c>
      <c r="AT330" s="72">
        <f t="shared" si="366"/>
        <v>59392410.029498205</v>
      </c>
      <c r="AU330" s="72">
        <f t="shared" si="366"/>
        <v>59392410.029498205</v>
      </c>
      <c r="AV330" s="72">
        <f t="shared" si="366"/>
        <v>59392410.029498205</v>
      </c>
      <c r="AW330" s="72">
        <f t="shared" si="366"/>
        <v>59392410.029498205</v>
      </c>
      <c r="AX330" s="72">
        <f t="shared" si="366"/>
        <v>59392410.029498205</v>
      </c>
      <c r="AY330" s="72">
        <f t="shared" si="366"/>
        <v>59392410.029498205</v>
      </c>
      <c r="AZ330" s="72">
        <f t="shared" si="366"/>
        <v>59392410.029498205</v>
      </c>
      <c r="BA330" s="72">
        <f t="shared" si="366"/>
        <v>59392410.029498205</v>
      </c>
      <c r="BB330" s="72">
        <f t="shared" si="366"/>
        <v>59392410.029498205</v>
      </c>
      <c r="BC330" s="72">
        <f t="shared" si="367"/>
        <v>59392410.029498205</v>
      </c>
      <c r="BD330" s="72">
        <f t="shared" si="367"/>
        <v>59392410.029498205</v>
      </c>
      <c r="BE330" s="72">
        <f t="shared" si="367"/>
        <v>59392410.029498205</v>
      </c>
      <c r="BF330" s="72">
        <f t="shared" si="367"/>
        <v>59392410.029498205</v>
      </c>
      <c r="BG330" s="72">
        <f t="shared" si="367"/>
        <v>59392410.029498205</v>
      </c>
      <c r="BH330" s="72">
        <f t="shared" si="367"/>
        <v>59392410.029498205</v>
      </c>
      <c r="BI330" s="72">
        <f t="shared" si="367"/>
        <v>59392410.029498205</v>
      </c>
      <c r="BJ330" s="72">
        <f t="shared" si="367"/>
        <v>59392410.029498205</v>
      </c>
      <c r="BK330" s="72">
        <f t="shared" si="367"/>
        <v>59392410.029498205</v>
      </c>
      <c r="BL330" s="72">
        <f t="shared" si="367"/>
        <v>59392410.029498205</v>
      </c>
      <c r="BM330" s="72">
        <f t="shared" si="367"/>
        <v>59392410.029498205</v>
      </c>
      <c r="BN330" s="72"/>
      <c r="BO330" s="72">
        <f>NPV(Lookups!$E$17,AM330:BM330)</f>
        <v>1325242927.5114357</v>
      </c>
      <c r="BP330" s="72">
        <f>IF($C$4=Year1,-PMT(Lookups!$E$17,25,NPV(Lookups!$E$17,AM330:BK330),0,1),IF($C$4=Year2,-PMT(Lookups!$F$17,25,NPV(Lookups!$F$17,AN330:BL330),0,1),IF($C$4=Year3,-PMT(Lookups!$G$17,25,NPV(Lookups!$G$17,AO330:BM330),0,1),-PMT(Lookups!$G$17,27,NPV(Lookups!$G$17,AM330:BM330),0,1))))</f>
        <v>58564080.049425758</v>
      </c>
      <c r="BS330" s="84" t="str">
        <f>"No EE Scenario "&amp;E330&amp;" rate multiplied by No EE Scenario sales."</f>
        <v>No EE Scenario Cost of Gas rate multiplied by No EE Scenario sales.</v>
      </c>
      <c r="BT330" s="51" t="s">
        <v>17</v>
      </c>
    </row>
    <row r="331" spans="1:72" x14ac:dyDescent="0.25">
      <c r="A331" s="52" t="s">
        <v>17</v>
      </c>
      <c r="B331" s="243" t="str">
        <f t="shared" ref="B331:C333" si="368">B329</f>
        <v>Portfolio Total</v>
      </c>
      <c r="C331" s="243" t="str">
        <f t="shared" si="368"/>
        <v>Revenue Requirements</v>
      </c>
      <c r="D331" s="244" t="str">
        <f>D329</f>
        <v>Revenue Requirement before DSM (No EE Scenario)</v>
      </c>
      <c r="E331" s="84" t="s">
        <v>272</v>
      </c>
      <c r="F331" s="84" t="s">
        <v>32</v>
      </c>
      <c r="G331" s="65">
        <f>SUM(G328:G330)</f>
        <v>100813860.41690284</v>
      </c>
      <c r="H331" s="65">
        <f t="shared" ref="H331:AG331" si="369">SUM(H328:H330)</f>
        <v>100813860.41690284</v>
      </c>
      <c r="I331" s="65">
        <f t="shared" si="369"/>
        <v>100813860.41690284</v>
      </c>
      <c r="J331" s="65">
        <f t="shared" si="369"/>
        <v>100813860.41690284</v>
      </c>
      <c r="K331" s="65">
        <f t="shared" si="369"/>
        <v>100813860.41690284</v>
      </c>
      <c r="L331" s="65">
        <f t="shared" si="369"/>
        <v>100813860.41690284</v>
      </c>
      <c r="M331" s="65">
        <f t="shared" si="369"/>
        <v>100813860.41690284</v>
      </c>
      <c r="N331" s="65">
        <f t="shared" si="369"/>
        <v>100813860.41690284</v>
      </c>
      <c r="O331" s="65">
        <f t="shared" si="369"/>
        <v>100813860.41690284</v>
      </c>
      <c r="P331" s="65">
        <f t="shared" si="369"/>
        <v>100813860.41690284</v>
      </c>
      <c r="Q331" s="65">
        <f t="shared" si="369"/>
        <v>100813860.41690284</v>
      </c>
      <c r="R331" s="65">
        <f t="shared" si="369"/>
        <v>100813860.41690284</v>
      </c>
      <c r="S331" s="65">
        <f t="shared" si="369"/>
        <v>100813860.41690284</v>
      </c>
      <c r="T331" s="65">
        <f t="shared" si="369"/>
        <v>100813860.41690284</v>
      </c>
      <c r="U331" s="65">
        <f t="shared" si="369"/>
        <v>100813860.41690284</v>
      </c>
      <c r="V331" s="65">
        <f t="shared" si="369"/>
        <v>100813860.41690284</v>
      </c>
      <c r="W331" s="65">
        <f t="shared" si="369"/>
        <v>100813860.41690284</v>
      </c>
      <c r="X331" s="65">
        <f t="shared" si="369"/>
        <v>100813860.41690284</v>
      </c>
      <c r="Y331" s="65">
        <f t="shared" si="369"/>
        <v>100813860.41690284</v>
      </c>
      <c r="Z331" s="65">
        <f t="shared" si="369"/>
        <v>100813860.41690284</v>
      </c>
      <c r="AA331" s="65">
        <f t="shared" si="369"/>
        <v>100813860.41690284</v>
      </c>
      <c r="AB331" s="65">
        <f t="shared" si="369"/>
        <v>100813860.41690284</v>
      </c>
      <c r="AC331" s="65">
        <f t="shared" si="369"/>
        <v>100813860.41690284</v>
      </c>
      <c r="AD331" s="65">
        <f t="shared" si="369"/>
        <v>100813860.41690284</v>
      </c>
      <c r="AE331" s="65">
        <f t="shared" si="369"/>
        <v>100813860.41690284</v>
      </c>
      <c r="AF331" s="65">
        <f t="shared" si="369"/>
        <v>100813860.41690284</v>
      </c>
      <c r="AG331" s="65">
        <f t="shared" si="369"/>
        <v>100813860.41690284</v>
      </c>
      <c r="AH331" s="65"/>
      <c r="AI331" s="65">
        <f>NPV(Lookups!$E$17,G331:AG331)</f>
        <v>2249493755.95753</v>
      </c>
      <c r="AJ331" s="65">
        <f>IF($C$4=Year1,-PMT(Lookups!$E$17,25,NPV(Lookups!$E$17,G331:AE331),0,1),IF($C$4=Year2,-PMT(Lookups!$F$17,25,NPV(Lookups!$F$17,H331:AF331),0,1),IF($C$4=Year3,-PMT(Lookups!$G$17,25,NPV(Lookups!$G$17,I331:AG331),0,1),-PMT(Lookups!$G$17,27,NPV(Lookups!$G$17,G331:AG331),0,1))))</f>
        <v>99407836.600918919</v>
      </c>
      <c r="AM331" s="72">
        <f>SUM(AM328:AM330)</f>
        <v>100813860.41690284</v>
      </c>
      <c r="AN331" s="72">
        <f t="shared" ref="AN331:BM331" si="370">SUM(AN328:AN330)</f>
        <v>100813860.41690284</v>
      </c>
      <c r="AO331" s="72">
        <f t="shared" si="370"/>
        <v>100813860.41690284</v>
      </c>
      <c r="AP331" s="72">
        <f t="shared" si="370"/>
        <v>100813860.41690284</v>
      </c>
      <c r="AQ331" s="72">
        <f t="shared" si="370"/>
        <v>100813860.41690284</v>
      </c>
      <c r="AR331" s="72">
        <f t="shared" si="370"/>
        <v>100813860.41690284</v>
      </c>
      <c r="AS331" s="72">
        <f t="shared" si="370"/>
        <v>100813860.41690284</v>
      </c>
      <c r="AT331" s="72">
        <f t="shared" si="370"/>
        <v>100813860.41690284</v>
      </c>
      <c r="AU331" s="72">
        <f t="shared" si="370"/>
        <v>100813860.41690284</v>
      </c>
      <c r="AV331" s="72">
        <f t="shared" si="370"/>
        <v>100813860.41690284</v>
      </c>
      <c r="AW331" s="72">
        <f t="shared" si="370"/>
        <v>100813860.41690284</v>
      </c>
      <c r="AX331" s="72">
        <f t="shared" si="370"/>
        <v>100813860.41690284</v>
      </c>
      <c r="AY331" s="72">
        <f t="shared" si="370"/>
        <v>100813860.41690284</v>
      </c>
      <c r="AZ331" s="72">
        <f t="shared" si="370"/>
        <v>100813860.41690284</v>
      </c>
      <c r="BA331" s="72">
        <f t="shared" si="370"/>
        <v>100813860.41690284</v>
      </c>
      <c r="BB331" s="72">
        <f t="shared" si="370"/>
        <v>100813860.41690284</v>
      </c>
      <c r="BC331" s="72">
        <f t="shared" si="370"/>
        <v>100813860.41690284</v>
      </c>
      <c r="BD331" s="72">
        <f t="shared" si="370"/>
        <v>100813860.41690284</v>
      </c>
      <c r="BE331" s="72">
        <f t="shared" si="370"/>
        <v>100813860.41690284</v>
      </c>
      <c r="BF331" s="72">
        <f t="shared" si="370"/>
        <v>100813860.41690284</v>
      </c>
      <c r="BG331" s="72">
        <f t="shared" si="370"/>
        <v>100813860.41690284</v>
      </c>
      <c r="BH331" s="72">
        <f t="shared" si="370"/>
        <v>100813860.41690284</v>
      </c>
      <c r="BI331" s="72">
        <f t="shared" si="370"/>
        <v>100813860.41690284</v>
      </c>
      <c r="BJ331" s="72">
        <f t="shared" si="370"/>
        <v>100813860.41690284</v>
      </c>
      <c r="BK331" s="72">
        <f t="shared" si="370"/>
        <v>100813860.41690284</v>
      </c>
      <c r="BL331" s="72">
        <f t="shared" si="370"/>
        <v>100813860.41690284</v>
      </c>
      <c r="BM331" s="72">
        <f t="shared" si="370"/>
        <v>100813860.41690284</v>
      </c>
      <c r="BN331" s="72"/>
      <c r="BO331" s="72">
        <f>NPV(Lookups!$E$17,AM331:BM331)</f>
        <v>2249493755.95753</v>
      </c>
      <c r="BP331" s="72">
        <f>IF($C$4=Year1,-PMT(Lookups!$E$17,25,NPV(Lookups!$E$17,AM331:BK331),0,1),IF($C$4=Year2,-PMT(Lookups!$F$17,25,NPV(Lookups!$F$17,AN331:BL331),0,1),IF($C$4=Year3,-PMT(Lookups!$G$17,25,NPV(Lookups!$G$17,AO331:BM331),0,1),-PMT(Lookups!$G$17,27,NPV(Lookups!$G$17,AM331:BM331),0,1))))</f>
        <v>99407836.600918919</v>
      </c>
      <c r="BS331" s="84"/>
      <c r="BT331" s="51" t="s">
        <v>17</v>
      </c>
    </row>
    <row r="332" spans="1:72" x14ac:dyDescent="0.25">
      <c r="A332" s="52" t="s">
        <v>17</v>
      </c>
      <c r="B332" s="243" t="str">
        <f t="shared" si="368"/>
        <v>Portfolio Total</v>
      </c>
      <c r="C332" s="243" t="str">
        <f t="shared" si="368"/>
        <v>Revenue Requirements</v>
      </c>
      <c r="D332" s="114" t="s">
        <v>24</v>
      </c>
      <c r="E332" s="84"/>
      <c r="F332" s="84"/>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S332" s="84"/>
      <c r="BT332" s="51" t="s">
        <v>17</v>
      </c>
    </row>
    <row r="333" spans="1:72" x14ac:dyDescent="0.25">
      <c r="A333" s="52" t="s">
        <v>17</v>
      </c>
      <c r="B333" s="243" t="str">
        <f t="shared" si="368"/>
        <v>Portfolio Total</v>
      </c>
      <c r="C333" s="243" t="str">
        <f t="shared" si="368"/>
        <v>Revenue Requirements</v>
      </c>
      <c r="D333" s="244" t="str">
        <f>D332</f>
        <v>Avoided Costs</v>
      </c>
      <c r="E333" s="84" t="s">
        <v>45</v>
      </c>
      <c r="F333" s="84" t="s">
        <v>32</v>
      </c>
      <c r="G333" s="65">
        <f t="shared" ref="G333:V335" ca="1" si="371">SUMIFS(G$9:G$322,$D$9:$D$322,$D333,$E$9:$E$322,$E333)</f>
        <v>1185624.9315493044</v>
      </c>
      <c r="H333" s="65">
        <f t="shared" ca="1" si="371"/>
        <v>1185624.9315493044</v>
      </c>
      <c r="I333" s="65">
        <f t="shared" ca="1" si="371"/>
        <v>1185624.9315493044</v>
      </c>
      <c r="J333" s="65">
        <f t="shared" ca="1" si="371"/>
        <v>1185624.9315493044</v>
      </c>
      <c r="K333" s="65">
        <f t="shared" ca="1" si="371"/>
        <v>1185624.9315493044</v>
      </c>
      <c r="L333" s="65">
        <f t="shared" ca="1" si="371"/>
        <v>1185624.9315493044</v>
      </c>
      <c r="M333" s="65">
        <f t="shared" ca="1" si="371"/>
        <v>1185624.9315493044</v>
      </c>
      <c r="N333" s="65">
        <f t="shared" ca="1" si="371"/>
        <v>1185624.9315493044</v>
      </c>
      <c r="O333" s="65">
        <f t="shared" ca="1" si="371"/>
        <v>1185624.9315493044</v>
      </c>
      <c r="P333" s="65">
        <f t="shared" ca="1" si="371"/>
        <v>1185624.9315493044</v>
      </c>
      <c r="Q333" s="65">
        <f t="shared" ca="1" si="371"/>
        <v>1185624.9315493044</v>
      </c>
      <c r="R333" s="65">
        <f t="shared" ca="1" si="371"/>
        <v>1185624.9315493044</v>
      </c>
      <c r="S333" s="65">
        <f t="shared" ca="1" si="371"/>
        <v>1185624.9315493044</v>
      </c>
      <c r="T333" s="65">
        <f t="shared" ca="1" si="371"/>
        <v>560428.03561394836</v>
      </c>
      <c r="U333" s="65">
        <f t="shared" ca="1" si="371"/>
        <v>560428.03561394836</v>
      </c>
      <c r="V333" s="65">
        <f t="shared" ca="1" si="371"/>
        <v>283034.05405321671</v>
      </c>
      <c r="W333" s="65">
        <f t="shared" ref="W333:AG335" ca="1" si="372">SUMIFS(W$9:W$322,$D$9:$D$322,$D333,$E$9:$E$322,$E333)</f>
        <v>64889.055928355941</v>
      </c>
      <c r="X333" s="65">
        <f t="shared" ca="1" si="372"/>
        <v>64889.055928355941</v>
      </c>
      <c r="Y333" s="65">
        <f t="shared" ca="1" si="372"/>
        <v>64889.055928355941</v>
      </c>
      <c r="Z333" s="65">
        <f t="shared" ca="1" si="372"/>
        <v>64889.055928355941</v>
      </c>
      <c r="AA333" s="65">
        <f t="shared" ca="1" si="372"/>
        <v>0</v>
      </c>
      <c r="AB333" s="65">
        <f t="shared" ca="1" si="372"/>
        <v>0</v>
      </c>
      <c r="AC333" s="65">
        <f t="shared" ca="1" si="372"/>
        <v>0</v>
      </c>
      <c r="AD333" s="65">
        <f t="shared" ca="1" si="372"/>
        <v>0</v>
      </c>
      <c r="AE333" s="65">
        <f t="shared" ca="1" si="372"/>
        <v>0</v>
      </c>
      <c r="AF333" s="65">
        <f t="shared" ca="1" si="372"/>
        <v>0</v>
      </c>
      <c r="AG333" s="65">
        <f t="shared" ca="1" si="372"/>
        <v>0</v>
      </c>
      <c r="AH333" s="65"/>
      <c r="AI333" s="65">
        <f ca="1">NPV(Lookups!$E$17,G333:AG333)</f>
        <v>15329816.577996245</v>
      </c>
      <c r="AJ333" s="65">
        <f ca="1">IF($C$4=Year1,-PMT(Lookups!$E$17,25,NPV(Lookups!$E$17,G333:AE333),0,1),IF($C$4=Year2,-PMT(Lookups!$F$17,25,NPV(Lookups!$F$17,H333:AF333),0,1),IF($C$4=Year3,-PMT(Lookups!$G$17,25,NPV(Lookups!$G$17,I333:AG333),0,1),-PMT(Lookups!$G$17,27,NPV(Lookups!$G$17,G333:AG333),0,1))))</f>
        <v>722050.09337628679</v>
      </c>
      <c r="AM333" s="72">
        <f t="shared" ref="AM333:BB335" ca="1" si="373">SUMIFS(AM$9:AM$322,$D$9:$D$322,$D333,$E$9:$E$322,$E333)</f>
        <v>1354999.9207957089</v>
      </c>
      <c r="AN333" s="72">
        <f t="shared" ca="1" si="373"/>
        <v>1354999.9207957089</v>
      </c>
      <c r="AO333" s="72">
        <f t="shared" ca="1" si="373"/>
        <v>1354999.9207957089</v>
      </c>
      <c r="AP333" s="72">
        <f t="shared" ca="1" si="373"/>
        <v>1354999.9207957089</v>
      </c>
      <c r="AQ333" s="72">
        <f t="shared" ca="1" si="373"/>
        <v>1354999.9207957089</v>
      </c>
      <c r="AR333" s="72">
        <f t="shared" ca="1" si="373"/>
        <v>1354999.9207957089</v>
      </c>
      <c r="AS333" s="72">
        <f t="shared" ca="1" si="373"/>
        <v>1354999.9207957089</v>
      </c>
      <c r="AT333" s="72">
        <f t="shared" ca="1" si="373"/>
        <v>1354999.9207957089</v>
      </c>
      <c r="AU333" s="72">
        <f t="shared" ca="1" si="373"/>
        <v>1354999.9207957089</v>
      </c>
      <c r="AV333" s="72">
        <f t="shared" ca="1" si="373"/>
        <v>1354999.9207957089</v>
      </c>
      <c r="AW333" s="72">
        <f t="shared" ca="1" si="373"/>
        <v>1354999.9207957089</v>
      </c>
      <c r="AX333" s="72">
        <f t="shared" ca="1" si="373"/>
        <v>1354999.9207957089</v>
      </c>
      <c r="AY333" s="72">
        <f t="shared" ca="1" si="373"/>
        <v>1354999.9207957089</v>
      </c>
      <c r="AZ333" s="72">
        <f t="shared" ca="1" si="373"/>
        <v>640489.18348186626</v>
      </c>
      <c r="BA333" s="72">
        <f t="shared" ca="1" si="373"/>
        <v>640489.18348186626</v>
      </c>
      <c r="BB333" s="72">
        <f t="shared" ca="1" si="373"/>
        <v>323467.49027463445</v>
      </c>
      <c r="BC333" s="72">
        <f t="shared" ref="BC333:BM335" ca="1" si="374">SUMIFS(BC$9:BC$322,$D$9:$D$322,$D333,$E$9:$E$322,$E333)</f>
        <v>74158.921016853259</v>
      </c>
      <c r="BD333" s="72">
        <f t="shared" ca="1" si="374"/>
        <v>74158.921016853259</v>
      </c>
      <c r="BE333" s="72">
        <f t="shared" ca="1" si="374"/>
        <v>74158.921016853259</v>
      </c>
      <c r="BF333" s="72">
        <f t="shared" ca="1" si="374"/>
        <v>74158.921016853259</v>
      </c>
      <c r="BG333" s="72">
        <f t="shared" ca="1" si="374"/>
        <v>0</v>
      </c>
      <c r="BH333" s="72">
        <f t="shared" ca="1" si="374"/>
        <v>0</v>
      </c>
      <c r="BI333" s="72">
        <f t="shared" ca="1" si="374"/>
        <v>0</v>
      </c>
      <c r="BJ333" s="72">
        <f t="shared" ca="1" si="374"/>
        <v>0</v>
      </c>
      <c r="BK333" s="72">
        <f t="shared" ca="1" si="374"/>
        <v>0</v>
      </c>
      <c r="BL333" s="72">
        <f t="shared" ca="1" si="374"/>
        <v>0</v>
      </c>
      <c r="BM333" s="72">
        <f t="shared" ca="1" si="374"/>
        <v>0</v>
      </c>
      <c r="BN333" s="72"/>
      <c r="BO333" s="72">
        <f ca="1">NPV(Lookups!$E$17,AM333:BM333)</f>
        <v>17519790.363030635</v>
      </c>
      <c r="BP333" s="72">
        <f ca="1">IF($C$4=Year1,-PMT(Lookups!$E$17,25,NPV(Lookups!$E$17,AM333:BK333),0,1),IF($C$4=Year2,-PMT(Lookups!$F$17,25,NPV(Lookups!$F$17,AN333:BL333),0,1),IF($C$4=Year3,-PMT(Lookups!$G$17,25,NPV(Lookups!$G$17,AO333:BM333),0,1),-PMT(Lookups!$G$17,27,NPV(Lookups!$G$17,AM333:BM333),0,1))))</f>
        <v>825200.10615891777</v>
      </c>
      <c r="BS333" s="84" t="str">
        <f>"Avoided "&amp;E333&amp;" costs."</f>
        <v>Avoided Gas costs.</v>
      </c>
      <c r="BT333" s="51" t="s">
        <v>17</v>
      </c>
    </row>
    <row r="334" spans="1:72" x14ac:dyDescent="0.25">
      <c r="B334" s="243" t="str">
        <f t="shared" ref="B334:C334" si="375">B333</f>
        <v>Portfolio Total</v>
      </c>
      <c r="C334" s="243" t="str">
        <f t="shared" si="375"/>
        <v>Revenue Requirements</v>
      </c>
      <c r="D334" s="244" t="str">
        <f>D333</f>
        <v>Avoided Costs</v>
      </c>
      <c r="E334" s="84" t="s">
        <v>412</v>
      </c>
      <c r="F334" s="84" t="s">
        <v>32</v>
      </c>
      <c r="G334" s="65">
        <f t="shared" ca="1" si="371"/>
        <v>75678.187120168397</v>
      </c>
      <c r="H334" s="65">
        <f t="shared" ca="1" si="371"/>
        <v>75678.187120168397</v>
      </c>
      <c r="I334" s="65">
        <f t="shared" ca="1" si="371"/>
        <v>75678.187120168397</v>
      </c>
      <c r="J334" s="65">
        <f t="shared" ca="1" si="371"/>
        <v>75678.187120168397</v>
      </c>
      <c r="K334" s="65">
        <f t="shared" ca="1" si="371"/>
        <v>75678.187120168397</v>
      </c>
      <c r="L334" s="65">
        <f t="shared" ca="1" si="371"/>
        <v>75678.187120168397</v>
      </c>
      <c r="M334" s="65">
        <f t="shared" ca="1" si="371"/>
        <v>75678.187120168397</v>
      </c>
      <c r="N334" s="65">
        <f t="shared" ca="1" si="371"/>
        <v>75678.187120168397</v>
      </c>
      <c r="O334" s="65">
        <f t="shared" ca="1" si="371"/>
        <v>75678.187120168397</v>
      </c>
      <c r="P334" s="65">
        <f t="shared" ca="1" si="371"/>
        <v>75678.187120168397</v>
      </c>
      <c r="Q334" s="65">
        <f t="shared" ca="1" si="371"/>
        <v>75678.187120168397</v>
      </c>
      <c r="R334" s="65">
        <f t="shared" ca="1" si="371"/>
        <v>75678.187120168397</v>
      </c>
      <c r="S334" s="65">
        <f t="shared" ca="1" si="371"/>
        <v>75678.187120168397</v>
      </c>
      <c r="T334" s="65">
        <f t="shared" ca="1" si="371"/>
        <v>35772.002273230755</v>
      </c>
      <c r="U334" s="65">
        <f t="shared" ca="1" si="371"/>
        <v>35772.002273230755</v>
      </c>
      <c r="V334" s="65">
        <f t="shared" ca="1" si="371"/>
        <v>18066.00345020532</v>
      </c>
      <c r="W334" s="65">
        <f t="shared" ca="1" si="372"/>
        <v>4141.8546337248472</v>
      </c>
      <c r="X334" s="65">
        <f t="shared" ca="1" si="372"/>
        <v>4141.8546337248472</v>
      </c>
      <c r="Y334" s="65">
        <f t="shared" ca="1" si="372"/>
        <v>4141.8546337248472</v>
      </c>
      <c r="Z334" s="65">
        <f t="shared" ca="1" si="372"/>
        <v>4141.8546337248472</v>
      </c>
      <c r="AA334" s="65">
        <f t="shared" ca="1" si="372"/>
        <v>0</v>
      </c>
      <c r="AB334" s="65">
        <f t="shared" ca="1" si="372"/>
        <v>0</v>
      </c>
      <c r="AC334" s="65">
        <f t="shared" ca="1" si="372"/>
        <v>0</v>
      </c>
      <c r="AD334" s="65">
        <f t="shared" ca="1" si="372"/>
        <v>0</v>
      </c>
      <c r="AE334" s="65">
        <f t="shared" ca="1" si="372"/>
        <v>0</v>
      </c>
      <c r="AF334" s="65">
        <f t="shared" ca="1" si="372"/>
        <v>0</v>
      </c>
      <c r="AG334" s="65">
        <f t="shared" ca="1" si="372"/>
        <v>0</v>
      </c>
      <c r="AH334" s="65"/>
      <c r="AI334" s="65">
        <f ca="1">NPV(Lookups!$E$17,G334:AG334)</f>
        <v>978498.93051039893</v>
      </c>
      <c r="AJ334" s="65">
        <f ca="1">IF($C$4=Year1,-PMT(Lookups!$E$17,25,NPV(Lookups!$E$17,G334:AE334),0,1),IF($C$4=Year2,-PMT(Lookups!$F$17,25,NPV(Lookups!$F$17,H334:AF334),0,1),IF($C$4=Year3,-PMT(Lookups!$G$17,25,NPV(Lookups!$G$17,I334:AG334),0,1),-PMT(Lookups!$G$17,27,NPV(Lookups!$G$17,G334:AG334),0,1))))</f>
        <v>46088.30383252896</v>
      </c>
      <c r="AM334" s="72">
        <f t="shared" ca="1" si="373"/>
        <v>86489.356646534594</v>
      </c>
      <c r="AN334" s="72">
        <f t="shared" ca="1" si="373"/>
        <v>86489.356646534594</v>
      </c>
      <c r="AO334" s="72">
        <f t="shared" ca="1" si="373"/>
        <v>86489.356646534594</v>
      </c>
      <c r="AP334" s="72">
        <f t="shared" ca="1" si="373"/>
        <v>86489.356646534594</v>
      </c>
      <c r="AQ334" s="72">
        <f t="shared" ca="1" si="373"/>
        <v>86489.356646534594</v>
      </c>
      <c r="AR334" s="72">
        <f t="shared" ca="1" si="373"/>
        <v>86489.356646534594</v>
      </c>
      <c r="AS334" s="72">
        <f t="shared" ca="1" si="373"/>
        <v>86489.356646534594</v>
      </c>
      <c r="AT334" s="72">
        <f t="shared" ca="1" si="373"/>
        <v>86489.356646534594</v>
      </c>
      <c r="AU334" s="72">
        <f t="shared" ca="1" si="373"/>
        <v>86489.356646534594</v>
      </c>
      <c r="AV334" s="72">
        <f t="shared" ca="1" si="373"/>
        <v>86489.356646534594</v>
      </c>
      <c r="AW334" s="72">
        <f t="shared" ca="1" si="373"/>
        <v>86489.356646534594</v>
      </c>
      <c r="AX334" s="72">
        <f t="shared" ca="1" si="373"/>
        <v>86489.356646534594</v>
      </c>
      <c r="AY334" s="72">
        <f t="shared" ca="1" si="373"/>
        <v>86489.356646534594</v>
      </c>
      <c r="AZ334" s="72">
        <f t="shared" ca="1" si="373"/>
        <v>40882.288307353163</v>
      </c>
      <c r="BA334" s="72">
        <f t="shared" ca="1" si="373"/>
        <v>40882.288307353163</v>
      </c>
      <c r="BB334" s="72">
        <f t="shared" ca="1" si="373"/>
        <v>20646.861081359642</v>
      </c>
      <c r="BC334" s="72">
        <f t="shared" ca="1" si="374"/>
        <v>4733.5481500119095</v>
      </c>
      <c r="BD334" s="72">
        <f t="shared" ca="1" si="374"/>
        <v>4733.5481500119095</v>
      </c>
      <c r="BE334" s="72">
        <f t="shared" ca="1" si="374"/>
        <v>4733.5481500119095</v>
      </c>
      <c r="BF334" s="72">
        <f t="shared" ca="1" si="374"/>
        <v>4733.5481500119095</v>
      </c>
      <c r="BG334" s="72">
        <f t="shared" ca="1" si="374"/>
        <v>0</v>
      </c>
      <c r="BH334" s="72">
        <f t="shared" ca="1" si="374"/>
        <v>0</v>
      </c>
      <c r="BI334" s="72">
        <f t="shared" ca="1" si="374"/>
        <v>0</v>
      </c>
      <c r="BJ334" s="72">
        <f t="shared" ca="1" si="374"/>
        <v>0</v>
      </c>
      <c r="BK334" s="72">
        <f t="shared" ca="1" si="374"/>
        <v>0</v>
      </c>
      <c r="BL334" s="72">
        <f t="shared" ca="1" si="374"/>
        <v>0</v>
      </c>
      <c r="BM334" s="72">
        <f t="shared" ca="1" si="374"/>
        <v>0</v>
      </c>
      <c r="BN334" s="72"/>
      <c r="BO334" s="72">
        <f ca="1">NPV(Lookups!$E$17,AM334:BM334)</f>
        <v>1118284.4912572743</v>
      </c>
      <c r="BP334" s="72">
        <f ca="1">IF($C$4=Year1,-PMT(Lookups!$E$17,25,NPV(Lookups!$E$17,AM334:BK334),0,1),IF($C$4=Year2,-PMT(Lookups!$F$17,25,NPV(Lookups!$F$17,AN334:BL334),0,1),IF($C$4=Year3,-PMT(Lookups!$G$17,25,NPV(Lookups!$G$17,AO334:BM334),0,1),-PMT(Lookups!$G$17,27,NPV(Lookups!$G$17,AM334:BM334),0,1))))</f>
        <v>52672.347201633034</v>
      </c>
      <c r="BS334" s="84" t="str">
        <f>"Avoided "&amp;E334&amp;" costs."</f>
        <v>Avoided Gas, Retail Margin costs.</v>
      </c>
      <c r="BT334" s="51"/>
    </row>
    <row r="335" spans="1:72" x14ac:dyDescent="0.25">
      <c r="A335" s="52" t="s">
        <v>17</v>
      </c>
      <c r="B335" s="243" t="str">
        <f t="shared" ref="B335:C336" si="376">B332</f>
        <v>Portfolio Total</v>
      </c>
      <c r="C335" s="243" t="str">
        <f t="shared" si="376"/>
        <v>Revenue Requirements</v>
      </c>
      <c r="D335" s="244" t="str">
        <f>D333</f>
        <v>Avoided Costs</v>
      </c>
      <c r="E335" s="86" t="s">
        <v>175</v>
      </c>
      <c r="F335" s="84" t="s">
        <v>32</v>
      </c>
      <c r="G335" s="65">
        <f t="shared" ca="1" si="371"/>
        <v>53125.637756518219</v>
      </c>
      <c r="H335" s="65">
        <f t="shared" ca="1" si="371"/>
        <v>53125.637756518219</v>
      </c>
      <c r="I335" s="65">
        <f t="shared" ca="1" si="371"/>
        <v>53125.637756518219</v>
      </c>
      <c r="J335" s="65">
        <f t="shared" ca="1" si="371"/>
        <v>53125.637756518219</v>
      </c>
      <c r="K335" s="65">
        <f t="shared" ca="1" si="371"/>
        <v>53125.637756518219</v>
      </c>
      <c r="L335" s="65">
        <f t="shared" ca="1" si="371"/>
        <v>53125.637756518219</v>
      </c>
      <c r="M335" s="65">
        <f t="shared" ca="1" si="371"/>
        <v>53125.637756518219</v>
      </c>
      <c r="N335" s="65">
        <f t="shared" ca="1" si="371"/>
        <v>53125.637756518219</v>
      </c>
      <c r="O335" s="65">
        <f t="shared" ca="1" si="371"/>
        <v>53125.637756518219</v>
      </c>
      <c r="P335" s="65">
        <f t="shared" ca="1" si="371"/>
        <v>53125.637756518219</v>
      </c>
      <c r="Q335" s="65">
        <f t="shared" ca="1" si="371"/>
        <v>53125.637756518219</v>
      </c>
      <c r="R335" s="65">
        <f t="shared" ca="1" si="371"/>
        <v>53125.637756518219</v>
      </c>
      <c r="S335" s="65">
        <f t="shared" ca="1" si="371"/>
        <v>53125.637756518219</v>
      </c>
      <c r="T335" s="65">
        <f t="shared" ca="1" si="371"/>
        <v>21424.524058101462</v>
      </c>
      <c r="U335" s="65">
        <f t="shared" ca="1" si="371"/>
        <v>21424.524058101462</v>
      </c>
      <c r="V335" s="65">
        <f t="shared" ca="1" si="371"/>
        <v>10392.238379611001</v>
      </c>
      <c r="W335" s="65">
        <f t="shared" ca="1" si="372"/>
        <v>2217.1550683603477</v>
      </c>
      <c r="X335" s="65">
        <f t="shared" ca="1" si="372"/>
        <v>2217.1550683603477</v>
      </c>
      <c r="Y335" s="65">
        <f t="shared" ca="1" si="372"/>
        <v>2217.1550683603477</v>
      </c>
      <c r="Z335" s="65">
        <f t="shared" ca="1" si="372"/>
        <v>2217.1550683603477</v>
      </c>
      <c r="AA335" s="65">
        <f t="shared" ca="1" si="372"/>
        <v>0</v>
      </c>
      <c r="AB335" s="65">
        <f t="shared" ca="1" si="372"/>
        <v>0</v>
      </c>
      <c r="AC335" s="65">
        <f t="shared" ca="1" si="372"/>
        <v>0</v>
      </c>
      <c r="AD335" s="65">
        <f t="shared" ca="1" si="372"/>
        <v>0</v>
      </c>
      <c r="AE335" s="65">
        <f t="shared" ca="1" si="372"/>
        <v>0</v>
      </c>
      <c r="AF335" s="65">
        <f t="shared" ca="1" si="372"/>
        <v>0</v>
      </c>
      <c r="AG335" s="65">
        <f t="shared" ca="1" si="372"/>
        <v>0</v>
      </c>
      <c r="AH335" s="65"/>
      <c r="AI335" s="65">
        <f ca="1">NPV(Lookups!$E$17,G335:AG335)</f>
        <v>676925.55412660167</v>
      </c>
      <c r="AJ335" s="65">
        <f ca="1">IF($C$4=Year1,-PMT(Lookups!$E$17,25,NPV(Lookups!$E$17,G335:AE335),0,1),IF($C$4=Year2,-PMT(Lookups!$F$17,25,NPV(Lookups!$F$17,H335:AF335),0,1),IF($C$4=Year3,-PMT(Lookups!$G$17,25,NPV(Lookups!$G$17,I335:AG335),0,1),-PMT(Lookups!$G$17,27,NPV(Lookups!$G$17,G335:AG335),0,1))))</f>
        <v>31883.888308714188</v>
      </c>
      <c r="AM335" s="72">
        <f t="shared" ca="1" si="373"/>
        <v>60715.014530595785</v>
      </c>
      <c r="AN335" s="72">
        <f t="shared" ca="1" si="373"/>
        <v>60715.014530595785</v>
      </c>
      <c r="AO335" s="72">
        <f t="shared" ca="1" si="373"/>
        <v>60715.014530595785</v>
      </c>
      <c r="AP335" s="72">
        <f t="shared" ca="1" si="373"/>
        <v>60715.014530595785</v>
      </c>
      <c r="AQ335" s="72">
        <f t="shared" ca="1" si="373"/>
        <v>60715.014530595785</v>
      </c>
      <c r="AR335" s="72">
        <f t="shared" ca="1" si="373"/>
        <v>60715.014530595785</v>
      </c>
      <c r="AS335" s="72">
        <f t="shared" ca="1" si="373"/>
        <v>60715.014530595785</v>
      </c>
      <c r="AT335" s="72">
        <f t="shared" ca="1" si="373"/>
        <v>60715.014530595785</v>
      </c>
      <c r="AU335" s="72">
        <f t="shared" ca="1" si="373"/>
        <v>60715.014530595785</v>
      </c>
      <c r="AV335" s="72">
        <f t="shared" ca="1" si="373"/>
        <v>60715.014530595785</v>
      </c>
      <c r="AW335" s="72">
        <f t="shared" ca="1" si="373"/>
        <v>60715.014530595785</v>
      </c>
      <c r="AX335" s="72">
        <f t="shared" ca="1" si="373"/>
        <v>60715.014530595785</v>
      </c>
      <c r="AY335" s="72">
        <f t="shared" ca="1" si="373"/>
        <v>60715.014530595785</v>
      </c>
      <c r="AZ335" s="72">
        <f t="shared" ca="1" si="373"/>
        <v>24485.170349367258</v>
      </c>
      <c r="BA335" s="72">
        <f t="shared" ca="1" si="373"/>
        <v>24485.170349367258</v>
      </c>
      <c r="BB335" s="72">
        <f t="shared" ca="1" si="373"/>
        <v>11876.84385986405</v>
      </c>
      <c r="BC335" s="72">
        <f t="shared" ca="1" si="374"/>
        <v>2533.8915051898603</v>
      </c>
      <c r="BD335" s="72">
        <f t="shared" ca="1" si="374"/>
        <v>2533.8915051898603</v>
      </c>
      <c r="BE335" s="72">
        <f t="shared" ca="1" si="374"/>
        <v>2533.8915051898603</v>
      </c>
      <c r="BF335" s="72">
        <f t="shared" ca="1" si="374"/>
        <v>2533.8915051898603</v>
      </c>
      <c r="BG335" s="72">
        <f t="shared" ca="1" si="374"/>
        <v>0</v>
      </c>
      <c r="BH335" s="72">
        <f t="shared" ca="1" si="374"/>
        <v>0</v>
      </c>
      <c r="BI335" s="72">
        <f t="shared" ca="1" si="374"/>
        <v>0</v>
      </c>
      <c r="BJ335" s="72">
        <f t="shared" ca="1" si="374"/>
        <v>0</v>
      </c>
      <c r="BK335" s="72">
        <f t="shared" ca="1" si="374"/>
        <v>0</v>
      </c>
      <c r="BL335" s="72">
        <f t="shared" ca="1" si="374"/>
        <v>0</v>
      </c>
      <c r="BM335" s="72">
        <f t="shared" ca="1" si="374"/>
        <v>0</v>
      </c>
      <c r="BN335" s="72"/>
      <c r="BO335" s="72">
        <f ca="1">NPV(Lookups!$E$17,AM335:BM335)</f>
        <v>773629.20413526252</v>
      </c>
      <c r="BP335" s="72">
        <f ca="1">IF($C$4=Year1,-PMT(Lookups!$E$17,25,NPV(Lookups!$E$17,AM335:BK335),0,1),IF($C$4=Year2,-PMT(Lookups!$F$17,25,NPV(Lookups!$F$17,AN335:BL335),0,1),IF($C$4=Year3,-PMT(Lookups!$G$17,25,NPV(Lookups!$G$17,AO335:BM335),0,1),-PMT(Lookups!$G$17,27,NPV(Lookups!$G$17,AM335:BM335),0,1))))</f>
        <v>36438.729468314559</v>
      </c>
      <c r="BS335" s="84" t="str">
        <f>"Avoided "&amp;E335&amp;" costs."</f>
        <v>Avoided Gas DRIPE costs.</v>
      </c>
      <c r="BT335" s="51" t="s">
        <v>17</v>
      </c>
    </row>
    <row r="336" spans="1:72" x14ac:dyDescent="0.25">
      <c r="A336" s="52" t="s">
        <v>17</v>
      </c>
      <c r="B336" s="243" t="str">
        <f t="shared" si="376"/>
        <v>Portfolio Total</v>
      </c>
      <c r="C336" s="243" t="str">
        <f t="shared" si="376"/>
        <v>Revenue Requirements</v>
      </c>
      <c r="D336" s="114" t="s">
        <v>165</v>
      </c>
      <c r="E336" s="84"/>
      <c r="F336" s="84"/>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S336" s="84"/>
      <c r="BT336" s="51" t="s">
        <v>17</v>
      </c>
    </row>
    <row r="337" spans="1:72" x14ac:dyDescent="0.25">
      <c r="A337" s="52" t="s">
        <v>17</v>
      </c>
      <c r="B337" s="243" t="str">
        <f t="shared" ref="B337:C337" si="377">B335</f>
        <v>Portfolio Total</v>
      </c>
      <c r="C337" s="243" t="str">
        <f t="shared" si="377"/>
        <v>Revenue Requirements</v>
      </c>
      <c r="D337" s="244" t="str">
        <f>D336</f>
        <v>Increased Costs and Cost Shifting</v>
      </c>
      <c r="E337" s="84" t="s">
        <v>406</v>
      </c>
      <c r="F337" s="84" t="s">
        <v>32</v>
      </c>
      <c r="G337" s="65">
        <f t="shared" ref="G337:AG337" ca="1" si="378">SUMIFS(G$9:G$322,$D$9:$D$322,$D337,$E$9:$E$322,$E337)</f>
        <v>8523487.9305614624</v>
      </c>
      <c r="H337" s="65">
        <f t="shared" ca="1" si="378"/>
        <v>0</v>
      </c>
      <c r="I337" s="65">
        <f t="shared" ca="1" si="378"/>
        <v>0</v>
      </c>
      <c r="J337" s="65">
        <f t="shared" ca="1" si="378"/>
        <v>0</v>
      </c>
      <c r="K337" s="65">
        <f t="shared" ca="1" si="378"/>
        <v>0</v>
      </c>
      <c r="L337" s="65">
        <f t="shared" ca="1" si="378"/>
        <v>0</v>
      </c>
      <c r="M337" s="65">
        <f t="shared" ca="1" si="378"/>
        <v>0</v>
      </c>
      <c r="N337" s="65">
        <f t="shared" ca="1" si="378"/>
        <v>0</v>
      </c>
      <c r="O337" s="65">
        <f t="shared" ca="1" si="378"/>
        <v>0</v>
      </c>
      <c r="P337" s="65">
        <f t="shared" ca="1" si="378"/>
        <v>0</v>
      </c>
      <c r="Q337" s="65">
        <f t="shared" ca="1" si="378"/>
        <v>0</v>
      </c>
      <c r="R337" s="65">
        <f t="shared" ca="1" si="378"/>
        <v>0</v>
      </c>
      <c r="S337" s="65">
        <f t="shared" ca="1" si="378"/>
        <v>0</v>
      </c>
      <c r="T337" s="65">
        <f t="shared" ca="1" si="378"/>
        <v>0</v>
      </c>
      <c r="U337" s="65">
        <f t="shared" ca="1" si="378"/>
        <v>0</v>
      </c>
      <c r="V337" s="65">
        <f t="shared" ca="1" si="378"/>
        <v>0</v>
      </c>
      <c r="W337" s="65">
        <f t="shared" ca="1" si="378"/>
        <v>0</v>
      </c>
      <c r="X337" s="65">
        <f t="shared" ca="1" si="378"/>
        <v>0</v>
      </c>
      <c r="Y337" s="65">
        <f t="shared" ca="1" si="378"/>
        <v>0</v>
      </c>
      <c r="Z337" s="65">
        <f t="shared" ca="1" si="378"/>
        <v>0</v>
      </c>
      <c r="AA337" s="65">
        <f t="shared" ca="1" si="378"/>
        <v>0</v>
      </c>
      <c r="AB337" s="65">
        <f t="shared" ca="1" si="378"/>
        <v>0</v>
      </c>
      <c r="AC337" s="65">
        <f t="shared" ca="1" si="378"/>
        <v>0</v>
      </c>
      <c r="AD337" s="65">
        <f t="shared" ca="1" si="378"/>
        <v>0</v>
      </c>
      <c r="AE337" s="65">
        <f t="shared" ca="1" si="378"/>
        <v>0</v>
      </c>
      <c r="AF337" s="65">
        <f t="shared" ca="1" si="378"/>
        <v>0</v>
      </c>
      <c r="AG337" s="65">
        <f t="shared" ca="1" si="378"/>
        <v>0</v>
      </c>
      <c r="AH337" s="49"/>
      <c r="AI337" s="65">
        <f ca="1">NPV(Lookups!$E$17,G337:AG337)</f>
        <v>8404613.1352102906</v>
      </c>
      <c r="AJ337" s="65">
        <f ca="1">IF($C$4=Year1,-PMT(Lookups!$E$17,25,NPV(Lookups!$E$17,G337:AE337),0,1),IF($C$4=Year2,-PMT(Lookups!$F$17,25,NPV(Lookups!$F$17,H337:AF337),0,1),IF($C$4=Year3,-PMT(Lookups!$G$17,25,NPV(Lookups!$G$17,I337:AG337),0,1),-PMT(Lookups!$G$17,27,NPV(Lookups!$G$17,G337:AG337),0,1))))</f>
        <v>395865.90408268111</v>
      </c>
      <c r="AM337" s="71">
        <f t="shared" ref="AM337:BM337" ca="1" si="379">SUMIFS(AM$9:AM$322,$D$9:$D$322,$D337,$E$9:$E$322,$E337)</f>
        <v>10192010.370949045</v>
      </c>
      <c r="AN337" s="71">
        <f t="shared" ca="1" si="379"/>
        <v>0</v>
      </c>
      <c r="AO337" s="71">
        <f t="shared" ca="1" si="379"/>
        <v>0</v>
      </c>
      <c r="AP337" s="71">
        <f t="shared" ca="1" si="379"/>
        <v>0</v>
      </c>
      <c r="AQ337" s="71">
        <f t="shared" ca="1" si="379"/>
        <v>0</v>
      </c>
      <c r="AR337" s="71">
        <f t="shared" ca="1" si="379"/>
        <v>0</v>
      </c>
      <c r="AS337" s="71">
        <f t="shared" ca="1" si="379"/>
        <v>0</v>
      </c>
      <c r="AT337" s="71">
        <f t="shared" ca="1" si="379"/>
        <v>0</v>
      </c>
      <c r="AU337" s="71">
        <f t="shared" ca="1" si="379"/>
        <v>0</v>
      </c>
      <c r="AV337" s="71">
        <f t="shared" ca="1" si="379"/>
        <v>0</v>
      </c>
      <c r="AW337" s="71">
        <f t="shared" ca="1" si="379"/>
        <v>0</v>
      </c>
      <c r="AX337" s="71">
        <f t="shared" ca="1" si="379"/>
        <v>0</v>
      </c>
      <c r="AY337" s="71">
        <f t="shared" ca="1" si="379"/>
        <v>0</v>
      </c>
      <c r="AZ337" s="71">
        <f t="shared" ca="1" si="379"/>
        <v>0</v>
      </c>
      <c r="BA337" s="71">
        <f t="shared" ca="1" si="379"/>
        <v>0</v>
      </c>
      <c r="BB337" s="71">
        <f t="shared" ca="1" si="379"/>
        <v>0</v>
      </c>
      <c r="BC337" s="71">
        <f t="shared" ca="1" si="379"/>
        <v>0</v>
      </c>
      <c r="BD337" s="71">
        <f t="shared" ca="1" si="379"/>
        <v>0</v>
      </c>
      <c r="BE337" s="71">
        <f t="shared" ca="1" si="379"/>
        <v>0</v>
      </c>
      <c r="BF337" s="71">
        <f t="shared" ca="1" si="379"/>
        <v>0</v>
      </c>
      <c r="BG337" s="71">
        <f t="shared" ca="1" si="379"/>
        <v>0</v>
      </c>
      <c r="BH337" s="71">
        <f t="shared" ca="1" si="379"/>
        <v>0</v>
      </c>
      <c r="BI337" s="71">
        <f t="shared" ca="1" si="379"/>
        <v>0</v>
      </c>
      <c r="BJ337" s="71">
        <f t="shared" ca="1" si="379"/>
        <v>0</v>
      </c>
      <c r="BK337" s="71">
        <f t="shared" ca="1" si="379"/>
        <v>0</v>
      </c>
      <c r="BL337" s="71">
        <f t="shared" ca="1" si="379"/>
        <v>0</v>
      </c>
      <c r="BM337" s="71">
        <f t="shared" ca="1" si="379"/>
        <v>0</v>
      </c>
      <c r="BN337" s="71"/>
      <c r="BO337" s="71">
        <f ca="1">NPV(Lookups!$E$17,AM337:BM337)</f>
        <v>10049865.141562443</v>
      </c>
      <c r="BP337" s="72">
        <f ca="1">IF($C$4=Year1,-PMT(Lookups!$E$17,25,NPV(Lookups!$E$17,AM337:BK337),0,1),IF($C$4=Year2,-PMT(Lookups!$F$17,25,NPV(Lookups!$F$17,AN337:BL337),0,1),IF($C$4=Year3,-PMT(Lookups!$G$17,25,NPV(Lookups!$G$17,AO337:BM337),0,1),-PMT(Lookups!$G$17,27,NPV(Lookups!$G$17,AM337:BM337),0,1))))</f>
        <v>473358.96205698419</v>
      </c>
      <c r="BS337" s="84" t="s">
        <v>404</v>
      </c>
      <c r="BT337" s="51" t="s">
        <v>17</v>
      </c>
    </row>
    <row r="338" spans="1:72" x14ac:dyDescent="0.25">
      <c r="A338" s="52" t="s">
        <v>17</v>
      </c>
      <c r="B338" s="243" t="str">
        <f>B336</f>
        <v>Portfolio Total</v>
      </c>
      <c r="C338" s="243" t="str">
        <f>C336</f>
        <v>Revenue Requirements</v>
      </c>
      <c r="D338" s="114" t="s">
        <v>125</v>
      </c>
      <c r="E338" s="84"/>
      <c r="F338" s="84"/>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S338" s="84"/>
      <c r="BT338" s="51" t="s">
        <v>17</v>
      </c>
    </row>
    <row r="339" spans="1:72" x14ac:dyDescent="0.25">
      <c r="A339" s="1"/>
      <c r="B339" s="243" t="str">
        <f t="shared" ref="B339:C340" si="380">B338</f>
        <v>Portfolio Total</v>
      </c>
      <c r="C339" s="243" t="str">
        <f t="shared" si="380"/>
        <v>Revenue Requirements</v>
      </c>
      <c r="D339" s="244" t="str">
        <f>D338</f>
        <v>Revenue Requirement after DSM Scenario</v>
      </c>
      <c r="E339" s="84" t="s">
        <v>26</v>
      </c>
      <c r="F339" s="84" t="s">
        <v>32</v>
      </c>
      <c r="G339" s="64">
        <f ca="1">G328-G334</f>
        <v>43261737.456743866</v>
      </c>
      <c r="H339" s="64">
        <f ca="1">H328-H334</f>
        <v>43261737.456743866</v>
      </c>
      <c r="I339" s="64">
        <f t="shared" ref="I339:AG339" ca="1" si="381">I328-I334</f>
        <v>43261737.456743866</v>
      </c>
      <c r="J339" s="64">
        <f t="shared" ca="1" si="381"/>
        <v>43261737.456743866</v>
      </c>
      <c r="K339" s="64">
        <f t="shared" ca="1" si="381"/>
        <v>43261737.456743866</v>
      </c>
      <c r="L339" s="64">
        <f t="shared" ca="1" si="381"/>
        <v>43261737.456743866</v>
      </c>
      <c r="M339" s="64">
        <f t="shared" ca="1" si="381"/>
        <v>43261737.456743866</v>
      </c>
      <c r="N339" s="64">
        <f t="shared" ca="1" si="381"/>
        <v>43261737.456743866</v>
      </c>
      <c r="O339" s="64">
        <f t="shared" ca="1" si="381"/>
        <v>43261737.456743866</v>
      </c>
      <c r="P339" s="64">
        <f t="shared" ca="1" si="381"/>
        <v>43261737.456743866</v>
      </c>
      <c r="Q339" s="64">
        <f t="shared" ca="1" si="381"/>
        <v>43261737.456743866</v>
      </c>
      <c r="R339" s="64">
        <f t="shared" ca="1" si="381"/>
        <v>43261737.456743866</v>
      </c>
      <c r="S339" s="64">
        <f t="shared" ca="1" si="381"/>
        <v>43261737.456743866</v>
      </c>
      <c r="T339" s="64">
        <f t="shared" ca="1" si="381"/>
        <v>43301643.641590804</v>
      </c>
      <c r="U339" s="64">
        <f t="shared" ca="1" si="381"/>
        <v>43301643.641590804</v>
      </c>
      <c r="V339" s="64">
        <f t="shared" ca="1" si="381"/>
        <v>43319349.640413828</v>
      </c>
      <c r="W339" s="64">
        <f t="shared" ca="1" si="381"/>
        <v>43333273.789230309</v>
      </c>
      <c r="X339" s="64">
        <f t="shared" ca="1" si="381"/>
        <v>43333273.789230309</v>
      </c>
      <c r="Y339" s="64">
        <f t="shared" ca="1" si="381"/>
        <v>43333273.789230309</v>
      </c>
      <c r="Z339" s="64">
        <f t="shared" ca="1" si="381"/>
        <v>43333273.789230309</v>
      </c>
      <c r="AA339" s="64">
        <f t="shared" ca="1" si="381"/>
        <v>43337415.643864036</v>
      </c>
      <c r="AB339" s="64">
        <f t="shared" ca="1" si="381"/>
        <v>43337415.643864036</v>
      </c>
      <c r="AC339" s="64">
        <f t="shared" ca="1" si="381"/>
        <v>43337415.643864036</v>
      </c>
      <c r="AD339" s="64">
        <f t="shared" ca="1" si="381"/>
        <v>43337415.643864036</v>
      </c>
      <c r="AE339" s="64">
        <f t="shared" ca="1" si="381"/>
        <v>43337415.643864036</v>
      </c>
      <c r="AF339" s="64">
        <f t="shared" ca="1" si="381"/>
        <v>43337415.643864036</v>
      </c>
      <c r="AG339" s="64">
        <f t="shared" ca="1" si="381"/>
        <v>43337415.643864036</v>
      </c>
      <c r="AH339" s="64"/>
      <c r="AI339" s="64">
        <f ca="1">NPV(Lookups!$E$17,G339:AG339)</f>
        <v>966023910.13370228</v>
      </c>
      <c r="AJ339" s="65">
        <f ca="1">IF($C$4=Year1,-PMT(Lookups!$E$17,25,NPV(Lookups!$E$17,G339:AE339),0,1),IF($C$4=Year2,-PMT(Lookups!$F$17,25,NPV(Lookups!$F$17,H339:AF339),0,1),IF($C$4=Year3,-PMT(Lookups!$G$17,25,NPV(Lookups!$G$17,I339:AG339),0,1),-PMT(Lookups!$G$17,27,NPV(Lookups!$G$17,G339:AG339),0,1))))</f>
        <v>42686912.051632814</v>
      </c>
      <c r="AM339" s="71">
        <f t="shared" ref="AM339:BM339" ca="1" si="382">AM328-AM334</f>
        <v>43250926.287217498</v>
      </c>
      <c r="AN339" s="71">
        <f t="shared" ca="1" si="382"/>
        <v>43250926.287217498</v>
      </c>
      <c r="AO339" s="71">
        <f t="shared" ca="1" si="382"/>
        <v>43250926.287217498</v>
      </c>
      <c r="AP339" s="71">
        <f t="shared" ca="1" si="382"/>
        <v>43250926.287217498</v>
      </c>
      <c r="AQ339" s="71">
        <f t="shared" ca="1" si="382"/>
        <v>43250926.287217498</v>
      </c>
      <c r="AR339" s="71">
        <f t="shared" ca="1" si="382"/>
        <v>43250926.287217498</v>
      </c>
      <c r="AS339" s="71">
        <f t="shared" ca="1" si="382"/>
        <v>43250926.287217498</v>
      </c>
      <c r="AT339" s="71">
        <f t="shared" ca="1" si="382"/>
        <v>43250926.287217498</v>
      </c>
      <c r="AU339" s="71">
        <f t="shared" ca="1" si="382"/>
        <v>43250926.287217498</v>
      </c>
      <c r="AV339" s="71">
        <f t="shared" ca="1" si="382"/>
        <v>43250926.287217498</v>
      </c>
      <c r="AW339" s="71">
        <f t="shared" ca="1" si="382"/>
        <v>43250926.287217498</v>
      </c>
      <c r="AX339" s="71">
        <f t="shared" ca="1" si="382"/>
        <v>43250926.287217498</v>
      </c>
      <c r="AY339" s="71">
        <f t="shared" ca="1" si="382"/>
        <v>43250926.287217498</v>
      </c>
      <c r="AZ339" s="71">
        <f t="shared" ca="1" si="382"/>
        <v>43296533.355556682</v>
      </c>
      <c r="BA339" s="71">
        <f t="shared" ca="1" si="382"/>
        <v>43296533.355556682</v>
      </c>
      <c r="BB339" s="71">
        <f t="shared" ca="1" si="382"/>
        <v>43316768.782782674</v>
      </c>
      <c r="BC339" s="71">
        <f t="shared" ca="1" si="382"/>
        <v>43332682.095714025</v>
      </c>
      <c r="BD339" s="71">
        <f t="shared" ca="1" si="382"/>
        <v>43332682.095714025</v>
      </c>
      <c r="BE339" s="71">
        <f t="shared" ca="1" si="382"/>
        <v>43332682.095714025</v>
      </c>
      <c r="BF339" s="71">
        <f t="shared" ca="1" si="382"/>
        <v>43332682.095714025</v>
      </c>
      <c r="BG339" s="71">
        <f t="shared" ca="1" si="382"/>
        <v>43337415.643864036</v>
      </c>
      <c r="BH339" s="71">
        <f t="shared" ca="1" si="382"/>
        <v>43337415.643864036</v>
      </c>
      <c r="BI339" s="71">
        <f t="shared" ca="1" si="382"/>
        <v>43337415.643864036</v>
      </c>
      <c r="BJ339" s="71">
        <f t="shared" ca="1" si="382"/>
        <v>43337415.643864036</v>
      </c>
      <c r="BK339" s="71">
        <f t="shared" ca="1" si="382"/>
        <v>43337415.643864036</v>
      </c>
      <c r="BL339" s="71">
        <f t="shared" ca="1" si="382"/>
        <v>43337415.643864036</v>
      </c>
      <c r="BM339" s="71">
        <f t="shared" ca="1" si="382"/>
        <v>43337415.643864036</v>
      </c>
      <c r="BN339" s="71"/>
      <c r="BO339" s="71">
        <f ca="1">NPV(Lookups!$E$17,AM339:BM339)</f>
        <v>965884124.57295537</v>
      </c>
      <c r="BP339" s="71">
        <f ca="1">IF($C$4=Year1,-PMT(Lookups!$E$17,25,NPV(Lookups!$E$17,AM339:BK339),0,1),IF($C$4=Year2,-PMT(Lookups!$F$17,25,NPV(Lookups!$F$17,AN339:BL339),0,1),IF($C$4=Year3,-PMT(Lookups!$G$17,25,NPV(Lookups!$G$17,AO339:BM339),0,1),-PMT(Lookups!$G$17,27,NPV(Lookups!$G$17,AM339:BM339),0,1))))</f>
        <v>42680328.008263707</v>
      </c>
      <c r="BS339" s="84" t="s">
        <v>229</v>
      </c>
      <c r="BT339" s="51" t="s">
        <v>17</v>
      </c>
    </row>
    <row r="340" spans="1:72" x14ac:dyDescent="0.25">
      <c r="A340" s="1"/>
      <c r="B340" s="243" t="str">
        <f t="shared" si="380"/>
        <v>Portfolio Total</v>
      </c>
      <c r="C340" s="243" t="str">
        <f t="shared" si="380"/>
        <v>Revenue Requirements</v>
      </c>
      <c r="D340" s="244" t="str">
        <f>D339</f>
        <v>Revenue Requirement after DSM Scenario</v>
      </c>
      <c r="E340" s="84" t="s">
        <v>407</v>
      </c>
      <c r="F340" s="84" t="s">
        <v>32</v>
      </c>
      <c r="G340" s="64">
        <f>G329</f>
        <v>-1915965.2564594061</v>
      </c>
      <c r="H340" s="64">
        <f t="shared" ref="H340:AG340" si="383">H329</f>
        <v>-1915965.2564594061</v>
      </c>
      <c r="I340" s="64">
        <f t="shared" si="383"/>
        <v>-1915965.2564594061</v>
      </c>
      <c r="J340" s="64">
        <f t="shared" si="383"/>
        <v>-1915965.2564594061</v>
      </c>
      <c r="K340" s="64">
        <f t="shared" si="383"/>
        <v>-1915965.2564594061</v>
      </c>
      <c r="L340" s="64">
        <f t="shared" si="383"/>
        <v>-1915965.2564594061</v>
      </c>
      <c r="M340" s="64">
        <f t="shared" si="383"/>
        <v>-1915965.2564594061</v>
      </c>
      <c r="N340" s="64">
        <f t="shared" si="383"/>
        <v>-1915965.2564594061</v>
      </c>
      <c r="O340" s="64">
        <f t="shared" si="383"/>
        <v>-1915965.2564594061</v>
      </c>
      <c r="P340" s="64">
        <f t="shared" si="383"/>
        <v>-1915965.2564594061</v>
      </c>
      <c r="Q340" s="64">
        <f t="shared" si="383"/>
        <v>-1915965.2564594061</v>
      </c>
      <c r="R340" s="64">
        <f t="shared" si="383"/>
        <v>-1915965.2564594061</v>
      </c>
      <c r="S340" s="64">
        <f t="shared" si="383"/>
        <v>-1915965.2564594061</v>
      </c>
      <c r="T340" s="64">
        <f t="shared" si="383"/>
        <v>-1915965.2564594061</v>
      </c>
      <c r="U340" s="64">
        <f t="shared" si="383"/>
        <v>-1915965.2564594061</v>
      </c>
      <c r="V340" s="64">
        <f t="shared" si="383"/>
        <v>-1915965.2564594061</v>
      </c>
      <c r="W340" s="64">
        <f t="shared" si="383"/>
        <v>-1915965.2564594061</v>
      </c>
      <c r="X340" s="64">
        <f t="shared" si="383"/>
        <v>-1915965.2564594061</v>
      </c>
      <c r="Y340" s="64">
        <f t="shared" si="383"/>
        <v>-1915965.2564594061</v>
      </c>
      <c r="Z340" s="64">
        <f t="shared" si="383"/>
        <v>-1915965.2564594061</v>
      </c>
      <c r="AA340" s="64">
        <f t="shared" si="383"/>
        <v>-1915965.2564594061</v>
      </c>
      <c r="AB340" s="64">
        <f t="shared" si="383"/>
        <v>-1915965.2564594061</v>
      </c>
      <c r="AC340" s="64">
        <f t="shared" si="383"/>
        <v>-1915965.2564594061</v>
      </c>
      <c r="AD340" s="64">
        <f t="shared" si="383"/>
        <v>-1915965.2564594061</v>
      </c>
      <c r="AE340" s="64">
        <f t="shared" si="383"/>
        <v>-1915965.2564594061</v>
      </c>
      <c r="AF340" s="64">
        <f t="shared" si="383"/>
        <v>-1915965.2564594061</v>
      </c>
      <c r="AG340" s="64">
        <f t="shared" si="383"/>
        <v>-1915965.2564594061</v>
      </c>
      <c r="AH340" s="64"/>
      <c r="AI340" s="64">
        <f>NPV(Lookups!$E$17,G340:AG340)</f>
        <v>-42751580.61811883</v>
      </c>
      <c r="AJ340" s="65">
        <f>IF($C$4=Year1,-PMT(Lookups!$E$17,25,NPV(Lookups!$E$17,G340:AE340),0,1),IF($C$4=Year2,-PMT(Lookups!$F$17,25,NPV(Lookups!$F$17,H340:AF340),0,1),IF($C$4=Year3,-PMT(Lookups!$G$17,25,NPV(Lookups!$G$17,I340:AG340),0,1),-PMT(Lookups!$G$17,27,NPV(Lookups!$G$17,G340:AG340),0,1))))</f>
        <v>-1889243.8039722238</v>
      </c>
      <c r="AM340" s="71">
        <f t="shared" ref="AM340:BM340" si="384">AM329</f>
        <v>-1915965.2564594061</v>
      </c>
      <c r="AN340" s="71">
        <f t="shared" si="384"/>
        <v>-1915965.2564594061</v>
      </c>
      <c r="AO340" s="71">
        <f t="shared" si="384"/>
        <v>-1915965.2564594061</v>
      </c>
      <c r="AP340" s="71">
        <f t="shared" si="384"/>
        <v>-1915965.2564594061</v>
      </c>
      <c r="AQ340" s="71">
        <f t="shared" si="384"/>
        <v>-1915965.2564594061</v>
      </c>
      <c r="AR340" s="71">
        <f t="shared" si="384"/>
        <v>-1915965.2564594061</v>
      </c>
      <c r="AS340" s="71">
        <f t="shared" si="384"/>
        <v>-1915965.2564594061</v>
      </c>
      <c r="AT340" s="71">
        <f t="shared" si="384"/>
        <v>-1915965.2564594061</v>
      </c>
      <c r="AU340" s="71">
        <f t="shared" si="384"/>
        <v>-1915965.2564594061</v>
      </c>
      <c r="AV340" s="71">
        <f t="shared" si="384"/>
        <v>-1915965.2564594061</v>
      </c>
      <c r="AW340" s="71">
        <f t="shared" si="384"/>
        <v>-1915965.2564594061</v>
      </c>
      <c r="AX340" s="71">
        <f t="shared" si="384"/>
        <v>-1915965.2564594061</v>
      </c>
      <c r="AY340" s="71">
        <f t="shared" si="384"/>
        <v>-1915965.2564594061</v>
      </c>
      <c r="AZ340" s="71">
        <f t="shared" si="384"/>
        <v>-1915965.2564594061</v>
      </c>
      <c r="BA340" s="71">
        <f t="shared" si="384"/>
        <v>-1915965.2564594061</v>
      </c>
      <c r="BB340" s="71">
        <f t="shared" si="384"/>
        <v>-1915965.2564594061</v>
      </c>
      <c r="BC340" s="71">
        <f t="shared" si="384"/>
        <v>-1915965.2564594061</v>
      </c>
      <c r="BD340" s="71">
        <f t="shared" si="384"/>
        <v>-1915965.2564594061</v>
      </c>
      <c r="BE340" s="71">
        <f t="shared" si="384"/>
        <v>-1915965.2564594061</v>
      </c>
      <c r="BF340" s="71">
        <f t="shared" si="384"/>
        <v>-1915965.2564594061</v>
      </c>
      <c r="BG340" s="71">
        <f t="shared" si="384"/>
        <v>-1915965.2564594061</v>
      </c>
      <c r="BH340" s="71">
        <f t="shared" si="384"/>
        <v>-1915965.2564594061</v>
      </c>
      <c r="BI340" s="71">
        <f t="shared" si="384"/>
        <v>-1915965.2564594061</v>
      </c>
      <c r="BJ340" s="71">
        <f t="shared" si="384"/>
        <v>-1915965.2564594061</v>
      </c>
      <c r="BK340" s="71">
        <f t="shared" si="384"/>
        <v>-1915965.2564594061</v>
      </c>
      <c r="BL340" s="71">
        <f t="shared" si="384"/>
        <v>-1915965.2564594061</v>
      </c>
      <c r="BM340" s="71">
        <f t="shared" si="384"/>
        <v>-1915965.2564594061</v>
      </c>
      <c r="BN340" s="71"/>
      <c r="BO340" s="71">
        <f>NPV(Lookups!$E$17,AM340:BM340)</f>
        <v>-42751580.61811883</v>
      </c>
      <c r="BP340" s="71">
        <f>IF($C$4=Year1,-PMT(Lookups!$E$17,25,NPV(Lookups!$E$17,AM340:BK340),0,1),IF($C$4=Year2,-PMT(Lookups!$F$17,25,NPV(Lookups!$F$17,AN340:BL340),0,1),IF($C$4=Year3,-PMT(Lookups!$G$17,25,NPV(Lookups!$G$17,AO340:BM340),0,1),-PMT(Lookups!$G$17,27,NPV(Lookups!$G$17,AM340:BM340),0,1))))</f>
        <v>-1889243.8039722238</v>
      </c>
      <c r="BS340" s="84" t="s">
        <v>230</v>
      </c>
      <c r="BT340" s="51" t="s">
        <v>17</v>
      </c>
    </row>
    <row r="341" spans="1:72" x14ac:dyDescent="0.25">
      <c r="A341" s="1"/>
      <c r="B341" s="243" t="str">
        <f>B339</f>
        <v>Portfolio Total</v>
      </c>
      <c r="C341" s="243" t="str">
        <f>C339</f>
        <v>Revenue Requirements</v>
      </c>
      <c r="D341" s="244" t="str">
        <f>D339</f>
        <v>Revenue Requirement after DSM Scenario</v>
      </c>
      <c r="E341" s="84" t="s">
        <v>197</v>
      </c>
      <c r="F341" s="84" t="s">
        <v>32</v>
      </c>
      <c r="G341" s="64">
        <f ca="1">G330-G333-G335</f>
        <v>58153659.460192382</v>
      </c>
      <c r="H341" s="64">
        <f t="shared" ref="H341:AG341" ca="1" si="385">H330-H333-H335</f>
        <v>58153659.460192382</v>
      </c>
      <c r="I341" s="64">
        <f t="shared" ca="1" si="385"/>
        <v>58153659.460192382</v>
      </c>
      <c r="J341" s="64">
        <f t="shared" ca="1" si="385"/>
        <v>58153659.460192382</v>
      </c>
      <c r="K341" s="64">
        <f t="shared" ca="1" si="385"/>
        <v>58153659.460192382</v>
      </c>
      <c r="L341" s="64">
        <f t="shared" ca="1" si="385"/>
        <v>58153659.460192382</v>
      </c>
      <c r="M341" s="64">
        <f t="shared" ca="1" si="385"/>
        <v>58153659.460192382</v>
      </c>
      <c r="N341" s="64">
        <f t="shared" ca="1" si="385"/>
        <v>58153659.460192382</v>
      </c>
      <c r="O341" s="64">
        <f t="shared" ca="1" si="385"/>
        <v>58153659.460192382</v>
      </c>
      <c r="P341" s="64">
        <f t="shared" ca="1" si="385"/>
        <v>58153659.460192382</v>
      </c>
      <c r="Q341" s="64">
        <f t="shared" ca="1" si="385"/>
        <v>58153659.460192382</v>
      </c>
      <c r="R341" s="64">
        <f t="shared" ca="1" si="385"/>
        <v>58153659.460192382</v>
      </c>
      <c r="S341" s="64">
        <f t="shared" ca="1" si="385"/>
        <v>58153659.460192382</v>
      </c>
      <c r="T341" s="64">
        <f t="shared" ca="1" si="385"/>
        <v>58810557.469826154</v>
      </c>
      <c r="U341" s="64">
        <f t="shared" ca="1" si="385"/>
        <v>58810557.469826154</v>
      </c>
      <c r="V341" s="64">
        <f t="shared" ca="1" si="385"/>
        <v>59098983.737065375</v>
      </c>
      <c r="W341" s="64">
        <f t="shared" ca="1" si="385"/>
        <v>59325303.818501487</v>
      </c>
      <c r="X341" s="64">
        <f t="shared" ca="1" si="385"/>
        <v>59325303.818501487</v>
      </c>
      <c r="Y341" s="64">
        <f t="shared" ca="1" si="385"/>
        <v>59325303.818501487</v>
      </c>
      <c r="Z341" s="64">
        <f t="shared" ca="1" si="385"/>
        <v>59325303.818501487</v>
      </c>
      <c r="AA341" s="64">
        <f t="shared" ca="1" si="385"/>
        <v>59392410.029498205</v>
      </c>
      <c r="AB341" s="64">
        <f t="shared" ca="1" si="385"/>
        <v>59392410.029498205</v>
      </c>
      <c r="AC341" s="64">
        <f t="shared" ca="1" si="385"/>
        <v>59392410.029498205</v>
      </c>
      <c r="AD341" s="64">
        <f t="shared" ca="1" si="385"/>
        <v>59392410.029498205</v>
      </c>
      <c r="AE341" s="64">
        <f t="shared" ca="1" si="385"/>
        <v>59392410.029498205</v>
      </c>
      <c r="AF341" s="64">
        <f t="shared" ca="1" si="385"/>
        <v>59392410.029498205</v>
      </c>
      <c r="AG341" s="64">
        <f t="shared" ca="1" si="385"/>
        <v>59392410.029498205</v>
      </c>
      <c r="AH341" s="64"/>
      <c r="AI341" s="64">
        <f ca="1">NPV(Lookups!$E$17,G341:AG341)</f>
        <v>1309236185.379313</v>
      </c>
      <c r="AJ341" s="65">
        <f ca="1">IF($C$4=Year1,-PMT(Lookups!$E$17,25,NPV(Lookups!$E$17,G341:AE341),0,1),IF($C$4=Year2,-PMT(Lookups!$F$17,25,NPV(Lookups!$F$17,H341:AF341),0,1),IF($C$4=Year3,-PMT(Lookups!$G$17,25,NPV(Lookups!$G$17,I341:AG341),0,1),-PMT(Lookups!$G$17,27,NPV(Lookups!$G$17,G341:AG341),0,1))))</f>
        <v>57810146.067740761</v>
      </c>
      <c r="AM341" s="71">
        <f t="shared" ref="AM341:BM341" ca="1" si="386">AM330-AM333-AM335</f>
        <v>57976695.094171897</v>
      </c>
      <c r="AN341" s="71">
        <f t="shared" ca="1" si="386"/>
        <v>57976695.094171897</v>
      </c>
      <c r="AO341" s="71">
        <f t="shared" ca="1" si="386"/>
        <v>57976695.094171897</v>
      </c>
      <c r="AP341" s="71">
        <f t="shared" ca="1" si="386"/>
        <v>57976695.094171897</v>
      </c>
      <c r="AQ341" s="71">
        <f t="shared" ca="1" si="386"/>
        <v>57976695.094171897</v>
      </c>
      <c r="AR341" s="71">
        <f t="shared" ca="1" si="386"/>
        <v>57976695.094171897</v>
      </c>
      <c r="AS341" s="71">
        <f t="shared" ca="1" si="386"/>
        <v>57976695.094171897</v>
      </c>
      <c r="AT341" s="71">
        <f t="shared" ca="1" si="386"/>
        <v>57976695.094171897</v>
      </c>
      <c r="AU341" s="71">
        <f t="shared" ca="1" si="386"/>
        <v>57976695.094171897</v>
      </c>
      <c r="AV341" s="71">
        <f t="shared" ca="1" si="386"/>
        <v>57976695.094171897</v>
      </c>
      <c r="AW341" s="71">
        <f t="shared" ca="1" si="386"/>
        <v>57976695.094171897</v>
      </c>
      <c r="AX341" s="71">
        <f t="shared" ca="1" si="386"/>
        <v>57976695.094171897</v>
      </c>
      <c r="AY341" s="71">
        <f t="shared" ca="1" si="386"/>
        <v>57976695.094171897</v>
      </c>
      <c r="AZ341" s="71">
        <f t="shared" ca="1" si="386"/>
        <v>58727435.675666973</v>
      </c>
      <c r="BA341" s="71">
        <f t="shared" ca="1" si="386"/>
        <v>58727435.675666973</v>
      </c>
      <c r="BB341" s="71">
        <f t="shared" ca="1" si="386"/>
        <v>59057065.6953637</v>
      </c>
      <c r="BC341" s="71">
        <f t="shared" ca="1" si="386"/>
        <v>59315717.216976166</v>
      </c>
      <c r="BD341" s="71">
        <f t="shared" ca="1" si="386"/>
        <v>59315717.216976166</v>
      </c>
      <c r="BE341" s="71">
        <f t="shared" ca="1" si="386"/>
        <v>59315717.216976166</v>
      </c>
      <c r="BF341" s="71">
        <f t="shared" ca="1" si="386"/>
        <v>59315717.216976166</v>
      </c>
      <c r="BG341" s="71">
        <f t="shared" ca="1" si="386"/>
        <v>59392410.029498205</v>
      </c>
      <c r="BH341" s="71">
        <f t="shared" ca="1" si="386"/>
        <v>59392410.029498205</v>
      </c>
      <c r="BI341" s="71">
        <f t="shared" ca="1" si="386"/>
        <v>59392410.029498205</v>
      </c>
      <c r="BJ341" s="71">
        <f t="shared" ca="1" si="386"/>
        <v>59392410.029498205</v>
      </c>
      <c r="BK341" s="71">
        <f t="shared" ca="1" si="386"/>
        <v>59392410.029498205</v>
      </c>
      <c r="BL341" s="71">
        <f t="shared" ca="1" si="386"/>
        <v>59392410.029498205</v>
      </c>
      <c r="BM341" s="71">
        <f t="shared" ca="1" si="386"/>
        <v>59392410.029498205</v>
      </c>
      <c r="BN341" s="71"/>
      <c r="BO341" s="71">
        <f ca="1">NPV(Lookups!$E$17,AM341:BM341)</f>
        <v>1306949507.9442699</v>
      </c>
      <c r="BP341" s="71">
        <f ca="1">IF($C$4=Year1,-PMT(Lookups!$E$17,25,NPV(Lookups!$E$17,AM341:BK341),0,1),IF($C$4=Year2,-PMT(Lookups!$F$17,25,NPV(Lookups!$F$17,AN341:BL341),0,1),IF($C$4=Year3,-PMT(Lookups!$G$17,25,NPV(Lookups!$G$17,AO341:BM341),0,1),-PMT(Lookups!$G$17,27,NPV(Lookups!$G$17,AM341:BM341),0,1))))</f>
        <v>57702441.21379853</v>
      </c>
      <c r="BS341" s="84" t="s">
        <v>231</v>
      </c>
      <c r="BT341" s="51" t="s">
        <v>17</v>
      </c>
    </row>
    <row r="342" spans="1:72" x14ac:dyDescent="0.25">
      <c r="A342" s="52" t="s">
        <v>17</v>
      </c>
      <c r="B342" s="243" t="str">
        <f t="shared" ref="B342:C346" si="387">B340</f>
        <v>Portfolio Total</v>
      </c>
      <c r="C342" s="243" t="str">
        <f t="shared" si="387"/>
        <v>Revenue Requirements</v>
      </c>
      <c r="D342" s="244" t="str">
        <f t="shared" ref="D342:D346" si="388">D341</f>
        <v>Revenue Requirement after DSM Scenario</v>
      </c>
      <c r="E342" s="84" t="s">
        <v>272</v>
      </c>
      <c r="F342" s="84" t="s">
        <v>32</v>
      </c>
      <c r="G342" s="64">
        <f ca="1">SUM(G339:G341)</f>
        <v>99499431.660476834</v>
      </c>
      <c r="H342" s="64">
        <f ca="1">SUM(H339:H341)</f>
        <v>99499431.660476834</v>
      </c>
      <c r="I342" s="64">
        <f t="shared" ref="I342:AG342" ca="1" si="389">SUM(I339:I341)</f>
        <v>99499431.660476834</v>
      </c>
      <c r="J342" s="64">
        <f t="shared" ca="1" si="389"/>
        <v>99499431.660476834</v>
      </c>
      <c r="K342" s="64">
        <f t="shared" ca="1" si="389"/>
        <v>99499431.660476834</v>
      </c>
      <c r="L342" s="64">
        <f t="shared" ca="1" si="389"/>
        <v>99499431.660476834</v>
      </c>
      <c r="M342" s="64">
        <f t="shared" ca="1" si="389"/>
        <v>99499431.660476834</v>
      </c>
      <c r="N342" s="64">
        <f t="shared" ca="1" si="389"/>
        <v>99499431.660476834</v>
      </c>
      <c r="O342" s="64">
        <f t="shared" ca="1" si="389"/>
        <v>99499431.660476834</v>
      </c>
      <c r="P342" s="64">
        <f t="shared" ca="1" si="389"/>
        <v>99499431.660476834</v>
      </c>
      <c r="Q342" s="64">
        <f t="shared" ca="1" si="389"/>
        <v>99499431.660476834</v>
      </c>
      <c r="R342" s="64">
        <f t="shared" ca="1" si="389"/>
        <v>99499431.660476834</v>
      </c>
      <c r="S342" s="64">
        <f t="shared" ca="1" si="389"/>
        <v>99499431.660476834</v>
      </c>
      <c r="T342" s="64">
        <f t="shared" ca="1" si="389"/>
        <v>100196235.85495755</v>
      </c>
      <c r="U342" s="64">
        <f t="shared" ca="1" si="389"/>
        <v>100196235.85495755</v>
      </c>
      <c r="V342" s="64">
        <f t="shared" ca="1" si="389"/>
        <v>100502368.1210198</v>
      </c>
      <c r="W342" s="64">
        <f t="shared" ca="1" si="389"/>
        <v>100742612.35127239</v>
      </c>
      <c r="X342" s="64">
        <f t="shared" ca="1" si="389"/>
        <v>100742612.35127239</v>
      </c>
      <c r="Y342" s="64">
        <f t="shared" ca="1" si="389"/>
        <v>100742612.35127239</v>
      </c>
      <c r="Z342" s="64">
        <f t="shared" ca="1" si="389"/>
        <v>100742612.35127239</v>
      </c>
      <c r="AA342" s="64">
        <f t="shared" ca="1" si="389"/>
        <v>100813860.41690284</v>
      </c>
      <c r="AB342" s="64">
        <f t="shared" ca="1" si="389"/>
        <v>100813860.41690284</v>
      </c>
      <c r="AC342" s="64">
        <f t="shared" ca="1" si="389"/>
        <v>100813860.41690284</v>
      </c>
      <c r="AD342" s="64">
        <f t="shared" ca="1" si="389"/>
        <v>100813860.41690284</v>
      </c>
      <c r="AE342" s="64">
        <f t="shared" ca="1" si="389"/>
        <v>100813860.41690284</v>
      </c>
      <c r="AF342" s="64">
        <f t="shared" ca="1" si="389"/>
        <v>100813860.41690284</v>
      </c>
      <c r="AG342" s="64">
        <f t="shared" ca="1" si="389"/>
        <v>100813860.41690284</v>
      </c>
      <c r="AH342" s="64"/>
      <c r="AI342" s="64">
        <f ca="1">NPV(Lookups!$E$17,G342:AG342)</f>
        <v>2232508514.894897</v>
      </c>
      <c r="AJ342" s="65">
        <f ca="1">IF($C$4=Year1,-PMT(Lookups!$E$17,25,NPV(Lookups!$E$17,G342:AE342),0,1),IF($C$4=Year2,-PMT(Lookups!$F$17,25,NPV(Lookups!$F$17,H342:AF342),0,1),IF($C$4=Year3,-PMT(Lookups!$G$17,25,NPV(Lookups!$G$17,I342:AG342),0,1),-PMT(Lookups!$G$17,27,NPV(Lookups!$G$17,G342:AG342),0,1))))</f>
        <v>98607814.31540139</v>
      </c>
      <c r="AM342" s="71">
        <f t="shared" ref="AM342:BM342" ca="1" si="390">SUM(AM339:AM341)</f>
        <v>99311656.124929994</v>
      </c>
      <c r="AN342" s="71">
        <f t="shared" ca="1" si="390"/>
        <v>99311656.124929994</v>
      </c>
      <c r="AO342" s="71">
        <f t="shared" ca="1" si="390"/>
        <v>99311656.124929994</v>
      </c>
      <c r="AP342" s="71">
        <f t="shared" ca="1" si="390"/>
        <v>99311656.124929994</v>
      </c>
      <c r="AQ342" s="71">
        <f t="shared" ca="1" si="390"/>
        <v>99311656.124929994</v>
      </c>
      <c r="AR342" s="71">
        <f t="shared" ca="1" si="390"/>
        <v>99311656.124929994</v>
      </c>
      <c r="AS342" s="71">
        <f t="shared" ca="1" si="390"/>
        <v>99311656.124929994</v>
      </c>
      <c r="AT342" s="71">
        <f t="shared" ca="1" si="390"/>
        <v>99311656.124929994</v>
      </c>
      <c r="AU342" s="71">
        <f t="shared" ca="1" si="390"/>
        <v>99311656.124929994</v>
      </c>
      <c r="AV342" s="71">
        <f t="shared" ca="1" si="390"/>
        <v>99311656.124929994</v>
      </c>
      <c r="AW342" s="71">
        <f t="shared" ca="1" si="390"/>
        <v>99311656.124929994</v>
      </c>
      <c r="AX342" s="71">
        <f t="shared" ca="1" si="390"/>
        <v>99311656.124929994</v>
      </c>
      <c r="AY342" s="71">
        <f t="shared" ca="1" si="390"/>
        <v>99311656.124929994</v>
      </c>
      <c r="AZ342" s="71">
        <f t="shared" ca="1" si="390"/>
        <v>100108003.77476424</v>
      </c>
      <c r="BA342" s="71">
        <f t="shared" ca="1" si="390"/>
        <v>100108003.77476424</v>
      </c>
      <c r="BB342" s="71">
        <f t="shared" ca="1" si="390"/>
        <v>100457869.22168696</v>
      </c>
      <c r="BC342" s="71">
        <f t="shared" ca="1" si="390"/>
        <v>100732434.05623078</v>
      </c>
      <c r="BD342" s="71">
        <f t="shared" ca="1" si="390"/>
        <v>100732434.05623078</v>
      </c>
      <c r="BE342" s="71">
        <f t="shared" ca="1" si="390"/>
        <v>100732434.05623078</v>
      </c>
      <c r="BF342" s="71">
        <f t="shared" ca="1" si="390"/>
        <v>100732434.05623078</v>
      </c>
      <c r="BG342" s="71">
        <f t="shared" ca="1" si="390"/>
        <v>100813860.41690284</v>
      </c>
      <c r="BH342" s="71">
        <f t="shared" ca="1" si="390"/>
        <v>100813860.41690284</v>
      </c>
      <c r="BI342" s="71">
        <f t="shared" ca="1" si="390"/>
        <v>100813860.41690284</v>
      </c>
      <c r="BJ342" s="71">
        <f t="shared" ca="1" si="390"/>
        <v>100813860.41690284</v>
      </c>
      <c r="BK342" s="71">
        <f t="shared" ca="1" si="390"/>
        <v>100813860.41690284</v>
      </c>
      <c r="BL342" s="71">
        <f t="shared" ca="1" si="390"/>
        <v>100813860.41690284</v>
      </c>
      <c r="BM342" s="71">
        <f t="shared" ca="1" si="390"/>
        <v>100813860.41690284</v>
      </c>
      <c r="BN342" s="71"/>
      <c r="BO342" s="71">
        <f ca="1">NPV(Lookups!$E$17,AM342:BM342)</f>
        <v>2230082051.8991065</v>
      </c>
      <c r="BP342" s="71">
        <f ca="1">IF($C$4=Year1,-PMT(Lookups!$E$17,25,NPV(Lookups!$E$17,AM342:BK342),0,1),IF($C$4=Year2,-PMT(Lookups!$F$17,25,NPV(Lookups!$F$17,AN342:BL342),0,1),IF($C$4=Year3,-PMT(Lookups!$G$17,25,NPV(Lookups!$G$17,AO342:BM342),0,1),-PMT(Lookups!$G$17,27,NPV(Lookups!$G$17,AM342:BM342),0,1))))</f>
        <v>98493525.418090031</v>
      </c>
      <c r="BS342" s="84"/>
      <c r="BT342" s="51" t="s">
        <v>17</v>
      </c>
    </row>
    <row r="343" spans="1:72" x14ac:dyDescent="0.25">
      <c r="A343" s="52" t="s">
        <v>17</v>
      </c>
      <c r="B343" s="243" t="str">
        <f t="shared" si="387"/>
        <v>Portfolio Total</v>
      </c>
      <c r="C343" s="243" t="str">
        <f t="shared" si="387"/>
        <v>Revenue Requirements</v>
      </c>
      <c r="D343" s="114" t="s">
        <v>273</v>
      </c>
      <c r="E343" s="84"/>
      <c r="F343" s="8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S343" s="84"/>
      <c r="BT343" s="51" t="s">
        <v>17</v>
      </c>
    </row>
    <row r="344" spans="1:72" x14ac:dyDescent="0.25">
      <c r="A344" s="52" t="s">
        <v>17</v>
      </c>
      <c r="B344" s="243" t="str">
        <f t="shared" si="387"/>
        <v>Portfolio Total</v>
      </c>
      <c r="C344" s="243" t="str">
        <f t="shared" si="387"/>
        <v>Revenue Requirements</v>
      </c>
      <c r="D344" s="244" t="str">
        <f t="shared" ref="D344:D345" si="391">D343</f>
        <v>Change in Revenue</v>
      </c>
      <c r="E344" s="84" t="s">
        <v>273</v>
      </c>
      <c r="F344" s="84" t="s">
        <v>32</v>
      </c>
      <c r="G344" s="64">
        <f ca="1">G342-G331</f>
        <v>-1314428.7564260066</v>
      </c>
      <c r="H344" s="64">
        <f t="shared" ref="H344:AG344" ca="1" si="392">H342-H331</f>
        <v>-1314428.7564260066</v>
      </c>
      <c r="I344" s="64">
        <f t="shared" ca="1" si="392"/>
        <v>-1314428.7564260066</v>
      </c>
      <c r="J344" s="64">
        <f t="shared" ca="1" si="392"/>
        <v>-1314428.7564260066</v>
      </c>
      <c r="K344" s="64">
        <f t="shared" ca="1" si="392"/>
        <v>-1314428.7564260066</v>
      </c>
      <c r="L344" s="64">
        <f t="shared" ca="1" si="392"/>
        <v>-1314428.7564260066</v>
      </c>
      <c r="M344" s="64">
        <f t="shared" ca="1" si="392"/>
        <v>-1314428.7564260066</v>
      </c>
      <c r="N344" s="64">
        <f t="shared" ca="1" si="392"/>
        <v>-1314428.7564260066</v>
      </c>
      <c r="O344" s="64">
        <f t="shared" ca="1" si="392"/>
        <v>-1314428.7564260066</v>
      </c>
      <c r="P344" s="64">
        <f t="shared" ca="1" si="392"/>
        <v>-1314428.7564260066</v>
      </c>
      <c r="Q344" s="64">
        <f t="shared" ca="1" si="392"/>
        <v>-1314428.7564260066</v>
      </c>
      <c r="R344" s="64">
        <f t="shared" ca="1" si="392"/>
        <v>-1314428.7564260066</v>
      </c>
      <c r="S344" s="64">
        <f t="shared" ca="1" si="392"/>
        <v>-1314428.7564260066</v>
      </c>
      <c r="T344" s="64">
        <f t="shared" ca="1" si="392"/>
        <v>-617624.56194528937</v>
      </c>
      <c r="U344" s="64">
        <f t="shared" ca="1" si="392"/>
        <v>-617624.56194528937</v>
      </c>
      <c r="V344" s="64">
        <f t="shared" ca="1" si="392"/>
        <v>-311492.2958830446</v>
      </c>
      <c r="W344" s="64">
        <f t="shared" ca="1" si="392"/>
        <v>-71248.065630450845</v>
      </c>
      <c r="X344" s="64">
        <f t="shared" ca="1" si="392"/>
        <v>-71248.065630450845</v>
      </c>
      <c r="Y344" s="64">
        <f t="shared" ca="1" si="392"/>
        <v>-71248.065630450845</v>
      </c>
      <c r="Z344" s="64">
        <f t="shared" ca="1" si="392"/>
        <v>-71248.065630450845</v>
      </c>
      <c r="AA344" s="64">
        <f t="shared" ca="1" si="392"/>
        <v>0</v>
      </c>
      <c r="AB344" s="64">
        <f t="shared" ca="1" si="392"/>
        <v>0</v>
      </c>
      <c r="AC344" s="64">
        <f t="shared" ca="1" si="392"/>
        <v>0</v>
      </c>
      <c r="AD344" s="64">
        <f t="shared" ca="1" si="392"/>
        <v>0</v>
      </c>
      <c r="AE344" s="64">
        <f t="shared" ca="1" si="392"/>
        <v>0</v>
      </c>
      <c r="AF344" s="64">
        <f t="shared" ca="1" si="392"/>
        <v>0</v>
      </c>
      <c r="AG344" s="64">
        <f t="shared" ca="1" si="392"/>
        <v>0</v>
      </c>
      <c r="AH344" s="64"/>
      <c r="AI344" s="64">
        <f ca="1">NPV(Lookups!$E$17,G344:AG344)</f>
        <v>-16985241.062633485</v>
      </c>
      <c r="AJ344" s="65">
        <f ca="1">IF($C$4=Year1,-PMT(Lookups!$E$17,25,NPV(Lookups!$E$17,G344:AE344),0,1),IF($C$4=Year2,-PMT(Lookups!$F$17,25,NPV(Lookups!$F$17,H344:AF344),0,1),IF($C$4=Year3,-PMT(Lookups!$G$17,25,NPV(Lookups!$G$17,I344:AG344),0,1),-PMT(Lookups!$G$17,27,NPV(Lookups!$G$17,G344:AG344),0,1))))</f>
        <v>-800022.28551754111</v>
      </c>
      <c r="AM344" s="71">
        <f ca="1">AM342-AM331</f>
        <v>-1502204.2919728458</v>
      </c>
      <c r="AN344" s="71">
        <f t="shared" ref="AN344:BM344" ca="1" si="393">AN342-AN331</f>
        <v>-1502204.2919728458</v>
      </c>
      <c r="AO344" s="71">
        <f t="shared" ca="1" si="393"/>
        <v>-1502204.2919728458</v>
      </c>
      <c r="AP344" s="71">
        <f t="shared" ca="1" si="393"/>
        <v>-1502204.2919728458</v>
      </c>
      <c r="AQ344" s="71">
        <f t="shared" ca="1" si="393"/>
        <v>-1502204.2919728458</v>
      </c>
      <c r="AR344" s="71">
        <f t="shared" ca="1" si="393"/>
        <v>-1502204.2919728458</v>
      </c>
      <c r="AS344" s="71">
        <f t="shared" ca="1" si="393"/>
        <v>-1502204.2919728458</v>
      </c>
      <c r="AT344" s="71">
        <f t="shared" ca="1" si="393"/>
        <v>-1502204.2919728458</v>
      </c>
      <c r="AU344" s="71">
        <f t="shared" ca="1" si="393"/>
        <v>-1502204.2919728458</v>
      </c>
      <c r="AV344" s="71">
        <f t="shared" ca="1" si="393"/>
        <v>-1502204.2919728458</v>
      </c>
      <c r="AW344" s="71">
        <f t="shared" ca="1" si="393"/>
        <v>-1502204.2919728458</v>
      </c>
      <c r="AX344" s="71">
        <f t="shared" ca="1" si="393"/>
        <v>-1502204.2919728458</v>
      </c>
      <c r="AY344" s="71">
        <f t="shared" ca="1" si="393"/>
        <v>-1502204.2919728458</v>
      </c>
      <c r="AZ344" s="71">
        <f t="shared" ca="1" si="393"/>
        <v>-705856.64213860035</v>
      </c>
      <c r="BA344" s="71">
        <f t="shared" ca="1" si="393"/>
        <v>-705856.64213860035</v>
      </c>
      <c r="BB344" s="71">
        <f t="shared" ca="1" si="393"/>
        <v>-355991.19521588087</v>
      </c>
      <c r="BC344" s="71">
        <f t="shared" ca="1" si="393"/>
        <v>-81426.360672056675</v>
      </c>
      <c r="BD344" s="71">
        <f t="shared" ca="1" si="393"/>
        <v>-81426.360672056675</v>
      </c>
      <c r="BE344" s="71">
        <f t="shared" ca="1" si="393"/>
        <v>-81426.360672056675</v>
      </c>
      <c r="BF344" s="71">
        <f t="shared" ca="1" si="393"/>
        <v>-81426.360672056675</v>
      </c>
      <c r="BG344" s="71">
        <f t="shared" ca="1" si="393"/>
        <v>0</v>
      </c>
      <c r="BH344" s="71">
        <f t="shared" ca="1" si="393"/>
        <v>0</v>
      </c>
      <c r="BI344" s="71">
        <f t="shared" ca="1" si="393"/>
        <v>0</v>
      </c>
      <c r="BJ344" s="71">
        <f t="shared" ca="1" si="393"/>
        <v>0</v>
      </c>
      <c r="BK344" s="71">
        <f t="shared" ca="1" si="393"/>
        <v>0</v>
      </c>
      <c r="BL344" s="71">
        <f t="shared" ca="1" si="393"/>
        <v>0</v>
      </c>
      <c r="BM344" s="71">
        <f t="shared" ca="1" si="393"/>
        <v>0</v>
      </c>
      <c r="BN344" s="71"/>
      <c r="BO344" s="71">
        <f ca="1">NPV(Lookups!$E$17,AM344:BM344)</f>
        <v>-19411704.058423284</v>
      </c>
      <c r="BP344" s="71">
        <f ca="1">IF($C$4=Year1,-PMT(Lookups!$E$17,25,NPV(Lookups!$E$17,AM344:BK344),0,1),IF($C$4=Year2,-PMT(Lookups!$F$17,25,NPV(Lookups!$F$17,AN344:BL344),0,1),IF($C$4=Year3,-PMT(Lookups!$G$17,25,NPV(Lookups!$G$17,AO344:BM344),0,1),-PMT(Lookups!$G$17,27,NPV(Lookups!$G$17,AM344:BM344),0,1))))</f>
        <v>-914311.18282887072</v>
      </c>
      <c r="BS344" s="84"/>
      <c r="BT344" s="51" t="s">
        <v>17</v>
      </c>
    </row>
    <row r="345" spans="1:72" x14ac:dyDescent="0.25">
      <c r="A345" s="52" t="s">
        <v>17</v>
      </c>
      <c r="B345" s="243" t="str">
        <f t="shared" si="387"/>
        <v>Portfolio Total</v>
      </c>
      <c r="C345" s="243" t="str">
        <f t="shared" si="387"/>
        <v>Revenue Requirements</v>
      </c>
      <c r="D345" s="244" t="str">
        <f t="shared" si="391"/>
        <v>Change in Revenue</v>
      </c>
      <c r="E345" s="84" t="s">
        <v>273</v>
      </c>
      <c r="F345" s="84" t="s">
        <v>16</v>
      </c>
      <c r="G345" s="224">
        <f ca="1">IFERROR(G342/G331-1,0)</f>
        <v>-1.3038175018696418E-2</v>
      </c>
      <c r="H345" s="224">
        <f t="shared" ref="H345:AI345" ca="1" si="394">IFERROR(H342/H331-1,0)</f>
        <v>-1.3038175018696418E-2</v>
      </c>
      <c r="I345" s="224">
        <f t="shared" ca="1" si="394"/>
        <v>-1.3038175018696418E-2</v>
      </c>
      <c r="J345" s="224">
        <f t="shared" ca="1" si="394"/>
        <v>-1.3038175018696418E-2</v>
      </c>
      <c r="K345" s="224">
        <f t="shared" ca="1" si="394"/>
        <v>-1.3038175018696418E-2</v>
      </c>
      <c r="L345" s="224">
        <f t="shared" ca="1" si="394"/>
        <v>-1.3038175018696418E-2</v>
      </c>
      <c r="M345" s="224">
        <f t="shared" ca="1" si="394"/>
        <v>-1.3038175018696418E-2</v>
      </c>
      <c r="N345" s="224">
        <f t="shared" ca="1" si="394"/>
        <v>-1.3038175018696418E-2</v>
      </c>
      <c r="O345" s="224">
        <f t="shared" ca="1" si="394"/>
        <v>-1.3038175018696418E-2</v>
      </c>
      <c r="P345" s="224">
        <f t="shared" ca="1" si="394"/>
        <v>-1.3038175018696418E-2</v>
      </c>
      <c r="Q345" s="224">
        <f t="shared" ca="1" si="394"/>
        <v>-1.3038175018696418E-2</v>
      </c>
      <c r="R345" s="224">
        <f t="shared" ca="1" si="394"/>
        <v>-1.3038175018696418E-2</v>
      </c>
      <c r="S345" s="224">
        <f t="shared" ca="1" si="394"/>
        <v>-1.3038175018696418E-2</v>
      </c>
      <c r="T345" s="224">
        <f t="shared" ca="1" si="394"/>
        <v>-6.1263853937463253E-3</v>
      </c>
      <c r="U345" s="224">
        <f t="shared" ca="1" si="394"/>
        <v>-6.1263853937463253E-3</v>
      </c>
      <c r="V345" s="224">
        <f t="shared" ca="1" si="394"/>
        <v>-3.0897764909993963E-3</v>
      </c>
      <c r="W345" s="224">
        <f t="shared" ca="1" si="394"/>
        <v>-7.0672886977851679E-4</v>
      </c>
      <c r="X345" s="224">
        <f t="shared" ca="1" si="394"/>
        <v>-7.0672886977851679E-4</v>
      </c>
      <c r="Y345" s="224">
        <f t="shared" ca="1" si="394"/>
        <v>-7.0672886977851679E-4</v>
      </c>
      <c r="Z345" s="224">
        <f t="shared" ca="1" si="394"/>
        <v>-7.0672886977851679E-4</v>
      </c>
      <c r="AA345" s="224">
        <f t="shared" ca="1" si="394"/>
        <v>0</v>
      </c>
      <c r="AB345" s="224">
        <f t="shared" ca="1" si="394"/>
        <v>0</v>
      </c>
      <c r="AC345" s="224">
        <f t="shared" ca="1" si="394"/>
        <v>0</v>
      </c>
      <c r="AD345" s="224">
        <f t="shared" ca="1" si="394"/>
        <v>0</v>
      </c>
      <c r="AE345" s="224">
        <f t="shared" ca="1" si="394"/>
        <v>0</v>
      </c>
      <c r="AF345" s="224">
        <f t="shared" ca="1" si="394"/>
        <v>0</v>
      </c>
      <c r="AG345" s="224">
        <f t="shared" ca="1" si="394"/>
        <v>0</v>
      </c>
      <c r="AH345" s="224">
        <f t="shared" si="394"/>
        <v>0</v>
      </c>
      <c r="AI345" s="224">
        <f t="shared" ca="1" si="394"/>
        <v>-7.5506949141999069E-3</v>
      </c>
      <c r="AJ345" s="224">
        <f ca="1">IFERROR(AJ342/AJ331-1,0)</f>
        <v>-8.0478794516903873E-3</v>
      </c>
      <c r="AK345" s="212"/>
      <c r="AL345" s="212"/>
      <c r="AM345" s="504">
        <f ca="1">IFERROR(AM342/AM331-1,0)</f>
        <v>-1.49007714391719E-2</v>
      </c>
      <c r="AN345" s="504">
        <f t="shared" ref="AN345:BM345" ca="1" si="395">IFERROR(AN342/AN331-1,0)</f>
        <v>-1.49007714391719E-2</v>
      </c>
      <c r="AO345" s="504">
        <f t="shared" ca="1" si="395"/>
        <v>-1.49007714391719E-2</v>
      </c>
      <c r="AP345" s="504">
        <f t="shared" ca="1" si="395"/>
        <v>-1.49007714391719E-2</v>
      </c>
      <c r="AQ345" s="504">
        <f t="shared" ca="1" si="395"/>
        <v>-1.49007714391719E-2</v>
      </c>
      <c r="AR345" s="504">
        <f t="shared" ca="1" si="395"/>
        <v>-1.49007714391719E-2</v>
      </c>
      <c r="AS345" s="504">
        <f t="shared" ca="1" si="395"/>
        <v>-1.49007714391719E-2</v>
      </c>
      <c r="AT345" s="504">
        <f t="shared" ca="1" si="395"/>
        <v>-1.49007714391719E-2</v>
      </c>
      <c r="AU345" s="504">
        <f t="shared" ca="1" si="395"/>
        <v>-1.49007714391719E-2</v>
      </c>
      <c r="AV345" s="504">
        <f t="shared" ca="1" si="395"/>
        <v>-1.49007714391719E-2</v>
      </c>
      <c r="AW345" s="504">
        <f t="shared" ca="1" si="395"/>
        <v>-1.49007714391719E-2</v>
      </c>
      <c r="AX345" s="504">
        <f t="shared" ca="1" si="395"/>
        <v>-1.49007714391719E-2</v>
      </c>
      <c r="AY345" s="504">
        <f t="shared" ca="1" si="395"/>
        <v>-1.49007714391719E-2</v>
      </c>
      <c r="AZ345" s="504">
        <f t="shared" ca="1" si="395"/>
        <v>-7.0015833062995192E-3</v>
      </c>
      <c r="BA345" s="504">
        <f t="shared" ca="1" si="395"/>
        <v>-7.0015833062995192E-3</v>
      </c>
      <c r="BB345" s="504">
        <f t="shared" ca="1" si="395"/>
        <v>-3.5311731317868578E-3</v>
      </c>
      <c r="BC345" s="504">
        <f t="shared" ca="1" si="395"/>
        <v>-8.0769013640913379E-4</v>
      </c>
      <c r="BD345" s="504">
        <f t="shared" ca="1" si="395"/>
        <v>-8.0769013640913379E-4</v>
      </c>
      <c r="BE345" s="504">
        <f t="shared" ca="1" si="395"/>
        <v>-8.0769013640913379E-4</v>
      </c>
      <c r="BF345" s="504">
        <f t="shared" ca="1" si="395"/>
        <v>-8.0769013640913379E-4</v>
      </c>
      <c r="BG345" s="504">
        <f t="shared" ca="1" si="395"/>
        <v>0</v>
      </c>
      <c r="BH345" s="504">
        <f t="shared" ca="1" si="395"/>
        <v>0</v>
      </c>
      <c r="BI345" s="504">
        <f t="shared" ca="1" si="395"/>
        <v>0</v>
      </c>
      <c r="BJ345" s="504">
        <f t="shared" ca="1" si="395"/>
        <v>0</v>
      </c>
      <c r="BK345" s="504">
        <f t="shared" ca="1" si="395"/>
        <v>0</v>
      </c>
      <c r="BL345" s="504">
        <f t="shared" ca="1" si="395"/>
        <v>0</v>
      </c>
      <c r="BM345" s="504">
        <f t="shared" ca="1" si="395"/>
        <v>0</v>
      </c>
      <c r="BN345" s="504"/>
      <c r="BO345" s="504">
        <f ca="1">IFERROR(BO342/BO331-1,0)</f>
        <v>-8.6293656103796357E-3</v>
      </c>
      <c r="BP345" s="504">
        <f ca="1">IFERROR(BP342/BP331-1,0)</f>
        <v>-9.1975765099834295E-3</v>
      </c>
      <c r="BS345" s="84"/>
      <c r="BT345" s="51" t="s">
        <v>17</v>
      </c>
    </row>
    <row r="346" spans="1:72" x14ac:dyDescent="0.25">
      <c r="A346" s="52" t="s">
        <v>17</v>
      </c>
      <c r="B346" s="243" t="str">
        <f t="shared" si="387"/>
        <v>Portfolio Total</v>
      </c>
      <c r="C346" s="243" t="str">
        <f t="shared" si="387"/>
        <v>Revenue Requirements</v>
      </c>
      <c r="D346" s="244" t="str">
        <f t="shared" si="388"/>
        <v>Change in Revenue</v>
      </c>
      <c r="E346" s="84" t="s">
        <v>17</v>
      </c>
      <c r="F346" s="84"/>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S346" s="84"/>
      <c r="BT346" s="51" t="s">
        <v>17</v>
      </c>
    </row>
    <row r="348" spans="1:72" x14ac:dyDescent="0.25">
      <c r="H348" s="22"/>
    </row>
  </sheetData>
  <autoFilter ref="A8:BT346" xr:uid="{00000000-0009-0000-0000-000007000000}"/>
  <pageMargins left="0.7" right="0.7" top="0.75" bottom="0.75" header="0.3" footer="0.3"/>
  <pageSetup scale="18" fitToWidth="2" fitToHeight="4" orientation="landscape" horizontalDpi="300" verticalDpi="300" r:id="rId1"/>
  <colBreaks count="2" manualBreakCount="2">
    <brk id="38" min="1" max="517" man="1"/>
    <brk id="70" min="1" max="51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526A6462-A977-42D3-B4FE-CB48D43CDE84}">
          <x14:formula1>
            <xm:f>Lookups!$D$37:$D$40</xm:f>
          </x14:formula1>
          <xm:sqref>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70F37-F2FD-41B4-9615-30FA8695F5D4}">
  <sheetPr>
    <tabColor theme="0" tint="-0.34998626667073579"/>
  </sheetPr>
  <dimension ref="A1:BT348"/>
  <sheetViews>
    <sheetView showGridLines="0" zoomScale="85" zoomScaleNormal="85" workbookViewId="0">
      <pane xSplit="6" ySplit="8" topLeftCell="BE318" activePane="bottomRight" state="frozen"/>
      <selection pane="topRight" activeCell="H1" sqref="H1"/>
      <selection pane="bottomLeft" activeCell="A8" sqref="A8"/>
      <selection pane="bottomRight" activeCell="BP339" sqref="BP339"/>
    </sheetView>
  </sheetViews>
  <sheetFormatPr defaultRowHeight="15" x14ac:dyDescent="0.25"/>
  <cols>
    <col min="1" max="1" width="2.7109375" style="52" customWidth="1"/>
    <col min="2" max="2" width="2.7109375" customWidth="1"/>
    <col min="3" max="3" width="10.5703125" customWidth="1"/>
    <col min="4" max="4" width="14.85546875" style="18" customWidth="1"/>
    <col min="5" max="5" width="38" bestFit="1" customWidth="1"/>
    <col min="6" max="6" width="11.7109375" customWidth="1"/>
    <col min="7" max="7" width="15" bestFit="1" customWidth="1"/>
    <col min="8" max="33" width="15" customWidth="1"/>
    <col min="34" max="34" width="1.7109375" customWidth="1"/>
    <col min="35" max="35" width="15" customWidth="1"/>
    <col min="36" max="36" width="18.140625" customWidth="1"/>
    <col min="37" max="38" width="2.7109375" customWidth="1"/>
    <col min="39" max="40" width="15.7109375" customWidth="1"/>
    <col min="41" max="65" width="15.140625" customWidth="1"/>
    <col min="66" max="66" width="1.7109375" customWidth="1"/>
    <col min="67" max="67" width="15" bestFit="1" customWidth="1"/>
    <col min="68" max="68" width="18.140625" bestFit="1" customWidth="1"/>
    <col min="69" max="70" width="2.7109375" customWidth="1"/>
    <col min="71" max="71" width="133.28515625" bestFit="1" customWidth="1"/>
    <col min="72" max="72" width="2.7109375" customWidth="1"/>
  </cols>
  <sheetData>
    <row r="1" spans="1:72" x14ac:dyDescent="0.25">
      <c r="E1" s="1"/>
      <c r="F1" s="1"/>
      <c r="I1" s="1"/>
      <c r="AO1" s="1"/>
    </row>
    <row r="2" spans="1:72" ht="26.25" x14ac:dyDescent="0.25">
      <c r="B2" s="2" t="s">
        <v>36</v>
      </c>
      <c r="F2" s="234"/>
      <c r="G2" s="410"/>
      <c r="H2" s="421"/>
      <c r="I2" s="421"/>
      <c r="J2" s="410"/>
      <c r="K2" s="410"/>
      <c r="L2" s="410"/>
      <c r="AO2" s="1"/>
    </row>
    <row r="3" spans="1:72" ht="21" x14ac:dyDescent="0.25">
      <c r="B3" s="245" t="str">
        <f>Lookups!$E$6</f>
        <v>Liberty</v>
      </c>
      <c r="F3" s="234"/>
      <c r="G3" s="409"/>
      <c r="H3" s="421"/>
      <c r="I3" s="421"/>
      <c r="J3" s="22"/>
      <c r="K3" s="22"/>
      <c r="AO3" s="1"/>
    </row>
    <row r="4" spans="1:72" ht="15.75" x14ac:dyDescent="0.25">
      <c r="B4" s="87"/>
      <c r="C4" s="640">
        <v>2022</v>
      </c>
      <c r="D4" s="359" t="s">
        <v>73</v>
      </c>
      <c r="G4" s="672"/>
      <c r="H4" s="421"/>
      <c r="I4" s="421"/>
      <c r="J4" s="88"/>
      <c r="K4" s="88"/>
      <c r="L4" s="88"/>
      <c r="AM4" s="50"/>
      <c r="AP4" s="1"/>
      <c r="BS4" s="87"/>
    </row>
    <row r="5" spans="1:72" x14ac:dyDescent="0.25">
      <c r="D5"/>
      <c r="H5" s="421"/>
      <c r="I5" s="421"/>
      <c r="J5" s="212"/>
      <c r="K5" s="212"/>
      <c r="L5" s="212"/>
      <c r="M5" s="212"/>
      <c r="N5" s="212"/>
      <c r="O5" s="212"/>
      <c r="P5" s="212"/>
      <c r="Q5" s="212"/>
      <c r="R5" s="212"/>
      <c r="S5" s="212"/>
      <c r="T5" s="212"/>
      <c r="AO5" s="1"/>
    </row>
    <row r="6" spans="1:72" s="203" customFormat="1" ht="26.25" x14ac:dyDescent="0.4">
      <c r="A6" s="384"/>
      <c r="B6" s="199" t="s">
        <v>172</v>
      </c>
      <c r="C6" s="200"/>
      <c r="D6" s="200"/>
      <c r="E6" s="198"/>
      <c r="F6" s="198"/>
      <c r="G6" s="201" t="str">
        <f>Lookups!$D$23</f>
        <v>Proposed EE</v>
      </c>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2"/>
      <c r="AG6" s="202"/>
      <c r="AH6" s="202"/>
      <c r="AI6" s="202"/>
      <c r="AJ6" s="202"/>
      <c r="AM6" s="204" t="str">
        <f>Lookups!$D$24</f>
        <v>Alternative EE</v>
      </c>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S6" s="199" t="s">
        <v>88</v>
      </c>
    </row>
    <row r="7" spans="1:72" s="28" customFormat="1" x14ac:dyDescent="0.25">
      <c r="A7" s="385"/>
      <c r="B7" s="80"/>
      <c r="C7" s="78"/>
      <c r="D7" s="79"/>
      <c r="E7" s="78"/>
      <c r="F7" s="80"/>
      <c r="G7" s="67">
        <f>Year1</f>
        <v>2021</v>
      </c>
      <c r="H7" s="67">
        <f>G7+1</f>
        <v>2022</v>
      </c>
      <c r="I7" s="67">
        <f t="shared" ref="I7:X8" si="0">H7+1</f>
        <v>2023</v>
      </c>
      <c r="J7" s="67">
        <f t="shared" si="0"/>
        <v>2024</v>
      </c>
      <c r="K7" s="67">
        <f t="shared" si="0"/>
        <v>2025</v>
      </c>
      <c r="L7" s="67">
        <f t="shared" si="0"/>
        <v>2026</v>
      </c>
      <c r="M7" s="67">
        <f t="shared" si="0"/>
        <v>2027</v>
      </c>
      <c r="N7" s="67">
        <f t="shared" si="0"/>
        <v>2028</v>
      </c>
      <c r="O7" s="67">
        <f t="shared" si="0"/>
        <v>2029</v>
      </c>
      <c r="P7" s="67">
        <f t="shared" si="0"/>
        <v>2030</v>
      </c>
      <c r="Q7" s="67">
        <f t="shared" si="0"/>
        <v>2031</v>
      </c>
      <c r="R7" s="67">
        <f t="shared" si="0"/>
        <v>2032</v>
      </c>
      <c r="S7" s="67">
        <f t="shared" si="0"/>
        <v>2033</v>
      </c>
      <c r="T7" s="67">
        <f t="shared" si="0"/>
        <v>2034</v>
      </c>
      <c r="U7" s="67">
        <f t="shared" si="0"/>
        <v>2035</v>
      </c>
      <c r="V7" s="67">
        <f t="shared" si="0"/>
        <v>2036</v>
      </c>
      <c r="W7" s="67">
        <f>V7+1</f>
        <v>2037</v>
      </c>
      <c r="X7" s="67">
        <f t="shared" si="0"/>
        <v>2038</v>
      </c>
      <c r="Y7" s="67">
        <f t="shared" ref="Y7:AE8" si="1">X7+1</f>
        <v>2039</v>
      </c>
      <c r="Z7" s="67">
        <f t="shared" si="1"/>
        <v>2040</v>
      </c>
      <c r="AA7" s="67">
        <f t="shared" si="1"/>
        <v>2041</v>
      </c>
      <c r="AB7" s="67">
        <f t="shared" si="1"/>
        <v>2042</v>
      </c>
      <c r="AC7" s="67">
        <f t="shared" si="1"/>
        <v>2043</v>
      </c>
      <c r="AD7" s="67">
        <f t="shared" si="1"/>
        <v>2044</v>
      </c>
      <c r="AE7" s="67">
        <f t="shared" si="1"/>
        <v>2045</v>
      </c>
      <c r="AF7" s="67">
        <f>AE7+1</f>
        <v>2046</v>
      </c>
      <c r="AG7" s="67">
        <f>AF7+1</f>
        <v>2047</v>
      </c>
      <c r="AH7" s="67"/>
      <c r="AI7" s="67" t="s">
        <v>416</v>
      </c>
      <c r="AJ7" s="67" t="s">
        <v>415</v>
      </c>
      <c r="AM7" s="69">
        <f>Year1</f>
        <v>2021</v>
      </c>
      <c r="AN7" s="69">
        <f>AM7+1</f>
        <v>2022</v>
      </c>
      <c r="AO7" s="69">
        <f t="shared" ref="AO7:BB8" si="2">AN7+1</f>
        <v>2023</v>
      </c>
      <c r="AP7" s="69">
        <f t="shared" si="2"/>
        <v>2024</v>
      </c>
      <c r="AQ7" s="69">
        <f t="shared" si="2"/>
        <v>2025</v>
      </c>
      <c r="AR7" s="69">
        <f t="shared" si="2"/>
        <v>2026</v>
      </c>
      <c r="AS7" s="69">
        <f t="shared" si="2"/>
        <v>2027</v>
      </c>
      <c r="AT7" s="69">
        <f t="shared" si="2"/>
        <v>2028</v>
      </c>
      <c r="AU7" s="69">
        <f t="shared" si="2"/>
        <v>2029</v>
      </c>
      <c r="AV7" s="69">
        <f t="shared" si="2"/>
        <v>2030</v>
      </c>
      <c r="AW7" s="69">
        <f t="shared" si="2"/>
        <v>2031</v>
      </c>
      <c r="AX7" s="69">
        <f t="shared" si="2"/>
        <v>2032</v>
      </c>
      <c r="AY7" s="69">
        <f t="shared" si="2"/>
        <v>2033</v>
      </c>
      <c r="AZ7" s="69">
        <f t="shared" si="2"/>
        <v>2034</v>
      </c>
      <c r="BA7" s="69">
        <f t="shared" si="2"/>
        <v>2035</v>
      </c>
      <c r="BB7" s="69">
        <f t="shared" si="2"/>
        <v>2036</v>
      </c>
      <c r="BC7" s="69">
        <f>BB7+1</f>
        <v>2037</v>
      </c>
      <c r="BD7" s="69">
        <f t="shared" ref="BD7:BK8" si="3">BC7+1</f>
        <v>2038</v>
      </c>
      <c r="BE7" s="69">
        <f t="shared" si="3"/>
        <v>2039</v>
      </c>
      <c r="BF7" s="69">
        <f t="shared" si="3"/>
        <v>2040</v>
      </c>
      <c r="BG7" s="69">
        <f t="shared" si="3"/>
        <v>2041</v>
      </c>
      <c r="BH7" s="69">
        <f t="shared" si="3"/>
        <v>2042</v>
      </c>
      <c r="BI7" s="69">
        <f t="shared" si="3"/>
        <v>2043</v>
      </c>
      <c r="BJ7" s="69">
        <f t="shared" si="3"/>
        <v>2044</v>
      </c>
      <c r="BK7" s="69">
        <f t="shared" si="3"/>
        <v>2045</v>
      </c>
      <c r="BL7" s="69">
        <f>BK7+1</f>
        <v>2046</v>
      </c>
      <c r="BM7" s="69">
        <f>BL7+1</f>
        <v>2047</v>
      </c>
      <c r="BN7" s="69"/>
      <c r="BO7" s="69" t="s">
        <v>416</v>
      </c>
      <c r="BP7" s="69" t="s">
        <v>417</v>
      </c>
      <c r="BS7" s="80"/>
    </row>
    <row r="8" spans="1:72" s="51" customFormat="1" x14ac:dyDescent="0.25">
      <c r="A8" s="386"/>
      <c r="B8" s="83"/>
      <c r="C8" s="81"/>
      <c r="D8" s="82"/>
      <c r="E8" s="81"/>
      <c r="F8" s="83"/>
      <c r="G8" s="68">
        <f>IF(OR($C$4=Year2,$C$4=Year3),0,1)</f>
        <v>0</v>
      </c>
      <c r="H8" s="68">
        <f>IF($C$4=Year3,0,G8+1)</f>
        <v>1</v>
      </c>
      <c r="I8" s="68">
        <f t="shared" si="0"/>
        <v>2</v>
      </c>
      <c r="J8" s="68">
        <f t="shared" si="0"/>
        <v>3</v>
      </c>
      <c r="K8" s="68">
        <f t="shared" si="0"/>
        <v>4</v>
      </c>
      <c r="L8" s="68">
        <f t="shared" si="0"/>
        <v>5</v>
      </c>
      <c r="M8" s="68">
        <f t="shared" si="0"/>
        <v>6</v>
      </c>
      <c r="N8" s="68">
        <f t="shared" si="0"/>
        <v>7</v>
      </c>
      <c r="O8" s="68">
        <f t="shared" si="0"/>
        <v>8</v>
      </c>
      <c r="P8" s="68">
        <f t="shared" si="0"/>
        <v>9</v>
      </c>
      <c r="Q8" s="68">
        <f t="shared" si="0"/>
        <v>10</v>
      </c>
      <c r="R8" s="68">
        <f t="shared" si="0"/>
        <v>11</v>
      </c>
      <c r="S8" s="68">
        <f t="shared" si="0"/>
        <v>12</v>
      </c>
      <c r="T8" s="68">
        <f t="shared" si="0"/>
        <v>13</v>
      </c>
      <c r="U8" s="68">
        <f t="shared" si="0"/>
        <v>14</v>
      </c>
      <c r="V8" s="68">
        <f t="shared" si="0"/>
        <v>15</v>
      </c>
      <c r="W8" s="68">
        <f>V8+1</f>
        <v>16</v>
      </c>
      <c r="X8" s="68">
        <f t="shared" si="0"/>
        <v>17</v>
      </c>
      <c r="Y8" s="68">
        <f t="shared" si="1"/>
        <v>18</v>
      </c>
      <c r="Z8" s="68">
        <f t="shared" si="1"/>
        <v>19</v>
      </c>
      <c r="AA8" s="68">
        <f t="shared" si="1"/>
        <v>20</v>
      </c>
      <c r="AB8" s="68">
        <f t="shared" si="1"/>
        <v>21</v>
      </c>
      <c r="AC8" s="68">
        <f t="shared" si="1"/>
        <v>22</v>
      </c>
      <c r="AD8" s="68">
        <f t="shared" si="1"/>
        <v>23</v>
      </c>
      <c r="AE8" s="68">
        <f t="shared" si="1"/>
        <v>24</v>
      </c>
      <c r="AF8" s="68">
        <f>AE8+1</f>
        <v>25</v>
      </c>
      <c r="AG8" s="68">
        <f>AF8+1</f>
        <v>26</v>
      </c>
      <c r="AH8" s="68"/>
      <c r="AI8" s="68"/>
      <c r="AJ8" s="68"/>
      <c r="AM8" s="70">
        <f>IF(OR($C$4=Year2,$C$4=Year3),0,1)</f>
        <v>0</v>
      </c>
      <c r="AN8" s="70">
        <f>IF($C$4=Year3,0,AM8+1)</f>
        <v>1</v>
      </c>
      <c r="AO8" s="70">
        <f t="shared" si="2"/>
        <v>2</v>
      </c>
      <c r="AP8" s="70">
        <f t="shared" si="2"/>
        <v>3</v>
      </c>
      <c r="AQ8" s="70">
        <f t="shared" si="2"/>
        <v>4</v>
      </c>
      <c r="AR8" s="70">
        <f t="shared" si="2"/>
        <v>5</v>
      </c>
      <c r="AS8" s="70">
        <f t="shared" si="2"/>
        <v>6</v>
      </c>
      <c r="AT8" s="70">
        <f t="shared" si="2"/>
        <v>7</v>
      </c>
      <c r="AU8" s="70">
        <f t="shared" si="2"/>
        <v>8</v>
      </c>
      <c r="AV8" s="70">
        <f t="shared" si="2"/>
        <v>9</v>
      </c>
      <c r="AW8" s="70">
        <f t="shared" si="2"/>
        <v>10</v>
      </c>
      <c r="AX8" s="70">
        <f t="shared" si="2"/>
        <v>11</v>
      </c>
      <c r="AY8" s="70">
        <f t="shared" si="2"/>
        <v>12</v>
      </c>
      <c r="AZ8" s="70">
        <f t="shared" si="2"/>
        <v>13</v>
      </c>
      <c r="BA8" s="70">
        <f t="shared" si="2"/>
        <v>14</v>
      </c>
      <c r="BB8" s="70">
        <f t="shared" si="2"/>
        <v>15</v>
      </c>
      <c r="BC8" s="70">
        <f>BB8+1</f>
        <v>16</v>
      </c>
      <c r="BD8" s="70">
        <f t="shared" si="3"/>
        <v>17</v>
      </c>
      <c r="BE8" s="70">
        <f t="shared" si="3"/>
        <v>18</v>
      </c>
      <c r="BF8" s="70">
        <f t="shared" si="3"/>
        <v>19</v>
      </c>
      <c r="BG8" s="70">
        <f t="shared" si="3"/>
        <v>20</v>
      </c>
      <c r="BH8" s="70">
        <f t="shared" si="3"/>
        <v>21</v>
      </c>
      <c r="BI8" s="70">
        <f t="shared" si="3"/>
        <v>22</v>
      </c>
      <c r="BJ8" s="70">
        <f t="shared" si="3"/>
        <v>23</v>
      </c>
      <c r="BK8" s="70">
        <f t="shared" si="3"/>
        <v>24</v>
      </c>
      <c r="BL8" s="70">
        <f>BK8+1</f>
        <v>25</v>
      </c>
      <c r="BM8" s="70">
        <f>BL8+1</f>
        <v>26</v>
      </c>
      <c r="BN8" s="70"/>
      <c r="BO8" s="70"/>
      <c r="BP8" s="70"/>
      <c r="BS8" s="83"/>
    </row>
    <row r="9" spans="1:72" s="51" customFormat="1" ht="23.25" x14ac:dyDescent="0.25">
      <c r="A9" s="52"/>
      <c r="B9" s="195" t="str">
        <f>Lookups!$D$26</f>
        <v>Residential</v>
      </c>
      <c r="C9" s="196"/>
      <c r="D9" s="196"/>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c r="BJ9" s="197"/>
      <c r="BK9" s="197"/>
      <c r="BL9" s="197"/>
      <c r="BM9" s="197"/>
      <c r="BN9" s="197"/>
      <c r="BO9" s="197"/>
      <c r="BP9" s="197"/>
      <c r="BQ9" s="197"/>
      <c r="BR9" s="197"/>
      <c r="BS9" s="197"/>
      <c r="BT9" s="51" t="s">
        <v>17</v>
      </c>
    </row>
    <row r="10" spans="1:72" s="5" customFormat="1" ht="15.75" x14ac:dyDescent="0.25">
      <c r="A10" s="52"/>
      <c r="B10" s="241" t="str">
        <f>B9</f>
        <v>Residential</v>
      </c>
      <c r="C10" s="63" t="s">
        <v>3</v>
      </c>
      <c r="D10" s="61"/>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M10" s="63"/>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S10" s="62"/>
      <c r="BT10" s="51" t="s">
        <v>17</v>
      </c>
    </row>
    <row r="11" spans="1:72" s="5" customFormat="1" x14ac:dyDescent="0.25">
      <c r="A11" s="52"/>
      <c r="B11" s="242" t="str">
        <f t="shared" ref="B11:C26" si="4">B10</f>
        <v>Residential</v>
      </c>
      <c r="C11" s="242" t="str">
        <f>C10</f>
        <v>Customers</v>
      </c>
      <c r="D11" s="244" t="s">
        <v>3</v>
      </c>
      <c r="E11" s="77" t="s">
        <v>3</v>
      </c>
      <c r="F11" s="76" t="s">
        <v>48</v>
      </c>
      <c r="G11" s="64">
        <f>IF(G$8=0,0,INDEX('Multi-Year Inputs'!$E$12:$AE$15,MATCH($B11,'Multi-Year Inputs'!$D$12:$D$15,0),MATCH(G$7,'Multi-Year Inputs'!$E$4:$AE$4,0)))</f>
        <v>0</v>
      </c>
      <c r="H11" s="64">
        <f>IF(H$8=0,0,INDEX('Multi-Year Inputs'!$E$12:$AE$15,MATCH($B11,'Multi-Year Inputs'!$D$12:$D$15,0),MATCH(H$7,'Multi-Year Inputs'!$E$4:$AE$4,0)))</f>
        <v>71674.712393819893</v>
      </c>
      <c r="I11" s="64">
        <f>IF(I$8=0,0,INDEX('Multi-Year Inputs'!$E$12:$AE$15,MATCH($B11,'Multi-Year Inputs'!$D$12:$D$15,0),MATCH(I$7,'Multi-Year Inputs'!$E$4:$AE$4,0)))</f>
        <v>71674.712393819893</v>
      </c>
      <c r="J11" s="64">
        <f>IF(J$8=0,0,INDEX('Multi-Year Inputs'!$E$12:$AE$15,MATCH($B11,'Multi-Year Inputs'!$D$12:$D$15,0),MATCH(J$7,'Multi-Year Inputs'!$E$4:$AE$4,0)))</f>
        <v>71674.712393819893</v>
      </c>
      <c r="K11" s="64">
        <f>IF(K$8=0,0,INDEX('Multi-Year Inputs'!$E$12:$AE$15,MATCH($B11,'Multi-Year Inputs'!$D$12:$D$15,0),MATCH(K$7,'Multi-Year Inputs'!$E$4:$AE$4,0)))</f>
        <v>71674.712393819893</v>
      </c>
      <c r="L11" s="64">
        <f>IF(L$8=0,0,INDEX('Multi-Year Inputs'!$E$12:$AE$15,MATCH($B11,'Multi-Year Inputs'!$D$12:$D$15,0),MATCH(L$7,'Multi-Year Inputs'!$E$4:$AE$4,0)))</f>
        <v>71674.712393819893</v>
      </c>
      <c r="M11" s="64">
        <f>IF(M$8=0,0,INDEX('Multi-Year Inputs'!$E$12:$AE$15,MATCH($B11,'Multi-Year Inputs'!$D$12:$D$15,0),MATCH(M$7,'Multi-Year Inputs'!$E$4:$AE$4,0)))</f>
        <v>71674.712393819893</v>
      </c>
      <c r="N11" s="64">
        <f>IF(N$8=0,0,INDEX('Multi-Year Inputs'!$E$12:$AE$15,MATCH($B11,'Multi-Year Inputs'!$D$12:$D$15,0),MATCH(N$7,'Multi-Year Inputs'!$E$4:$AE$4,0)))</f>
        <v>71674.712393819893</v>
      </c>
      <c r="O11" s="64">
        <f>IF(O$8=0,0,INDEX('Multi-Year Inputs'!$E$12:$AE$15,MATCH($B11,'Multi-Year Inputs'!$D$12:$D$15,0),MATCH(O$7,'Multi-Year Inputs'!$E$4:$AE$4,0)))</f>
        <v>71674.712393819893</v>
      </c>
      <c r="P11" s="64">
        <f>IF(P$8=0,0,INDEX('Multi-Year Inputs'!$E$12:$AE$15,MATCH($B11,'Multi-Year Inputs'!$D$12:$D$15,0),MATCH(P$7,'Multi-Year Inputs'!$E$4:$AE$4,0)))</f>
        <v>71674.712393819893</v>
      </c>
      <c r="Q11" s="64">
        <f>IF(Q$8=0,0,INDEX('Multi-Year Inputs'!$E$12:$AE$15,MATCH($B11,'Multi-Year Inputs'!$D$12:$D$15,0),MATCH(Q$7,'Multi-Year Inputs'!$E$4:$AE$4,0)))</f>
        <v>71674.712393819893</v>
      </c>
      <c r="R11" s="64">
        <f>IF(R$8=0,0,INDEX('Multi-Year Inputs'!$E$12:$AE$15,MATCH($B11,'Multi-Year Inputs'!$D$12:$D$15,0),MATCH(R$7,'Multi-Year Inputs'!$E$4:$AE$4,0)))</f>
        <v>71674.712393819893</v>
      </c>
      <c r="S11" s="64">
        <f>IF(S$8=0,0,INDEX('Multi-Year Inputs'!$E$12:$AE$15,MATCH($B11,'Multi-Year Inputs'!$D$12:$D$15,0),MATCH(S$7,'Multi-Year Inputs'!$E$4:$AE$4,0)))</f>
        <v>71674.712393819893</v>
      </c>
      <c r="T11" s="64">
        <f>IF(T$8=0,0,INDEX('Multi-Year Inputs'!$E$12:$AE$15,MATCH($B11,'Multi-Year Inputs'!$D$12:$D$15,0),MATCH(T$7,'Multi-Year Inputs'!$E$4:$AE$4,0)))</f>
        <v>71674.712393819893</v>
      </c>
      <c r="U11" s="64">
        <f>IF(U$8=0,0,INDEX('Multi-Year Inputs'!$E$12:$AE$15,MATCH($B11,'Multi-Year Inputs'!$D$12:$D$15,0),MATCH(U$7,'Multi-Year Inputs'!$E$4:$AE$4,0)))</f>
        <v>71674.712393819893</v>
      </c>
      <c r="V11" s="64">
        <f>IF(V$8=0,0,INDEX('Multi-Year Inputs'!$E$12:$AE$15,MATCH($B11,'Multi-Year Inputs'!$D$12:$D$15,0),MATCH(V$7,'Multi-Year Inputs'!$E$4:$AE$4,0)))</f>
        <v>71674.712393819893</v>
      </c>
      <c r="W11" s="64">
        <f>IF(W$8=0,0,INDEX('Multi-Year Inputs'!$E$12:$AE$15,MATCH($B11,'Multi-Year Inputs'!$D$12:$D$15,0),MATCH(W$7,'Multi-Year Inputs'!$E$4:$AE$4,0)))</f>
        <v>71674.712393819893</v>
      </c>
      <c r="X11" s="64">
        <f>IF(X$8=0,0,INDEX('Multi-Year Inputs'!$E$12:$AE$15,MATCH($B11,'Multi-Year Inputs'!$D$12:$D$15,0),MATCH(X$7,'Multi-Year Inputs'!$E$4:$AE$4,0)))</f>
        <v>71674.712393819893</v>
      </c>
      <c r="Y11" s="64">
        <f>IF(Y$8=0,0,INDEX('Multi-Year Inputs'!$E$12:$AE$15,MATCH($B11,'Multi-Year Inputs'!$D$12:$D$15,0),MATCH(Y$7,'Multi-Year Inputs'!$E$4:$AE$4,0)))</f>
        <v>71674.712393819893</v>
      </c>
      <c r="Z11" s="64">
        <f>IF(Z$8=0,0,INDEX('Multi-Year Inputs'!$E$12:$AE$15,MATCH($B11,'Multi-Year Inputs'!$D$12:$D$15,0),MATCH(Z$7,'Multi-Year Inputs'!$E$4:$AE$4,0)))</f>
        <v>71674.712393819893</v>
      </c>
      <c r="AA11" s="64">
        <f>IF(AA$8=0,0,INDEX('Multi-Year Inputs'!$E$12:$AE$15,MATCH($B11,'Multi-Year Inputs'!$D$12:$D$15,0),MATCH(AA$7,'Multi-Year Inputs'!$E$4:$AE$4,0)))</f>
        <v>71674.712393819893</v>
      </c>
      <c r="AB11" s="64">
        <f>IF(AB$8=0,0,INDEX('Multi-Year Inputs'!$E$12:$AE$15,MATCH($B11,'Multi-Year Inputs'!$D$12:$D$15,0),MATCH(AB$7,'Multi-Year Inputs'!$E$4:$AE$4,0)))</f>
        <v>71674.712393819893</v>
      </c>
      <c r="AC11" s="64">
        <f>IF(AC$8=0,0,INDEX('Multi-Year Inputs'!$E$12:$AE$15,MATCH($B11,'Multi-Year Inputs'!$D$12:$D$15,0),MATCH(AC$7,'Multi-Year Inputs'!$E$4:$AE$4,0)))</f>
        <v>71674.712393819893</v>
      </c>
      <c r="AD11" s="64">
        <f>IF(AD$8=0,0,INDEX('Multi-Year Inputs'!$E$12:$AE$15,MATCH($B11,'Multi-Year Inputs'!$D$12:$D$15,0),MATCH(AD$7,'Multi-Year Inputs'!$E$4:$AE$4,0)))</f>
        <v>71674.712393819893</v>
      </c>
      <c r="AE11" s="64">
        <f>IF(AE$8=0,0,INDEX('Multi-Year Inputs'!$E$12:$AE$15,MATCH($B11,'Multi-Year Inputs'!$D$12:$D$15,0),MATCH(AE$7,'Multi-Year Inputs'!$E$4:$AE$4,0)))</f>
        <v>71674.712393819893</v>
      </c>
      <c r="AF11" s="64">
        <f>IF(AF$8=0,0,INDEX('Multi-Year Inputs'!$E$12:$AE$15,MATCH($B11,'Multi-Year Inputs'!$D$12:$D$15,0),MATCH(AF$7,'Multi-Year Inputs'!$E$4:$AE$4,0)))</f>
        <v>71674.712393819893</v>
      </c>
      <c r="AG11" s="64">
        <f>IF(AG$8=0,0,INDEX('Multi-Year Inputs'!$E$12:$AE$15,MATCH($B11,'Multi-Year Inputs'!$D$12:$D$15,0),MATCH(AG$7,'Multi-Year Inputs'!$E$4:$AE$4,0)))</f>
        <v>71674.712393819893</v>
      </c>
      <c r="AH11" s="64"/>
      <c r="AI11" s="64"/>
      <c r="AJ11" s="64"/>
      <c r="AM11" s="71">
        <f>IF(AM$8=0,0,INDEX('Multi-Year Inputs'!$E$12:$AE$15,MATCH($B11,'Multi-Year Inputs'!$D$12:$D$15,0),MATCH(AM$7,'Multi-Year Inputs'!$E$4:$AE$4,0)))</f>
        <v>0</v>
      </c>
      <c r="AN11" s="71">
        <f>IF(AN$8=0,0,INDEX('Multi-Year Inputs'!$E$12:$AE$15,MATCH($B11,'Multi-Year Inputs'!$D$12:$D$15,0),MATCH(AN$7,'Multi-Year Inputs'!$E$4:$AE$4,0)))</f>
        <v>71674.712393819893</v>
      </c>
      <c r="AO11" s="71">
        <f>IF(AO$8=0,0,INDEX('Multi-Year Inputs'!$E$12:$AE$15,MATCH($B11,'Multi-Year Inputs'!$D$12:$D$15,0),MATCH(AO$7,'Multi-Year Inputs'!$E$4:$AE$4,0)))</f>
        <v>71674.712393819893</v>
      </c>
      <c r="AP11" s="71">
        <f>IF(AP$8=0,0,INDEX('Multi-Year Inputs'!$E$12:$AE$15,MATCH($B11,'Multi-Year Inputs'!$D$12:$D$15,0),MATCH(AP$7,'Multi-Year Inputs'!$E$4:$AE$4,0)))</f>
        <v>71674.712393819893</v>
      </c>
      <c r="AQ11" s="71">
        <f>IF(AQ$8=0,0,INDEX('Multi-Year Inputs'!$E$12:$AE$15,MATCH($B11,'Multi-Year Inputs'!$D$12:$D$15,0),MATCH(AQ$7,'Multi-Year Inputs'!$E$4:$AE$4,0)))</f>
        <v>71674.712393819893</v>
      </c>
      <c r="AR11" s="71">
        <f>IF(AR$8=0,0,INDEX('Multi-Year Inputs'!$E$12:$AE$15,MATCH($B11,'Multi-Year Inputs'!$D$12:$D$15,0),MATCH(AR$7,'Multi-Year Inputs'!$E$4:$AE$4,0)))</f>
        <v>71674.712393819893</v>
      </c>
      <c r="AS11" s="71">
        <f>IF(AS$8=0,0,INDEX('Multi-Year Inputs'!$E$12:$AE$15,MATCH($B11,'Multi-Year Inputs'!$D$12:$D$15,0),MATCH(AS$7,'Multi-Year Inputs'!$E$4:$AE$4,0)))</f>
        <v>71674.712393819893</v>
      </c>
      <c r="AT11" s="71">
        <f>IF(AT$8=0,0,INDEX('Multi-Year Inputs'!$E$12:$AE$15,MATCH($B11,'Multi-Year Inputs'!$D$12:$D$15,0),MATCH(AT$7,'Multi-Year Inputs'!$E$4:$AE$4,0)))</f>
        <v>71674.712393819893</v>
      </c>
      <c r="AU11" s="71">
        <f>IF(AU$8=0,0,INDEX('Multi-Year Inputs'!$E$12:$AE$15,MATCH($B11,'Multi-Year Inputs'!$D$12:$D$15,0),MATCH(AU$7,'Multi-Year Inputs'!$E$4:$AE$4,0)))</f>
        <v>71674.712393819893</v>
      </c>
      <c r="AV11" s="71">
        <f>IF(AV$8=0,0,INDEX('Multi-Year Inputs'!$E$12:$AE$15,MATCH($B11,'Multi-Year Inputs'!$D$12:$D$15,0),MATCH(AV$7,'Multi-Year Inputs'!$E$4:$AE$4,0)))</f>
        <v>71674.712393819893</v>
      </c>
      <c r="AW11" s="71">
        <f>IF(AW$8=0,0,INDEX('Multi-Year Inputs'!$E$12:$AE$15,MATCH($B11,'Multi-Year Inputs'!$D$12:$D$15,0),MATCH(AW$7,'Multi-Year Inputs'!$E$4:$AE$4,0)))</f>
        <v>71674.712393819893</v>
      </c>
      <c r="AX11" s="71">
        <f>IF(AX$8=0,0,INDEX('Multi-Year Inputs'!$E$12:$AE$15,MATCH($B11,'Multi-Year Inputs'!$D$12:$D$15,0),MATCH(AX$7,'Multi-Year Inputs'!$E$4:$AE$4,0)))</f>
        <v>71674.712393819893</v>
      </c>
      <c r="AY11" s="71">
        <f>IF(AY$8=0,0,INDEX('Multi-Year Inputs'!$E$12:$AE$15,MATCH($B11,'Multi-Year Inputs'!$D$12:$D$15,0),MATCH(AY$7,'Multi-Year Inputs'!$E$4:$AE$4,0)))</f>
        <v>71674.712393819893</v>
      </c>
      <c r="AZ11" s="71">
        <f>IF(AZ$8=0,0,INDEX('Multi-Year Inputs'!$E$12:$AE$15,MATCH($B11,'Multi-Year Inputs'!$D$12:$D$15,0),MATCH(AZ$7,'Multi-Year Inputs'!$E$4:$AE$4,0)))</f>
        <v>71674.712393819893</v>
      </c>
      <c r="BA11" s="71">
        <f>IF(BA$8=0,0,INDEX('Multi-Year Inputs'!$E$12:$AE$15,MATCH($B11,'Multi-Year Inputs'!$D$12:$D$15,0),MATCH(BA$7,'Multi-Year Inputs'!$E$4:$AE$4,0)))</f>
        <v>71674.712393819893</v>
      </c>
      <c r="BB11" s="71">
        <f>IF(BB$8=0,0,INDEX('Multi-Year Inputs'!$E$12:$AE$15,MATCH($B11,'Multi-Year Inputs'!$D$12:$D$15,0),MATCH(BB$7,'Multi-Year Inputs'!$E$4:$AE$4,0)))</f>
        <v>71674.712393819893</v>
      </c>
      <c r="BC11" s="71">
        <f>IF(BC$8=0,0,INDEX('Multi-Year Inputs'!$E$12:$AE$15,MATCH($B11,'Multi-Year Inputs'!$D$12:$D$15,0),MATCH(BC$7,'Multi-Year Inputs'!$E$4:$AE$4,0)))</f>
        <v>71674.712393819893</v>
      </c>
      <c r="BD11" s="71">
        <f>IF(BD$8=0,0,INDEX('Multi-Year Inputs'!$E$12:$AE$15,MATCH($B11,'Multi-Year Inputs'!$D$12:$D$15,0),MATCH(BD$7,'Multi-Year Inputs'!$E$4:$AE$4,0)))</f>
        <v>71674.712393819893</v>
      </c>
      <c r="BE11" s="71">
        <f>IF(BE$8=0,0,INDEX('Multi-Year Inputs'!$E$12:$AE$15,MATCH($B11,'Multi-Year Inputs'!$D$12:$D$15,0),MATCH(BE$7,'Multi-Year Inputs'!$E$4:$AE$4,0)))</f>
        <v>71674.712393819893</v>
      </c>
      <c r="BF11" s="71">
        <f>IF(BF$8=0,0,INDEX('Multi-Year Inputs'!$E$12:$AE$15,MATCH($B11,'Multi-Year Inputs'!$D$12:$D$15,0),MATCH(BF$7,'Multi-Year Inputs'!$E$4:$AE$4,0)))</f>
        <v>71674.712393819893</v>
      </c>
      <c r="BG11" s="71">
        <f>IF(BG$8=0,0,INDEX('Multi-Year Inputs'!$E$12:$AE$15,MATCH($B11,'Multi-Year Inputs'!$D$12:$D$15,0),MATCH(BG$7,'Multi-Year Inputs'!$E$4:$AE$4,0)))</f>
        <v>71674.712393819893</v>
      </c>
      <c r="BH11" s="71">
        <f>IF(BH$8=0,0,INDEX('Multi-Year Inputs'!$E$12:$AE$15,MATCH($B11,'Multi-Year Inputs'!$D$12:$D$15,0),MATCH(BH$7,'Multi-Year Inputs'!$E$4:$AE$4,0)))</f>
        <v>71674.712393819893</v>
      </c>
      <c r="BI11" s="71">
        <f>IF(BI$8=0,0,INDEX('Multi-Year Inputs'!$E$12:$AE$15,MATCH($B11,'Multi-Year Inputs'!$D$12:$D$15,0),MATCH(BI$7,'Multi-Year Inputs'!$E$4:$AE$4,0)))</f>
        <v>71674.712393819893</v>
      </c>
      <c r="BJ11" s="71">
        <f>IF(BJ$8=0,0,INDEX('Multi-Year Inputs'!$E$12:$AE$15,MATCH($B11,'Multi-Year Inputs'!$D$12:$D$15,0),MATCH(BJ$7,'Multi-Year Inputs'!$E$4:$AE$4,0)))</f>
        <v>71674.712393819893</v>
      </c>
      <c r="BK11" s="71">
        <f>IF(BK$8=0,0,INDEX('Multi-Year Inputs'!$E$12:$AE$15,MATCH($B11,'Multi-Year Inputs'!$D$12:$D$15,0),MATCH(BK$7,'Multi-Year Inputs'!$E$4:$AE$4,0)))</f>
        <v>71674.712393819893</v>
      </c>
      <c r="BL11" s="71">
        <f>IF(BL$8=0,0,INDEX('Multi-Year Inputs'!$E$12:$AE$15,MATCH($B11,'Multi-Year Inputs'!$D$12:$D$15,0),MATCH(BL$7,'Multi-Year Inputs'!$E$4:$AE$4,0)))</f>
        <v>71674.712393819893</v>
      </c>
      <c r="BM11" s="71">
        <f>IF(BM$8=0,0,INDEX('Multi-Year Inputs'!$E$12:$AE$15,MATCH($B11,'Multi-Year Inputs'!$D$12:$D$15,0),MATCH(BM$7,'Multi-Year Inputs'!$E$4:$AE$4,0)))</f>
        <v>71674.712393819893</v>
      </c>
      <c r="BN11" s="72"/>
      <c r="BO11" s="72"/>
      <c r="BP11" s="72"/>
      <c r="BS11" s="76" t="s">
        <v>89</v>
      </c>
      <c r="BT11" s="51" t="s">
        <v>17</v>
      </c>
    </row>
    <row r="12" spans="1:72" s="5" customFormat="1" x14ac:dyDescent="0.25">
      <c r="A12" s="52"/>
      <c r="B12" s="242" t="str">
        <f t="shared" si="4"/>
        <v>Residential</v>
      </c>
      <c r="C12" s="242" t="str">
        <f>C11</f>
        <v>Customers</v>
      </c>
      <c r="D12" s="244" t="s">
        <v>40</v>
      </c>
      <c r="E12" s="77" t="s">
        <v>40</v>
      </c>
      <c r="F12" s="76" t="s">
        <v>2</v>
      </c>
      <c r="G12" s="65">
        <f ca="1">IF($C$4=Lookups!$D$40,IF(SUM(INDIRECT("'Yr1'!"&amp;ADDRESS(ROW(G12),COLUMN(G12))),INDIRECT("'Yr2'!"&amp;ADDRESS(ROW(G12),COLUMN(G12))),INDIRECT("'Yr3'!"&amp;ADDRESS(ROW(G12),COLUMN(G12))))&gt;0,"3 Yr. total",0),
IF(G$7&lt;$C$4,0,IF(G$8&lt;=SUMIFS('EE Inputs'!$V$9:$V$32,'EE Inputs'!$C$9:$C$32,$G$6,'EE Inputs'!$D$9:$D$32,$C$4,'EE Inputs'!$E$9:$E$32,$B12),SUMIFS('EE Inputs'!$V$9:$V$32,'EE Inputs'!$C$9:$C$32,$G$6,'EE Inputs'!$D$9:$D$32,$C$4,'EE Inputs'!$E$9:$E$32,$B12),0)))</f>
        <v>0</v>
      </c>
      <c r="H12" s="65">
        <f ca="1">IF($C$4=Lookups!$D$40,IF(SUM(INDIRECT("'Yr1'!"&amp;ADDRESS(ROW(H12),COLUMN(H12))),INDIRECT("'Yr2'!"&amp;ADDRESS(ROW(H12),COLUMN(H12))),INDIRECT("'Yr3'!"&amp;ADDRESS(ROW(H12),COLUMN(H12))))&gt;0,"3 Yr. total",0),
IF(H$7&lt;$C$4,0,IF(H$8&lt;=SUMIFS('EE Inputs'!$V$9:$V$32,'EE Inputs'!$C$9:$C$32,$G$6,'EE Inputs'!$D$9:$D$32,$C$4,'EE Inputs'!$E$9:$E$32,$B12),SUMIFS('EE Inputs'!$V$9:$V$32,'EE Inputs'!$C$9:$C$32,$G$6,'EE Inputs'!$D$9:$D$32,$C$4,'EE Inputs'!$E$9:$E$32,$B12),0)))</f>
        <v>15</v>
      </c>
      <c r="I12" s="65">
        <f ca="1">IF($C$4=Lookups!$D$40,IF(SUM(INDIRECT("'Yr1'!"&amp;ADDRESS(ROW(I12),COLUMN(I12))),INDIRECT("'Yr2'!"&amp;ADDRESS(ROW(I12),COLUMN(I12))),INDIRECT("'Yr3'!"&amp;ADDRESS(ROW(I12),COLUMN(I12))))&gt;0,"3 Yr. total",0),
IF(I$7&lt;$C$4,0,IF(I$8&lt;=SUMIFS('EE Inputs'!$V$9:$V$32,'EE Inputs'!$C$9:$C$32,$G$6,'EE Inputs'!$D$9:$D$32,$C$4,'EE Inputs'!$E$9:$E$32,$B12),SUMIFS('EE Inputs'!$V$9:$V$32,'EE Inputs'!$C$9:$C$32,$G$6,'EE Inputs'!$D$9:$D$32,$C$4,'EE Inputs'!$E$9:$E$32,$B12),0)))</f>
        <v>15</v>
      </c>
      <c r="J12" s="65">
        <f ca="1">IF($C$4=Lookups!$D$40,IF(SUM(INDIRECT("'Yr1'!"&amp;ADDRESS(ROW(J12),COLUMN(J12))),INDIRECT("'Yr2'!"&amp;ADDRESS(ROW(J12),COLUMN(J12))),INDIRECT("'Yr3'!"&amp;ADDRESS(ROW(J12),COLUMN(J12))))&gt;0,"3 Yr. total",0),
IF(J$7&lt;$C$4,0,IF(J$8&lt;=SUMIFS('EE Inputs'!$V$9:$V$32,'EE Inputs'!$C$9:$C$32,$G$6,'EE Inputs'!$D$9:$D$32,$C$4,'EE Inputs'!$E$9:$E$32,$B12),SUMIFS('EE Inputs'!$V$9:$V$32,'EE Inputs'!$C$9:$C$32,$G$6,'EE Inputs'!$D$9:$D$32,$C$4,'EE Inputs'!$E$9:$E$32,$B12),0)))</f>
        <v>15</v>
      </c>
      <c r="K12" s="65">
        <f ca="1">IF($C$4=Lookups!$D$40,IF(SUM(INDIRECT("'Yr1'!"&amp;ADDRESS(ROW(K12),COLUMN(K12))),INDIRECT("'Yr2'!"&amp;ADDRESS(ROW(K12),COLUMN(K12))),INDIRECT("'Yr3'!"&amp;ADDRESS(ROW(K12),COLUMN(K12))))&gt;0,"3 Yr. total",0),
IF(K$7&lt;$C$4,0,IF(K$8&lt;=SUMIFS('EE Inputs'!$V$9:$V$32,'EE Inputs'!$C$9:$C$32,$G$6,'EE Inputs'!$D$9:$D$32,$C$4,'EE Inputs'!$E$9:$E$32,$B12),SUMIFS('EE Inputs'!$V$9:$V$32,'EE Inputs'!$C$9:$C$32,$G$6,'EE Inputs'!$D$9:$D$32,$C$4,'EE Inputs'!$E$9:$E$32,$B12),0)))</f>
        <v>15</v>
      </c>
      <c r="L12" s="65">
        <f ca="1">IF($C$4=Lookups!$D$40,IF(SUM(INDIRECT("'Yr1'!"&amp;ADDRESS(ROW(L12),COLUMN(L12))),INDIRECT("'Yr2'!"&amp;ADDRESS(ROW(L12),COLUMN(L12))),INDIRECT("'Yr3'!"&amp;ADDRESS(ROW(L12),COLUMN(L12))))&gt;0,"3 Yr. total",0),
IF(L$7&lt;$C$4,0,IF(L$8&lt;=SUMIFS('EE Inputs'!$V$9:$V$32,'EE Inputs'!$C$9:$C$32,$G$6,'EE Inputs'!$D$9:$D$32,$C$4,'EE Inputs'!$E$9:$E$32,$B12),SUMIFS('EE Inputs'!$V$9:$V$32,'EE Inputs'!$C$9:$C$32,$G$6,'EE Inputs'!$D$9:$D$32,$C$4,'EE Inputs'!$E$9:$E$32,$B12),0)))</f>
        <v>15</v>
      </c>
      <c r="M12" s="65">
        <f ca="1">IF($C$4=Lookups!$D$40,IF(SUM(INDIRECT("'Yr1'!"&amp;ADDRESS(ROW(M12),COLUMN(M12))),INDIRECT("'Yr2'!"&amp;ADDRESS(ROW(M12),COLUMN(M12))),INDIRECT("'Yr3'!"&amp;ADDRESS(ROW(M12),COLUMN(M12))))&gt;0,"3 Yr. total",0),
IF(M$7&lt;$C$4,0,IF(M$8&lt;=SUMIFS('EE Inputs'!$V$9:$V$32,'EE Inputs'!$C$9:$C$32,$G$6,'EE Inputs'!$D$9:$D$32,$C$4,'EE Inputs'!$E$9:$E$32,$B12),SUMIFS('EE Inputs'!$V$9:$V$32,'EE Inputs'!$C$9:$C$32,$G$6,'EE Inputs'!$D$9:$D$32,$C$4,'EE Inputs'!$E$9:$E$32,$B12),0)))</f>
        <v>15</v>
      </c>
      <c r="N12" s="65">
        <f ca="1">IF($C$4=Lookups!$D$40,IF(SUM(INDIRECT("'Yr1'!"&amp;ADDRESS(ROW(N12),COLUMN(N12))),INDIRECT("'Yr2'!"&amp;ADDRESS(ROW(N12),COLUMN(N12))),INDIRECT("'Yr3'!"&amp;ADDRESS(ROW(N12),COLUMN(N12))))&gt;0,"3 Yr. total",0),
IF(N$7&lt;$C$4,0,IF(N$8&lt;=SUMIFS('EE Inputs'!$V$9:$V$32,'EE Inputs'!$C$9:$C$32,$G$6,'EE Inputs'!$D$9:$D$32,$C$4,'EE Inputs'!$E$9:$E$32,$B12),SUMIFS('EE Inputs'!$V$9:$V$32,'EE Inputs'!$C$9:$C$32,$G$6,'EE Inputs'!$D$9:$D$32,$C$4,'EE Inputs'!$E$9:$E$32,$B12),0)))</f>
        <v>15</v>
      </c>
      <c r="O12" s="65">
        <f ca="1">IF($C$4=Lookups!$D$40,IF(SUM(INDIRECT("'Yr1'!"&amp;ADDRESS(ROW(O12),COLUMN(O12))),INDIRECT("'Yr2'!"&amp;ADDRESS(ROW(O12),COLUMN(O12))),INDIRECT("'Yr3'!"&amp;ADDRESS(ROW(O12),COLUMN(O12))))&gt;0,"3 Yr. total",0),
IF(O$7&lt;$C$4,0,IF(O$8&lt;=SUMIFS('EE Inputs'!$V$9:$V$32,'EE Inputs'!$C$9:$C$32,$G$6,'EE Inputs'!$D$9:$D$32,$C$4,'EE Inputs'!$E$9:$E$32,$B12),SUMIFS('EE Inputs'!$V$9:$V$32,'EE Inputs'!$C$9:$C$32,$G$6,'EE Inputs'!$D$9:$D$32,$C$4,'EE Inputs'!$E$9:$E$32,$B12),0)))</f>
        <v>15</v>
      </c>
      <c r="P12" s="65">
        <f ca="1">IF($C$4=Lookups!$D$40,IF(SUM(INDIRECT("'Yr1'!"&amp;ADDRESS(ROW(P12),COLUMN(P12))),INDIRECT("'Yr2'!"&amp;ADDRESS(ROW(P12),COLUMN(P12))),INDIRECT("'Yr3'!"&amp;ADDRESS(ROW(P12),COLUMN(P12))))&gt;0,"3 Yr. total",0),
IF(P$7&lt;$C$4,0,IF(P$8&lt;=SUMIFS('EE Inputs'!$V$9:$V$32,'EE Inputs'!$C$9:$C$32,$G$6,'EE Inputs'!$D$9:$D$32,$C$4,'EE Inputs'!$E$9:$E$32,$B12),SUMIFS('EE Inputs'!$V$9:$V$32,'EE Inputs'!$C$9:$C$32,$G$6,'EE Inputs'!$D$9:$D$32,$C$4,'EE Inputs'!$E$9:$E$32,$B12),0)))</f>
        <v>15</v>
      </c>
      <c r="Q12" s="65">
        <f ca="1">IF($C$4=Lookups!$D$40,IF(SUM(INDIRECT("'Yr1'!"&amp;ADDRESS(ROW(Q12),COLUMN(Q12))),INDIRECT("'Yr2'!"&amp;ADDRESS(ROW(Q12),COLUMN(Q12))),INDIRECT("'Yr3'!"&amp;ADDRESS(ROW(Q12),COLUMN(Q12))))&gt;0,"3 Yr. total",0),
IF(Q$7&lt;$C$4,0,IF(Q$8&lt;=SUMIFS('EE Inputs'!$V$9:$V$32,'EE Inputs'!$C$9:$C$32,$G$6,'EE Inputs'!$D$9:$D$32,$C$4,'EE Inputs'!$E$9:$E$32,$B12),SUMIFS('EE Inputs'!$V$9:$V$32,'EE Inputs'!$C$9:$C$32,$G$6,'EE Inputs'!$D$9:$D$32,$C$4,'EE Inputs'!$E$9:$E$32,$B12),0)))</f>
        <v>15</v>
      </c>
      <c r="R12" s="65">
        <f ca="1">IF($C$4=Lookups!$D$40,IF(SUM(INDIRECT("'Yr1'!"&amp;ADDRESS(ROW(R12),COLUMN(R12))),INDIRECT("'Yr2'!"&amp;ADDRESS(ROW(R12),COLUMN(R12))),INDIRECT("'Yr3'!"&amp;ADDRESS(ROW(R12),COLUMN(R12))))&gt;0,"3 Yr. total",0),
IF(R$7&lt;$C$4,0,IF(R$8&lt;=SUMIFS('EE Inputs'!$V$9:$V$32,'EE Inputs'!$C$9:$C$32,$G$6,'EE Inputs'!$D$9:$D$32,$C$4,'EE Inputs'!$E$9:$E$32,$B12),SUMIFS('EE Inputs'!$V$9:$V$32,'EE Inputs'!$C$9:$C$32,$G$6,'EE Inputs'!$D$9:$D$32,$C$4,'EE Inputs'!$E$9:$E$32,$B12),0)))</f>
        <v>15</v>
      </c>
      <c r="S12" s="65">
        <f ca="1">IF($C$4=Lookups!$D$40,IF(SUM(INDIRECT("'Yr1'!"&amp;ADDRESS(ROW(S12),COLUMN(S12))),INDIRECT("'Yr2'!"&amp;ADDRESS(ROW(S12),COLUMN(S12))),INDIRECT("'Yr3'!"&amp;ADDRESS(ROW(S12),COLUMN(S12))))&gt;0,"3 Yr. total",0),
IF(S$7&lt;$C$4,0,IF(S$8&lt;=SUMIFS('EE Inputs'!$V$9:$V$32,'EE Inputs'!$C$9:$C$32,$G$6,'EE Inputs'!$D$9:$D$32,$C$4,'EE Inputs'!$E$9:$E$32,$B12),SUMIFS('EE Inputs'!$V$9:$V$32,'EE Inputs'!$C$9:$C$32,$G$6,'EE Inputs'!$D$9:$D$32,$C$4,'EE Inputs'!$E$9:$E$32,$B12),0)))</f>
        <v>15</v>
      </c>
      <c r="T12" s="65">
        <f ca="1">IF($C$4=Lookups!$D$40,IF(SUM(INDIRECT("'Yr1'!"&amp;ADDRESS(ROW(T12),COLUMN(T12))),INDIRECT("'Yr2'!"&amp;ADDRESS(ROW(T12),COLUMN(T12))),INDIRECT("'Yr3'!"&amp;ADDRESS(ROW(T12),COLUMN(T12))))&gt;0,"3 Yr. total",0),
IF(T$7&lt;$C$4,0,IF(T$8&lt;=SUMIFS('EE Inputs'!$V$9:$V$32,'EE Inputs'!$C$9:$C$32,$G$6,'EE Inputs'!$D$9:$D$32,$C$4,'EE Inputs'!$E$9:$E$32,$B12),SUMIFS('EE Inputs'!$V$9:$V$32,'EE Inputs'!$C$9:$C$32,$G$6,'EE Inputs'!$D$9:$D$32,$C$4,'EE Inputs'!$E$9:$E$32,$B12),0)))</f>
        <v>15</v>
      </c>
      <c r="U12" s="65">
        <f ca="1">IF($C$4=Lookups!$D$40,IF(SUM(INDIRECT("'Yr1'!"&amp;ADDRESS(ROW(U12),COLUMN(U12))),INDIRECT("'Yr2'!"&amp;ADDRESS(ROW(U12),COLUMN(U12))),INDIRECT("'Yr3'!"&amp;ADDRESS(ROW(U12),COLUMN(U12))))&gt;0,"3 Yr. total",0),
IF(U$7&lt;$C$4,0,IF(U$8&lt;=SUMIFS('EE Inputs'!$V$9:$V$32,'EE Inputs'!$C$9:$C$32,$G$6,'EE Inputs'!$D$9:$D$32,$C$4,'EE Inputs'!$E$9:$E$32,$B12),SUMIFS('EE Inputs'!$V$9:$V$32,'EE Inputs'!$C$9:$C$32,$G$6,'EE Inputs'!$D$9:$D$32,$C$4,'EE Inputs'!$E$9:$E$32,$B12),0)))</f>
        <v>15</v>
      </c>
      <c r="V12" s="65">
        <f ca="1">IF($C$4=Lookups!$D$40,IF(SUM(INDIRECT("'Yr1'!"&amp;ADDRESS(ROW(V12),COLUMN(V12))),INDIRECT("'Yr2'!"&amp;ADDRESS(ROW(V12),COLUMN(V12))),INDIRECT("'Yr3'!"&amp;ADDRESS(ROW(V12),COLUMN(V12))))&gt;0,"3 Yr. total",0),
IF(V$7&lt;$C$4,0,IF(V$8&lt;=SUMIFS('EE Inputs'!$V$9:$V$32,'EE Inputs'!$C$9:$C$32,$G$6,'EE Inputs'!$D$9:$D$32,$C$4,'EE Inputs'!$E$9:$E$32,$B12),SUMIFS('EE Inputs'!$V$9:$V$32,'EE Inputs'!$C$9:$C$32,$G$6,'EE Inputs'!$D$9:$D$32,$C$4,'EE Inputs'!$E$9:$E$32,$B12),0)))</f>
        <v>15</v>
      </c>
      <c r="W12" s="65">
        <f ca="1">IF($C$4=Lookups!$D$40,IF(SUM(INDIRECT("'Yr1'!"&amp;ADDRESS(ROW(W12),COLUMN(W12))),INDIRECT("'Yr2'!"&amp;ADDRESS(ROW(W12),COLUMN(W12))),INDIRECT("'Yr3'!"&amp;ADDRESS(ROW(W12),COLUMN(W12))))&gt;0,"3 Yr. total",0),
IF(W$7&lt;$C$4,0,IF(W$8&lt;=SUMIFS('EE Inputs'!$V$9:$V$32,'EE Inputs'!$C$9:$C$32,$G$6,'EE Inputs'!$D$9:$D$32,$C$4,'EE Inputs'!$E$9:$E$32,$B12),SUMIFS('EE Inputs'!$V$9:$V$32,'EE Inputs'!$C$9:$C$32,$G$6,'EE Inputs'!$D$9:$D$32,$C$4,'EE Inputs'!$E$9:$E$32,$B12),0)))</f>
        <v>0</v>
      </c>
      <c r="X12" s="65">
        <f ca="1">IF($C$4=Lookups!$D$40,IF(SUM(INDIRECT("'Yr1'!"&amp;ADDRESS(ROW(X12),COLUMN(X12))),INDIRECT("'Yr2'!"&amp;ADDRESS(ROW(X12),COLUMN(X12))),INDIRECT("'Yr3'!"&amp;ADDRESS(ROW(X12),COLUMN(X12))))&gt;0,"3 Yr. total",0),
IF(X$7&lt;$C$4,0,IF(X$8&lt;=SUMIFS('EE Inputs'!$V$9:$V$32,'EE Inputs'!$C$9:$C$32,$G$6,'EE Inputs'!$D$9:$D$32,$C$4,'EE Inputs'!$E$9:$E$32,$B12),SUMIFS('EE Inputs'!$V$9:$V$32,'EE Inputs'!$C$9:$C$32,$G$6,'EE Inputs'!$D$9:$D$32,$C$4,'EE Inputs'!$E$9:$E$32,$B12),0)))</f>
        <v>0</v>
      </c>
      <c r="Y12" s="65">
        <f ca="1">IF($C$4=Lookups!$D$40,IF(SUM(INDIRECT("'Yr1'!"&amp;ADDRESS(ROW(Y12),COLUMN(Y12))),INDIRECT("'Yr2'!"&amp;ADDRESS(ROW(Y12),COLUMN(Y12))),INDIRECT("'Yr3'!"&amp;ADDRESS(ROW(Y12),COLUMN(Y12))))&gt;0,"3 Yr. total",0),
IF(Y$7&lt;$C$4,0,IF(Y$8&lt;=SUMIFS('EE Inputs'!$V$9:$V$32,'EE Inputs'!$C$9:$C$32,$G$6,'EE Inputs'!$D$9:$D$32,$C$4,'EE Inputs'!$E$9:$E$32,$B12),SUMIFS('EE Inputs'!$V$9:$V$32,'EE Inputs'!$C$9:$C$32,$G$6,'EE Inputs'!$D$9:$D$32,$C$4,'EE Inputs'!$E$9:$E$32,$B12),0)))</f>
        <v>0</v>
      </c>
      <c r="Z12" s="65">
        <f ca="1">IF($C$4=Lookups!$D$40,IF(SUM(INDIRECT("'Yr1'!"&amp;ADDRESS(ROW(Z12),COLUMN(Z12))),INDIRECT("'Yr2'!"&amp;ADDRESS(ROW(Z12),COLUMN(Z12))),INDIRECT("'Yr3'!"&amp;ADDRESS(ROW(Z12),COLUMN(Z12))))&gt;0,"3 Yr. total",0),
IF(Z$7&lt;$C$4,0,IF(Z$8&lt;=SUMIFS('EE Inputs'!$V$9:$V$32,'EE Inputs'!$C$9:$C$32,$G$6,'EE Inputs'!$D$9:$D$32,$C$4,'EE Inputs'!$E$9:$E$32,$B12),SUMIFS('EE Inputs'!$V$9:$V$32,'EE Inputs'!$C$9:$C$32,$G$6,'EE Inputs'!$D$9:$D$32,$C$4,'EE Inputs'!$E$9:$E$32,$B12),0)))</f>
        <v>0</v>
      </c>
      <c r="AA12" s="65">
        <f ca="1">IF($C$4=Lookups!$D$40,IF(SUM(INDIRECT("'Yr1'!"&amp;ADDRESS(ROW(AA12),COLUMN(AA12))),INDIRECT("'Yr2'!"&amp;ADDRESS(ROW(AA12),COLUMN(AA12))),INDIRECT("'Yr3'!"&amp;ADDRESS(ROW(AA12),COLUMN(AA12))))&gt;0,"3 Yr. total",0),
IF(AA$7&lt;$C$4,0,IF(AA$8&lt;=SUMIFS('EE Inputs'!$V$9:$V$32,'EE Inputs'!$C$9:$C$32,$G$6,'EE Inputs'!$D$9:$D$32,$C$4,'EE Inputs'!$E$9:$E$32,$B12),SUMIFS('EE Inputs'!$V$9:$V$32,'EE Inputs'!$C$9:$C$32,$G$6,'EE Inputs'!$D$9:$D$32,$C$4,'EE Inputs'!$E$9:$E$32,$B12),0)))</f>
        <v>0</v>
      </c>
      <c r="AB12" s="65">
        <f ca="1">IF($C$4=Lookups!$D$40,IF(SUM(INDIRECT("'Yr1'!"&amp;ADDRESS(ROW(AB12),COLUMN(AB12))),INDIRECT("'Yr2'!"&amp;ADDRESS(ROW(AB12),COLUMN(AB12))),INDIRECT("'Yr3'!"&amp;ADDRESS(ROW(AB12),COLUMN(AB12))))&gt;0,"3 Yr. total",0),
IF(AB$7&lt;$C$4,0,IF(AB$8&lt;=SUMIFS('EE Inputs'!$V$9:$V$32,'EE Inputs'!$C$9:$C$32,$G$6,'EE Inputs'!$D$9:$D$32,$C$4,'EE Inputs'!$E$9:$E$32,$B12),SUMIFS('EE Inputs'!$V$9:$V$32,'EE Inputs'!$C$9:$C$32,$G$6,'EE Inputs'!$D$9:$D$32,$C$4,'EE Inputs'!$E$9:$E$32,$B12),0)))</f>
        <v>0</v>
      </c>
      <c r="AC12" s="65">
        <f ca="1">IF($C$4=Lookups!$D$40,IF(SUM(INDIRECT("'Yr1'!"&amp;ADDRESS(ROW(AC12),COLUMN(AC12))),INDIRECT("'Yr2'!"&amp;ADDRESS(ROW(AC12),COLUMN(AC12))),INDIRECT("'Yr3'!"&amp;ADDRESS(ROW(AC12),COLUMN(AC12))))&gt;0,"3 Yr. total",0),
IF(AC$7&lt;$C$4,0,IF(AC$8&lt;=SUMIFS('EE Inputs'!$V$9:$V$32,'EE Inputs'!$C$9:$C$32,$G$6,'EE Inputs'!$D$9:$D$32,$C$4,'EE Inputs'!$E$9:$E$32,$B12),SUMIFS('EE Inputs'!$V$9:$V$32,'EE Inputs'!$C$9:$C$32,$G$6,'EE Inputs'!$D$9:$D$32,$C$4,'EE Inputs'!$E$9:$E$32,$B12),0)))</f>
        <v>0</v>
      </c>
      <c r="AD12" s="65">
        <f ca="1">IF($C$4=Lookups!$D$40,IF(SUM(INDIRECT("'Yr1'!"&amp;ADDRESS(ROW(AD12),COLUMN(AD12))),INDIRECT("'Yr2'!"&amp;ADDRESS(ROW(AD12),COLUMN(AD12))),INDIRECT("'Yr3'!"&amp;ADDRESS(ROW(AD12),COLUMN(AD12))))&gt;0,"3 Yr. total",0),
IF(AD$7&lt;$C$4,0,IF(AD$8&lt;=SUMIFS('EE Inputs'!$V$9:$V$32,'EE Inputs'!$C$9:$C$32,$G$6,'EE Inputs'!$D$9:$D$32,$C$4,'EE Inputs'!$E$9:$E$32,$B12),SUMIFS('EE Inputs'!$V$9:$V$32,'EE Inputs'!$C$9:$C$32,$G$6,'EE Inputs'!$D$9:$D$32,$C$4,'EE Inputs'!$E$9:$E$32,$B12),0)))</f>
        <v>0</v>
      </c>
      <c r="AE12" s="65">
        <f ca="1">IF($C$4=Lookups!$D$40,IF(SUM(INDIRECT("'Yr1'!"&amp;ADDRESS(ROW(AE12),COLUMN(AE12))),INDIRECT("'Yr2'!"&amp;ADDRESS(ROW(AE12),COLUMN(AE12))),INDIRECT("'Yr3'!"&amp;ADDRESS(ROW(AE12),COLUMN(AE12))))&gt;0,"3 Yr. total",0),
IF(AE$7&lt;$C$4,0,IF(AE$8&lt;=SUMIFS('EE Inputs'!$V$9:$V$32,'EE Inputs'!$C$9:$C$32,$G$6,'EE Inputs'!$D$9:$D$32,$C$4,'EE Inputs'!$E$9:$E$32,$B12),SUMIFS('EE Inputs'!$V$9:$V$32,'EE Inputs'!$C$9:$C$32,$G$6,'EE Inputs'!$D$9:$D$32,$C$4,'EE Inputs'!$E$9:$E$32,$B12),0)))</f>
        <v>0</v>
      </c>
      <c r="AF12" s="65">
        <f ca="1">IF($C$4=Lookups!$D$40,IF(SUM(INDIRECT("'Yr1'!"&amp;ADDRESS(ROW(AF12),COLUMN(AF12))),INDIRECT("'Yr2'!"&amp;ADDRESS(ROW(AF12),COLUMN(AF12))),INDIRECT("'Yr3'!"&amp;ADDRESS(ROW(AF12),COLUMN(AF12))))&gt;0,"3 Yr. total",0),
IF(AF$7&lt;$C$4,0,IF(AF$8&lt;=SUMIFS('EE Inputs'!$V$9:$V$32,'EE Inputs'!$C$9:$C$32,$G$6,'EE Inputs'!$D$9:$D$32,$C$4,'EE Inputs'!$E$9:$E$32,$B12),SUMIFS('EE Inputs'!$V$9:$V$32,'EE Inputs'!$C$9:$C$32,$G$6,'EE Inputs'!$D$9:$D$32,$C$4,'EE Inputs'!$E$9:$E$32,$B12),0)))</f>
        <v>0</v>
      </c>
      <c r="AG12" s="65">
        <f ca="1">IF($C$4=Lookups!$D$40,IF(SUM(INDIRECT("'Yr1'!"&amp;ADDRESS(ROW(AG12),COLUMN(AG12))),INDIRECT("'Yr2'!"&amp;ADDRESS(ROW(AG12),COLUMN(AG12))),INDIRECT("'Yr3'!"&amp;ADDRESS(ROW(AG12),COLUMN(AG12))))&gt;0,"3 Yr. total",0),
IF(AG$7&lt;$C$4,0,IF(AG$8&lt;=SUMIFS('EE Inputs'!$V$9:$V$32,'EE Inputs'!$C$9:$C$32,$G$6,'EE Inputs'!$D$9:$D$32,$C$4,'EE Inputs'!$E$9:$E$32,$B12),SUMIFS('EE Inputs'!$V$9:$V$32,'EE Inputs'!$C$9:$C$32,$G$6,'EE Inputs'!$D$9:$D$32,$C$4,'EE Inputs'!$E$9:$E$32,$B12),0)))</f>
        <v>0</v>
      </c>
      <c r="AH12" s="65"/>
      <c r="AI12" s="65"/>
      <c r="AJ12" s="65"/>
      <c r="AM12" s="72">
        <f ca="1">IF($C$4=Lookups!$D$40,IF(SUM(INDIRECT("'Yr1'!"&amp;ADDRESS(ROW(AM12),COLUMN(AM12))),INDIRECT("'Yr2'!"&amp;ADDRESS(ROW(AM12),COLUMN(AM12))),INDIRECT("'Yr3'!"&amp;ADDRESS(ROW(AM12),COLUMN(AM12))))&gt;0,"3 Yr. total",0),
IF(AM$7&lt;$C$4,0,IF(AM$8&lt;=SUMIFS('EE Inputs'!$V$9:$V$32,'EE Inputs'!$C$9:$C$32,$AM$6,'EE Inputs'!$D$9:$D$32,$C$4,'EE Inputs'!$E$9:$E$32,$B12),SUMIFS('EE Inputs'!$V$9:$V$32,'EE Inputs'!$C$9:$C$32,$AM$6,'EE Inputs'!$D$9:$D$32,$C$4,'EE Inputs'!$E$9:$E$32,$B12),0)))</f>
        <v>0</v>
      </c>
      <c r="AN12" s="72">
        <f ca="1">IF($C$4=Lookups!$D$40,IF(SUM(INDIRECT("'Yr1'!"&amp;ADDRESS(ROW(AN12),COLUMN(AN12))),INDIRECT("'Yr2'!"&amp;ADDRESS(ROW(AN12),COLUMN(AN12))),INDIRECT("'Yr3'!"&amp;ADDRESS(ROW(AN12),COLUMN(AN12))))&gt;0,"3 Yr. total",0),
IF(AN$7&lt;$C$4,0,IF(AN$8&lt;=SUMIFS('EE Inputs'!$V$9:$V$32,'EE Inputs'!$C$9:$C$32,$AM$6,'EE Inputs'!$D$9:$D$32,$C$4,'EE Inputs'!$E$9:$E$32,$B12),SUMIFS('EE Inputs'!$V$9:$V$32,'EE Inputs'!$C$9:$C$32,$AM$6,'EE Inputs'!$D$9:$D$32,$C$4,'EE Inputs'!$E$9:$E$32,$B12),0)))</f>
        <v>15</v>
      </c>
      <c r="AO12" s="72">
        <f ca="1">IF($C$4=Lookups!$D$40,IF(SUM(INDIRECT("'Yr1'!"&amp;ADDRESS(ROW(AO12),COLUMN(AO12))),INDIRECT("'Yr2'!"&amp;ADDRESS(ROW(AO12),COLUMN(AO12))),INDIRECT("'Yr3'!"&amp;ADDRESS(ROW(AO12),COLUMN(AO12))))&gt;0,"3 Yr. total",0),
IF(AO$7&lt;$C$4,0,IF(AO$8&lt;=SUMIFS('EE Inputs'!$V$9:$V$32,'EE Inputs'!$C$9:$C$32,$AM$6,'EE Inputs'!$D$9:$D$32,$C$4,'EE Inputs'!$E$9:$E$32,$B12),SUMIFS('EE Inputs'!$V$9:$V$32,'EE Inputs'!$C$9:$C$32,$AM$6,'EE Inputs'!$D$9:$D$32,$C$4,'EE Inputs'!$E$9:$E$32,$B12),0)))</f>
        <v>15</v>
      </c>
      <c r="AP12" s="72">
        <f ca="1">IF($C$4=Lookups!$D$40,IF(SUM(INDIRECT("'Yr1'!"&amp;ADDRESS(ROW(AP12),COLUMN(AP12))),INDIRECT("'Yr2'!"&amp;ADDRESS(ROW(AP12),COLUMN(AP12))),INDIRECT("'Yr3'!"&amp;ADDRESS(ROW(AP12),COLUMN(AP12))))&gt;0,"3 Yr. total",0),
IF(AP$7&lt;$C$4,0,IF(AP$8&lt;=SUMIFS('EE Inputs'!$V$9:$V$32,'EE Inputs'!$C$9:$C$32,$AM$6,'EE Inputs'!$D$9:$D$32,$C$4,'EE Inputs'!$E$9:$E$32,$B12),SUMIFS('EE Inputs'!$V$9:$V$32,'EE Inputs'!$C$9:$C$32,$AM$6,'EE Inputs'!$D$9:$D$32,$C$4,'EE Inputs'!$E$9:$E$32,$B12),0)))</f>
        <v>15</v>
      </c>
      <c r="AQ12" s="72">
        <f ca="1">IF($C$4=Lookups!$D$40,IF(SUM(INDIRECT("'Yr1'!"&amp;ADDRESS(ROW(AQ12),COLUMN(AQ12))),INDIRECT("'Yr2'!"&amp;ADDRESS(ROW(AQ12),COLUMN(AQ12))),INDIRECT("'Yr3'!"&amp;ADDRESS(ROW(AQ12),COLUMN(AQ12))))&gt;0,"3 Yr. total",0),
IF(AQ$7&lt;$C$4,0,IF(AQ$8&lt;=SUMIFS('EE Inputs'!$V$9:$V$32,'EE Inputs'!$C$9:$C$32,$AM$6,'EE Inputs'!$D$9:$D$32,$C$4,'EE Inputs'!$E$9:$E$32,$B12),SUMIFS('EE Inputs'!$V$9:$V$32,'EE Inputs'!$C$9:$C$32,$AM$6,'EE Inputs'!$D$9:$D$32,$C$4,'EE Inputs'!$E$9:$E$32,$B12),0)))</f>
        <v>15</v>
      </c>
      <c r="AR12" s="72">
        <f ca="1">IF($C$4=Lookups!$D$40,IF(SUM(INDIRECT("'Yr1'!"&amp;ADDRESS(ROW(AR12),COLUMN(AR12))),INDIRECT("'Yr2'!"&amp;ADDRESS(ROW(AR12),COLUMN(AR12))),INDIRECT("'Yr3'!"&amp;ADDRESS(ROW(AR12),COLUMN(AR12))))&gt;0,"3 Yr. total",0),
IF(AR$7&lt;$C$4,0,IF(AR$8&lt;=SUMIFS('EE Inputs'!$V$9:$V$32,'EE Inputs'!$C$9:$C$32,$AM$6,'EE Inputs'!$D$9:$D$32,$C$4,'EE Inputs'!$E$9:$E$32,$B12),SUMIFS('EE Inputs'!$V$9:$V$32,'EE Inputs'!$C$9:$C$32,$AM$6,'EE Inputs'!$D$9:$D$32,$C$4,'EE Inputs'!$E$9:$E$32,$B12),0)))</f>
        <v>15</v>
      </c>
      <c r="AS12" s="72">
        <f ca="1">IF($C$4=Lookups!$D$40,IF(SUM(INDIRECT("'Yr1'!"&amp;ADDRESS(ROW(AS12),COLUMN(AS12))),INDIRECT("'Yr2'!"&amp;ADDRESS(ROW(AS12),COLUMN(AS12))),INDIRECT("'Yr3'!"&amp;ADDRESS(ROW(AS12),COLUMN(AS12))))&gt;0,"3 Yr. total",0),
IF(AS$7&lt;$C$4,0,IF(AS$8&lt;=SUMIFS('EE Inputs'!$V$9:$V$32,'EE Inputs'!$C$9:$C$32,$AM$6,'EE Inputs'!$D$9:$D$32,$C$4,'EE Inputs'!$E$9:$E$32,$B12),SUMIFS('EE Inputs'!$V$9:$V$32,'EE Inputs'!$C$9:$C$32,$AM$6,'EE Inputs'!$D$9:$D$32,$C$4,'EE Inputs'!$E$9:$E$32,$B12),0)))</f>
        <v>15</v>
      </c>
      <c r="AT12" s="72">
        <f ca="1">IF($C$4=Lookups!$D$40,IF(SUM(INDIRECT("'Yr1'!"&amp;ADDRESS(ROW(AT12),COLUMN(AT12))),INDIRECT("'Yr2'!"&amp;ADDRESS(ROW(AT12),COLUMN(AT12))),INDIRECT("'Yr3'!"&amp;ADDRESS(ROW(AT12),COLUMN(AT12))))&gt;0,"3 Yr. total",0),
IF(AT$7&lt;$C$4,0,IF(AT$8&lt;=SUMIFS('EE Inputs'!$V$9:$V$32,'EE Inputs'!$C$9:$C$32,$AM$6,'EE Inputs'!$D$9:$D$32,$C$4,'EE Inputs'!$E$9:$E$32,$B12),SUMIFS('EE Inputs'!$V$9:$V$32,'EE Inputs'!$C$9:$C$32,$AM$6,'EE Inputs'!$D$9:$D$32,$C$4,'EE Inputs'!$E$9:$E$32,$B12),0)))</f>
        <v>15</v>
      </c>
      <c r="AU12" s="72">
        <f ca="1">IF($C$4=Lookups!$D$40,IF(SUM(INDIRECT("'Yr1'!"&amp;ADDRESS(ROW(AU12),COLUMN(AU12))),INDIRECT("'Yr2'!"&amp;ADDRESS(ROW(AU12),COLUMN(AU12))),INDIRECT("'Yr3'!"&amp;ADDRESS(ROW(AU12),COLUMN(AU12))))&gt;0,"3 Yr. total",0),
IF(AU$7&lt;$C$4,0,IF(AU$8&lt;=SUMIFS('EE Inputs'!$V$9:$V$32,'EE Inputs'!$C$9:$C$32,$AM$6,'EE Inputs'!$D$9:$D$32,$C$4,'EE Inputs'!$E$9:$E$32,$B12),SUMIFS('EE Inputs'!$V$9:$V$32,'EE Inputs'!$C$9:$C$32,$AM$6,'EE Inputs'!$D$9:$D$32,$C$4,'EE Inputs'!$E$9:$E$32,$B12),0)))</f>
        <v>15</v>
      </c>
      <c r="AV12" s="72">
        <f ca="1">IF($C$4=Lookups!$D$40,IF(SUM(INDIRECT("'Yr1'!"&amp;ADDRESS(ROW(AV12),COLUMN(AV12))),INDIRECT("'Yr2'!"&amp;ADDRESS(ROW(AV12),COLUMN(AV12))),INDIRECT("'Yr3'!"&amp;ADDRESS(ROW(AV12),COLUMN(AV12))))&gt;0,"3 Yr. total",0),
IF(AV$7&lt;$C$4,0,IF(AV$8&lt;=SUMIFS('EE Inputs'!$V$9:$V$32,'EE Inputs'!$C$9:$C$32,$AM$6,'EE Inputs'!$D$9:$D$32,$C$4,'EE Inputs'!$E$9:$E$32,$B12),SUMIFS('EE Inputs'!$V$9:$V$32,'EE Inputs'!$C$9:$C$32,$AM$6,'EE Inputs'!$D$9:$D$32,$C$4,'EE Inputs'!$E$9:$E$32,$B12),0)))</f>
        <v>15</v>
      </c>
      <c r="AW12" s="72">
        <f ca="1">IF($C$4=Lookups!$D$40,IF(SUM(INDIRECT("'Yr1'!"&amp;ADDRESS(ROW(AW12),COLUMN(AW12))),INDIRECT("'Yr2'!"&amp;ADDRESS(ROW(AW12),COLUMN(AW12))),INDIRECT("'Yr3'!"&amp;ADDRESS(ROW(AW12),COLUMN(AW12))))&gt;0,"3 Yr. total",0),
IF(AW$7&lt;$C$4,0,IF(AW$8&lt;=SUMIFS('EE Inputs'!$V$9:$V$32,'EE Inputs'!$C$9:$C$32,$AM$6,'EE Inputs'!$D$9:$D$32,$C$4,'EE Inputs'!$E$9:$E$32,$B12),SUMIFS('EE Inputs'!$V$9:$V$32,'EE Inputs'!$C$9:$C$32,$AM$6,'EE Inputs'!$D$9:$D$32,$C$4,'EE Inputs'!$E$9:$E$32,$B12),0)))</f>
        <v>15</v>
      </c>
      <c r="AX12" s="72">
        <f ca="1">IF($C$4=Lookups!$D$40,IF(SUM(INDIRECT("'Yr1'!"&amp;ADDRESS(ROW(AX12),COLUMN(AX12))),INDIRECT("'Yr2'!"&amp;ADDRESS(ROW(AX12),COLUMN(AX12))),INDIRECT("'Yr3'!"&amp;ADDRESS(ROW(AX12),COLUMN(AX12))))&gt;0,"3 Yr. total",0),
IF(AX$7&lt;$C$4,0,IF(AX$8&lt;=SUMIFS('EE Inputs'!$V$9:$V$32,'EE Inputs'!$C$9:$C$32,$AM$6,'EE Inputs'!$D$9:$D$32,$C$4,'EE Inputs'!$E$9:$E$32,$B12),SUMIFS('EE Inputs'!$V$9:$V$32,'EE Inputs'!$C$9:$C$32,$AM$6,'EE Inputs'!$D$9:$D$32,$C$4,'EE Inputs'!$E$9:$E$32,$B12),0)))</f>
        <v>15</v>
      </c>
      <c r="AY12" s="72">
        <f ca="1">IF($C$4=Lookups!$D$40,IF(SUM(INDIRECT("'Yr1'!"&amp;ADDRESS(ROW(AY12),COLUMN(AY12))),INDIRECT("'Yr2'!"&amp;ADDRESS(ROW(AY12),COLUMN(AY12))),INDIRECT("'Yr3'!"&amp;ADDRESS(ROW(AY12),COLUMN(AY12))))&gt;0,"3 Yr. total",0),
IF(AY$7&lt;$C$4,0,IF(AY$8&lt;=SUMIFS('EE Inputs'!$V$9:$V$32,'EE Inputs'!$C$9:$C$32,$AM$6,'EE Inputs'!$D$9:$D$32,$C$4,'EE Inputs'!$E$9:$E$32,$B12),SUMIFS('EE Inputs'!$V$9:$V$32,'EE Inputs'!$C$9:$C$32,$AM$6,'EE Inputs'!$D$9:$D$32,$C$4,'EE Inputs'!$E$9:$E$32,$B12),0)))</f>
        <v>15</v>
      </c>
      <c r="AZ12" s="72">
        <f ca="1">IF($C$4=Lookups!$D$40,IF(SUM(INDIRECT("'Yr1'!"&amp;ADDRESS(ROW(AZ12),COLUMN(AZ12))),INDIRECT("'Yr2'!"&amp;ADDRESS(ROW(AZ12),COLUMN(AZ12))),INDIRECT("'Yr3'!"&amp;ADDRESS(ROW(AZ12),COLUMN(AZ12))))&gt;0,"3 Yr. total",0),
IF(AZ$7&lt;$C$4,0,IF(AZ$8&lt;=SUMIFS('EE Inputs'!$V$9:$V$32,'EE Inputs'!$C$9:$C$32,$AM$6,'EE Inputs'!$D$9:$D$32,$C$4,'EE Inputs'!$E$9:$E$32,$B12),SUMIFS('EE Inputs'!$V$9:$V$32,'EE Inputs'!$C$9:$C$32,$AM$6,'EE Inputs'!$D$9:$D$32,$C$4,'EE Inputs'!$E$9:$E$32,$B12),0)))</f>
        <v>15</v>
      </c>
      <c r="BA12" s="72">
        <f ca="1">IF($C$4=Lookups!$D$40,IF(SUM(INDIRECT("'Yr1'!"&amp;ADDRESS(ROW(BA12),COLUMN(BA12))),INDIRECT("'Yr2'!"&amp;ADDRESS(ROW(BA12),COLUMN(BA12))),INDIRECT("'Yr3'!"&amp;ADDRESS(ROW(BA12),COLUMN(BA12))))&gt;0,"3 Yr. total",0),
IF(BA$7&lt;$C$4,0,IF(BA$8&lt;=SUMIFS('EE Inputs'!$V$9:$V$32,'EE Inputs'!$C$9:$C$32,$AM$6,'EE Inputs'!$D$9:$D$32,$C$4,'EE Inputs'!$E$9:$E$32,$B12),SUMIFS('EE Inputs'!$V$9:$V$32,'EE Inputs'!$C$9:$C$32,$AM$6,'EE Inputs'!$D$9:$D$32,$C$4,'EE Inputs'!$E$9:$E$32,$B12),0)))</f>
        <v>15</v>
      </c>
      <c r="BB12" s="72">
        <f ca="1">IF($C$4=Lookups!$D$40,IF(SUM(INDIRECT("'Yr1'!"&amp;ADDRESS(ROW(BB12),COLUMN(BB12))),INDIRECT("'Yr2'!"&amp;ADDRESS(ROW(BB12),COLUMN(BB12))),INDIRECT("'Yr3'!"&amp;ADDRESS(ROW(BB12),COLUMN(BB12))))&gt;0,"3 Yr. total",0),
IF(BB$7&lt;$C$4,0,IF(BB$8&lt;=SUMIFS('EE Inputs'!$V$9:$V$32,'EE Inputs'!$C$9:$C$32,$AM$6,'EE Inputs'!$D$9:$D$32,$C$4,'EE Inputs'!$E$9:$E$32,$B12),SUMIFS('EE Inputs'!$V$9:$V$32,'EE Inputs'!$C$9:$C$32,$AM$6,'EE Inputs'!$D$9:$D$32,$C$4,'EE Inputs'!$E$9:$E$32,$B12),0)))</f>
        <v>15</v>
      </c>
      <c r="BC12" s="72">
        <f ca="1">IF($C$4=Lookups!$D$40,IF(SUM(INDIRECT("'Yr1'!"&amp;ADDRESS(ROW(BC12),COLUMN(BC12))),INDIRECT("'Yr2'!"&amp;ADDRESS(ROW(BC12),COLUMN(BC12))),INDIRECT("'Yr3'!"&amp;ADDRESS(ROW(BC12),COLUMN(BC12))))&gt;0,"3 Yr. total",0),
IF(BC$7&lt;$C$4,0,IF(BC$8&lt;=SUMIFS('EE Inputs'!$V$9:$V$32,'EE Inputs'!$C$9:$C$32,$AM$6,'EE Inputs'!$D$9:$D$32,$C$4,'EE Inputs'!$E$9:$E$32,$B12),SUMIFS('EE Inputs'!$V$9:$V$32,'EE Inputs'!$C$9:$C$32,$AM$6,'EE Inputs'!$D$9:$D$32,$C$4,'EE Inputs'!$E$9:$E$32,$B12),0)))</f>
        <v>0</v>
      </c>
      <c r="BD12" s="72">
        <f ca="1">IF($C$4=Lookups!$D$40,IF(SUM(INDIRECT("'Yr1'!"&amp;ADDRESS(ROW(BD12),COLUMN(BD12))),INDIRECT("'Yr2'!"&amp;ADDRESS(ROW(BD12),COLUMN(BD12))),INDIRECT("'Yr3'!"&amp;ADDRESS(ROW(BD12),COLUMN(BD12))))&gt;0,"3 Yr. total",0),
IF(BD$7&lt;$C$4,0,IF(BD$8&lt;=SUMIFS('EE Inputs'!$V$9:$V$32,'EE Inputs'!$C$9:$C$32,$AM$6,'EE Inputs'!$D$9:$D$32,$C$4,'EE Inputs'!$E$9:$E$32,$B12),SUMIFS('EE Inputs'!$V$9:$V$32,'EE Inputs'!$C$9:$C$32,$AM$6,'EE Inputs'!$D$9:$D$32,$C$4,'EE Inputs'!$E$9:$E$32,$B12),0)))</f>
        <v>0</v>
      </c>
      <c r="BE12" s="72">
        <f ca="1">IF($C$4=Lookups!$D$40,IF(SUM(INDIRECT("'Yr1'!"&amp;ADDRESS(ROW(BE12),COLUMN(BE12))),INDIRECT("'Yr2'!"&amp;ADDRESS(ROW(BE12),COLUMN(BE12))),INDIRECT("'Yr3'!"&amp;ADDRESS(ROW(BE12),COLUMN(BE12))))&gt;0,"3 Yr. total",0),
IF(BE$7&lt;$C$4,0,IF(BE$8&lt;=SUMIFS('EE Inputs'!$V$9:$V$32,'EE Inputs'!$C$9:$C$32,$AM$6,'EE Inputs'!$D$9:$D$32,$C$4,'EE Inputs'!$E$9:$E$32,$B12),SUMIFS('EE Inputs'!$V$9:$V$32,'EE Inputs'!$C$9:$C$32,$AM$6,'EE Inputs'!$D$9:$D$32,$C$4,'EE Inputs'!$E$9:$E$32,$B12),0)))</f>
        <v>0</v>
      </c>
      <c r="BF12" s="72">
        <f ca="1">IF($C$4=Lookups!$D$40,IF(SUM(INDIRECT("'Yr1'!"&amp;ADDRESS(ROW(BF12),COLUMN(BF12))),INDIRECT("'Yr2'!"&amp;ADDRESS(ROW(BF12),COLUMN(BF12))),INDIRECT("'Yr3'!"&amp;ADDRESS(ROW(BF12),COLUMN(BF12))))&gt;0,"3 Yr. total",0),
IF(BF$7&lt;$C$4,0,IF(BF$8&lt;=SUMIFS('EE Inputs'!$V$9:$V$32,'EE Inputs'!$C$9:$C$32,$AM$6,'EE Inputs'!$D$9:$D$32,$C$4,'EE Inputs'!$E$9:$E$32,$B12),SUMIFS('EE Inputs'!$V$9:$V$32,'EE Inputs'!$C$9:$C$32,$AM$6,'EE Inputs'!$D$9:$D$32,$C$4,'EE Inputs'!$E$9:$E$32,$B12),0)))</f>
        <v>0</v>
      </c>
      <c r="BG12" s="72">
        <f ca="1">IF($C$4=Lookups!$D$40,IF(SUM(INDIRECT("'Yr1'!"&amp;ADDRESS(ROW(BG12),COLUMN(BG12))),INDIRECT("'Yr2'!"&amp;ADDRESS(ROW(BG12),COLUMN(BG12))),INDIRECT("'Yr3'!"&amp;ADDRESS(ROW(BG12),COLUMN(BG12))))&gt;0,"3 Yr. total",0),
IF(BG$7&lt;$C$4,0,IF(BG$8&lt;=SUMIFS('EE Inputs'!$V$9:$V$32,'EE Inputs'!$C$9:$C$32,$AM$6,'EE Inputs'!$D$9:$D$32,$C$4,'EE Inputs'!$E$9:$E$32,$B12),SUMIFS('EE Inputs'!$V$9:$V$32,'EE Inputs'!$C$9:$C$32,$AM$6,'EE Inputs'!$D$9:$D$32,$C$4,'EE Inputs'!$E$9:$E$32,$B12),0)))</f>
        <v>0</v>
      </c>
      <c r="BH12" s="72">
        <f ca="1">IF($C$4=Lookups!$D$40,IF(SUM(INDIRECT("'Yr1'!"&amp;ADDRESS(ROW(BH12),COLUMN(BH12))),INDIRECT("'Yr2'!"&amp;ADDRESS(ROW(BH12),COLUMN(BH12))),INDIRECT("'Yr3'!"&amp;ADDRESS(ROW(BH12),COLUMN(BH12))))&gt;0,"3 Yr. total",0),
IF(BH$7&lt;$C$4,0,IF(BH$8&lt;=SUMIFS('EE Inputs'!$V$9:$V$32,'EE Inputs'!$C$9:$C$32,$AM$6,'EE Inputs'!$D$9:$D$32,$C$4,'EE Inputs'!$E$9:$E$32,$B12),SUMIFS('EE Inputs'!$V$9:$V$32,'EE Inputs'!$C$9:$C$32,$AM$6,'EE Inputs'!$D$9:$D$32,$C$4,'EE Inputs'!$E$9:$E$32,$B12),0)))</f>
        <v>0</v>
      </c>
      <c r="BI12" s="72">
        <f ca="1">IF($C$4=Lookups!$D$40,IF(SUM(INDIRECT("'Yr1'!"&amp;ADDRESS(ROW(BI12),COLUMN(BI12))),INDIRECT("'Yr2'!"&amp;ADDRESS(ROW(BI12),COLUMN(BI12))),INDIRECT("'Yr3'!"&amp;ADDRESS(ROW(BI12),COLUMN(BI12))))&gt;0,"3 Yr. total",0),
IF(BI$7&lt;$C$4,0,IF(BI$8&lt;=SUMIFS('EE Inputs'!$V$9:$V$32,'EE Inputs'!$C$9:$C$32,$AM$6,'EE Inputs'!$D$9:$D$32,$C$4,'EE Inputs'!$E$9:$E$32,$B12),SUMIFS('EE Inputs'!$V$9:$V$32,'EE Inputs'!$C$9:$C$32,$AM$6,'EE Inputs'!$D$9:$D$32,$C$4,'EE Inputs'!$E$9:$E$32,$B12),0)))</f>
        <v>0</v>
      </c>
      <c r="BJ12" s="72">
        <f ca="1">IF($C$4=Lookups!$D$40,IF(SUM(INDIRECT("'Yr1'!"&amp;ADDRESS(ROW(BJ12),COLUMN(BJ12))),INDIRECT("'Yr2'!"&amp;ADDRESS(ROW(BJ12),COLUMN(BJ12))),INDIRECT("'Yr3'!"&amp;ADDRESS(ROW(BJ12),COLUMN(BJ12))))&gt;0,"3 Yr. total",0),
IF(BJ$7&lt;$C$4,0,IF(BJ$8&lt;=SUMIFS('EE Inputs'!$V$9:$V$32,'EE Inputs'!$C$9:$C$32,$AM$6,'EE Inputs'!$D$9:$D$32,$C$4,'EE Inputs'!$E$9:$E$32,$B12),SUMIFS('EE Inputs'!$V$9:$V$32,'EE Inputs'!$C$9:$C$32,$AM$6,'EE Inputs'!$D$9:$D$32,$C$4,'EE Inputs'!$E$9:$E$32,$B12),0)))</f>
        <v>0</v>
      </c>
      <c r="BK12" s="72">
        <f ca="1">IF($C$4=Lookups!$D$40,IF(SUM(INDIRECT("'Yr1'!"&amp;ADDRESS(ROW(BK12),COLUMN(BK12))),INDIRECT("'Yr2'!"&amp;ADDRESS(ROW(BK12),COLUMN(BK12))),INDIRECT("'Yr3'!"&amp;ADDRESS(ROW(BK12),COLUMN(BK12))))&gt;0,"3 Yr. total",0),
IF(BK$7&lt;$C$4,0,IF(BK$8&lt;=SUMIFS('EE Inputs'!$V$9:$V$32,'EE Inputs'!$C$9:$C$32,$AM$6,'EE Inputs'!$D$9:$D$32,$C$4,'EE Inputs'!$E$9:$E$32,$B12),SUMIFS('EE Inputs'!$V$9:$V$32,'EE Inputs'!$C$9:$C$32,$AM$6,'EE Inputs'!$D$9:$D$32,$C$4,'EE Inputs'!$E$9:$E$32,$B12),0)))</f>
        <v>0</v>
      </c>
      <c r="BL12" s="72">
        <f ca="1">IF($C$4=Lookups!$D$40,IF(SUM(INDIRECT("'Yr1'!"&amp;ADDRESS(ROW(BL12),COLUMN(BL12))),INDIRECT("'Yr2'!"&amp;ADDRESS(ROW(BL12),COLUMN(BL12))),INDIRECT("'Yr3'!"&amp;ADDRESS(ROW(BL12),COLUMN(BL12))))&gt;0,"3 Yr. total",0),
IF(BL$7&lt;$C$4,0,IF(BL$8&lt;=SUMIFS('EE Inputs'!$V$9:$V$32,'EE Inputs'!$C$9:$C$32,$AM$6,'EE Inputs'!$D$9:$D$32,$C$4,'EE Inputs'!$E$9:$E$32,$B12),SUMIFS('EE Inputs'!$V$9:$V$32,'EE Inputs'!$C$9:$C$32,$AM$6,'EE Inputs'!$D$9:$D$32,$C$4,'EE Inputs'!$E$9:$E$32,$B12),0)))</f>
        <v>0</v>
      </c>
      <c r="BM12" s="72">
        <f ca="1">IF($C$4=Lookups!$D$40,IF(SUM(INDIRECT("'Yr1'!"&amp;ADDRESS(ROW(BM12),COLUMN(BM12))),INDIRECT("'Yr2'!"&amp;ADDRESS(ROW(BM12),COLUMN(BM12))),INDIRECT("'Yr3'!"&amp;ADDRESS(ROW(BM12),COLUMN(BM12))))&gt;0,"3 Yr. total",0),
IF(BM$7&lt;$C$4,0,IF(BM$8&lt;=SUMIFS('EE Inputs'!$V$9:$V$32,'EE Inputs'!$C$9:$C$32,$AM$6,'EE Inputs'!$D$9:$D$32,$C$4,'EE Inputs'!$E$9:$E$32,$B12),SUMIFS('EE Inputs'!$V$9:$V$32,'EE Inputs'!$C$9:$C$32,$AM$6,'EE Inputs'!$D$9:$D$32,$C$4,'EE Inputs'!$E$9:$E$32,$B12),0)))</f>
        <v>0</v>
      </c>
      <c r="BN12" s="72"/>
      <c r="BO12" s="72"/>
      <c r="BP12" s="72"/>
      <c r="BS12" s="76" t="s">
        <v>90</v>
      </c>
      <c r="BT12" s="51" t="s">
        <v>17</v>
      </c>
    </row>
    <row r="13" spans="1:72" s="5" customFormat="1" x14ac:dyDescent="0.25">
      <c r="A13" s="52"/>
      <c r="B13" s="242" t="str">
        <f t="shared" si="4"/>
        <v>Residential</v>
      </c>
      <c r="C13" s="242" t="str">
        <f>C12</f>
        <v>Customers</v>
      </c>
      <c r="D13" s="77" t="s">
        <v>17</v>
      </c>
      <c r="E13" s="76"/>
      <c r="F13" s="76"/>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S13" s="76"/>
      <c r="BT13" s="51" t="s">
        <v>17</v>
      </c>
    </row>
    <row r="14" spans="1:72" s="5" customFormat="1" ht="15.75" x14ac:dyDescent="0.25">
      <c r="A14" s="52"/>
      <c r="B14" s="241" t="str">
        <f t="shared" si="4"/>
        <v>Residential</v>
      </c>
      <c r="C14" s="63" t="s">
        <v>4</v>
      </c>
      <c r="D14" s="61"/>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2"/>
      <c r="BO14" s="62"/>
      <c r="BP14" s="62"/>
      <c r="BS14" s="62"/>
      <c r="BT14" s="51" t="s">
        <v>17</v>
      </c>
    </row>
    <row r="15" spans="1:72" x14ac:dyDescent="0.25">
      <c r="B15" s="243" t="str">
        <f t="shared" si="4"/>
        <v>Residential</v>
      </c>
      <c r="C15" s="243" t="str">
        <f>C14</f>
        <v>Sales</v>
      </c>
      <c r="D15" s="244" t="str">
        <f>"Sales before DSM ("&amp;Lookups!$D$22&amp;" Scenario)"</f>
        <v>Sales before DSM (No EE Scenario)</v>
      </c>
      <c r="E15" s="85" t="str">
        <f>"Sales before DSM ("&amp;Lookups!$D$22&amp;" Scenario)"</f>
        <v>Sales before DSM (No EE Scenario)</v>
      </c>
      <c r="F15" s="84" t="s">
        <v>195</v>
      </c>
      <c r="G15" s="64">
        <f>IF(G$8=0,0,INDEX('Multi-Year Inputs'!$E$41:$AE$44,MATCH($B15,'Multi-Year Inputs'!$D$41:$D$44,0),MATCH(G$7,'Multi-Year Inputs'!$E$4:$AE$4,0)))</f>
        <v>0</v>
      </c>
      <c r="H15" s="64">
        <f>IF(H$8=0,0,INDEX('Multi-Year Inputs'!$E$41:$AE$44,MATCH($B15,'Multi-Year Inputs'!$D$41:$D$44,0),MATCH(H$7,'Multi-Year Inputs'!$E$4:$AE$4,0)))</f>
        <v>58525589.103563093</v>
      </c>
      <c r="I15" s="64">
        <f>IF(I$8=0,0,INDEX('Multi-Year Inputs'!$E$41:$AE$44,MATCH($B15,'Multi-Year Inputs'!$D$41:$D$44,0),MATCH(I$7,'Multi-Year Inputs'!$E$4:$AE$4,0)))</f>
        <v>58525589.103563093</v>
      </c>
      <c r="J15" s="64">
        <f>IF(J$8=0,0,INDEX('Multi-Year Inputs'!$E$41:$AE$44,MATCH($B15,'Multi-Year Inputs'!$D$41:$D$44,0),MATCH(J$7,'Multi-Year Inputs'!$E$4:$AE$4,0)))</f>
        <v>58525589.103563093</v>
      </c>
      <c r="K15" s="64">
        <f>IF(K$8=0,0,INDEX('Multi-Year Inputs'!$E$41:$AE$44,MATCH($B15,'Multi-Year Inputs'!$D$41:$D$44,0),MATCH(K$7,'Multi-Year Inputs'!$E$4:$AE$4,0)))</f>
        <v>58525589.103563093</v>
      </c>
      <c r="L15" s="64">
        <f>IF(L$8=0,0,INDEX('Multi-Year Inputs'!$E$41:$AE$44,MATCH($B15,'Multi-Year Inputs'!$D$41:$D$44,0),MATCH(L$7,'Multi-Year Inputs'!$E$4:$AE$4,0)))</f>
        <v>58525589.103563093</v>
      </c>
      <c r="M15" s="64">
        <f>IF(M$8=0,0,INDEX('Multi-Year Inputs'!$E$41:$AE$44,MATCH($B15,'Multi-Year Inputs'!$D$41:$D$44,0),MATCH(M$7,'Multi-Year Inputs'!$E$4:$AE$4,0)))</f>
        <v>58525589.103563093</v>
      </c>
      <c r="N15" s="64">
        <f>IF(N$8=0,0,INDEX('Multi-Year Inputs'!$E$41:$AE$44,MATCH($B15,'Multi-Year Inputs'!$D$41:$D$44,0),MATCH(N$7,'Multi-Year Inputs'!$E$4:$AE$4,0)))</f>
        <v>58525589.103563093</v>
      </c>
      <c r="O15" s="64">
        <f>IF(O$8=0,0,INDEX('Multi-Year Inputs'!$E$41:$AE$44,MATCH($B15,'Multi-Year Inputs'!$D$41:$D$44,0),MATCH(O$7,'Multi-Year Inputs'!$E$4:$AE$4,0)))</f>
        <v>58525589.103563093</v>
      </c>
      <c r="P15" s="64">
        <f>IF(P$8=0,0,INDEX('Multi-Year Inputs'!$E$41:$AE$44,MATCH($B15,'Multi-Year Inputs'!$D$41:$D$44,0),MATCH(P$7,'Multi-Year Inputs'!$E$4:$AE$4,0)))</f>
        <v>58525589.103563093</v>
      </c>
      <c r="Q15" s="64">
        <f>IF(Q$8=0,0,INDEX('Multi-Year Inputs'!$E$41:$AE$44,MATCH($B15,'Multi-Year Inputs'!$D$41:$D$44,0),MATCH(Q$7,'Multi-Year Inputs'!$E$4:$AE$4,0)))</f>
        <v>58525589.103563093</v>
      </c>
      <c r="R15" s="64">
        <f>IF(R$8=0,0,INDEX('Multi-Year Inputs'!$E$41:$AE$44,MATCH($B15,'Multi-Year Inputs'!$D$41:$D$44,0),MATCH(R$7,'Multi-Year Inputs'!$E$4:$AE$4,0)))</f>
        <v>58525589.103563093</v>
      </c>
      <c r="S15" s="64">
        <f>IF(S$8=0,0,INDEX('Multi-Year Inputs'!$E$41:$AE$44,MATCH($B15,'Multi-Year Inputs'!$D$41:$D$44,0),MATCH(S$7,'Multi-Year Inputs'!$E$4:$AE$4,0)))</f>
        <v>58525589.103563093</v>
      </c>
      <c r="T15" s="64">
        <f>IF(T$8=0,0,INDEX('Multi-Year Inputs'!$E$41:$AE$44,MATCH($B15,'Multi-Year Inputs'!$D$41:$D$44,0),MATCH(T$7,'Multi-Year Inputs'!$E$4:$AE$4,0)))</f>
        <v>58525589.103563093</v>
      </c>
      <c r="U15" s="64">
        <f>IF(U$8=0,0,INDEX('Multi-Year Inputs'!$E$41:$AE$44,MATCH($B15,'Multi-Year Inputs'!$D$41:$D$44,0),MATCH(U$7,'Multi-Year Inputs'!$E$4:$AE$4,0)))</f>
        <v>58525589.103563093</v>
      </c>
      <c r="V15" s="64">
        <f>IF(V$8=0,0,INDEX('Multi-Year Inputs'!$E$41:$AE$44,MATCH($B15,'Multi-Year Inputs'!$D$41:$D$44,0),MATCH(V$7,'Multi-Year Inputs'!$E$4:$AE$4,0)))</f>
        <v>58525589.103563093</v>
      </c>
      <c r="W15" s="64">
        <f>IF(W$8=0,0,INDEX('Multi-Year Inputs'!$E$41:$AE$44,MATCH($B15,'Multi-Year Inputs'!$D$41:$D$44,0),MATCH(W$7,'Multi-Year Inputs'!$E$4:$AE$4,0)))</f>
        <v>58525589.103563093</v>
      </c>
      <c r="X15" s="64">
        <f>IF(X$8=0,0,INDEX('Multi-Year Inputs'!$E$41:$AE$44,MATCH($B15,'Multi-Year Inputs'!$D$41:$D$44,0),MATCH(X$7,'Multi-Year Inputs'!$E$4:$AE$4,0)))</f>
        <v>58525589.103563093</v>
      </c>
      <c r="Y15" s="64">
        <f>IF(Y$8=0,0,INDEX('Multi-Year Inputs'!$E$41:$AE$44,MATCH($B15,'Multi-Year Inputs'!$D$41:$D$44,0),MATCH(Y$7,'Multi-Year Inputs'!$E$4:$AE$4,0)))</f>
        <v>58525589.103563093</v>
      </c>
      <c r="Z15" s="64">
        <f>IF(Z$8=0,0,INDEX('Multi-Year Inputs'!$E$41:$AE$44,MATCH($B15,'Multi-Year Inputs'!$D$41:$D$44,0),MATCH(Z$7,'Multi-Year Inputs'!$E$4:$AE$4,0)))</f>
        <v>58525589.103563093</v>
      </c>
      <c r="AA15" s="64">
        <f>IF(AA$8=0,0,INDEX('Multi-Year Inputs'!$E$41:$AE$44,MATCH($B15,'Multi-Year Inputs'!$D$41:$D$44,0),MATCH(AA$7,'Multi-Year Inputs'!$E$4:$AE$4,0)))</f>
        <v>58525589.103563093</v>
      </c>
      <c r="AB15" s="64">
        <f>IF(AB$8=0,0,INDEX('Multi-Year Inputs'!$E$41:$AE$44,MATCH($B15,'Multi-Year Inputs'!$D$41:$D$44,0),MATCH(AB$7,'Multi-Year Inputs'!$E$4:$AE$4,0)))</f>
        <v>58525589.103563093</v>
      </c>
      <c r="AC15" s="64">
        <f>IF(AC$8=0,0,INDEX('Multi-Year Inputs'!$E$41:$AE$44,MATCH($B15,'Multi-Year Inputs'!$D$41:$D$44,0),MATCH(AC$7,'Multi-Year Inputs'!$E$4:$AE$4,0)))</f>
        <v>58525589.103563093</v>
      </c>
      <c r="AD15" s="64">
        <f>IF(AD$8=0,0,INDEX('Multi-Year Inputs'!$E$41:$AE$44,MATCH($B15,'Multi-Year Inputs'!$D$41:$D$44,0),MATCH(AD$7,'Multi-Year Inputs'!$E$4:$AE$4,0)))</f>
        <v>58525589.103563093</v>
      </c>
      <c r="AE15" s="64">
        <f>IF(AE$8=0,0,INDEX('Multi-Year Inputs'!$E$41:$AE$44,MATCH($B15,'Multi-Year Inputs'!$D$41:$D$44,0),MATCH(AE$7,'Multi-Year Inputs'!$E$4:$AE$4,0)))</f>
        <v>58525589.103563093</v>
      </c>
      <c r="AF15" s="64">
        <f>IF(AF$8=0,0,INDEX('Multi-Year Inputs'!$E$41:$AE$44,MATCH($B15,'Multi-Year Inputs'!$D$41:$D$44,0),MATCH(AF$7,'Multi-Year Inputs'!$E$4:$AE$4,0)))</f>
        <v>58525589.103563093</v>
      </c>
      <c r="AG15" s="64">
        <f>IF(AG$8=0,0,INDEX('Multi-Year Inputs'!$E$41:$AE$44,MATCH($B15,'Multi-Year Inputs'!$D$41:$D$44,0),MATCH(AG$7,'Multi-Year Inputs'!$E$4:$AE$4,0)))</f>
        <v>58525589.103563093</v>
      </c>
      <c r="AH15" s="64"/>
      <c r="AI15" s="64">
        <f>SUM(G15:AG15)</f>
        <v>1521665316.6926401</v>
      </c>
      <c r="AJ15" s="64"/>
      <c r="AM15" s="71">
        <f>IF(AM$8=0,0,INDEX('Multi-Year Inputs'!$E$41:$AE$44,MATCH($B15,'Multi-Year Inputs'!$D$41:$D$44,0),MATCH(AM$7,'Multi-Year Inputs'!$E$4:$AE$4,0)))</f>
        <v>0</v>
      </c>
      <c r="AN15" s="71">
        <f>IF(AN$8=0,0,INDEX('Multi-Year Inputs'!$E$41:$AE$44,MATCH($B15,'Multi-Year Inputs'!$D$41:$D$44,0),MATCH(AN$7,'Multi-Year Inputs'!$E$4:$AE$4,0)))</f>
        <v>58525589.103563093</v>
      </c>
      <c r="AO15" s="71">
        <f>IF(AO$8=0,0,INDEX('Multi-Year Inputs'!$E$41:$AE$44,MATCH($B15,'Multi-Year Inputs'!$D$41:$D$44,0),MATCH(AO$7,'Multi-Year Inputs'!$E$4:$AE$4,0)))</f>
        <v>58525589.103563093</v>
      </c>
      <c r="AP15" s="71">
        <f>IF(AP$8=0,0,INDEX('Multi-Year Inputs'!$E$41:$AE$44,MATCH($B15,'Multi-Year Inputs'!$D$41:$D$44,0),MATCH(AP$7,'Multi-Year Inputs'!$E$4:$AE$4,0)))</f>
        <v>58525589.103563093</v>
      </c>
      <c r="AQ15" s="71">
        <f>IF(AQ$8=0,0,INDEX('Multi-Year Inputs'!$E$41:$AE$44,MATCH($B15,'Multi-Year Inputs'!$D$41:$D$44,0),MATCH(AQ$7,'Multi-Year Inputs'!$E$4:$AE$4,0)))</f>
        <v>58525589.103563093</v>
      </c>
      <c r="AR15" s="71">
        <f>IF(AR$8=0,0,INDEX('Multi-Year Inputs'!$E$41:$AE$44,MATCH($B15,'Multi-Year Inputs'!$D$41:$D$44,0),MATCH(AR$7,'Multi-Year Inputs'!$E$4:$AE$4,0)))</f>
        <v>58525589.103563093</v>
      </c>
      <c r="AS15" s="71">
        <f>IF(AS$8=0,0,INDEX('Multi-Year Inputs'!$E$41:$AE$44,MATCH($B15,'Multi-Year Inputs'!$D$41:$D$44,0),MATCH(AS$7,'Multi-Year Inputs'!$E$4:$AE$4,0)))</f>
        <v>58525589.103563093</v>
      </c>
      <c r="AT15" s="71">
        <f>IF(AT$8=0,0,INDEX('Multi-Year Inputs'!$E$41:$AE$44,MATCH($B15,'Multi-Year Inputs'!$D$41:$D$44,0),MATCH(AT$7,'Multi-Year Inputs'!$E$4:$AE$4,0)))</f>
        <v>58525589.103563093</v>
      </c>
      <c r="AU15" s="71">
        <f>IF(AU$8=0,0,INDEX('Multi-Year Inputs'!$E$41:$AE$44,MATCH($B15,'Multi-Year Inputs'!$D$41:$D$44,0),MATCH(AU$7,'Multi-Year Inputs'!$E$4:$AE$4,0)))</f>
        <v>58525589.103563093</v>
      </c>
      <c r="AV15" s="71">
        <f>IF(AV$8=0,0,INDEX('Multi-Year Inputs'!$E$41:$AE$44,MATCH($B15,'Multi-Year Inputs'!$D$41:$D$44,0),MATCH(AV$7,'Multi-Year Inputs'!$E$4:$AE$4,0)))</f>
        <v>58525589.103563093</v>
      </c>
      <c r="AW15" s="71">
        <f>IF(AW$8=0,0,INDEX('Multi-Year Inputs'!$E$41:$AE$44,MATCH($B15,'Multi-Year Inputs'!$D$41:$D$44,0),MATCH(AW$7,'Multi-Year Inputs'!$E$4:$AE$4,0)))</f>
        <v>58525589.103563093</v>
      </c>
      <c r="AX15" s="71">
        <f>IF(AX$8=0,0,INDEX('Multi-Year Inputs'!$E$41:$AE$44,MATCH($B15,'Multi-Year Inputs'!$D$41:$D$44,0),MATCH(AX$7,'Multi-Year Inputs'!$E$4:$AE$4,0)))</f>
        <v>58525589.103563093</v>
      </c>
      <c r="AY15" s="71">
        <f>IF(AY$8=0,0,INDEX('Multi-Year Inputs'!$E$41:$AE$44,MATCH($B15,'Multi-Year Inputs'!$D$41:$D$44,0),MATCH(AY$7,'Multi-Year Inputs'!$E$4:$AE$4,0)))</f>
        <v>58525589.103563093</v>
      </c>
      <c r="AZ15" s="71">
        <f>IF(AZ$8=0,0,INDEX('Multi-Year Inputs'!$E$41:$AE$44,MATCH($B15,'Multi-Year Inputs'!$D$41:$D$44,0),MATCH(AZ$7,'Multi-Year Inputs'!$E$4:$AE$4,0)))</f>
        <v>58525589.103563093</v>
      </c>
      <c r="BA15" s="71">
        <f>IF(BA$8=0,0,INDEX('Multi-Year Inputs'!$E$41:$AE$44,MATCH($B15,'Multi-Year Inputs'!$D$41:$D$44,0),MATCH(BA$7,'Multi-Year Inputs'!$E$4:$AE$4,0)))</f>
        <v>58525589.103563093</v>
      </c>
      <c r="BB15" s="71">
        <f>IF(BB$8=0,0,INDEX('Multi-Year Inputs'!$E$41:$AE$44,MATCH($B15,'Multi-Year Inputs'!$D$41:$D$44,0),MATCH(BB$7,'Multi-Year Inputs'!$E$4:$AE$4,0)))</f>
        <v>58525589.103563093</v>
      </c>
      <c r="BC15" s="71">
        <f>IF(BC$8=0,0,INDEX('Multi-Year Inputs'!$E$41:$AE$44,MATCH($B15,'Multi-Year Inputs'!$D$41:$D$44,0),MATCH(BC$7,'Multi-Year Inputs'!$E$4:$AE$4,0)))</f>
        <v>58525589.103563093</v>
      </c>
      <c r="BD15" s="71">
        <f>IF(BD$8=0,0,INDEX('Multi-Year Inputs'!$E$41:$AE$44,MATCH($B15,'Multi-Year Inputs'!$D$41:$D$44,0),MATCH(BD$7,'Multi-Year Inputs'!$E$4:$AE$4,0)))</f>
        <v>58525589.103563093</v>
      </c>
      <c r="BE15" s="71">
        <f>IF(BE$8=0,0,INDEX('Multi-Year Inputs'!$E$41:$AE$44,MATCH($B15,'Multi-Year Inputs'!$D$41:$D$44,0),MATCH(BE$7,'Multi-Year Inputs'!$E$4:$AE$4,0)))</f>
        <v>58525589.103563093</v>
      </c>
      <c r="BF15" s="71">
        <f>IF(BF$8=0,0,INDEX('Multi-Year Inputs'!$E$41:$AE$44,MATCH($B15,'Multi-Year Inputs'!$D$41:$D$44,0),MATCH(BF$7,'Multi-Year Inputs'!$E$4:$AE$4,0)))</f>
        <v>58525589.103563093</v>
      </c>
      <c r="BG15" s="71">
        <f>IF(BG$8=0,0,INDEX('Multi-Year Inputs'!$E$41:$AE$44,MATCH($B15,'Multi-Year Inputs'!$D$41:$D$44,0),MATCH(BG$7,'Multi-Year Inputs'!$E$4:$AE$4,0)))</f>
        <v>58525589.103563093</v>
      </c>
      <c r="BH15" s="71">
        <f>IF(BH$8=0,0,INDEX('Multi-Year Inputs'!$E$41:$AE$44,MATCH($B15,'Multi-Year Inputs'!$D$41:$D$44,0),MATCH(BH$7,'Multi-Year Inputs'!$E$4:$AE$4,0)))</f>
        <v>58525589.103563093</v>
      </c>
      <c r="BI15" s="71">
        <f>IF(BI$8=0,0,INDEX('Multi-Year Inputs'!$E$41:$AE$44,MATCH($B15,'Multi-Year Inputs'!$D$41:$D$44,0),MATCH(BI$7,'Multi-Year Inputs'!$E$4:$AE$4,0)))</f>
        <v>58525589.103563093</v>
      </c>
      <c r="BJ15" s="71">
        <f>IF(BJ$8=0,0,INDEX('Multi-Year Inputs'!$E$41:$AE$44,MATCH($B15,'Multi-Year Inputs'!$D$41:$D$44,0),MATCH(BJ$7,'Multi-Year Inputs'!$E$4:$AE$4,0)))</f>
        <v>58525589.103563093</v>
      </c>
      <c r="BK15" s="71">
        <f>IF(BK$8=0,0,INDEX('Multi-Year Inputs'!$E$41:$AE$44,MATCH($B15,'Multi-Year Inputs'!$D$41:$D$44,0),MATCH(BK$7,'Multi-Year Inputs'!$E$4:$AE$4,0)))</f>
        <v>58525589.103563093</v>
      </c>
      <c r="BL15" s="71">
        <f>IF(BL$8=0,0,INDEX('Multi-Year Inputs'!$E$41:$AE$44,MATCH($B15,'Multi-Year Inputs'!$D$41:$D$44,0),MATCH(BL$7,'Multi-Year Inputs'!$E$4:$AE$4,0)))</f>
        <v>58525589.103563093</v>
      </c>
      <c r="BM15" s="71">
        <f>IF(BM$8=0,0,INDEX('Multi-Year Inputs'!$E$41:$AE$44,MATCH($B15,'Multi-Year Inputs'!$D$41:$D$44,0),MATCH(BM$7,'Multi-Year Inputs'!$E$4:$AE$4,0)))</f>
        <v>58525589.103563093</v>
      </c>
      <c r="BN15" s="72"/>
      <c r="BO15" s="72">
        <f>SUM(AM15:BM15)</f>
        <v>1521665316.6926401</v>
      </c>
      <c r="BP15" s="72"/>
      <c r="BS15" s="76" t="s">
        <v>91</v>
      </c>
      <c r="BT15" s="51" t="s">
        <v>17</v>
      </c>
    </row>
    <row r="16" spans="1:72" x14ac:dyDescent="0.25">
      <c r="A16" s="246"/>
      <c r="B16" s="243" t="str">
        <f t="shared" si="4"/>
        <v>Residential</v>
      </c>
      <c r="C16" s="243" t="str">
        <f>C15</f>
        <v>Sales</v>
      </c>
      <c r="D16" s="244" t="s">
        <v>108</v>
      </c>
      <c r="E16" s="85" t="s">
        <v>108</v>
      </c>
      <c r="F16" s="84" t="s">
        <v>195</v>
      </c>
      <c r="G16" s="64">
        <f ca="1">IF($C$4=Lookups!$D$40,SUM(INDIRECT("'Yr1'!"&amp;ADDRESS(ROW(G16),COLUMN(G16))),INDIRECT("'Yr2'!"&amp;ADDRESS(ROW(G16),COLUMN(G16))),INDIRECT("'Yr3'!"&amp;ADDRESS(ROW(G16),COLUMN(G16)))),
IF(G12&gt;0,SUMIFS('EE Inputs'!$I$9:$I$32,'EE Inputs'!$C$9:$C$32,$G$6,'EE Inputs'!$D$9:$D$32,$C$4,'EE Inputs'!$E$9:$E$32,$B16)/SUMIFS('EE Inputs'!$V$9:$V$32,'EE Inputs'!$C$9:$C$32,$G$6,'EE Inputs'!$D$9:$D$32,$C$4,'EE Inputs'!$E$9:$E$32,$B16)*10,0))</f>
        <v>0</v>
      </c>
      <c r="H16" s="64">
        <f ca="1">IF($C$4=Lookups!$D$40,SUM(INDIRECT("'Yr1'!"&amp;ADDRESS(ROW(H16),COLUMN(H16))),INDIRECT("'Yr2'!"&amp;ADDRESS(ROW(H16),COLUMN(H16))),INDIRECT("'Yr3'!"&amp;ADDRESS(ROW(H16),COLUMN(H16)))),
IF(H12&gt;0,SUMIFS('EE Inputs'!$I$9:$I$32,'EE Inputs'!$C$9:$C$32,$G$6,'EE Inputs'!$D$9:$D$32,$C$4,'EE Inputs'!$E$9:$E$32,$B16)/SUMIFS('EE Inputs'!$V$9:$V$32,'EE Inputs'!$C$9:$C$32,$G$6,'EE Inputs'!$D$9:$D$32,$C$4,'EE Inputs'!$E$9:$E$32,$B16)*10,0))</f>
        <v>380498.3707687523</v>
      </c>
      <c r="I16" s="64">
        <f ca="1">IF($C$4=Lookups!$D$40,SUM(INDIRECT("'Yr1'!"&amp;ADDRESS(ROW(I16),COLUMN(I16))),INDIRECT("'Yr2'!"&amp;ADDRESS(ROW(I16),COLUMN(I16))),INDIRECT("'Yr3'!"&amp;ADDRESS(ROW(I16),COLUMN(I16)))),
IF(I12&gt;0,SUMIFS('EE Inputs'!$I$9:$I$32,'EE Inputs'!$C$9:$C$32,$G$6,'EE Inputs'!$D$9:$D$32,$C$4,'EE Inputs'!$E$9:$E$32,$B16)/SUMIFS('EE Inputs'!$V$9:$V$32,'EE Inputs'!$C$9:$C$32,$G$6,'EE Inputs'!$D$9:$D$32,$C$4,'EE Inputs'!$E$9:$E$32,$B16)*10,0))</f>
        <v>380498.3707687523</v>
      </c>
      <c r="J16" s="64">
        <f ca="1">IF($C$4=Lookups!$D$40,SUM(INDIRECT("'Yr1'!"&amp;ADDRESS(ROW(J16),COLUMN(J16))),INDIRECT("'Yr2'!"&amp;ADDRESS(ROW(J16),COLUMN(J16))),INDIRECT("'Yr3'!"&amp;ADDRESS(ROW(J16),COLUMN(J16)))),
IF(J12&gt;0,SUMIFS('EE Inputs'!$I$9:$I$32,'EE Inputs'!$C$9:$C$32,$G$6,'EE Inputs'!$D$9:$D$32,$C$4,'EE Inputs'!$E$9:$E$32,$B16)/SUMIFS('EE Inputs'!$V$9:$V$32,'EE Inputs'!$C$9:$C$32,$G$6,'EE Inputs'!$D$9:$D$32,$C$4,'EE Inputs'!$E$9:$E$32,$B16)*10,0))</f>
        <v>380498.3707687523</v>
      </c>
      <c r="K16" s="64">
        <f ca="1">IF($C$4=Lookups!$D$40,SUM(INDIRECT("'Yr1'!"&amp;ADDRESS(ROW(K16),COLUMN(K16))),INDIRECT("'Yr2'!"&amp;ADDRESS(ROW(K16),COLUMN(K16))),INDIRECT("'Yr3'!"&amp;ADDRESS(ROW(K16),COLUMN(K16)))),
IF(K12&gt;0,SUMIFS('EE Inputs'!$I$9:$I$32,'EE Inputs'!$C$9:$C$32,$G$6,'EE Inputs'!$D$9:$D$32,$C$4,'EE Inputs'!$E$9:$E$32,$B16)/SUMIFS('EE Inputs'!$V$9:$V$32,'EE Inputs'!$C$9:$C$32,$G$6,'EE Inputs'!$D$9:$D$32,$C$4,'EE Inputs'!$E$9:$E$32,$B16)*10,0))</f>
        <v>380498.3707687523</v>
      </c>
      <c r="L16" s="64">
        <f ca="1">IF($C$4=Lookups!$D$40,SUM(INDIRECT("'Yr1'!"&amp;ADDRESS(ROW(L16),COLUMN(L16))),INDIRECT("'Yr2'!"&amp;ADDRESS(ROW(L16),COLUMN(L16))),INDIRECT("'Yr3'!"&amp;ADDRESS(ROW(L16),COLUMN(L16)))),
IF(L12&gt;0,SUMIFS('EE Inputs'!$I$9:$I$32,'EE Inputs'!$C$9:$C$32,$G$6,'EE Inputs'!$D$9:$D$32,$C$4,'EE Inputs'!$E$9:$E$32,$B16)/SUMIFS('EE Inputs'!$V$9:$V$32,'EE Inputs'!$C$9:$C$32,$G$6,'EE Inputs'!$D$9:$D$32,$C$4,'EE Inputs'!$E$9:$E$32,$B16)*10,0))</f>
        <v>380498.3707687523</v>
      </c>
      <c r="M16" s="64">
        <f ca="1">IF($C$4=Lookups!$D$40,SUM(INDIRECT("'Yr1'!"&amp;ADDRESS(ROW(M16),COLUMN(M16))),INDIRECT("'Yr2'!"&amp;ADDRESS(ROW(M16),COLUMN(M16))),INDIRECT("'Yr3'!"&amp;ADDRESS(ROW(M16),COLUMN(M16)))),
IF(M12&gt;0,SUMIFS('EE Inputs'!$I$9:$I$32,'EE Inputs'!$C$9:$C$32,$G$6,'EE Inputs'!$D$9:$D$32,$C$4,'EE Inputs'!$E$9:$E$32,$B16)/SUMIFS('EE Inputs'!$V$9:$V$32,'EE Inputs'!$C$9:$C$32,$G$6,'EE Inputs'!$D$9:$D$32,$C$4,'EE Inputs'!$E$9:$E$32,$B16)*10,0))</f>
        <v>380498.3707687523</v>
      </c>
      <c r="N16" s="64">
        <f ca="1">IF($C$4=Lookups!$D$40,SUM(INDIRECT("'Yr1'!"&amp;ADDRESS(ROW(N16),COLUMN(N16))),INDIRECT("'Yr2'!"&amp;ADDRESS(ROW(N16),COLUMN(N16))),INDIRECT("'Yr3'!"&amp;ADDRESS(ROW(N16),COLUMN(N16)))),
IF(N12&gt;0,SUMIFS('EE Inputs'!$I$9:$I$32,'EE Inputs'!$C$9:$C$32,$G$6,'EE Inputs'!$D$9:$D$32,$C$4,'EE Inputs'!$E$9:$E$32,$B16)/SUMIFS('EE Inputs'!$V$9:$V$32,'EE Inputs'!$C$9:$C$32,$G$6,'EE Inputs'!$D$9:$D$32,$C$4,'EE Inputs'!$E$9:$E$32,$B16)*10,0))</f>
        <v>380498.3707687523</v>
      </c>
      <c r="O16" s="64">
        <f ca="1">IF($C$4=Lookups!$D$40,SUM(INDIRECT("'Yr1'!"&amp;ADDRESS(ROW(O16),COLUMN(O16))),INDIRECT("'Yr2'!"&amp;ADDRESS(ROW(O16),COLUMN(O16))),INDIRECT("'Yr3'!"&amp;ADDRESS(ROW(O16),COLUMN(O16)))),
IF(O12&gt;0,SUMIFS('EE Inputs'!$I$9:$I$32,'EE Inputs'!$C$9:$C$32,$G$6,'EE Inputs'!$D$9:$D$32,$C$4,'EE Inputs'!$E$9:$E$32,$B16)/SUMIFS('EE Inputs'!$V$9:$V$32,'EE Inputs'!$C$9:$C$32,$G$6,'EE Inputs'!$D$9:$D$32,$C$4,'EE Inputs'!$E$9:$E$32,$B16)*10,0))</f>
        <v>380498.3707687523</v>
      </c>
      <c r="P16" s="64">
        <f ca="1">IF($C$4=Lookups!$D$40,SUM(INDIRECT("'Yr1'!"&amp;ADDRESS(ROW(P16),COLUMN(P16))),INDIRECT("'Yr2'!"&amp;ADDRESS(ROW(P16),COLUMN(P16))),INDIRECT("'Yr3'!"&amp;ADDRESS(ROW(P16),COLUMN(P16)))),
IF(P12&gt;0,SUMIFS('EE Inputs'!$I$9:$I$32,'EE Inputs'!$C$9:$C$32,$G$6,'EE Inputs'!$D$9:$D$32,$C$4,'EE Inputs'!$E$9:$E$32,$B16)/SUMIFS('EE Inputs'!$V$9:$V$32,'EE Inputs'!$C$9:$C$32,$G$6,'EE Inputs'!$D$9:$D$32,$C$4,'EE Inputs'!$E$9:$E$32,$B16)*10,0))</f>
        <v>380498.3707687523</v>
      </c>
      <c r="Q16" s="64">
        <f ca="1">IF($C$4=Lookups!$D$40,SUM(INDIRECT("'Yr1'!"&amp;ADDRESS(ROW(Q16),COLUMN(Q16))),INDIRECT("'Yr2'!"&amp;ADDRESS(ROW(Q16),COLUMN(Q16))),INDIRECT("'Yr3'!"&amp;ADDRESS(ROW(Q16),COLUMN(Q16)))),
IF(Q12&gt;0,SUMIFS('EE Inputs'!$I$9:$I$32,'EE Inputs'!$C$9:$C$32,$G$6,'EE Inputs'!$D$9:$D$32,$C$4,'EE Inputs'!$E$9:$E$32,$B16)/SUMIFS('EE Inputs'!$V$9:$V$32,'EE Inputs'!$C$9:$C$32,$G$6,'EE Inputs'!$D$9:$D$32,$C$4,'EE Inputs'!$E$9:$E$32,$B16)*10,0))</f>
        <v>380498.3707687523</v>
      </c>
      <c r="R16" s="64">
        <f ca="1">IF($C$4=Lookups!$D$40,SUM(INDIRECT("'Yr1'!"&amp;ADDRESS(ROW(R16),COLUMN(R16))),INDIRECT("'Yr2'!"&amp;ADDRESS(ROW(R16),COLUMN(R16))),INDIRECT("'Yr3'!"&amp;ADDRESS(ROW(R16),COLUMN(R16)))),
IF(R12&gt;0,SUMIFS('EE Inputs'!$I$9:$I$32,'EE Inputs'!$C$9:$C$32,$G$6,'EE Inputs'!$D$9:$D$32,$C$4,'EE Inputs'!$E$9:$E$32,$B16)/SUMIFS('EE Inputs'!$V$9:$V$32,'EE Inputs'!$C$9:$C$32,$G$6,'EE Inputs'!$D$9:$D$32,$C$4,'EE Inputs'!$E$9:$E$32,$B16)*10,0))</f>
        <v>380498.3707687523</v>
      </c>
      <c r="S16" s="64">
        <f ca="1">IF($C$4=Lookups!$D$40,SUM(INDIRECT("'Yr1'!"&amp;ADDRESS(ROW(S16),COLUMN(S16))),INDIRECT("'Yr2'!"&amp;ADDRESS(ROW(S16),COLUMN(S16))),INDIRECT("'Yr3'!"&amp;ADDRESS(ROW(S16),COLUMN(S16)))),
IF(S12&gt;0,SUMIFS('EE Inputs'!$I$9:$I$32,'EE Inputs'!$C$9:$C$32,$G$6,'EE Inputs'!$D$9:$D$32,$C$4,'EE Inputs'!$E$9:$E$32,$B16)/SUMIFS('EE Inputs'!$V$9:$V$32,'EE Inputs'!$C$9:$C$32,$G$6,'EE Inputs'!$D$9:$D$32,$C$4,'EE Inputs'!$E$9:$E$32,$B16)*10,0))</f>
        <v>380498.3707687523</v>
      </c>
      <c r="T16" s="64">
        <f ca="1">IF($C$4=Lookups!$D$40,SUM(INDIRECT("'Yr1'!"&amp;ADDRESS(ROW(T16),COLUMN(T16))),INDIRECT("'Yr2'!"&amp;ADDRESS(ROW(T16),COLUMN(T16))),INDIRECT("'Yr3'!"&amp;ADDRESS(ROW(T16),COLUMN(T16)))),
IF(T12&gt;0,SUMIFS('EE Inputs'!$I$9:$I$32,'EE Inputs'!$C$9:$C$32,$G$6,'EE Inputs'!$D$9:$D$32,$C$4,'EE Inputs'!$E$9:$E$32,$B16)/SUMIFS('EE Inputs'!$V$9:$V$32,'EE Inputs'!$C$9:$C$32,$G$6,'EE Inputs'!$D$9:$D$32,$C$4,'EE Inputs'!$E$9:$E$32,$B16)*10,0))</f>
        <v>380498.3707687523</v>
      </c>
      <c r="U16" s="64">
        <f ca="1">IF($C$4=Lookups!$D$40,SUM(INDIRECT("'Yr1'!"&amp;ADDRESS(ROW(U16),COLUMN(U16))),INDIRECT("'Yr2'!"&amp;ADDRESS(ROW(U16),COLUMN(U16))),INDIRECT("'Yr3'!"&amp;ADDRESS(ROW(U16),COLUMN(U16)))),
IF(U12&gt;0,SUMIFS('EE Inputs'!$I$9:$I$32,'EE Inputs'!$C$9:$C$32,$G$6,'EE Inputs'!$D$9:$D$32,$C$4,'EE Inputs'!$E$9:$E$32,$B16)/SUMIFS('EE Inputs'!$V$9:$V$32,'EE Inputs'!$C$9:$C$32,$G$6,'EE Inputs'!$D$9:$D$32,$C$4,'EE Inputs'!$E$9:$E$32,$B16)*10,0))</f>
        <v>380498.3707687523</v>
      </c>
      <c r="V16" s="64">
        <f ca="1">IF($C$4=Lookups!$D$40,SUM(INDIRECT("'Yr1'!"&amp;ADDRESS(ROW(V16),COLUMN(V16))),INDIRECT("'Yr2'!"&amp;ADDRESS(ROW(V16),COLUMN(V16))),INDIRECT("'Yr3'!"&amp;ADDRESS(ROW(V16),COLUMN(V16)))),
IF(V12&gt;0,SUMIFS('EE Inputs'!$I$9:$I$32,'EE Inputs'!$C$9:$C$32,$G$6,'EE Inputs'!$D$9:$D$32,$C$4,'EE Inputs'!$E$9:$E$32,$B16)/SUMIFS('EE Inputs'!$V$9:$V$32,'EE Inputs'!$C$9:$C$32,$G$6,'EE Inputs'!$D$9:$D$32,$C$4,'EE Inputs'!$E$9:$E$32,$B16)*10,0))</f>
        <v>380498.3707687523</v>
      </c>
      <c r="W16" s="64">
        <f ca="1">IF($C$4=Lookups!$D$40,SUM(INDIRECT("'Yr1'!"&amp;ADDRESS(ROW(W16),COLUMN(W16))),INDIRECT("'Yr2'!"&amp;ADDRESS(ROW(W16),COLUMN(W16))),INDIRECT("'Yr3'!"&amp;ADDRESS(ROW(W16),COLUMN(W16)))),
IF(W12&gt;0,SUMIFS('EE Inputs'!$I$9:$I$32,'EE Inputs'!$C$9:$C$32,$G$6,'EE Inputs'!$D$9:$D$32,$C$4,'EE Inputs'!$E$9:$E$32,$B16)/SUMIFS('EE Inputs'!$V$9:$V$32,'EE Inputs'!$C$9:$C$32,$G$6,'EE Inputs'!$D$9:$D$32,$C$4,'EE Inputs'!$E$9:$E$32,$B16)*10,0))</f>
        <v>0</v>
      </c>
      <c r="X16" s="64">
        <f ca="1">IF($C$4=Lookups!$D$40,SUM(INDIRECT("'Yr1'!"&amp;ADDRESS(ROW(X16),COLUMN(X16))),INDIRECT("'Yr2'!"&amp;ADDRESS(ROW(X16),COLUMN(X16))),INDIRECT("'Yr3'!"&amp;ADDRESS(ROW(X16),COLUMN(X16)))),
IF(X12&gt;0,SUMIFS('EE Inputs'!$I$9:$I$32,'EE Inputs'!$C$9:$C$32,$G$6,'EE Inputs'!$D$9:$D$32,$C$4,'EE Inputs'!$E$9:$E$32,$B16)/SUMIFS('EE Inputs'!$V$9:$V$32,'EE Inputs'!$C$9:$C$32,$G$6,'EE Inputs'!$D$9:$D$32,$C$4,'EE Inputs'!$E$9:$E$32,$B16)*10,0))</f>
        <v>0</v>
      </c>
      <c r="Y16" s="64">
        <f ca="1">IF($C$4=Lookups!$D$40,SUM(INDIRECT("'Yr1'!"&amp;ADDRESS(ROW(Y16),COLUMN(Y16))),INDIRECT("'Yr2'!"&amp;ADDRESS(ROW(Y16),COLUMN(Y16))),INDIRECT("'Yr3'!"&amp;ADDRESS(ROW(Y16),COLUMN(Y16)))),
IF(Y12&gt;0,SUMIFS('EE Inputs'!$I$9:$I$32,'EE Inputs'!$C$9:$C$32,$G$6,'EE Inputs'!$D$9:$D$32,$C$4,'EE Inputs'!$E$9:$E$32,$B16)/SUMIFS('EE Inputs'!$V$9:$V$32,'EE Inputs'!$C$9:$C$32,$G$6,'EE Inputs'!$D$9:$D$32,$C$4,'EE Inputs'!$E$9:$E$32,$B16)*10,0))</f>
        <v>0</v>
      </c>
      <c r="Z16" s="64">
        <f ca="1">IF($C$4=Lookups!$D$40,SUM(INDIRECT("'Yr1'!"&amp;ADDRESS(ROW(Z16),COLUMN(Z16))),INDIRECT("'Yr2'!"&amp;ADDRESS(ROW(Z16),COLUMN(Z16))),INDIRECT("'Yr3'!"&amp;ADDRESS(ROW(Z16),COLUMN(Z16)))),
IF(Z12&gt;0,SUMIFS('EE Inputs'!$I$9:$I$32,'EE Inputs'!$C$9:$C$32,$G$6,'EE Inputs'!$D$9:$D$32,$C$4,'EE Inputs'!$E$9:$E$32,$B16)/SUMIFS('EE Inputs'!$V$9:$V$32,'EE Inputs'!$C$9:$C$32,$G$6,'EE Inputs'!$D$9:$D$32,$C$4,'EE Inputs'!$E$9:$E$32,$B16)*10,0))</f>
        <v>0</v>
      </c>
      <c r="AA16" s="64">
        <f ca="1">IF($C$4=Lookups!$D$40,SUM(INDIRECT("'Yr1'!"&amp;ADDRESS(ROW(AA16),COLUMN(AA16))),INDIRECT("'Yr2'!"&amp;ADDRESS(ROW(AA16),COLUMN(AA16))),INDIRECT("'Yr3'!"&amp;ADDRESS(ROW(AA16),COLUMN(AA16)))),
IF(AA12&gt;0,SUMIFS('EE Inputs'!$I$9:$I$32,'EE Inputs'!$C$9:$C$32,$G$6,'EE Inputs'!$D$9:$D$32,$C$4,'EE Inputs'!$E$9:$E$32,$B16)/SUMIFS('EE Inputs'!$V$9:$V$32,'EE Inputs'!$C$9:$C$32,$G$6,'EE Inputs'!$D$9:$D$32,$C$4,'EE Inputs'!$E$9:$E$32,$B16)*10,0))</f>
        <v>0</v>
      </c>
      <c r="AB16" s="64">
        <f ca="1">IF($C$4=Lookups!$D$40,SUM(INDIRECT("'Yr1'!"&amp;ADDRESS(ROW(AB16),COLUMN(AB16))),INDIRECT("'Yr2'!"&amp;ADDRESS(ROW(AB16),COLUMN(AB16))),INDIRECT("'Yr3'!"&amp;ADDRESS(ROW(AB16),COLUMN(AB16)))),
IF(AB12&gt;0,SUMIFS('EE Inputs'!$I$9:$I$32,'EE Inputs'!$C$9:$C$32,$G$6,'EE Inputs'!$D$9:$D$32,$C$4,'EE Inputs'!$E$9:$E$32,$B16)/SUMIFS('EE Inputs'!$V$9:$V$32,'EE Inputs'!$C$9:$C$32,$G$6,'EE Inputs'!$D$9:$D$32,$C$4,'EE Inputs'!$E$9:$E$32,$B16)*10,0))</f>
        <v>0</v>
      </c>
      <c r="AC16" s="64">
        <f ca="1">IF($C$4=Lookups!$D$40,SUM(INDIRECT("'Yr1'!"&amp;ADDRESS(ROW(AC16),COLUMN(AC16))),INDIRECT("'Yr2'!"&amp;ADDRESS(ROW(AC16),COLUMN(AC16))),INDIRECT("'Yr3'!"&amp;ADDRESS(ROW(AC16),COLUMN(AC16)))),
IF(AC12&gt;0,SUMIFS('EE Inputs'!$I$9:$I$32,'EE Inputs'!$C$9:$C$32,$G$6,'EE Inputs'!$D$9:$D$32,$C$4,'EE Inputs'!$E$9:$E$32,$B16)/SUMIFS('EE Inputs'!$V$9:$V$32,'EE Inputs'!$C$9:$C$32,$G$6,'EE Inputs'!$D$9:$D$32,$C$4,'EE Inputs'!$E$9:$E$32,$B16)*10,0))</f>
        <v>0</v>
      </c>
      <c r="AD16" s="64">
        <f ca="1">IF($C$4=Lookups!$D$40,SUM(INDIRECT("'Yr1'!"&amp;ADDRESS(ROW(AD16),COLUMN(AD16))),INDIRECT("'Yr2'!"&amp;ADDRESS(ROW(AD16),COLUMN(AD16))),INDIRECT("'Yr3'!"&amp;ADDRESS(ROW(AD16),COLUMN(AD16)))),
IF(AD12&gt;0,SUMIFS('EE Inputs'!$I$9:$I$32,'EE Inputs'!$C$9:$C$32,$G$6,'EE Inputs'!$D$9:$D$32,$C$4,'EE Inputs'!$E$9:$E$32,$B16)/SUMIFS('EE Inputs'!$V$9:$V$32,'EE Inputs'!$C$9:$C$32,$G$6,'EE Inputs'!$D$9:$D$32,$C$4,'EE Inputs'!$E$9:$E$32,$B16)*10,0))</f>
        <v>0</v>
      </c>
      <c r="AE16" s="64">
        <f ca="1">IF($C$4=Lookups!$D$40,SUM(INDIRECT("'Yr1'!"&amp;ADDRESS(ROW(AE16),COLUMN(AE16))),INDIRECT("'Yr2'!"&amp;ADDRESS(ROW(AE16),COLUMN(AE16))),INDIRECT("'Yr3'!"&amp;ADDRESS(ROW(AE16),COLUMN(AE16)))),
IF(AE12&gt;0,SUMIFS('EE Inputs'!$I$9:$I$32,'EE Inputs'!$C$9:$C$32,$G$6,'EE Inputs'!$D$9:$D$32,$C$4,'EE Inputs'!$E$9:$E$32,$B16)/SUMIFS('EE Inputs'!$V$9:$V$32,'EE Inputs'!$C$9:$C$32,$G$6,'EE Inputs'!$D$9:$D$32,$C$4,'EE Inputs'!$E$9:$E$32,$B16)*10,0))</f>
        <v>0</v>
      </c>
      <c r="AF16" s="64">
        <f ca="1">IF($C$4=Lookups!$D$40,SUM(INDIRECT("'Yr1'!"&amp;ADDRESS(ROW(AF16),COLUMN(AF16))),INDIRECT("'Yr2'!"&amp;ADDRESS(ROW(AF16),COLUMN(AF16))),INDIRECT("'Yr3'!"&amp;ADDRESS(ROW(AF16),COLUMN(AF16)))),
IF(AF12&gt;0,SUMIFS('EE Inputs'!$I$9:$I$32,'EE Inputs'!$C$9:$C$32,$G$6,'EE Inputs'!$D$9:$D$32,$C$4,'EE Inputs'!$E$9:$E$32,$B16)/SUMIFS('EE Inputs'!$V$9:$V$32,'EE Inputs'!$C$9:$C$32,$G$6,'EE Inputs'!$D$9:$D$32,$C$4,'EE Inputs'!$E$9:$E$32,$B16)*10,0))</f>
        <v>0</v>
      </c>
      <c r="AG16" s="64">
        <f ca="1">IF($C$4=Lookups!$D$40,SUM(INDIRECT("'Yr1'!"&amp;ADDRESS(ROW(AG16),COLUMN(AG16))),INDIRECT("'Yr2'!"&amp;ADDRESS(ROW(AG16),COLUMN(AG16))),INDIRECT("'Yr3'!"&amp;ADDRESS(ROW(AG16),COLUMN(AG16)))),
IF(AG12&gt;0,SUMIFS('EE Inputs'!$I$9:$I$32,'EE Inputs'!$C$9:$C$32,$G$6,'EE Inputs'!$D$9:$D$32,$C$4,'EE Inputs'!$E$9:$E$32,$B16)/SUMIFS('EE Inputs'!$V$9:$V$32,'EE Inputs'!$C$9:$C$32,$G$6,'EE Inputs'!$D$9:$D$32,$C$4,'EE Inputs'!$E$9:$E$32,$B16)*10,0))</f>
        <v>0</v>
      </c>
      <c r="AH16" s="64"/>
      <c r="AI16" s="64">
        <f ca="1">SUM(G16:AG16)</f>
        <v>5707475.5615312839</v>
      </c>
      <c r="AJ16" s="64"/>
      <c r="AM16" s="71">
        <f ca="1">IF($C$4=Lookups!$D$40,SUM(INDIRECT("'Yr1'!"&amp;ADDRESS(ROW(AM16),COLUMN(AM16))),INDIRECT("'Yr2'!"&amp;ADDRESS(ROW(AM16),COLUMN(AM16))),INDIRECT("'Yr3'!"&amp;ADDRESS(ROW(AM16),COLUMN(AM16)))),
IF(AM12&gt;0,SUMIFS('EE Inputs'!$I$9:$I$32,'EE Inputs'!$C$9:$C$32,$AM$6,'EE Inputs'!$D$9:$D$32,$C$4,'EE Inputs'!$E$9:$E$32,$B16)/SUMIFS('EE Inputs'!$V$9:$V$32,'EE Inputs'!$C$9:$C$32,$AM$6,'EE Inputs'!$D$9:$D$32,$C$4,'EE Inputs'!$E$9:$E$32,$B16)*10,0))</f>
        <v>0</v>
      </c>
      <c r="AN16" s="71">
        <f ca="1">IF($C$4=Lookups!$D$40,SUM(INDIRECT("'Yr1'!"&amp;ADDRESS(ROW(AN16),COLUMN(AN16))),INDIRECT("'Yr2'!"&amp;ADDRESS(ROW(AN16),COLUMN(AN16))),INDIRECT("'Yr3'!"&amp;ADDRESS(ROW(AN16),COLUMN(AN16)))),
IF(AN12&gt;0,SUMIFS('EE Inputs'!$I$9:$I$32,'EE Inputs'!$C$9:$C$32,$AM$6,'EE Inputs'!$D$9:$D$32,$C$4,'EE Inputs'!$E$9:$E$32,$B16)/SUMIFS('EE Inputs'!$V$9:$V$32,'EE Inputs'!$C$9:$C$32,$AM$6,'EE Inputs'!$D$9:$D$32,$C$4,'EE Inputs'!$E$9:$E$32,$B16)*10,0))</f>
        <v>434855.28087857401</v>
      </c>
      <c r="AO16" s="71">
        <f ca="1">IF($C$4=Lookups!$D$40,SUM(INDIRECT("'Yr1'!"&amp;ADDRESS(ROW(AO16),COLUMN(AO16))),INDIRECT("'Yr2'!"&amp;ADDRESS(ROW(AO16),COLUMN(AO16))),INDIRECT("'Yr3'!"&amp;ADDRESS(ROW(AO16),COLUMN(AO16)))),
IF(AO12&gt;0,SUMIFS('EE Inputs'!$I$9:$I$32,'EE Inputs'!$C$9:$C$32,$AM$6,'EE Inputs'!$D$9:$D$32,$C$4,'EE Inputs'!$E$9:$E$32,$B16)/SUMIFS('EE Inputs'!$V$9:$V$32,'EE Inputs'!$C$9:$C$32,$AM$6,'EE Inputs'!$D$9:$D$32,$C$4,'EE Inputs'!$E$9:$E$32,$B16)*10,0))</f>
        <v>434855.28087857401</v>
      </c>
      <c r="AP16" s="71">
        <f ca="1">IF($C$4=Lookups!$D$40,SUM(INDIRECT("'Yr1'!"&amp;ADDRESS(ROW(AP16),COLUMN(AP16))),INDIRECT("'Yr2'!"&amp;ADDRESS(ROW(AP16),COLUMN(AP16))),INDIRECT("'Yr3'!"&amp;ADDRESS(ROW(AP16),COLUMN(AP16)))),
IF(AP12&gt;0,SUMIFS('EE Inputs'!$I$9:$I$32,'EE Inputs'!$C$9:$C$32,$AM$6,'EE Inputs'!$D$9:$D$32,$C$4,'EE Inputs'!$E$9:$E$32,$B16)/SUMIFS('EE Inputs'!$V$9:$V$32,'EE Inputs'!$C$9:$C$32,$AM$6,'EE Inputs'!$D$9:$D$32,$C$4,'EE Inputs'!$E$9:$E$32,$B16)*10,0))</f>
        <v>434855.28087857401</v>
      </c>
      <c r="AQ16" s="71">
        <f ca="1">IF($C$4=Lookups!$D$40,SUM(INDIRECT("'Yr1'!"&amp;ADDRESS(ROW(AQ16),COLUMN(AQ16))),INDIRECT("'Yr2'!"&amp;ADDRESS(ROW(AQ16),COLUMN(AQ16))),INDIRECT("'Yr3'!"&amp;ADDRESS(ROW(AQ16),COLUMN(AQ16)))),
IF(AQ12&gt;0,SUMIFS('EE Inputs'!$I$9:$I$32,'EE Inputs'!$C$9:$C$32,$AM$6,'EE Inputs'!$D$9:$D$32,$C$4,'EE Inputs'!$E$9:$E$32,$B16)/SUMIFS('EE Inputs'!$V$9:$V$32,'EE Inputs'!$C$9:$C$32,$AM$6,'EE Inputs'!$D$9:$D$32,$C$4,'EE Inputs'!$E$9:$E$32,$B16)*10,0))</f>
        <v>434855.28087857401</v>
      </c>
      <c r="AR16" s="71">
        <f ca="1">IF($C$4=Lookups!$D$40,SUM(INDIRECT("'Yr1'!"&amp;ADDRESS(ROW(AR16),COLUMN(AR16))),INDIRECT("'Yr2'!"&amp;ADDRESS(ROW(AR16),COLUMN(AR16))),INDIRECT("'Yr3'!"&amp;ADDRESS(ROW(AR16),COLUMN(AR16)))),
IF(AR12&gt;0,SUMIFS('EE Inputs'!$I$9:$I$32,'EE Inputs'!$C$9:$C$32,$AM$6,'EE Inputs'!$D$9:$D$32,$C$4,'EE Inputs'!$E$9:$E$32,$B16)/SUMIFS('EE Inputs'!$V$9:$V$32,'EE Inputs'!$C$9:$C$32,$AM$6,'EE Inputs'!$D$9:$D$32,$C$4,'EE Inputs'!$E$9:$E$32,$B16)*10,0))</f>
        <v>434855.28087857401</v>
      </c>
      <c r="AS16" s="71">
        <f ca="1">IF($C$4=Lookups!$D$40,SUM(INDIRECT("'Yr1'!"&amp;ADDRESS(ROW(AS16),COLUMN(AS16))),INDIRECT("'Yr2'!"&amp;ADDRESS(ROW(AS16),COLUMN(AS16))),INDIRECT("'Yr3'!"&amp;ADDRESS(ROW(AS16),COLUMN(AS16)))),
IF(AS12&gt;0,SUMIFS('EE Inputs'!$I$9:$I$32,'EE Inputs'!$C$9:$C$32,$AM$6,'EE Inputs'!$D$9:$D$32,$C$4,'EE Inputs'!$E$9:$E$32,$B16)/SUMIFS('EE Inputs'!$V$9:$V$32,'EE Inputs'!$C$9:$C$32,$AM$6,'EE Inputs'!$D$9:$D$32,$C$4,'EE Inputs'!$E$9:$E$32,$B16)*10,0))</f>
        <v>434855.28087857401</v>
      </c>
      <c r="AT16" s="71">
        <f ca="1">IF($C$4=Lookups!$D$40,SUM(INDIRECT("'Yr1'!"&amp;ADDRESS(ROW(AT16),COLUMN(AT16))),INDIRECT("'Yr2'!"&amp;ADDRESS(ROW(AT16),COLUMN(AT16))),INDIRECT("'Yr3'!"&amp;ADDRESS(ROW(AT16),COLUMN(AT16)))),
IF(AT12&gt;0,SUMIFS('EE Inputs'!$I$9:$I$32,'EE Inputs'!$C$9:$C$32,$AM$6,'EE Inputs'!$D$9:$D$32,$C$4,'EE Inputs'!$E$9:$E$32,$B16)/SUMIFS('EE Inputs'!$V$9:$V$32,'EE Inputs'!$C$9:$C$32,$AM$6,'EE Inputs'!$D$9:$D$32,$C$4,'EE Inputs'!$E$9:$E$32,$B16)*10,0))</f>
        <v>434855.28087857401</v>
      </c>
      <c r="AU16" s="71">
        <f ca="1">IF($C$4=Lookups!$D$40,SUM(INDIRECT("'Yr1'!"&amp;ADDRESS(ROW(AU16),COLUMN(AU16))),INDIRECT("'Yr2'!"&amp;ADDRESS(ROW(AU16),COLUMN(AU16))),INDIRECT("'Yr3'!"&amp;ADDRESS(ROW(AU16),COLUMN(AU16)))),
IF(AU12&gt;0,SUMIFS('EE Inputs'!$I$9:$I$32,'EE Inputs'!$C$9:$C$32,$AM$6,'EE Inputs'!$D$9:$D$32,$C$4,'EE Inputs'!$E$9:$E$32,$B16)/SUMIFS('EE Inputs'!$V$9:$V$32,'EE Inputs'!$C$9:$C$32,$AM$6,'EE Inputs'!$D$9:$D$32,$C$4,'EE Inputs'!$E$9:$E$32,$B16)*10,0))</f>
        <v>434855.28087857401</v>
      </c>
      <c r="AV16" s="71">
        <f ca="1">IF($C$4=Lookups!$D$40,SUM(INDIRECT("'Yr1'!"&amp;ADDRESS(ROW(AV16),COLUMN(AV16))),INDIRECT("'Yr2'!"&amp;ADDRESS(ROW(AV16),COLUMN(AV16))),INDIRECT("'Yr3'!"&amp;ADDRESS(ROW(AV16),COLUMN(AV16)))),
IF(AV12&gt;0,SUMIFS('EE Inputs'!$I$9:$I$32,'EE Inputs'!$C$9:$C$32,$AM$6,'EE Inputs'!$D$9:$D$32,$C$4,'EE Inputs'!$E$9:$E$32,$B16)/SUMIFS('EE Inputs'!$V$9:$V$32,'EE Inputs'!$C$9:$C$32,$AM$6,'EE Inputs'!$D$9:$D$32,$C$4,'EE Inputs'!$E$9:$E$32,$B16)*10,0))</f>
        <v>434855.28087857401</v>
      </c>
      <c r="AW16" s="71">
        <f ca="1">IF($C$4=Lookups!$D$40,SUM(INDIRECT("'Yr1'!"&amp;ADDRESS(ROW(AW16),COLUMN(AW16))),INDIRECT("'Yr2'!"&amp;ADDRESS(ROW(AW16),COLUMN(AW16))),INDIRECT("'Yr3'!"&amp;ADDRESS(ROW(AW16),COLUMN(AW16)))),
IF(AW12&gt;0,SUMIFS('EE Inputs'!$I$9:$I$32,'EE Inputs'!$C$9:$C$32,$AM$6,'EE Inputs'!$D$9:$D$32,$C$4,'EE Inputs'!$E$9:$E$32,$B16)/SUMIFS('EE Inputs'!$V$9:$V$32,'EE Inputs'!$C$9:$C$32,$AM$6,'EE Inputs'!$D$9:$D$32,$C$4,'EE Inputs'!$E$9:$E$32,$B16)*10,0))</f>
        <v>434855.28087857401</v>
      </c>
      <c r="AX16" s="71">
        <f ca="1">IF($C$4=Lookups!$D$40,SUM(INDIRECT("'Yr1'!"&amp;ADDRESS(ROW(AX16),COLUMN(AX16))),INDIRECT("'Yr2'!"&amp;ADDRESS(ROW(AX16),COLUMN(AX16))),INDIRECT("'Yr3'!"&amp;ADDRESS(ROW(AX16),COLUMN(AX16)))),
IF(AX12&gt;0,SUMIFS('EE Inputs'!$I$9:$I$32,'EE Inputs'!$C$9:$C$32,$AM$6,'EE Inputs'!$D$9:$D$32,$C$4,'EE Inputs'!$E$9:$E$32,$B16)/SUMIFS('EE Inputs'!$V$9:$V$32,'EE Inputs'!$C$9:$C$32,$AM$6,'EE Inputs'!$D$9:$D$32,$C$4,'EE Inputs'!$E$9:$E$32,$B16)*10,0))</f>
        <v>434855.28087857401</v>
      </c>
      <c r="AY16" s="71">
        <f ca="1">IF($C$4=Lookups!$D$40,SUM(INDIRECT("'Yr1'!"&amp;ADDRESS(ROW(AY16),COLUMN(AY16))),INDIRECT("'Yr2'!"&amp;ADDRESS(ROW(AY16),COLUMN(AY16))),INDIRECT("'Yr3'!"&amp;ADDRESS(ROW(AY16),COLUMN(AY16)))),
IF(AY12&gt;0,SUMIFS('EE Inputs'!$I$9:$I$32,'EE Inputs'!$C$9:$C$32,$AM$6,'EE Inputs'!$D$9:$D$32,$C$4,'EE Inputs'!$E$9:$E$32,$B16)/SUMIFS('EE Inputs'!$V$9:$V$32,'EE Inputs'!$C$9:$C$32,$AM$6,'EE Inputs'!$D$9:$D$32,$C$4,'EE Inputs'!$E$9:$E$32,$B16)*10,0))</f>
        <v>434855.28087857401</v>
      </c>
      <c r="AZ16" s="71">
        <f ca="1">IF($C$4=Lookups!$D$40,SUM(INDIRECT("'Yr1'!"&amp;ADDRESS(ROW(AZ16),COLUMN(AZ16))),INDIRECT("'Yr2'!"&amp;ADDRESS(ROW(AZ16),COLUMN(AZ16))),INDIRECT("'Yr3'!"&amp;ADDRESS(ROW(AZ16),COLUMN(AZ16)))),
IF(AZ12&gt;0,SUMIFS('EE Inputs'!$I$9:$I$32,'EE Inputs'!$C$9:$C$32,$AM$6,'EE Inputs'!$D$9:$D$32,$C$4,'EE Inputs'!$E$9:$E$32,$B16)/SUMIFS('EE Inputs'!$V$9:$V$32,'EE Inputs'!$C$9:$C$32,$AM$6,'EE Inputs'!$D$9:$D$32,$C$4,'EE Inputs'!$E$9:$E$32,$B16)*10,0))</f>
        <v>434855.28087857401</v>
      </c>
      <c r="BA16" s="71">
        <f ca="1">IF($C$4=Lookups!$D$40,SUM(INDIRECT("'Yr1'!"&amp;ADDRESS(ROW(BA16),COLUMN(BA16))),INDIRECT("'Yr2'!"&amp;ADDRESS(ROW(BA16),COLUMN(BA16))),INDIRECT("'Yr3'!"&amp;ADDRESS(ROW(BA16),COLUMN(BA16)))),
IF(BA12&gt;0,SUMIFS('EE Inputs'!$I$9:$I$32,'EE Inputs'!$C$9:$C$32,$AM$6,'EE Inputs'!$D$9:$D$32,$C$4,'EE Inputs'!$E$9:$E$32,$B16)/SUMIFS('EE Inputs'!$V$9:$V$32,'EE Inputs'!$C$9:$C$32,$AM$6,'EE Inputs'!$D$9:$D$32,$C$4,'EE Inputs'!$E$9:$E$32,$B16)*10,0))</f>
        <v>434855.28087857401</v>
      </c>
      <c r="BB16" s="71">
        <f ca="1">IF($C$4=Lookups!$D$40,SUM(INDIRECT("'Yr1'!"&amp;ADDRESS(ROW(BB16),COLUMN(BB16))),INDIRECT("'Yr2'!"&amp;ADDRESS(ROW(BB16),COLUMN(BB16))),INDIRECT("'Yr3'!"&amp;ADDRESS(ROW(BB16),COLUMN(BB16)))),
IF(BB12&gt;0,SUMIFS('EE Inputs'!$I$9:$I$32,'EE Inputs'!$C$9:$C$32,$AM$6,'EE Inputs'!$D$9:$D$32,$C$4,'EE Inputs'!$E$9:$E$32,$B16)/SUMIFS('EE Inputs'!$V$9:$V$32,'EE Inputs'!$C$9:$C$32,$AM$6,'EE Inputs'!$D$9:$D$32,$C$4,'EE Inputs'!$E$9:$E$32,$B16)*10,0))</f>
        <v>434855.28087857401</v>
      </c>
      <c r="BC16" s="71">
        <f ca="1">IF($C$4=Lookups!$D$40,SUM(INDIRECT("'Yr1'!"&amp;ADDRESS(ROW(BC16),COLUMN(BC16))),INDIRECT("'Yr2'!"&amp;ADDRESS(ROW(BC16),COLUMN(BC16))),INDIRECT("'Yr3'!"&amp;ADDRESS(ROW(BC16),COLUMN(BC16)))),
IF(BC12&gt;0,SUMIFS('EE Inputs'!$I$9:$I$32,'EE Inputs'!$C$9:$C$32,$AM$6,'EE Inputs'!$D$9:$D$32,$C$4,'EE Inputs'!$E$9:$E$32,$B16)/SUMIFS('EE Inputs'!$V$9:$V$32,'EE Inputs'!$C$9:$C$32,$AM$6,'EE Inputs'!$D$9:$D$32,$C$4,'EE Inputs'!$E$9:$E$32,$B16)*10,0))</f>
        <v>0</v>
      </c>
      <c r="BD16" s="71">
        <f ca="1">IF($C$4=Lookups!$D$40,SUM(INDIRECT("'Yr1'!"&amp;ADDRESS(ROW(BD16),COLUMN(BD16))),INDIRECT("'Yr2'!"&amp;ADDRESS(ROW(BD16),COLUMN(BD16))),INDIRECT("'Yr3'!"&amp;ADDRESS(ROW(BD16),COLUMN(BD16)))),
IF(BD12&gt;0,SUMIFS('EE Inputs'!$I$9:$I$32,'EE Inputs'!$C$9:$C$32,$AM$6,'EE Inputs'!$D$9:$D$32,$C$4,'EE Inputs'!$E$9:$E$32,$B16)/SUMIFS('EE Inputs'!$V$9:$V$32,'EE Inputs'!$C$9:$C$32,$AM$6,'EE Inputs'!$D$9:$D$32,$C$4,'EE Inputs'!$E$9:$E$32,$B16)*10,0))</f>
        <v>0</v>
      </c>
      <c r="BE16" s="71">
        <f ca="1">IF($C$4=Lookups!$D$40,SUM(INDIRECT("'Yr1'!"&amp;ADDRESS(ROW(BE16),COLUMN(BE16))),INDIRECT("'Yr2'!"&amp;ADDRESS(ROW(BE16),COLUMN(BE16))),INDIRECT("'Yr3'!"&amp;ADDRESS(ROW(BE16),COLUMN(BE16)))),
IF(BE12&gt;0,SUMIFS('EE Inputs'!$I$9:$I$32,'EE Inputs'!$C$9:$C$32,$AM$6,'EE Inputs'!$D$9:$D$32,$C$4,'EE Inputs'!$E$9:$E$32,$B16)/SUMIFS('EE Inputs'!$V$9:$V$32,'EE Inputs'!$C$9:$C$32,$AM$6,'EE Inputs'!$D$9:$D$32,$C$4,'EE Inputs'!$E$9:$E$32,$B16)*10,0))</f>
        <v>0</v>
      </c>
      <c r="BF16" s="71">
        <f ca="1">IF($C$4=Lookups!$D$40,SUM(INDIRECT("'Yr1'!"&amp;ADDRESS(ROW(BF16),COLUMN(BF16))),INDIRECT("'Yr2'!"&amp;ADDRESS(ROW(BF16),COLUMN(BF16))),INDIRECT("'Yr3'!"&amp;ADDRESS(ROW(BF16),COLUMN(BF16)))),
IF(BF12&gt;0,SUMIFS('EE Inputs'!$I$9:$I$32,'EE Inputs'!$C$9:$C$32,$AM$6,'EE Inputs'!$D$9:$D$32,$C$4,'EE Inputs'!$E$9:$E$32,$B16)/SUMIFS('EE Inputs'!$V$9:$V$32,'EE Inputs'!$C$9:$C$32,$AM$6,'EE Inputs'!$D$9:$D$32,$C$4,'EE Inputs'!$E$9:$E$32,$B16)*10,0))</f>
        <v>0</v>
      </c>
      <c r="BG16" s="71">
        <f ca="1">IF($C$4=Lookups!$D$40,SUM(INDIRECT("'Yr1'!"&amp;ADDRESS(ROW(BG16),COLUMN(BG16))),INDIRECT("'Yr2'!"&amp;ADDRESS(ROW(BG16),COLUMN(BG16))),INDIRECT("'Yr3'!"&amp;ADDRESS(ROW(BG16),COLUMN(BG16)))),
IF(BG12&gt;0,SUMIFS('EE Inputs'!$I$9:$I$32,'EE Inputs'!$C$9:$C$32,$AM$6,'EE Inputs'!$D$9:$D$32,$C$4,'EE Inputs'!$E$9:$E$32,$B16)/SUMIFS('EE Inputs'!$V$9:$V$32,'EE Inputs'!$C$9:$C$32,$AM$6,'EE Inputs'!$D$9:$D$32,$C$4,'EE Inputs'!$E$9:$E$32,$B16)*10,0))</f>
        <v>0</v>
      </c>
      <c r="BH16" s="71">
        <f ca="1">IF($C$4=Lookups!$D$40,SUM(INDIRECT("'Yr1'!"&amp;ADDRESS(ROW(BH16),COLUMN(BH16))),INDIRECT("'Yr2'!"&amp;ADDRESS(ROW(BH16),COLUMN(BH16))),INDIRECT("'Yr3'!"&amp;ADDRESS(ROW(BH16),COLUMN(BH16)))),
IF(BH12&gt;0,SUMIFS('EE Inputs'!$I$9:$I$32,'EE Inputs'!$C$9:$C$32,$AM$6,'EE Inputs'!$D$9:$D$32,$C$4,'EE Inputs'!$E$9:$E$32,$B16)/SUMIFS('EE Inputs'!$V$9:$V$32,'EE Inputs'!$C$9:$C$32,$AM$6,'EE Inputs'!$D$9:$D$32,$C$4,'EE Inputs'!$E$9:$E$32,$B16)*10,0))</f>
        <v>0</v>
      </c>
      <c r="BI16" s="71">
        <f ca="1">IF($C$4=Lookups!$D$40,SUM(INDIRECT("'Yr1'!"&amp;ADDRESS(ROW(BI16),COLUMN(BI16))),INDIRECT("'Yr2'!"&amp;ADDRESS(ROW(BI16),COLUMN(BI16))),INDIRECT("'Yr3'!"&amp;ADDRESS(ROW(BI16),COLUMN(BI16)))),
IF(BI12&gt;0,SUMIFS('EE Inputs'!$I$9:$I$32,'EE Inputs'!$C$9:$C$32,$AM$6,'EE Inputs'!$D$9:$D$32,$C$4,'EE Inputs'!$E$9:$E$32,$B16)/SUMIFS('EE Inputs'!$V$9:$V$32,'EE Inputs'!$C$9:$C$32,$AM$6,'EE Inputs'!$D$9:$D$32,$C$4,'EE Inputs'!$E$9:$E$32,$B16)*10,0))</f>
        <v>0</v>
      </c>
      <c r="BJ16" s="71">
        <f ca="1">IF($C$4=Lookups!$D$40,SUM(INDIRECT("'Yr1'!"&amp;ADDRESS(ROW(BJ16),COLUMN(BJ16))),INDIRECT("'Yr2'!"&amp;ADDRESS(ROW(BJ16),COLUMN(BJ16))),INDIRECT("'Yr3'!"&amp;ADDRESS(ROW(BJ16),COLUMN(BJ16)))),
IF(BJ12&gt;0,SUMIFS('EE Inputs'!$I$9:$I$32,'EE Inputs'!$C$9:$C$32,$AM$6,'EE Inputs'!$D$9:$D$32,$C$4,'EE Inputs'!$E$9:$E$32,$B16)/SUMIFS('EE Inputs'!$V$9:$V$32,'EE Inputs'!$C$9:$C$32,$AM$6,'EE Inputs'!$D$9:$D$32,$C$4,'EE Inputs'!$E$9:$E$32,$B16)*10,0))</f>
        <v>0</v>
      </c>
      <c r="BK16" s="71">
        <f ca="1">IF($C$4=Lookups!$D$40,SUM(INDIRECT("'Yr1'!"&amp;ADDRESS(ROW(BK16),COLUMN(BK16))),INDIRECT("'Yr2'!"&amp;ADDRESS(ROW(BK16),COLUMN(BK16))),INDIRECT("'Yr3'!"&amp;ADDRESS(ROW(BK16),COLUMN(BK16)))),
IF(BK12&gt;0,SUMIFS('EE Inputs'!$I$9:$I$32,'EE Inputs'!$C$9:$C$32,$AM$6,'EE Inputs'!$D$9:$D$32,$C$4,'EE Inputs'!$E$9:$E$32,$B16)/SUMIFS('EE Inputs'!$V$9:$V$32,'EE Inputs'!$C$9:$C$32,$AM$6,'EE Inputs'!$D$9:$D$32,$C$4,'EE Inputs'!$E$9:$E$32,$B16)*10,0))</f>
        <v>0</v>
      </c>
      <c r="BL16" s="71">
        <f ca="1">IF($C$4=Lookups!$D$40,SUM(INDIRECT("'Yr1'!"&amp;ADDRESS(ROW(BL16),COLUMN(BL16))),INDIRECT("'Yr2'!"&amp;ADDRESS(ROW(BL16),COLUMN(BL16))),INDIRECT("'Yr3'!"&amp;ADDRESS(ROW(BL16),COLUMN(BL16)))),
IF(BL12&gt;0,SUMIFS('EE Inputs'!$I$9:$I$32,'EE Inputs'!$C$9:$C$32,$AM$6,'EE Inputs'!$D$9:$D$32,$C$4,'EE Inputs'!$E$9:$E$32,$B16)/SUMIFS('EE Inputs'!$V$9:$V$32,'EE Inputs'!$C$9:$C$32,$AM$6,'EE Inputs'!$D$9:$D$32,$C$4,'EE Inputs'!$E$9:$E$32,$B16)*10,0))</f>
        <v>0</v>
      </c>
      <c r="BM16" s="71">
        <f ca="1">IF($C$4=Lookups!$D$40,SUM(INDIRECT("'Yr1'!"&amp;ADDRESS(ROW(BM16),COLUMN(BM16))),INDIRECT("'Yr2'!"&amp;ADDRESS(ROW(BM16),COLUMN(BM16))),INDIRECT("'Yr3'!"&amp;ADDRESS(ROW(BM16),COLUMN(BM16)))),
IF(BM12&gt;0,SUMIFS('EE Inputs'!$I$9:$I$32,'EE Inputs'!$C$9:$C$32,$AM$6,'EE Inputs'!$D$9:$D$32,$C$4,'EE Inputs'!$E$9:$E$32,$B16)/SUMIFS('EE Inputs'!$V$9:$V$32,'EE Inputs'!$C$9:$C$32,$AM$6,'EE Inputs'!$D$9:$D$32,$C$4,'EE Inputs'!$E$9:$E$32,$B16)*10,0))</f>
        <v>0</v>
      </c>
      <c r="BN16" s="71"/>
      <c r="BO16" s="71">
        <f ca="1">SUM(AM16:BM16)</f>
        <v>6522829.2131786086</v>
      </c>
      <c r="BP16" s="71"/>
      <c r="BS16" s="84" t="s">
        <v>92</v>
      </c>
      <c r="BT16" s="51" t="s">
        <v>17</v>
      </c>
    </row>
    <row r="17" spans="1:72" x14ac:dyDescent="0.25">
      <c r="B17" s="243" t="str">
        <f t="shared" si="4"/>
        <v>Residential</v>
      </c>
      <c r="C17" s="243" t="str">
        <f>C16</f>
        <v>Sales</v>
      </c>
      <c r="D17" s="244" t="s">
        <v>109</v>
      </c>
      <c r="E17" s="85" t="s">
        <v>109</v>
      </c>
      <c r="F17" s="84" t="s">
        <v>195</v>
      </c>
      <c r="G17" s="65">
        <f ca="1">G15-G16</f>
        <v>0</v>
      </c>
      <c r="H17" s="65">
        <f t="shared" ref="H17:AG17" ca="1" si="5">H15-H16</f>
        <v>58145090.732794337</v>
      </c>
      <c r="I17" s="65">
        <f t="shared" ca="1" si="5"/>
        <v>58145090.732794337</v>
      </c>
      <c r="J17" s="65">
        <f t="shared" ca="1" si="5"/>
        <v>58145090.732794337</v>
      </c>
      <c r="K17" s="65">
        <f t="shared" ca="1" si="5"/>
        <v>58145090.732794337</v>
      </c>
      <c r="L17" s="65">
        <f t="shared" ca="1" si="5"/>
        <v>58145090.732794337</v>
      </c>
      <c r="M17" s="65">
        <f t="shared" ca="1" si="5"/>
        <v>58145090.732794337</v>
      </c>
      <c r="N17" s="65">
        <f t="shared" ca="1" si="5"/>
        <v>58145090.732794337</v>
      </c>
      <c r="O17" s="65">
        <f t="shared" ca="1" si="5"/>
        <v>58145090.732794337</v>
      </c>
      <c r="P17" s="65">
        <f t="shared" ca="1" si="5"/>
        <v>58145090.732794337</v>
      </c>
      <c r="Q17" s="65">
        <f t="shared" ca="1" si="5"/>
        <v>58145090.732794337</v>
      </c>
      <c r="R17" s="65">
        <f t="shared" ca="1" si="5"/>
        <v>58145090.732794337</v>
      </c>
      <c r="S17" s="65">
        <f t="shared" ca="1" si="5"/>
        <v>58145090.732794337</v>
      </c>
      <c r="T17" s="65">
        <f t="shared" ca="1" si="5"/>
        <v>58145090.732794337</v>
      </c>
      <c r="U17" s="65">
        <f t="shared" ca="1" si="5"/>
        <v>58145090.732794337</v>
      </c>
      <c r="V17" s="65">
        <f t="shared" ca="1" si="5"/>
        <v>58145090.732794337</v>
      </c>
      <c r="W17" s="65">
        <f t="shared" ca="1" si="5"/>
        <v>58525589.103563093</v>
      </c>
      <c r="X17" s="65">
        <f t="shared" ca="1" si="5"/>
        <v>58525589.103563093</v>
      </c>
      <c r="Y17" s="65">
        <f t="shared" ca="1" si="5"/>
        <v>58525589.103563093</v>
      </c>
      <c r="Z17" s="65">
        <f t="shared" ca="1" si="5"/>
        <v>58525589.103563093</v>
      </c>
      <c r="AA17" s="65">
        <f t="shared" ca="1" si="5"/>
        <v>58525589.103563093</v>
      </c>
      <c r="AB17" s="65">
        <f t="shared" ca="1" si="5"/>
        <v>58525589.103563093</v>
      </c>
      <c r="AC17" s="65">
        <f t="shared" ca="1" si="5"/>
        <v>58525589.103563093</v>
      </c>
      <c r="AD17" s="65">
        <f t="shared" ca="1" si="5"/>
        <v>58525589.103563093</v>
      </c>
      <c r="AE17" s="65">
        <f t="shared" ca="1" si="5"/>
        <v>58525589.103563093</v>
      </c>
      <c r="AF17" s="65">
        <f t="shared" ca="1" si="5"/>
        <v>58525589.103563093</v>
      </c>
      <c r="AG17" s="65">
        <f t="shared" ca="1" si="5"/>
        <v>58525589.103563093</v>
      </c>
      <c r="AH17" s="65"/>
      <c r="AI17" s="65">
        <f ca="1">SUM(G17:AG17)</f>
        <v>1515957841.1311085</v>
      </c>
      <c r="AJ17" s="65"/>
      <c r="AM17" s="72">
        <f ca="1">AM15-AM16</f>
        <v>0</v>
      </c>
      <c r="AN17" s="72">
        <f t="shared" ref="AN17:BM17" ca="1" si="6">AN15-AN16</f>
        <v>58090733.822684519</v>
      </c>
      <c r="AO17" s="72">
        <f t="shared" ca="1" si="6"/>
        <v>58090733.822684519</v>
      </c>
      <c r="AP17" s="72">
        <f t="shared" ca="1" si="6"/>
        <v>58090733.822684519</v>
      </c>
      <c r="AQ17" s="72">
        <f t="shared" ca="1" si="6"/>
        <v>58090733.822684519</v>
      </c>
      <c r="AR17" s="72">
        <f t="shared" ca="1" si="6"/>
        <v>58090733.822684519</v>
      </c>
      <c r="AS17" s="72">
        <f t="shared" ca="1" si="6"/>
        <v>58090733.822684519</v>
      </c>
      <c r="AT17" s="72">
        <f t="shared" ca="1" si="6"/>
        <v>58090733.822684519</v>
      </c>
      <c r="AU17" s="72">
        <f t="shared" ca="1" si="6"/>
        <v>58090733.822684519</v>
      </c>
      <c r="AV17" s="72">
        <f t="shared" ca="1" si="6"/>
        <v>58090733.822684519</v>
      </c>
      <c r="AW17" s="72">
        <f t="shared" ca="1" si="6"/>
        <v>58090733.822684519</v>
      </c>
      <c r="AX17" s="72">
        <f t="shared" ca="1" si="6"/>
        <v>58090733.822684519</v>
      </c>
      <c r="AY17" s="72">
        <f t="shared" ca="1" si="6"/>
        <v>58090733.822684519</v>
      </c>
      <c r="AZ17" s="72">
        <f t="shared" ca="1" si="6"/>
        <v>58090733.822684519</v>
      </c>
      <c r="BA17" s="72">
        <f t="shared" ca="1" si="6"/>
        <v>58090733.822684519</v>
      </c>
      <c r="BB17" s="72">
        <f t="shared" ca="1" si="6"/>
        <v>58090733.822684519</v>
      </c>
      <c r="BC17" s="72">
        <f t="shared" ca="1" si="6"/>
        <v>58525589.103563093</v>
      </c>
      <c r="BD17" s="72">
        <f t="shared" ca="1" si="6"/>
        <v>58525589.103563093</v>
      </c>
      <c r="BE17" s="72">
        <f t="shared" ca="1" si="6"/>
        <v>58525589.103563093</v>
      </c>
      <c r="BF17" s="72">
        <f t="shared" ca="1" si="6"/>
        <v>58525589.103563093</v>
      </c>
      <c r="BG17" s="72">
        <f t="shared" ca="1" si="6"/>
        <v>58525589.103563093</v>
      </c>
      <c r="BH17" s="72">
        <f t="shared" ca="1" si="6"/>
        <v>58525589.103563093</v>
      </c>
      <c r="BI17" s="72">
        <f t="shared" ca="1" si="6"/>
        <v>58525589.103563093</v>
      </c>
      <c r="BJ17" s="72">
        <f t="shared" ca="1" si="6"/>
        <v>58525589.103563093</v>
      </c>
      <c r="BK17" s="72">
        <f t="shared" ca="1" si="6"/>
        <v>58525589.103563093</v>
      </c>
      <c r="BL17" s="72">
        <f t="shared" ca="1" si="6"/>
        <v>58525589.103563093</v>
      </c>
      <c r="BM17" s="72">
        <f t="shared" ca="1" si="6"/>
        <v>58525589.103563093</v>
      </c>
      <c r="BN17" s="72"/>
      <c r="BO17" s="72">
        <f ca="1">SUM(AM17:BM17)</f>
        <v>1515142487.4794617</v>
      </c>
      <c r="BP17" s="72"/>
      <c r="BS17" s="84" t="s">
        <v>93</v>
      </c>
      <c r="BT17" s="51" t="s">
        <v>17</v>
      </c>
    </row>
    <row r="18" spans="1:72" s="5" customFormat="1" x14ac:dyDescent="0.25">
      <c r="A18" s="52"/>
      <c r="B18" s="242" t="str">
        <f t="shared" si="4"/>
        <v>Residential</v>
      </c>
      <c r="C18" s="243" t="str">
        <f>C17</f>
        <v>Sales</v>
      </c>
      <c r="D18" s="77" t="s">
        <v>17</v>
      </c>
      <c r="E18" s="76"/>
      <c r="F18" s="76"/>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8"/>
      <c r="AI18" s="235"/>
      <c r="AJ18" s="48"/>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S18" s="76"/>
      <c r="BT18" s="51" t="s">
        <v>17</v>
      </c>
    </row>
    <row r="19" spans="1:72" s="5" customFormat="1" ht="15.75" x14ac:dyDescent="0.25">
      <c r="A19" s="52"/>
      <c r="B19" s="241" t="str">
        <f t="shared" si="4"/>
        <v>Residential</v>
      </c>
      <c r="C19" s="63" t="s">
        <v>124</v>
      </c>
      <c r="D19" s="61"/>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2"/>
      <c r="BO19" s="62"/>
      <c r="BP19" s="62"/>
      <c r="BS19" s="62"/>
      <c r="BT19" s="51" t="s">
        <v>17</v>
      </c>
    </row>
    <row r="20" spans="1:72" x14ac:dyDescent="0.25">
      <c r="B20" s="243" t="str">
        <f t="shared" si="4"/>
        <v>Residential</v>
      </c>
      <c r="C20" s="243" t="str">
        <f t="shared" si="4"/>
        <v>Revenue Requirements</v>
      </c>
      <c r="D20" s="114" t="str">
        <f>"Revenue Requirement before DSM ("&amp;Lookups!$D$22&amp;" Scenario)"</f>
        <v>Revenue Requirement before DSM (No EE Scenario)</v>
      </c>
      <c r="E20" s="84"/>
      <c r="F20" s="84"/>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S20" s="84"/>
      <c r="BT20" s="51" t="s">
        <v>17</v>
      </c>
    </row>
    <row r="21" spans="1:72" x14ac:dyDescent="0.25">
      <c r="B21" s="243" t="str">
        <f t="shared" si="4"/>
        <v>Residential</v>
      </c>
      <c r="C21" s="243" t="str">
        <f t="shared" si="4"/>
        <v>Revenue Requirements</v>
      </c>
      <c r="D21" s="244" t="str">
        <f>D20</f>
        <v>Revenue Requirement before DSM (No EE Scenario)</v>
      </c>
      <c r="E21" s="84" t="s">
        <v>26</v>
      </c>
      <c r="F21" s="84" t="s">
        <v>32</v>
      </c>
      <c r="G21" s="65">
        <f>G38*G15</f>
        <v>0</v>
      </c>
      <c r="H21" s="65">
        <f t="shared" ref="H21:AG21" si="7">H38*H15</f>
        <v>32592900.571774282</v>
      </c>
      <c r="I21" s="65">
        <f t="shared" si="7"/>
        <v>32592900.571774282</v>
      </c>
      <c r="J21" s="65">
        <f t="shared" si="7"/>
        <v>32592900.571774282</v>
      </c>
      <c r="K21" s="65">
        <f t="shared" si="7"/>
        <v>32592900.571774282</v>
      </c>
      <c r="L21" s="65">
        <f t="shared" si="7"/>
        <v>32592900.571774282</v>
      </c>
      <c r="M21" s="65">
        <f t="shared" si="7"/>
        <v>32592900.571774282</v>
      </c>
      <c r="N21" s="65">
        <f t="shared" si="7"/>
        <v>32592900.571774282</v>
      </c>
      <c r="O21" s="65">
        <f t="shared" si="7"/>
        <v>32592900.571774282</v>
      </c>
      <c r="P21" s="65">
        <f t="shared" si="7"/>
        <v>32592900.571774282</v>
      </c>
      <c r="Q21" s="65">
        <f t="shared" si="7"/>
        <v>32592900.571774282</v>
      </c>
      <c r="R21" s="65">
        <f t="shared" si="7"/>
        <v>32592900.571774282</v>
      </c>
      <c r="S21" s="65">
        <f t="shared" si="7"/>
        <v>32592900.571774282</v>
      </c>
      <c r="T21" s="65">
        <f t="shared" si="7"/>
        <v>32592900.571774282</v>
      </c>
      <c r="U21" s="65">
        <f t="shared" si="7"/>
        <v>32592900.571774282</v>
      </c>
      <c r="V21" s="65">
        <f t="shared" si="7"/>
        <v>32592900.571774282</v>
      </c>
      <c r="W21" s="65">
        <f t="shared" si="7"/>
        <v>32592900.571774282</v>
      </c>
      <c r="X21" s="65">
        <f t="shared" si="7"/>
        <v>32592900.571774282</v>
      </c>
      <c r="Y21" s="65">
        <f t="shared" si="7"/>
        <v>32592900.571774282</v>
      </c>
      <c r="Z21" s="65">
        <f t="shared" si="7"/>
        <v>32592900.571774282</v>
      </c>
      <c r="AA21" s="65">
        <f t="shared" si="7"/>
        <v>32592900.571774282</v>
      </c>
      <c r="AB21" s="65">
        <f t="shared" si="7"/>
        <v>32592900.571774282</v>
      </c>
      <c r="AC21" s="65">
        <f t="shared" si="7"/>
        <v>32592900.571774282</v>
      </c>
      <c r="AD21" s="65">
        <f t="shared" si="7"/>
        <v>32592900.571774282</v>
      </c>
      <c r="AE21" s="65">
        <f t="shared" si="7"/>
        <v>32592900.571774282</v>
      </c>
      <c r="AF21" s="65">
        <f t="shared" si="7"/>
        <v>32592900.571774282</v>
      </c>
      <c r="AG21" s="65">
        <f t="shared" si="7"/>
        <v>32592900.571774282</v>
      </c>
      <c r="AH21" s="65"/>
      <c r="AI21" s="65">
        <f>NPV(Lookups!$E$17,G21:AG21)</f>
        <v>695118075.04013062</v>
      </c>
      <c r="AJ21" s="65"/>
      <c r="AM21" s="72">
        <f>AM38*AM15</f>
        <v>0</v>
      </c>
      <c r="AN21" s="72">
        <f t="shared" ref="AN21:BM21" si="8">AN38*AN15</f>
        <v>32592900.571774282</v>
      </c>
      <c r="AO21" s="72">
        <f t="shared" si="8"/>
        <v>32592900.571774282</v>
      </c>
      <c r="AP21" s="72">
        <f t="shared" si="8"/>
        <v>32592900.571774282</v>
      </c>
      <c r="AQ21" s="72">
        <f t="shared" si="8"/>
        <v>32592900.571774282</v>
      </c>
      <c r="AR21" s="72">
        <f t="shared" si="8"/>
        <v>32592900.571774282</v>
      </c>
      <c r="AS21" s="72">
        <f t="shared" si="8"/>
        <v>32592900.571774282</v>
      </c>
      <c r="AT21" s="72">
        <f t="shared" si="8"/>
        <v>32592900.571774282</v>
      </c>
      <c r="AU21" s="72">
        <f t="shared" si="8"/>
        <v>32592900.571774282</v>
      </c>
      <c r="AV21" s="72">
        <f t="shared" si="8"/>
        <v>32592900.571774282</v>
      </c>
      <c r="AW21" s="72">
        <f t="shared" si="8"/>
        <v>32592900.571774282</v>
      </c>
      <c r="AX21" s="72">
        <f t="shared" si="8"/>
        <v>32592900.571774282</v>
      </c>
      <c r="AY21" s="72">
        <f t="shared" si="8"/>
        <v>32592900.571774282</v>
      </c>
      <c r="AZ21" s="72">
        <f t="shared" si="8"/>
        <v>32592900.571774282</v>
      </c>
      <c r="BA21" s="72">
        <f t="shared" si="8"/>
        <v>32592900.571774282</v>
      </c>
      <c r="BB21" s="72">
        <f t="shared" si="8"/>
        <v>32592900.571774282</v>
      </c>
      <c r="BC21" s="72">
        <f t="shared" si="8"/>
        <v>32592900.571774282</v>
      </c>
      <c r="BD21" s="72">
        <f t="shared" si="8"/>
        <v>32592900.571774282</v>
      </c>
      <c r="BE21" s="72">
        <f t="shared" si="8"/>
        <v>32592900.571774282</v>
      </c>
      <c r="BF21" s="72">
        <f t="shared" si="8"/>
        <v>32592900.571774282</v>
      </c>
      <c r="BG21" s="72">
        <f t="shared" si="8"/>
        <v>32592900.571774282</v>
      </c>
      <c r="BH21" s="72">
        <f t="shared" si="8"/>
        <v>32592900.571774282</v>
      </c>
      <c r="BI21" s="72">
        <f t="shared" si="8"/>
        <v>32592900.571774282</v>
      </c>
      <c r="BJ21" s="72">
        <f t="shared" si="8"/>
        <v>32592900.571774282</v>
      </c>
      <c r="BK21" s="72">
        <f t="shared" si="8"/>
        <v>32592900.571774282</v>
      </c>
      <c r="BL21" s="72">
        <f t="shared" si="8"/>
        <v>32592900.571774282</v>
      </c>
      <c r="BM21" s="72">
        <f t="shared" si="8"/>
        <v>32592900.571774282</v>
      </c>
      <c r="BN21" s="72"/>
      <c r="BO21" s="72">
        <f>NPV(Lookups!$E$17,AM21:BM21)</f>
        <v>695118075.04013062</v>
      </c>
      <c r="BP21" s="72"/>
      <c r="BS21" s="84" t="str">
        <f>"No EE Scenario "&amp;E21&amp;" rate multiplied by No EE Scenario sales."</f>
        <v>No EE Scenario Distribution rate multiplied by No EE Scenario sales.</v>
      </c>
      <c r="BT21" s="51" t="s">
        <v>17</v>
      </c>
    </row>
    <row r="22" spans="1:72" x14ac:dyDescent="0.25">
      <c r="B22" s="243" t="str">
        <f t="shared" si="4"/>
        <v>Residential</v>
      </c>
      <c r="C22" s="243" t="str">
        <f t="shared" si="4"/>
        <v>Revenue Requirements</v>
      </c>
      <c r="D22" s="244" t="str">
        <f>D21</f>
        <v>Revenue Requirement before DSM (No EE Scenario)</v>
      </c>
      <c r="E22" s="84" t="s">
        <v>407</v>
      </c>
      <c r="F22" s="84" t="s">
        <v>32</v>
      </c>
      <c r="G22" s="65">
        <f>G39*G15</f>
        <v>0</v>
      </c>
      <c r="H22" s="65">
        <f t="shared" ref="H22:AG22" si="9">H39*H15</f>
        <v>-1931344.4404175822</v>
      </c>
      <c r="I22" s="65">
        <f t="shared" si="9"/>
        <v>-1931344.4404175822</v>
      </c>
      <c r="J22" s="65">
        <f t="shared" si="9"/>
        <v>-1931344.4404175822</v>
      </c>
      <c r="K22" s="65">
        <f t="shared" si="9"/>
        <v>-1931344.4404175822</v>
      </c>
      <c r="L22" s="65">
        <f t="shared" si="9"/>
        <v>-1931344.4404175822</v>
      </c>
      <c r="M22" s="65">
        <f t="shared" si="9"/>
        <v>-1931344.4404175822</v>
      </c>
      <c r="N22" s="65">
        <f t="shared" si="9"/>
        <v>-1931344.4404175822</v>
      </c>
      <c r="O22" s="65">
        <f t="shared" si="9"/>
        <v>-1931344.4404175822</v>
      </c>
      <c r="P22" s="65">
        <f t="shared" si="9"/>
        <v>-1931344.4404175822</v>
      </c>
      <c r="Q22" s="65">
        <f t="shared" si="9"/>
        <v>-1931344.4404175822</v>
      </c>
      <c r="R22" s="65">
        <f t="shared" si="9"/>
        <v>-1931344.4404175822</v>
      </c>
      <c r="S22" s="65">
        <f t="shared" si="9"/>
        <v>-1931344.4404175822</v>
      </c>
      <c r="T22" s="65">
        <f t="shared" si="9"/>
        <v>-1931344.4404175822</v>
      </c>
      <c r="U22" s="65">
        <f t="shared" si="9"/>
        <v>-1931344.4404175822</v>
      </c>
      <c r="V22" s="65">
        <f t="shared" si="9"/>
        <v>-1931344.4404175822</v>
      </c>
      <c r="W22" s="65">
        <f t="shared" si="9"/>
        <v>-1931344.4404175822</v>
      </c>
      <c r="X22" s="65">
        <f t="shared" si="9"/>
        <v>-1931344.4404175822</v>
      </c>
      <c r="Y22" s="65">
        <f t="shared" si="9"/>
        <v>-1931344.4404175822</v>
      </c>
      <c r="Z22" s="65">
        <f t="shared" si="9"/>
        <v>-1931344.4404175822</v>
      </c>
      <c r="AA22" s="65">
        <f t="shared" si="9"/>
        <v>-1931344.4404175822</v>
      </c>
      <c r="AB22" s="65">
        <f t="shared" si="9"/>
        <v>-1931344.4404175822</v>
      </c>
      <c r="AC22" s="65">
        <f t="shared" si="9"/>
        <v>-1931344.4404175822</v>
      </c>
      <c r="AD22" s="65">
        <f t="shared" si="9"/>
        <v>-1931344.4404175822</v>
      </c>
      <c r="AE22" s="65">
        <f t="shared" si="9"/>
        <v>-1931344.4404175822</v>
      </c>
      <c r="AF22" s="65">
        <f t="shared" si="9"/>
        <v>-1931344.4404175822</v>
      </c>
      <c r="AG22" s="65">
        <f t="shared" si="9"/>
        <v>-1931344.4404175822</v>
      </c>
      <c r="AH22" s="65"/>
      <c r="AI22" s="65">
        <f>NPV(Lookups!$E$17,G22:AG22)</f>
        <v>-41190333.05139938</v>
      </c>
      <c r="AJ22" s="65"/>
      <c r="AM22" s="72">
        <f>AM39*AM15</f>
        <v>0</v>
      </c>
      <c r="AN22" s="72">
        <f t="shared" ref="AN22:BM22" si="10">AN39*AN15</f>
        <v>-1931344.4404175822</v>
      </c>
      <c r="AO22" s="72">
        <f t="shared" si="10"/>
        <v>-1931344.4404175822</v>
      </c>
      <c r="AP22" s="72">
        <f t="shared" si="10"/>
        <v>-1931344.4404175822</v>
      </c>
      <c r="AQ22" s="72">
        <f t="shared" si="10"/>
        <v>-1931344.4404175822</v>
      </c>
      <c r="AR22" s="72">
        <f t="shared" si="10"/>
        <v>-1931344.4404175822</v>
      </c>
      <c r="AS22" s="72">
        <f t="shared" si="10"/>
        <v>-1931344.4404175822</v>
      </c>
      <c r="AT22" s="72">
        <f t="shared" si="10"/>
        <v>-1931344.4404175822</v>
      </c>
      <c r="AU22" s="72">
        <f t="shared" si="10"/>
        <v>-1931344.4404175822</v>
      </c>
      <c r="AV22" s="72">
        <f t="shared" si="10"/>
        <v>-1931344.4404175822</v>
      </c>
      <c r="AW22" s="72">
        <f t="shared" si="10"/>
        <v>-1931344.4404175822</v>
      </c>
      <c r="AX22" s="72">
        <f t="shared" si="10"/>
        <v>-1931344.4404175822</v>
      </c>
      <c r="AY22" s="72">
        <f t="shared" si="10"/>
        <v>-1931344.4404175822</v>
      </c>
      <c r="AZ22" s="72">
        <f t="shared" si="10"/>
        <v>-1931344.4404175822</v>
      </c>
      <c r="BA22" s="72">
        <f t="shared" si="10"/>
        <v>-1931344.4404175822</v>
      </c>
      <c r="BB22" s="72">
        <f t="shared" si="10"/>
        <v>-1931344.4404175822</v>
      </c>
      <c r="BC22" s="72">
        <f t="shared" si="10"/>
        <v>-1931344.4404175822</v>
      </c>
      <c r="BD22" s="72">
        <f t="shared" si="10"/>
        <v>-1931344.4404175822</v>
      </c>
      <c r="BE22" s="72">
        <f t="shared" si="10"/>
        <v>-1931344.4404175822</v>
      </c>
      <c r="BF22" s="72">
        <f t="shared" si="10"/>
        <v>-1931344.4404175822</v>
      </c>
      <c r="BG22" s="72">
        <f t="shared" si="10"/>
        <v>-1931344.4404175822</v>
      </c>
      <c r="BH22" s="72">
        <f t="shared" si="10"/>
        <v>-1931344.4404175822</v>
      </c>
      <c r="BI22" s="72">
        <f t="shared" si="10"/>
        <v>-1931344.4404175822</v>
      </c>
      <c r="BJ22" s="72">
        <f t="shared" si="10"/>
        <v>-1931344.4404175822</v>
      </c>
      <c r="BK22" s="72">
        <f t="shared" si="10"/>
        <v>-1931344.4404175822</v>
      </c>
      <c r="BL22" s="72">
        <f t="shared" si="10"/>
        <v>-1931344.4404175822</v>
      </c>
      <c r="BM22" s="72">
        <f t="shared" si="10"/>
        <v>-1931344.4404175822</v>
      </c>
      <c r="BN22" s="72"/>
      <c r="BO22" s="72">
        <f>NPV(Lookups!$E$17,AM22:BM22)</f>
        <v>-41190333.05139938</v>
      </c>
      <c r="BP22" s="72"/>
      <c r="BS22" s="84" t="str">
        <f>"No EE Scenario "&amp;E22&amp;" rate multiplied by No EE Scenario sales."</f>
        <v>No EE Scenario LDAC, Non-EE rate multiplied by No EE Scenario sales.</v>
      </c>
      <c r="BT22" s="51" t="s">
        <v>17</v>
      </c>
    </row>
    <row r="23" spans="1:72" x14ac:dyDescent="0.25">
      <c r="A23" s="1"/>
      <c r="B23" s="243" t="str">
        <f>B21</f>
        <v>Residential</v>
      </c>
      <c r="C23" s="243" t="str">
        <f>C21</f>
        <v>Revenue Requirements</v>
      </c>
      <c r="D23" s="244" t="str">
        <f>D21</f>
        <v>Revenue Requirement before DSM (No EE Scenario)</v>
      </c>
      <c r="E23" s="84" t="s">
        <v>197</v>
      </c>
      <c r="F23" s="84" t="s">
        <v>32</v>
      </c>
      <c r="G23" s="65">
        <f>G40*G15</f>
        <v>0</v>
      </c>
      <c r="H23" s="65">
        <f t="shared" ref="H23:AG23" si="11">H40*H15</f>
        <v>36303422.920940183</v>
      </c>
      <c r="I23" s="65">
        <f t="shared" si="11"/>
        <v>36303422.920940183</v>
      </c>
      <c r="J23" s="65">
        <f t="shared" si="11"/>
        <v>36303422.920940183</v>
      </c>
      <c r="K23" s="65">
        <f t="shared" si="11"/>
        <v>36303422.920940183</v>
      </c>
      <c r="L23" s="65">
        <f t="shared" si="11"/>
        <v>36303422.920940183</v>
      </c>
      <c r="M23" s="65">
        <f t="shared" si="11"/>
        <v>36303422.920940183</v>
      </c>
      <c r="N23" s="65">
        <f t="shared" si="11"/>
        <v>36303422.920940183</v>
      </c>
      <c r="O23" s="65">
        <f t="shared" si="11"/>
        <v>36303422.920940183</v>
      </c>
      <c r="P23" s="65">
        <f t="shared" si="11"/>
        <v>36303422.920940183</v>
      </c>
      <c r="Q23" s="65">
        <f t="shared" si="11"/>
        <v>36303422.920940183</v>
      </c>
      <c r="R23" s="65">
        <f t="shared" si="11"/>
        <v>36303422.920940183</v>
      </c>
      <c r="S23" s="65">
        <f t="shared" si="11"/>
        <v>36303422.920940183</v>
      </c>
      <c r="T23" s="65">
        <f t="shared" si="11"/>
        <v>36303422.920940183</v>
      </c>
      <c r="U23" s="65">
        <f t="shared" si="11"/>
        <v>36303422.920940183</v>
      </c>
      <c r="V23" s="65">
        <f t="shared" si="11"/>
        <v>36303422.920940183</v>
      </c>
      <c r="W23" s="65">
        <f t="shared" si="11"/>
        <v>36303422.920940183</v>
      </c>
      <c r="X23" s="65">
        <f t="shared" si="11"/>
        <v>36303422.920940183</v>
      </c>
      <c r="Y23" s="65">
        <f t="shared" si="11"/>
        <v>36303422.920940183</v>
      </c>
      <c r="Z23" s="65">
        <f t="shared" si="11"/>
        <v>36303422.920940183</v>
      </c>
      <c r="AA23" s="65">
        <f t="shared" si="11"/>
        <v>36303422.920940183</v>
      </c>
      <c r="AB23" s="65">
        <f t="shared" si="11"/>
        <v>36303422.920940183</v>
      </c>
      <c r="AC23" s="65">
        <f t="shared" si="11"/>
        <v>36303422.920940183</v>
      </c>
      <c r="AD23" s="65">
        <f t="shared" si="11"/>
        <v>36303422.920940183</v>
      </c>
      <c r="AE23" s="65">
        <f t="shared" si="11"/>
        <v>36303422.920940183</v>
      </c>
      <c r="AF23" s="65">
        <f t="shared" si="11"/>
        <v>36303422.920940183</v>
      </c>
      <c r="AG23" s="65">
        <f t="shared" si="11"/>
        <v>36303422.920940183</v>
      </c>
      <c r="AH23" s="65"/>
      <c r="AI23" s="65">
        <f>NPV(Lookups!$E$17,G23:AG23)</f>
        <v>774253442.17524326</v>
      </c>
      <c r="AJ23" s="65"/>
      <c r="AM23" s="72">
        <f>AM40*AM15</f>
        <v>0</v>
      </c>
      <c r="AN23" s="72">
        <f t="shared" ref="AN23:BM23" si="12">AN40*AN15</f>
        <v>36303422.920940183</v>
      </c>
      <c r="AO23" s="72">
        <f t="shared" si="12"/>
        <v>36303422.920940183</v>
      </c>
      <c r="AP23" s="72">
        <f t="shared" si="12"/>
        <v>36303422.920940183</v>
      </c>
      <c r="AQ23" s="72">
        <f t="shared" si="12"/>
        <v>36303422.920940183</v>
      </c>
      <c r="AR23" s="72">
        <f t="shared" si="12"/>
        <v>36303422.920940183</v>
      </c>
      <c r="AS23" s="72">
        <f t="shared" si="12"/>
        <v>36303422.920940183</v>
      </c>
      <c r="AT23" s="72">
        <f t="shared" si="12"/>
        <v>36303422.920940183</v>
      </c>
      <c r="AU23" s="72">
        <f t="shared" si="12"/>
        <v>36303422.920940183</v>
      </c>
      <c r="AV23" s="72">
        <f t="shared" si="12"/>
        <v>36303422.920940183</v>
      </c>
      <c r="AW23" s="72">
        <f t="shared" si="12"/>
        <v>36303422.920940183</v>
      </c>
      <c r="AX23" s="72">
        <f t="shared" si="12"/>
        <v>36303422.920940183</v>
      </c>
      <c r="AY23" s="72">
        <f t="shared" si="12"/>
        <v>36303422.920940183</v>
      </c>
      <c r="AZ23" s="72">
        <f t="shared" si="12"/>
        <v>36303422.920940183</v>
      </c>
      <c r="BA23" s="72">
        <f t="shared" si="12"/>
        <v>36303422.920940183</v>
      </c>
      <c r="BB23" s="72">
        <f t="shared" si="12"/>
        <v>36303422.920940183</v>
      </c>
      <c r="BC23" s="72">
        <f t="shared" si="12"/>
        <v>36303422.920940183</v>
      </c>
      <c r="BD23" s="72">
        <f t="shared" si="12"/>
        <v>36303422.920940183</v>
      </c>
      <c r="BE23" s="72">
        <f t="shared" si="12"/>
        <v>36303422.920940183</v>
      </c>
      <c r="BF23" s="72">
        <f t="shared" si="12"/>
        <v>36303422.920940183</v>
      </c>
      <c r="BG23" s="72">
        <f t="shared" si="12"/>
        <v>36303422.920940183</v>
      </c>
      <c r="BH23" s="72">
        <f t="shared" si="12"/>
        <v>36303422.920940183</v>
      </c>
      <c r="BI23" s="72">
        <f t="shared" si="12"/>
        <v>36303422.920940183</v>
      </c>
      <c r="BJ23" s="72">
        <f t="shared" si="12"/>
        <v>36303422.920940183</v>
      </c>
      <c r="BK23" s="72">
        <f t="shared" si="12"/>
        <v>36303422.920940183</v>
      </c>
      <c r="BL23" s="72">
        <f t="shared" si="12"/>
        <v>36303422.920940183</v>
      </c>
      <c r="BM23" s="72">
        <f t="shared" si="12"/>
        <v>36303422.920940183</v>
      </c>
      <c r="BN23" s="72"/>
      <c r="BO23" s="72">
        <f>NPV(Lookups!$E$17,AM23:BM23)</f>
        <v>774253442.17524326</v>
      </c>
      <c r="BP23" s="72"/>
      <c r="BS23" s="84" t="str">
        <f>"No EE Scenario "&amp;E23&amp;" rate multiplied by No EE Scenario sales."</f>
        <v>No EE Scenario Cost of Gas rate multiplied by No EE Scenario sales.</v>
      </c>
      <c r="BT23" s="51" t="s">
        <v>17</v>
      </c>
    </row>
    <row r="24" spans="1:72" x14ac:dyDescent="0.25">
      <c r="B24" s="243" t="str">
        <f t="shared" si="4"/>
        <v>Residential</v>
      </c>
      <c r="C24" s="243" t="str">
        <f t="shared" si="4"/>
        <v>Revenue Requirements</v>
      </c>
      <c r="D24" s="114" t="s">
        <v>24</v>
      </c>
      <c r="E24" s="84"/>
      <c r="F24" s="84"/>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65"/>
      <c r="AJ24" s="65"/>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S24" s="84"/>
      <c r="BT24" s="51" t="s">
        <v>17</v>
      </c>
    </row>
    <row r="25" spans="1:72" x14ac:dyDescent="0.25">
      <c r="A25" s="246"/>
      <c r="B25" s="243" t="str">
        <f t="shared" si="4"/>
        <v>Residential</v>
      </c>
      <c r="C25" s="243" t="str">
        <f t="shared" si="4"/>
        <v>Revenue Requirements</v>
      </c>
      <c r="D25" s="244" t="str">
        <f>D24</f>
        <v>Avoided Costs</v>
      </c>
      <c r="E25" s="84" t="s">
        <v>45</v>
      </c>
      <c r="F25" s="84" t="s">
        <v>32</v>
      </c>
      <c r="G25" s="65">
        <f ca="1">IF($C$4=Lookups!$D$40,SUM(INDIRECT("'Yr1'!"&amp;ADDRESS(ROW(G25),COLUMN(G25))),INDIRECT("'Yr2'!"&amp;ADDRESS(ROW(G25),COLUMN(G25))),INDIRECT("'Yr3'!"&amp;ADDRESS(ROW(G25),COLUMN(G25)))),
IF(G12=0,0,-PMT(INDEX(Lookups!$E$17:$G$17,MATCH($C$4,Lookups!$E$14:$G$14,0)),G12,SUMIFS('EE Inputs'!$J$9:$J$32,'EE Inputs'!$C$9:$C$32,$G$6,'EE Inputs'!$D$9:$D$32,$C$4,'EE Inputs'!$E$9:$E$32,$B25),0,1)))-G26</f>
        <v>0</v>
      </c>
      <c r="H25" s="65">
        <f ca="1">IF($C$4=Lookups!$D$40,SUM(INDIRECT("'Yr1'!"&amp;ADDRESS(ROW(H25),COLUMN(H25))),INDIRECT("'Yr2'!"&amp;ADDRESS(ROW(H25),COLUMN(H25))),INDIRECT("'Yr3'!"&amp;ADDRESS(ROW(H25),COLUMN(H25)))),
IF(H12=0,0,-PMT(INDEX(Lookups!$E$17:$G$17,MATCH($C$4,Lookups!$E$14:$G$14,0)),H12,SUMIFS('EE Inputs'!$J$9:$J$32,'EE Inputs'!$C$9:$C$32,$G$6,'EE Inputs'!$D$9:$D$32,$C$4,'EE Inputs'!$E$9:$E$32,$B25),0,1)))-H26</f>
        <v>280830.79884587711</v>
      </c>
      <c r="I25" s="65">
        <f ca="1">IF($C$4=Lookups!$D$40,SUM(INDIRECT("'Yr1'!"&amp;ADDRESS(ROW(I25),COLUMN(I25))),INDIRECT("'Yr2'!"&amp;ADDRESS(ROW(I25),COLUMN(I25))),INDIRECT("'Yr3'!"&amp;ADDRESS(ROW(I25),COLUMN(I25)))),
IF(I12=0,0,-PMT(INDEX(Lookups!$E$17:$G$17,MATCH($C$4,Lookups!$E$14:$G$14,0)),I12,SUMIFS('EE Inputs'!$J$9:$J$32,'EE Inputs'!$C$9:$C$32,$G$6,'EE Inputs'!$D$9:$D$32,$C$4,'EE Inputs'!$E$9:$E$32,$B25),0,1)))-I26</f>
        <v>280830.79884587711</v>
      </c>
      <c r="J25" s="65">
        <f ca="1">IF($C$4=Lookups!$D$40,SUM(INDIRECT("'Yr1'!"&amp;ADDRESS(ROW(J25),COLUMN(J25))),INDIRECT("'Yr2'!"&amp;ADDRESS(ROW(J25),COLUMN(J25))),INDIRECT("'Yr3'!"&amp;ADDRESS(ROW(J25),COLUMN(J25)))),
IF(J12=0,0,-PMT(INDEX(Lookups!$E$17:$G$17,MATCH($C$4,Lookups!$E$14:$G$14,0)),J12,SUMIFS('EE Inputs'!$J$9:$J$32,'EE Inputs'!$C$9:$C$32,$G$6,'EE Inputs'!$D$9:$D$32,$C$4,'EE Inputs'!$E$9:$E$32,$B25),0,1)))-J26</f>
        <v>280830.79884587711</v>
      </c>
      <c r="K25" s="65">
        <f ca="1">IF($C$4=Lookups!$D$40,SUM(INDIRECT("'Yr1'!"&amp;ADDRESS(ROW(K25),COLUMN(K25))),INDIRECT("'Yr2'!"&amp;ADDRESS(ROW(K25),COLUMN(K25))),INDIRECT("'Yr3'!"&amp;ADDRESS(ROW(K25),COLUMN(K25)))),
IF(K12=0,0,-PMT(INDEX(Lookups!$E$17:$G$17,MATCH($C$4,Lookups!$E$14:$G$14,0)),K12,SUMIFS('EE Inputs'!$J$9:$J$32,'EE Inputs'!$C$9:$C$32,$G$6,'EE Inputs'!$D$9:$D$32,$C$4,'EE Inputs'!$E$9:$E$32,$B25),0,1)))-K26</f>
        <v>280830.79884587711</v>
      </c>
      <c r="L25" s="65">
        <f ca="1">IF($C$4=Lookups!$D$40,SUM(INDIRECT("'Yr1'!"&amp;ADDRESS(ROW(L25),COLUMN(L25))),INDIRECT("'Yr2'!"&amp;ADDRESS(ROW(L25),COLUMN(L25))),INDIRECT("'Yr3'!"&amp;ADDRESS(ROW(L25),COLUMN(L25)))),
IF(L12=0,0,-PMT(INDEX(Lookups!$E$17:$G$17,MATCH($C$4,Lookups!$E$14:$G$14,0)),L12,SUMIFS('EE Inputs'!$J$9:$J$32,'EE Inputs'!$C$9:$C$32,$G$6,'EE Inputs'!$D$9:$D$32,$C$4,'EE Inputs'!$E$9:$E$32,$B25),0,1)))-L26</f>
        <v>280830.79884587711</v>
      </c>
      <c r="M25" s="65">
        <f ca="1">IF($C$4=Lookups!$D$40,SUM(INDIRECT("'Yr1'!"&amp;ADDRESS(ROW(M25),COLUMN(M25))),INDIRECT("'Yr2'!"&amp;ADDRESS(ROW(M25),COLUMN(M25))),INDIRECT("'Yr3'!"&amp;ADDRESS(ROW(M25),COLUMN(M25)))),
IF(M12=0,0,-PMT(INDEX(Lookups!$E$17:$G$17,MATCH($C$4,Lookups!$E$14:$G$14,0)),M12,SUMIFS('EE Inputs'!$J$9:$J$32,'EE Inputs'!$C$9:$C$32,$G$6,'EE Inputs'!$D$9:$D$32,$C$4,'EE Inputs'!$E$9:$E$32,$B25),0,1)))-M26</f>
        <v>280830.79884587711</v>
      </c>
      <c r="N25" s="65">
        <f ca="1">IF($C$4=Lookups!$D$40,SUM(INDIRECT("'Yr1'!"&amp;ADDRESS(ROW(N25),COLUMN(N25))),INDIRECT("'Yr2'!"&amp;ADDRESS(ROW(N25),COLUMN(N25))),INDIRECT("'Yr3'!"&amp;ADDRESS(ROW(N25),COLUMN(N25)))),
IF(N12=0,0,-PMT(INDEX(Lookups!$E$17:$G$17,MATCH($C$4,Lookups!$E$14:$G$14,0)),N12,SUMIFS('EE Inputs'!$J$9:$J$32,'EE Inputs'!$C$9:$C$32,$G$6,'EE Inputs'!$D$9:$D$32,$C$4,'EE Inputs'!$E$9:$E$32,$B25),0,1)))-N26</f>
        <v>280830.79884587711</v>
      </c>
      <c r="O25" s="65">
        <f ca="1">IF($C$4=Lookups!$D$40,SUM(INDIRECT("'Yr1'!"&amp;ADDRESS(ROW(O25),COLUMN(O25))),INDIRECT("'Yr2'!"&amp;ADDRESS(ROW(O25),COLUMN(O25))),INDIRECT("'Yr3'!"&amp;ADDRESS(ROW(O25),COLUMN(O25)))),
IF(O12=0,0,-PMT(INDEX(Lookups!$E$17:$G$17,MATCH($C$4,Lookups!$E$14:$G$14,0)),O12,SUMIFS('EE Inputs'!$J$9:$J$32,'EE Inputs'!$C$9:$C$32,$G$6,'EE Inputs'!$D$9:$D$32,$C$4,'EE Inputs'!$E$9:$E$32,$B25),0,1)))-O26</f>
        <v>280830.79884587711</v>
      </c>
      <c r="P25" s="65">
        <f ca="1">IF($C$4=Lookups!$D$40,SUM(INDIRECT("'Yr1'!"&amp;ADDRESS(ROW(P25),COLUMN(P25))),INDIRECT("'Yr2'!"&amp;ADDRESS(ROW(P25),COLUMN(P25))),INDIRECT("'Yr3'!"&amp;ADDRESS(ROW(P25),COLUMN(P25)))),
IF(P12=0,0,-PMT(INDEX(Lookups!$E$17:$G$17,MATCH($C$4,Lookups!$E$14:$G$14,0)),P12,SUMIFS('EE Inputs'!$J$9:$J$32,'EE Inputs'!$C$9:$C$32,$G$6,'EE Inputs'!$D$9:$D$32,$C$4,'EE Inputs'!$E$9:$E$32,$B25),0,1)))-P26</f>
        <v>280830.79884587711</v>
      </c>
      <c r="Q25" s="65">
        <f ca="1">IF($C$4=Lookups!$D$40,SUM(INDIRECT("'Yr1'!"&amp;ADDRESS(ROW(Q25),COLUMN(Q25))),INDIRECT("'Yr2'!"&amp;ADDRESS(ROW(Q25),COLUMN(Q25))),INDIRECT("'Yr3'!"&amp;ADDRESS(ROW(Q25),COLUMN(Q25)))),
IF(Q12=0,0,-PMT(INDEX(Lookups!$E$17:$G$17,MATCH($C$4,Lookups!$E$14:$G$14,0)),Q12,SUMIFS('EE Inputs'!$J$9:$J$32,'EE Inputs'!$C$9:$C$32,$G$6,'EE Inputs'!$D$9:$D$32,$C$4,'EE Inputs'!$E$9:$E$32,$B25),0,1)))-Q26</f>
        <v>280830.79884587711</v>
      </c>
      <c r="R25" s="65">
        <f ca="1">IF($C$4=Lookups!$D$40,SUM(INDIRECT("'Yr1'!"&amp;ADDRESS(ROW(R25),COLUMN(R25))),INDIRECT("'Yr2'!"&amp;ADDRESS(ROW(R25),COLUMN(R25))),INDIRECT("'Yr3'!"&amp;ADDRESS(ROW(R25),COLUMN(R25)))),
IF(R12=0,0,-PMT(INDEX(Lookups!$E$17:$G$17,MATCH($C$4,Lookups!$E$14:$G$14,0)),R12,SUMIFS('EE Inputs'!$J$9:$J$32,'EE Inputs'!$C$9:$C$32,$G$6,'EE Inputs'!$D$9:$D$32,$C$4,'EE Inputs'!$E$9:$E$32,$B25),0,1)))-R26</f>
        <v>280830.79884587711</v>
      </c>
      <c r="S25" s="65">
        <f ca="1">IF($C$4=Lookups!$D$40,SUM(INDIRECT("'Yr1'!"&amp;ADDRESS(ROW(S25),COLUMN(S25))),INDIRECT("'Yr2'!"&amp;ADDRESS(ROW(S25),COLUMN(S25))),INDIRECT("'Yr3'!"&amp;ADDRESS(ROW(S25),COLUMN(S25)))),
IF(S12=0,0,-PMT(INDEX(Lookups!$E$17:$G$17,MATCH($C$4,Lookups!$E$14:$G$14,0)),S12,SUMIFS('EE Inputs'!$J$9:$J$32,'EE Inputs'!$C$9:$C$32,$G$6,'EE Inputs'!$D$9:$D$32,$C$4,'EE Inputs'!$E$9:$E$32,$B25),0,1)))-S26</f>
        <v>280830.79884587711</v>
      </c>
      <c r="T25" s="65">
        <f ca="1">IF($C$4=Lookups!$D$40,SUM(INDIRECT("'Yr1'!"&amp;ADDRESS(ROW(T25),COLUMN(T25))),INDIRECT("'Yr2'!"&amp;ADDRESS(ROW(T25),COLUMN(T25))),INDIRECT("'Yr3'!"&amp;ADDRESS(ROW(T25),COLUMN(T25)))),
IF(T12=0,0,-PMT(INDEX(Lookups!$E$17:$G$17,MATCH($C$4,Lookups!$E$14:$G$14,0)),T12,SUMIFS('EE Inputs'!$J$9:$J$32,'EE Inputs'!$C$9:$C$32,$G$6,'EE Inputs'!$D$9:$D$32,$C$4,'EE Inputs'!$E$9:$E$32,$B25),0,1)))-T26</f>
        <v>280830.79884587711</v>
      </c>
      <c r="U25" s="65">
        <f ca="1">IF($C$4=Lookups!$D$40,SUM(INDIRECT("'Yr1'!"&amp;ADDRESS(ROW(U25),COLUMN(U25))),INDIRECT("'Yr2'!"&amp;ADDRESS(ROW(U25),COLUMN(U25))),INDIRECT("'Yr3'!"&amp;ADDRESS(ROW(U25),COLUMN(U25)))),
IF(U12=0,0,-PMT(INDEX(Lookups!$E$17:$G$17,MATCH($C$4,Lookups!$E$14:$G$14,0)),U12,SUMIFS('EE Inputs'!$J$9:$J$32,'EE Inputs'!$C$9:$C$32,$G$6,'EE Inputs'!$D$9:$D$32,$C$4,'EE Inputs'!$E$9:$E$32,$B25),0,1)))-U26</f>
        <v>280830.79884587711</v>
      </c>
      <c r="V25" s="65">
        <f ca="1">IF($C$4=Lookups!$D$40,SUM(INDIRECT("'Yr1'!"&amp;ADDRESS(ROW(V25),COLUMN(V25))),INDIRECT("'Yr2'!"&amp;ADDRESS(ROW(V25),COLUMN(V25))),INDIRECT("'Yr3'!"&amp;ADDRESS(ROW(V25),COLUMN(V25)))),
IF(V12=0,0,-PMT(INDEX(Lookups!$E$17:$G$17,MATCH($C$4,Lookups!$E$14:$G$14,0)),V12,SUMIFS('EE Inputs'!$J$9:$J$32,'EE Inputs'!$C$9:$C$32,$G$6,'EE Inputs'!$D$9:$D$32,$C$4,'EE Inputs'!$E$9:$E$32,$B25),0,1)))-V26</f>
        <v>280830.79884587711</v>
      </c>
      <c r="W25" s="65">
        <f ca="1">IF($C$4=Lookups!$D$40,SUM(INDIRECT("'Yr1'!"&amp;ADDRESS(ROW(W25),COLUMN(W25))),INDIRECT("'Yr2'!"&amp;ADDRESS(ROW(W25),COLUMN(W25))),INDIRECT("'Yr3'!"&amp;ADDRESS(ROW(W25),COLUMN(W25)))),
IF(W12=0,0,-PMT(INDEX(Lookups!$E$17:$G$17,MATCH($C$4,Lookups!$E$14:$G$14,0)),W12,SUMIFS('EE Inputs'!$J$9:$J$32,'EE Inputs'!$C$9:$C$32,$G$6,'EE Inputs'!$D$9:$D$32,$C$4,'EE Inputs'!$E$9:$E$32,$B25),0,1)))-W26</f>
        <v>0</v>
      </c>
      <c r="X25" s="65">
        <f ca="1">IF($C$4=Lookups!$D$40,SUM(INDIRECT("'Yr1'!"&amp;ADDRESS(ROW(X25),COLUMN(X25))),INDIRECT("'Yr2'!"&amp;ADDRESS(ROW(X25),COLUMN(X25))),INDIRECT("'Yr3'!"&amp;ADDRESS(ROW(X25),COLUMN(X25)))),
IF(X12=0,0,-PMT(INDEX(Lookups!$E$17:$G$17,MATCH($C$4,Lookups!$E$14:$G$14,0)),X12,SUMIFS('EE Inputs'!$J$9:$J$32,'EE Inputs'!$C$9:$C$32,$G$6,'EE Inputs'!$D$9:$D$32,$C$4,'EE Inputs'!$E$9:$E$32,$B25),0,1)))-X26</f>
        <v>0</v>
      </c>
      <c r="Y25" s="65">
        <f ca="1">IF($C$4=Lookups!$D$40,SUM(INDIRECT("'Yr1'!"&amp;ADDRESS(ROW(Y25),COLUMN(Y25))),INDIRECT("'Yr2'!"&amp;ADDRESS(ROW(Y25),COLUMN(Y25))),INDIRECT("'Yr3'!"&amp;ADDRESS(ROW(Y25),COLUMN(Y25)))),
IF(Y12=0,0,-PMT(INDEX(Lookups!$E$17:$G$17,MATCH($C$4,Lookups!$E$14:$G$14,0)),Y12,SUMIFS('EE Inputs'!$J$9:$J$32,'EE Inputs'!$C$9:$C$32,$G$6,'EE Inputs'!$D$9:$D$32,$C$4,'EE Inputs'!$E$9:$E$32,$B25),0,1)))-Y26</f>
        <v>0</v>
      </c>
      <c r="Z25" s="65">
        <f ca="1">IF($C$4=Lookups!$D$40,SUM(INDIRECT("'Yr1'!"&amp;ADDRESS(ROW(Z25),COLUMN(Z25))),INDIRECT("'Yr2'!"&amp;ADDRESS(ROW(Z25),COLUMN(Z25))),INDIRECT("'Yr3'!"&amp;ADDRESS(ROW(Z25),COLUMN(Z25)))),
IF(Z12=0,0,-PMT(INDEX(Lookups!$E$17:$G$17,MATCH($C$4,Lookups!$E$14:$G$14,0)),Z12,SUMIFS('EE Inputs'!$J$9:$J$32,'EE Inputs'!$C$9:$C$32,$G$6,'EE Inputs'!$D$9:$D$32,$C$4,'EE Inputs'!$E$9:$E$32,$B25),0,1)))-Z26</f>
        <v>0</v>
      </c>
      <c r="AA25" s="65">
        <f ca="1">IF($C$4=Lookups!$D$40,SUM(INDIRECT("'Yr1'!"&amp;ADDRESS(ROW(AA25),COLUMN(AA25))),INDIRECT("'Yr2'!"&amp;ADDRESS(ROW(AA25),COLUMN(AA25))),INDIRECT("'Yr3'!"&amp;ADDRESS(ROW(AA25),COLUMN(AA25)))),
IF(AA12=0,0,-PMT(INDEX(Lookups!$E$17:$G$17,MATCH($C$4,Lookups!$E$14:$G$14,0)),AA12,SUMIFS('EE Inputs'!$J$9:$J$32,'EE Inputs'!$C$9:$C$32,$G$6,'EE Inputs'!$D$9:$D$32,$C$4,'EE Inputs'!$E$9:$E$32,$B25),0,1)))-AA26</f>
        <v>0</v>
      </c>
      <c r="AB25" s="65">
        <f ca="1">IF($C$4=Lookups!$D$40,SUM(INDIRECT("'Yr1'!"&amp;ADDRESS(ROW(AB25),COLUMN(AB25))),INDIRECT("'Yr2'!"&amp;ADDRESS(ROW(AB25),COLUMN(AB25))),INDIRECT("'Yr3'!"&amp;ADDRESS(ROW(AB25),COLUMN(AB25)))),
IF(AB12=0,0,-PMT(INDEX(Lookups!$E$17:$G$17,MATCH($C$4,Lookups!$E$14:$G$14,0)),AB12,SUMIFS('EE Inputs'!$J$9:$J$32,'EE Inputs'!$C$9:$C$32,$G$6,'EE Inputs'!$D$9:$D$32,$C$4,'EE Inputs'!$E$9:$E$32,$B25),0,1)))-AB26</f>
        <v>0</v>
      </c>
      <c r="AC25" s="65">
        <f ca="1">IF($C$4=Lookups!$D$40,SUM(INDIRECT("'Yr1'!"&amp;ADDRESS(ROW(AC25),COLUMN(AC25))),INDIRECT("'Yr2'!"&amp;ADDRESS(ROW(AC25),COLUMN(AC25))),INDIRECT("'Yr3'!"&amp;ADDRESS(ROW(AC25),COLUMN(AC25)))),
IF(AC12=0,0,-PMT(INDEX(Lookups!$E$17:$G$17,MATCH($C$4,Lookups!$E$14:$G$14,0)),AC12,SUMIFS('EE Inputs'!$J$9:$J$32,'EE Inputs'!$C$9:$C$32,$G$6,'EE Inputs'!$D$9:$D$32,$C$4,'EE Inputs'!$E$9:$E$32,$B25),0,1)))-AC26</f>
        <v>0</v>
      </c>
      <c r="AD25" s="65">
        <f ca="1">IF($C$4=Lookups!$D$40,SUM(INDIRECT("'Yr1'!"&amp;ADDRESS(ROW(AD25),COLUMN(AD25))),INDIRECT("'Yr2'!"&amp;ADDRESS(ROW(AD25),COLUMN(AD25))),INDIRECT("'Yr3'!"&amp;ADDRESS(ROW(AD25),COLUMN(AD25)))),
IF(AD12=0,0,-PMT(INDEX(Lookups!$E$17:$G$17,MATCH($C$4,Lookups!$E$14:$G$14,0)),AD12,SUMIFS('EE Inputs'!$J$9:$J$32,'EE Inputs'!$C$9:$C$32,$G$6,'EE Inputs'!$D$9:$D$32,$C$4,'EE Inputs'!$E$9:$E$32,$B25),0,1)))-AD26</f>
        <v>0</v>
      </c>
      <c r="AE25" s="65">
        <f ca="1">IF($C$4=Lookups!$D$40,SUM(INDIRECT("'Yr1'!"&amp;ADDRESS(ROW(AE25),COLUMN(AE25))),INDIRECT("'Yr2'!"&amp;ADDRESS(ROW(AE25),COLUMN(AE25))),INDIRECT("'Yr3'!"&amp;ADDRESS(ROW(AE25),COLUMN(AE25)))),
IF(AE12=0,0,-PMT(INDEX(Lookups!$E$17:$G$17,MATCH($C$4,Lookups!$E$14:$G$14,0)),AE12,SUMIFS('EE Inputs'!$J$9:$J$32,'EE Inputs'!$C$9:$C$32,$G$6,'EE Inputs'!$D$9:$D$32,$C$4,'EE Inputs'!$E$9:$E$32,$B25),0,1)))-AE26</f>
        <v>0</v>
      </c>
      <c r="AF25" s="65">
        <f ca="1">IF($C$4=Lookups!$D$40,SUM(INDIRECT("'Yr1'!"&amp;ADDRESS(ROW(AF25),COLUMN(AF25))),INDIRECT("'Yr2'!"&amp;ADDRESS(ROW(AF25),COLUMN(AF25))),INDIRECT("'Yr3'!"&amp;ADDRESS(ROW(AF25),COLUMN(AF25)))),
IF(AF12=0,0,-PMT(INDEX(Lookups!$E$17:$G$17,MATCH($C$4,Lookups!$E$14:$G$14,0)),AF12,SUMIFS('EE Inputs'!$J$9:$J$32,'EE Inputs'!$C$9:$C$32,$G$6,'EE Inputs'!$D$9:$D$32,$C$4,'EE Inputs'!$E$9:$E$32,$B25),0,1)))-AF26</f>
        <v>0</v>
      </c>
      <c r="AG25" s="65">
        <f ca="1">IF($C$4=Lookups!$D$40,SUM(INDIRECT("'Yr1'!"&amp;ADDRESS(ROW(AG25),COLUMN(AG25))),INDIRECT("'Yr2'!"&amp;ADDRESS(ROW(AG25),COLUMN(AG25))),INDIRECT("'Yr3'!"&amp;ADDRESS(ROW(AG25),COLUMN(AG25)))),
IF(AG12=0,0,-PMT(INDEX(Lookups!$E$17:$G$17,MATCH($C$4,Lookups!$E$14:$G$14,0)),AG12,SUMIFS('EE Inputs'!$J$9:$J$32,'EE Inputs'!$C$9:$C$32,$G$6,'EE Inputs'!$D$9:$D$32,$C$4,'EE Inputs'!$E$9:$E$32,$B25),0,1)))-AG26</f>
        <v>0</v>
      </c>
      <c r="AH25" s="65"/>
      <c r="AI25" s="65">
        <f ca="1">NPV(Lookups!$E$17,G25:AG25)</f>
        <v>3719106.9303354993</v>
      </c>
      <c r="AJ25" s="65"/>
      <c r="AM25" s="72">
        <f ca="1">IF($C$4=Lookups!$D$40,SUM(INDIRECT("'Yr1'!"&amp;ADDRESS(ROW(AM25),COLUMN(AM25))),INDIRECT("'Yr2'!"&amp;ADDRESS(ROW(AM25),COLUMN(AM25))),INDIRECT("'Yr3'!"&amp;ADDRESS(ROW(AM25),COLUMN(AM25)))),
IF(AM12=0,0,-PMT(INDEX(Lookups!$E$17:$G$17,MATCH($C$4,Lookups!$E$14:$G$14,0)),AM12,SUMIFS('EE Inputs'!$J$9:$J$32,'EE Inputs'!$C$9:$C$32,$AM$6,'EE Inputs'!$D$9:$D$32,$C$4,'EE Inputs'!$E$9:$E$32,$B25),0,1)))-AM26</f>
        <v>0</v>
      </c>
      <c r="AN25" s="72">
        <f ca="1">IF($C$4=Lookups!$D$40,SUM(INDIRECT("'Yr1'!"&amp;ADDRESS(ROW(AN25),COLUMN(AN25))),INDIRECT("'Yr2'!"&amp;ADDRESS(ROW(AN25),COLUMN(AN25))),INDIRECT("'Yr3'!"&amp;ADDRESS(ROW(AN25),COLUMN(AN25)))),
IF(AN12=0,0,-PMT(INDEX(Lookups!$E$17:$G$17,MATCH($C$4,Lookups!$E$14:$G$14,0)),AN12,SUMIFS('EE Inputs'!$J$9:$J$32,'EE Inputs'!$C$9:$C$32,$AM$6,'EE Inputs'!$D$9:$D$32,$C$4,'EE Inputs'!$E$9:$E$32,$B25),0,1)))-AN26</f>
        <v>320949.48439528805</v>
      </c>
      <c r="AO25" s="72">
        <f ca="1">IF($C$4=Lookups!$D$40,SUM(INDIRECT("'Yr1'!"&amp;ADDRESS(ROW(AO25),COLUMN(AO25))),INDIRECT("'Yr2'!"&amp;ADDRESS(ROW(AO25),COLUMN(AO25))),INDIRECT("'Yr3'!"&amp;ADDRESS(ROW(AO25),COLUMN(AO25)))),
IF(AO12=0,0,-PMT(INDEX(Lookups!$E$17:$G$17,MATCH($C$4,Lookups!$E$14:$G$14,0)),AO12,SUMIFS('EE Inputs'!$J$9:$J$32,'EE Inputs'!$C$9:$C$32,$AM$6,'EE Inputs'!$D$9:$D$32,$C$4,'EE Inputs'!$E$9:$E$32,$B25),0,1)))-AO26</f>
        <v>320949.48439528805</v>
      </c>
      <c r="AP25" s="72">
        <f ca="1">IF($C$4=Lookups!$D$40,SUM(INDIRECT("'Yr1'!"&amp;ADDRESS(ROW(AP25),COLUMN(AP25))),INDIRECT("'Yr2'!"&amp;ADDRESS(ROW(AP25),COLUMN(AP25))),INDIRECT("'Yr3'!"&amp;ADDRESS(ROW(AP25),COLUMN(AP25)))),
IF(AP12=0,0,-PMT(INDEX(Lookups!$E$17:$G$17,MATCH($C$4,Lookups!$E$14:$G$14,0)),AP12,SUMIFS('EE Inputs'!$J$9:$J$32,'EE Inputs'!$C$9:$C$32,$AM$6,'EE Inputs'!$D$9:$D$32,$C$4,'EE Inputs'!$E$9:$E$32,$B25),0,1)))-AP26</f>
        <v>320949.48439528805</v>
      </c>
      <c r="AQ25" s="72">
        <f ca="1">IF($C$4=Lookups!$D$40,SUM(INDIRECT("'Yr1'!"&amp;ADDRESS(ROW(AQ25),COLUMN(AQ25))),INDIRECT("'Yr2'!"&amp;ADDRESS(ROW(AQ25),COLUMN(AQ25))),INDIRECT("'Yr3'!"&amp;ADDRESS(ROW(AQ25),COLUMN(AQ25)))),
IF(AQ12=0,0,-PMT(INDEX(Lookups!$E$17:$G$17,MATCH($C$4,Lookups!$E$14:$G$14,0)),AQ12,SUMIFS('EE Inputs'!$J$9:$J$32,'EE Inputs'!$C$9:$C$32,$AM$6,'EE Inputs'!$D$9:$D$32,$C$4,'EE Inputs'!$E$9:$E$32,$B25),0,1)))-AQ26</f>
        <v>320949.48439528805</v>
      </c>
      <c r="AR25" s="72">
        <f ca="1">IF($C$4=Lookups!$D$40,SUM(INDIRECT("'Yr1'!"&amp;ADDRESS(ROW(AR25),COLUMN(AR25))),INDIRECT("'Yr2'!"&amp;ADDRESS(ROW(AR25),COLUMN(AR25))),INDIRECT("'Yr3'!"&amp;ADDRESS(ROW(AR25),COLUMN(AR25)))),
IF(AR12=0,0,-PMT(INDEX(Lookups!$E$17:$G$17,MATCH($C$4,Lookups!$E$14:$G$14,0)),AR12,SUMIFS('EE Inputs'!$J$9:$J$32,'EE Inputs'!$C$9:$C$32,$AM$6,'EE Inputs'!$D$9:$D$32,$C$4,'EE Inputs'!$E$9:$E$32,$B25),0,1)))-AR26</f>
        <v>320949.48439528805</v>
      </c>
      <c r="AS25" s="72">
        <f ca="1">IF($C$4=Lookups!$D$40,SUM(INDIRECT("'Yr1'!"&amp;ADDRESS(ROW(AS25),COLUMN(AS25))),INDIRECT("'Yr2'!"&amp;ADDRESS(ROW(AS25),COLUMN(AS25))),INDIRECT("'Yr3'!"&amp;ADDRESS(ROW(AS25),COLUMN(AS25)))),
IF(AS12=0,0,-PMT(INDEX(Lookups!$E$17:$G$17,MATCH($C$4,Lookups!$E$14:$G$14,0)),AS12,SUMIFS('EE Inputs'!$J$9:$J$32,'EE Inputs'!$C$9:$C$32,$AM$6,'EE Inputs'!$D$9:$D$32,$C$4,'EE Inputs'!$E$9:$E$32,$B25),0,1)))-AS26</f>
        <v>320949.48439528805</v>
      </c>
      <c r="AT25" s="72">
        <f ca="1">IF($C$4=Lookups!$D$40,SUM(INDIRECT("'Yr1'!"&amp;ADDRESS(ROW(AT25),COLUMN(AT25))),INDIRECT("'Yr2'!"&amp;ADDRESS(ROW(AT25),COLUMN(AT25))),INDIRECT("'Yr3'!"&amp;ADDRESS(ROW(AT25),COLUMN(AT25)))),
IF(AT12=0,0,-PMT(INDEX(Lookups!$E$17:$G$17,MATCH($C$4,Lookups!$E$14:$G$14,0)),AT12,SUMIFS('EE Inputs'!$J$9:$J$32,'EE Inputs'!$C$9:$C$32,$AM$6,'EE Inputs'!$D$9:$D$32,$C$4,'EE Inputs'!$E$9:$E$32,$B25),0,1)))-AT26</f>
        <v>320949.48439528805</v>
      </c>
      <c r="AU25" s="72">
        <f ca="1">IF($C$4=Lookups!$D$40,SUM(INDIRECT("'Yr1'!"&amp;ADDRESS(ROW(AU25),COLUMN(AU25))),INDIRECT("'Yr2'!"&amp;ADDRESS(ROW(AU25),COLUMN(AU25))),INDIRECT("'Yr3'!"&amp;ADDRESS(ROW(AU25),COLUMN(AU25)))),
IF(AU12=0,0,-PMT(INDEX(Lookups!$E$17:$G$17,MATCH($C$4,Lookups!$E$14:$G$14,0)),AU12,SUMIFS('EE Inputs'!$J$9:$J$32,'EE Inputs'!$C$9:$C$32,$AM$6,'EE Inputs'!$D$9:$D$32,$C$4,'EE Inputs'!$E$9:$E$32,$B25),0,1)))-AU26</f>
        <v>320949.48439528805</v>
      </c>
      <c r="AV25" s="72">
        <f ca="1">IF($C$4=Lookups!$D$40,SUM(INDIRECT("'Yr1'!"&amp;ADDRESS(ROW(AV25),COLUMN(AV25))),INDIRECT("'Yr2'!"&amp;ADDRESS(ROW(AV25),COLUMN(AV25))),INDIRECT("'Yr3'!"&amp;ADDRESS(ROW(AV25),COLUMN(AV25)))),
IF(AV12=0,0,-PMT(INDEX(Lookups!$E$17:$G$17,MATCH($C$4,Lookups!$E$14:$G$14,0)),AV12,SUMIFS('EE Inputs'!$J$9:$J$32,'EE Inputs'!$C$9:$C$32,$AM$6,'EE Inputs'!$D$9:$D$32,$C$4,'EE Inputs'!$E$9:$E$32,$B25),0,1)))-AV26</f>
        <v>320949.48439528805</v>
      </c>
      <c r="AW25" s="72">
        <f ca="1">IF($C$4=Lookups!$D$40,SUM(INDIRECT("'Yr1'!"&amp;ADDRESS(ROW(AW25),COLUMN(AW25))),INDIRECT("'Yr2'!"&amp;ADDRESS(ROW(AW25),COLUMN(AW25))),INDIRECT("'Yr3'!"&amp;ADDRESS(ROW(AW25),COLUMN(AW25)))),
IF(AW12=0,0,-PMT(INDEX(Lookups!$E$17:$G$17,MATCH($C$4,Lookups!$E$14:$G$14,0)),AW12,SUMIFS('EE Inputs'!$J$9:$J$32,'EE Inputs'!$C$9:$C$32,$AM$6,'EE Inputs'!$D$9:$D$32,$C$4,'EE Inputs'!$E$9:$E$32,$B25),0,1)))-AW26</f>
        <v>320949.48439528805</v>
      </c>
      <c r="AX25" s="72">
        <f ca="1">IF($C$4=Lookups!$D$40,SUM(INDIRECT("'Yr1'!"&amp;ADDRESS(ROW(AX25),COLUMN(AX25))),INDIRECT("'Yr2'!"&amp;ADDRESS(ROW(AX25),COLUMN(AX25))),INDIRECT("'Yr3'!"&amp;ADDRESS(ROW(AX25),COLUMN(AX25)))),
IF(AX12=0,0,-PMT(INDEX(Lookups!$E$17:$G$17,MATCH($C$4,Lookups!$E$14:$G$14,0)),AX12,SUMIFS('EE Inputs'!$J$9:$J$32,'EE Inputs'!$C$9:$C$32,$AM$6,'EE Inputs'!$D$9:$D$32,$C$4,'EE Inputs'!$E$9:$E$32,$B25),0,1)))-AX26</f>
        <v>320949.48439528805</v>
      </c>
      <c r="AY25" s="72">
        <f ca="1">IF($C$4=Lookups!$D$40,SUM(INDIRECT("'Yr1'!"&amp;ADDRESS(ROW(AY25),COLUMN(AY25))),INDIRECT("'Yr2'!"&amp;ADDRESS(ROW(AY25),COLUMN(AY25))),INDIRECT("'Yr3'!"&amp;ADDRESS(ROW(AY25),COLUMN(AY25)))),
IF(AY12=0,0,-PMT(INDEX(Lookups!$E$17:$G$17,MATCH($C$4,Lookups!$E$14:$G$14,0)),AY12,SUMIFS('EE Inputs'!$J$9:$J$32,'EE Inputs'!$C$9:$C$32,$AM$6,'EE Inputs'!$D$9:$D$32,$C$4,'EE Inputs'!$E$9:$E$32,$B25),0,1)))-AY26</f>
        <v>320949.48439528805</v>
      </c>
      <c r="AZ25" s="72">
        <f ca="1">IF($C$4=Lookups!$D$40,SUM(INDIRECT("'Yr1'!"&amp;ADDRESS(ROW(AZ25),COLUMN(AZ25))),INDIRECT("'Yr2'!"&amp;ADDRESS(ROW(AZ25),COLUMN(AZ25))),INDIRECT("'Yr3'!"&amp;ADDRESS(ROW(AZ25),COLUMN(AZ25)))),
IF(AZ12=0,0,-PMT(INDEX(Lookups!$E$17:$G$17,MATCH($C$4,Lookups!$E$14:$G$14,0)),AZ12,SUMIFS('EE Inputs'!$J$9:$J$32,'EE Inputs'!$C$9:$C$32,$AM$6,'EE Inputs'!$D$9:$D$32,$C$4,'EE Inputs'!$E$9:$E$32,$B25),0,1)))-AZ26</f>
        <v>320949.48439528805</v>
      </c>
      <c r="BA25" s="72">
        <f ca="1">IF($C$4=Lookups!$D$40,SUM(INDIRECT("'Yr1'!"&amp;ADDRESS(ROW(BA25),COLUMN(BA25))),INDIRECT("'Yr2'!"&amp;ADDRESS(ROW(BA25),COLUMN(BA25))),INDIRECT("'Yr3'!"&amp;ADDRESS(ROW(BA25),COLUMN(BA25)))),
IF(BA12=0,0,-PMT(INDEX(Lookups!$E$17:$G$17,MATCH($C$4,Lookups!$E$14:$G$14,0)),BA12,SUMIFS('EE Inputs'!$J$9:$J$32,'EE Inputs'!$C$9:$C$32,$AM$6,'EE Inputs'!$D$9:$D$32,$C$4,'EE Inputs'!$E$9:$E$32,$B25),0,1)))-BA26</f>
        <v>320949.48439528805</v>
      </c>
      <c r="BB25" s="72">
        <f ca="1">IF($C$4=Lookups!$D$40,SUM(INDIRECT("'Yr1'!"&amp;ADDRESS(ROW(BB25),COLUMN(BB25))),INDIRECT("'Yr2'!"&amp;ADDRESS(ROW(BB25),COLUMN(BB25))),INDIRECT("'Yr3'!"&amp;ADDRESS(ROW(BB25),COLUMN(BB25)))),
IF(BB12=0,0,-PMT(INDEX(Lookups!$E$17:$G$17,MATCH($C$4,Lookups!$E$14:$G$14,0)),BB12,SUMIFS('EE Inputs'!$J$9:$J$32,'EE Inputs'!$C$9:$C$32,$AM$6,'EE Inputs'!$D$9:$D$32,$C$4,'EE Inputs'!$E$9:$E$32,$B25),0,1)))-BB26</f>
        <v>320949.48439528805</v>
      </c>
      <c r="BC25" s="72">
        <f ca="1">IF($C$4=Lookups!$D$40,SUM(INDIRECT("'Yr1'!"&amp;ADDRESS(ROW(BC25),COLUMN(BC25))),INDIRECT("'Yr2'!"&amp;ADDRESS(ROW(BC25),COLUMN(BC25))),INDIRECT("'Yr3'!"&amp;ADDRESS(ROW(BC25),COLUMN(BC25)))),
IF(BC12=0,0,-PMT(INDEX(Lookups!$E$17:$G$17,MATCH($C$4,Lookups!$E$14:$G$14,0)),BC12,SUMIFS('EE Inputs'!$J$9:$J$32,'EE Inputs'!$C$9:$C$32,$AM$6,'EE Inputs'!$D$9:$D$32,$C$4,'EE Inputs'!$E$9:$E$32,$B25),0,1)))-BC26</f>
        <v>0</v>
      </c>
      <c r="BD25" s="72">
        <f ca="1">IF($C$4=Lookups!$D$40,SUM(INDIRECT("'Yr1'!"&amp;ADDRESS(ROW(BD25),COLUMN(BD25))),INDIRECT("'Yr2'!"&amp;ADDRESS(ROW(BD25),COLUMN(BD25))),INDIRECT("'Yr3'!"&amp;ADDRESS(ROW(BD25),COLUMN(BD25)))),
IF(BD12=0,0,-PMT(INDEX(Lookups!$E$17:$G$17,MATCH($C$4,Lookups!$E$14:$G$14,0)),BD12,SUMIFS('EE Inputs'!$J$9:$J$32,'EE Inputs'!$C$9:$C$32,$AM$6,'EE Inputs'!$D$9:$D$32,$C$4,'EE Inputs'!$E$9:$E$32,$B25),0,1)))-BD26</f>
        <v>0</v>
      </c>
      <c r="BE25" s="72">
        <f ca="1">IF($C$4=Lookups!$D$40,SUM(INDIRECT("'Yr1'!"&amp;ADDRESS(ROW(BE25),COLUMN(BE25))),INDIRECT("'Yr2'!"&amp;ADDRESS(ROW(BE25),COLUMN(BE25))),INDIRECT("'Yr3'!"&amp;ADDRESS(ROW(BE25),COLUMN(BE25)))),
IF(BE12=0,0,-PMT(INDEX(Lookups!$E$17:$G$17,MATCH($C$4,Lookups!$E$14:$G$14,0)),BE12,SUMIFS('EE Inputs'!$J$9:$J$32,'EE Inputs'!$C$9:$C$32,$AM$6,'EE Inputs'!$D$9:$D$32,$C$4,'EE Inputs'!$E$9:$E$32,$B25),0,1)))-BE26</f>
        <v>0</v>
      </c>
      <c r="BF25" s="72">
        <f ca="1">IF($C$4=Lookups!$D$40,SUM(INDIRECT("'Yr1'!"&amp;ADDRESS(ROW(BF25),COLUMN(BF25))),INDIRECT("'Yr2'!"&amp;ADDRESS(ROW(BF25),COLUMN(BF25))),INDIRECT("'Yr3'!"&amp;ADDRESS(ROW(BF25),COLUMN(BF25)))),
IF(BF12=0,0,-PMT(INDEX(Lookups!$E$17:$G$17,MATCH($C$4,Lookups!$E$14:$G$14,0)),BF12,SUMIFS('EE Inputs'!$J$9:$J$32,'EE Inputs'!$C$9:$C$32,$AM$6,'EE Inputs'!$D$9:$D$32,$C$4,'EE Inputs'!$E$9:$E$32,$B25),0,1)))-BF26</f>
        <v>0</v>
      </c>
      <c r="BG25" s="72">
        <f ca="1">IF($C$4=Lookups!$D$40,SUM(INDIRECT("'Yr1'!"&amp;ADDRESS(ROW(BG25),COLUMN(BG25))),INDIRECT("'Yr2'!"&amp;ADDRESS(ROW(BG25),COLUMN(BG25))),INDIRECT("'Yr3'!"&amp;ADDRESS(ROW(BG25),COLUMN(BG25)))),
IF(BG12=0,0,-PMT(INDEX(Lookups!$E$17:$G$17,MATCH($C$4,Lookups!$E$14:$G$14,0)),BG12,SUMIFS('EE Inputs'!$J$9:$J$32,'EE Inputs'!$C$9:$C$32,$AM$6,'EE Inputs'!$D$9:$D$32,$C$4,'EE Inputs'!$E$9:$E$32,$B25),0,1)))-BG26</f>
        <v>0</v>
      </c>
      <c r="BH25" s="72">
        <f ca="1">IF($C$4=Lookups!$D$40,SUM(INDIRECT("'Yr1'!"&amp;ADDRESS(ROW(BH25),COLUMN(BH25))),INDIRECT("'Yr2'!"&amp;ADDRESS(ROW(BH25),COLUMN(BH25))),INDIRECT("'Yr3'!"&amp;ADDRESS(ROW(BH25),COLUMN(BH25)))),
IF(BH12=0,0,-PMT(INDEX(Lookups!$E$17:$G$17,MATCH($C$4,Lookups!$E$14:$G$14,0)),BH12,SUMIFS('EE Inputs'!$J$9:$J$32,'EE Inputs'!$C$9:$C$32,$AM$6,'EE Inputs'!$D$9:$D$32,$C$4,'EE Inputs'!$E$9:$E$32,$B25),0,1)))-BH26</f>
        <v>0</v>
      </c>
      <c r="BI25" s="72">
        <f ca="1">IF($C$4=Lookups!$D$40,SUM(INDIRECT("'Yr1'!"&amp;ADDRESS(ROW(BI25),COLUMN(BI25))),INDIRECT("'Yr2'!"&amp;ADDRESS(ROW(BI25),COLUMN(BI25))),INDIRECT("'Yr3'!"&amp;ADDRESS(ROW(BI25),COLUMN(BI25)))),
IF(BI12=0,0,-PMT(INDEX(Lookups!$E$17:$G$17,MATCH($C$4,Lookups!$E$14:$G$14,0)),BI12,SUMIFS('EE Inputs'!$J$9:$J$32,'EE Inputs'!$C$9:$C$32,$AM$6,'EE Inputs'!$D$9:$D$32,$C$4,'EE Inputs'!$E$9:$E$32,$B25),0,1)))-BI26</f>
        <v>0</v>
      </c>
      <c r="BJ25" s="72">
        <f ca="1">IF($C$4=Lookups!$D$40,SUM(INDIRECT("'Yr1'!"&amp;ADDRESS(ROW(BJ25),COLUMN(BJ25))),INDIRECT("'Yr2'!"&amp;ADDRESS(ROW(BJ25),COLUMN(BJ25))),INDIRECT("'Yr3'!"&amp;ADDRESS(ROW(BJ25),COLUMN(BJ25)))),
IF(BJ12=0,0,-PMT(INDEX(Lookups!$E$17:$G$17,MATCH($C$4,Lookups!$E$14:$G$14,0)),BJ12,SUMIFS('EE Inputs'!$J$9:$J$32,'EE Inputs'!$C$9:$C$32,$AM$6,'EE Inputs'!$D$9:$D$32,$C$4,'EE Inputs'!$E$9:$E$32,$B25),0,1)))-BJ26</f>
        <v>0</v>
      </c>
      <c r="BK25" s="72">
        <f ca="1">IF($C$4=Lookups!$D$40,SUM(INDIRECT("'Yr1'!"&amp;ADDRESS(ROW(BK25),COLUMN(BK25))),INDIRECT("'Yr2'!"&amp;ADDRESS(ROW(BK25),COLUMN(BK25))),INDIRECT("'Yr3'!"&amp;ADDRESS(ROW(BK25),COLUMN(BK25)))),
IF(BK12=0,0,-PMT(INDEX(Lookups!$E$17:$G$17,MATCH($C$4,Lookups!$E$14:$G$14,0)),BK12,SUMIFS('EE Inputs'!$J$9:$J$32,'EE Inputs'!$C$9:$C$32,$AM$6,'EE Inputs'!$D$9:$D$32,$C$4,'EE Inputs'!$E$9:$E$32,$B25),0,1)))-BK26</f>
        <v>0</v>
      </c>
      <c r="BL25" s="72">
        <f ca="1">IF($C$4=Lookups!$D$40,SUM(INDIRECT("'Yr1'!"&amp;ADDRESS(ROW(BL25),COLUMN(BL25))),INDIRECT("'Yr2'!"&amp;ADDRESS(ROW(BL25),COLUMN(BL25))),INDIRECT("'Yr3'!"&amp;ADDRESS(ROW(BL25),COLUMN(BL25)))),
IF(BL12=0,0,-PMT(INDEX(Lookups!$E$17:$G$17,MATCH($C$4,Lookups!$E$14:$G$14,0)),BL12,SUMIFS('EE Inputs'!$J$9:$J$32,'EE Inputs'!$C$9:$C$32,$AM$6,'EE Inputs'!$D$9:$D$32,$C$4,'EE Inputs'!$E$9:$E$32,$B25),0,1)))-BL26</f>
        <v>0</v>
      </c>
      <c r="BM25" s="72">
        <f ca="1">IF($C$4=Lookups!$D$40,SUM(INDIRECT("'Yr1'!"&amp;ADDRESS(ROW(BM25),COLUMN(BM25))),INDIRECT("'Yr2'!"&amp;ADDRESS(ROW(BM25),COLUMN(BM25))),INDIRECT("'Yr3'!"&amp;ADDRESS(ROW(BM25),COLUMN(BM25)))),
IF(BM12=0,0,-PMT(INDEX(Lookups!$E$17:$G$17,MATCH($C$4,Lookups!$E$14:$G$14,0)),BM12,SUMIFS('EE Inputs'!$J$9:$J$32,'EE Inputs'!$C$9:$C$32,$AM$6,'EE Inputs'!$D$9:$D$32,$C$4,'EE Inputs'!$E$9:$E$32,$B25),0,1)))-BM26</f>
        <v>0</v>
      </c>
      <c r="BN25" s="72"/>
      <c r="BO25" s="72">
        <f ca="1">NPV(Lookups!$E$17,AM25:BM25)</f>
        <v>4250407.9203834264</v>
      </c>
      <c r="BP25" s="72"/>
      <c r="BS25" s="84" t="str">
        <f>"Avoided "&amp;E25&amp;" costs, less the retail margin."</f>
        <v>Avoided Gas costs, less the retail margin.</v>
      </c>
      <c r="BT25" s="51" t="s">
        <v>17</v>
      </c>
    </row>
    <row r="26" spans="1:72" x14ac:dyDescent="0.25">
      <c r="A26" s="246"/>
      <c r="B26" s="243" t="str">
        <f t="shared" si="4"/>
        <v>Residential</v>
      </c>
      <c r="C26" s="243" t="str">
        <f t="shared" si="4"/>
        <v>Revenue Requirements</v>
      </c>
      <c r="D26" s="244" t="str">
        <f>D25</f>
        <v>Avoided Costs</v>
      </c>
      <c r="E26" s="84" t="s">
        <v>412</v>
      </c>
      <c r="F26" s="84" t="s">
        <v>32</v>
      </c>
      <c r="G26" s="65">
        <f ca="1">IF($C$4=Lookups!$D$40,SUM(INDIRECT("'Yr1'!"&amp;ADDRESS(ROW(G26),COLUMN(G26))),INDIRECT("'Yr2'!"&amp;ADDRESS(ROW(G26),COLUMN(G26))),INDIRECT("'Yr3'!"&amp;ADDRESS(ROW(G26),COLUMN(G26)))),
IF(G12=0,0,-PMT(INDEX(Lookups!$E$17:$G$17,MATCH($C$4,Lookups!$E$14:$G$14,0)),G12,SUMIFS('EE Inputs'!$W$9:$W$32,'EE Inputs'!$C$9:$C$32,$G$6,'EE Inputs'!$D$9:$D$32,$C$4,'EE Inputs'!$E$9:$E$32,$B26),0,1)))</f>
        <v>0</v>
      </c>
      <c r="H26" s="65">
        <f ca="1">IF($C$4=Lookups!$D$40,SUM(INDIRECT("'Yr1'!"&amp;ADDRESS(ROW(H26),COLUMN(H26))),INDIRECT("'Yr2'!"&amp;ADDRESS(ROW(H26),COLUMN(H26))),INDIRECT("'Yr3'!"&amp;ADDRESS(ROW(H26),COLUMN(H26)))),
IF(H12=0,0,-PMT(INDEX(Lookups!$E$17:$G$17,MATCH($C$4,Lookups!$E$14:$G$14,0)),H12,SUMIFS('EE Inputs'!$W$9:$W$32,'EE Inputs'!$C$9:$C$32,$G$6,'EE Inputs'!$D$9:$D$32,$C$4,'EE Inputs'!$E$9:$E$32,$B26),0,1)))</f>
        <v>17925.370139098537</v>
      </c>
      <c r="I26" s="65">
        <f ca="1">IF($C$4=Lookups!$D$40,SUM(INDIRECT("'Yr1'!"&amp;ADDRESS(ROW(I26),COLUMN(I26))),INDIRECT("'Yr2'!"&amp;ADDRESS(ROW(I26),COLUMN(I26))),INDIRECT("'Yr3'!"&amp;ADDRESS(ROW(I26),COLUMN(I26)))),
IF(I12=0,0,-PMT(INDEX(Lookups!$E$17:$G$17,MATCH($C$4,Lookups!$E$14:$G$14,0)),I12,SUMIFS('EE Inputs'!$W$9:$W$32,'EE Inputs'!$C$9:$C$32,$G$6,'EE Inputs'!$D$9:$D$32,$C$4,'EE Inputs'!$E$9:$E$32,$B26),0,1)))</f>
        <v>17925.370139098537</v>
      </c>
      <c r="J26" s="65">
        <f ca="1">IF($C$4=Lookups!$D$40,SUM(INDIRECT("'Yr1'!"&amp;ADDRESS(ROW(J26),COLUMN(J26))),INDIRECT("'Yr2'!"&amp;ADDRESS(ROW(J26),COLUMN(J26))),INDIRECT("'Yr3'!"&amp;ADDRESS(ROW(J26),COLUMN(J26)))),
IF(J12=0,0,-PMT(INDEX(Lookups!$E$17:$G$17,MATCH($C$4,Lookups!$E$14:$G$14,0)),J12,SUMIFS('EE Inputs'!$W$9:$W$32,'EE Inputs'!$C$9:$C$32,$G$6,'EE Inputs'!$D$9:$D$32,$C$4,'EE Inputs'!$E$9:$E$32,$B26),0,1)))</f>
        <v>17925.370139098537</v>
      </c>
      <c r="K26" s="65">
        <f ca="1">IF($C$4=Lookups!$D$40,SUM(INDIRECT("'Yr1'!"&amp;ADDRESS(ROW(K26),COLUMN(K26))),INDIRECT("'Yr2'!"&amp;ADDRESS(ROW(K26),COLUMN(K26))),INDIRECT("'Yr3'!"&amp;ADDRESS(ROW(K26),COLUMN(K26)))),
IF(K12=0,0,-PMT(INDEX(Lookups!$E$17:$G$17,MATCH($C$4,Lookups!$E$14:$G$14,0)),K12,SUMIFS('EE Inputs'!$W$9:$W$32,'EE Inputs'!$C$9:$C$32,$G$6,'EE Inputs'!$D$9:$D$32,$C$4,'EE Inputs'!$E$9:$E$32,$B26),0,1)))</f>
        <v>17925.370139098537</v>
      </c>
      <c r="L26" s="65">
        <f ca="1">IF($C$4=Lookups!$D$40,SUM(INDIRECT("'Yr1'!"&amp;ADDRESS(ROW(L26),COLUMN(L26))),INDIRECT("'Yr2'!"&amp;ADDRESS(ROW(L26),COLUMN(L26))),INDIRECT("'Yr3'!"&amp;ADDRESS(ROW(L26),COLUMN(L26)))),
IF(L12=0,0,-PMT(INDEX(Lookups!$E$17:$G$17,MATCH($C$4,Lookups!$E$14:$G$14,0)),L12,SUMIFS('EE Inputs'!$W$9:$W$32,'EE Inputs'!$C$9:$C$32,$G$6,'EE Inputs'!$D$9:$D$32,$C$4,'EE Inputs'!$E$9:$E$32,$B26),0,1)))</f>
        <v>17925.370139098537</v>
      </c>
      <c r="M26" s="65">
        <f ca="1">IF($C$4=Lookups!$D$40,SUM(INDIRECT("'Yr1'!"&amp;ADDRESS(ROW(M26),COLUMN(M26))),INDIRECT("'Yr2'!"&amp;ADDRESS(ROW(M26),COLUMN(M26))),INDIRECT("'Yr3'!"&amp;ADDRESS(ROW(M26),COLUMN(M26)))),
IF(M12=0,0,-PMT(INDEX(Lookups!$E$17:$G$17,MATCH($C$4,Lookups!$E$14:$G$14,0)),M12,SUMIFS('EE Inputs'!$W$9:$W$32,'EE Inputs'!$C$9:$C$32,$G$6,'EE Inputs'!$D$9:$D$32,$C$4,'EE Inputs'!$E$9:$E$32,$B26),0,1)))</f>
        <v>17925.370139098537</v>
      </c>
      <c r="N26" s="65">
        <f ca="1">IF($C$4=Lookups!$D$40,SUM(INDIRECT("'Yr1'!"&amp;ADDRESS(ROW(N26),COLUMN(N26))),INDIRECT("'Yr2'!"&amp;ADDRESS(ROW(N26),COLUMN(N26))),INDIRECT("'Yr3'!"&amp;ADDRESS(ROW(N26),COLUMN(N26)))),
IF(N12=0,0,-PMT(INDEX(Lookups!$E$17:$G$17,MATCH($C$4,Lookups!$E$14:$G$14,0)),N12,SUMIFS('EE Inputs'!$W$9:$W$32,'EE Inputs'!$C$9:$C$32,$G$6,'EE Inputs'!$D$9:$D$32,$C$4,'EE Inputs'!$E$9:$E$32,$B26),0,1)))</f>
        <v>17925.370139098537</v>
      </c>
      <c r="O26" s="65">
        <f ca="1">IF($C$4=Lookups!$D$40,SUM(INDIRECT("'Yr1'!"&amp;ADDRESS(ROW(O26),COLUMN(O26))),INDIRECT("'Yr2'!"&amp;ADDRESS(ROW(O26),COLUMN(O26))),INDIRECT("'Yr3'!"&amp;ADDRESS(ROW(O26),COLUMN(O26)))),
IF(O12=0,0,-PMT(INDEX(Lookups!$E$17:$G$17,MATCH($C$4,Lookups!$E$14:$G$14,0)),O12,SUMIFS('EE Inputs'!$W$9:$W$32,'EE Inputs'!$C$9:$C$32,$G$6,'EE Inputs'!$D$9:$D$32,$C$4,'EE Inputs'!$E$9:$E$32,$B26),0,1)))</f>
        <v>17925.370139098537</v>
      </c>
      <c r="P26" s="65">
        <f ca="1">IF($C$4=Lookups!$D$40,SUM(INDIRECT("'Yr1'!"&amp;ADDRESS(ROW(P26),COLUMN(P26))),INDIRECT("'Yr2'!"&amp;ADDRESS(ROW(P26),COLUMN(P26))),INDIRECT("'Yr3'!"&amp;ADDRESS(ROW(P26),COLUMN(P26)))),
IF(P12=0,0,-PMT(INDEX(Lookups!$E$17:$G$17,MATCH($C$4,Lookups!$E$14:$G$14,0)),P12,SUMIFS('EE Inputs'!$W$9:$W$32,'EE Inputs'!$C$9:$C$32,$G$6,'EE Inputs'!$D$9:$D$32,$C$4,'EE Inputs'!$E$9:$E$32,$B26),0,1)))</f>
        <v>17925.370139098537</v>
      </c>
      <c r="Q26" s="65">
        <f ca="1">IF($C$4=Lookups!$D$40,SUM(INDIRECT("'Yr1'!"&amp;ADDRESS(ROW(Q26),COLUMN(Q26))),INDIRECT("'Yr2'!"&amp;ADDRESS(ROW(Q26),COLUMN(Q26))),INDIRECT("'Yr3'!"&amp;ADDRESS(ROW(Q26),COLUMN(Q26)))),
IF(Q12=0,0,-PMT(INDEX(Lookups!$E$17:$G$17,MATCH($C$4,Lookups!$E$14:$G$14,0)),Q12,SUMIFS('EE Inputs'!$W$9:$W$32,'EE Inputs'!$C$9:$C$32,$G$6,'EE Inputs'!$D$9:$D$32,$C$4,'EE Inputs'!$E$9:$E$32,$B26),0,1)))</f>
        <v>17925.370139098537</v>
      </c>
      <c r="R26" s="65">
        <f ca="1">IF($C$4=Lookups!$D$40,SUM(INDIRECT("'Yr1'!"&amp;ADDRESS(ROW(R26),COLUMN(R26))),INDIRECT("'Yr2'!"&amp;ADDRESS(ROW(R26),COLUMN(R26))),INDIRECT("'Yr3'!"&amp;ADDRESS(ROW(R26),COLUMN(R26)))),
IF(R12=0,0,-PMT(INDEX(Lookups!$E$17:$G$17,MATCH($C$4,Lookups!$E$14:$G$14,0)),R12,SUMIFS('EE Inputs'!$W$9:$W$32,'EE Inputs'!$C$9:$C$32,$G$6,'EE Inputs'!$D$9:$D$32,$C$4,'EE Inputs'!$E$9:$E$32,$B26),0,1)))</f>
        <v>17925.370139098537</v>
      </c>
      <c r="S26" s="65">
        <f ca="1">IF($C$4=Lookups!$D$40,SUM(INDIRECT("'Yr1'!"&amp;ADDRESS(ROW(S26),COLUMN(S26))),INDIRECT("'Yr2'!"&amp;ADDRESS(ROW(S26),COLUMN(S26))),INDIRECT("'Yr3'!"&amp;ADDRESS(ROW(S26),COLUMN(S26)))),
IF(S12=0,0,-PMT(INDEX(Lookups!$E$17:$G$17,MATCH($C$4,Lookups!$E$14:$G$14,0)),S12,SUMIFS('EE Inputs'!$W$9:$W$32,'EE Inputs'!$C$9:$C$32,$G$6,'EE Inputs'!$D$9:$D$32,$C$4,'EE Inputs'!$E$9:$E$32,$B26),0,1)))</f>
        <v>17925.370139098537</v>
      </c>
      <c r="T26" s="65">
        <f ca="1">IF($C$4=Lookups!$D$40,SUM(INDIRECT("'Yr1'!"&amp;ADDRESS(ROW(T26),COLUMN(T26))),INDIRECT("'Yr2'!"&amp;ADDRESS(ROW(T26),COLUMN(T26))),INDIRECT("'Yr3'!"&amp;ADDRESS(ROW(T26),COLUMN(T26)))),
IF(T12=0,0,-PMT(INDEX(Lookups!$E$17:$G$17,MATCH($C$4,Lookups!$E$14:$G$14,0)),T12,SUMIFS('EE Inputs'!$W$9:$W$32,'EE Inputs'!$C$9:$C$32,$G$6,'EE Inputs'!$D$9:$D$32,$C$4,'EE Inputs'!$E$9:$E$32,$B26),0,1)))</f>
        <v>17925.370139098537</v>
      </c>
      <c r="U26" s="65">
        <f ca="1">IF($C$4=Lookups!$D$40,SUM(INDIRECT("'Yr1'!"&amp;ADDRESS(ROW(U26),COLUMN(U26))),INDIRECT("'Yr2'!"&amp;ADDRESS(ROW(U26),COLUMN(U26))),INDIRECT("'Yr3'!"&amp;ADDRESS(ROW(U26),COLUMN(U26)))),
IF(U12=0,0,-PMT(INDEX(Lookups!$E$17:$G$17,MATCH($C$4,Lookups!$E$14:$G$14,0)),U12,SUMIFS('EE Inputs'!$W$9:$W$32,'EE Inputs'!$C$9:$C$32,$G$6,'EE Inputs'!$D$9:$D$32,$C$4,'EE Inputs'!$E$9:$E$32,$B26),0,1)))</f>
        <v>17925.370139098537</v>
      </c>
      <c r="V26" s="65">
        <f ca="1">IF($C$4=Lookups!$D$40,SUM(INDIRECT("'Yr1'!"&amp;ADDRESS(ROW(V26),COLUMN(V26))),INDIRECT("'Yr2'!"&amp;ADDRESS(ROW(V26),COLUMN(V26))),INDIRECT("'Yr3'!"&amp;ADDRESS(ROW(V26),COLUMN(V26)))),
IF(V12=0,0,-PMT(INDEX(Lookups!$E$17:$G$17,MATCH($C$4,Lookups!$E$14:$G$14,0)),V12,SUMIFS('EE Inputs'!$W$9:$W$32,'EE Inputs'!$C$9:$C$32,$G$6,'EE Inputs'!$D$9:$D$32,$C$4,'EE Inputs'!$E$9:$E$32,$B26),0,1)))</f>
        <v>17925.370139098537</v>
      </c>
      <c r="W26" s="65">
        <f ca="1">IF($C$4=Lookups!$D$40,SUM(INDIRECT("'Yr1'!"&amp;ADDRESS(ROW(W26),COLUMN(W26))),INDIRECT("'Yr2'!"&amp;ADDRESS(ROW(W26),COLUMN(W26))),INDIRECT("'Yr3'!"&amp;ADDRESS(ROW(W26),COLUMN(W26)))),
IF(W12=0,0,-PMT(INDEX(Lookups!$E$17:$G$17,MATCH($C$4,Lookups!$E$14:$G$14,0)),W12,SUMIFS('EE Inputs'!$W$9:$W$32,'EE Inputs'!$C$9:$C$32,$G$6,'EE Inputs'!$D$9:$D$32,$C$4,'EE Inputs'!$E$9:$E$32,$B26),0,1)))</f>
        <v>0</v>
      </c>
      <c r="X26" s="65">
        <f ca="1">IF($C$4=Lookups!$D$40,SUM(INDIRECT("'Yr1'!"&amp;ADDRESS(ROW(X26),COLUMN(X26))),INDIRECT("'Yr2'!"&amp;ADDRESS(ROW(X26),COLUMN(X26))),INDIRECT("'Yr3'!"&amp;ADDRESS(ROW(X26),COLUMN(X26)))),
IF(X12=0,0,-PMT(INDEX(Lookups!$E$17:$G$17,MATCH($C$4,Lookups!$E$14:$G$14,0)),X12,SUMIFS('EE Inputs'!$W$9:$W$32,'EE Inputs'!$C$9:$C$32,$G$6,'EE Inputs'!$D$9:$D$32,$C$4,'EE Inputs'!$E$9:$E$32,$B26),0,1)))</f>
        <v>0</v>
      </c>
      <c r="Y26" s="65">
        <f ca="1">IF($C$4=Lookups!$D$40,SUM(INDIRECT("'Yr1'!"&amp;ADDRESS(ROW(Y26),COLUMN(Y26))),INDIRECT("'Yr2'!"&amp;ADDRESS(ROW(Y26),COLUMN(Y26))),INDIRECT("'Yr3'!"&amp;ADDRESS(ROW(Y26),COLUMN(Y26)))),
IF(Y12=0,0,-PMT(INDEX(Lookups!$E$17:$G$17,MATCH($C$4,Lookups!$E$14:$G$14,0)),Y12,SUMIFS('EE Inputs'!$W$9:$W$32,'EE Inputs'!$C$9:$C$32,$G$6,'EE Inputs'!$D$9:$D$32,$C$4,'EE Inputs'!$E$9:$E$32,$B26),0,1)))</f>
        <v>0</v>
      </c>
      <c r="Z26" s="65">
        <f ca="1">IF($C$4=Lookups!$D$40,SUM(INDIRECT("'Yr1'!"&amp;ADDRESS(ROW(Z26),COLUMN(Z26))),INDIRECT("'Yr2'!"&amp;ADDRESS(ROW(Z26),COLUMN(Z26))),INDIRECT("'Yr3'!"&amp;ADDRESS(ROW(Z26),COLUMN(Z26)))),
IF(Z12=0,0,-PMT(INDEX(Lookups!$E$17:$G$17,MATCH($C$4,Lookups!$E$14:$G$14,0)),Z12,SUMIFS('EE Inputs'!$W$9:$W$32,'EE Inputs'!$C$9:$C$32,$G$6,'EE Inputs'!$D$9:$D$32,$C$4,'EE Inputs'!$E$9:$E$32,$B26),0,1)))</f>
        <v>0</v>
      </c>
      <c r="AA26" s="65">
        <f ca="1">IF($C$4=Lookups!$D$40,SUM(INDIRECT("'Yr1'!"&amp;ADDRESS(ROW(AA26),COLUMN(AA26))),INDIRECT("'Yr2'!"&amp;ADDRESS(ROW(AA26),COLUMN(AA26))),INDIRECT("'Yr3'!"&amp;ADDRESS(ROW(AA26),COLUMN(AA26)))),
IF(AA12=0,0,-PMT(INDEX(Lookups!$E$17:$G$17,MATCH($C$4,Lookups!$E$14:$G$14,0)),AA12,SUMIFS('EE Inputs'!$W$9:$W$32,'EE Inputs'!$C$9:$C$32,$G$6,'EE Inputs'!$D$9:$D$32,$C$4,'EE Inputs'!$E$9:$E$32,$B26),0,1)))</f>
        <v>0</v>
      </c>
      <c r="AB26" s="65">
        <f ca="1">IF($C$4=Lookups!$D$40,SUM(INDIRECT("'Yr1'!"&amp;ADDRESS(ROW(AB26),COLUMN(AB26))),INDIRECT("'Yr2'!"&amp;ADDRESS(ROW(AB26),COLUMN(AB26))),INDIRECT("'Yr3'!"&amp;ADDRESS(ROW(AB26),COLUMN(AB26)))),
IF(AB12=0,0,-PMT(INDEX(Lookups!$E$17:$G$17,MATCH($C$4,Lookups!$E$14:$G$14,0)),AB12,SUMIFS('EE Inputs'!$W$9:$W$32,'EE Inputs'!$C$9:$C$32,$G$6,'EE Inputs'!$D$9:$D$32,$C$4,'EE Inputs'!$E$9:$E$32,$B26),0,1)))</f>
        <v>0</v>
      </c>
      <c r="AC26" s="65">
        <f ca="1">IF($C$4=Lookups!$D$40,SUM(INDIRECT("'Yr1'!"&amp;ADDRESS(ROW(AC26),COLUMN(AC26))),INDIRECT("'Yr2'!"&amp;ADDRESS(ROW(AC26),COLUMN(AC26))),INDIRECT("'Yr3'!"&amp;ADDRESS(ROW(AC26),COLUMN(AC26)))),
IF(AC12=0,0,-PMT(INDEX(Lookups!$E$17:$G$17,MATCH($C$4,Lookups!$E$14:$G$14,0)),AC12,SUMIFS('EE Inputs'!$W$9:$W$32,'EE Inputs'!$C$9:$C$32,$G$6,'EE Inputs'!$D$9:$D$32,$C$4,'EE Inputs'!$E$9:$E$32,$B26),0,1)))</f>
        <v>0</v>
      </c>
      <c r="AD26" s="65">
        <f ca="1">IF($C$4=Lookups!$D$40,SUM(INDIRECT("'Yr1'!"&amp;ADDRESS(ROW(AD26),COLUMN(AD26))),INDIRECT("'Yr2'!"&amp;ADDRESS(ROW(AD26),COLUMN(AD26))),INDIRECT("'Yr3'!"&amp;ADDRESS(ROW(AD26),COLUMN(AD26)))),
IF(AD12=0,0,-PMT(INDEX(Lookups!$E$17:$G$17,MATCH($C$4,Lookups!$E$14:$G$14,0)),AD12,SUMIFS('EE Inputs'!$W$9:$W$32,'EE Inputs'!$C$9:$C$32,$G$6,'EE Inputs'!$D$9:$D$32,$C$4,'EE Inputs'!$E$9:$E$32,$B26),0,1)))</f>
        <v>0</v>
      </c>
      <c r="AE26" s="65">
        <f ca="1">IF($C$4=Lookups!$D$40,SUM(INDIRECT("'Yr1'!"&amp;ADDRESS(ROW(AE26),COLUMN(AE26))),INDIRECT("'Yr2'!"&amp;ADDRESS(ROW(AE26),COLUMN(AE26))),INDIRECT("'Yr3'!"&amp;ADDRESS(ROW(AE26),COLUMN(AE26)))),
IF(AE12=0,0,-PMT(INDEX(Lookups!$E$17:$G$17,MATCH($C$4,Lookups!$E$14:$G$14,0)),AE12,SUMIFS('EE Inputs'!$W$9:$W$32,'EE Inputs'!$C$9:$C$32,$G$6,'EE Inputs'!$D$9:$D$32,$C$4,'EE Inputs'!$E$9:$E$32,$B26),0,1)))</f>
        <v>0</v>
      </c>
      <c r="AF26" s="65">
        <f ca="1">IF($C$4=Lookups!$D$40,SUM(INDIRECT("'Yr1'!"&amp;ADDRESS(ROW(AF26),COLUMN(AF26))),INDIRECT("'Yr2'!"&amp;ADDRESS(ROW(AF26),COLUMN(AF26))),INDIRECT("'Yr3'!"&amp;ADDRESS(ROW(AF26),COLUMN(AF26)))),
IF(AF12=0,0,-PMT(INDEX(Lookups!$E$17:$G$17,MATCH($C$4,Lookups!$E$14:$G$14,0)),AF12,SUMIFS('EE Inputs'!$W$9:$W$32,'EE Inputs'!$C$9:$C$32,$G$6,'EE Inputs'!$D$9:$D$32,$C$4,'EE Inputs'!$E$9:$E$32,$B26),0,1)))</f>
        <v>0</v>
      </c>
      <c r="AG26" s="65">
        <f ca="1">IF($C$4=Lookups!$D$40,SUM(INDIRECT("'Yr1'!"&amp;ADDRESS(ROW(AG26),COLUMN(AG26))),INDIRECT("'Yr2'!"&amp;ADDRESS(ROW(AG26),COLUMN(AG26))),INDIRECT("'Yr3'!"&amp;ADDRESS(ROW(AG26),COLUMN(AG26)))),
IF(AG12=0,0,-PMT(INDEX(Lookups!$E$17:$G$17,MATCH($C$4,Lookups!$E$14:$G$14,0)),AG12,SUMIFS('EE Inputs'!$W$9:$W$32,'EE Inputs'!$C$9:$C$32,$G$6,'EE Inputs'!$D$9:$D$32,$C$4,'EE Inputs'!$E$9:$E$32,$B26),0,1)))</f>
        <v>0</v>
      </c>
      <c r="AH26" s="65"/>
      <c r="AI26" s="65">
        <f ca="1">NPV(Lookups!$E$17,G26:AG26)</f>
        <v>237389.80406396807</v>
      </c>
      <c r="AJ26" s="65"/>
      <c r="AM26" s="72">
        <f ca="1">IF($C$4=Lookups!$D$40,SUM(INDIRECT("'Yr1'!"&amp;ADDRESS(ROW(AM26),COLUMN(AM26))),INDIRECT("'Yr2'!"&amp;ADDRESS(ROW(AM26),COLUMN(AM26))),INDIRECT("'Yr3'!"&amp;ADDRESS(ROW(AM26),COLUMN(AM26)))),
IF(AM12=0,0,-PMT(INDEX(Lookups!$E$17:$G$17,MATCH($C$4,Lookups!$E$14:$G$14,0)),AM12,SUMIFS('EE Inputs'!$W$9:$W$32,'EE Inputs'!$C$9:$C$32,$AM$6,'EE Inputs'!$D$9:$D$32,$C$4,'EE Inputs'!$E$9:$E$32,$B26),0,1)))</f>
        <v>0</v>
      </c>
      <c r="AN26" s="72">
        <f ca="1">IF($C$4=Lookups!$D$40,SUM(INDIRECT("'Yr1'!"&amp;ADDRESS(ROW(AN26),COLUMN(AN26))),INDIRECT("'Yr2'!"&amp;ADDRESS(ROW(AN26),COLUMN(AN26))),INDIRECT("'Yr3'!"&amp;ADDRESS(ROW(AN26),COLUMN(AN26)))),
IF(AN12=0,0,-PMT(INDEX(Lookups!$E$17:$G$17,MATCH($C$4,Lookups!$E$14:$G$14,0)),AN12,SUMIFS('EE Inputs'!$W$9:$W$32,'EE Inputs'!$C$9:$C$32,$AM$6,'EE Inputs'!$D$9:$D$32,$C$4,'EE Inputs'!$E$9:$E$32,$B26),0,1)))</f>
        <v>20486.137301826897</v>
      </c>
      <c r="AO26" s="72">
        <f ca="1">IF($C$4=Lookups!$D$40,SUM(INDIRECT("'Yr1'!"&amp;ADDRESS(ROW(AO26),COLUMN(AO26))),INDIRECT("'Yr2'!"&amp;ADDRESS(ROW(AO26),COLUMN(AO26))),INDIRECT("'Yr3'!"&amp;ADDRESS(ROW(AO26),COLUMN(AO26)))),
IF(AO12=0,0,-PMT(INDEX(Lookups!$E$17:$G$17,MATCH($C$4,Lookups!$E$14:$G$14,0)),AO12,SUMIFS('EE Inputs'!$W$9:$W$32,'EE Inputs'!$C$9:$C$32,$AM$6,'EE Inputs'!$D$9:$D$32,$C$4,'EE Inputs'!$E$9:$E$32,$B26),0,1)))</f>
        <v>20486.137301826897</v>
      </c>
      <c r="AP26" s="72">
        <f ca="1">IF($C$4=Lookups!$D$40,SUM(INDIRECT("'Yr1'!"&amp;ADDRESS(ROW(AP26),COLUMN(AP26))),INDIRECT("'Yr2'!"&amp;ADDRESS(ROW(AP26),COLUMN(AP26))),INDIRECT("'Yr3'!"&amp;ADDRESS(ROW(AP26),COLUMN(AP26)))),
IF(AP12=0,0,-PMT(INDEX(Lookups!$E$17:$G$17,MATCH($C$4,Lookups!$E$14:$G$14,0)),AP12,SUMIFS('EE Inputs'!$W$9:$W$32,'EE Inputs'!$C$9:$C$32,$AM$6,'EE Inputs'!$D$9:$D$32,$C$4,'EE Inputs'!$E$9:$E$32,$B26),0,1)))</f>
        <v>20486.137301826897</v>
      </c>
      <c r="AQ26" s="72">
        <f ca="1">IF($C$4=Lookups!$D$40,SUM(INDIRECT("'Yr1'!"&amp;ADDRESS(ROW(AQ26),COLUMN(AQ26))),INDIRECT("'Yr2'!"&amp;ADDRESS(ROW(AQ26),COLUMN(AQ26))),INDIRECT("'Yr3'!"&amp;ADDRESS(ROW(AQ26),COLUMN(AQ26)))),
IF(AQ12=0,0,-PMT(INDEX(Lookups!$E$17:$G$17,MATCH($C$4,Lookups!$E$14:$G$14,0)),AQ12,SUMIFS('EE Inputs'!$W$9:$W$32,'EE Inputs'!$C$9:$C$32,$AM$6,'EE Inputs'!$D$9:$D$32,$C$4,'EE Inputs'!$E$9:$E$32,$B26),0,1)))</f>
        <v>20486.137301826897</v>
      </c>
      <c r="AR26" s="72">
        <f ca="1">IF($C$4=Lookups!$D$40,SUM(INDIRECT("'Yr1'!"&amp;ADDRESS(ROW(AR26),COLUMN(AR26))),INDIRECT("'Yr2'!"&amp;ADDRESS(ROW(AR26),COLUMN(AR26))),INDIRECT("'Yr3'!"&amp;ADDRESS(ROW(AR26),COLUMN(AR26)))),
IF(AR12=0,0,-PMT(INDEX(Lookups!$E$17:$G$17,MATCH($C$4,Lookups!$E$14:$G$14,0)),AR12,SUMIFS('EE Inputs'!$W$9:$W$32,'EE Inputs'!$C$9:$C$32,$AM$6,'EE Inputs'!$D$9:$D$32,$C$4,'EE Inputs'!$E$9:$E$32,$B26),0,1)))</f>
        <v>20486.137301826897</v>
      </c>
      <c r="AS26" s="72">
        <f ca="1">IF($C$4=Lookups!$D$40,SUM(INDIRECT("'Yr1'!"&amp;ADDRESS(ROW(AS26),COLUMN(AS26))),INDIRECT("'Yr2'!"&amp;ADDRESS(ROW(AS26),COLUMN(AS26))),INDIRECT("'Yr3'!"&amp;ADDRESS(ROW(AS26),COLUMN(AS26)))),
IF(AS12=0,0,-PMT(INDEX(Lookups!$E$17:$G$17,MATCH($C$4,Lookups!$E$14:$G$14,0)),AS12,SUMIFS('EE Inputs'!$W$9:$W$32,'EE Inputs'!$C$9:$C$32,$AM$6,'EE Inputs'!$D$9:$D$32,$C$4,'EE Inputs'!$E$9:$E$32,$B26),0,1)))</f>
        <v>20486.137301826897</v>
      </c>
      <c r="AT26" s="72">
        <f ca="1">IF($C$4=Lookups!$D$40,SUM(INDIRECT("'Yr1'!"&amp;ADDRESS(ROW(AT26),COLUMN(AT26))),INDIRECT("'Yr2'!"&amp;ADDRESS(ROW(AT26),COLUMN(AT26))),INDIRECT("'Yr3'!"&amp;ADDRESS(ROW(AT26),COLUMN(AT26)))),
IF(AT12=0,0,-PMT(INDEX(Lookups!$E$17:$G$17,MATCH($C$4,Lookups!$E$14:$G$14,0)),AT12,SUMIFS('EE Inputs'!$W$9:$W$32,'EE Inputs'!$C$9:$C$32,$AM$6,'EE Inputs'!$D$9:$D$32,$C$4,'EE Inputs'!$E$9:$E$32,$B26),0,1)))</f>
        <v>20486.137301826897</v>
      </c>
      <c r="AU26" s="72">
        <f ca="1">IF($C$4=Lookups!$D$40,SUM(INDIRECT("'Yr1'!"&amp;ADDRESS(ROW(AU26),COLUMN(AU26))),INDIRECT("'Yr2'!"&amp;ADDRESS(ROW(AU26),COLUMN(AU26))),INDIRECT("'Yr3'!"&amp;ADDRESS(ROW(AU26),COLUMN(AU26)))),
IF(AU12=0,0,-PMT(INDEX(Lookups!$E$17:$G$17,MATCH($C$4,Lookups!$E$14:$G$14,0)),AU12,SUMIFS('EE Inputs'!$W$9:$W$32,'EE Inputs'!$C$9:$C$32,$AM$6,'EE Inputs'!$D$9:$D$32,$C$4,'EE Inputs'!$E$9:$E$32,$B26),0,1)))</f>
        <v>20486.137301826897</v>
      </c>
      <c r="AV26" s="72">
        <f ca="1">IF($C$4=Lookups!$D$40,SUM(INDIRECT("'Yr1'!"&amp;ADDRESS(ROW(AV26),COLUMN(AV26))),INDIRECT("'Yr2'!"&amp;ADDRESS(ROW(AV26),COLUMN(AV26))),INDIRECT("'Yr3'!"&amp;ADDRESS(ROW(AV26),COLUMN(AV26)))),
IF(AV12=0,0,-PMT(INDEX(Lookups!$E$17:$G$17,MATCH($C$4,Lookups!$E$14:$G$14,0)),AV12,SUMIFS('EE Inputs'!$W$9:$W$32,'EE Inputs'!$C$9:$C$32,$AM$6,'EE Inputs'!$D$9:$D$32,$C$4,'EE Inputs'!$E$9:$E$32,$B26),0,1)))</f>
        <v>20486.137301826897</v>
      </c>
      <c r="AW26" s="72">
        <f ca="1">IF($C$4=Lookups!$D$40,SUM(INDIRECT("'Yr1'!"&amp;ADDRESS(ROW(AW26),COLUMN(AW26))),INDIRECT("'Yr2'!"&amp;ADDRESS(ROW(AW26),COLUMN(AW26))),INDIRECT("'Yr3'!"&amp;ADDRESS(ROW(AW26),COLUMN(AW26)))),
IF(AW12=0,0,-PMT(INDEX(Lookups!$E$17:$G$17,MATCH($C$4,Lookups!$E$14:$G$14,0)),AW12,SUMIFS('EE Inputs'!$W$9:$W$32,'EE Inputs'!$C$9:$C$32,$AM$6,'EE Inputs'!$D$9:$D$32,$C$4,'EE Inputs'!$E$9:$E$32,$B26),0,1)))</f>
        <v>20486.137301826897</v>
      </c>
      <c r="AX26" s="72">
        <f ca="1">IF($C$4=Lookups!$D$40,SUM(INDIRECT("'Yr1'!"&amp;ADDRESS(ROW(AX26),COLUMN(AX26))),INDIRECT("'Yr2'!"&amp;ADDRESS(ROW(AX26),COLUMN(AX26))),INDIRECT("'Yr3'!"&amp;ADDRESS(ROW(AX26),COLUMN(AX26)))),
IF(AX12=0,0,-PMT(INDEX(Lookups!$E$17:$G$17,MATCH($C$4,Lookups!$E$14:$G$14,0)),AX12,SUMIFS('EE Inputs'!$W$9:$W$32,'EE Inputs'!$C$9:$C$32,$AM$6,'EE Inputs'!$D$9:$D$32,$C$4,'EE Inputs'!$E$9:$E$32,$B26),0,1)))</f>
        <v>20486.137301826897</v>
      </c>
      <c r="AY26" s="72">
        <f ca="1">IF($C$4=Lookups!$D$40,SUM(INDIRECT("'Yr1'!"&amp;ADDRESS(ROW(AY26),COLUMN(AY26))),INDIRECT("'Yr2'!"&amp;ADDRESS(ROW(AY26),COLUMN(AY26))),INDIRECT("'Yr3'!"&amp;ADDRESS(ROW(AY26),COLUMN(AY26)))),
IF(AY12=0,0,-PMT(INDEX(Lookups!$E$17:$G$17,MATCH($C$4,Lookups!$E$14:$G$14,0)),AY12,SUMIFS('EE Inputs'!$W$9:$W$32,'EE Inputs'!$C$9:$C$32,$AM$6,'EE Inputs'!$D$9:$D$32,$C$4,'EE Inputs'!$E$9:$E$32,$B26),0,1)))</f>
        <v>20486.137301826897</v>
      </c>
      <c r="AZ26" s="72">
        <f ca="1">IF($C$4=Lookups!$D$40,SUM(INDIRECT("'Yr1'!"&amp;ADDRESS(ROW(AZ26),COLUMN(AZ26))),INDIRECT("'Yr2'!"&amp;ADDRESS(ROW(AZ26),COLUMN(AZ26))),INDIRECT("'Yr3'!"&amp;ADDRESS(ROW(AZ26),COLUMN(AZ26)))),
IF(AZ12=0,0,-PMT(INDEX(Lookups!$E$17:$G$17,MATCH($C$4,Lookups!$E$14:$G$14,0)),AZ12,SUMIFS('EE Inputs'!$W$9:$W$32,'EE Inputs'!$C$9:$C$32,$AM$6,'EE Inputs'!$D$9:$D$32,$C$4,'EE Inputs'!$E$9:$E$32,$B26),0,1)))</f>
        <v>20486.137301826897</v>
      </c>
      <c r="BA26" s="72">
        <f ca="1">IF($C$4=Lookups!$D$40,SUM(INDIRECT("'Yr1'!"&amp;ADDRESS(ROW(BA26),COLUMN(BA26))),INDIRECT("'Yr2'!"&amp;ADDRESS(ROW(BA26),COLUMN(BA26))),INDIRECT("'Yr3'!"&amp;ADDRESS(ROW(BA26),COLUMN(BA26)))),
IF(BA12=0,0,-PMT(INDEX(Lookups!$E$17:$G$17,MATCH($C$4,Lookups!$E$14:$G$14,0)),BA12,SUMIFS('EE Inputs'!$W$9:$W$32,'EE Inputs'!$C$9:$C$32,$AM$6,'EE Inputs'!$D$9:$D$32,$C$4,'EE Inputs'!$E$9:$E$32,$B26),0,1)))</f>
        <v>20486.137301826897</v>
      </c>
      <c r="BB26" s="72">
        <f ca="1">IF($C$4=Lookups!$D$40,SUM(INDIRECT("'Yr1'!"&amp;ADDRESS(ROW(BB26),COLUMN(BB26))),INDIRECT("'Yr2'!"&amp;ADDRESS(ROW(BB26),COLUMN(BB26))),INDIRECT("'Yr3'!"&amp;ADDRESS(ROW(BB26),COLUMN(BB26)))),
IF(BB12=0,0,-PMT(INDEX(Lookups!$E$17:$G$17,MATCH($C$4,Lookups!$E$14:$G$14,0)),BB12,SUMIFS('EE Inputs'!$W$9:$W$32,'EE Inputs'!$C$9:$C$32,$AM$6,'EE Inputs'!$D$9:$D$32,$C$4,'EE Inputs'!$E$9:$E$32,$B26),0,1)))</f>
        <v>20486.137301826897</v>
      </c>
      <c r="BC26" s="72">
        <f ca="1">IF($C$4=Lookups!$D$40,SUM(INDIRECT("'Yr1'!"&amp;ADDRESS(ROW(BC26),COLUMN(BC26))),INDIRECT("'Yr2'!"&amp;ADDRESS(ROW(BC26),COLUMN(BC26))),INDIRECT("'Yr3'!"&amp;ADDRESS(ROW(BC26),COLUMN(BC26)))),
IF(BC12=0,0,-PMT(INDEX(Lookups!$E$17:$G$17,MATCH($C$4,Lookups!$E$14:$G$14,0)),BC12,SUMIFS('EE Inputs'!$W$9:$W$32,'EE Inputs'!$C$9:$C$32,$AM$6,'EE Inputs'!$D$9:$D$32,$C$4,'EE Inputs'!$E$9:$E$32,$B26),0,1)))</f>
        <v>0</v>
      </c>
      <c r="BD26" s="72">
        <f ca="1">IF($C$4=Lookups!$D$40,SUM(INDIRECT("'Yr1'!"&amp;ADDRESS(ROW(BD26),COLUMN(BD26))),INDIRECT("'Yr2'!"&amp;ADDRESS(ROW(BD26),COLUMN(BD26))),INDIRECT("'Yr3'!"&amp;ADDRESS(ROW(BD26),COLUMN(BD26)))),
IF(BD12=0,0,-PMT(INDEX(Lookups!$E$17:$G$17,MATCH($C$4,Lookups!$E$14:$G$14,0)),BD12,SUMIFS('EE Inputs'!$W$9:$W$32,'EE Inputs'!$C$9:$C$32,$AM$6,'EE Inputs'!$D$9:$D$32,$C$4,'EE Inputs'!$E$9:$E$32,$B26),0,1)))</f>
        <v>0</v>
      </c>
      <c r="BE26" s="72">
        <f ca="1">IF($C$4=Lookups!$D$40,SUM(INDIRECT("'Yr1'!"&amp;ADDRESS(ROW(BE26),COLUMN(BE26))),INDIRECT("'Yr2'!"&amp;ADDRESS(ROW(BE26),COLUMN(BE26))),INDIRECT("'Yr3'!"&amp;ADDRESS(ROW(BE26),COLUMN(BE26)))),
IF(BE12=0,0,-PMT(INDEX(Lookups!$E$17:$G$17,MATCH($C$4,Lookups!$E$14:$G$14,0)),BE12,SUMIFS('EE Inputs'!$W$9:$W$32,'EE Inputs'!$C$9:$C$32,$AM$6,'EE Inputs'!$D$9:$D$32,$C$4,'EE Inputs'!$E$9:$E$32,$B26),0,1)))</f>
        <v>0</v>
      </c>
      <c r="BF26" s="72">
        <f ca="1">IF($C$4=Lookups!$D$40,SUM(INDIRECT("'Yr1'!"&amp;ADDRESS(ROW(BF26),COLUMN(BF26))),INDIRECT("'Yr2'!"&amp;ADDRESS(ROW(BF26),COLUMN(BF26))),INDIRECT("'Yr3'!"&amp;ADDRESS(ROW(BF26),COLUMN(BF26)))),
IF(BF12=0,0,-PMT(INDEX(Lookups!$E$17:$G$17,MATCH($C$4,Lookups!$E$14:$G$14,0)),BF12,SUMIFS('EE Inputs'!$W$9:$W$32,'EE Inputs'!$C$9:$C$32,$AM$6,'EE Inputs'!$D$9:$D$32,$C$4,'EE Inputs'!$E$9:$E$32,$B26),0,1)))</f>
        <v>0</v>
      </c>
      <c r="BG26" s="72">
        <f ca="1">IF($C$4=Lookups!$D$40,SUM(INDIRECT("'Yr1'!"&amp;ADDRESS(ROW(BG26),COLUMN(BG26))),INDIRECT("'Yr2'!"&amp;ADDRESS(ROW(BG26),COLUMN(BG26))),INDIRECT("'Yr3'!"&amp;ADDRESS(ROW(BG26),COLUMN(BG26)))),
IF(BG12=0,0,-PMT(INDEX(Lookups!$E$17:$G$17,MATCH($C$4,Lookups!$E$14:$G$14,0)),BG12,SUMIFS('EE Inputs'!$W$9:$W$32,'EE Inputs'!$C$9:$C$32,$AM$6,'EE Inputs'!$D$9:$D$32,$C$4,'EE Inputs'!$E$9:$E$32,$B26),0,1)))</f>
        <v>0</v>
      </c>
      <c r="BH26" s="72">
        <f ca="1">IF($C$4=Lookups!$D$40,SUM(INDIRECT("'Yr1'!"&amp;ADDRESS(ROW(BH26),COLUMN(BH26))),INDIRECT("'Yr2'!"&amp;ADDRESS(ROW(BH26),COLUMN(BH26))),INDIRECT("'Yr3'!"&amp;ADDRESS(ROW(BH26),COLUMN(BH26)))),
IF(BH12=0,0,-PMT(INDEX(Lookups!$E$17:$G$17,MATCH($C$4,Lookups!$E$14:$G$14,0)),BH12,SUMIFS('EE Inputs'!$W$9:$W$32,'EE Inputs'!$C$9:$C$32,$AM$6,'EE Inputs'!$D$9:$D$32,$C$4,'EE Inputs'!$E$9:$E$32,$B26),0,1)))</f>
        <v>0</v>
      </c>
      <c r="BI26" s="72">
        <f ca="1">IF($C$4=Lookups!$D$40,SUM(INDIRECT("'Yr1'!"&amp;ADDRESS(ROW(BI26),COLUMN(BI26))),INDIRECT("'Yr2'!"&amp;ADDRESS(ROW(BI26),COLUMN(BI26))),INDIRECT("'Yr3'!"&amp;ADDRESS(ROW(BI26),COLUMN(BI26)))),
IF(BI12=0,0,-PMT(INDEX(Lookups!$E$17:$G$17,MATCH($C$4,Lookups!$E$14:$G$14,0)),BI12,SUMIFS('EE Inputs'!$W$9:$W$32,'EE Inputs'!$C$9:$C$32,$AM$6,'EE Inputs'!$D$9:$D$32,$C$4,'EE Inputs'!$E$9:$E$32,$B26),0,1)))</f>
        <v>0</v>
      </c>
      <c r="BJ26" s="72">
        <f ca="1">IF($C$4=Lookups!$D$40,SUM(INDIRECT("'Yr1'!"&amp;ADDRESS(ROW(BJ26),COLUMN(BJ26))),INDIRECT("'Yr2'!"&amp;ADDRESS(ROW(BJ26),COLUMN(BJ26))),INDIRECT("'Yr3'!"&amp;ADDRESS(ROW(BJ26),COLUMN(BJ26)))),
IF(BJ12=0,0,-PMT(INDEX(Lookups!$E$17:$G$17,MATCH($C$4,Lookups!$E$14:$G$14,0)),BJ12,SUMIFS('EE Inputs'!$W$9:$W$32,'EE Inputs'!$C$9:$C$32,$AM$6,'EE Inputs'!$D$9:$D$32,$C$4,'EE Inputs'!$E$9:$E$32,$B26),0,1)))</f>
        <v>0</v>
      </c>
      <c r="BK26" s="72">
        <f ca="1">IF($C$4=Lookups!$D$40,SUM(INDIRECT("'Yr1'!"&amp;ADDRESS(ROW(BK26),COLUMN(BK26))),INDIRECT("'Yr2'!"&amp;ADDRESS(ROW(BK26),COLUMN(BK26))),INDIRECT("'Yr3'!"&amp;ADDRESS(ROW(BK26),COLUMN(BK26)))),
IF(BK12=0,0,-PMT(INDEX(Lookups!$E$17:$G$17,MATCH($C$4,Lookups!$E$14:$G$14,0)),BK12,SUMIFS('EE Inputs'!$W$9:$W$32,'EE Inputs'!$C$9:$C$32,$AM$6,'EE Inputs'!$D$9:$D$32,$C$4,'EE Inputs'!$E$9:$E$32,$B26),0,1)))</f>
        <v>0</v>
      </c>
      <c r="BL26" s="72">
        <f ca="1">IF($C$4=Lookups!$D$40,SUM(INDIRECT("'Yr1'!"&amp;ADDRESS(ROW(BL26),COLUMN(BL26))),INDIRECT("'Yr2'!"&amp;ADDRESS(ROW(BL26),COLUMN(BL26))),INDIRECT("'Yr3'!"&amp;ADDRESS(ROW(BL26),COLUMN(BL26)))),
IF(BL12=0,0,-PMT(INDEX(Lookups!$E$17:$G$17,MATCH($C$4,Lookups!$E$14:$G$14,0)),BL12,SUMIFS('EE Inputs'!$W$9:$W$32,'EE Inputs'!$C$9:$C$32,$AM$6,'EE Inputs'!$D$9:$D$32,$C$4,'EE Inputs'!$E$9:$E$32,$B26),0,1)))</f>
        <v>0</v>
      </c>
      <c r="BM26" s="72">
        <f ca="1">IF($C$4=Lookups!$D$40,SUM(INDIRECT("'Yr1'!"&amp;ADDRESS(ROW(BM26),COLUMN(BM26))),INDIRECT("'Yr2'!"&amp;ADDRESS(ROW(BM26),COLUMN(BM26))),INDIRECT("'Yr3'!"&amp;ADDRESS(ROW(BM26),COLUMN(BM26)))),
IF(BM12=0,0,-PMT(INDEX(Lookups!$E$17:$G$17,MATCH($C$4,Lookups!$E$14:$G$14,0)),BM12,SUMIFS('EE Inputs'!$W$9:$W$32,'EE Inputs'!$C$9:$C$32,$AM$6,'EE Inputs'!$D$9:$D$32,$C$4,'EE Inputs'!$E$9:$E$32,$B26),0,1)))</f>
        <v>0</v>
      </c>
      <c r="BN26" s="72"/>
      <c r="BO26" s="72">
        <f ca="1">NPV(Lookups!$E$17,AM26:BM26)</f>
        <v>271302.63321596343</v>
      </c>
      <c r="BP26" s="72"/>
      <c r="BS26" s="84" t="s">
        <v>413</v>
      </c>
      <c r="BT26" s="51"/>
    </row>
    <row r="27" spans="1:72" x14ac:dyDescent="0.25">
      <c r="A27" s="246"/>
      <c r="B27" s="243" t="str">
        <f>B25</f>
        <v>Residential</v>
      </c>
      <c r="C27" s="243" t="str">
        <f>C25</f>
        <v>Revenue Requirements</v>
      </c>
      <c r="D27" s="244" t="str">
        <f>D25</f>
        <v>Avoided Costs</v>
      </c>
      <c r="E27" s="86" t="s">
        <v>175</v>
      </c>
      <c r="F27" s="84" t="s">
        <v>32</v>
      </c>
      <c r="G27" s="65">
        <f ca="1">IF($C$4=Lookups!$D$40,SUM(INDIRECT("'Yr1'!"&amp;ADDRESS(ROW(G27),COLUMN(G27))),INDIRECT("'Yr2'!"&amp;ADDRESS(ROW(G27),COLUMN(G27))),INDIRECT("'Yr3'!"&amp;ADDRESS(ROW(G27),COLUMN(G27)))),
IF(G12=0,0,-PMT(INDEX(Lookups!$E$17:$G$17,MATCH($C$4,Lookups!$E$14:$G$14,0)),G12,SUMIFS('EE Inputs'!$K$9:$K$32,'EE Inputs'!$C$9:$C$32,$G$6,'EE Inputs'!$D$9:$D$32,$C$4,'EE Inputs'!$E$9:$E$32,$B27),0,1)))</f>
        <v>0</v>
      </c>
      <c r="H27" s="65">
        <f ca="1">IF($C$4=Lookups!$D$40,SUM(INDIRECT("'Yr1'!"&amp;ADDRESS(ROW(H27),COLUMN(H27))),INDIRECT("'Yr2'!"&amp;ADDRESS(ROW(H27),COLUMN(H27))),INDIRECT("'Yr3'!"&amp;ADDRESS(ROW(H27),COLUMN(H27)))),
IF(H12=0,0,-PMT(INDEX(Lookups!$E$17:$G$17,MATCH($C$4,Lookups!$E$14:$G$14,0)),H12,SUMIFS('EE Inputs'!$K$9:$K$32,'EE Inputs'!$C$9:$C$32,$G$6,'EE Inputs'!$D$9:$D$32,$C$4,'EE Inputs'!$E$9:$E$32,$B27),0,1)))</f>
        <v>11112.569761655461</v>
      </c>
      <c r="I27" s="65">
        <f ca="1">IF($C$4=Lookups!$D$40,SUM(INDIRECT("'Yr1'!"&amp;ADDRESS(ROW(I27),COLUMN(I27))),INDIRECT("'Yr2'!"&amp;ADDRESS(ROW(I27),COLUMN(I27))),INDIRECT("'Yr3'!"&amp;ADDRESS(ROW(I27),COLUMN(I27)))),
IF(I12=0,0,-PMT(INDEX(Lookups!$E$17:$G$17,MATCH($C$4,Lookups!$E$14:$G$14,0)),I12,SUMIFS('EE Inputs'!$K$9:$K$32,'EE Inputs'!$C$9:$C$32,$G$6,'EE Inputs'!$D$9:$D$32,$C$4,'EE Inputs'!$E$9:$E$32,$B27),0,1)))</f>
        <v>11112.569761655461</v>
      </c>
      <c r="J27" s="65">
        <f ca="1">IF($C$4=Lookups!$D$40,SUM(INDIRECT("'Yr1'!"&amp;ADDRESS(ROW(J27),COLUMN(J27))),INDIRECT("'Yr2'!"&amp;ADDRESS(ROW(J27),COLUMN(J27))),INDIRECT("'Yr3'!"&amp;ADDRESS(ROW(J27),COLUMN(J27)))),
IF(J12=0,0,-PMT(INDEX(Lookups!$E$17:$G$17,MATCH($C$4,Lookups!$E$14:$G$14,0)),J12,SUMIFS('EE Inputs'!$K$9:$K$32,'EE Inputs'!$C$9:$C$32,$G$6,'EE Inputs'!$D$9:$D$32,$C$4,'EE Inputs'!$E$9:$E$32,$B27),0,1)))</f>
        <v>11112.569761655461</v>
      </c>
      <c r="K27" s="65">
        <f ca="1">IF($C$4=Lookups!$D$40,SUM(INDIRECT("'Yr1'!"&amp;ADDRESS(ROW(K27),COLUMN(K27))),INDIRECT("'Yr2'!"&amp;ADDRESS(ROW(K27),COLUMN(K27))),INDIRECT("'Yr3'!"&amp;ADDRESS(ROW(K27),COLUMN(K27)))),
IF(K12=0,0,-PMT(INDEX(Lookups!$E$17:$G$17,MATCH($C$4,Lookups!$E$14:$G$14,0)),K12,SUMIFS('EE Inputs'!$K$9:$K$32,'EE Inputs'!$C$9:$C$32,$G$6,'EE Inputs'!$D$9:$D$32,$C$4,'EE Inputs'!$E$9:$E$32,$B27),0,1)))</f>
        <v>11112.569761655461</v>
      </c>
      <c r="L27" s="65">
        <f ca="1">IF($C$4=Lookups!$D$40,SUM(INDIRECT("'Yr1'!"&amp;ADDRESS(ROW(L27),COLUMN(L27))),INDIRECT("'Yr2'!"&amp;ADDRESS(ROW(L27),COLUMN(L27))),INDIRECT("'Yr3'!"&amp;ADDRESS(ROW(L27),COLUMN(L27)))),
IF(L12=0,0,-PMT(INDEX(Lookups!$E$17:$G$17,MATCH($C$4,Lookups!$E$14:$G$14,0)),L12,SUMIFS('EE Inputs'!$K$9:$K$32,'EE Inputs'!$C$9:$C$32,$G$6,'EE Inputs'!$D$9:$D$32,$C$4,'EE Inputs'!$E$9:$E$32,$B27),0,1)))</f>
        <v>11112.569761655461</v>
      </c>
      <c r="M27" s="65">
        <f ca="1">IF($C$4=Lookups!$D$40,SUM(INDIRECT("'Yr1'!"&amp;ADDRESS(ROW(M27),COLUMN(M27))),INDIRECT("'Yr2'!"&amp;ADDRESS(ROW(M27),COLUMN(M27))),INDIRECT("'Yr3'!"&amp;ADDRESS(ROW(M27),COLUMN(M27)))),
IF(M12=0,0,-PMT(INDEX(Lookups!$E$17:$G$17,MATCH($C$4,Lookups!$E$14:$G$14,0)),M12,SUMIFS('EE Inputs'!$K$9:$K$32,'EE Inputs'!$C$9:$C$32,$G$6,'EE Inputs'!$D$9:$D$32,$C$4,'EE Inputs'!$E$9:$E$32,$B27),0,1)))</f>
        <v>11112.569761655461</v>
      </c>
      <c r="N27" s="65">
        <f ca="1">IF($C$4=Lookups!$D$40,SUM(INDIRECT("'Yr1'!"&amp;ADDRESS(ROW(N27),COLUMN(N27))),INDIRECT("'Yr2'!"&amp;ADDRESS(ROW(N27),COLUMN(N27))),INDIRECT("'Yr3'!"&amp;ADDRESS(ROW(N27),COLUMN(N27)))),
IF(N12=0,0,-PMT(INDEX(Lookups!$E$17:$G$17,MATCH($C$4,Lookups!$E$14:$G$14,0)),N12,SUMIFS('EE Inputs'!$K$9:$K$32,'EE Inputs'!$C$9:$C$32,$G$6,'EE Inputs'!$D$9:$D$32,$C$4,'EE Inputs'!$E$9:$E$32,$B27),0,1)))</f>
        <v>11112.569761655461</v>
      </c>
      <c r="O27" s="65">
        <f ca="1">IF($C$4=Lookups!$D$40,SUM(INDIRECT("'Yr1'!"&amp;ADDRESS(ROW(O27),COLUMN(O27))),INDIRECT("'Yr2'!"&amp;ADDRESS(ROW(O27),COLUMN(O27))),INDIRECT("'Yr3'!"&amp;ADDRESS(ROW(O27),COLUMN(O27)))),
IF(O12=0,0,-PMT(INDEX(Lookups!$E$17:$G$17,MATCH($C$4,Lookups!$E$14:$G$14,0)),O12,SUMIFS('EE Inputs'!$K$9:$K$32,'EE Inputs'!$C$9:$C$32,$G$6,'EE Inputs'!$D$9:$D$32,$C$4,'EE Inputs'!$E$9:$E$32,$B27),0,1)))</f>
        <v>11112.569761655461</v>
      </c>
      <c r="P27" s="65">
        <f ca="1">IF($C$4=Lookups!$D$40,SUM(INDIRECT("'Yr1'!"&amp;ADDRESS(ROW(P27),COLUMN(P27))),INDIRECT("'Yr2'!"&amp;ADDRESS(ROW(P27),COLUMN(P27))),INDIRECT("'Yr3'!"&amp;ADDRESS(ROW(P27),COLUMN(P27)))),
IF(P12=0,0,-PMT(INDEX(Lookups!$E$17:$G$17,MATCH($C$4,Lookups!$E$14:$G$14,0)),P12,SUMIFS('EE Inputs'!$K$9:$K$32,'EE Inputs'!$C$9:$C$32,$G$6,'EE Inputs'!$D$9:$D$32,$C$4,'EE Inputs'!$E$9:$E$32,$B27),0,1)))</f>
        <v>11112.569761655461</v>
      </c>
      <c r="Q27" s="65">
        <f ca="1">IF($C$4=Lookups!$D$40,SUM(INDIRECT("'Yr1'!"&amp;ADDRESS(ROW(Q27),COLUMN(Q27))),INDIRECT("'Yr2'!"&amp;ADDRESS(ROW(Q27),COLUMN(Q27))),INDIRECT("'Yr3'!"&amp;ADDRESS(ROW(Q27),COLUMN(Q27)))),
IF(Q12=0,0,-PMT(INDEX(Lookups!$E$17:$G$17,MATCH($C$4,Lookups!$E$14:$G$14,0)),Q12,SUMIFS('EE Inputs'!$K$9:$K$32,'EE Inputs'!$C$9:$C$32,$G$6,'EE Inputs'!$D$9:$D$32,$C$4,'EE Inputs'!$E$9:$E$32,$B27),0,1)))</f>
        <v>11112.569761655461</v>
      </c>
      <c r="R27" s="65">
        <f ca="1">IF($C$4=Lookups!$D$40,SUM(INDIRECT("'Yr1'!"&amp;ADDRESS(ROW(R27),COLUMN(R27))),INDIRECT("'Yr2'!"&amp;ADDRESS(ROW(R27),COLUMN(R27))),INDIRECT("'Yr3'!"&amp;ADDRESS(ROW(R27),COLUMN(R27)))),
IF(R12=0,0,-PMT(INDEX(Lookups!$E$17:$G$17,MATCH($C$4,Lookups!$E$14:$G$14,0)),R12,SUMIFS('EE Inputs'!$K$9:$K$32,'EE Inputs'!$C$9:$C$32,$G$6,'EE Inputs'!$D$9:$D$32,$C$4,'EE Inputs'!$E$9:$E$32,$B27),0,1)))</f>
        <v>11112.569761655461</v>
      </c>
      <c r="S27" s="65">
        <f ca="1">IF($C$4=Lookups!$D$40,SUM(INDIRECT("'Yr1'!"&amp;ADDRESS(ROW(S27),COLUMN(S27))),INDIRECT("'Yr2'!"&amp;ADDRESS(ROW(S27),COLUMN(S27))),INDIRECT("'Yr3'!"&amp;ADDRESS(ROW(S27),COLUMN(S27)))),
IF(S12=0,0,-PMT(INDEX(Lookups!$E$17:$G$17,MATCH($C$4,Lookups!$E$14:$G$14,0)),S12,SUMIFS('EE Inputs'!$K$9:$K$32,'EE Inputs'!$C$9:$C$32,$G$6,'EE Inputs'!$D$9:$D$32,$C$4,'EE Inputs'!$E$9:$E$32,$B27),0,1)))</f>
        <v>11112.569761655461</v>
      </c>
      <c r="T27" s="65">
        <f ca="1">IF($C$4=Lookups!$D$40,SUM(INDIRECT("'Yr1'!"&amp;ADDRESS(ROW(T27),COLUMN(T27))),INDIRECT("'Yr2'!"&amp;ADDRESS(ROW(T27),COLUMN(T27))),INDIRECT("'Yr3'!"&amp;ADDRESS(ROW(T27),COLUMN(T27)))),
IF(T12=0,0,-PMT(INDEX(Lookups!$E$17:$G$17,MATCH($C$4,Lookups!$E$14:$G$14,0)),T12,SUMIFS('EE Inputs'!$K$9:$K$32,'EE Inputs'!$C$9:$C$32,$G$6,'EE Inputs'!$D$9:$D$32,$C$4,'EE Inputs'!$E$9:$E$32,$B27),0,1)))</f>
        <v>11112.569761655461</v>
      </c>
      <c r="U27" s="65">
        <f ca="1">IF($C$4=Lookups!$D$40,SUM(INDIRECT("'Yr1'!"&amp;ADDRESS(ROW(U27),COLUMN(U27))),INDIRECT("'Yr2'!"&amp;ADDRESS(ROW(U27),COLUMN(U27))),INDIRECT("'Yr3'!"&amp;ADDRESS(ROW(U27),COLUMN(U27)))),
IF(U12=0,0,-PMT(INDEX(Lookups!$E$17:$G$17,MATCH($C$4,Lookups!$E$14:$G$14,0)),U12,SUMIFS('EE Inputs'!$K$9:$K$32,'EE Inputs'!$C$9:$C$32,$G$6,'EE Inputs'!$D$9:$D$32,$C$4,'EE Inputs'!$E$9:$E$32,$B27),0,1)))</f>
        <v>11112.569761655461</v>
      </c>
      <c r="V27" s="65">
        <f ca="1">IF($C$4=Lookups!$D$40,SUM(INDIRECT("'Yr1'!"&amp;ADDRESS(ROW(V27),COLUMN(V27))),INDIRECT("'Yr2'!"&amp;ADDRESS(ROW(V27),COLUMN(V27))),INDIRECT("'Yr3'!"&amp;ADDRESS(ROW(V27),COLUMN(V27)))),
IF(V12=0,0,-PMT(INDEX(Lookups!$E$17:$G$17,MATCH($C$4,Lookups!$E$14:$G$14,0)),V12,SUMIFS('EE Inputs'!$K$9:$K$32,'EE Inputs'!$C$9:$C$32,$G$6,'EE Inputs'!$D$9:$D$32,$C$4,'EE Inputs'!$E$9:$E$32,$B27),0,1)))</f>
        <v>11112.569761655461</v>
      </c>
      <c r="W27" s="65">
        <f ca="1">IF($C$4=Lookups!$D$40,SUM(INDIRECT("'Yr1'!"&amp;ADDRESS(ROW(W27),COLUMN(W27))),INDIRECT("'Yr2'!"&amp;ADDRESS(ROW(W27),COLUMN(W27))),INDIRECT("'Yr3'!"&amp;ADDRESS(ROW(W27),COLUMN(W27)))),
IF(W12=0,0,-PMT(INDEX(Lookups!$E$17:$G$17,MATCH($C$4,Lookups!$E$14:$G$14,0)),W12,SUMIFS('EE Inputs'!$K$9:$K$32,'EE Inputs'!$C$9:$C$32,$G$6,'EE Inputs'!$D$9:$D$32,$C$4,'EE Inputs'!$E$9:$E$32,$B27),0,1)))</f>
        <v>0</v>
      </c>
      <c r="X27" s="65">
        <f ca="1">IF($C$4=Lookups!$D$40,SUM(INDIRECT("'Yr1'!"&amp;ADDRESS(ROW(X27),COLUMN(X27))),INDIRECT("'Yr2'!"&amp;ADDRESS(ROW(X27),COLUMN(X27))),INDIRECT("'Yr3'!"&amp;ADDRESS(ROW(X27),COLUMN(X27)))),
IF(X12=0,0,-PMT(INDEX(Lookups!$E$17:$G$17,MATCH($C$4,Lookups!$E$14:$G$14,0)),X12,SUMIFS('EE Inputs'!$K$9:$K$32,'EE Inputs'!$C$9:$C$32,$G$6,'EE Inputs'!$D$9:$D$32,$C$4,'EE Inputs'!$E$9:$E$32,$B27),0,1)))</f>
        <v>0</v>
      </c>
      <c r="Y27" s="65">
        <f ca="1">IF($C$4=Lookups!$D$40,SUM(INDIRECT("'Yr1'!"&amp;ADDRESS(ROW(Y27),COLUMN(Y27))),INDIRECT("'Yr2'!"&amp;ADDRESS(ROW(Y27),COLUMN(Y27))),INDIRECT("'Yr3'!"&amp;ADDRESS(ROW(Y27),COLUMN(Y27)))),
IF(Y12=0,0,-PMT(INDEX(Lookups!$E$17:$G$17,MATCH($C$4,Lookups!$E$14:$G$14,0)),Y12,SUMIFS('EE Inputs'!$K$9:$K$32,'EE Inputs'!$C$9:$C$32,$G$6,'EE Inputs'!$D$9:$D$32,$C$4,'EE Inputs'!$E$9:$E$32,$B27),0,1)))</f>
        <v>0</v>
      </c>
      <c r="Z27" s="65">
        <f ca="1">IF($C$4=Lookups!$D$40,SUM(INDIRECT("'Yr1'!"&amp;ADDRESS(ROW(Z27),COLUMN(Z27))),INDIRECT("'Yr2'!"&amp;ADDRESS(ROW(Z27),COLUMN(Z27))),INDIRECT("'Yr3'!"&amp;ADDRESS(ROW(Z27),COLUMN(Z27)))),
IF(Z12=0,0,-PMT(INDEX(Lookups!$E$17:$G$17,MATCH($C$4,Lookups!$E$14:$G$14,0)),Z12,SUMIFS('EE Inputs'!$K$9:$K$32,'EE Inputs'!$C$9:$C$32,$G$6,'EE Inputs'!$D$9:$D$32,$C$4,'EE Inputs'!$E$9:$E$32,$B27),0,1)))</f>
        <v>0</v>
      </c>
      <c r="AA27" s="65">
        <f ca="1">IF($C$4=Lookups!$D$40,SUM(INDIRECT("'Yr1'!"&amp;ADDRESS(ROW(AA27),COLUMN(AA27))),INDIRECT("'Yr2'!"&amp;ADDRESS(ROW(AA27),COLUMN(AA27))),INDIRECT("'Yr3'!"&amp;ADDRESS(ROW(AA27),COLUMN(AA27)))),
IF(AA12=0,0,-PMT(INDEX(Lookups!$E$17:$G$17,MATCH($C$4,Lookups!$E$14:$G$14,0)),AA12,SUMIFS('EE Inputs'!$K$9:$K$32,'EE Inputs'!$C$9:$C$32,$G$6,'EE Inputs'!$D$9:$D$32,$C$4,'EE Inputs'!$E$9:$E$32,$B27),0,1)))</f>
        <v>0</v>
      </c>
      <c r="AB27" s="65">
        <f ca="1">IF($C$4=Lookups!$D$40,SUM(INDIRECT("'Yr1'!"&amp;ADDRESS(ROW(AB27),COLUMN(AB27))),INDIRECT("'Yr2'!"&amp;ADDRESS(ROW(AB27),COLUMN(AB27))),INDIRECT("'Yr3'!"&amp;ADDRESS(ROW(AB27),COLUMN(AB27)))),
IF(AB12=0,0,-PMT(INDEX(Lookups!$E$17:$G$17,MATCH($C$4,Lookups!$E$14:$G$14,0)),AB12,SUMIFS('EE Inputs'!$K$9:$K$32,'EE Inputs'!$C$9:$C$32,$G$6,'EE Inputs'!$D$9:$D$32,$C$4,'EE Inputs'!$E$9:$E$32,$B27),0,1)))</f>
        <v>0</v>
      </c>
      <c r="AC27" s="65">
        <f ca="1">IF($C$4=Lookups!$D$40,SUM(INDIRECT("'Yr1'!"&amp;ADDRESS(ROW(AC27),COLUMN(AC27))),INDIRECT("'Yr2'!"&amp;ADDRESS(ROW(AC27),COLUMN(AC27))),INDIRECT("'Yr3'!"&amp;ADDRESS(ROW(AC27),COLUMN(AC27)))),
IF(AC12=0,0,-PMT(INDEX(Lookups!$E$17:$G$17,MATCH($C$4,Lookups!$E$14:$G$14,0)),AC12,SUMIFS('EE Inputs'!$K$9:$K$32,'EE Inputs'!$C$9:$C$32,$G$6,'EE Inputs'!$D$9:$D$32,$C$4,'EE Inputs'!$E$9:$E$32,$B27),0,1)))</f>
        <v>0</v>
      </c>
      <c r="AD27" s="65">
        <f ca="1">IF($C$4=Lookups!$D$40,SUM(INDIRECT("'Yr1'!"&amp;ADDRESS(ROW(AD27),COLUMN(AD27))),INDIRECT("'Yr2'!"&amp;ADDRESS(ROW(AD27),COLUMN(AD27))),INDIRECT("'Yr3'!"&amp;ADDRESS(ROW(AD27),COLUMN(AD27)))),
IF(AD12=0,0,-PMT(INDEX(Lookups!$E$17:$G$17,MATCH($C$4,Lookups!$E$14:$G$14,0)),AD12,SUMIFS('EE Inputs'!$K$9:$K$32,'EE Inputs'!$C$9:$C$32,$G$6,'EE Inputs'!$D$9:$D$32,$C$4,'EE Inputs'!$E$9:$E$32,$B27),0,1)))</f>
        <v>0</v>
      </c>
      <c r="AE27" s="65">
        <f ca="1">IF($C$4=Lookups!$D$40,SUM(INDIRECT("'Yr1'!"&amp;ADDRESS(ROW(AE27),COLUMN(AE27))),INDIRECT("'Yr2'!"&amp;ADDRESS(ROW(AE27),COLUMN(AE27))),INDIRECT("'Yr3'!"&amp;ADDRESS(ROW(AE27),COLUMN(AE27)))),
IF(AE12=0,0,-PMT(INDEX(Lookups!$E$17:$G$17,MATCH($C$4,Lookups!$E$14:$G$14,0)),AE12,SUMIFS('EE Inputs'!$K$9:$K$32,'EE Inputs'!$C$9:$C$32,$G$6,'EE Inputs'!$D$9:$D$32,$C$4,'EE Inputs'!$E$9:$E$32,$B27),0,1)))</f>
        <v>0</v>
      </c>
      <c r="AF27" s="65">
        <f ca="1">IF($C$4=Lookups!$D$40,SUM(INDIRECT("'Yr1'!"&amp;ADDRESS(ROW(AF27),COLUMN(AF27))),INDIRECT("'Yr2'!"&amp;ADDRESS(ROW(AF27),COLUMN(AF27))),INDIRECT("'Yr3'!"&amp;ADDRESS(ROW(AF27),COLUMN(AF27)))),
IF(AF12=0,0,-PMT(INDEX(Lookups!$E$17:$G$17,MATCH($C$4,Lookups!$E$14:$G$14,0)),AF12,SUMIFS('EE Inputs'!$K$9:$K$32,'EE Inputs'!$C$9:$C$32,$G$6,'EE Inputs'!$D$9:$D$32,$C$4,'EE Inputs'!$E$9:$E$32,$B27),0,1)))</f>
        <v>0</v>
      </c>
      <c r="AG27" s="65">
        <f ca="1">IF($C$4=Lookups!$D$40,SUM(INDIRECT("'Yr1'!"&amp;ADDRESS(ROW(AG27),COLUMN(AG27))),INDIRECT("'Yr2'!"&amp;ADDRESS(ROW(AG27),COLUMN(AG27))),INDIRECT("'Yr3'!"&amp;ADDRESS(ROW(AG27),COLUMN(AG27)))),
IF(AG12=0,0,-PMT(INDEX(Lookups!$E$17:$G$17,MATCH($C$4,Lookups!$E$14:$G$14,0)),AG12,SUMIFS('EE Inputs'!$K$9:$K$32,'EE Inputs'!$C$9:$C$32,$G$6,'EE Inputs'!$D$9:$D$32,$C$4,'EE Inputs'!$E$9:$E$32,$B27),0,1)))</f>
        <v>0</v>
      </c>
      <c r="AH27" s="65"/>
      <c r="AI27" s="65">
        <f ca="1">NPV(Lookups!$E$17,G27:AG27)</f>
        <v>147166.32001994638</v>
      </c>
      <c r="AJ27" s="65"/>
      <c r="AM27" s="72">
        <f ca="1">IF($C$4=Lookups!$D$40,SUM(INDIRECT("'Yr1'!"&amp;ADDRESS(ROW(AM27),COLUMN(AM27))),INDIRECT("'Yr2'!"&amp;ADDRESS(ROW(AM27),COLUMN(AM27))),INDIRECT("'Yr3'!"&amp;ADDRESS(ROW(AM27),COLUMN(AM27)))),
IF(AM12=0,0,-PMT(INDEX(Lookups!$E$17:$G$17,MATCH($C$4,Lookups!$E$14:$G$14,0)),AM12,SUMIFS('EE Inputs'!$K$9:$K$32,'EE Inputs'!$C$9:$C$32,$AM$6,'EE Inputs'!$D$9:$D$32,$C$4,'EE Inputs'!$E$9:$E$32,$B27),0,1)))</f>
        <v>0</v>
      </c>
      <c r="AN27" s="72">
        <f ca="1">IF($C$4=Lookups!$D$40,SUM(INDIRECT("'Yr1'!"&amp;ADDRESS(ROW(AN27),COLUMN(AN27))),INDIRECT("'Yr2'!"&amp;ADDRESS(ROW(AN27),COLUMN(AN27))),INDIRECT("'Yr3'!"&amp;ADDRESS(ROW(AN27),COLUMN(AN27)))),
IF(AN12=0,0,-PMT(INDEX(Lookups!$E$17:$G$17,MATCH($C$4,Lookups!$E$14:$G$14,0)),AN12,SUMIFS('EE Inputs'!$K$9:$K$32,'EE Inputs'!$C$9:$C$32,$AM$6,'EE Inputs'!$D$9:$D$32,$C$4,'EE Inputs'!$E$9:$E$32,$B27),0,1)))</f>
        <v>12700.079727606242</v>
      </c>
      <c r="AO27" s="72">
        <f ca="1">IF($C$4=Lookups!$D$40,SUM(INDIRECT("'Yr1'!"&amp;ADDRESS(ROW(AO27),COLUMN(AO27))),INDIRECT("'Yr2'!"&amp;ADDRESS(ROW(AO27),COLUMN(AO27))),INDIRECT("'Yr3'!"&amp;ADDRESS(ROW(AO27),COLUMN(AO27)))),
IF(AO12=0,0,-PMT(INDEX(Lookups!$E$17:$G$17,MATCH($C$4,Lookups!$E$14:$G$14,0)),AO12,SUMIFS('EE Inputs'!$K$9:$K$32,'EE Inputs'!$C$9:$C$32,$AM$6,'EE Inputs'!$D$9:$D$32,$C$4,'EE Inputs'!$E$9:$E$32,$B27),0,1)))</f>
        <v>12700.079727606242</v>
      </c>
      <c r="AP27" s="72">
        <f ca="1">IF($C$4=Lookups!$D$40,SUM(INDIRECT("'Yr1'!"&amp;ADDRESS(ROW(AP27),COLUMN(AP27))),INDIRECT("'Yr2'!"&amp;ADDRESS(ROW(AP27),COLUMN(AP27))),INDIRECT("'Yr3'!"&amp;ADDRESS(ROW(AP27),COLUMN(AP27)))),
IF(AP12=0,0,-PMT(INDEX(Lookups!$E$17:$G$17,MATCH($C$4,Lookups!$E$14:$G$14,0)),AP12,SUMIFS('EE Inputs'!$K$9:$K$32,'EE Inputs'!$C$9:$C$32,$AM$6,'EE Inputs'!$D$9:$D$32,$C$4,'EE Inputs'!$E$9:$E$32,$B27),0,1)))</f>
        <v>12700.079727606242</v>
      </c>
      <c r="AQ27" s="72">
        <f ca="1">IF($C$4=Lookups!$D$40,SUM(INDIRECT("'Yr1'!"&amp;ADDRESS(ROW(AQ27),COLUMN(AQ27))),INDIRECT("'Yr2'!"&amp;ADDRESS(ROW(AQ27),COLUMN(AQ27))),INDIRECT("'Yr3'!"&amp;ADDRESS(ROW(AQ27),COLUMN(AQ27)))),
IF(AQ12=0,0,-PMT(INDEX(Lookups!$E$17:$G$17,MATCH($C$4,Lookups!$E$14:$G$14,0)),AQ12,SUMIFS('EE Inputs'!$K$9:$K$32,'EE Inputs'!$C$9:$C$32,$AM$6,'EE Inputs'!$D$9:$D$32,$C$4,'EE Inputs'!$E$9:$E$32,$B27),0,1)))</f>
        <v>12700.079727606242</v>
      </c>
      <c r="AR27" s="72">
        <f ca="1">IF($C$4=Lookups!$D$40,SUM(INDIRECT("'Yr1'!"&amp;ADDRESS(ROW(AR27),COLUMN(AR27))),INDIRECT("'Yr2'!"&amp;ADDRESS(ROW(AR27),COLUMN(AR27))),INDIRECT("'Yr3'!"&amp;ADDRESS(ROW(AR27),COLUMN(AR27)))),
IF(AR12=0,0,-PMT(INDEX(Lookups!$E$17:$G$17,MATCH($C$4,Lookups!$E$14:$G$14,0)),AR12,SUMIFS('EE Inputs'!$K$9:$K$32,'EE Inputs'!$C$9:$C$32,$AM$6,'EE Inputs'!$D$9:$D$32,$C$4,'EE Inputs'!$E$9:$E$32,$B27),0,1)))</f>
        <v>12700.079727606242</v>
      </c>
      <c r="AS27" s="72">
        <f ca="1">IF($C$4=Lookups!$D$40,SUM(INDIRECT("'Yr1'!"&amp;ADDRESS(ROW(AS27),COLUMN(AS27))),INDIRECT("'Yr2'!"&amp;ADDRESS(ROW(AS27),COLUMN(AS27))),INDIRECT("'Yr3'!"&amp;ADDRESS(ROW(AS27),COLUMN(AS27)))),
IF(AS12=0,0,-PMT(INDEX(Lookups!$E$17:$G$17,MATCH($C$4,Lookups!$E$14:$G$14,0)),AS12,SUMIFS('EE Inputs'!$K$9:$K$32,'EE Inputs'!$C$9:$C$32,$AM$6,'EE Inputs'!$D$9:$D$32,$C$4,'EE Inputs'!$E$9:$E$32,$B27),0,1)))</f>
        <v>12700.079727606242</v>
      </c>
      <c r="AT27" s="72">
        <f ca="1">IF($C$4=Lookups!$D$40,SUM(INDIRECT("'Yr1'!"&amp;ADDRESS(ROW(AT27),COLUMN(AT27))),INDIRECT("'Yr2'!"&amp;ADDRESS(ROW(AT27),COLUMN(AT27))),INDIRECT("'Yr3'!"&amp;ADDRESS(ROW(AT27),COLUMN(AT27)))),
IF(AT12=0,0,-PMT(INDEX(Lookups!$E$17:$G$17,MATCH($C$4,Lookups!$E$14:$G$14,0)),AT12,SUMIFS('EE Inputs'!$K$9:$K$32,'EE Inputs'!$C$9:$C$32,$AM$6,'EE Inputs'!$D$9:$D$32,$C$4,'EE Inputs'!$E$9:$E$32,$B27),0,1)))</f>
        <v>12700.079727606242</v>
      </c>
      <c r="AU27" s="72">
        <f ca="1">IF($C$4=Lookups!$D$40,SUM(INDIRECT("'Yr1'!"&amp;ADDRESS(ROW(AU27),COLUMN(AU27))),INDIRECT("'Yr2'!"&amp;ADDRESS(ROW(AU27),COLUMN(AU27))),INDIRECT("'Yr3'!"&amp;ADDRESS(ROW(AU27),COLUMN(AU27)))),
IF(AU12=0,0,-PMT(INDEX(Lookups!$E$17:$G$17,MATCH($C$4,Lookups!$E$14:$G$14,0)),AU12,SUMIFS('EE Inputs'!$K$9:$K$32,'EE Inputs'!$C$9:$C$32,$AM$6,'EE Inputs'!$D$9:$D$32,$C$4,'EE Inputs'!$E$9:$E$32,$B27),0,1)))</f>
        <v>12700.079727606242</v>
      </c>
      <c r="AV27" s="72">
        <f ca="1">IF($C$4=Lookups!$D$40,SUM(INDIRECT("'Yr1'!"&amp;ADDRESS(ROW(AV27),COLUMN(AV27))),INDIRECT("'Yr2'!"&amp;ADDRESS(ROW(AV27),COLUMN(AV27))),INDIRECT("'Yr3'!"&amp;ADDRESS(ROW(AV27),COLUMN(AV27)))),
IF(AV12=0,0,-PMT(INDEX(Lookups!$E$17:$G$17,MATCH($C$4,Lookups!$E$14:$G$14,0)),AV12,SUMIFS('EE Inputs'!$K$9:$K$32,'EE Inputs'!$C$9:$C$32,$AM$6,'EE Inputs'!$D$9:$D$32,$C$4,'EE Inputs'!$E$9:$E$32,$B27),0,1)))</f>
        <v>12700.079727606242</v>
      </c>
      <c r="AW27" s="72">
        <f ca="1">IF($C$4=Lookups!$D$40,SUM(INDIRECT("'Yr1'!"&amp;ADDRESS(ROW(AW27),COLUMN(AW27))),INDIRECT("'Yr2'!"&amp;ADDRESS(ROW(AW27),COLUMN(AW27))),INDIRECT("'Yr3'!"&amp;ADDRESS(ROW(AW27),COLUMN(AW27)))),
IF(AW12=0,0,-PMT(INDEX(Lookups!$E$17:$G$17,MATCH($C$4,Lookups!$E$14:$G$14,0)),AW12,SUMIFS('EE Inputs'!$K$9:$K$32,'EE Inputs'!$C$9:$C$32,$AM$6,'EE Inputs'!$D$9:$D$32,$C$4,'EE Inputs'!$E$9:$E$32,$B27),0,1)))</f>
        <v>12700.079727606242</v>
      </c>
      <c r="AX27" s="72">
        <f ca="1">IF($C$4=Lookups!$D$40,SUM(INDIRECT("'Yr1'!"&amp;ADDRESS(ROW(AX27),COLUMN(AX27))),INDIRECT("'Yr2'!"&amp;ADDRESS(ROW(AX27),COLUMN(AX27))),INDIRECT("'Yr3'!"&amp;ADDRESS(ROW(AX27),COLUMN(AX27)))),
IF(AX12=0,0,-PMT(INDEX(Lookups!$E$17:$G$17,MATCH($C$4,Lookups!$E$14:$G$14,0)),AX12,SUMIFS('EE Inputs'!$K$9:$K$32,'EE Inputs'!$C$9:$C$32,$AM$6,'EE Inputs'!$D$9:$D$32,$C$4,'EE Inputs'!$E$9:$E$32,$B27),0,1)))</f>
        <v>12700.079727606242</v>
      </c>
      <c r="AY27" s="72">
        <f ca="1">IF($C$4=Lookups!$D$40,SUM(INDIRECT("'Yr1'!"&amp;ADDRESS(ROW(AY27),COLUMN(AY27))),INDIRECT("'Yr2'!"&amp;ADDRESS(ROW(AY27),COLUMN(AY27))),INDIRECT("'Yr3'!"&amp;ADDRESS(ROW(AY27),COLUMN(AY27)))),
IF(AY12=0,0,-PMT(INDEX(Lookups!$E$17:$G$17,MATCH($C$4,Lookups!$E$14:$G$14,0)),AY12,SUMIFS('EE Inputs'!$K$9:$K$32,'EE Inputs'!$C$9:$C$32,$AM$6,'EE Inputs'!$D$9:$D$32,$C$4,'EE Inputs'!$E$9:$E$32,$B27),0,1)))</f>
        <v>12700.079727606242</v>
      </c>
      <c r="AZ27" s="72">
        <f ca="1">IF($C$4=Lookups!$D$40,SUM(INDIRECT("'Yr1'!"&amp;ADDRESS(ROW(AZ27),COLUMN(AZ27))),INDIRECT("'Yr2'!"&amp;ADDRESS(ROW(AZ27),COLUMN(AZ27))),INDIRECT("'Yr3'!"&amp;ADDRESS(ROW(AZ27),COLUMN(AZ27)))),
IF(AZ12=0,0,-PMT(INDEX(Lookups!$E$17:$G$17,MATCH($C$4,Lookups!$E$14:$G$14,0)),AZ12,SUMIFS('EE Inputs'!$K$9:$K$32,'EE Inputs'!$C$9:$C$32,$AM$6,'EE Inputs'!$D$9:$D$32,$C$4,'EE Inputs'!$E$9:$E$32,$B27),0,1)))</f>
        <v>12700.079727606242</v>
      </c>
      <c r="BA27" s="72">
        <f ca="1">IF($C$4=Lookups!$D$40,SUM(INDIRECT("'Yr1'!"&amp;ADDRESS(ROW(BA27),COLUMN(BA27))),INDIRECT("'Yr2'!"&amp;ADDRESS(ROW(BA27),COLUMN(BA27))),INDIRECT("'Yr3'!"&amp;ADDRESS(ROW(BA27),COLUMN(BA27)))),
IF(BA12=0,0,-PMT(INDEX(Lookups!$E$17:$G$17,MATCH($C$4,Lookups!$E$14:$G$14,0)),BA12,SUMIFS('EE Inputs'!$K$9:$K$32,'EE Inputs'!$C$9:$C$32,$AM$6,'EE Inputs'!$D$9:$D$32,$C$4,'EE Inputs'!$E$9:$E$32,$B27),0,1)))</f>
        <v>12700.079727606242</v>
      </c>
      <c r="BB27" s="72">
        <f ca="1">IF($C$4=Lookups!$D$40,SUM(INDIRECT("'Yr1'!"&amp;ADDRESS(ROW(BB27),COLUMN(BB27))),INDIRECT("'Yr2'!"&amp;ADDRESS(ROW(BB27),COLUMN(BB27))),INDIRECT("'Yr3'!"&amp;ADDRESS(ROW(BB27),COLUMN(BB27)))),
IF(BB12=0,0,-PMT(INDEX(Lookups!$E$17:$G$17,MATCH($C$4,Lookups!$E$14:$G$14,0)),BB12,SUMIFS('EE Inputs'!$K$9:$K$32,'EE Inputs'!$C$9:$C$32,$AM$6,'EE Inputs'!$D$9:$D$32,$C$4,'EE Inputs'!$E$9:$E$32,$B27),0,1)))</f>
        <v>12700.079727606242</v>
      </c>
      <c r="BC27" s="72">
        <f ca="1">IF($C$4=Lookups!$D$40,SUM(INDIRECT("'Yr1'!"&amp;ADDRESS(ROW(BC27),COLUMN(BC27))),INDIRECT("'Yr2'!"&amp;ADDRESS(ROW(BC27),COLUMN(BC27))),INDIRECT("'Yr3'!"&amp;ADDRESS(ROW(BC27),COLUMN(BC27)))),
IF(BC12=0,0,-PMT(INDEX(Lookups!$E$17:$G$17,MATCH($C$4,Lookups!$E$14:$G$14,0)),BC12,SUMIFS('EE Inputs'!$K$9:$K$32,'EE Inputs'!$C$9:$C$32,$AM$6,'EE Inputs'!$D$9:$D$32,$C$4,'EE Inputs'!$E$9:$E$32,$B27),0,1)))</f>
        <v>0</v>
      </c>
      <c r="BD27" s="72">
        <f ca="1">IF($C$4=Lookups!$D$40,SUM(INDIRECT("'Yr1'!"&amp;ADDRESS(ROW(BD27),COLUMN(BD27))),INDIRECT("'Yr2'!"&amp;ADDRESS(ROW(BD27),COLUMN(BD27))),INDIRECT("'Yr3'!"&amp;ADDRESS(ROW(BD27),COLUMN(BD27)))),
IF(BD12=0,0,-PMT(INDEX(Lookups!$E$17:$G$17,MATCH($C$4,Lookups!$E$14:$G$14,0)),BD12,SUMIFS('EE Inputs'!$K$9:$K$32,'EE Inputs'!$C$9:$C$32,$AM$6,'EE Inputs'!$D$9:$D$32,$C$4,'EE Inputs'!$E$9:$E$32,$B27),0,1)))</f>
        <v>0</v>
      </c>
      <c r="BE27" s="72">
        <f ca="1">IF($C$4=Lookups!$D$40,SUM(INDIRECT("'Yr1'!"&amp;ADDRESS(ROW(BE27),COLUMN(BE27))),INDIRECT("'Yr2'!"&amp;ADDRESS(ROW(BE27),COLUMN(BE27))),INDIRECT("'Yr3'!"&amp;ADDRESS(ROW(BE27),COLUMN(BE27)))),
IF(BE12=0,0,-PMT(INDEX(Lookups!$E$17:$G$17,MATCH($C$4,Lookups!$E$14:$G$14,0)),BE12,SUMIFS('EE Inputs'!$K$9:$K$32,'EE Inputs'!$C$9:$C$32,$AM$6,'EE Inputs'!$D$9:$D$32,$C$4,'EE Inputs'!$E$9:$E$32,$B27),0,1)))</f>
        <v>0</v>
      </c>
      <c r="BF27" s="72">
        <f ca="1">IF($C$4=Lookups!$D$40,SUM(INDIRECT("'Yr1'!"&amp;ADDRESS(ROW(BF27),COLUMN(BF27))),INDIRECT("'Yr2'!"&amp;ADDRESS(ROW(BF27),COLUMN(BF27))),INDIRECT("'Yr3'!"&amp;ADDRESS(ROW(BF27),COLUMN(BF27)))),
IF(BF12=0,0,-PMT(INDEX(Lookups!$E$17:$G$17,MATCH($C$4,Lookups!$E$14:$G$14,0)),BF12,SUMIFS('EE Inputs'!$K$9:$K$32,'EE Inputs'!$C$9:$C$32,$AM$6,'EE Inputs'!$D$9:$D$32,$C$4,'EE Inputs'!$E$9:$E$32,$B27),0,1)))</f>
        <v>0</v>
      </c>
      <c r="BG27" s="72">
        <f ca="1">IF($C$4=Lookups!$D$40,SUM(INDIRECT("'Yr1'!"&amp;ADDRESS(ROW(BG27),COLUMN(BG27))),INDIRECT("'Yr2'!"&amp;ADDRESS(ROW(BG27),COLUMN(BG27))),INDIRECT("'Yr3'!"&amp;ADDRESS(ROW(BG27),COLUMN(BG27)))),
IF(BG12=0,0,-PMT(INDEX(Lookups!$E$17:$G$17,MATCH($C$4,Lookups!$E$14:$G$14,0)),BG12,SUMIFS('EE Inputs'!$K$9:$K$32,'EE Inputs'!$C$9:$C$32,$AM$6,'EE Inputs'!$D$9:$D$32,$C$4,'EE Inputs'!$E$9:$E$32,$B27),0,1)))</f>
        <v>0</v>
      </c>
      <c r="BH27" s="72">
        <f ca="1">IF($C$4=Lookups!$D$40,SUM(INDIRECT("'Yr1'!"&amp;ADDRESS(ROW(BH27),COLUMN(BH27))),INDIRECT("'Yr2'!"&amp;ADDRESS(ROW(BH27),COLUMN(BH27))),INDIRECT("'Yr3'!"&amp;ADDRESS(ROW(BH27),COLUMN(BH27)))),
IF(BH12=0,0,-PMT(INDEX(Lookups!$E$17:$G$17,MATCH($C$4,Lookups!$E$14:$G$14,0)),BH12,SUMIFS('EE Inputs'!$K$9:$K$32,'EE Inputs'!$C$9:$C$32,$AM$6,'EE Inputs'!$D$9:$D$32,$C$4,'EE Inputs'!$E$9:$E$32,$B27),0,1)))</f>
        <v>0</v>
      </c>
      <c r="BI27" s="72">
        <f ca="1">IF($C$4=Lookups!$D$40,SUM(INDIRECT("'Yr1'!"&amp;ADDRESS(ROW(BI27),COLUMN(BI27))),INDIRECT("'Yr2'!"&amp;ADDRESS(ROW(BI27),COLUMN(BI27))),INDIRECT("'Yr3'!"&amp;ADDRESS(ROW(BI27),COLUMN(BI27)))),
IF(BI12=0,0,-PMT(INDEX(Lookups!$E$17:$G$17,MATCH($C$4,Lookups!$E$14:$G$14,0)),BI12,SUMIFS('EE Inputs'!$K$9:$K$32,'EE Inputs'!$C$9:$C$32,$AM$6,'EE Inputs'!$D$9:$D$32,$C$4,'EE Inputs'!$E$9:$E$32,$B27),0,1)))</f>
        <v>0</v>
      </c>
      <c r="BJ27" s="72">
        <f ca="1">IF($C$4=Lookups!$D$40,SUM(INDIRECT("'Yr1'!"&amp;ADDRESS(ROW(BJ27),COLUMN(BJ27))),INDIRECT("'Yr2'!"&amp;ADDRESS(ROW(BJ27),COLUMN(BJ27))),INDIRECT("'Yr3'!"&amp;ADDRESS(ROW(BJ27),COLUMN(BJ27)))),
IF(BJ12=0,0,-PMT(INDEX(Lookups!$E$17:$G$17,MATCH($C$4,Lookups!$E$14:$G$14,0)),BJ12,SUMIFS('EE Inputs'!$K$9:$K$32,'EE Inputs'!$C$9:$C$32,$AM$6,'EE Inputs'!$D$9:$D$32,$C$4,'EE Inputs'!$E$9:$E$32,$B27),0,1)))</f>
        <v>0</v>
      </c>
      <c r="BK27" s="72">
        <f ca="1">IF($C$4=Lookups!$D$40,SUM(INDIRECT("'Yr1'!"&amp;ADDRESS(ROW(BK27),COLUMN(BK27))),INDIRECT("'Yr2'!"&amp;ADDRESS(ROW(BK27),COLUMN(BK27))),INDIRECT("'Yr3'!"&amp;ADDRESS(ROW(BK27),COLUMN(BK27)))),
IF(BK12=0,0,-PMT(INDEX(Lookups!$E$17:$G$17,MATCH($C$4,Lookups!$E$14:$G$14,0)),BK12,SUMIFS('EE Inputs'!$K$9:$K$32,'EE Inputs'!$C$9:$C$32,$AM$6,'EE Inputs'!$D$9:$D$32,$C$4,'EE Inputs'!$E$9:$E$32,$B27),0,1)))</f>
        <v>0</v>
      </c>
      <c r="BL27" s="72">
        <f ca="1">IF($C$4=Lookups!$D$40,SUM(INDIRECT("'Yr1'!"&amp;ADDRESS(ROW(BL27),COLUMN(BL27))),INDIRECT("'Yr2'!"&amp;ADDRESS(ROW(BL27),COLUMN(BL27))),INDIRECT("'Yr3'!"&amp;ADDRESS(ROW(BL27),COLUMN(BL27)))),
IF(BL12=0,0,-PMT(INDEX(Lookups!$E$17:$G$17,MATCH($C$4,Lookups!$E$14:$G$14,0)),BL12,SUMIFS('EE Inputs'!$K$9:$K$32,'EE Inputs'!$C$9:$C$32,$AM$6,'EE Inputs'!$D$9:$D$32,$C$4,'EE Inputs'!$E$9:$E$32,$B27),0,1)))</f>
        <v>0</v>
      </c>
      <c r="BM27" s="72">
        <f ca="1">IF($C$4=Lookups!$D$40,SUM(INDIRECT("'Yr1'!"&amp;ADDRESS(ROW(BM27),COLUMN(BM27))),INDIRECT("'Yr2'!"&amp;ADDRESS(ROW(BM27),COLUMN(BM27))),INDIRECT("'Yr3'!"&amp;ADDRESS(ROW(BM27),COLUMN(BM27)))),
IF(BM12=0,0,-PMT(INDEX(Lookups!$E$17:$G$17,MATCH($C$4,Lookups!$E$14:$G$14,0)),BM12,SUMIFS('EE Inputs'!$K$9:$K$32,'EE Inputs'!$C$9:$C$32,$AM$6,'EE Inputs'!$D$9:$D$32,$C$4,'EE Inputs'!$E$9:$E$32,$B27),0,1)))</f>
        <v>0</v>
      </c>
      <c r="BN27" s="72"/>
      <c r="BO27" s="72">
        <f ca="1">NPV(Lookups!$E$17,AM27:BM27)</f>
        <v>168190.08002279588</v>
      </c>
      <c r="BP27" s="72"/>
      <c r="BS27" s="84" t="str">
        <f>"Avoided "&amp;E27&amp;" costs."</f>
        <v>Avoided Gas DRIPE costs.</v>
      </c>
      <c r="BT27" s="51" t="s">
        <v>17</v>
      </c>
    </row>
    <row r="28" spans="1:72" x14ac:dyDescent="0.25">
      <c r="B28" s="243" t="str">
        <f t="shared" ref="B28:C39" si="13">B27</f>
        <v>Residential</v>
      </c>
      <c r="C28" s="243" t="str">
        <f t="shared" si="13"/>
        <v>Revenue Requirements</v>
      </c>
      <c r="D28" s="114" t="s">
        <v>165</v>
      </c>
      <c r="E28" s="84"/>
      <c r="F28" s="84"/>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65"/>
      <c r="AJ28" s="65"/>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S28" s="84"/>
      <c r="BT28" s="51" t="s">
        <v>17</v>
      </c>
    </row>
    <row r="29" spans="1:72" x14ac:dyDescent="0.25">
      <c r="A29" s="476"/>
      <c r="B29" s="243" t="str">
        <f t="shared" si="13"/>
        <v>Residential</v>
      </c>
      <c r="C29" s="243" t="str">
        <f t="shared" si="13"/>
        <v>Revenue Requirements</v>
      </c>
      <c r="D29" s="244" t="str">
        <f>D28</f>
        <v>Increased Costs and Cost Shifting</v>
      </c>
      <c r="E29" s="84" t="s">
        <v>406</v>
      </c>
      <c r="F29" s="84" t="s">
        <v>32</v>
      </c>
      <c r="G29" s="64">
        <f ca="1">IF($C$4=Lookups!$D$40,SUM(INDIRECT("'Yr1'!"&amp;ADDRESS(ROW(G29),COLUMN(G29))),INDIRECT("'Yr2'!"&amp;ADDRESS(ROW(G29),COLUMN(G29))),INDIRECT("'Yr3'!"&amp;ADDRESS(ROW(G29),COLUMN(G29)))),
IF($C$4=G$7,G49*G17,0))</f>
        <v>0</v>
      </c>
      <c r="H29" s="64">
        <f ca="1">IF($C$4=Lookups!$D$40,SUM(INDIRECT("'Yr1'!"&amp;ADDRESS(ROW(H29),COLUMN(H29))),INDIRECT("'Yr2'!"&amp;ADDRESS(ROW(H29),COLUMN(H29))),INDIRECT("'Yr3'!"&amp;ADDRESS(ROW(H29),COLUMN(H29)))),
IF($C$4=H$7,H49*H17,0))</f>
        <v>3875610.9189323569</v>
      </c>
      <c r="I29" s="64">
        <f ca="1">IF($C$4=Lookups!$D$40,SUM(INDIRECT("'Yr1'!"&amp;ADDRESS(ROW(I29),COLUMN(I29))),INDIRECT("'Yr2'!"&amp;ADDRESS(ROW(I29),COLUMN(I29))),INDIRECT("'Yr3'!"&amp;ADDRESS(ROW(I29),COLUMN(I29)))),
IF($C$4=I$7,I49*I17,0))</f>
        <v>0</v>
      </c>
      <c r="J29" s="64">
        <f ca="1">IF($C$4=Lookups!$D$40,SUM(INDIRECT("'Yr1'!"&amp;ADDRESS(ROW(J29),COLUMN(J29))),INDIRECT("'Yr2'!"&amp;ADDRESS(ROW(J29),COLUMN(J29))),INDIRECT("'Yr3'!"&amp;ADDRESS(ROW(J29),COLUMN(J29)))),
IF($C$4=J$7,J49*J17,0))</f>
        <v>0</v>
      </c>
      <c r="K29" s="64">
        <f ca="1">IF($C$4=Lookups!$D$40,SUM(INDIRECT("'Yr1'!"&amp;ADDRESS(ROW(K29),COLUMN(K29))),INDIRECT("'Yr2'!"&amp;ADDRESS(ROW(K29),COLUMN(K29))),INDIRECT("'Yr3'!"&amp;ADDRESS(ROW(K29),COLUMN(K29)))),
IF($C$4=K$7,K49*K17,0))</f>
        <v>0</v>
      </c>
      <c r="L29" s="64">
        <f ca="1">IF($C$4=Lookups!$D$40,SUM(INDIRECT("'Yr1'!"&amp;ADDRESS(ROW(L29),COLUMN(L29))),INDIRECT("'Yr2'!"&amp;ADDRESS(ROW(L29),COLUMN(L29))),INDIRECT("'Yr3'!"&amp;ADDRESS(ROW(L29),COLUMN(L29)))),
IF($C$4=L$7,L49*L17,0))</f>
        <v>0</v>
      </c>
      <c r="M29" s="64">
        <f ca="1">IF($C$4=Lookups!$D$40,SUM(INDIRECT("'Yr1'!"&amp;ADDRESS(ROW(M29),COLUMN(M29))),INDIRECT("'Yr2'!"&amp;ADDRESS(ROW(M29),COLUMN(M29))),INDIRECT("'Yr3'!"&amp;ADDRESS(ROW(M29),COLUMN(M29)))),
IF($C$4=M$7,M49*M17,0))</f>
        <v>0</v>
      </c>
      <c r="N29" s="64">
        <f ca="1">IF($C$4=Lookups!$D$40,SUM(INDIRECT("'Yr1'!"&amp;ADDRESS(ROW(N29),COLUMN(N29))),INDIRECT("'Yr2'!"&amp;ADDRESS(ROW(N29),COLUMN(N29))),INDIRECT("'Yr3'!"&amp;ADDRESS(ROW(N29),COLUMN(N29)))),
IF($C$4=N$7,N49*N17,0))</f>
        <v>0</v>
      </c>
      <c r="O29" s="64">
        <f ca="1">IF($C$4=Lookups!$D$40,SUM(INDIRECT("'Yr1'!"&amp;ADDRESS(ROW(O29),COLUMN(O29))),INDIRECT("'Yr2'!"&amp;ADDRESS(ROW(O29),COLUMN(O29))),INDIRECT("'Yr3'!"&amp;ADDRESS(ROW(O29),COLUMN(O29)))),
IF($C$4=O$7,O49*O17,0))</f>
        <v>0</v>
      </c>
      <c r="P29" s="64">
        <f ca="1">IF($C$4=Lookups!$D$40,SUM(INDIRECT("'Yr1'!"&amp;ADDRESS(ROW(P29),COLUMN(P29))),INDIRECT("'Yr2'!"&amp;ADDRESS(ROW(P29),COLUMN(P29))),INDIRECT("'Yr3'!"&amp;ADDRESS(ROW(P29),COLUMN(P29)))),
IF($C$4=P$7,P49*P17,0))</f>
        <v>0</v>
      </c>
      <c r="Q29" s="64">
        <f ca="1">IF($C$4=Lookups!$D$40,SUM(INDIRECT("'Yr1'!"&amp;ADDRESS(ROW(Q29),COLUMN(Q29))),INDIRECT("'Yr2'!"&amp;ADDRESS(ROW(Q29),COLUMN(Q29))),INDIRECT("'Yr3'!"&amp;ADDRESS(ROW(Q29),COLUMN(Q29)))),
IF($C$4=Q$7,Q49*Q17,0))</f>
        <v>0</v>
      </c>
      <c r="R29" s="64">
        <f ca="1">IF($C$4=Lookups!$D$40,SUM(INDIRECT("'Yr1'!"&amp;ADDRESS(ROW(R29),COLUMN(R29))),INDIRECT("'Yr2'!"&amp;ADDRESS(ROW(R29),COLUMN(R29))),INDIRECT("'Yr3'!"&amp;ADDRESS(ROW(R29),COLUMN(R29)))),
IF($C$4=R$7,R49*R17,0))</f>
        <v>0</v>
      </c>
      <c r="S29" s="64">
        <f ca="1">IF($C$4=Lookups!$D$40,SUM(INDIRECT("'Yr1'!"&amp;ADDRESS(ROW(S29),COLUMN(S29))),INDIRECT("'Yr2'!"&amp;ADDRESS(ROW(S29),COLUMN(S29))),INDIRECT("'Yr3'!"&amp;ADDRESS(ROW(S29),COLUMN(S29)))),
IF($C$4=S$7,S49*S17,0))</f>
        <v>0</v>
      </c>
      <c r="T29" s="64">
        <f ca="1">IF($C$4=Lookups!$D$40,SUM(INDIRECT("'Yr1'!"&amp;ADDRESS(ROW(T29),COLUMN(T29))),INDIRECT("'Yr2'!"&amp;ADDRESS(ROW(T29),COLUMN(T29))),INDIRECT("'Yr3'!"&amp;ADDRESS(ROW(T29),COLUMN(T29)))),
IF($C$4=T$7,T49*T17,0))</f>
        <v>0</v>
      </c>
      <c r="U29" s="64">
        <f ca="1">IF($C$4=Lookups!$D$40,SUM(INDIRECT("'Yr1'!"&amp;ADDRESS(ROW(U29),COLUMN(U29))),INDIRECT("'Yr2'!"&amp;ADDRESS(ROW(U29),COLUMN(U29))),INDIRECT("'Yr3'!"&amp;ADDRESS(ROW(U29),COLUMN(U29)))),
IF($C$4=U$7,U49*U17,0))</f>
        <v>0</v>
      </c>
      <c r="V29" s="64">
        <f ca="1">IF($C$4=Lookups!$D$40,SUM(INDIRECT("'Yr1'!"&amp;ADDRESS(ROW(V29),COLUMN(V29))),INDIRECT("'Yr2'!"&amp;ADDRESS(ROW(V29),COLUMN(V29))),INDIRECT("'Yr3'!"&amp;ADDRESS(ROW(V29),COLUMN(V29)))),
IF($C$4=V$7,V49*V17,0))</f>
        <v>0</v>
      </c>
      <c r="W29" s="64">
        <f ca="1">IF($C$4=Lookups!$D$40,SUM(INDIRECT("'Yr1'!"&amp;ADDRESS(ROW(W29),COLUMN(W29))),INDIRECT("'Yr2'!"&amp;ADDRESS(ROW(W29),COLUMN(W29))),INDIRECT("'Yr3'!"&amp;ADDRESS(ROW(W29),COLUMN(W29)))),
IF($C$4=W$7,W49*W17,0))</f>
        <v>0</v>
      </c>
      <c r="X29" s="64">
        <f ca="1">IF($C$4=Lookups!$D$40,SUM(INDIRECT("'Yr1'!"&amp;ADDRESS(ROW(X29),COLUMN(X29))),INDIRECT("'Yr2'!"&amp;ADDRESS(ROW(X29),COLUMN(X29))),INDIRECT("'Yr3'!"&amp;ADDRESS(ROW(X29),COLUMN(X29)))),
IF($C$4=X$7,X49*X17,0))</f>
        <v>0</v>
      </c>
      <c r="Y29" s="64">
        <f ca="1">IF($C$4=Lookups!$D$40,SUM(INDIRECT("'Yr1'!"&amp;ADDRESS(ROW(Y29),COLUMN(Y29))),INDIRECT("'Yr2'!"&amp;ADDRESS(ROW(Y29),COLUMN(Y29))),INDIRECT("'Yr3'!"&amp;ADDRESS(ROW(Y29),COLUMN(Y29)))),
IF($C$4=Y$7,Y49*Y17,0))</f>
        <v>0</v>
      </c>
      <c r="Z29" s="64">
        <f ca="1">IF($C$4=Lookups!$D$40,SUM(INDIRECT("'Yr1'!"&amp;ADDRESS(ROW(Z29),COLUMN(Z29))),INDIRECT("'Yr2'!"&amp;ADDRESS(ROW(Z29),COLUMN(Z29))),INDIRECT("'Yr3'!"&amp;ADDRESS(ROW(Z29),COLUMN(Z29)))),
IF($C$4=Z$7,Z49*Z17,0))</f>
        <v>0</v>
      </c>
      <c r="AA29" s="64">
        <f ca="1">IF($C$4=Lookups!$D$40,SUM(INDIRECT("'Yr1'!"&amp;ADDRESS(ROW(AA29),COLUMN(AA29))),INDIRECT("'Yr2'!"&amp;ADDRESS(ROW(AA29),COLUMN(AA29))),INDIRECT("'Yr3'!"&amp;ADDRESS(ROW(AA29),COLUMN(AA29)))),
IF($C$4=AA$7,AA49*AA17,0))</f>
        <v>0</v>
      </c>
      <c r="AB29" s="64">
        <f ca="1">IF($C$4=Lookups!$D$40,SUM(INDIRECT("'Yr1'!"&amp;ADDRESS(ROW(AB29),COLUMN(AB29))),INDIRECT("'Yr2'!"&amp;ADDRESS(ROW(AB29),COLUMN(AB29))),INDIRECT("'Yr3'!"&amp;ADDRESS(ROW(AB29),COLUMN(AB29)))),
IF($C$4=AB$7,AB49*AB17,0))</f>
        <v>0</v>
      </c>
      <c r="AC29" s="64">
        <f ca="1">IF($C$4=Lookups!$D$40,SUM(INDIRECT("'Yr1'!"&amp;ADDRESS(ROW(AC29),COLUMN(AC29))),INDIRECT("'Yr2'!"&amp;ADDRESS(ROW(AC29),COLUMN(AC29))),INDIRECT("'Yr3'!"&amp;ADDRESS(ROW(AC29),COLUMN(AC29)))),
IF($C$4=AC$7,AC49*AC17,0))</f>
        <v>0</v>
      </c>
      <c r="AD29" s="64">
        <f ca="1">IF($C$4=Lookups!$D$40,SUM(INDIRECT("'Yr1'!"&amp;ADDRESS(ROW(AD29),COLUMN(AD29))),INDIRECT("'Yr2'!"&amp;ADDRESS(ROW(AD29),COLUMN(AD29))),INDIRECT("'Yr3'!"&amp;ADDRESS(ROW(AD29),COLUMN(AD29)))),
IF($C$4=AD$7,AD49*AD17,0))</f>
        <v>0</v>
      </c>
      <c r="AE29" s="64">
        <f ca="1">IF($C$4=Lookups!$D$40,SUM(INDIRECT("'Yr1'!"&amp;ADDRESS(ROW(AE29),COLUMN(AE29))),INDIRECT("'Yr2'!"&amp;ADDRESS(ROW(AE29),COLUMN(AE29))),INDIRECT("'Yr3'!"&amp;ADDRESS(ROW(AE29),COLUMN(AE29)))),
IF($C$4=AE$7,AE49*AE17,0))</f>
        <v>0</v>
      </c>
      <c r="AF29" s="64">
        <f ca="1">IF($C$4=Lookups!$D$40,SUM(INDIRECT("'Yr1'!"&amp;ADDRESS(ROW(AF29),COLUMN(AF29))),INDIRECT("'Yr2'!"&amp;ADDRESS(ROW(AF29),COLUMN(AF29))),INDIRECT("'Yr3'!"&amp;ADDRESS(ROW(AF29),COLUMN(AF29)))),
IF($C$4=AF$7,AF49*AF17,0))</f>
        <v>0</v>
      </c>
      <c r="AG29" s="64">
        <f ca="1">IF($C$4=Lookups!$D$40,SUM(INDIRECT("'Yr1'!"&amp;ADDRESS(ROW(AG29),COLUMN(AG29))),INDIRECT("'Yr2'!"&amp;ADDRESS(ROW(AG29),COLUMN(AG29))),INDIRECT("'Yr3'!"&amp;ADDRESS(ROW(AG29),COLUMN(AG29)))),
IF($C$4=AG$7,AG49*AG17,0))</f>
        <v>0</v>
      </c>
      <c r="AH29" s="49"/>
      <c r="AI29" s="65">
        <f ca="1">NPV(Lookups!$E$17,G29:AG29)</f>
        <v>3768260.5613830034</v>
      </c>
      <c r="AJ29" s="65"/>
      <c r="AM29" s="71">
        <f ca="1">IF($C$4=Lookups!$D$40,SUM(INDIRECT("'Yr1'!"&amp;ADDRESS(ROW(AM29),COLUMN(AM29))),INDIRECT("'Yr2'!"&amp;ADDRESS(ROW(AM29),COLUMN(AM29))),INDIRECT("'Yr3'!"&amp;ADDRESS(ROW(AM29),COLUMN(AM29)))),
IF($C$4=AM$7,AM49*AM17,0))</f>
        <v>0</v>
      </c>
      <c r="AN29" s="71">
        <f ca="1">IF($C$4=Lookups!$D$40,SUM(INDIRECT("'Yr1'!"&amp;ADDRESS(ROW(AN29),COLUMN(AN29))),INDIRECT("'Yr2'!"&amp;ADDRESS(ROW(AN29),COLUMN(AN29))),INDIRECT("'Yr3'!"&amp;ADDRESS(ROW(AN29),COLUMN(AN29)))),
IF($C$4=AN$7,AN49*AN17,0))</f>
        <v>4646385.3671142701</v>
      </c>
      <c r="AO29" s="71">
        <f ca="1">IF($C$4=Lookups!$D$40,SUM(INDIRECT("'Yr1'!"&amp;ADDRESS(ROW(AO29),COLUMN(AO29))),INDIRECT("'Yr2'!"&amp;ADDRESS(ROW(AO29),COLUMN(AO29))),INDIRECT("'Yr3'!"&amp;ADDRESS(ROW(AO29),COLUMN(AO29)))),
IF($C$4=AO$7,AO49*AO17,0))</f>
        <v>0</v>
      </c>
      <c r="AP29" s="71">
        <f ca="1">IF($C$4=Lookups!$D$40,SUM(INDIRECT("'Yr1'!"&amp;ADDRESS(ROW(AP29),COLUMN(AP29))),INDIRECT("'Yr2'!"&amp;ADDRESS(ROW(AP29),COLUMN(AP29))),INDIRECT("'Yr3'!"&amp;ADDRESS(ROW(AP29),COLUMN(AP29)))),
IF($C$4=AP$7,AP49*AP17,0))</f>
        <v>0</v>
      </c>
      <c r="AQ29" s="71">
        <f ca="1">IF($C$4=Lookups!$D$40,SUM(INDIRECT("'Yr1'!"&amp;ADDRESS(ROW(AQ29),COLUMN(AQ29))),INDIRECT("'Yr2'!"&amp;ADDRESS(ROW(AQ29),COLUMN(AQ29))),INDIRECT("'Yr3'!"&amp;ADDRESS(ROW(AQ29),COLUMN(AQ29)))),
IF($C$4=AQ$7,AQ49*AQ17,0))</f>
        <v>0</v>
      </c>
      <c r="AR29" s="71">
        <f ca="1">IF($C$4=Lookups!$D$40,SUM(INDIRECT("'Yr1'!"&amp;ADDRESS(ROW(AR29),COLUMN(AR29))),INDIRECT("'Yr2'!"&amp;ADDRESS(ROW(AR29),COLUMN(AR29))),INDIRECT("'Yr3'!"&amp;ADDRESS(ROW(AR29),COLUMN(AR29)))),
IF($C$4=AR$7,AR49*AR17,0))</f>
        <v>0</v>
      </c>
      <c r="AS29" s="71">
        <f ca="1">IF($C$4=Lookups!$D$40,SUM(INDIRECT("'Yr1'!"&amp;ADDRESS(ROW(AS29),COLUMN(AS29))),INDIRECT("'Yr2'!"&amp;ADDRESS(ROW(AS29),COLUMN(AS29))),INDIRECT("'Yr3'!"&amp;ADDRESS(ROW(AS29),COLUMN(AS29)))),
IF($C$4=AS$7,AS49*AS17,0))</f>
        <v>0</v>
      </c>
      <c r="AT29" s="71">
        <f ca="1">IF($C$4=Lookups!$D$40,SUM(INDIRECT("'Yr1'!"&amp;ADDRESS(ROW(AT29),COLUMN(AT29))),INDIRECT("'Yr2'!"&amp;ADDRESS(ROW(AT29),COLUMN(AT29))),INDIRECT("'Yr3'!"&amp;ADDRESS(ROW(AT29),COLUMN(AT29)))),
IF($C$4=AT$7,AT49*AT17,0))</f>
        <v>0</v>
      </c>
      <c r="AU29" s="71">
        <f ca="1">IF($C$4=Lookups!$D$40,SUM(INDIRECT("'Yr1'!"&amp;ADDRESS(ROW(AU29),COLUMN(AU29))),INDIRECT("'Yr2'!"&amp;ADDRESS(ROW(AU29),COLUMN(AU29))),INDIRECT("'Yr3'!"&amp;ADDRESS(ROW(AU29),COLUMN(AU29)))),
IF($C$4=AU$7,AU49*AU17,0))</f>
        <v>0</v>
      </c>
      <c r="AV29" s="71">
        <f ca="1">IF($C$4=Lookups!$D$40,SUM(INDIRECT("'Yr1'!"&amp;ADDRESS(ROW(AV29),COLUMN(AV29))),INDIRECT("'Yr2'!"&amp;ADDRESS(ROW(AV29),COLUMN(AV29))),INDIRECT("'Yr3'!"&amp;ADDRESS(ROW(AV29),COLUMN(AV29)))),
IF($C$4=AV$7,AV49*AV17,0))</f>
        <v>0</v>
      </c>
      <c r="AW29" s="71">
        <f ca="1">IF($C$4=Lookups!$D$40,SUM(INDIRECT("'Yr1'!"&amp;ADDRESS(ROW(AW29),COLUMN(AW29))),INDIRECT("'Yr2'!"&amp;ADDRESS(ROW(AW29),COLUMN(AW29))),INDIRECT("'Yr3'!"&amp;ADDRESS(ROW(AW29),COLUMN(AW29)))),
IF($C$4=AW$7,AW49*AW17,0))</f>
        <v>0</v>
      </c>
      <c r="AX29" s="71">
        <f ca="1">IF($C$4=Lookups!$D$40,SUM(INDIRECT("'Yr1'!"&amp;ADDRESS(ROW(AX29),COLUMN(AX29))),INDIRECT("'Yr2'!"&amp;ADDRESS(ROW(AX29),COLUMN(AX29))),INDIRECT("'Yr3'!"&amp;ADDRESS(ROW(AX29),COLUMN(AX29)))),
IF($C$4=AX$7,AX49*AX17,0))</f>
        <v>0</v>
      </c>
      <c r="AY29" s="71">
        <f ca="1">IF($C$4=Lookups!$D$40,SUM(INDIRECT("'Yr1'!"&amp;ADDRESS(ROW(AY29),COLUMN(AY29))),INDIRECT("'Yr2'!"&amp;ADDRESS(ROW(AY29),COLUMN(AY29))),INDIRECT("'Yr3'!"&amp;ADDRESS(ROW(AY29),COLUMN(AY29)))),
IF($C$4=AY$7,AY49*AY17,0))</f>
        <v>0</v>
      </c>
      <c r="AZ29" s="71">
        <f ca="1">IF($C$4=Lookups!$D$40,SUM(INDIRECT("'Yr1'!"&amp;ADDRESS(ROW(AZ29),COLUMN(AZ29))),INDIRECT("'Yr2'!"&amp;ADDRESS(ROW(AZ29),COLUMN(AZ29))),INDIRECT("'Yr3'!"&amp;ADDRESS(ROW(AZ29),COLUMN(AZ29)))),
IF($C$4=AZ$7,AZ49*AZ17,0))</f>
        <v>0</v>
      </c>
      <c r="BA29" s="71">
        <f ca="1">IF($C$4=Lookups!$D$40,SUM(INDIRECT("'Yr1'!"&amp;ADDRESS(ROW(BA29),COLUMN(BA29))),INDIRECT("'Yr2'!"&amp;ADDRESS(ROW(BA29),COLUMN(BA29))),INDIRECT("'Yr3'!"&amp;ADDRESS(ROW(BA29),COLUMN(BA29)))),
IF($C$4=BA$7,BA49*BA17,0))</f>
        <v>0</v>
      </c>
      <c r="BB29" s="71">
        <f ca="1">IF($C$4=Lookups!$D$40,SUM(INDIRECT("'Yr1'!"&amp;ADDRESS(ROW(BB29),COLUMN(BB29))),INDIRECT("'Yr2'!"&amp;ADDRESS(ROW(BB29),COLUMN(BB29))),INDIRECT("'Yr3'!"&amp;ADDRESS(ROW(BB29),COLUMN(BB29)))),
IF($C$4=BB$7,BB49*BB17,0))</f>
        <v>0</v>
      </c>
      <c r="BC29" s="71">
        <f ca="1">IF($C$4=Lookups!$D$40,SUM(INDIRECT("'Yr1'!"&amp;ADDRESS(ROW(BC29),COLUMN(BC29))),INDIRECT("'Yr2'!"&amp;ADDRESS(ROW(BC29),COLUMN(BC29))),INDIRECT("'Yr3'!"&amp;ADDRESS(ROW(BC29),COLUMN(BC29)))),
IF($C$4=BC$7,BC49*BC17,0))</f>
        <v>0</v>
      </c>
      <c r="BD29" s="71">
        <f ca="1">IF($C$4=Lookups!$D$40,SUM(INDIRECT("'Yr1'!"&amp;ADDRESS(ROW(BD29),COLUMN(BD29))),INDIRECT("'Yr2'!"&amp;ADDRESS(ROW(BD29),COLUMN(BD29))),INDIRECT("'Yr3'!"&amp;ADDRESS(ROW(BD29),COLUMN(BD29)))),
IF($C$4=BD$7,BD49*BD17,0))</f>
        <v>0</v>
      </c>
      <c r="BE29" s="71">
        <f ca="1">IF($C$4=Lookups!$D$40,SUM(INDIRECT("'Yr1'!"&amp;ADDRESS(ROW(BE29),COLUMN(BE29))),INDIRECT("'Yr2'!"&amp;ADDRESS(ROW(BE29),COLUMN(BE29))),INDIRECT("'Yr3'!"&amp;ADDRESS(ROW(BE29),COLUMN(BE29)))),
IF($C$4=BE$7,BE49*BE17,0))</f>
        <v>0</v>
      </c>
      <c r="BF29" s="71">
        <f ca="1">IF($C$4=Lookups!$D$40,SUM(INDIRECT("'Yr1'!"&amp;ADDRESS(ROW(BF29),COLUMN(BF29))),INDIRECT("'Yr2'!"&amp;ADDRESS(ROW(BF29),COLUMN(BF29))),INDIRECT("'Yr3'!"&amp;ADDRESS(ROW(BF29),COLUMN(BF29)))),
IF($C$4=BF$7,BF49*BF17,0))</f>
        <v>0</v>
      </c>
      <c r="BG29" s="71">
        <f ca="1">IF($C$4=Lookups!$D$40,SUM(INDIRECT("'Yr1'!"&amp;ADDRESS(ROW(BG29),COLUMN(BG29))),INDIRECT("'Yr2'!"&amp;ADDRESS(ROW(BG29),COLUMN(BG29))),INDIRECT("'Yr3'!"&amp;ADDRESS(ROW(BG29),COLUMN(BG29)))),
IF($C$4=BG$7,BG49*BG17,0))</f>
        <v>0</v>
      </c>
      <c r="BH29" s="71">
        <f ca="1">IF($C$4=Lookups!$D$40,SUM(INDIRECT("'Yr1'!"&amp;ADDRESS(ROW(BH29),COLUMN(BH29))),INDIRECT("'Yr2'!"&amp;ADDRESS(ROW(BH29),COLUMN(BH29))),INDIRECT("'Yr3'!"&amp;ADDRESS(ROW(BH29),COLUMN(BH29)))),
IF($C$4=BH$7,BH49*BH17,0))</f>
        <v>0</v>
      </c>
      <c r="BI29" s="71">
        <f ca="1">IF($C$4=Lookups!$D$40,SUM(INDIRECT("'Yr1'!"&amp;ADDRESS(ROW(BI29),COLUMN(BI29))),INDIRECT("'Yr2'!"&amp;ADDRESS(ROW(BI29),COLUMN(BI29))),INDIRECT("'Yr3'!"&amp;ADDRESS(ROW(BI29),COLUMN(BI29)))),
IF($C$4=BI$7,BI49*BI17,0))</f>
        <v>0</v>
      </c>
      <c r="BJ29" s="71">
        <f ca="1">IF($C$4=Lookups!$D$40,SUM(INDIRECT("'Yr1'!"&amp;ADDRESS(ROW(BJ29),COLUMN(BJ29))),INDIRECT("'Yr2'!"&amp;ADDRESS(ROW(BJ29),COLUMN(BJ29))),INDIRECT("'Yr3'!"&amp;ADDRESS(ROW(BJ29),COLUMN(BJ29)))),
IF($C$4=BJ$7,BJ49*BJ17,0))</f>
        <v>0</v>
      </c>
      <c r="BK29" s="71">
        <f ca="1">IF($C$4=Lookups!$D$40,SUM(INDIRECT("'Yr1'!"&amp;ADDRESS(ROW(BK29),COLUMN(BK29))),INDIRECT("'Yr2'!"&amp;ADDRESS(ROW(BK29),COLUMN(BK29))),INDIRECT("'Yr3'!"&amp;ADDRESS(ROW(BK29),COLUMN(BK29)))),
IF($C$4=BK$7,BK49*BK17,0))</f>
        <v>0</v>
      </c>
      <c r="BL29" s="71">
        <f ca="1">IF($C$4=Lookups!$D$40,SUM(INDIRECT("'Yr1'!"&amp;ADDRESS(ROW(BL29),COLUMN(BL29))),INDIRECT("'Yr2'!"&amp;ADDRESS(ROW(BL29),COLUMN(BL29))),INDIRECT("'Yr3'!"&amp;ADDRESS(ROW(BL29),COLUMN(BL29)))),
IF($C$4=BL$7,BL49*BL17,0))</f>
        <v>0</v>
      </c>
      <c r="BM29" s="71">
        <f ca="1">IF($C$4=Lookups!$D$40,SUM(INDIRECT("'Yr1'!"&amp;ADDRESS(ROW(BM29),COLUMN(BM29))),INDIRECT("'Yr2'!"&amp;ADDRESS(ROW(BM29),COLUMN(BM29))),INDIRECT("'Yr3'!"&amp;ADDRESS(ROW(BM29),COLUMN(BM29)))),
IF($C$4=BM$7,BM49*BM17,0))</f>
        <v>0</v>
      </c>
      <c r="BN29" s="71"/>
      <c r="BO29" s="71">
        <f ca="1">NPV(Lookups!$E$17,AM29:BM29)</f>
        <v>4517685.3657712033</v>
      </c>
      <c r="BP29" s="72"/>
      <c r="BS29" s="84" t="str">
        <f>E29&amp;" rate multiplied by After DSM sales."</f>
        <v>LDAC, EE Only rate multiplied by After DSM sales.</v>
      </c>
      <c r="BT29" s="51" t="s">
        <v>17</v>
      </c>
    </row>
    <row r="30" spans="1:72" x14ac:dyDescent="0.25">
      <c r="A30" s="476"/>
      <c r="B30" s="243" t="str">
        <f t="shared" si="13"/>
        <v>Residential</v>
      </c>
      <c r="C30" s="243" t="str">
        <f t="shared" si="13"/>
        <v>Revenue Requirements</v>
      </c>
      <c r="D30" s="244" t="str">
        <f>D29</f>
        <v>Increased Costs and Cost Shifting</v>
      </c>
      <c r="E30" s="86" t="s">
        <v>198</v>
      </c>
      <c r="F30" s="84" t="s">
        <v>32</v>
      </c>
      <c r="G30" s="64">
        <f ca="1">IF($C$4=Lookups!$D$40,SUM(INDIRECT("'Yr1'!"&amp;ADDRESS(ROW(G30),COLUMN(G30))),INDIRECT("'Yr2'!"&amp;ADDRESS(ROW(G30),COLUMN(G30))),INDIRECT("'Yr3'!"&amp;ADDRESS(ROW(G30),COLUMN(G30)))),
G50*G17)</f>
        <v>0</v>
      </c>
      <c r="H30" s="64">
        <f ca="1">IF($C$4=Lookups!$D$40,SUM(INDIRECT("'Yr1'!"&amp;ADDRESS(ROW(H30),COLUMN(H30))),INDIRECT("'Yr2'!"&amp;ADDRESS(ROW(H30),COLUMN(H30))),INDIRECT("'Yr3'!"&amp;ADDRESS(ROW(H30),COLUMN(H30)))),
H50*H17)</f>
        <v>211783.00264729979</v>
      </c>
      <c r="I30" s="64">
        <f ca="1">IF($C$4=Lookups!$D$40,SUM(INDIRECT("'Yr1'!"&amp;ADDRESS(ROW(I30),COLUMN(I30))),INDIRECT("'Yr2'!"&amp;ADDRESS(ROW(I30),COLUMN(I30))),INDIRECT("'Yr3'!"&amp;ADDRESS(ROW(I30),COLUMN(I30)))),
I50*I17)</f>
        <v>211783.00264729979</v>
      </c>
      <c r="J30" s="64">
        <f ca="1">IF($C$4=Lookups!$D$40,SUM(INDIRECT("'Yr1'!"&amp;ADDRESS(ROW(J30),COLUMN(J30))),INDIRECT("'Yr2'!"&amp;ADDRESS(ROW(J30),COLUMN(J30))),INDIRECT("'Yr3'!"&amp;ADDRESS(ROW(J30),COLUMN(J30)))),
J50*J17)</f>
        <v>211783.00264729979</v>
      </c>
      <c r="K30" s="64">
        <f ca="1">IF($C$4=Lookups!$D$40,SUM(INDIRECT("'Yr1'!"&amp;ADDRESS(ROW(K30),COLUMN(K30))),INDIRECT("'Yr2'!"&amp;ADDRESS(ROW(K30),COLUMN(K30))),INDIRECT("'Yr3'!"&amp;ADDRESS(ROW(K30),COLUMN(K30)))),
K50*K17)</f>
        <v>211783.00264729979</v>
      </c>
      <c r="L30" s="64">
        <f ca="1">IF($C$4=Lookups!$D$40,SUM(INDIRECT("'Yr1'!"&amp;ADDRESS(ROW(L30),COLUMN(L30))),INDIRECT("'Yr2'!"&amp;ADDRESS(ROW(L30),COLUMN(L30))),INDIRECT("'Yr3'!"&amp;ADDRESS(ROW(L30),COLUMN(L30)))),
L50*L17)</f>
        <v>211783.00264729979</v>
      </c>
      <c r="M30" s="64">
        <f ca="1">IF($C$4=Lookups!$D$40,SUM(INDIRECT("'Yr1'!"&amp;ADDRESS(ROW(M30),COLUMN(M30))),INDIRECT("'Yr2'!"&amp;ADDRESS(ROW(M30),COLUMN(M30))),INDIRECT("'Yr3'!"&amp;ADDRESS(ROW(M30),COLUMN(M30)))),
M50*M17)</f>
        <v>211783.00264729979</v>
      </c>
      <c r="N30" s="64">
        <f ca="1">IF($C$4=Lookups!$D$40,SUM(INDIRECT("'Yr1'!"&amp;ADDRESS(ROW(N30),COLUMN(N30))),INDIRECT("'Yr2'!"&amp;ADDRESS(ROW(N30),COLUMN(N30))),INDIRECT("'Yr3'!"&amp;ADDRESS(ROW(N30),COLUMN(N30)))),
N50*N17)</f>
        <v>211783.00264729979</v>
      </c>
      <c r="O30" s="64">
        <f ca="1">IF($C$4=Lookups!$D$40,SUM(INDIRECT("'Yr1'!"&amp;ADDRESS(ROW(O30),COLUMN(O30))),INDIRECT("'Yr2'!"&amp;ADDRESS(ROW(O30),COLUMN(O30))),INDIRECT("'Yr3'!"&amp;ADDRESS(ROW(O30),COLUMN(O30)))),
O50*O17)</f>
        <v>211783.00264729979</v>
      </c>
      <c r="P30" s="64">
        <f ca="1">IF($C$4=Lookups!$D$40,SUM(INDIRECT("'Yr1'!"&amp;ADDRESS(ROW(P30),COLUMN(P30))),INDIRECT("'Yr2'!"&amp;ADDRESS(ROW(P30),COLUMN(P30))),INDIRECT("'Yr3'!"&amp;ADDRESS(ROW(P30),COLUMN(P30)))),
P50*P17)</f>
        <v>211783.00264729979</v>
      </c>
      <c r="Q30" s="64">
        <f ca="1">IF($C$4=Lookups!$D$40,SUM(INDIRECT("'Yr1'!"&amp;ADDRESS(ROW(Q30),COLUMN(Q30))),INDIRECT("'Yr2'!"&amp;ADDRESS(ROW(Q30),COLUMN(Q30))),INDIRECT("'Yr3'!"&amp;ADDRESS(ROW(Q30),COLUMN(Q30)))),
Q50*Q17)</f>
        <v>211783.00264729979</v>
      </c>
      <c r="R30" s="64">
        <f ca="1">IF($C$4=Lookups!$D$40,SUM(INDIRECT("'Yr1'!"&amp;ADDRESS(ROW(R30),COLUMN(R30))),INDIRECT("'Yr2'!"&amp;ADDRESS(ROW(R30),COLUMN(R30))),INDIRECT("'Yr3'!"&amp;ADDRESS(ROW(R30),COLUMN(R30)))),
R50*R17)</f>
        <v>211783.00264729979</v>
      </c>
      <c r="S30" s="64">
        <f ca="1">IF($C$4=Lookups!$D$40,SUM(INDIRECT("'Yr1'!"&amp;ADDRESS(ROW(S30),COLUMN(S30))),INDIRECT("'Yr2'!"&amp;ADDRESS(ROW(S30),COLUMN(S30))),INDIRECT("'Yr3'!"&amp;ADDRESS(ROW(S30),COLUMN(S30)))),
S50*S17)</f>
        <v>211783.00264729979</v>
      </c>
      <c r="T30" s="64">
        <f ca="1">IF($C$4=Lookups!$D$40,SUM(INDIRECT("'Yr1'!"&amp;ADDRESS(ROW(T30),COLUMN(T30))),INDIRECT("'Yr2'!"&amp;ADDRESS(ROW(T30),COLUMN(T30))),INDIRECT("'Yr3'!"&amp;ADDRESS(ROW(T30),COLUMN(T30)))),
T50*T17)</f>
        <v>211783.00264729979</v>
      </c>
      <c r="U30" s="64">
        <f ca="1">IF($C$4=Lookups!$D$40,SUM(INDIRECT("'Yr1'!"&amp;ADDRESS(ROW(U30),COLUMN(U30))),INDIRECT("'Yr2'!"&amp;ADDRESS(ROW(U30),COLUMN(U30))),INDIRECT("'Yr3'!"&amp;ADDRESS(ROW(U30),COLUMN(U30)))),
U50*U17)</f>
        <v>211783.00264729979</v>
      </c>
      <c r="V30" s="64">
        <f ca="1">IF($C$4=Lookups!$D$40,SUM(INDIRECT("'Yr1'!"&amp;ADDRESS(ROW(V30),COLUMN(V30))),INDIRECT("'Yr2'!"&amp;ADDRESS(ROW(V30),COLUMN(V30))),INDIRECT("'Yr3'!"&amp;ADDRESS(ROW(V30),COLUMN(V30)))),
V50*V17)</f>
        <v>211783.00264729979</v>
      </c>
      <c r="W30" s="64">
        <f ca="1">IF($C$4=Lookups!$D$40,SUM(INDIRECT("'Yr1'!"&amp;ADDRESS(ROW(W30),COLUMN(W30))),INDIRECT("'Yr2'!"&amp;ADDRESS(ROW(W30),COLUMN(W30))),INDIRECT("'Yr3'!"&amp;ADDRESS(ROW(W30),COLUMN(W30)))),
W50*W17)</f>
        <v>0</v>
      </c>
      <c r="X30" s="64">
        <f ca="1">IF($C$4=Lookups!$D$40,SUM(INDIRECT("'Yr1'!"&amp;ADDRESS(ROW(X30),COLUMN(X30))),INDIRECT("'Yr2'!"&amp;ADDRESS(ROW(X30),COLUMN(X30))),INDIRECT("'Yr3'!"&amp;ADDRESS(ROW(X30),COLUMN(X30)))),
X50*X17)</f>
        <v>0</v>
      </c>
      <c r="Y30" s="64">
        <f ca="1">IF($C$4=Lookups!$D$40,SUM(INDIRECT("'Yr1'!"&amp;ADDRESS(ROW(Y30),COLUMN(Y30))),INDIRECT("'Yr2'!"&amp;ADDRESS(ROW(Y30),COLUMN(Y30))),INDIRECT("'Yr3'!"&amp;ADDRESS(ROW(Y30),COLUMN(Y30)))),
Y50*Y17)</f>
        <v>0</v>
      </c>
      <c r="Z30" s="64">
        <f ca="1">IF($C$4=Lookups!$D$40,SUM(INDIRECT("'Yr1'!"&amp;ADDRESS(ROW(Z30),COLUMN(Z30))),INDIRECT("'Yr2'!"&amp;ADDRESS(ROW(Z30),COLUMN(Z30))),INDIRECT("'Yr3'!"&amp;ADDRESS(ROW(Z30),COLUMN(Z30)))),
Z50*Z17)</f>
        <v>0</v>
      </c>
      <c r="AA30" s="64">
        <f ca="1">IF($C$4=Lookups!$D$40,SUM(INDIRECT("'Yr1'!"&amp;ADDRESS(ROW(AA30),COLUMN(AA30))),INDIRECT("'Yr2'!"&amp;ADDRESS(ROW(AA30),COLUMN(AA30))),INDIRECT("'Yr3'!"&amp;ADDRESS(ROW(AA30),COLUMN(AA30)))),
AA50*AA17)</f>
        <v>0</v>
      </c>
      <c r="AB30" s="64">
        <f ca="1">IF($C$4=Lookups!$D$40,SUM(INDIRECT("'Yr1'!"&amp;ADDRESS(ROW(AB30),COLUMN(AB30))),INDIRECT("'Yr2'!"&amp;ADDRESS(ROW(AB30),COLUMN(AB30))),INDIRECT("'Yr3'!"&amp;ADDRESS(ROW(AB30),COLUMN(AB30)))),
AB50*AB17)</f>
        <v>0</v>
      </c>
      <c r="AC30" s="64">
        <f ca="1">IF($C$4=Lookups!$D$40,SUM(INDIRECT("'Yr1'!"&amp;ADDRESS(ROW(AC30),COLUMN(AC30))),INDIRECT("'Yr2'!"&amp;ADDRESS(ROW(AC30),COLUMN(AC30))),INDIRECT("'Yr3'!"&amp;ADDRESS(ROW(AC30),COLUMN(AC30)))),
AC50*AC17)</f>
        <v>0</v>
      </c>
      <c r="AD30" s="64">
        <f ca="1">IF($C$4=Lookups!$D$40,SUM(INDIRECT("'Yr1'!"&amp;ADDRESS(ROW(AD30),COLUMN(AD30))),INDIRECT("'Yr2'!"&amp;ADDRESS(ROW(AD30),COLUMN(AD30))),INDIRECT("'Yr3'!"&amp;ADDRESS(ROW(AD30),COLUMN(AD30)))),
AD50*AD17)</f>
        <v>0</v>
      </c>
      <c r="AE30" s="64">
        <f ca="1">IF($C$4=Lookups!$D$40,SUM(INDIRECT("'Yr1'!"&amp;ADDRESS(ROW(AE30),COLUMN(AE30))),INDIRECT("'Yr2'!"&amp;ADDRESS(ROW(AE30),COLUMN(AE30))),INDIRECT("'Yr3'!"&amp;ADDRESS(ROW(AE30),COLUMN(AE30)))),
AE50*AE17)</f>
        <v>0</v>
      </c>
      <c r="AF30" s="64">
        <f ca="1">IF($C$4=Lookups!$D$40,SUM(INDIRECT("'Yr1'!"&amp;ADDRESS(ROW(AF30),COLUMN(AF30))),INDIRECT("'Yr2'!"&amp;ADDRESS(ROW(AF30),COLUMN(AF30))),INDIRECT("'Yr3'!"&amp;ADDRESS(ROW(AF30),COLUMN(AF30)))),
AF50*AF17)</f>
        <v>0</v>
      </c>
      <c r="AG30" s="64">
        <f ca="1">IF($C$4=Lookups!$D$40,SUM(INDIRECT("'Yr1'!"&amp;ADDRESS(ROW(AG30),COLUMN(AG30))),INDIRECT("'Yr2'!"&amp;ADDRESS(ROW(AG30),COLUMN(AG30))),INDIRECT("'Yr3'!"&amp;ADDRESS(ROW(AG30),COLUMN(AG30)))),
AG50*AG17)</f>
        <v>0</v>
      </c>
      <c r="AH30" s="49"/>
      <c r="AI30" s="65">
        <f ca="1">NPV(Lookups!$E$17,G30:AG30)</f>
        <v>2804691.0670403396</v>
      </c>
      <c r="AJ30" s="65"/>
      <c r="AM30" s="71">
        <f ca="1">IF($C$4=Lookups!$D$40,SUM(INDIRECT("'Yr1'!"&amp;ADDRESS(ROW(AM30),COLUMN(AM30))),INDIRECT("'Yr2'!"&amp;ADDRESS(ROW(AM30),COLUMN(AM30))),INDIRECT("'Yr3'!"&amp;ADDRESS(ROW(AM30),COLUMN(AM30)))),
AM50*AM17)</f>
        <v>0</v>
      </c>
      <c r="AN30" s="71">
        <f ca="1">IF($C$4=Lookups!$D$40,SUM(INDIRECT("'Yr1'!"&amp;ADDRESS(ROW(AN30),COLUMN(AN30))),INDIRECT("'Yr2'!"&amp;ADDRESS(ROW(AN30),COLUMN(AN30))),INDIRECT("'Yr3'!"&amp;ADDRESS(ROW(AN30),COLUMN(AN30)))),
AN50*AN17)</f>
        <v>242018.69036690408</v>
      </c>
      <c r="AO30" s="71">
        <f ca="1">IF($C$4=Lookups!$D$40,SUM(INDIRECT("'Yr1'!"&amp;ADDRESS(ROW(AO30),COLUMN(AO30))),INDIRECT("'Yr2'!"&amp;ADDRESS(ROW(AO30),COLUMN(AO30))),INDIRECT("'Yr3'!"&amp;ADDRESS(ROW(AO30),COLUMN(AO30)))),
AO50*AO17)</f>
        <v>242018.69036690408</v>
      </c>
      <c r="AP30" s="71">
        <f ca="1">IF($C$4=Lookups!$D$40,SUM(INDIRECT("'Yr1'!"&amp;ADDRESS(ROW(AP30),COLUMN(AP30))),INDIRECT("'Yr2'!"&amp;ADDRESS(ROW(AP30),COLUMN(AP30))),INDIRECT("'Yr3'!"&amp;ADDRESS(ROW(AP30),COLUMN(AP30)))),
AP50*AP17)</f>
        <v>242018.69036690408</v>
      </c>
      <c r="AQ30" s="71">
        <f ca="1">IF($C$4=Lookups!$D$40,SUM(INDIRECT("'Yr1'!"&amp;ADDRESS(ROW(AQ30),COLUMN(AQ30))),INDIRECT("'Yr2'!"&amp;ADDRESS(ROW(AQ30),COLUMN(AQ30))),INDIRECT("'Yr3'!"&amp;ADDRESS(ROW(AQ30),COLUMN(AQ30)))),
AQ50*AQ17)</f>
        <v>242018.69036690408</v>
      </c>
      <c r="AR30" s="71">
        <f ca="1">IF($C$4=Lookups!$D$40,SUM(INDIRECT("'Yr1'!"&amp;ADDRESS(ROW(AR30),COLUMN(AR30))),INDIRECT("'Yr2'!"&amp;ADDRESS(ROW(AR30),COLUMN(AR30))),INDIRECT("'Yr3'!"&amp;ADDRESS(ROW(AR30),COLUMN(AR30)))),
AR50*AR17)</f>
        <v>242018.69036690408</v>
      </c>
      <c r="AS30" s="71">
        <f ca="1">IF($C$4=Lookups!$D$40,SUM(INDIRECT("'Yr1'!"&amp;ADDRESS(ROW(AS30),COLUMN(AS30))),INDIRECT("'Yr2'!"&amp;ADDRESS(ROW(AS30),COLUMN(AS30))),INDIRECT("'Yr3'!"&amp;ADDRESS(ROW(AS30),COLUMN(AS30)))),
AS50*AS17)</f>
        <v>242018.69036690408</v>
      </c>
      <c r="AT30" s="71">
        <f ca="1">IF($C$4=Lookups!$D$40,SUM(INDIRECT("'Yr1'!"&amp;ADDRESS(ROW(AT30),COLUMN(AT30))),INDIRECT("'Yr2'!"&amp;ADDRESS(ROW(AT30),COLUMN(AT30))),INDIRECT("'Yr3'!"&amp;ADDRESS(ROW(AT30),COLUMN(AT30)))),
AT50*AT17)</f>
        <v>242018.69036690408</v>
      </c>
      <c r="AU30" s="71">
        <f ca="1">IF($C$4=Lookups!$D$40,SUM(INDIRECT("'Yr1'!"&amp;ADDRESS(ROW(AU30),COLUMN(AU30))),INDIRECT("'Yr2'!"&amp;ADDRESS(ROW(AU30),COLUMN(AU30))),INDIRECT("'Yr3'!"&amp;ADDRESS(ROW(AU30),COLUMN(AU30)))),
AU50*AU17)</f>
        <v>242018.69036690408</v>
      </c>
      <c r="AV30" s="71">
        <f ca="1">IF($C$4=Lookups!$D$40,SUM(INDIRECT("'Yr1'!"&amp;ADDRESS(ROW(AV30),COLUMN(AV30))),INDIRECT("'Yr2'!"&amp;ADDRESS(ROW(AV30),COLUMN(AV30))),INDIRECT("'Yr3'!"&amp;ADDRESS(ROW(AV30),COLUMN(AV30)))),
AV50*AV17)</f>
        <v>242018.69036690408</v>
      </c>
      <c r="AW30" s="71">
        <f ca="1">IF($C$4=Lookups!$D$40,SUM(INDIRECT("'Yr1'!"&amp;ADDRESS(ROW(AW30),COLUMN(AW30))),INDIRECT("'Yr2'!"&amp;ADDRESS(ROW(AW30),COLUMN(AW30))),INDIRECT("'Yr3'!"&amp;ADDRESS(ROW(AW30),COLUMN(AW30)))),
AW50*AW17)</f>
        <v>242018.69036690408</v>
      </c>
      <c r="AX30" s="71">
        <f ca="1">IF($C$4=Lookups!$D$40,SUM(INDIRECT("'Yr1'!"&amp;ADDRESS(ROW(AX30),COLUMN(AX30))),INDIRECT("'Yr2'!"&amp;ADDRESS(ROW(AX30),COLUMN(AX30))),INDIRECT("'Yr3'!"&amp;ADDRESS(ROW(AX30),COLUMN(AX30)))),
AX50*AX17)</f>
        <v>242018.69036690408</v>
      </c>
      <c r="AY30" s="71">
        <f ca="1">IF($C$4=Lookups!$D$40,SUM(INDIRECT("'Yr1'!"&amp;ADDRESS(ROW(AY30),COLUMN(AY30))),INDIRECT("'Yr2'!"&amp;ADDRESS(ROW(AY30),COLUMN(AY30))),INDIRECT("'Yr3'!"&amp;ADDRESS(ROW(AY30),COLUMN(AY30)))),
AY50*AY17)</f>
        <v>242018.69036690408</v>
      </c>
      <c r="AZ30" s="71">
        <f ca="1">IF($C$4=Lookups!$D$40,SUM(INDIRECT("'Yr1'!"&amp;ADDRESS(ROW(AZ30),COLUMN(AZ30))),INDIRECT("'Yr2'!"&amp;ADDRESS(ROW(AZ30),COLUMN(AZ30))),INDIRECT("'Yr3'!"&amp;ADDRESS(ROW(AZ30),COLUMN(AZ30)))),
AZ50*AZ17)</f>
        <v>242018.69036690408</v>
      </c>
      <c r="BA30" s="71">
        <f ca="1">IF($C$4=Lookups!$D$40,SUM(INDIRECT("'Yr1'!"&amp;ADDRESS(ROW(BA30),COLUMN(BA30))),INDIRECT("'Yr2'!"&amp;ADDRESS(ROW(BA30),COLUMN(BA30))),INDIRECT("'Yr3'!"&amp;ADDRESS(ROW(BA30),COLUMN(BA30)))),
BA50*BA17)</f>
        <v>242018.69036690408</v>
      </c>
      <c r="BB30" s="71">
        <f ca="1">IF($C$4=Lookups!$D$40,SUM(INDIRECT("'Yr1'!"&amp;ADDRESS(ROW(BB30),COLUMN(BB30))),INDIRECT("'Yr2'!"&amp;ADDRESS(ROW(BB30),COLUMN(BB30))),INDIRECT("'Yr3'!"&amp;ADDRESS(ROW(BB30),COLUMN(BB30)))),
BB50*BB17)</f>
        <v>242018.69036690408</v>
      </c>
      <c r="BC30" s="71">
        <f ca="1">IF($C$4=Lookups!$D$40,SUM(INDIRECT("'Yr1'!"&amp;ADDRESS(ROW(BC30),COLUMN(BC30))),INDIRECT("'Yr2'!"&amp;ADDRESS(ROW(BC30),COLUMN(BC30))),INDIRECT("'Yr3'!"&amp;ADDRESS(ROW(BC30),COLUMN(BC30)))),
BC50*BC17)</f>
        <v>0</v>
      </c>
      <c r="BD30" s="71">
        <f ca="1">IF($C$4=Lookups!$D$40,SUM(INDIRECT("'Yr1'!"&amp;ADDRESS(ROW(BD30),COLUMN(BD30))),INDIRECT("'Yr2'!"&amp;ADDRESS(ROW(BD30),COLUMN(BD30))),INDIRECT("'Yr3'!"&amp;ADDRESS(ROW(BD30),COLUMN(BD30)))),
BD50*BD17)</f>
        <v>0</v>
      </c>
      <c r="BE30" s="71">
        <f ca="1">IF($C$4=Lookups!$D$40,SUM(INDIRECT("'Yr1'!"&amp;ADDRESS(ROW(BE30),COLUMN(BE30))),INDIRECT("'Yr2'!"&amp;ADDRESS(ROW(BE30),COLUMN(BE30))),INDIRECT("'Yr3'!"&amp;ADDRESS(ROW(BE30),COLUMN(BE30)))),
BE50*BE17)</f>
        <v>0</v>
      </c>
      <c r="BF30" s="71">
        <f ca="1">IF($C$4=Lookups!$D$40,SUM(INDIRECT("'Yr1'!"&amp;ADDRESS(ROW(BF30),COLUMN(BF30))),INDIRECT("'Yr2'!"&amp;ADDRESS(ROW(BF30),COLUMN(BF30))),INDIRECT("'Yr3'!"&amp;ADDRESS(ROW(BF30),COLUMN(BF30)))),
BF50*BF17)</f>
        <v>0</v>
      </c>
      <c r="BG30" s="71">
        <f ca="1">IF($C$4=Lookups!$D$40,SUM(INDIRECT("'Yr1'!"&amp;ADDRESS(ROW(BG30),COLUMN(BG30))),INDIRECT("'Yr2'!"&amp;ADDRESS(ROW(BG30),COLUMN(BG30))),INDIRECT("'Yr3'!"&amp;ADDRESS(ROW(BG30),COLUMN(BG30)))),
BG50*BG17)</f>
        <v>0</v>
      </c>
      <c r="BH30" s="71">
        <f ca="1">IF($C$4=Lookups!$D$40,SUM(INDIRECT("'Yr1'!"&amp;ADDRESS(ROW(BH30),COLUMN(BH30))),INDIRECT("'Yr2'!"&amp;ADDRESS(ROW(BH30),COLUMN(BH30))),INDIRECT("'Yr3'!"&amp;ADDRESS(ROW(BH30),COLUMN(BH30)))),
BH50*BH17)</f>
        <v>0</v>
      </c>
      <c r="BI30" s="71">
        <f ca="1">IF($C$4=Lookups!$D$40,SUM(INDIRECT("'Yr1'!"&amp;ADDRESS(ROW(BI30),COLUMN(BI30))),INDIRECT("'Yr2'!"&amp;ADDRESS(ROW(BI30),COLUMN(BI30))),INDIRECT("'Yr3'!"&amp;ADDRESS(ROW(BI30),COLUMN(BI30)))),
BI50*BI17)</f>
        <v>0</v>
      </c>
      <c r="BJ30" s="71">
        <f ca="1">IF($C$4=Lookups!$D$40,SUM(INDIRECT("'Yr1'!"&amp;ADDRESS(ROW(BJ30),COLUMN(BJ30))),INDIRECT("'Yr2'!"&amp;ADDRESS(ROW(BJ30),COLUMN(BJ30))),INDIRECT("'Yr3'!"&amp;ADDRESS(ROW(BJ30),COLUMN(BJ30)))),
BJ50*BJ17)</f>
        <v>0</v>
      </c>
      <c r="BK30" s="71">
        <f ca="1">IF($C$4=Lookups!$D$40,SUM(INDIRECT("'Yr1'!"&amp;ADDRESS(ROW(BK30),COLUMN(BK30))),INDIRECT("'Yr2'!"&amp;ADDRESS(ROW(BK30),COLUMN(BK30))),INDIRECT("'Yr3'!"&amp;ADDRESS(ROW(BK30),COLUMN(BK30)))),
BK50*BK17)</f>
        <v>0</v>
      </c>
      <c r="BL30" s="71">
        <f ca="1">IF($C$4=Lookups!$D$40,SUM(INDIRECT("'Yr1'!"&amp;ADDRESS(ROW(BL30),COLUMN(BL30))),INDIRECT("'Yr2'!"&amp;ADDRESS(ROW(BL30),COLUMN(BL30))),INDIRECT("'Yr3'!"&amp;ADDRESS(ROW(BL30),COLUMN(BL30)))),
BL50*BL17)</f>
        <v>0</v>
      </c>
      <c r="BM30" s="71">
        <f ca="1">IF($C$4=Lookups!$D$40,SUM(INDIRECT("'Yr1'!"&amp;ADDRESS(ROW(BM30),COLUMN(BM30))),INDIRECT("'Yr2'!"&amp;ADDRESS(ROW(BM30),COLUMN(BM30))),INDIRECT("'Yr3'!"&amp;ADDRESS(ROW(BM30),COLUMN(BM30)))),
BM50*BM17)</f>
        <v>0</v>
      </c>
      <c r="BN30" s="71"/>
      <c r="BO30" s="71">
        <f ca="1">NPV(Lookups!$E$17,AM30:BM30)</f>
        <v>3205109.2412704169</v>
      </c>
      <c r="BP30" s="72"/>
      <c r="BS30" s="84" t="str">
        <f>E30&amp;" rate multiplied by After DSM sales."</f>
        <v>Distribution Lost Revenue rate multiplied by After DSM sales.</v>
      </c>
      <c r="BT30" s="51" t="s">
        <v>17</v>
      </c>
    </row>
    <row r="31" spans="1:72" x14ac:dyDescent="0.25">
      <c r="B31" s="243" t="str">
        <f>B29</f>
        <v>Residential</v>
      </c>
      <c r="C31" s="243" t="str">
        <f>C29</f>
        <v>Revenue Requirements</v>
      </c>
      <c r="D31" s="114" t="s">
        <v>125</v>
      </c>
      <c r="E31" s="84"/>
      <c r="F31" s="84"/>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65"/>
      <c r="AJ31" s="65"/>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S31" s="84"/>
      <c r="BT31" s="51" t="s">
        <v>17</v>
      </c>
    </row>
    <row r="32" spans="1:72" x14ac:dyDescent="0.25">
      <c r="A32" s="1"/>
      <c r="B32" s="243" t="str">
        <f t="shared" si="13"/>
        <v>Residential</v>
      </c>
      <c r="C32" s="243" t="str">
        <f t="shared" si="13"/>
        <v>Revenue Requirements</v>
      </c>
      <c r="D32" s="244" t="str">
        <f>D31</f>
        <v>Revenue Requirement after DSM Scenario</v>
      </c>
      <c r="E32" s="84" t="s">
        <v>26</v>
      </c>
      <c r="F32" s="84" t="s">
        <v>32</v>
      </c>
      <c r="G32" s="64">
        <f ca="1">G21-G26</f>
        <v>0</v>
      </c>
      <c r="H32" s="64">
        <f t="shared" ref="H32:AG32" ca="1" si="14">H21-H26</f>
        <v>32574975.201635182</v>
      </c>
      <c r="I32" s="64">
        <f t="shared" ca="1" si="14"/>
        <v>32574975.201635182</v>
      </c>
      <c r="J32" s="64">
        <f t="shared" ca="1" si="14"/>
        <v>32574975.201635182</v>
      </c>
      <c r="K32" s="64">
        <f t="shared" ca="1" si="14"/>
        <v>32574975.201635182</v>
      </c>
      <c r="L32" s="64">
        <f t="shared" ca="1" si="14"/>
        <v>32574975.201635182</v>
      </c>
      <c r="M32" s="64">
        <f t="shared" ca="1" si="14"/>
        <v>32574975.201635182</v>
      </c>
      <c r="N32" s="64">
        <f t="shared" ca="1" si="14"/>
        <v>32574975.201635182</v>
      </c>
      <c r="O32" s="64">
        <f t="shared" ca="1" si="14"/>
        <v>32574975.201635182</v>
      </c>
      <c r="P32" s="64">
        <f t="shared" ca="1" si="14"/>
        <v>32574975.201635182</v>
      </c>
      <c r="Q32" s="64">
        <f t="shared" ca="1" si="14"/>
        <v>32574975.201635182</v>
      </c>
      <c r="R32" s="64">
        <f t="shared" ca="1" si="14"/>
        <v>32574975.201635182</v>
      </c>
      <c r="S32" s="64">
        <f t="shared" ca="1" si="14"/>
        <v>32574975.201635182</v>
      </c>
      <c r="T32" s="64">
        <f t="shared" ca="1" si="14"/>
        <v>32574975.201635182</v>
      </c>
      <c r="U32" s="64">
        <f t="shared" ca="1" si="14"/>
        <v>32574975.201635182</v>
      </c>
      <c r="V32" s="64">
        <f t="shared" ca="1" si="14"/>
        <v>32574975.201635182</v>
      </c>
      <c r="W32" s="64">
        <f t="shared" ca="1" si="14"/>
        <v>32592900.571774282</v>
      </c>
      <c r="X32" s="64">
        <f t="shared" ca="1" si="14"/>
        <v>32592900.571774282</v>
      </c>
      <c r="Y32" s="64">
        <f t="shared" ca="1" si="14"/>
        <v>32592900.571774282</v>
      </c>
      <c r="Z32" s="64">
        <f t="shared" ca="1" si="14"/>
        <v>32592900.571774282</v>
      </c>
      <c r="AA32" s="64">
        <f t="shared" ca="1" si="14"/>
        <v>32592900.571774282</v>
      </c>
      <c r="AB32" s="64">
        <f t="shared" ca="1" si="14"/>
        <v>32592900.571774282</v>
      </c>
      <c r="AC32" s="64">
        <f t="shared" ca="1" si="14"/>
        <v>32592900.571774282</v>
      </c>
      <c r="AD32" s="64">
        <f t="shared" ca="1" si="14"/>
        <v>32592900.571774282</v>
      </c>
      <c r="AE32" s="64">
        <f t="shared" ca="1" si="14"/>
        <v>32592900.571774282</v>
      </c>
      <c r="AF32" s="64">
        <f t="shared" ca="1" si="14"/>
        <v>32592900.571774282</v>
      </c>
      <c r="AG32" s="64">
        <f t="shared" ca="1" si="14"/>
        <v>32592900.571774282</v>
      </c>
      <c r="AH32" s="64"/>
      <c r="AI32" s="65">
        <f ca="1">NPV(Lookups!$E$17,G32:AG32)</f>
        <v>694880685.2360667</v>
      </c>
      <c r="AJ32" s="65"/>
      <c r="AM32" s="71">
        <f ca="1">AM21-AM26</f>
        <v>0</v>
      </c>
      <c r="AN32" s="71">
        <f t="shared" ref="AN32:BM32" ca="1" si="15">AN21-AN26</f>
        <v>32572414.434472453</v>
      </c>
      <c r="AO32" s="71">
        <f t="shared" ca="1" si="15"/>
        <v>32572414.434472453</v>
      </c>
      <c r="AP32" s="71">
        <f t="shared" ca="1" si="15"/>
        <v>32572414.434472453</v>
      </c>
      <c r="AQ32" s="71">
        <f t="shared" ca="1" si="15"/>
        <v>32572414.434472453</v>
      </c>
      <c r="AR32" s="71">
        <f t="shared" ca="1" si="15"/>
        <v>32572414.434472453</v>
      </c>
      <c r="AS32" s="71">
        <f t="shared" ca="1" si="15"/>
        <v>32572414.434472453</v>
      </c>
      <c r="AT32" s="71">
        <f t="shared" ca="1" si="15"/>
        <v>32572414.434472453</v>
      </c>
      <c r="AU32" s="71">
        <f t="shared" ca="1" si="15"/>
        <v>32572414.434472453</v>
      </c>
      <c r="AV32" s="71">
        <f t="shared" ca="1" si="15"/>
        <v>32572414.434472453</v>
      </c>
      <c r="AW32" s="71">
        <f t="shared" ca="1" si="15"/>
        <v>32572414.434472453</v>
      </c>
      <c r="AX32" s="71">
        <f t="shared" ca="1" si="15"/>
        <v>32572414.434472453</v>
      </c>
      <c r="AY32" s="71">
        <f t="shared" ca="1" si="15"/>
        <v>32572414.434472453</v>
      </c>
      <c r="AZ32" s="71">
        <f t="shared" ca="1" si="15"/>
        <v>32572414.434472453</v>
      </c>
      <c r="BA32" s="71">
        <f t="shared" ca="1" si="15"/>
        <v>32572414.434472453</v>
      </c>
      <c r="BB32" s="71">
        <f t="shared" ca="1" si="15"/>
        <v>32572414.434472453</v>
      </c>
      <c r="BC32" s="71">
        <f t="shared" ca="1" si="15"/>
        <v>32592900.571774282</v>
      </c>
      <c r="BD32" s="71">
        <f t="shared" ca="1" si="15"/>
        <v>32592900.571774282</v>
      </c>
      <c r="BE32" s="71">
        <f t="shared" ca="1" si="15"/>
        <v>32592900.571774282</v>
      </c>
      <c r="BF32" s="71">
        <f t="shared" ca="1" si="15"/>
        <v>32592900.571774282</v>
      </c>
      <c r="BG32" s="71">
        <f t="shared" ca="1" si="15"/>
        <v>32592900.571774282</v>
      </c>
      <c r="BH32" s="71">
        <f t="shared" ca="1" si="15"/>
        <v>32592900.571774282</v>
      </c>
      <c r="BI32" s="71">
        <f t="shared" ca="1" si="15"/>
        <v>32592900.571774282</v>
      </c>
      <c r="BJ32" s="71">
        <f t="shared" ca="1" si="15"/>
        <v>32592900.571774282</v>
      </c>
      <c r="BK32" s="71">
        <f t="shared" ca="1" si="15"/>
        <v>32592900.571774282</v>
      </c>
      <c r="BL32" s="71">
        <f t="shared" ca="1" si="15"/>
        <v>32592900.571774282</v>
      </c>
      <c r="BM32" s="71">
        <f t="shared" ca="1" si="15"/>
        <v>32592900.571774282</v>
      </c>
      <c r="BN32" s="71"/>
      <c r="BO32" s="71">
        <f ca="1">NPV(Lookups!$E$17,AM32:BM32)</f>
        <v>694846772.40691459</v>
      </c>
      <c r="BP32" s="71"/>
      <c r="BS32" s="84" t="s">
        <v>229</v>
      </c>
      <c r="BT32" s="51" t="s">
        <v>17</v>
      </c>
    </row>
    <row r="33" spans="1:72" x14ac:dyDescent="0.25">
      <c r="A33" s="1"/>
      <c r="B33" s="243" t="str">
        <f t="shared" si="13"/>
        <v>Residential</v>
      </c>
      <c r="C33" s="243" t="str">
        <f t="shared" si="13"/>
        <v>Revenue Requirements</v>
      </c>
      <c r="D33" s="244" t="str">
        <f>D32</f>
        <v>Revenue Requirement after DSM Scenario</v>
      </c>
      <c r="E33" s="84" t="s">
        <v>407</v>
      </c>
      <c r="F33" s="84" t="s">
        <v>32</v>
      </c>
      <c r="G33" s="64">
        <f>G22</f>
        <v>0</v>
      </c>
      <c r="H33" s="64">
        <f t="shared" ref="H33:AG33" si="16">H22</f>
        <v>-1931344.4404175822</v>
      </c>
      <c r="I33" s="64">
        <f t="shared" si="16"/>
        <v>-1931344.4404175822</v>
      </c>
      <c r="J33" s="64">
        <f t="shared" si="16"/>
        <v>-1931344.4404175822</v>
      </c>
      <c r="K33" s="64">
        <f t="shared" si="16"/>
        <v>-1931344.4404175822</v>
      </c>
      <c r="L33" s="64">
        <f t="shared" si="16"/>
        <v>-1931344.4404175822</v>
      </c>
      <c r="M33" s="64">
        <f t="shared" si="16"/>
        <v>-1931344.4404175822</v>
      </c>
      <c r="N33" s="64">
        <f t="shared" si="16"/>
        <v>-1931344.4404175822</v>
      </c>
      <c r="O33" s="64">
        <f t="shared" si="16"/>
        <v>-1931344.4404175822</v>
      </c>
      <c r="P33" s="64">
        <f t="shared" si="16"/>
        <v>-1931344.4404175822</v>
      </c>
      <c r="Q33" s="64">
        <f t="shared" si="16"/>
        <v>-1931344.4404175822</v>
      </c>
      <c r="R33" s="64">
        <f t="shared" si="16"/>
        <v>-1931344.4404175822</v>
      </c>
      <c r="S33" s="64">
        <f t="shared" si="16"/>
        <v>-1931344.4404175822</v>
      </c>
      <c r="T33" s="64">
        <f t="shared" si="16"/>
        <v>-1931344.4404175822</v>
      </c>
      <c r="U33" s="64">
        <f t="shared" si="16"/>
        <v>-1931344.4404175822</v>
      </c>
      <c r="V33" s="64">
        <f t="shared" si="16"/>
        <v>-1931344.4404175822</v>
      </c>
      <c r="W33" s="64">
        <f t="shared" si="16"/>
        <v>-1931344.4404175822</v>
      </c>
      <c r="X33" s="64">
        <f t="shared" si="16"/>
        <v>-1931344.4404175822</v>
      </c>
      <c r="Y33" s="64">
        <f t="shared" si="16"/>
        <v>-1931344.4404175822</v>
      </c>
      <c r="Z33" s="64">
        <f t="shared" si="16"/>
        <v>-1931344.4404175822</v>
      </c>
      <c r="AA33" s="64">
        <f t="shared" si="16"/>
        <v>-1931344.4404175822</v>
      </c>
      <c r="AB33" s="64">
        <f t="shared" si="16"/>
        <v>-1931344.4404175822</v>
      </c>
      <c r="AC33" s="64">
        <f t="shared" si="16"/>
        <v>-1931344.4404175822</v>
      </c>
      <c r="AD33" s="64">
        <f t="shared" si="16"/>
        <v>-1931344.4404175822</v>
      </c>
      <c r="AE33" s="64">
        <f t="shared" si="16"/>
        <v>-1931344.4404175822</v>
      </c>
      <c r="AF33" s="64">
        <f t="shared" si="16"/>
        <v>-1931344.4404175822</v>
      </c>
      <c r="AG33" s="64">
        <f t="shared" si="16"/>
        <v>-1931344.4404175822</v>
      </c>
      <c r="AH33" s="64"/>
      <c r="AI33" s="65">
        <f>NPV(Lookups!$E$17,G33:AG33)</f>
        <v>-41190333.05139938</v>
      </c>
      <c r="AJ33" s="65"/>
      <c r="AM33" s="71">
        <f>AM22</f>
        <v>0</v>
      </c>
      <c r="AN33" s="71">
        <f t="shared" ref="AN33:BM33" si="17">AN22</f>
        <v>-1931344.4404175822</v>
      </c>
      <c r="AO33" s="71">
        <f t="shared" si="17"/>
        <v>-1931344.4404175822</v>
      </c>
      <c r="AP33" s="71">
        <f t="shared" si="17"/>
        <v>-1931344.4404175822</v>
      </c>
      <c r="AQ33" s="71">
        <f t="shared" si="17"/>
        <v>-1931344.4404175822</v>
      </c>
      <c r="AR33" s="71">
        <f t="shared" si="17"/>
        <v>-1931344.4404175822</v>
      </c>
      <c r="AS33" s="71">
        <f t="shared" si="17"/>
        <v>-1931344.4404175822</v>
      </c>
      <c r="AT33" s="71">
        <f t="shared" si="17"/>
        <v>-1931344.4404175822</v>
      </c>
      <c r="AU33" s="71">
        <f t="shared" si="17"/>
        <v>-1931344.4404175822</v>
      </c>
      <c r="AV33" s="71">
        <f t="shared" si="17"/>
        <v>-1931344.4404175822</v>
      </c>
      <c r="AW33" s="71">
        <f t="shared" si="17"/>
        <v>-1931344.4404175822</v>
      </c>
      <c r="AX33" s="71">
        <f t="shared" si="17"/>
        <v>-1931344.4404175822</v>
      </c>
      <c r="AY33" s="71">
        <f t="shared" si="17"/>
        <v>-1931344.4404175822</v>
      </c>
      <c r="AZ33" s="71">
        <f t="shared" si="17"/>
        <v>-1931344.4404175822</v>
      </c>
      <c r="BA33" s="71">
        <f t="shared" si="17"/>
        <v>-1931344.4404175822</v>
      </c>
      <c r="BB33" s="71">
        <f t="shared" si="17"/>
        <v>-1931344.4404175822</v>
      </c>
      <c r="BC33" s="71">
        <f t="shared" si="17"/>
        <v>-1931344.4404175822</v>
      </c>
      <c r="BD33" s="71">
        <f t="shared" si="17"/>
        <v>-1931344.4404175822</v>
      </c>
      <c r="BE33" s="71">
        <f t="shared" si="17"/>
        <v>-1931344.4404175822</v>
      </c>
      <c r="BF33" s="71">
        <f t="shared" si="17"/>
        <v>-1931344.4404175822</v>
      </c>
      <c r="BG33" s="71">
        <f t="shared" si="17"/>
        <v>-1931344.4404175822</v>
      </c>
      <c r="BH33" s="71">
        <f t="shared" si="17"/>
        <v>-1931344.4404175822</v>
      </c>
      <c r="BI33" s="71">
        <f t="shared" si="17"/>
        <v>-1931344.4404175822</v>
      </c>
      <c r="BJ33" s="71">
        <f t="shared" si="17"/>
        <v>-1931344.4404175822</v>
      </c>
      <c r="BK33" s="71">
        <f t="shared" si="17"/>
        <v>-1931344.4404175822</v>
      </c>
      <c r="BL33" s="71">
        <f t="shared" si="17"/>
        <v>-1931344.4404175822</v>
      </c>
      <c r="BM33" s="71">
        <f t="shared" si="17"/>
        <v>-1931344.4404175822</v>
      </c>
      <c r="BN33" s="71"/>
      <c r="BO33" s="71">
        <f>NPV(Lookups!$E$17,AM33:BM33)</f>
        <v>-41190333.05139938</v>
      </c>
      <c r="BP33" s="71"/>
      <c r="BS33" s="84" t="s">
        <v>230</v>
      </c>
      <c r="BT33" s="51" t="s">
        <v>17</v>
      </c>
    </row>
    <row r="34" spans="1:72" x14ac:dyDescent="0.25">
      <c r="A34" s="1"/>
      <c r="B34" s="243" t="str">
        <f>B32</f>
        <v>Residential</v>
      </c>
      <c r="C34" s="243" t="str">
        <f>C32</f>
        <v>Revenue Requirements</v>
      </c>
      <c r="D34" s="244" t="str">
        <f>D32</f>
        <v>Revenue Requirement after DSM Scenario</v>
      </c>
      <c r="E34" s="84" t="s">
        <v>197</v>
      </c>
      <c r="F34" s="84" t="s">
        <v>32</v>
      </c>
      <c r="G34" s="64">
        <f ca="1">G23-G25-G27</f>
        <v>0</v>
      </c>
      <c r="H34" s="64">
        <f t="shared" ref="H34:AG34" ca="1" si="18">H23-H25-H27</f>
        <v>36011479.552332647</v>
      </c>
      <c r="I34" s="64">
        <f t="shared" ca="1" si="18"/>
        <v>36011479.552332647</v>
      </c>
      <c r="J34" s="64">
        <f t="shared" ca="1" si="18"/>
        <v>36011479.552332647</v>
      </c>
      <c r="K34" s="64">
        <f t="shared" ca="1" si="18"/>
        <v>36011479.552332647</v>
      </c>
      <c r="L34" s="64">
        <f t="shared" ca="1" si="18"/>
        <v>36011479.552332647</v>
      </c>
      <c r="M34" s="64">
        <f t="shared" ca="1" si="18"/>
        <v>36011479.552332647</v>
      </c>
      <c r="N34" s="64">
        <f t="shared" ca="1" si="18"/>
        <v>36011479.552332647</v>
      </c>
      <c r="O34" s="64">
        <f t="shared" ca="1" si="18"/>
        <v>36011479.552332647</v>
      </c>
      <c r="P34" s="64">
        <f t="shared" ca="1" si="18"/>
        <v>36011479.552332647</v>
      </c>
      <c r="Q34" s="64">
        <f t="shared" ca="1" si="18"/>
        <v>36011479.552332647</v>
      </c>
      <c r="R34" s="64">
        <f t="shared" ca="1" si="18"/>
        <v>36011479.552332647</v>
      </c>
      <c r="S34" s="64">
        <f t="shared" ca="1" si="18"/>
        <v>36011479.552332647</v>
      </c>
      <c r="T34" s="64">
        <f t="shared" ca="1" si="18"/>
        <v>36011479.552332647</v>
      </c>
      <c r="U34" s="64">
        <f t="shared" ca="1" si="18"/>
        <v>36011479.552332647</v>
      </c>
      <c r="V34" s="64">
        <f t="shared" ca="1" si="18"/>
        <v>36011479.552332647</v>
      </c>
      <c r="W34" s="64">
        <f t="shared" ca="1" si="18"/>
        <v>36303422.920940183</v>
      </c>
      <c r="X34" s="64">
        <f t="shared" ca="1" si="18"/>
        <v>36303422.920940183</v>
      </c>
      <c r="Y34" s="64">
        <f t="shared" ca="1" si="18"/>
        <v>36303422.920940183</v>
      </c>
      <c r="Z34" s="64">
        <f t="shared" ca="1" si="18"/>
        <v>36303422.920940183</v>
      </c>
      <c r="AA34" s="64">
        <f t="shared" ca="1" si="18"/>
        <v>36303422.920940183</v>
      </c>
      <c r="AB34" s="64">
        <f t="shared" ca="1" si="18"/>
        <v>36303422.920940183</v>
      </c>
      <c r="AC34" s="64">
        <f t="shared" ca="1" si="18"/>
        <v>36303422.920940183</v>
      </c>
      <c r="AD34" s="64">
        <f t="shared" ca="1" si="18"/>
        <v>36303422.920940183</v>
      </c>
      <c r="AE34" s="64">
        <f t="shared" ca="1" si="18"/>
        <v>36303422.920940183</v>
      </c>
      <c r="AF34" s="64">
        <f t="shared" ca="1" si="18"/>
        <v>36303422.920940183</v>
      </c>
      <c r="AG34" s="64">
        <f t="shared" ca="1" si="18"/>
        <v>36303422.920940183</v>
      </c>
      <c r="AH34" s="64"/>
      <c r="AI34" s="65">
        <f ca="1">NPV(Lookups!$E$17,G34:AG34)</f>
        <v>770387168.92488778</v>
      </c>
      <c r="AJ34" s="65"/>
      <c r="AM34" s="71">
        <f ca="1">AM23-AM25-AM27</f>
        <v>0</v>
      </c>
      <c r="AN34" s="71">
        <f t="shared" ref="AN34:BM34" ca="1" si="19">AN23-AN25-AN27</f>
        <v>35969773.35681729</v>
      </c>
      <c r="AO34" s="71">
        <f t="shared" ca="1" si="19"/>
        <v>35969773.35681729</v>
      </c>
      <c r="AP34" s="71">
        <f t="shared" ca="1" si="19"/>
        <v>35969773.35681729</v>
      </c>
      <c r="AQ34" s="71">
        <f t="shared" ca="1" si="19"/>
        <v>35969773.35681729</v>
      </c>
      <c r="AR34" s="71">
        <f t="shared" ca="1" si="19"/>
        <v>35969773.35681729</v>
      </c>
      <c r="AS34" s="71">
        <f t="shared" ca="1" si="19"/>
        <v>35969773.35681729</v>
      </c>
      <c r="AT34" s="71">
        <f t="shared" ca="1" si="19"/>
        <v>35969773.35681729</v>
      </c>
      <c r="AU34" s="71">
        <f t="shared" ca="1" si="19"/>
        <v>35969773.35681729</v>
      </c>
      <c r="AV34" s="71">
        <f t="shared" ca="1" si="19"/>
        <v>35969773.35681729</v>
      </c>
      <c r="AW34" s="71">
        <f t="shared" ca="1" si="19"/>
        <v>35969773.35681729</v>
      </c>
      <c r="AX34" s="71">
        <f t="shared" ca="1" si="19"/>
        <v>35969773.35681729</v>
      </c>
      <c r="AY34" s="71">
        <f t="shared" ca="1" si="19"/>
        <v>35969773.35681729</v>
      </c>
      <c r="AZ34" s="71">
        <f t="shared" ca="1" si="19"/>
        <v>35969773.35681729</v>
      </c>
      <c r="BA34" s="71">
        <f t="shared" ca="1" si="19"/>
        <v>35969773.35681729</v>
      </c>
      <c r="BB34" s="71">
        <f t="shared" ca="1" si="19"/>
        <v>35969773.35681729</v>
      </c>
      <c r="BC34" s="71">
        <f t="shared" ca="1" si="19"/>
        <v>36303422.920940183</v>
      </c>
      <c r="BD34" s="71">
        <f t="shared" ca="1" si="19"/>
        <v>36303422.920940183</v>
      </c>
      <c r="BE34" s="71">
        <f t="shared" ca="1" si="19"/>
        <v>36303422.920940183</v>
      </c>
      <c r="BF34" s="71">
        <f t="shared" ca="1" si="19"/>
        <v>36303422.920940183</v>
      </c>
      <c r="BG34" s="71">
        <f t="shared" ca="1" si="19"/>
        <v>36303422.920940183</v>
      </c>
      <c r="BH34" s="71">
        <f t="shared" ca="1" si="19"/>
        <v>36303422.920940183</v>
      </c>
      <c r="BI34" s="71">
        <f t="shared" ca="1" si="19"/>
        <v>36303422.920940183</v>
      </c>
      <c r="BJ34" s="71">
        <f t="shared" ca="1" si="19"/>
        <v>36303422.920940183</v>
      </c>
      <c r="BK34" s="71">
        <f t="shared" ca="1" si="19"/>
        <v>36303422.920940183</v>
      </c>
      <c r="BL34" s="71">
        <f t="shared" ca="1" si="19"/>
        <v>36303422.920940183</v>
      </c>
      <c r="BM34" s="71">
        <f t="shared" ca="1" si="19"/>
        <v>36303422.920940183</v>
      </c>
      <c r="BN34" s="71"/>
      <c r="BO34" s="71">
        <f ca="1">NPV(Lookups!$E$17,AM34:BM34)</f>
        <v>769834844.17483711</v>
      </c>
      <c r="BP34" s="71"/>
      <c r="BS34" s="84" t="s">
        <v>231</v>
      </c>
      <c r="BT34" s="51" t="s">
        <v>17</v>
      </c>
    </row>
    <row r="35" spans="1:72" x14ac:dyDescent="0.25">
      <c r="B35" s="243" t="str">
        <f t="shared" si="13"/>
        <v>Residential</v>
      </c>
      <c r="C35" s="243" t="str">
        <f t="shared" si="13"/>
        <v>Revenue Requirements</v>
      </c>
      <c r="D35" s="244"/>
      <c r="E35" s="84" t="s">
        <v>17</v>
      </c>
      <c r="F35" s="84"/>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S35" s="84"/>
      <c r="BT35" s="51" t="s">
        <v>17</v>
      </c>
    </row>
    <row r="36" spans="1:72" s="5" customFormat="1" ht="15.75" x14ac:dyDescent="0.25">
      <c r="A36" s="52"/>
      <c r="B36" s="241" t="str">
        <f t="shared" si="13"/>
        <v>Residential</v>
      </c>
      <c r="C36" s="63" t="s">
        <v>30</v>
      </c>
      <c r="D36" s="61"/>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2"/>
      <c r="BO36" s="62"/>
      <c r="BP36" s="62"/>
      <c r="BS36" s="62"/>
      <c r="BT36" s="51" t="s">
        <v>17</v>
      </c>
    </row>
    <row r="37" spans="1:72" x14ac:dyDescent="0.25">
      <c r="B37" s="243" t="str">
        <f t="shared" si="13"/>
        <v>Residential</v>
      </c>
      <c r="C37" s="243" t="str">
        <f t="shared" si="13"/>
        <v>Rates</v>
      </c>
      <c r="D37" s="114" t="str">
        <f>"Rates before DSM ("&amp;Lookups!$D$22&amp;" Scenario)"</f>
        <v>Rates before DSM (No EE Scenario)</v>
      </c>
      <c r="E37" s="84"/>
      <c r="F37" s="84"/>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S37" s="84"/>
      <c r="BT37" s="51" t="s">
        <v>17</v>
      </c>
    </row>
    <row r="38" spans="1:72" x14ac:dyDescent="0.25">
      <c r="B38" s="243" t="str">
        <f t="shared" si="13"/>
        <v>Residential</v>
      </c>
      <c r="C38" s="243" t="str">
        <f t="shared" si="13"/>
        <v>Rates</v>
      </c>
      <c r="D38" s="244" t="str">
        <f>D37</f>
        <v>Rates before DSM (No EE Scenario)</v>
      </c>
      <c r="E38" s="84" t="s">
        <v>26</v>
      </c>
      <c r="F38" s="84" t="s">
        <v>182</v>
      </c>
      <c r="G38" s="506">
        <f>IF(G$8=0,0,INDEX('R&amp;B Inputs'!$I$78:$V$78,MATCH($B38,'R&amp;B Inputs'!$I$4:$V$4,0))*(1+INDEX('R&amp;B Inputs'!$I$48:$V$48,MATCH($B38,'R&amp;B Inputs'!$I$4:$V$4,0)))^(G$7-Year1))</f>
        <v>0</v>
      </c>
      <c r="H38" s="506">
        <f>IF(H$8=0,0,INDEX('R&amp;B Inputs'!$I$78:$V$78,MATCH($B38,'R&amp;B Inputs'!$I$4:$V$4,0))*(1+INDEX('R&amp;B Inputs'!$I$48:$V$48,MATCH($B38,'R&amp;B Inputs'!$I$4:$V$4,0)))^(H$7-Year1))</f>
        <v>0.55689999999999995</v>
      </c>
      <c r="I38" s="506">
        <f>IF(I$8=0,0,INDEX('R&amp;B Inputs'!$I$78:$V$78,MATCH($B38,'R&amp;B Inputs'!$I$4:$V$4,0))*(1+INDEX('R&amp;B Inputs'!$I$48:$V$48,MATCH($B38,'R&amp;B Inputs'!$I$4:$V$4,0)))^(I$7-Year1))</f>
        <v>0.55689999999999995</v>
      </c>
      <c r="J38" s="506">
        <f>IF(J$8=0,0,INDEX('R&amp;B Inputs'!$I$78:$V$78,MATCH($B38,'R&amp;B Inputs'!$I$4:$V$4,0))*(1+INDEX('R&amp;B Inputs'!$I$48:$V$48,MATCH($B38,'R&amp;B Inputs'!$I$4:$V$4,0)))^(J$7-Year1))</f>
        <v>0.55689999999999995</v>
      </c>
      <c r="K38" s="506">
        <f>IF(K$8=0,0,INDEX('R&amp;B Inputs'!$I$78:$V$78,MATCH($B38,'R&amp;B Inputs'!$I$4:$V$4,0))*(1+INDEX('R&amp;B Inputs'!$I$48:$V$48,MATCH($B38,'R&amp;B Inputs'!$I$4:$V$4,0)))^(K$7-Year1))</f>
        <v>0.55689999999999995</v>
      </c>
      <c r="L38" s="506">
        <f>IF(L$8=0,0,INDEX('R&amp;B Inputs'!$I$78:$V$78,MATCH($B38,'R&amp;B Inputs'!$I$4:$V$4,0))*(1+INDEX('R&amp;B Inputs'!$I$48:$V$48,MATCH($B38,'R&amp;B Inputs'!$I$4:$V$4,0)))^(L$7-Year1))</f>
        <v>0.55689999999999995</v>
      </c>
      <c r="M38" s="506">
        <f>IF(M$8=0,0,INDEX('R&amp;B Inputs'!$I$78:$V$78,MATCH($B38,'R&amp;B Inputs'!$I$4:$V$4,0))*(1+INDEX('R&amp;B Inputs'!$I$48:$V$48,MATCH($B38,'R&amp;B Inputs'!$I$4:$V$4,0)))^(M$7-Year1))</f>
        <v>0.55689999999999995</v>
      </c>
      <c r="N38" s="506">
        <f>IF(N$8=0,0,INDEX('R&amp;B Inputs'!$I$78:$V$78,MATCH($B38,'R&amp;B Inputs'!$I$4:$V$4,0))*(1+INDEX('R&amp;B Inputs'!$I$48:$V$48,MATCH($B38,'R&amp;B Inputs'!$I$4:$V$4,0)))^(N$7-Year1))</f>
        <v>0.55689999999999995</v>
      </c>
      <c r="O38" s="506">
        <f>IF(O$8=0,0,INDEX('R&amp;B Inputs'!$I$78:$V$78,MATCH($B38,'R&amp;B Inputs'!$I$4:$V$4,0))*(1+INDEX('R&amp;B Inputs'!$I$48:$V$48,MATCH($B38,'R&amp;B Inputs'!$I$4:$V$4,0)))^(O$7-Year1))</f>
        <v>0.55689999999999995</v>
      </c>
      <c r="P38" s="506">
        <f>IF(P$8=0,0,INDEX('R&amp;B Inputs'!$I$78:$V$78,MATCH($B38,'R&amp;B Inputs'!$I$4:$V$4,0))*(1+INDEX('R&amp;B Inputs'!$I$48:$V$48,MATCH($B38,'R&amp;B Inputs'!$I$4:$V$4,0)))^(P$7-Year1))</f>
        <v>0.55689999999999995</v>
      </c>
      <c r="Q38" s="506">
        <f>IF(Q$8=0,0,INDEX('R&amp;B Inputs'!$I$78:$V$78,MATCH($B38,'R&amp;B Inputs'!$I$4:$V$4,0))*(1+INDEX('R&amp;B Inputs'!$I$48:$V$48,MATCH($B38,'R&amp;B Inputs'!$I$4:$V$4,0)))^(Q$7-Year1))</f>
        <v>0.55689999999999995</v>
      </c>
      <c r="R38" s="506">
        <f>IF(R$8=0,0,INDEX('R&amp;B Inputs'!$I$78:$V$78,MATCH($B38,'R&amp;B Inputs'!$I$4:$V$4,0))*(1+INDEX('R&amp;B Inputs'!$I$48:$V$48,MATCH($B38,'R&amp;B Inputs'!$I$4:$V$4,0)))^(R$7-Year1))</f>
        <v>0.55689999999999995</v>
      </c>
      <c r="S38" s="506">
        <f>IF(S$8=0,0,INDEX('R&amp;B Inputs'!$I$78:$V$78,MATCH($B38,'R&amp;B Inputs'!$I$4:$V$4,0))*(1+INDEX('R&amp;B Inputs'!$I$48:$V$48,MATCH($B38,'R&amp;B Inputs'!$I$4:$V$4,0)))^(S$7-Year1))</f>
        <v>0.55689999999999995</v>
      </c>
      <c r="T38" s="506">
        <f>IF(T$8=0,0,INDEX('R&amp;B Inputs'!$I$78:$V$78,MATCH($B38,'R&amp;B Inputs'!$I$4:$V$4,0))*(1+INDEX('R&amp;B Inputs'!$I$48:$V$48,MATCH($B38,'R&amp;B Inputs'!$I$4:$V$4,0)))^(T$7-Year1))</f>
        <v>0.55689999999999995</v>
      </c>
      <c r="U38" s="506">
        <f>IF(U$8=0,0,INDEX('R&amp;B Inputs'!$I$78:$V$78,MATCH($B38,'R&amp;B Inputs'!$I$4:$V$4,0))*(1+INDEX('R&amp;B Inputs'!$I$48:$V$48,MATCH($B38,'R&amp;B Inputs'!$I$4:$V$4,0)))^(U$7-Year1))</f>
        <v>0.55689999999999995</v>
      </c>
      <c r="V38" s="506">
        <f>IF(V$8=0,0,INDEX('R&amp;B Inputs'!$I$78:$V$78,MATCH($B38,'R&amp;B Inputs'!$I$4:$V$4,0))*(1+INDEX('R&amp;B Inputs'!$I$48:$V$48,MATCH($B38,'R&amp;B Inputs'!$I$4:$V$4,0)))^(V$7-Year1))</f>
        <v>0.55689999999999995</v>
      </c>
      <c r="W38" s="506">
        <f>IF(W$8=0,0,INDEX('R&amp;B Inputs'!$I$78:$V$78,MATCH($B38,'R&amp;B Inputs'!$I$4:$V$4,0))*(1+INDEX('R&amp;B Inputs'!$I$48:$V$48,MATCH($B38,'R&amp;B Inputs'!$I$4:$V$4,0)))^(W$7-Year1))</f>
        <v>0.55689999999999995</v>
      </c>
      <c r="X38" s="506">
        <f>IF(X$8=0,0,INDEX('R&amp;B Inputs'!$I$78:$V$78,MATCH($B38,'R&amp;B Inputs'!$I$4:$V$4,0))*(1+INDEX('R&amp;B Inputs'!$I$48:$V$48,MATCH($B38,'R&amp;B Inputs'!$I$4:$V$4,0)))^(X$7-Year1))</f>
        <v>0.55689999999999995</v>
      </c>
      <c r="Y38" s="506">
        <f>IF(Y$8=0,0,INDEX('R&amp;B Inputs'!$I$78:$V$78,MATCH($B38,'R&amp;B Inputs'!$I$4:$V$4,0))*(1+INDEX('R&amp;B Inputs'!$I$48:$V$48,MATCH($B38,'R&amp;B Inputs'!$I$4:$V$4,0)))^(Y$7-Year1))</f>
        <v>0.55689999999999995</v>
      </c>
      <c r="Z38" s="506">
        <f>IF(Z$8=0,0,INDEX('R&amp;B Inputs'!$I$78:$V$78,MATCH($B38,'R&amp;B Inputs'!$I$4:$V$4,0))*(1+INDEX('R&amp;B Inputs'!$I$48:$V$48,MATCH($B38,'R&amp;B Inputs'!$I$4:$V$4,0)))^(Z$7-Year1))</f>
        <v>0.55689999999999995</v>
      </c>
      <c r="AA38" s="506">
        <f>IF(AA$8=0,0,INDEX('R&amp;B Inputs'!$I$78:$V$78,MATCH($B38,'R&amp;B Inputs'!$I$4:$V$4,0))*(1+INDEX('R&amp;B Inputs'!$I$48:$V$48,MATCH($B38,'R&amp;B Inputs'!$I$4:$V$4,0)))^(AA$7-Year1))</f>
        <v>0.55689999999999995</v>
      </c>
      <c r="AB38" s="506">
        <f>IF(AB$8=0,0,INDEX('R&amp;B Inputs'!$I$78:$V$78,MATCH($B38,'R&amp;B Inputs'!$I$4:$V$4,0))*(1+INDEX('R&amp;B Inputs'!$I$48:$V$48,MATCH($B38,'R&amp;B Inputs'!$I$4:$V$4,0)))^(AB$7-Year1))</f>
        <v>0.55689999999999995</v>
      </c>
      <c r="AC38" s="506">
        <f>IF(AC$8=0,0,INDEX('R&amp;B Inputs'!$I$78:$V$78,MATCH($B38,'R&amp;B Inputs'!$I$4:$V$4,0))*(1+INDEX('R&amp;B Inputs'!$I$48:$V$48,MATCH($B38,'R&amp;B Inputs'!$I$4:$V$4,0)))^(AC$7-Year1))</f>
        <v>0.55689999999999995</v>
      </c>
      <c r="AD38" s="506">
        <f>IF(AD$8=0,0,INDEX('R&amp;B Inputs'!$I$78:$V$78,MATCH($B38,'R&amp;B Inputs'!$I$4:$V$4,0))*(1+INDEX('R&amp;B Inputs'!$I$48:$V$48,MATCH($B38,'R&amp;B Inputs'!$I$4:$V$4,0)))^(AD$7-Year1))</f>
        <v>0.55689999999999995</v>
      </c>
      <c r="AE38" s="506">
        <f>IF(AE$8=0,0,INDEX('R&amp;B Inputs'!$I$78:$V$78,MATCH($B38,'R&amp;B Inputs'!$I$4:$V$4,0))*(1+INDEX('R&amp;B Inputs'!$I$48:$V$48,MATCH($B38,'R&amp;B Inputs'!$I$4:$V$4,0)))^(AE$7-Year1))</f>
        <v>0.55689999999999995</v>
      </c>
      <c r="AF38" s="506">
        <f>IF(AF$8=0,0,INDEX('R&amp;B Inputs'!$I$78:$V$78,MATCH($B38,'R&amp;B Inputs'!$I$4:$V$4,0))*(1+INDEX('R&amp;B Inputs'!$I$48:$V$48,MATCH($B38,'R&amp;B Inputs'!$I$4:$V$4,0)))^(AF$7-Year1))</f>
        <v>0.55689999999999995</v>
      </c>
      <c r="AG38" s="506">
        <f>IF(AG$8=0,0,INDEX('R&amp;B Inputs'!$I$78:$V$78,MATCH($B38,'R&amp;B Inputs'!$I$4:$V$4,0))*(1+INDEX('R&amp;B Inputs'!$I$48:$V$48,MATCH($B38,'R&amp;B Inputs'!$I$4:$V$4,0)))^(AG$7-Year1))</f>
        <v>0.55689999999999995</v>
      </c>
      <c r="AH38" s="506"/>
      <c r="AI38" s="506"/>
      <c r="AJ38" s="506">
        <f>IF($C$4=Year1,-PMT(Lookups!$E$17,25,NPV(Lookups!$E$17,G38:AE38),0,1),IF($C$4=Year2,-PMT(Lookups!$F$17,25,NPV(Lookups!$F$17,H38:AF38),0,1),IF($C$4=Year3,-PMT(Lookups!$G$17,25,NPV(Lookups!$G$17,I38:AG38),0,1),-PMT(Lookups!$G$17,27,NPV(Lookups!$G$17,G38:AG38),0,1))))</f>
        <v>0.5491330653753026</v>
      </c>
      <c r="AK38" s="507"/>
      <c r="AL38" s="507"/>
      <c r="AM38" s="508">
        <f>IF(AM$8=0,0,INDEX('R&amp;B Inputs'!$I$78:$V$78,MATCH($B38,'R&amp;B Inputs'!$I$4:$V$4,0))*(1+INDEX('R&amp;B Inputs'!$I$48:$V$48,MATCH($B38,'R&amp;B Inputs'!$I$4:$V$4,0)))^(AM$7-Year1))</f>
        <v>0</v>
      </c>
      <c r="AN38" s="508">
        <f>IF(AN$8=0,0,INDEX('R&amp;B Inputs'!$I$78:$V$78,MATCH($B38,'R&amp;B Inputs'!$I$4:$V$4,0))*(1+INDEX('R&amp;B Inputs'!$I$48:$V$48,MATCH($B38,'R&amp;B Inputs'!$I$4:$V$4,0)))^(AN$7-Year1))</f>
        <v>0.55689999999999995</v>
      </c>
      <c r="AO38" s="508">
        <f>IF(AO$8=0,0,INDEX('R&amp;B Inputs'!$I$78:$V$78,MATCH($B38,'R&amp;B Inputs'!$I$4:$V$4,0))*(1+INDEX('R&amp;B Inputs'!$I$48:$V$48,MATCH($B38,'R&amp;B Inputs'!$I$4:$V$4,0)))^(AO$7-Year1))</f>
        <v>0.55689999999999995</v>
      </c>
      <c r="AP38" s="508">
        <f>IF(AP$8=0,0,INDEX('R&amp;B Inputs'!$I$78:$V$78,MATCH($B38,'R&amp;B Inputs'!$I$4:$V$4,0))*(1+INDEX('R&amp;B Inputs'!$I$48:$V$48,MATCH($B38,'R&amp;B Inputs'!$I$4:$V$4,0)))^(AP$7-Year1))</f>
        <v>0.55689999999999995</v>
      </c>
      <c r="AQ38" s="508">
        <f>IF(AQ$8=0,0,INDEX('R&amp;B Inputs'!$I$78:$V$78,MATCH($B38,'R&amp;B Inputs'!$I$4:$V$4,0))*(1+INDEX('R&amp;B Inputs'!$I$48:$V$48,MATCH($B38,'R&amp;B Inputs'!$I$4:$V$4,0)))^(AQ$7-Year1))</f>
        <v>0.55689999999999995</v>
      </c>
      <c r="AR38" s="508">
        <f>IF(AR$8=0,0,INDEX('R&amp;B Inputs'!$I$78:$V$78,MATCH($B38,'R&amp;B Inputs'!$I$4:$V$4,0))*(1+INDEX('R&amp;B Inputs'!$I$48:$V$48,MATCH($B38,'R&amp;B Inputs'!$I$4:$V$4,0)))^(AR$7-Year1))</f>
        <v>0.55689999999999995</v>
      </c>
      <c r="AS38" s="508">
        <f>IF(AS$8=0,0,INDEX('R&amp;B Inputs'!$I$78:$V$78,MATCH($B38,'R&amp;B Inputs'!$I$4:$V$4,0))*(1+INDEX('R&amp;B Inputs'!$I$48:$V$48,MATCH($B38,'R&amp;B Inputs'!$I$4:$V$4,0)))^(AS$7-Year1))</f>
        <v>0.55689999999999995</v>
      </c>
      <c r="AT38" s="508">
        <f>IF(AT$8=0,0,INDEX('R&amp;B Inputs'!$I$78:$V$78,MATCH($B38,'R&amp;B Inputs'!$I$4:$V$4,0))*(1+INDEX('R&amp;B Inputs'!$I$48:$V$48,MATCH($B38,'R&amp;B Inputs'!$I$4:$V$4,0)))^(AT$7-Year1))</f>
        <v>0.55689999999999995</v>
      </c>
      <c r="AU38" s="508">
        <f>IF(AU$8=0,0,INDEX('R&amp;B Inputs'!$I$78:$V$78,MATCH($B38,'R&amp;B Inputs'!$I$4:$V$4,0))*(1+INDEX('R&amp;B Inputs'!$I$48:$V$48,MATCH($B38,'R&amp;B Inputs'!$I$4:$V$4,0)))^(AU$7-Year1))</f>
        <v>0.55689999999999995</v>
      </c>
      <c r="AV38" s="508">
        <f>IF(AV$8=0,0,INDEX('R&amp;B Inputs'!$I$78:$V$78,MATCH($B38,'R&amp;B Inputs'!$I$4:$V$4,0))*(1+INDEX('R&amp;B Inputs'!$I$48:$V$48,MATCH($B38,'R&amp;B Inputs'!$I$4:$V$4,0)))^(AV$7-Year1))</f>
        <v>0.55689999999999995</v>
      </c>
      <c r="AW38" s="508">
        <f>IF(AW$8=0,0,INDEX('R&amp;B Inputs'!$I$78:$V$78,MATCH($B38,'R&amp;B Inputs'!$I$4:$V$4,0))*(1+INDEX('R&amp;B Inputs'!$I$48:$V$48,MATCH($B38,'R&amp;B Inputs'!$I$4:$V$4,0)))^(AW$7-Year1))</f>
        <v>0.55689999999999995</v>
      </c>
      <c r="AX38" s="508">
        <f>IF(AX$8=0,0,INDEX('R&amp;B Inputs'!$I$78:$V$78,MATCH($B38,'R&amp;B Inputs'!$I$4:$V$4,0))*(1+INDEX('R&amp;B Inputs'!$I$48:$V$48,MATCH($B38,'R&amp;B Inputs'!$I$4:$V$4,0)))^(AX$7-Year1))</f>
        <v>0.55689999999999995</v>
      </c>
      <c r="AY38" s="508">
        <f>IF(AY$8=0,0,INDEX('R&amp;B Inputs'!$I$78:$V$78,MATCH($B38,'R&amp;B Inputs'!$I$4:$V$4,0))*(1+INDEX('R&amp;B Inputs'!$I$48:$V$48,MATCH($B38,'R&amp;B Inputs'!$I$4:$V$4,0)))^(AY$7-Year1))</f>
        <v>0.55689999999999995</v>
      </c>
      <c r="AZ38" s="508">
        <f>IF(AZ$8=0,0,INDEX('R&amp;B Inputs'!$I$78:$V$78,MATCH($B38,'R&amp;B Inputs'!$I$4:$V$4,0))*(1+INDEX('R&amp;B Inputs'!$I$48:$V$48,MATCH($B38,'R&amp;B Inputs'!$I$4:$V$4,0)))^(AZ$7-Year1))</f>
        <v>0.55689999999999995</v>
      </c>
      <c r="BA38" s="508">
        <f>IF(BA$8=0,0,INDEX('R&amp;B Inputs'!$I$78:$V$78,MATCH($B38,'R&amp;B Inputs'!$I$4:$V$4,0))*(1+INDEX('R&amp;B Inputs'!$I$48:$V$48,MATCH($B38,'R&amp;B Inputs'!$I$4:$V$4,0)))^(BA$7-Year1))</f>
        <v>0.55689999999999995</v>
      </c>
      <c r="BB38" s="508">
        <f>IF(BB$8=0,0,INDEX('R&amp;B Inputs'!$I$78:$V$78,MATCH($B38,'R&amp;B Inputs'!$I$4:$V$4,0))*(1+INDEX('R&amp;B Inputs'!$I$48:$V$48,MATCH($B38,'R&amp;B Inputs'!$I$4:$V$4,0)))^(BB$7-Year1))</f>
        <v>0.55689999999999995</v>
      </c>
      <c r="BC38" s="508">
        <f>IF(BC$8=0,0,INDEX('R&amp;B Inputs'!$I$78:$V$78,MATCH($B38,'R&amp;B Inputs'!$I$4:$V$4,0))*(1+INDEX('R&amp;B Inputs'!$I$48:$V$48,MATCH($B38,'R&amp;B Inputs'!$I$4:$V$4,0)))^(BC$7-Year1))</f>
        <v>0.55689999999999995</v>
      </c>
      <c r="BD38" s="508">
        <f>IF(BD$8=0,0,INDEX('R&amp;B Inputs'!$I$78:$V$78,MATCH($B38,'R&amp;B Inputs'!$I$4:$V$4,0))*(1+INDEX('R&amp;B Inputs'!$I$48:$V$48,MATCH($B38,'R&amp;B Inputs'!$I$4:$V$4,0)))^(BD$7-Year1))</f>
        <v>0.55689999999999995</v>
      </c>
      <c r="BE38" s="508">
        <f>IF(BE$8=0,0,INDEX('R&amp;B Inputs'!$I$78:$V$78,MATCH($B38,'R&amp;B Inputs'!$I$4:$V$4,0))*(1+INDEX('R&amp;B Inputs'!$I$48:$V$48,MATCH($B38,'R&amp;B Inputs'!$I$4:$V$4,0)))^(BE$7-Year1))</f>
        <v>0.55689999999999995</v>
      </c>
      <c r="BF38" s="508">
        <f>IF(BF$8=0,0,INDEX('R&amp;B Inputs'!$I$78:$V$78,MATCH($B38,'R&amp;B Inputs'!$I$4:$V$4,0))*(1+INDEX('R&amp;B Inputs'!$I$48:$V$48,MATCH($B38,'R&amp;B Inputs'!$I$4:$V$4,0)))^(BF$7-Year1))</f>
        <v>0.55689999999999995</v>
      </c>
      <c r="BG38" s="508">
        <f>IF(BG$8=0,0,INDEX('R&amp;B Inputs'!$I$78:$V$78,MATCH($B38,'R&amp;B Inputs'!$I$4:$V$4,0))*(1+INDEX('R&amp;B Inputs'!$I$48:$V$48,MATCH($B38,'R&amp;B Inputs'!$I$4:$V$4,0)))^(BG$7-Year1))</f>
        <v>0.55689999999999995</v>
      </c>
      <c r="BH38" s="508">
        <f>IF(BH$8=0,0,INDEX('R&amp;B Inputs'!$I$78:$V$78,MATCH($B38,'R&amp;B Inputs'!$I$4:$V$4,0))*(1+INDEX('R&amp;B Inputs'!$I$48:$V$48,MATCH($B38,'R&amp;B Inputs'!$I$4:$V$4,0)))^(BH$7-Year1))</f>
        <v>0.55689999999999995</v>
      </c>
      <c r="BI38" s="508">
        <f>IF(BI$8=0,0,INDEX('R&amp;B Inputs'!$I$78:$V$78,MATCH($B38,'R&amp;B Inputs'!$I$4:$V$4,0))*(1+INDEX('R&amp;B Inputs'!$I$48:$V$48,MATCH($B38,'R&amp;B Inputs'!$I$4:$V$4,0)))^(BI$7-Year1))</f>
        <v>0.55689999999999995</v>
      </c>
      <c r="BJ38" s="508">
        <f>IF(BJ$8=0,0,INDEX('R&amp;B Inputs'!$I$78:$V$78,MATCH($B38,'R&amp;B Inputs'!$I$4:$V$4,0))*(1+INDEX('R&amp;B Inputs'!$I$48:$V$48,MATCH($B38,'R&amp;B Inputs'!$I$4:$V$4,0)))^(BJ$7-Year1))</f>
        <v>0.55689999999999995</v>
      </c>
      <c r="BK38" s="508">
        <f>IF(BK$8=0,0,INDEX('R&amp;B Inputs'!$I$78:$V$78,MATCH($B38,'R&amp;B Inputs'!$I$4:$V$4,0))*(1+INDEX('R&amp;B Inputs'!$I$48:$V$48,MATCH($B38,'R&amp;B Inputs'!$I$4:$V$4,0)))^(BK$7-Year1))</f>
        <v>0.55689999999999995</v>
      </c>
      <c r="BL38" s="508">
        <f>IF(BL$8=0,0,INDEX('R&amp;B Inputs'!$I$78:$V$78,MATCH($B38,'R&amp;B Inputs'!$I$4:$V$4,0))*(1+INDEX('R&amp;B Inputs'!$I$48:$V$48,MATCH($B38,'R&amp;B Inputs'!$I$4:$V$4,0)))^(BL$7-Year1))</f>
        <v>0.55689999999999995</v>
      </c>
      <c r="BM38" s="508">
        <f>IF(BM$8=0,0,INDEX('R&amp;B Inputs'!$I$78:$V$78,MATCH($B38,'R&amp;B Inputs'!$I$4:$V$4,0))*(1+INDEX('R&amp;B Inputs'!$I$48:$V$48,MATCH($B38,'R&amp;B Inputs'!$I$4:$V$4,0)))^(BM$7-Year1))</f>
        <v>0.55689999999999995</v>
      </c>
      <c r="BN38" s="508"/>
      <c r="BO38" s="508"/>
      <c r="BP38" s="508">
        <f>IF($C$4=Year1,-PMT(Lookups!$E$17,25,NPV(Lookups!$E$17,AM38:BK38),0,1),IF($C$4=Year2,-PMT(Lookups!$F$17,25,NPV(Lookups!$F$17,AN38:BL38),0,1),IF($C$4=Year3,-PMT(Lookups!$G$17,25,NPV(Lookups!$G$17,AO38:BM38),0,1),-PMT(Lookups!$G$17,27,NPV(Lookups!$G$17,AM38:BM38),0,1))))</f>
        <v>0.5491330653753026</v>
      </c>
      <c r="BS38" s="76" t="str">
        <f t="shared" ref="BS38:BS40" si="20">E38&amp;" charge from the R&amp;B Inputs tab, escalated annually by the growth rate included on the R&amp;B Inputs tab."</f>
        <v>Distribution charge from the R&amp;B Inputs tab, escalated annually by the growth rate included on the R&amp;B Inputs tab.</v>
      </c>
      <c r="BT38" s="51" t="s">
        <v>17</v>
      </c>
    </row>
    <row r="39" spans="1:72" x14ac:dyDescent="0.25">
      <c r="B39" s="243" t="str">
        <f t="shared" si="13"/>
        <v>Residential</v>
      </c>
      <c r="C39" s="243" t="str">
        <f t="shared" si="13"/>
        <v>Rates</v>
      </c>
      <c r="D39" s="244" t="str">
        <f>D38</f>
        <v>Rates before DSM (No EE Scenario)</v>
      </c>
      <c r="E39" s="84" t="s">
        <v>407</v>
      </c>
      <c r="F39" s="84" t="s">
        <v>182</v>
      </c>
      <c r="G39" s="506">
        <f>IF(G$8=0,0,INDEX('R&amp;B Inputs'!$I$82:$V$82,MATCH($B39,'R&amp;B Inputs'!$I$4:$V$4,0))*(1+INDEX('R&amp;B Inputs'!$I$62:$V$62,MATCH($B39,'R&amp;B Inputs'!$I$4:$V$4,0)))^(G$7-Year1))</f>
        <v>0</v>
      </c>
      <c r="H39" s="506">
        <f>IF(H$8=0,0,INDEX('R&amp;B Inputs'!$I$82:$V$82,MATCH($B39,'R&amp;B Inputs'!$I$4:$V$4,0))*(1+INDEX('R&amp;B Inputs'!$I$62:$V$62,MATCH($B39,'R&amp;B Inputs'!$I$4:$V$4,0)))^(H$7-Year1))</f>
        <v>-3.3000000000000002E-2</v>
      </c>
      <c r="I39" s="506">
        <f>IF(I$8=0,0,INDEX('R&amp;B Inputs'!$I$82:$V$82,MATCH($B39,'R&amp;B Inputs'!$I$4:$V$4,0))*(1+INDEX('R&amp;B Inputs'!$I$62:$V$62,MATCH($B39,'R&amp;B Inputs'!$I$4:$V$4,0)))^(I$7-Year1))</f>
        <v>-3.3000000000000002E-2</v>
      </c>
      <c r="J39" s="506">
        <f>IF(J$8=0,0,INDEX('R&amp;B Inputs'!$I$82:$V$82,MATCH($B39,'R&amp;B Inputs'!$I$4:$V$4,0))*(1+INDEX('R&amp;B Inputs'!$I$62:$V$62,MATCH($B39,'R&amp;B Inputs'!$I$4:$V$4,0)))^(J$7-Year1))</f>
        <v>-3.3000000000000002E-2</v>
      </c>
      <c r="K39" s="506">
        <f>IF(K$8=0,0,INDEX('R&amp;B Inputs'!$I$82:$V$82,MATCH($B39,'R&amp;B Inputs'!$I$4:$V$4,0))*(1+INDEX('R&amp;B Inputs'!$I$62:$V$62,MATCH($B39,'R&amp;B Inputs'!$I$4:$V$4,0)))^(K$7-Year1))</f>
        <v>-3.3000000000000002E-2</v>
      </c>
      <c r="L39" s="506">
        <f>IF(L$8=0,0,INDEX('R&amp;B Inputs'!$I$82:$V$82,MATCH($B39,'R&amp;B Inputs'!$I$4:$V$4,0))*(1+INDEX('R&amp;B Inputs'!$I$62:$V$62,MATCH($B39,'R&amp;B Inputs'!$I$4:$V$4,0)))^(L$7-Year1))</f>
        <v>-3.3000000000000002E-2</v>
      </c>
      <c r="M39" s="506">
        <f>IF(M$8=0,0,INDEX('R&amp;B Inputs'!$I$82:$V$82,MATCH($B39,'R&amp;B Inputs'!$I$4:$V$4,0))*(1+INDEX('R&amp;B Inputs'!$I$62:$V$62,MATCH($B39,'R&amp;B Inputs'!$I$4:$V$4,0)))^(M$7-Year1))</f>
        <v>-3.3000000000000002E-2</v>
      </c>
      <c r="N39" s="506">
        <f>IF(N$8=0,0,INDEX('R&amp;B Inputs'!$I$82:$V$82,MATCH($B39,'R&amp;B Inputs'!$I$4:$V$4,0))*(1+INDEX('R&amp;B Inputs'!$I$62:$V$62,MATCH($B39,'R&amp;B Inputs'!$I$4:$V$4,0)))^(N$7-Year1))</f>
        <v>-3.3000000000000002E-2</v>
      </c>
      <c r="O39" s="506">
        <f>IF(O$8=0,0,INDEX('R&amp;B Inputs'!$I$82:$V$82,MATCH($B39,'R&amp;B Inputs'!$I$4:$V$4,0))*(1+INDEX('R&amp;B Inputs'!$I$62:$V$62,MATCH($B39,'R&amp;B Inputs'!$I$4:$V$4,0)))^(O$7-Year1))</f>
        <v>-3.3000000000000002E-2</v>
      </c>
      <c r="P39" s="506">
        <f>IF(P$8=0,0,INDEX('R&amp;B Inputs'!$I$82:$V$82,MATCH($B39,'R&amp;B Inputs'!$I$4:$V$4,0))*(1+INDEX('R&amp;B Inputs'!$I$62:$V$62,MATCH($B39,'R&amp;B Inputs'!$I$4:$V$4,0)))^(P$7-Year1))</f>
        <v>-3.3000000000000002E-2</v>
      </c>
      <c r="Q39" s="506">
        <f>IF(Q$8=0,0,INDEX('R&amp;B Inputs'!$I$82:$V$82,MATCH($B39,'R&amp;B Inputs'!$I$4:$V$4,0))*(1+INDEX('R&amp;B Inputs'!$I$62:$V$62,MATCH($B39,'R&amp;B Inputs'!$I$4:$V$4,0)))^(Q$7-Year1))</f>
        <v>-3.3000000000000002E-2</v>
      </c>
      <c r="R39" s="506">
        <f>IF(R$8=0,0,INDEX('R&amp;B Inputs'!$I$82:$V$82,MATCH($B39,'R&amp;B Inputs'!$I$4:$V$4,0))*(1+INDEX('R&amp;B Inputs'!$I$62:$V$62,MATCH($B39,'R&amp;B Inputs'!$I$4:$V$4,0)))^(R$7-Year1))</f>
        <v>-3.3000000000000002E-2</v>
      </c>
      <c r="S39" s="506">
        <f>IF(S$8=0,0,INDEX('R&amp;B Inputs'!$I$82:$V$82,MATCH($B39,'R&amp;B Inputs'!$I$4:$V$4,0))*(1+INDEX('R&amp;B Inputs'!$I$62:$V$62,MATCH($B39,'R&amp;B Inputs'!$I$4:$V$4,0)))^(S$7-Year1))</f>
        <v>-3.3000000000000002E-2</v>
      </c>
      <c r="T39" s="506">
        <f>IF(T$8=0,0,INDEX('R&amp;B Inputs'!$I$82:$V$82,MATCH($B39,'R&amp;B Inputs'!$I$4:$V$4,0))*(1+INDEX('R&amp;B Inputs'!$I$62:$V$62,MATCH($B39,'R&amp;B Inputs'!$I$4:$V$4,0)))^(T$7-Year1))</f>
        <v>-3.3000000000000002E-2</v>
      </c>
      <c r="U39" s="506">
        <f>IF(U$8=0,0,INDEX('R&amp;B Inputs'!$I$82:$V$82,MATCH($B39,'R&amp;B Inputs'!$I$4:$V$4,0))*(1+INDEX('R&amp;B Inputs'!$I$62:$V$62,MATCH($B39,'R&amp;B Inputs'!$I$4:$V$4,0)))^(U$7-Year1))</f>
        <v>-3.3000000000000002E-2</v>
      </c>
      <c r="V39" s="506">
        <f>IF(V$8=0,0,INDEX('R&amp;B Inputs'!$I$82:$V$82,MATCH($B39,'R&amp;B Inputs'!$I$4:$V$4,0))*(1+INDEX('R&amp;B Inputs'!$I$62:$V$62,MATCH($B39,'R&amp;B Inputs'!$I$4:$V$4,0)))^(V$7-Year1))</f>
        <v>-3.3000000000000002E-2</v>
      </c>
      <c r="W39" s="506">
        <f>IF(W$8=0,0,INDEX('R&amp;B Inputs'!$I$82:$V$82,MATCH($B39,'R&amp;B Inputs'!$I$4:$V$4,0))*(1+INDEX('R&amp;B Inputs'!$I$62:$V$62,MATCH($B39,'R&amp;B Inputs'!$I$4:$V$4,0)))^(W$7-Year1))</f>
        <v>-3.3000000000000002E-2</v>
      </c>
      <c r="X39" s="506">
        <f>IF(X$8=0,0,INDEX('R&amp;B Inputs'!$I$82:$V$82,MATCH($B39,'R&amp;B Inputs'!$I$4:$V$4,0))*(1+INDEX('R&amp;B Inputs'!$I$62:$V$62,MATCH($B39,'R&amp;B Inputs'!$I$4:$V$4,0)))^(X$7-Year1))</f>
        <v>-3.3000000000000002E-2</v>
      </c>
      <c r="Y39" s="506">
        <f>IF(Y$8=0,0,INDEX('R&amp;B Inputs'!$I$82:$V$82,MATCH($B39,'R&amp;B Inputs'!$I$4:$V$4,0))*(1+INDEX('R&amp;B Inputs'!$I$62:$V$62,MATCH($B39,'R&amp;B Inputs'!$I$4:$V$4,0)))^(Y$7-Year1))</f>
        <v>-3.3000000000000002E-2</v>
      </c>
      <c r="Z39" s="506">
        <f>IF(Z$8=0,0,INDEX('R&amp;B Inputs'!$I$82:$V$82,MATCH($B39,'R&amp;B Inputs'!$I$4:$V$4,0))*(1+INDEX('R&amp;B Inputs'!$I$62:$V$62,MATCH($B39,'R&amp;B Inputs'!$I$4:$V$4,0)))^(Z$7-Year1))</f>
        <v>-3.3000000000000002E-2</v>
      </c>
      <c r="AA39" s="506">
        <f>IF(AA$8=0,0,INDEX('R&amp;B Inputs'!$I$82:$V$82,MATCH($B39,'R&amp;B Inputs'!$I$4:$V$4,0))*(1+INDEX('R&amp;B Inputs'!$I$62:$V$62,MATCH($B39,'R&amp;B Inputs'!$I$4:$V$4,0)))^(AA$7-Year1))</f>
        <v>-3.3000000000000002E-2</v>
      </c>
      <c r="AB39" s="506">
        <f>IF(AB$8=0,0,INDEX('R&amp;B Inputs'!$I$82:$V$82,MATCH($B39,'R&amp;B Inputs'!$I$4:$V$4,0))*(1+INDEX('R&amp;B Inputs'!$I$62:$V$62,MATCH($B39,'R&amp;B Inputs'!$I$4:$V$4,0)))^(AB$7-Year1))</f>
        <v>-3.3000000000000002E-2</v>
      </c>
      <c r="AC39" s="506">
        <f>IF(AC$8=0,0,INDEX('R&amp;B Inputs'!$I$82:$V$82,MATCH($B39,'R&amp;B Inputs'!$I$4:$V$4,0))*(1+INDEX('R&amp;B Inputs'!$I$62:$V$62,MATCH($B39,'R&amp;B Inputs'!$I$4:$V$4,0)))^(AC$7-Year1))</f>
        <v>-3.3000000000000002E-2</v>
      </c>
      <c r="AD39" s="506">
        <f>IF(AD$8=0,0,INDEX('R&amp;B Inputs'!$I$82:$V$82,MATCH($B39,'R&amp;B Inputs'!$I$4:$V$4,0))*(1+INDEX('R&amp;B Inputs'!$I$62:$V$62,MATCH($B39,'R&amp;B Inputs'!$I$4:$V$4,0)))^(AD$7-Year1))</f>
        <v>-3.3000000000000002E-2</v>
      </c>
      <c r="AE39" s="506">
        <f>IF(AE$8=0,0,INDEX('R&amp;B Inputs'!$I$82:$V$82,MATCH($B39,'R&amp;B Inputs'!$I$4:$V$4,0))*(1+INDEX('R&amp;B Inputs'!$I$62:$V$62,MATCH($B39,'R&amp;B Inputs'!$I$4:$V$4,0)))^(AE$7-Year1))</f>
        <v>-3.3000000000000002E-2</v>
      </c>
      <c r="AF39" s="506">
        <f>IF(AF$8=0,0,INDEX('R&amp;B Inputs'!$I$82:$V$82,MATCH($B39,'R&amp;B Inputs'!$I$4:$V$4,0))*(1+INDEX('R&amp;B Inputs'!$I$62:$V$62,MATCH($B39,'R&amp;B Inputs'!$I$4:$V$4,0)))^(AF$7-Year1))</f>
        <v>-3.3000000000000002E-2</v>
      </c>
      <c r="AG39" s="506">
        <f>IF(AG$8=0,0,INDEX('R&amp;B Inputs'!$I$82:$V$82,MATCH($B39,'R&amp;B Inputs'!$I$4:$V$4,0))*(1+INDEX('R&amp;B Inputs'!$I$62:$V$62,MATCH($B39,'R&amp;B Inputs'!$I$4:$V$4,0)))^(AG$7-Year1))</f>
        <v>-3.3000000000000002E-2</v>
      </c>
      <c r="AH39" s="506"/>
      <c r="AI39" s="506"/>
      <c r="AJ39" s="506">
        <f>IF($C$4=Year1,-PMT(Lookups!$E$17,25,NPV(Lookups!$E$17,G39:AE39),0,1),IF($C$4=Year2,-PMT(Lookups!$F$17,25,NPV(Lookups!$F$17,H39:AF39),0,1),IF($C$4=Year3,-PMT(Lookups!$G$17,25,NPV(Lookups!$G$17,I39:AG39),0,1),-PMT(Lookups!$G$17,27,NPV(Lookups!$G$17,G39:AG39),0,1))))</f>
        <v>-3.2539757869249397E-2</v>
      </c>
      <c r="AK39" s="507"/>
      <c r="AL39" s="507"/>
      <c r="AM39" s="508">
        <f>IF(AM$8=0,0,INDEX('R&amp;B Inputs'!$I$82:$V$82,MATCH($B39,'R&amp;B Inputs'!$I$4:$V$4,0))*(1+INDEX('R&amp;B Inputs'!$I$62:$V$62,MATCH($B39,'R&amp;B Inputs'!$I$4:$V$4,0)))^(AM$7-Year1))</f>
        <v>0</v>
      </c>
      <c r="AN39" s="508">
        <f>IF(AN$8=0,0,INDEX('R&amp;B Inputs'!$I$82:$V$82,MATCH($B39,'R&amp;B Inputs'!$I$4:$V$4,0))*(1+INDEX('R&amp;B Inputs'!$I$62:$V$62,MATCH($B39,'R&amp;B Inputs'!$I$4:$V$4,0)))^(AN$7-Year1))</f>
        <v>-3.3000000000000002E-2</v>
      </c>
      <c r="AO39" s="508">
        <f>IF(AO$8=0,0,INDEX('R&amp;B Inputs'!$I$82:$V$82,MATCH($B39,'R&amp;B Inputs'!$I$4:$V$4,0))*(1+INDEX('R&amp;B Inputs'!$I$62:$V$62,MATCH($B39,'R&amp;B Inputs'!$I$4:$V$4,0)))^(AO$7-Year1))</f>
        <v>-3.3000000000000002E-2</v>
      </c>
      <c r="AP39" s="508">
        <f>IF(AP$8=0,0,INDEX('R&amp;B Inputs'!$I$82:$V$82,MATCH($B39,'R&amp;B Inputs'!$I$4:$V$4,0))*(1+INDEX('R&amp;B Inputs'!$I$62:$V$62,MATCH($B39,'R&amp;B Inputs'!$I$4:$V$4,0)))^(AP$7-Year1))</f>
        <v>-3.3000000000000002E-2</v>
      </c>
      <c r="AQ39" s="508">
        <f>IF(AQ$8=0,0,INDEX('R&amp;B Inputs'!$I$82:$V$82,MATCH($B39,'R&amp;B Inputs'!$I$4:$V$4,0))*(1+INDEX('R&amp;B Inputs'!$I$62:$V$62,MATCH($B39,'R&amp;B Inputs'!$I$4:$V$4,0)))^(AQ$7-Year1))</f>
        <v>-3.3000000000000002E-2</v>
      </c>
      <c r="AR39" s="508">
        <f>IF(AR$8=0,0,INDEX('R&amp;B Inputs'!$I$82:$V$82,MATCH($B39,'R&amp;B Inputs'!$I$4:$V$4,0))*(1+INDEX('R&amp;B Inputs'!$I$62:$V$62,MATCH($B39,'R&amp;B Inputs'!$I$4:$V$4,0)))^(AR$7-Year1))</f>
        <v>-3.3000000000000002E-2</v>
      </c>
      <c r="AS39" s="508">
        <f>IF(AS$8=0,0,INDEX('R&amp;B Inputs'!$I$82:$V$82,MATCH($B39,'R&amp;B Inputs'!$I$4:$V$4,0))*(1+INDEX('R&amp;B Inputs'!$I$62:$V$62,MATCH($B39,'R&amp;B Inputs'!$I$4:$V$4,0)))^(AS$7-Year1))</f>
        <v>-3.3000000000000002E-2</v>
      </c>
      <c r="AT39" s="508">
        <f>IF(AT$8=0,0,INDEX('R&amp;B Inputs'!$I$82:$V$82,MATCH($B39,'R&amp;B Inputs'!$I$4:$V$4,0))*(1+INDEX('R&amp;B Inputs'!$I$62:$V$62,MATCH($B39,'R&amp;B Inputs'!$I$4:$V$4,0)))^(AT$7-Year1))</f>
        <v>-3.3000000000000002E-2</v>
      </c>
      <c r="AU39" s="508">
        <f>IF(AU$8=0,0,INDEX('R&amp;B Inputs'!$I$82:$V$82,MATCH($B39,'R&amp;B Inputs'!$I$4:$V$4,0))*(1+INDEX('R&amp;B Inputs'!$I$62:$V$62,MATCH($B39,'R&amp;B Inputs'!$I$4:$V$4,0)))^(AU$7-Year1))</f>
        <v>-3.3000000000000002E-2</v>
      </c>
      <c r="AV39" s="508">
        <f>IF(AV$8=0,0,INDEX('R&amp;B Inputs'!$I$82:$V$82,MATCH($B39,'R&amp;B Inputs'!$I$4:$V$4,0))*(1+INDEX('R&amp;B Inputs'!$I$62:$V$62,MATCH($B39,'R&amp;B Inputs'!$I$4:$V$4,0)))^(AV$7-Year1))</f>
        <v>-3.3000000000000002E-2</v>
      </c>
      <c r="AW39" s="508">
        <f>IF(AW$8=0,0,INDEX('R&amp;B Inputs'!$I$82:$V$82,MATCH($B39,'R&amp;B Inputs'!$I$4:$V$4,0))*(1+INDEX('R&amp;B Inputs'!$I$62:$V$62,MATCH($B39,'R&amp;B Inputs'!$I$4:$V$4,0)))^(AW$7-Year1))</f>
        <v>-3.3000000000000002E-2</v>
      </c>
      <c r="AX39" s="508">
        <f>IF(AX$8=0,0,INDEX('R&amp;B Inputs'!$I$82:$V$82,MATCH($B39,'R&amp;B Inputs'!$I$4:$V$4,0))*(1+INDEX('R&amp;B Inputs'!$I$62:$V$62,MATCH($B39,'R&amp;B Inputs'!$I$4:$V$4,0)))^(AX$7-Year1))</f>
        <v>-3.3000000000000002E-2</v>
      </c>
      <c r="AY39" s="508">
        <f>IF(AY$8=0,0,INDEX('R&amp;B Inputs'!$I$82:$V$82,MATCH($B39,'R&amp;B Inputs'!$I$4:$V$4,0))*(1+INDEX('R&amp;B Inputs'!$I$62:$V$62,MATCH($B39,'R&amp;B Inputs'!$I$4:$V$4,0)))^(AY$7-Year1))</f>
        <v>-3.3000000000000002E-2</v>
      </c>
      <c r="AZ39" s="508">
        <f>IF(AZ$8=0,0,INDEX('R&amp;B Inputs'!$I$82:$V$82,MATCH($B39,'R&amp;B Inputs'!$I$4:$V$4,0))*(1+INDEX('R&amp;B Inputs'!$I$62:$V$62,MATCH($B39,'R&amp;B Inputs'!$I$4:$V$4,0)))^(AZ$7-Year1))</f>
        <v>-3.3000000000000002E-2</v>
      </c>
      <c r="BA39" s="508">
        <f>IF(BA$8=0,0,INDEX('R&amp;B Inputs'!$I$82:$V$82,MATCH($B39,'R&amp;B Inputs'!$I$4:$V$4,0))*(1+INDEX('R&amp;B Inputs'!$I$62:$V$62,MATCH($B39,'R&amp;B Inputs'!$I$4:$V$4,0)))^(BA$7-Year1))</f>
        <v>-3.3000000000000002E-2</v>
      </c>
      <c r="BB39" s="508">
        <f>IF(BB$8=0,0,INDEX('R&amp;B Inputs'!$I$82:$V$82,MATCH($B39,'R&amp;B Inputs'!$I$4:$V$4,0))*(1+INDEX('R&amp;B Inputs'!$I$62:$V$62,MATCH($B39,'R&amp;B Inputs'!$I$4:$V$4,0)))^(BB$7-Year1))</f>
        <v>-3.3000000000000002E-2</v>
      </c>
      <c r="BC39" s="508">
        <f>IF(BC$8=0,0,INDEX('R&amp;B Inputs'!$I$82:$V$82,MATCH($B39,'R&amp;B Inputs'!$I$4:$V$4,0))*(1+INDEX('R&amp;B Inputs'!$I$62:$V$62,MATCH($B39,'R&amp;B Inputs'!$I$4:$V$4,0)))^(BC$7-Year1))</f>
        <v>-3.3000000000000002E-2</v>
      </c>
      <c r="BD39" s="508">
        <f>IF(BD$8=0,0,INDEX('R&amp;B Inputs'!$I$82:$V$82,MATCH($B39,'R&amp;B Inputs'!$I$4:$V$4,0))*(1+INDEX('R&amp;B Inputs'!$I$62:$V$62,MATCH($B39,'R&amp;B Inputs'!$I$4:$V$4,0)))^(BD$7-Year1))</f>
        <v>-3.3000000000000002E-2</v>
      </c>
      <c r="BE39" s="508">
        <f>IF(BE$8=0,0,INDEX('R&amp;B Inputs'!$I$82:$V$82,MATCH($B39,'R&amp;B Inputs'!$I$4:$V$4,0))*(1+INDEX('R&amp;B Inputs'!$I$62:$V$62,MATCH($B39,'R&amp;B Inputs'!$I$4:$V$4,0)))^(BE$7-Year1))</f>
        <v>-3.3000000000000002E-2</v>
      </c>
      <c r="BF39" s="508">
        <f>IF(BF$8=0,0,INDEX('R&amp;B Inputs'!$I$82:$V$82,MATCH($B39,'R&amp;B Inputs'!$I$4:$V$4,0))*(1+INDEX('R&amp;B Inputs'!$I$62:$V$62,MATCH($B39,'R&amp;B Inputs'!$I$4:$V$4,0)))^(BF$7-Year1))</f>
        <v>-3.3000000000000002E-2</v>
      </c>
      <c r="BG39" s="508">
        <f>IF(BG$8=0,0,INDEX('R&amp;B Inputs'!$I$82:$V$82,MATCH($B39,'R&amp;B Inputs'!$I$4:$V$4,0))*(1+INDEX('R&amp;B Inputs'!$I$62:$V$62,MATCH($B39,'R&amp;B Inputs'!$I$4:$V$4,0)))^(BG$7-Year1))</f>
        <v>-3.3000000000000002E-2</v>
      </c>
      <c r="BH39" s="508">
        <f>IF(BH$8=0,0,INDEX('R&amp;B Inputs'!$I$82:$V$82,MATCH($B39,'R&amp;B Inputs'!$I$4:$V$4,0))*(1+INDEX('R&amp;B Inputs'!$I$62:$V$62,MATCH($B39,'R&amp;B Inputs'!$I$4:$V$4,0)))^(BH$7-Year1))</f>
        <v>-3.3000000000000002E-2</v>
      </c>
      <c r="BI39" s="508">
        <f>IF(BI$8=0,0,INDEX('R&amp;B Inputs'!$I$82:$V$82,MATCH($B39,'R&amp;B Inputs'!$I$4:$V$4,0))*(1+INDEX('R&amp;B Inputs'!$I$62:$V$62,MATCH($B39,'R&amp;B Inputs'!$I$4:$V$4,0)))^(BI$7-Year1))</f>
        <v>-3.3000000000000002E-2</v>
      </c>
      <c r="BJ39" s="508">
        <f>IF(BJ$8=0,0,INDEX('R&amp;B Inputs'!$I$82:$V$82,MATCH($B39,'R&amp;B Inputs'!$I$4:$V$4,0))*(1+INDEX('R&amp;B Inputs'!$I$62:$V$62,MATCH($B39,'R&amp;B Inputs'!$I$4:$V$4,0)))^(BJ$7-Year1))</f>
        <v>-3.3000000000000002E-2</v>
      </c>
      <c r="BK39" s="508">
        <f>IF(BK$8=0,0,INDEX('R&amp;B Inputs'!$I$82:$V$82,MATCH($B39,'R&amp;B Inputs'!$I$4:$V$4,0))*(1+INDEX('R&amp;B Inputs'!$I$62:$V$62,MATCH($B39,'R&amp;B Inputs'!$I$4:$V$4,0)))^(BK$7-Year1))</f>
        <v>-3.3000000000000002E-2</v>
      </c>
      <c r="BL39" s="508">
        <f>IF(BL$8=0,0,INDEX('R&amp;B Inputs'!$I$82:$V$82,MATCH($B39,'R&amp;B Inputs'!$I$4:$V$4,0))*(1+INDEX('R&amp;B Inputs'!$I$62:$V$62,MATCH($B39,'R&amp;B Inputs'!$I$4:$V$4,0)))^(BL$7-Year1))</f>
        <v>-3.3000000000000002E-2</v>
      </c>
      <c r="BM39" s="508">
        <f>IF(BM$8=0,0,INDEX('R&amp;B Inputs'!$I$82:$V$82,MATCH($B39,'R&amp;B Inputs'!$I$4:$V$4,0))*(1+INDEX('R&amp;B Inputs'!$I$62:$V$62,MATCH($B39,'R&amp;B Inputs'!$I$4:$V$4,0)))^(BM$7-Year1))</f>
        <v>-3.3000000000000002E-2</v>
      </c>
      <c r="BN39" s="508"/>
      <c r="BO39" s="508"/>
      <c r="BP39" s="508">
        <f>IF($C$4=Year1,-PMT(Lookups!$E$17,25,NPV(Lookups!$E$17,AM39:BK39),0,1),IF($C$4=Year2,-PMT(Lookups!$F$17,25,NPV(Lookups!$F$17,AN39:BL39),0,1),IF($C$4=Year3,-PMT(Lookups!$G$17,25,NPV(Lookups!$G$17,AO39:BM39),0,1),-PMT(Lookups!$G$17,27,NPV(Lookups!$G$17,AM39:BM39),0,1))))</f>
        <v>-3.2539757869249397E-2</v>
      </c>
      <c r="BS39" s="76" t="str">
        <f t="shared" si="20"/>
        <v>LDAC, Non-EE charge from the R&amp;B Inputs tab, escalated annually by the growth rate included on the R&amp;B Inputs tab.</v>
      </c>
      <c r="BT39" s="51" t="s">
        <v>17</v>
      </c>
    </row>
    <row r="40" spans="1:72" x14ac:dyDescent="0.25">
      <c r="B40" s="243" t="str">
        <f>B38</f>
        <v>Residential</v>
      </c>
      <c r="C40" s="243" t="str">
        <f>C38</f>
        <v>Rates</v>
      </c>
      <c r="D40" s="244" t="str">
        <f>D38</f>
        <v>Rates before DSM (No EE Scenario)</v>
      </c>
      <c r="E40" s="84" t="s">
        <v>197</v>
      </c>
      <c r="F40" s="84" t="s">
        <v>182</v>
      </c>
      <c r="G40" s="506">
        <f>IF(G$8=0,0,INDEX('R&amp;B Inputs'!$I$86:$V$86,MATCH($B40,'R&amp;B Inputs'!$I$4:$V$4,0))*(1+INDEX('R&amp;B Inputs'!$I$66:$V$66,MATCH($B40,'R&amp;B Inputs'!$I$4:$V$4,0)))^(G$7-Year1))</f>
        <v>0</v>
      </c>
      <c r="H40" s="506">
        <f>IF(H$8=0,0,INDEX('R&amp;B Inputs'!$I$86:$V$86,MATCH($B40,'R&amp;B Inputs'!$I$4:$V$4,0))*(1+INDEX('R&amp;B Inputs'!$I$66:$V$66,MATCH($B40,'R&amp;B Inputs'!$I$4:$V$4,0)))^(H$7-Year1))</f>
        <v>0.62029999999999996</v>
      </c>
      <c r="I40" s="506">
        <f>IF(I$8=0,0,INDEX('R&amp;B Inputs'!$I$86:$V$86,MATCH($B40,'R&amp;B Inputs'!$I$4:$V$4,0))*(1+INDEX('R&amp;B Inputs'!$I$66:$V$66,MATCH($B40,'R&amp;B Inputs'!$I$4:$V$4,0)))^(I$7-Year1))</f>
        <v>0.62029999999999996</v>
      </c>
      <c r="J40" s="506">
        <f>IF(J$8=0,0,INDEX('R&amp;B Inputs'!$I$86:$V$86,MATCH($B40,'R&amp;B Inputs'!$I$4:$V$4,0))*(1+INDEX('R&amp;B Inputs'!$I$66:$V$66,MATCH($B40,'R&amp;B Inputs'!$I$4:$V$4,0)))^(J$7-Year1))</f>
        <v>0.62029999999999996</v>
      </c>
      <c r="K40" s="506">
        <f>IF(K$8=0,0,INDEX('R&amp;B Inputs'!$I$86:$V$86,MATCH($B40,'R&amp;B Inputs'!$I$4:$V$4,0))*(1+INDEX('R&amp;B Inputs'!$I$66:$V$66,MATCH($B40,'R&amp;B Inputs'!$I$4:$V$4,0)))^(K$7-Year1))</f>
        <v>0.62029999999999996</v>
      </c>
      <c r="L40" s="506">
        <f>IF(L$8=0,0,INDEX('R&amp;B Inputs'!$I$86:$V$86,MATCH($B40,'R&amp;B Inputs'!$I$4:$V$4,0))*(1+INDEX('R&amp;B Inputs'!$I$66:$V$66,MATCH($B40,'R&amp;B Inputs'!$I$4:$V$4,0)))^(L$7-Year1))</f>
        <v>0.62029999999999996</v>
      </c>
      <c r="M40" s="506">
        <f>IF(M$8=0,0,INDEX('R&amp;B Inputs'!$I$86:$V$86,MATCH($B40,'R&amp;B Inputs'!$I$4:$V$4,0))*(1+INDEX('R&amp;B Inputs'!$I$66:$V$66,MATCH($B40,'R&amp;B Inputs'!$I$4:$V$4,0)))^(M$7-Year1))</f>
        <v>0.62029999999999996</v>
      </c>
      <c r="N40" s="506">
        <f>IF(N$8=0,0,INDEX('R&amp;B Inputs'!$I$86:$V$86,MATCH($B40,'R&amp;B Inputs'!$I$4:$V$4,0))*(1+INDEX('R&amp;B Inputs'!$I$66:$V$66,MATCH($B40,'R&amp;B Inputs'!$I$4:$V$4,0)))^(N$7-Year1))</f>
        <v>0.62029999999999996</v>
      </c>
      <c r="O40" s="506">
        <f>IF(O$8=0,0,INDEX('R&amp;B Inputs'!$I$86:$V$86,MATCH($B40,'R&amp;B Inputs'!$I$4:$V$4,0))*(1+INDEX('R&amp;B Inputs'!$I$66:$V$66,MATCH($B40,'R&amp;B Inputs'!$I$4:$V$4,0)))^(O$7-Year1))</f>
        <v>0.62029999999999996</v>
      </c>
      <c r="P40" s="506">
        <f>IF(P$8=0,0,INDEX('R&amp;B Inputs'!$I$86:$V$86,MATCH($B40,'R&amp;B Inputs'!$I$4:$V$4,0))*(1+INDEX('R&amp;B Inputs'!$I$66:$V$66,MATCH($B40,'R&amp;B Inputs'!$I$4:$V$4,0)))^(P$7-Year1))</f>
        <v>0.62029999999999996</v>
      </c>
      <c r="Q40" s="506">
        <f>IF(Q$8=0,0,INDEX('R&amp;B Inputs'!$I$86:$V$86,MATCH($B40,'R&amp;B Inputs'!$I$4:$V$4,0))*(1+INDEX('R&amp;B Inputs'!$I$66:$V$66,MATCH($B40,'R&amp;B Inputs'!$I$4:$V$4,0)))^(Q$7-Year1))</f>
        <v>0.62029999999999996</v>
      </c>
      <c r="R40" s="506">
        <f>IF(R$8=0,0,INDEX('R&amp;B Inputs'!$I$86:$V$86,MATCH($B40,'R&amp;B Inputs'!$I$4:$V$4,0))*(1+INDEX('R&amp;B Inputs'!$I$66:$V$66,MATCH($B40,'R&amp;B Inputs'!$I$4:$V$4,0)))^(R$7-Year1))</f>
        <v>0.62029999999999996</v>
      </c>
      <c r="S40" s="506">
        <f>IF(S$8=0,0,INDEX('R&amp;B Inputs'!$I$86:$V$86,MATCH($B40,'R&amp;B Inputs'!$I$4:$V$4,0))*(1+INDEX('R&amp;B Inputs'!$I$66:$V$66,MATCH($B40,'R&amp;B Inputs'!$I$4:$V$4,0)))^(S$7-Year1))</f>
        <v>0.62029999999999996</v>
      </c>
      <c r="T40" s="506">
        <f>IF(T$8=0,0,INDEX('R&amp;B Inputs'!$I$86:$V$86,MATCH($B40,'R&amp;B Inputs'!$I$4:$V$4,0))*(1+INDEX('R&amp;B Inputs'!$I$66:$V$66,MATCH($B40,'R&amp;B Inputs'!$I$4:$V$4,0)))^(T$7-Year1))</f>
        <v>0.62029999999999996</v>
      </c>
      <c r="U40" s="506">
        <f>IF(U$8=0,0,INDEX('R&amp;B Inputs'!$I$86:$V$86,MATCH($B40,'R&amp;B Inputs'!$I$4:$V$4,0))*(1+INDEX('R&amp;B Inputs'!$I$66:$V$66,MATCH($B40,'R&amp;B Inputs'!$I$4:$V$4,0)))^(U$7-Year1))</f>
        <v>0.62029999999999996</v>
      </c>
      <c r="V40" s="506">
        <f>IF(V$8=0,0,INDEX('R&amp;B Inputs'!$I$86:$V$86,MATCH($B40,'R&amp;B Inputs'!$I$4:$V$4,0))*(1+INDEX('R&amp;B Inputs'!$I$66:$V$66,MATCH($B40,'R&amp;B Inputs'!$I$4:$V$4,0)))^(V$7-Year1))</f>
        <v>0.62029999999999996</v>
      </c>
      <c r="W40" s="506">
        <f>IF(W$8=0,0,INDEX('R&amp;B Inputs'!$I$86:$V$86,MATCH($B40,'R&amp;B Inputs'!$I$4:$V$4,0))*(1+INDEX('R&amp;B Inputs'!$I$66:$V$66,MATCH($B40,'R&amp;B Inputs'!$I$4:$V$4,0)))^(W$7-Year1))</f>
        <v>0.62029999999999996</v>
      </c>
      <c r="X40" s="506">
        <f>IF(X$8=0,0,INDEX('R&amp;B Inputs'!$I$86:$V$86,MATCH($B40,'R&amp;B Inputs'!$I$4:$V$4,0))*(1+INDEX('R&amp;B Inputs'!$I$66:$V$66,MATCH($B40,'R&amp;B Inputs'!$I$4:$V$4,0)))^(X$7-Year1))</f>
        <v>0.62029999999999996</v>
      </c>
      <c r="Y40" s="506">
        <f>IF(Y$8=0,0,INDEX('R&amp;B Inputs'!$I$86:$V$86,MATCH($B40,'R&amp;B Inputs'!$I$4:$V$4,0))*(1+INDEX('R&amp;B Inputs'!$I$66:$V$66,MATCH($B40,'R&amp;B Inputs'!$I$4:$V$4,0)))^(Y$7-Year1))</f>
        <v>0.62029999999999996</v>
      </c>
      <c r="Z40" s="506">
        <f>IF(Z$8=0,0,INDEX('R&amp;B Inputs'!$I$86:$V$86,MATCH($B40,'R&amp;B Inputs'!$I$4:$V$4,0))*(1+INDEX('R&amp;B Inputs'!$I$66:$V$66,MATCH($B40,'R&amp;B Inputs'!$I$4:$V$4,0)))^(Z$7-Year1))</f>
        <v>0.62029999999999996</v>
      </c>
      <c r="AA40" s="506">
        <f>IF(AA$8=0,0,INDEX('R&amp;B Inputs'!$I$86:$V$86,MATCH($B40,'R&amp;B Inputs'!$I$4:$V$4,0))*(1+INDEX('R&amp;B Inputs'!$I$66:$V$66,MATCH($B40,'R&amp;B Inputs'!$I$4:$V$4,0)))^(AA$7-Year1))</f>
        <v>0.62029999999999996</v>
      </c>
      <c r="AB40" s="506">
        <f>IF(AB$8=0,0,INDEX('R&amp;B Inputs'!$I$86:$V$86,MATCH($B40,'R&amp;B Inputs'!$I$4:$V$4,0))*(1+INDEX('R&amp;B Inputs'!$I$66:$V$66,MATCH($B40,'R&amp;B Inputs'!$I$4:$V$4,0)))^(AB$7-Year1))</f>
        <v>0.62029999999999996</v>
      </c>
      <c r="AC40" s="506">
        <f>IF(AC$8=0,0,INDEX('R&amp;B Inputs'!$I$86:$V$86,MATCH($B40,'R&amp;B Inputs'!$I$4:$V$4,0))*(1+INDEX('R&amp;B Inputs'!$I$66:$V$66,MATCH($B40,'R&amp;B Inputs'!$I$4:$V$4,0)))^(AC$7-Year1))</f>
        <v>0.62029999999999996</v>
      </c>
      <c r="AD40" s="506">
        <f>IF(AD$8=0,0,INDEX('R&amp;B Inputs'!$I$86:$V$86,MATCH($B40,'R&amp;B Inputs'!$I$4:$V$4,0))*(1+INDEX('R&amp;B Inputs'!$I$66:$V$66,MATCH($B40,'R&amp;B Inputs'!$I$4:$V$4,0)))^(AD$7-Year1))</f>
        <v>0.62029999999999996</v>
      </c>
      <c r="AE40" s="506">
        <f>IF(AE$8=0,0,INDEX('R&amp;B Inputs'!$I$86:$V$86,MATCH($B40,'R&amp;B Inputs'!$I$4:$V$4,0))*(1+INDEX('R&amp;B Inputs'!$I$66:$V$66,MATCH($B40,'R&amp;B Inputs'!$I$4:$V$4,0)))^(AE$7-Year1))</f>
        <v>0.62029999999999996</v>
      </c>
      <c r="AF40" s="506">
        <f>IF(AF$8=0,0,INDEX('R&amp;B Inputs'!$I$86:$V$86,MATCH($B40,'R&amp;B Inputs'!$I$4:$V$4,0))*(1+INDEX('R&amp;B Inputs'!$I$66:$V$66,MATCH($B40,'R&amp;B Inputs'!$I$4:$V$4,0)))^(AF$7-Year1))</f>
        <v>0.62029999999999996</v>
      </c>
      <c r="AG40" s="506">
        <f>IF(AG$8=0,0,INDEX('R&amp;B Inputs'!$I$86:$V$86,MATCH($B40,'R&amp;B Inputs'!$I$4:$V$4,0))*(1+INDEX('R&amp;B Inputs'!$I$66:$V$66,MATCH($B40,'R&amp;B Inputs'!$I$4:$V$4,0)))^(AG$7-Year1))</f>
        <v>0.62029999999999996</v>
      </c>
      <c r="AH40" s="506"/>
      <c r="AI40" s="506"/>
      <c r="AJ40" s="506">
        <f>IF($C$4=Year1,-PMT(Lookups!$E$17,25,NPV(Lookups!$E$17,G40:AE40),0,1),IF($C$4=Year2,-PMT(Lookups!$F$17,25,NPV(Lookups!$F$17,H40:AF40),0,1),IF($C$4=Year3,-PMT(Lookups!$G$17,25,NPV(Lookups!$G$17,I40:AG40),0,1),-PMT(Lookups!$G$17,27,NPV(Lookups!$G$17,G40:AG40),0,1))))</f>
        <v>0.61164884261501185</v>
      </c>
      <c r="AK40" s="507"/>
      <c r="AL40" s="507"/>
      <c r="AM40" s="508">
        <f>IF(AM$8=0,0,INDEX('R&amp;B Inputs'!$I$86:$V$86,MATCH($B40,'R&amp;B Inputs'!$I$4:$V$4,0))*(1+INDEX('R&amp;B Inputs'!$I$66:$V$66,MATCH($B40,'R&amp;B Inputs'!$I$4:$V$4,0)))^(AM$7-Year1))</f>
        <v>0</v>
      </c>
      <c r="AN40" s="508">
        <f>IF(AN$8=0,0,INDEX('R&amp;B Inputs'!$I$86:$V$86,MATCH($B40,'R&amp;B Inputs'!$I$4:$V$4,0))*(1+INDEX('R&amp;B Inputs'!$I$66:$V$66,MATCH($B40,'R&amp;B Inputs'!$I$4:$V$4,0)))^(AN$7-Year1))</f>
        <v>0.62029999999999996</v>
      </c>
      <c r="AO40" s="508">
        <f>IF(AO$8=0,0,INDEX('R&amp;B Inputs'!$I$86:$V$86,MATCH($B40,'R&amp;B Inputs'!$I$4:$V$4,0))*(1+INDEX('R&amp;B Inputs'!$I$66:$V$66,MATCH($B40,'R&amp;B Inputs'!$I$4:$V$4,0)))^(AO$7-Year1))</f>
        <v>0.62029999999999996</v>
      </c>
      <c r="AP40" s="508">
        <f>IF(AP$8=0,0,INDEX('R&amp;B Inputs'!$I$86:$V$86,MATCH($B40,'R&amp;B Inputs'!$I$4:$V$4,0))*(1+INDEX('R&amp;B Inputs'!$I$66:$V$66,MATCH($B40,'R&amp;B Inputs'!$I$4:$V$4,0)))^(AP$7-Year1))</f>
        <v>0.62029999999999996</v>
      </c>
      <c r="AQ40" s="508">
        <f>IF(AQ$8=0,0,INDEX('R&amp;B Inputs'!$I$86:$V$86,MATCH($B40,'R&amp;B Inputs'!$I$4:$V$4,0))*(1+INDEX('R&amp;B Inputs'!$I$66:$V$66,MATCH($B40,'R&amp;B Inputs'!$I$4:$V$4,0)))^(AQ$7-Year1))</f>
        <v>0.62029999999999996</v>
      </c>
      <c r="AR40" s="508">
        <f>IF(AR$8=0,0,INDEX('R&amp;B Inputs'!$I$86:$V$86,MATCH($B40,'R&amp;B Inputs'!$I$4:$V$4,0))*(1+INDEX('R&amp;B Inputs'!$I$66:$V$66,MATCH($B40,'R&amp;B Inputs'!$I$4:$V$4,0)))^(AR$7-Year1))</f>
        <v>0.62029999999999996</v>
      </c>
      <c r="AS40" s="508">
        <f>IF(AS$8=0,0,INDEX('R&amp;B Inputs'!$I$86:$V$86,MATCH($B40,'R&amp;B Inputs'!$I$4:$V$4,0))*(1+INDEX('R&amp;B Inputs'!$I$66:$V$66,MATCH($B40,'R&amp;B Inputs'!$I$4:$V$4,0)))^(AS$7-Year1))</f>
        <v>0.62029999999999996</v>
      </c>
      <c r="AT40" s="508">
        <f>IF(AT$8=0,0,INDEX('R&amp;B Inputs'!$I$86:$V$86,MATCH($B40,'R&amp;B Inputs'!$I$4:$V$4,0))*(1+INDEX('R&amp;B Inputs'!$I$66:$V$66,MATCH($B40,'R&amp;B Inputs'!$I$4:$V$4,0)))^(AT$7-Year1))</f>
        <v>0.62029999999999996</v>
      </c>
      <c r="AU40" s="508">
        <f>IF(AU$8=0,0,INDEX('R&amp;B Inputs'!$I$86:$V$86,MATCH($B40,'R&amp;B Inputs'!$I$4:$V$4,0))*(1+INDEX('R&amp;B Inputs'!$I$66:$V$66,MATCH($B40,'R&amp;B Inputs'!$I$4:$V$4,0)))^(AU$7-Year1))</f>
        <v>0.62029999999999996</v>
      </c>
      <c r="AV40" s="508">
        <f>IF(AV$8=0,0,INDEX('R&amp;B Inputs'!$I$86:$V$86,MATCH($B40,'R&amp;B Inputs'!$I$4:$V$4,0))*(1+INDEX('R&amp;B Inputs'!$I$66:$V$66,MATCH($B40,'R&amp;B Inputs'!$I$4:$V$4,0)))^(AV$7-Year1))</f>
        <v>0.62029999999999996</v>
      </c>
      <c r="AW40" s="508">
        <f>IF(AW$8=0,0,INDEX('R&amp;B Inputs'!$I$86:$V$86,MATCH($B40,'R&amp;B Inputs'!$I$4:$V$4,0))*(1+INDEX('R&amp;B Inputs'!$I$66:$V$66,MATCH($B40,'R&amp;B Inputs'!$I$4:$V$4,0)))^(AW$7-Year1))</f>
        <v>0.62029999999999996</v>
      </c>
      <c r="AX40" s="508">
        <f>IF(AX$8=0,0,INDEX('R&amp;B Inputs'!$I$86:$V$86,MATCH($B40,'R&amp;B Inputs'!$I$4:$V$4,0))*(1+INDEX('R&amp;B Inputs'!$I$66:$V$66,MATCH($B40,'R&amp;B Inputs'!$I$4:$V$4,0)))^(AX$7-Year1))</f>
        <v>0.62029999999999996</v>
      </c>
      <c r="AY40" s="508">
        <f>IF(AY$8=0,0,INDEX('R&amp;B Inputs'!$I$86:$V$86,MATCH($B40,'R&amp;B Inputs'!$I$4:$V$4,0))*(1+INDEX('R&amp;B Inputs'!$I$66:$V$66,MATCH($B40,'R&amp;B Inputs'!$I$4:$V$4,0)))^(AY$7-Year1))</f>
        <v>0.62029999999999996</v>
      </c>
      <c r="AZ40" s="508">
        <f>IF(AZ$8=0,0,INDEX('R&amp;B Inputs'!$I$86:$V$86,MATCH($B40,'R&amp;B Inputs'!$I$4:$V$4,0))*(1+INDEX('R&amp;B Inputs'!$I$66:$V$66,MATCH($B40,'R&amp;B Inputs'!$I$4:$V$4,0)))^(AZ$7-Year1))</f>
        <v>0.62029999999999996</v>
      </c>
      <c r="BA40" s="508">
        <f>IF(BA$8=0,0,INDEX('R&amp;B Inputs'!$I$86:$V$86,MATCH($B40,'R&amp;B Inputs'!$I$4:$V$4,0))*(1+INDEX('R&amp;B Inputs'!$I$66:$V$66,MATCH($B40,'R&amp;B Inputs'!$I$4:$V$4,0)))^(BA$7-Year1))</f>
        <v>0.62029999999999996</v>
      </c>
      <c r="BB40" s="508">
        <f>IF(BB$8=0,0,INDEX('R&amp;B Inputs'!$I$86:$V$86,MATCH($B40,'R&amp;B Inputs'!$I$4:$V$4,0))*(1+INDEX('R&amp;B Inputs'!$I$66:$V$66,MATCH($B40,'R&amp;B Inputs'!$I$4:$V$4,0)))^(BB$7-Year1))</f>
        <v>0.62029999999999996</v>
      </c>
      <c r="BC40" s="508">
        <f>IF(BC$8=0,0,INDEX('R&amp;B Inputs'!$I$86:$V$86,MATCH($B40,'R&amp;B Inputs'!$I$4:$V$4,0))*(1+INDEX('R&amp;B Inputs'!$I$66:$V$66,MATCH($B40,'R&amp;B Inputs'!$I$4:$V$4,0)))^(BC$7-Year1))</f>
        <v>0.62029999999999996</v>
      </c>
      <c r="BD40" s="508">
        <f>IF(BD$8=0,0,INDEX('R&amp;B Inputs'!$I$86:$V$86,MATCH($B40,'R&amp;B Inputs'!$I$4:$V$4,0))*(1+INDEX('R&amp;B Inputs'!$I$66:$V$66,MATCH($B40,'R&amp;B Inputs'!$I$4:$V$4,0)))^(BD$7-Year1))</f>
        <v>0.62029999999999996</v>
      </c>
      <c r="BE40" s="508">
        <f>IF(BE$8=0,0,INDEX('R&amp;B Inputs'!$I$86:$V$86,MATCH($B40,'R&amp;B Inputs'!$I$4:$V$4,0))*(1+INDEX('R&amp;B Inputs'!$I$66:$V$66,MATCH($B40,'R&amp;B Inputs'!$I$4:$V$4,0)))^(BE$7-Year1))</f>
        <v>0.62029999999999996</v>
      </c>
      <c r="BF40" s="508">
        <f>IF(BF$8=0,0,INDEX('R&amp;B Inputs'!$I$86:$V$86,MATCH($B40,'R&amp;B Inputs'!$I$4:$V$4,0))*(1+INDEX('R&amp;B Inputs'!$I$66:$V$66,MATCH($B40,'R&amp;B Inputs'!$I$4:$V$4,0)))^(BF$7-Year1))</f>
        <v>0.62029999999999996</v>
      </c>
      <c r="BG40" s="508">
        <f>IF(BG$8=0,0,INDEX('R&amp;B Inputs'!$I$86:$V$86,MATCH($B40,'R&amp;B Inputs'!$I$4:$V$4,0))*(1+INDEX('R&amp;B Inputs'!$I$66:$V$66,MATCH($B40,'R&amp;B Inputs'!$I$4:$V$4,0)))^(BG$7-Year1))</f>
        <v>0.62029999999999996</v>
      </c>
      <c r="BH40" s="508">
        <f>IF(BH$8=0,0,INDEX('R&amp;B Inputs'!$I$86:$V$86,MATCH($B40,'R&amp;B Inputs'!$I$4:$V$4,0))*(1+INDEX('R&amp;B Inputs'!$I$66:$V$66,MATCH($B40,'R&amp;B Inputs'!$I$4:$V$4,0)))^(BH$7-Year1))</f>
        <v>0.62029999999999996</v>
      </c>
      <c r="BI40" s="508">
        <f>IF(BI$8=0,0,INDEX('R&amp;B Inputs'!$I$86:$V$86,MATCH($B40,'R&amp;B Inputs'!$I$4:$V$4,0))*(1+INDEX('R&amp;B Inputs'!$I$66:$V$66,MATCH($B40,'R&amp;B Inputs'!$I$4:$V$4,0)))^(BI$7-Year1))</f>
        <v>0.62029999999999996</v>
      </c>
      <c r="BJ40" s="508">
        <f>IF(BJ$8=0,0,INDEX('R&amp;B Inputs'!$I$86:$V$86,MATCH($B40,'R&amp;B Inputs'!$I$4:$V$4,0))*(1+INDEX('R&amp;B Inputs'!$I$66:$V$66,MATCH($B40,'R&amp;B Inputs'!$I$4:$V$4,0)))^(BJ$7-Year1))</f>
        <v>0.62029999999999996</v>
      </c>
      <c r="BK40" s="508">
        <f>IF(BK$8=0,0,INDEX('R&amp;B Inputs'!$I$86:$V$86,MATCH($B40,'R&amp;B Inputs'!$I$4:$V$4,0))*(1+INDEX('R&amp;B Inputs'!$I$66:$V$66,MATCH($B40,'R&amp;B Inputs'!$I$4:$V$4,0)))^(BK$7-Year1))</f>
        <v>0.62029999999999996</v>
      </c>
      <c r="BL40" s="508">
        <f>IF(BL$8=0,0,INDEX('R&amp;B Inputs'!$I$86:$V$86,MATCH($B40,'R&amp;B Inputs'!$I$4:$V$4,0))*(1+INDEX('R&amp;B Inputs'!$I$66:$V$66,MATCH($B40,'R&amp;B Inputs'!$I$4:$V$4,0)))^(BL$7-Year1))</f>
        <v>0.62029999999999996</v>
      </c>
      <c r="BM40" s="508">
        <f>IF(BM$8=0,0,INDEX('R&amp;B Inputs'!$I$86:$V$86,MATCH($B40,'R&amp;B Inputs'!$I$4:$V$4,0))*(1+INDEX('R&amp;B Inputs'!$I$66:$V$66,MATCH($B40,'R&amp;B Inputs'!$I$4:$V$4,0)))^(BM$7-Year1))</f>
        <v>0.62029999999999996</v>
      </c>
      <c r="BN40" s="508"/>
      <c r="BO40" s="508"/>
      <c r="BP40" s="508">
        <f>IF($C$4=Year1,-PMT(Lookups!$E$17,25,NPV(Lookups!$E$17,AM40:BK40),0,1),IF($C$4=Year2,-PMT(Lookups!$F$17,25,NPV(Lookups!$F$17,AN40:BL40),0,1),IF($C$4=Year3,-PMT(Lookups!$G$17,25,NPV(Lookups!$G$17,AO40:BM40),0,1),-PMT(Lookups!$G$17,27,NPV(Lookups!$G$17,AM40:BM40),0,1))))</f>
        <v>0.61164884261501185</v>
      </c>
      <c r="BS40" s="76" t="str">
        <f t="shared" si="20"/>
        <v>Cost of Gas charge from the R&amp;B Inputs tab, escalated annually by the growth rate included on the R&amp;B Inputs tab.</v>
      </c>
      <c r="BT40" s="51" t="s">
        <v>17</v>
      </c>
    </row>
    <row r="41" spans="1:72" x14ac:dyDescent="0.25">
      <c r="B41" s="243" t="str">
        <f>B42</f>
        <v>Residential</v>
      </c>
      <c r="C41" s="243" t="str">
        <f>C42</f>
        <v>Rates</v>
      </c>
      <c r="D41" s="244" t="str">
        <f>D42</f>
        <v>Rates before DSM (No EE Scenario)</v>
      </c>
      <c r="E41" s="86" t="s">
        <v>75</v>
      </c>
      <c r="F41" s="84" t="s">
        <v>182</v>
      </c>
      <c r="G41" s="506">
        <f>IF(G$8=0,0,INDEX('R&amp;B Inputs'!$H$73:$U$73,MATCH($B40,'R&amp;B Inputs'!$H$4:$U$4,0))*(1+INDEX('R&amp;B Inputs'!$H$46:$U$46,MATCH($B40,'R&amp;B Inputs'!$H$4:$U$4,0)))^(G$7-Year1))</f>
        <v>0</v>
      </c>
      <c r="H41" s="506">
        <f>IF(H$8=0,0,INDEX('R&amp;B Inputs'!$H$73:$U$73,MATCH($B40,'R&amp;B Inputs'!$H$4:$U$4,0))*(1+INDEX('R&amp;B Inputs'!$H$46:$U$46,MATCH($B40,'R&amp;B Inputs'!$H$4:$U$4,0)))^(H$7-Year1))</f>
        <v>0.2233803664496018</v>
      </c>
      <c r="I41" s="506">
        <f>IF(I$8=0,0,INDEX('R&amp;B Inputs'!$H$73:$U$73,MATCH($B40,'R&amp;B Inputs'!$H$4:$U$4,0))*(1+INDEX('R&amp;B Inputs'!$H$46:$U$46,MATCH($B40,'R&amp;B Inputs'!$H$4:$U$4,0)))^(I$7-Year1))</f>
        <v>0.2233803664496018</v>
      </c>
      <c r="J41" s="506">
        <f>IF(J$8=0,0,INDEX('R&amp;B Inputs'!$H$73:$U$73,MATCH($B40,'R&amp;B Inputs'!$H$4:$U$4,0))*(1+INDEX('R&amp;B Inputs'!$H$46:$U$46,MATCH($B40,'R&amp;B Inputs'!$H$4:$U$4,0)))^(J$7-Year1))</f>
        <v>0.2233803664496018</v>
      </c>
      <c r="K41" s="506">
        <f>IF(K$8=0,0,INDEX('R&amp;B Inputs'!$H$73:$U$73,MATCH($B40,'R&amp;B Inputs'!$H$4:$U$4,0))*(1+INDEX('R&amp;B Inputs'!$H$46:$U$46,MATCH($B40,'R&amp;B Inputs'!$H$4:$U$4,0)))^(K$7-Year1))</f>
        <v>0.2233803664496018</v>
      </c>
      <c r="L41" s="506">
        <f>IF(L$8=0,0,INDEX('R&amp;B Inputs'!$H$73:$U$73,MATCH($B40,'R&amp;B Inputs'!$H$4:$U$4,0))*(1+INDEX('R&amp;B Inputs'!$H$46:$U$46,MATCH($B40,'R&amp;B Inputs'!$H$4:$U$4,0)))^(L$7-Year1))</f>
        <v>0.2233803664496018</v>
      </c>
      <c r="M41" s="506">
        <f>IF(M$8=0,0,INDEX('R&amp;B Inputs'!$H$73:$U$73,MATCH($B40,'R&amp;B Inputs'!$H$4:$U$4,0))*(1+INDEX('R&amp;B Inputs'!$H$46:$U$46,MATCH($B40,'R&amp;B Inputs'!$H$4:$U$4,0)))^(M$7-Year1))</f>
        <v>0.2233803664496018</v>
      </c>
      <c r="N41" s="506">
        <f>IF(N$8=0,0,INDEX('R&amp;B Inputs'!$H$73:$U$73,MATCH($B40,'R&amp;B Inputs'!$H$4:$U$4,0))*(1+INDEX('R&amp;B Inputs'!$H$46:$U$46,MATCH($B40,'R&amp;B Inputs'!$H$4:$U$4,0)))^(N$7-Year1))</f>
        <v>0.2233803664496018</v>
      </c>
      <c r="O41" s="506">
        <f>IF(O$8=0,0,INDEX('R&amp;B Inputs'!$H$73:$U$73,MATCH($B40,'R&amp;B Inputs'!$H$4:$U$4,0))*(1+INDEX('R&amp;B Inputs'!$H$46:$U$46,MATCH($B40,'R&amp;B Inputs'!$H$4:$U$4,0)))^(O$7-Year1))</f>
        <v>0.2233803664496018</v>
      </c>
      <c r="P41" s="506">
        <f>IF(P$8=0,0,INDEX('R&amp;B Inputs'!$H$73:$U$73,MATCH($B40,'R&amp;B Inputs'!$H$4:$U$4,0))*(1+INDEX('R&amp;B Inputs'!$H$46:$U$46,MATCH($B40,'R&amp;B Inputs'!$H$4:$U$4,0)))^(P$7-Year1))</f>
        <v>0.2233803664496018</v>
      </c>
      <c r="Q41" s="506">
        <f>IF(Q$8=0,0,INDEX('R&amp;B Inputs'!$H$73:$U$73,MATCH($B40,'R&amp;B Inputs'!$H$4:$U$4,0))*(1+INDEX('R&amp;B Inputs'!$H$46:$U$46,MATCH($B40,'R&amp;B Inputs'!$H$4:$U$4,0)))^(Q$7-Year1))</f>
        <v>0.2233803664496018</v>
      </c>
      <c r="R41" s="506">
        <f>IF(R$8=0,0,INDEX('R&amp;B Inputs'!$H$73:$U$73,MATCH($B40,'R&amp;B Inputs'!$H$4:$U$4,0))*(1+INDEX('R&amp;B Inputs'!$H$46:$U$46,MATCH($B40,'R&amp;B Inputs'!$H$4:$U$4,0)))^(R$7-Year1))</f>
        <v>0.2233803664496018</v>
      </c>
      <c r="S41" s="506">
        <f>IF(S$8=0,0,INDEX('R&amp;B Inputs'!$H$73:$U$73,MATCH($B40,'R&amp;B Inputs'!$H$4:$U$4,0))*(1+INDEX('R&amp;B Inputs'!$H$46:$U$46,MATCH($B40,'R&amp;B Inputs'!$H$4:$U$4,0)))^(S$7-Year1))</f>
        <v>0.2233803664496018</v>
      </c>
      <c r="T41" s="506">
        <f>IF(T$8=0,0,INDEX('R&amp;B Inputs'!$H$73:$U$73,MATCH($B40,'R&amp;B Inputs'!$H$4:$U$4,0))*(1+INDEX('R&amp;B Inputs'!$H$46:$U$46,MATCH($B40,'R&amp;B Inputs'!$H$4:$U$4,0)))^(T$7-Year1))</f>
        <v>0.2233803664496018</v>
      </c>
      <c r="U41" s="506">
        <f>IF(U$8=0,0,INDEX('R&amp;B Inputs'!$H$73:$U$73,MATCH($B40,'R&amp;B Inputs'!$H$4:$U$4,0))*(1+INDEX('R&amp;B Inputs'!$H$46:$U$46,MATCH($B40,'R&amp;B Inputs'!$H$4:$U$4,0)))^(U$7-Year1))</f>
        <v>0.2233803664496018</v>
      </c>
      <c r="V41" s="506">
        <f>IF(V$8=0,0,INDEX('R&amp;B Inputs'!$H$73:$U$73,MATCH($B40,'R&amp;B Inputs'!$H$4:$U$4,0))*(1+INDEX('R&amp;B Inputs'!$H$46:$U$46,MATCH($B40,'R&amp;B Inputs'!$H$4:$U$4,0)))^(V$7-Year1))</f>
        <v>0.2233803664496018</v>
      </c>
      <c r="W41" s="506">
        <f>IF(W$8=0,0,INDEX('R&amp;B Inputs'!$H$73:$U$73,MATCH($B40,'R&amp;B Inputs'!$H$4:$U$4,0))*(1+INDEX('R&amp;B Inputs'!$H$46:$U$46,MATCH($B40,'R&amp;B Inputs'!$H$4:$U$4,0)))^(W$7-Year1))</f>
        <v>0.2233803664496018</v>
      </c>
      <c r="X41" s="506">
        <f>IF(X$8=0,0,INDEX('R&amp;B Inputs'!$H$73:$U$73,MATCH($B40,'R&amp;B Inputs'!$H$4:$U$4,0))*(1+INDEX('R&amp;B Inputs'!$H$46:$U$46,MATCH($B40,'R&amp;B Inputs'!$H$4:$U$4,0)))^(X$7-Year1))</f>
        <v>0.2233803664496018</v>
      </c>
      <c r="Y41" s="506">
        <f>IF(Y$8=0,0,INDEX('R&amp;B Inputs'!$H$73:$U$73,MATCH($B40,'R&amp;B Inputs'!$H$4:$U$4,0))*(1+INDEX('R&amp;B Inputs'!$H$46:$U$46,MATCH($B40,'R&amp;B Inputs'!$H$4:$U$4,0)))^(Y$7-Year1))</f>
        <v>0.2233803664496018</v>
      </c>
      <c r="Z41" s="506">
        <f>IF(Z$8=0,0,INDEX('R&amp;B Inputs'!$H$73:$U$73,MATCH($B40,'R&amp;B Inputs'!$H$4:$U$4,0))*(1+INDEX('R&amp;B Inputs'!$H$46:$U$46,MATCH($B40,'R&amp;B Inputs'!$H$4:$U$4,0)))^(Z$7-Year1))</f>
        <v>0.2233803664496018</v>
      </c>
      <c r="AA41" s="506">
        <f>IF(AA$8=0,0,INDEX('R&amp;B Inputs'!$H$73:$U$73,MATCH($B40,'R&amp;B Inputs'!$H$4:$U$4,0))*(1+INDEX('R&amp;B Inputs'!$H$46:$U$46,MATCH($B40,'R&amp;B Inputs'!$H$4:$U$4,0)))^(AA$7-Year1))</f>
        <v>0.2233803664496018</v>
      </c>
      <c r="AB41" s="506">
        <f>IF(AB$8=0,0,INDEX('R&amp;B Inputs'!$H$73:$U$73,MATCH($B40,'R&amp;B Inputs'!$H$4:$U$4,0))*(1+INDEX('R&amp;B Inputs'!$H$46:$U$46,MATCH($B40,'R&amp;B Inputs'!$H$4:$U$4,0)))^(AB$7-Year1))</f>
        <v>0.2233803664496018</v>
      </c>
      <c r="AC41" s="506">
        <f>IF(AC$8=0,0,INDEX('R&amp;B Inputs'!$H$73:$U$73,MATCH($B40,'R&amp;B Inputs'!$H$4:$U$4,0))*(1+INDEX('R&amp;B Inputs'!$H$46:$U$46,MATCH($B40,'R&amp;B Inputs'!$H$4:$U$4,0)))^(AC$7-Year1))</f>
        <v>0.2233803664496018</v>
      </c>
      <c r="AD41" s="506">
        <f>IF(AD$8=0,0,INDEX('R&amp;B Inputs'!$H$73:$U$73,MATCH($B40,'R&amp;B Inputs'!$H$4:$U$4,0))*(1+INDEX('R&amp;B Inputs'!$H$46:$U$46,MATCH($B40,'R&amp;B Inputs'!$H$4:$U$4,0)))^(AD$7-Year1))</f>
        <v>0.2233803664496018</v>
      </c>
      <c r="AE41" s="506">
        <f>IF(AE$8=0,0,INDEX('R&amp;B Inputs'!$H$73:$U$73,MATCH($B40,'R&amp;B Inputs'!$H$4:$U$4,0))*(1+INDEX('R&amp;B Inputs'!$H$46:$U$46,MATCH($B40,'R&amp;B Inputs'!$H$4:$U$4,0)))^(AE$7-Year1))</f>
        <v>0.2233803664496018</v>
      </c>
      <c r="AF41" s="506">
        <f>IF(AF$8=0,0,INDEX('R&amp;B Inputs'!$H$73:$U$73,MATCH($B40,'R&amp;B Inputs'!$H$4:$U$4,0))*(1+INDEX('R&amp;B Inputs'!$H$46:$U$46,MATCH($B40,'R&amp;B Inputs'!$H$4:$U$4,0)))^(AF$7-Year1))</f>
        <v>0.2233803664496018</v>
      </c>
      <c r="AG41" s="506">
        <f>IF(AG$8=0,0,INDEX('R&amp;B Inputs'!$H$73:$U$73,MATCH($B40,'R&amp;B Inputs'!$H$4:$U$4,0))*(1+INDEX('R&amp;B Inputs'!$H$46:$U$46,MATCH($B40,'R&amp;B Inputs'!$H$4:$U$4,0)))^(AG$7-Year1))</f>
        <v>0.2233803664496018</v>
      </c>
      <c r="AH41" s="506"/>
      <c r="AI41" s="506"/>
      <c r="AJ41" s="506">
        <f>IF($C$4=Year1,-PMT(Lookups!$E$17,25,NPV(Lookups!$E$17,G41:AE41),0,1),IF($C$4=Year2,-PMT(Lookups!$F$17,25,NPV(Lookups!$F$17,H41:AF41),0,1),IF($C$4=Year3,-PMT(Lookups!$G$17,25,NPV(Lookups!$G$17,I41:AG41),0,1),-PMT(Lookups!$G$17,27,NPV(Lookups!$G$17,G41:AG41),0,1))))</f>
        <v>0.22026494051558318</v>
      </c>
      <c r="AK41" s="507"/>
      <c r="AL41" s="507"/>
      <c r="AM41" s="508">
        <f>IF(AM$8=0,0,INDEX('R&amp;B Inputs'!$H$73:$U$73,MATCH($B40,'R&amp;B Inputs'!$H$4:$U$4,0))*(1+INDEX('R&amp;B Inputs'!$H$46:$U$46,MATCH($B40,'R&amp;B Inputs'!$H$4:$U$4,0)))^(AM$7-Year1))</f>
        <v>0</v>
      </c>
      <c r="AN41" s="508">
        <f>IF(AN$8=0,0,INDEX('R&amp;B Inputs'!$H$73:$U$73,MATCH($B40,'R&amp;B Inputs'!$H$4:$U$4,0))*(1+INDEX('R&amp;B Inputs'!$H$46:$U$46,MATCH($B40,'R&amp;B Inputs'!$H$4:$U$4,0)))^(AN$7-Year1))</f>
        <v>0.2233803664496018</v>
      </c>
      <c r="AO41" s="508">
        <f>IF(AO$8=0,0,INDEX('R&amp;B Inputs'!$H$73:$U$73,MATCH($B40,'R&amp;B Inputs'!$H$4:$U$4,0))*(1+INDEX('R&amp;B Inputs'!$H$46:$U$46,MATCH($B40,'R&amp;B Inputs'!$H$4:$U$4,0)))^(AO$7-Year1))</f>
        <v>0.2233803664496018</v>
      </c>
      <c r="AP41" s="508">
        <f>IF(AP$8=0,0,INDEX('R&amp;B Inputs'!$H$73:$U$73,MATCH($B40,'R&amp;B Inputs'!$H$4:$U$4,0))*(1+INDEX('R&amp;B Inputs'!$H$46:$U$46,MATCH($B40,'R&amp;B Inputs'!$H$4:$U$4,0)))^(AP$7-Year1))</f>
        <v>0.2233803664496018</v>
      </c>
      <c r="AQ41" s="508">
        <f>IF(AQ$8=0,0,INDEX('R&amp;B Inputs'!$H$73:$U$73,MATCH($B40,'R&amp;B Inputs'!$H$4:$U$4,0))*(1+INDEX('R&amp;B Inputs'!$H$46:$U$46,MATCH($B40,'R&amp;B Inputs'!$H$4:$U$4,0)))^(AQ$7-Year1))</f>
        <v>0.2233803664496018</v>
      </c>
      <c r="AR41" s="508">
        <f>IF(AR$8=0,0,INDEX('R&amp;B Inputs'!$H$73:$U$73,MATCH($B40,'R&amp;B Inputs'!$H$4:$U$4,0))*(1+INDEX('R&amp;B Inputs'!$H$46:$U$46,MATCH($B40,'R&amp;B Inputs'!$H$4:$U$4,0)))^(AR$7-Year1))</f>
        <v>0.2233803664496018</v>
      </c>
      <c r="AS41" s="508">
        <f>IF(AS$8=0,0,INDEX('R&amp;B Inputs'!$H$73:$U$73,MATCH($B40,'R&amp;B Inputs'!$H$4:$U$4,0))*(1+INDEX('R&amp;B Inputs'!$H$46:$U$46,MATCH($B40,'R&amp;B Inputs'!$H$4:$U$4,0)))^(AS$7-Year1))</f>
        <v>0.2233803664496018</v>
      </c>
      <c r="AT41" s="508">
        <f>IF(AT$8=0,0,INDEX('R&amp;B Inputs'!$H$73:$U$73,MATCH($B40,'R&amp;B Inputs'!$H$4:$U$4,0))*(1+INDEX('R&amp;B Inputs'!$H$46:$U$46,MATCH($B40,'R&amp;B Inputs'!$H$4:$U$4,0)))^(AT$7-Year1))</f>
        <v>0.2233803664496018</v>
      </c>
      <c r="AU41" s="508">
        <f>IF(AU$8=0,0,INDEX('R&amp;B Inputs'!$H$73:$U$73,MATCH($B40,'R&amp;B Inputs'!$H$4:$U$4,0))*(1+INDEX('R&amp;B Inputs'!$H$46:$U$46,MATCH($B40,'R&amp;B Inputs'!$H$4:$U$4,0)))^(AU$7-Year1))</f>
        <v>0.2233803664496018</v>
      </c>
      <c r="AV41" s="508">
        <f>IF(AV$8=0,0,INDEX('R&amp;B Inputs'!$H$73:$U$73,MATCH($B40,'R&amp;B Inputs'!$H$4:$U$4,0))*(1+INDEX('R&amp;B Inputs'!$H$46:$U$46,MATCH($B40,'R&amp;B Inputs'!$H$4:$U$4,0)))^(AV$7-Year1))</f>
        <v>0.2233803664496018</v>
      </c>
      <c r="AW41" s="508">
        <f>IF(AW$8=0,0,INDEX('R&amp;B Inputs'!$H$73:$U$73,MATCH($B40,'R&amp;B Inputs'!$H$4:$U$4,0))*(1+INDEX('R&amp;B Inputs'!$H$46:$U$46,MATCH($B40,'R&amp;B Inputs'!$H$4:$U$4,0)))^(AW$7-Year1))</f>
        <v>0.2233803664496018</v>
      </c>
      <c r="AX41" s="508">
        <f>IF(AX$8=0,0,INDEX('R&amp;B Inputs'!$H$73:$U$73,MATCH($B40,'R&amp;B Inputs'!$H$4:$U$4,0))*(1+INDEX('R&amp;B Inputs'!$H$46:$U$46,MATCH($B40,'R&amp;B Inputs'!$H$4:$U$4,0)))^(AX$7-Year1))</f>
        <v>0.2233803664496018</v>
      </c>
      <c r="AY41" s="508">
        <f>IF(AY$8=0,0,INDEX('R&amp;B Inputs'!$H$73:$U$73,MATCH($B40,'R&amp;B Inputs'!$H$4:$U$4,0))*(1+INDEX('R&amp;B Inputs'!$H$46:$U$46,MATCH($B40,'R&amp;B Inputs'!$H$4:$U$4,0)))^(AY$7-Year1))</f>
        <v>0.2233803664496018</v>
      </c>
      <c r="AZ41" s="508">
        <f>IF(AZ$8=0,0,INDEX('R&amp;B Inputs'!$H$73:$U$73,MATCH($B40,'R&amp;B Inputs'!$H$4:$U$4,0))*(1+INDEX('R&amp;B Inputs'!$H$46:$U$46,MATCH($B40,'R&amp;B Inputs'!$H$4:$U$4,0)))^(AZ$7-Year1))</f>
        <v>0.2233803664496018</v>
      </c>
      <c r="BA41" s="508">
        <f>IF(BA$8=0,0,INDEX('R&amp;B Inputs'!$H$73:$U$73,MATCH($B40,'R&amp;B Inputs'!$H$4:$U$4,0))*(1+INDEX('R&amp;B Inputs'!$H$46:$U$46,MATCH($B40,'R&amp;B Inputs'!$H$4:$U$4,0)))^(BA$7-Year1))</f>
        <v>0.2233803664496018</v>
      </c>
      <c r="BB41" s="508">
        <f>IF(BB$8=0,0,INDEX('R&amp;B Inputs'!$H$73:$U$73,MATCH($B40,'R&amp;B Inputs'!$H$4:$U$4,0))*(1+INDEX('R&amp;B Inputs'!$H$46:$U$46,MATCH($B40,'R&amp;B Inputs'!$H$4:$U$4,0)))^(BB$7-Year1))</f>
        <v>0.2233803664496018</v>
      </c>
      <c r="BC41" s="508">
        <f>IF(BC$8=0,0,INDEX('R&amp;B Inputs'!$H$73:$U$73,MATCH($B40,'R&amp;B Inputs'!$H$4:$U$4,0))*(1+INDEX('R&amp;B Inputs'!$H$46:$U$46,MATCH($B40,'R&amp;B Inputs'!$H$4:$U$4,0)))^(BC$7-Year1))</f>
        <v>0.2233803664496018</v>
      </c>
      <c r="BD41" s="508">
        <f>IF(BD$8=0,0,INDEX('R&amp;B Inputs'!$H$73:$U$73,MATCH($B40,'R&amp;B Inputs'!$H$4:$U$4,0))*(1+INDEX('R&amp;B Inputs'!$H$46:$U$46,MATCH($B40,'R&amp;B Inputs'!$H$4:$U$4,0)))^(BD$7-Year1))</f>
        <v>0.2233803664496018</v>
      </c>
      <c r="BE41" s="508">
        <f>IF(BE$8=0,0,INDEX('R&amp;B Inputs'!$H$73:$U$73,MATCH($B40,'R&amp;B Inputs'!$H$4:$U$4,0))*(1+INDEX('R&amp;B Inputs'!$H$46:$U$46,MATCH($B40,'R&amp;B Inputs'!$H$4:$U$4,0)))^(BE$7-Year1))</f>
        <v>0.2233803664496018</v>
      </c>
      <c r="BF41" s="508">
        <f>IF(BF$8=0,0,INDEX('R&amp;B Inputs'!$H$73:$U$73,MATCH($B40,'R&amp;B Inputs'!$H$4:$U$4,0))*(1+INDEX('R&amp;B Inputs'!$H$46:$U$46,MATCH($B40,'R&amp;B Inputs'!$H$4:$U$4,0)))^(BF$7-Year1))</f>
        <v>0.2233803664496018</v>
      </c>
      <c r="BG41" s="508">
        <f>IF(BG$8=0,0,INDEX('R&amp;B Inputs'!$H$73:$U$73,MATCH($B40,'R&amp;B Inputs'!$H$4:$U$4,0))*(1+INDEX('R&amp;B Inputs'!$H$46:$U$46,MATCH($B40,'R&amp;B Inputs'!$H$4:$U$4,0)))^(BG$7-Year1))</f>
        <v>0.2233803664496018</v>
      </c>
      <c r="BH41" s="508">
        <f>IF(BH$8=0,0,INDEX('R&amp;B Inputs'!$H$73:$U$73,MATCH($B40,'R&amp;B Inputs'!$H$4:$U$4,0))*(1+INDEX('R&amp;B Inputs'!$H$46:$U$46,MATCH($B40,'R&amp;B Inputs'!$H$4:$U$4,0)))^(BH$7-Year1))</f>
        <v>0.2233803664496018</v>
      </c>
      <c r="BI41" s="508">
        <f>IF(BI$8=0,0,INDEX('R&amp;B Inputs'!$H$73:$U$73,MATCH($B40,'R&amp;B Inputs'!$H$4:$U$4,0))*(1+INDEX('R&amp;B Inputs'!$H$46:$U$46,MATCH($B40,'R&amp;B Inputs'!$H$4:$U$4,0)))^(BI$7-Year1))</f>
        <v>0.2233803664496018</v>
      </c>
      <c r="BJ41" s="508">
        <f>IF(BJ$8=0,0,INDEX('R&amp;B Inputs'!$H$73:$U$73,MATCH($B40,'R&amp;B Inputs'!$H$4:$U$4,0))*(1+INDEX('R&amp;B Inputs'!$H$46:$U$46,MATCH($B40,'R&amp;B Inputs'!$H$4:$U$4,0)))^(BJ$7-Year1))</f>
        <v>0.2233803664496018</v>
      </c>
      <c r="BK41" s="508">
        <f>IF(BK$8=0,0,INDEX('R&amp;B Inputs'!$H$73:$U$73,MATCH($B40,'R&amp;B Inputs'!$H$4:$U$4,0))*(1+INDEX('R&amp;B Inputs'!$H$46:$U$46,MATCH($B40,'R&amp;B Inputs'!$H$4:$U$4,0)))^(BK$7-Year1))</f>
        <v>0.2233803664496018</v>
      </c>
      <c r="BL41" s="508">
        <f>IF(BL$8=0,0,INDEX('R&amp;B Inputs'!$H$73:$U$73,MATCH($B40,'R&amp;B Inputs'!$H$4:$U$4,0))*(1+INDEX('R&amp;B Inputs'!$H$46:$U$46,MATCH($B40,'R&amp;B Inputs'!$H$4:$U$4,0)))^(BL$7-Year1))</f>
        <v>0.2233803664496018</v>
      </c>
      <c r="BM41" s="508">
        <f>IF(BM$8=0,0,INDEX('R&amp;B Inputs'!$H$73:$U$73,MATCH($B40,'R&amp;B Inputs'!$H$4:$U$4,0))*(1+INDEX('R&amp;B Inputs'!$H$46:$U$46,MATCH($B40,'R&amp;B Inputs'!$H$4:$U$4,0)))^(BM$7-Year1))</f>
        <v>0.2233803664496018</v>
      </c>
      <c r="BN41" s="508"/>
      <c r="BO41" s="508"/>
      <c r="BP41" s="508">
        <f>IF($C$4=Year1,-PMT(Lookups!$E$17,25,NPV(Lookups!$E$17,AM41:BK41),0,1),IF($C$4=Year2,-PMT(Lookups!$F$17,25,NPV(Lookups!$F$17,AN41:BL41),0,1),IF($C$4=Year3,-PMT(Lookups!$G$17,25,NPV(Lookups!$G$17,AO41:BM41),0,1),-PMT(Lookups!$G$17,27,NPV(Lookups!$G$17,AM41:BM41),0,1))))</f>
        <v>0.22026494051558318</v>
      </c>
      <c r="BS41" s="84" t="str">
        <f>E41&amp;" charge from the R&amp;B Inputs tab, escalated annually by the growth rate included on the R&amp;B Inputs tab."</f>
        <v>Customer Charge charge from the R&amp;B Inputs tab, escalated annually by the growth rate included on the R&amp;B Inputs tab.</v>
      </c>
      <c r="BT41" s="51" t="s">
        <v>17</v>
      </c>
    </row>
    <row r="42" spans="1:72" x14ac:dyDescent="0.25">
      <c r="B42" s="243" t="str">
        <f>B40</f>
        <v>Residential</v>
      </c>
      <c r="C42" s="243" t="str">
        <f>C40</f>
        <v>Rates</v>
      </c>
      <c r="D42" s="244" t="str">
        <f>D40</f>
        <v>Rates before DSM (No EE Scenario)</v>
      </c>
      <c r="E42" s="84" t="s">
        <v>76</v>
      </c>
      <c r="F42" s="84" t="s">
        <v>182</v>
      </c>
      <c r="G42" s="506">
        <f>SUM(G38:G41)</f>
        <v>0</v>
      </c>
      <c r="H42" s="506">
        <f>SUM(H38:H41)</f>
        <v>1.3675803664496016</v>
      </c>
      <c r="I42" s="506">
        <f t="shared" ref="I42:AG42" si="21">SUM(I38:I41)</f>
        <v>1.3675803664496016</v>
      </c>
      <c r="J42" s="506">
        <f t="shared" si="21"/>
        <v>1.3675803664496016</v>
      </c>
      <c r="K42" s="506">
        <f t="shared" si="21"/>
        <v>1.3675803664496016</v>
      </c>
      <c r="L42" s="506">
        <f t="shared" si="21"/>
        <v>1.3675803664496016</v>
      </c>
      <c r="M42" s="506">
        <f t="shared" si="21"/>
        <v>1.3675803664496016</v>
      </c>
      <c r="N42" s="506">
        <f t="shared" si="21"/>
        <v>1.3675803664496016</v>
      </c>
      <c r="O42" s="506">
        <f t="shared" si="21"/>
        <v>1.3675803664496016</v>
      </c>
      <c r="P42" s="506">
        <f t="shared" si="21"/>
        <v>1.3675803664496016</v>
      </c>
      <c r="Q42" s="506">
        <f t="shared" si="21"/>
        <v>1.3675803664496016</v>
      </c>
      <c r="R42" s="506">
        <f t="shared" si="21"/>
        <v>1.3675803664496016</v>
      </c>
      <c r="S42" s="506">
        <f t="shared" si="21"/>
        <v>1.3675803664496016</v>
      </c>
      <c r="T42" s="506">
        <f t="shared" si="21"/>
        <v>1.3675803664496016</v>
      </c>
      <c r="U42" s="506">
        <f t="shared" si="21"/>
        <v>1.3675803664496016</v>
      </c>
      <c r="V42" s="506">
        <f t="shared" si="21"/>
        <v>1.3675803664496016</v>
      </c>
      <c r="W42" s="506">
        <f t="shared" si="21"/>
        <v>1.3675803664496016</v>
      </c>
      <c r="X42" s="506">
        <f t="shared" si="21"/>
        <v>1.3675803664496016</v>
      </c>
      <c r="Y42" s="506">
        <f t="shared" si="21"/>
        <v>1.3675803664496016</v>
      </c>
      <c r="Z42" s="506">
        <f t="shared" si="21"/>
        <v>1.3675803664496016</v>
      </c>
      <c r="AA42" s="506">
        <f t="shared" si="21"/>
        <v>1.3675803664496016</v>
      </c>
      <c r="AB42" s="506">
        <f t="shared" si="21"/>
        <v>1.3675803664496016</v>
      </c>
      <c r="AC42" s="506">
        <f t="shared" si="21"/>
        <v>1.3675803664496016</v>
      </c>
      <c r="AD42" s="506">
        <f t="shared" si="21"/>
        <v>1.3675803664496016</v>
      </c>
      <c r="AE42" s="506">
        <f t="shared" si="21"/>
        <v>1.3675803664496016</v>
      </c>
      <c r="AF42" s="506">
        <f t="shared" si="21"/>
        <v>1.3675803664496016</v>
      </c>
      <c r="AG42" s="506">
        <f t="shared" si="21"/>
        <v>1.3675803664496016</v>
      </c>
      <c r="AH42" s="506"/>
      <c r="AI42" s="506"/>
      <c r="AJ42" s="506">
        <f>IF($C$4=Year1,-PMT(Lookups!$E$17,25,NPV(Lookups!$E$17,G42:AE42),0,1),IF($C$4=Year2,-PMT(Lookups!$F$17,25,NPV(Lookups!$F$17,H42:AF42),0,1),IF($C$4=Year3,-PMT(Lookups!$G$17,25,NPV(Lookups!$G$17,I42:AG42),0,1),-PMT(Lookups!$G$17,27,NPV(Lookups!$G$17,G42:AG42),0,1))))</f>
        <v>1.3485070906366481</v>
      </c>
      <c r="AK42" s="507"/>
      <c r="AL42" s="507"/>
      <c r="AM42" s="508">
        <f>SUM(AM38:AM41)</f>
        <v>0</v>
      </c>
      <c r="AN42" s="508">
        <f>SUM(AN38:AN41)</f>
        <v>1.3675803664496016</v>
      </c>
      <c r="AO42" s="508">
        <f t="shared" ref="AO42:BM42" si="22">SUM(AO38:AO41)</f>
        <v>1.3675803664496016</v>
      </c>
      <c r="AP42" s="508">
        <f t="shared" si="22"/>
        <v>1.3675803664496016</v>
      </c>
      <c r="AQ42" s="508">
        <f t="shared" si="22"/>
        <v>1.3675803664496016</v>
      </c>
      <c r="AR42" s="508">
        <f t="shared" si="22"/>
        <v>1.3675803664496016</v>
      </c>
      <c r="AS42" s="508">
        <f t="shared" si="22"/>
        <v>1.3675803664496016</v>
      </c>
      <c r="AT42" s="508">
        <f t="shared" si="22"/>
        <v>1.3675803664496016</v>
      </c>
      <c r="AU42" s="508">
        <f t="shared" si="22"/>
        <v>1.3675803664496016</v>
      </c>
      <c r="AV42" s="508">
        <f t="shared" si="22"/>
        <v>1.3675803664496016</v>
      </c>
      <c r="AW42" s="508">
        <f t="shared" si="22"/>
        <v>1.3675803664496016</v>
      </c>
      <c r="AX42" s="508">
        <f t="shared" si="22"/>
        <v>1.3675803664496016</v>
      </c>
      <c r="AY42" s="508">
        <f t="shared" si="22"/>
        <v>1.3675803664496016</v>
      </c>
      <c r="AZ42" s="508">
        <f t="shared" si="22"/>
        <v>1.3675803664496016</v>
      </c>
      <c r="BA42" s="508">
        <f t="shared" si="22"/>
        <v>1.3675803664496016</v>
      </c>
      <c r="BB42" s="508">
        <f t="shared" si="22"/>
        <v>1.3675803664496016</v>
      </c>
      <c r="BC42" s="508">
        <f t="shared" si="22"/>
        <v>1.3675803664496016</v>
      </c>
      <c r="BD42" s="508">
        <f t="shared" si="22"/>
        <v>1.3675803664496016</v>
      </c>
      <c r="BE42" s="508">
        <f t="shared" si="22"/>
        <v>1.3675803664496016</v>
      </c>
      <c r="BF42" s="508">
        <f t="shared" si="22"/>
        <v>1.3675803664496016</v>
      </c>
      <c r="BG42" s="508">
        <f t="shared" si="22"/>
        <v>1.3675803664496016</v>
      </c>
      <c r="BH42" s="508">
        <f t="shared" si="22"/>
        <v>1.3675803664496016</v>
      </c>
      <c r="BI42" s="508">
        <f t="shared" si="22"/>
        <v>1.3675803664496016</v>
      </c>
      <c r="BJ42" s="508">
        <f t="shared" si="22"/>
        <v>1.3675803664496016</v>
      </c>
      <c r="BK42" s="508">
        <f t="shared" si="22"/>
        <v>1.3675803664496016</v>
      </c>
      <c r="BL42" s="508">
        <f t="shared" si="22"/>
        <v>1.3675803664496016</v>
      </c>
      <c r="BM42" s="508">
        <f t="shared" si="22"/>
        <v>1.3675803664496016</v>
      </c>
      <c r="BN42" s="508"/>
      <c r="BO42" s="508"/>
      <c r="BP42" s="508">
        <f>IF($C$4=Year1,-PMT(Lookups!$E$17,25,NPV(Lookups!$E$17,AM42:BK42),0,1),IF($C$4=Year2,-PMT(Lookups!$F$17,25,NPV(Lookups!$F$17,AN42:BL42),0,1),IF($C$4=Year3,-PMT(Lookups!$G$17,25,NPV(Lookups!$G$17,AO42:BM42),0,1),-PMT(Lookups!$G$17,27,NPV(Lookups!$G$17,AM42:BM42),0,1))))</f>
        <v>1.3485070906366481</v>
      </c>
      <c r="BS42" s="84" t="s">
        <v>94</v>
      </c>
      <c r="BT42" s="51" t="s">
        <v>17</v>
      </c>
    </row>
    <row r="43" spans="1:72" x14ac:dyDescent="0.25">
      <c r="B43" s="243" t="str">
        <f>B41</f>
        <v>Residential</v>
      </c>
      <c r="C43" s="243" t="str">
        <f>C41</f>
        <v>Rates</v>
      </c>
      <c r="D43" s="114" t="s">
        <v>24</v>
      </c>
      <c r="E43" s="86"/>
      <c r="F43" s="8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506"/>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S43" s="84"/>
      <c r="BT43" s="51" t="s">
        <v>17</v>
      </c>
    </row>
    <row r="44" spans="1:72" x14ac:dyDescent="0.25">
      <c r="B44" s="243" t="str">
        <f t="shared" ref="B44:D59" si="23">B43</f>
        <v>Residential</v>
      </c>
      <c r="C44" s="243" t="str">
        <f t="shared" si="23"/>
        <v>Rates</v>
      </c>
      <c r="D44" s="244" t="str">
        <f t="shared" si="23"/>
        <v>Avoided Costs</v>
      </c>
      <c r="E44" s="84" t="s">
        <v>45</v>
      </c>
      <c r="F44" s="84" t="s">
        <v>182</v>
      </c>
      <c r="G44" s="506">
        <f ca="1">IFERROR(-G25/G17,0)</f>
        <v>0</v>
      </c>
      <c r="H44" s="506">
        <f t="shared" ref="H44:AG44" ca="1" si="24">IFERROR(-H25/H17,0)</f>
        <v>-4.8298281988488857E-3</v>
      </c>
      <c r="I44" s="506">
        <f t="shared" ca="1" si="24"/>
        <v>-4.8298281988488857E-3</v>
      </c>
      <c r="J44" s="506">
        <f t="shared" ca="1" si="24"/>
        <v>-4.8298281988488857E-3</v>
      </c>
      <c r="K44" s="506">
        <f t="shared" ca="1" si="24"/>
        <v>-4.8298281988488857E-3</v>
      </c>
      <c r="L44" s="506">
        <f t="shared" ca="1" si="24"/>
        <v>-4.8298281988488857E-3</v>
      </c>
      <c r="M44" s="506">
        <f t="shared" ca="1" si="24"/>
        <v>-4.8298281988488857E-3</v>
      </c>
      <c r="N44" s="506">
        <f t="shared" ca="1" si="24"/>
        <v>-4.8298281988488857E-3</v>
      </c>
      <c r="O44" s="506">
        <f t="shared" ca="1" si="24"/>
        <v>-4.8298281988488857E-3</v>
      </c>
      <c r="P44" s="506">
        <f t="shared" ca="1" si="24"/>
        <v>-4.8298281988488857E-3</v>
      </c>
      <c r="Q44" s="506">
        <f t="shared" ca="1" si="24"/>
        <v>-4.8298281988488857E-3</v>
      </c>
      <c r="R44" s="506">
        <f t="shared" ca="1" si="24"/>
        <v>-4.8298281988488857E-3</v>
      </c>
      <c r="S44" s="506">
        <f t="shared" ca="1" si="24"/>
        <v>-4.8298281988488857E-3</v>
      </c>
      <c r="T44" s="506">
        <f t="shared" ca="1" si="24"/>
        <v>-4.8298281988488857E-3</v>
      </c>
      <c r="U44" s="506">
        <f t="shared" ca="1" si="24"/>
        <v>-4.8298281988488857E-3</v>
      </c>
      <c r="V44" s="506">
        <f t="shared" ca="1" si="24"/>
        <v>-4.8298281988488857E-3</v>
      </c>
      <c r="W44" s="506">
        <f t="shared" ca="1" si="24"/>
        <v>0</v>
      </c>
      <c r="X44" s="506">
        <f t="shared" ca="1" si="24"/>
        <v>0</v>
      </c>
      <c r="Y44" s="506">
        <f t="shared" ca="1" si="24"/>
        <v>0</v>
      </c>
      <c r="Z44" s="506">
        <f t="shared" ca="1" si="24"/>
        <v>0</v>
      </c>
      <c r="AA44" s="506">
        <f t="shared" ca="1" si="24"/>
        <v>0</v>
      </c>
      <c r="AB44" s="506">
        <f t="shared" ca="1" si="24"/>
        <v>0</v>
      </c>
      <c r="AC44" s="506">
        <f t="shared" ca="1" si="24"/>
        <v>0</v>
      </c>
      <c r="AD44" s="506">
        <f t="shared" ca="1" si="24"/>
        <v>0</v>
      </c>
      <c r="AE44" s="506">
        <f t="shared" ca="1" si="24"/>
        <v>0</v>
      </c>
      <c r="AF44" s="506">
        <f t="shared" ca="1" si="24"/>
        <v>0</v>
      </c>
      <c r="AG44" s="506">
        <f t="shared" ca="1" si="24"/>
        <v>0</v>
      </c>
      <c r="AH44" s="506"/>
      <c r="AI44" s="506"/>
      <c r="AJ44" s="506">
        <f ca="1">IF($C$4=Year1,-PMT(Lookups!$E$17,25,NPV(Lookups!$E$17,G44:AE44),0,1),IF($C$4=Year2,-PMT(Lookups!$F$17,25,NPV(Lookups!$F$17,H44:AF44),0,1),IF($C$4=Year3,-PMT(Lookups!$G$17,25,NPV(Lookups!$G$17,I44:AG44),0,1),-PMT(Lookups!$G$17,27,NPV(Lookups!$G$17,G44:AG44),0,1))))</f>
        <v>-3.0553122792926781E-3</v>
      </c>
      <c r="AK44" s="507"/>
      <c r="AL44" s="507"/>
      <c r="AM44" s="508">
        <f ca="1">IFERROR(-AM25/AM17,0)</f>
        <v>0</v>
      </c>
      <c r="AN44" s="508">
        <f t="shared" ref="AN44:BM44" ca="1" si="25">IFERROR(-AN25/AN17,0)</f>
        <v>-5.5249686701316341E-3</v>
      </c>
      <c r="AO44" s="508">
        <f t="shared" ca="1" si="25"/>
        <v>-5.5249686701316341E-3</v>
      </c>
      <c r="AP44" s="508">
        <f t="shared" ca="1" si="25"/>
        <v>-5.5249686701316341E-3</v>
      </c>
      <c r="AQ44" s="508">
        <f t="shared" ca="1" si="25"/>
        <v>-5.5249686701316341E-3</v>
      </c>
      <c r="AR44" s="508">
        <f t="shared" ca="1" si="25"/>
        <v>-5.5249686701316341E-3</v>
      </c>
      <c r="AS44" s="508">
        <f t="shared" ca="1" si="25"/>
        <v>-5.5249686701316341E-3</v>
      </c>
      <c r="AT44" s="508">
        <f t="shared" ca="1" si="25"/>
        <v>-5.5249686701316341E-3</v>
      </c>
      <c r="AU44" s="508">
        <f t="shared" ca="1" si="25"/>
        <v>-5.5249686701316341E-3</v>
      </c>
      <c r="AV44" s="508">
        <f t="shared" ca="1" si="25"/>
        <v>-5.5249686701316341E-3</v>
      </c>
      <c r="AW44" s="508">
        <f t="shared" ca="1" si="25"/>
        <v>-5.5249686701316341E-3</v>
      </c>
      <c r="AX44" s="508">
        <f t="shared" ca="1" si="25"/>
        <v>-5.5249686701316341E-3</v>
      </c>
      <c r="AY44" s="508">
        <f t="shared" ca="1" si="25"/>
        <v>-5.5249686701316341E-3</v>
      </c>
      <c r="AZ44" s="508">
        <f t="shared" ca="1" si="25"/>
        <v>-5.5249686701316341E-3</v>
      </c>
      <c r="BA44" s="508">
        <f t="shared" ca="1" si="25"/>
        <v>-5.5249686701316341E-3</v>
      </c>
      <c r="BB44" s="508">
        <f t="shared" ca="1" si="25"/>
        <v>-5.5249686701316341E-3</v>
      </c>
      <c r="BC44" s="508">
        <f t="shared" ca="1" si="25"/>
        <v>0</v>
      </c>
      <c r="BD44" s="508">
        <f t="shared" ca="1" si="25"/>
        <v>0</v>
      </c>
      <c r="BE44" s="508">
        <f t="shared" ca="1" si="25"/>
        <v>0</v>
      </c>
      <c r="BF44" s="508">
        <f t="shared" ca="1" si="25"/>
        <v>0</v>
      </c>
      <c r="BG44" s="508">
        <f t="shared" ca="1" si="25"/>
        <v>0</v>
      </c>
      <c r="BH44" s="508">
        <f t="shared" ca="1" si="25"/>
        <v>0</v>
      </c>
      <c r="BI44" s="508">
        <f t="shared" ca="1" si="25"/>
        <v>0</v>
      </c>
      <c r="BJ44" s="508">
        <f t="shared" ca="1" si="25"/>
        <v>0</v>
      </c>
      <c r="BK44" s="508">
        <f t="shared" ca="1" si="25"/>
        <v>0</v>
      </c>
      <c r="BL44" s="508">
        <f t="shared" ca="1" si="25"/>
        <v>0</v>
      </c>
      <c r="BM44" s="508">
        <f t="shared" ca="1" si="25"/>
        <v>0</v>
      </c>
      <c r="BN44" s="508"/>
      <c r="BO44" s="508"/>
      <c r="BP44" s="508">
        <f ca="1">IF($C$4=Year1,-PMT(Lookups!$E$17,25,NPV(Lookups!$E$17,AM44:BK44),0,1),IF($C$4=Year2,-PMT(Lookups!$F$17,25,NPV(Lookups!$F$17,AN44:BL44),0,1),IF($C$4=Year3,-PMT(Lookups!$G$17,25,NPV(Lookups!$G$17,AO44:BM44),0,1),-PMT(Lookups!$G$17,27,NPV(Lookups!$G$17,AM44:BM44),0,1))))</f>
        <v>-3.4950528104879023E-3</v>
      </c>
      <c r="BS44" s="84" t="str">
        <f t="shared" ref="BS44:BS46" si="26">"Avoided "&amp;E44&amp;" avoided costs divided by After Scenario sales."</f>
        <v>Avoided Gas avoided costs divided by After Scenario sales.</v>
      </c>
      <c r="BT44" s="51" t="s">
        <v>17</v>
      </c>
    </row>
    <row r="45" spans="1:72" x14ac:dyDescent="0.25">
      <c r="B45" s="243" t="str">
        <f t="shared" si="23"/>
        <v>Residential</v>
      </c>
      <c r="C45" s="243" t="str">
        <f t="shared" si="23"/>
        <v>Rates</v>
      </c>
      <c r="D45" s="244" t="str">
        <f t="shared" si="23"/>
        <v>Avoided Costs</v>
      </c>
      <c r="E45" s="86" t="s">
        <v>412</v>
      </c>
      <c r="F45" s="84" t="s">
        <v>182</v>
      </c>
      <c r="G45" s="506">
        <f ca="1">IFERROR(-G26/G17,0)</f>
        <v>0</v>
      </c>
      <c r="H45" s="506">
        <f t="shared" ref="H45:AG45" ca="1" si="27">IFERROR(-H26/H17,0)</f>
        <v>-3.0828690630950331E-4</v>
      </c>
      <c r="I45" s="506">
        <f t="shared" ca="1" si="27"/>
        <v>-3.0828690630950331E-4</v>
      </c>
      <c r="J45" s="506">
        <f t="shared" ca="1" si="27"/>
        <v>-3.0828690630950331E-4</v>
      </c>
      <c r="K45" s="506">
        <f t="shared" ca="1" si="27"/>
        <v>-3.0828690630950331E-4</v>
      </c>
      <c r="L45" s="506">
        <f t="shared" ca="1" si="27"/>
        <v>-3.0828690630950331E-4</v>
      </c>
      <c r="M45" s="506">
        <f t="shared" ca="1" si="27"/>
        <v>-3.0828690630950331E-4</v>
      </c>
      <c r="N45" s="506">
        <f t="shared" ca="1" si="27"/>
        <v>-3.0828690630950331E-4</v>
      </c>
      <c r="O45" s="506">
        <f t="shared" ca="1" si="27"/>
        <v>-3.0828690630950331E-4</v>
      </c>
      <c r="P45" s="506">
        <f t="shared" ca="1" si="27"/>
        <v>-3.0828690630950331E-4</v>
      </c>
      <c r="Q45" s="506">
        <f t="shared" ca="1" si="27"/>
        <v>-3.0828690630950331E-4</v>
      </c>
      <c r="R45" s="506">
        <f t="shared" ca="1" si="27"/>
        <v>-3.0828690630950331E-4</v>
      </c>
      <c r="S45" s="506">
        <f t="shared" ca="1" si="27"/>
        <v>-3.0828690630950331E-4</v>
      </c>
      <c r="T45" s="506">
        <f t="shared" ca="1" si="27"/>
        <v>-3.0828690630950331E-4</v>
      </c>
      <c r="U45" s="506">
        <f t="shared" ca="1" si="27"/>
        <v>-3.0828690630950331E-4</v>
      </c>
      <c r="V45" s="506">
        <f t="shared" ca="1" si="27"/>
        <v>-3.0828690630950331E-4</v>
      </c>
      <c r="W45" s="506">
        <f t="shared" ca="1" si="27"/>
        <v>0</v>
      </c>
      <c r="X45" s="506">
        <f t="shared" ca="1" si="27"/>
        <v>0</v>
      </c>
      <c r="Y45" s="506">
        <f t="shared" ca="1" si="27"/>
        <v>0</v>
      </c>
      <c r="Z45" s="506">
        <f t="shared" ca="1" si="27"/>
        <v>0</v>
      </c>
      <c r="AA45" s="506">
        <f t="shared" ca="1" si="27"/>
        <v>0</v>
      </c>
      <c r="AB45" s="506">
        <f t="shared" ca="1" si="27"/>
        <v>0</v>
      </c>
      <c r="AC45" s="506">
        <f t="shared" ca="1" si="27"/>
        <v>0</v>
      </c>
      <c r="AD45" s="506">
        <f t="shared" ca="1" si="27"/>
        <v>0</v>
      </c>
      <c r="AE45" s="506">
        <f t="shared" ca="1" si="27"/>
        <v>0</v>
      </c>
      <c r="AF45" s="506">
        <f t="shared" ca="1" si="27"/>
        <v>0</v>
      </c>
      <c r="AG45" s="506">
        <f t="shared" ca="1" si="27"/>
        <v>0</v>
      </c>
      <c r="AH45" s="506"/>
      <c r="AI45" s="506"/>
      <c r="AJ45" s="506">
        <f ca="1">IF($C$4=Year1,-PMT(Lookups!$E$17,25,NPV(Lookups!$E$17,G45:AE45),0,1),IF($C$4=Year2,-PMT(Lookups!$F$17,25,NPV(Lookups!$F$17,H45:AF45),0,1),IF($C$4=Year3,-PMT(Lookups!$G$17,25,NPV(Lookups!$G$17,I45:AG45),0,1),-PMT(Lookups!$G$17,27,NPV(Lookups!$G$17,G45:AG45),0,1))))</f>
        <v>-1.9501993272080922E-4</v>
      </c>
      <c r="AK45" s="507"/>
      <c r="AL45" s="507"/>
      <c r="AM45" s="508">
        <f ca="1">IFERROR(-AM26/AM17,0)</f>
        <v>0</v>
      </c>
      <c r="AN45" s="508">
        <f t="shared" ref="AN45:BM45" ca="1" si="28">IFERROR(-AN26/AN17,0)</f>
        <v>-3.5265757468925325E-4</v>
      </c>
      <c r="AO45" s="508">
        <f t="shared" ca="1" si="28"/>
        <v>-3.5265757468925325E-4</v>
      </c>
      <c r="AP45" s="508">
        <f t="shared" ca="1" si="28"/>
        <v>-3.5265757468925325E-4</v>
      </c>
      <c r="AQ45" s="508">
        <f t="shared" ca="1" si="28"/>
        <v>-3.5265757468925325E-4</v>
      </c>
      <c r="AR45" s="508">
        <f t="shared" ca="1" si="28"/>
        <v>-3.5265757468925325E-4</v>
      </c>
      <c r="AS45" s="508">
        <f t="shared" ca="1" si="28"/>
        <v>-3.5265757468925325E-4</v>
      </c>
      <c r="AT45" s="508">
        <f t="shared" ca="1" si="28"/>
        <v>-3.5265757468925325E-4</v>
      </c>
      <c r="AU45" s="508">
        <f t="shared" ca="1" si="28"/>
        <v>-3.5265757468925325E-4</v>
      </c>
      <c r="AV45" s="508">
        <f t="shared" ca="1" si="28"/>
        <v>-3.5265757468925325E-4</v>
      </c>
      <c r="AW45" s="508">
        <f t="shared" ca="1" si="28"/>
        <v>-3.5265757468925325E-4</v>
      </c>
      <c r="AX45" s="508">
        <f t="shared" ca="1" si="28"/>
        <v>-3.5265757468925325E-4</v>
      </c>
      <c r="AY45" s="508">
        <f t="shared" ca="1" si="28"/>
        <v>-3.5265757468925325E-4</v>
      </c>
      <c r="AZ45" s="508">
        <f t="shared" ca="1" si="28"/>
        <v>-3.5265757468925325E-4</v>
      </c>
      <c r="BA45" s="508">
        <f t="shared" ca="1" si="28"/>
        <v>-3.5265757468925325E-4</v>
      </c>
      <c r="BB45" s="508">
        <f t="shared" ca="1" si="28"/>
        <v>-3.5265757468925325E-4</v>
      </c>
      <c r="BC45" s="508">
        <f t="shared" ca="1" si="28"/>
        <v>0</v>
      </c>
      <c r="BD45" s="508">
        <f t="shared" ca="1" si="28"/>
        <v>0</v>
      </c>
      <c r="BE45" s="508">
        <f t="shared" ca="1" si="28"/>
        <v>0</v>
      </c>
      <c r="BF45" s="508">
        <f t="shared" ca="1" si="28"/>
        <v>0</v>
      </c>
      <c r="BG45" s="508">
        <f t="shared" ca="1" si="28"/>
        <v>0</v>
      </c>
      <c r="BH45" s="508">
        <f t="shared" ca="1" si="28"/>
        <v>0</v>
      </c>
      <c r="BI45" s="508">
        <f t="shared" ca="1" si="28"/>
        <v>0</v>
      </c>
      <c r="BJ45" s="508">
        <f t="shared" ca="1" si="28"/>
        <v>0</v>
      </c>
      <c r="BK45" s="508">
        <f t="shared" ca="1" si="28"/>
        <v>0</v>
      </c>
      <c r="BL45" s="508">
        <f t="shared" ca="1" si="28"/>
        <v>0</v>
      </c>
      <c r="BM45" s="508">
        <f t="shared" ca="1" si="28"/>
        <v>0</v>
      </c>
      <c r="BN45" s="508"/>
      <c r="BO45" s="508"/>
      <c r="BP45" s="508">
        <f ca="1">IF($C$4=Year1,-PMT(Lookups!$E$17,25,NPV(Lookups!$E$17,AM45:BK45),0,1),IF($C$4=Year2,-PMT(Lookups!$F$17,25,NPV(Lookups!$F$17,AN45:BL45),0,1),IF($C$4=Year3,-PMT(Lookups!$G$17,25,NPV(Lookups!$G$17,AO45:BM45),0,1),-PMT(Lookups!$G$17,27,NPV(Lookups!$G$17,AM45:BM45),0,1))))</f>
        <v>-2.2308847726518525E-4</v>
      </c>
      <c r="BS45" s="84" t="str">
        <f t="shared" si="26"/>
        <v>Avoided Gas, Retail Margin avoided costs divided by After Scenario sales.</v>
      </c>
      <c r="BT45" s="51"/>
    </row>
    <row r="46" spans="1:72" x14ac:dyDescent="0.25">
      <c r="B46" s="243" t="str">
        <f>B44</f>
        <v>Residential</v>
      </c>
      <c r="C46" s="243" t="str">
        <f>C44</f>
        <v>Rates</v>
      </c>
      <c r="D46" s="244" t="str">
        <f>D44</f>
        <v>Avoided Costs</v>
      </c>
      <c r="E46" s="86" t="s">
        <v>175</v>
      </c>
      <c r="F46" s="84" t="s">
        <v>182</v>
      </c>
      <c r="G46" s="506">
        <f ca="1">IFERROR(-G27/G17,0)</f>
        <v>0</v>
      </c>
      <c r="H46" s="506">
        <f t="shared" ref="H46:AG46" ca="1" si="29">IFERROR(-H27/H17,0)</f>
        <v>-1.9111793655500952E-4</v>
      </c>
      <c r="I46" s="506">
        <f t="shared" ca="1" si="29"/>
        <v>-1.9111793655500952E-4</v>
      </c>
      <c r="J46" s="506">
        <f t="shared" ca="1" si="29"/>
        <v>-1.9111793655500952E-4</v>
      </c>
      <c r="K46" s="506">
        <f t="shared" ca="1" si="29"/>
        <v>-1.9111793655500952E-4</v>
      </c>
      <c r="L46" s="506">
        <f t="shared" ca="1" si="29"/>
        <v>-1.9111793655500952E-4</v>
      </c>
      <c r="M46" s="506">
        <f t="shared" ca="1" si="29"/>
        <v>-1.9111793655500952E-4</v>
      </c>
      <c r="N46" s="506">
        <f t="shared" ca="1" si="29"/>
        <v>-1.9111793655500952E-4</v>
      </c>
      <c r="O46" s="506">
        <f t="shared" ca="1" si="29"/>
        <v>-1.9111793655500952E-4</v>
      </c>
      <c r="P46" s="506">
        <f t="shared" ca="1" si="29"/>
        <v>-1.9111793655500952E-4</v>
      </c>
      <c r="Q46" s="506">
        <f t="shared" ca="1" si="29"/>
        <v>-1.9111793655500952E-4</v>
      </c>
      <c r="R46" s="506">
        <f t="shared" ca="1" si="29"/>
        <v>-1.9111793655500952E-4</v>
      </c>
      <c r="S46" s="506">
        <f t="shared" ca="1" si="29"/>
        <v>-1.9111793655500952E-4</v>
      </c>
      <c r="T46" s="506">
        <f t="shared" ca="1" si="29"/>
        <v>-1.9111793655500952E-4</v>
      </c>
      <c r="U46" s="506">
        <f t="shared" ca="1" si="29"/>
        <v>-1.9111793655500952E-4</v>
      </c>
      <c r="V46" s="506">
        <f t="shared" ca="1" si="29"/>
        <v>-1.9111793655500952E-4</v>
      </c>
      <c r="W46" s="506">
        <f t="shared" ca="1" si="29"/>
        <v>0</v>
      </c>
      <c r="X46" s="506">
        <f t="shared" ca="1" si="29"/>
        <v>0</v>
      </c>
      <c r="Y46" s="506">
        <f t="shared" ca="1" si="29"/>
        <v>0</v>
      </c>
      <c r="Z46" s="506">
        <f t="shared" ca="1" si="29"/>
        <v>0</v>
      </c>
      <c r="AA46" s="506">
        <f t="shared" ca="1" si="29"/>
        <v>0</v>
      </c>
      <c r="AB46" s="506">
        <f t="shared" ca="1" si="29"/>
        <v>0</v>
      </c>
      <c r="AC46" s="506">
        <f t="shared" ca="1" si="29"/>
        <v>0</v>
      </c>
      <c r="AD46" s="506">
        <f t="shared" ca="1" si="29"/>
        <v>0</v>
      </c>
      <c r="AE46" s="506">
        <f t="shared" ca="1" si="29"/>
        <v>0</v>
      </c>
      <c r="AF46" s="506">
        <f t="shared" ca="1" si="29"/>
        <v>0</v>
      </c>
      <c r="AG46" s="506">
        <f t="shared" ca="1" si="29"/>
        <v>0</v>
      </c>
      <c r="AH46" s="506"/>
      <c r="AI46" s="506"/>
      <c r="AJ46" s="506">
        <f ca="1">IF($C$4=Year1,-PMT(Lookups!$E$17,25,NPV(Lookups!$E$17,G46:AE46),0,1),IF($C$4=Year2,-PMT(Lookups!$F$17,25,NPV(Lookups!$F$17,H46:AF46),0,1),IF($C$4=Year3,-PMT(Lookups!$G$17,25,NPV(Lookups!$G$17,I46:AG46),0,1),-PMT(Lookups!$G$17,27,NPV(Lookups!$G$17,G46:AG46),0,1))))</f>
        <v>-1.2089974100709609E-4</v>
      </c>
      <c r="AK46" s="507"/>
      <c r="AL46" s="507"/>
      <c r="AM46" s="508">
        <f ca="1">IFERROR(-AM27/AM17,0)</f>
        <v>0</v>
      </c>
      <c r="AN46" s="508">
        <f t="shared" ref="AN46:BM46" ca="1" si="30">IFERROR(-AN27/AN17,0)</f>
        <v>-2.1862488028420881E-4</v>
      </c>
      <c r="AO46" s="508">
        <f t="shared" ca="1" si="30"/>
        <v>-2.1862488028420881E-4</v>
      </c>
      <c r="AP46" s="508">
        <f t="shared" ca="1" si="30"/>
        <v>-2.1862488028420881E-4</v>
      </c>
      <c r="AQ46" s="508">
        <f t="shared" ca="1" si="30"/>
        <v>-2.1862488028420881E-4</v>
      </c>
      <c r="AR46" s="508">
        <f t="shared" ca="1" si="30"/>
        <v>-2.1862488028420881E-4</v>
      </c>
      <c r="AS46" s="508">
        <f t="shared" ca="1" si="30"/>
        <v>-2.1862488028420881E-4</v>
      </c>
      <c r="AT46" s="508">
        <f t="shared" ca="1" si="30"/>
        <v>-2.1862488028420881E-4</v>
      </c>
      <c r="AU46" s="508">
        <f t="shared" ca="1" si="30"/>
        <v>-2.1862488028420881E-4</v>
      </c>
      <c r="AV46" s="508">
        <f t="shared" ca="1" si="30"/>
        <v>-2.1862488028420881E-4</v>
      </c>
      <c r="AW46" s="508">
        <f t="shared" ca="1" si="30"/>
        <v>-2.1862488028420881E-4</v>
      </c>
      <c r="AX46" s="508">
        <f t="shared" ca="1" si="30"/>
        <v>-2.1862488028420881E-4</v>
      </c>
      <c r="AY46" s="508">
        <f t="shared" ca="1" si="30"/>
        <v>-2.1862488028420881E-4</v>
      </c>
      <c r="AZ46" s="508">
        <f t="shared" ca="1" si="30"/>
        <v>-2.1862488028420881E-4</v>
      </c>
      <c r="BA46" s="508">
        <f t="shared" ca="1" si="30"/>
        <v>-2.1862488028420881E-4</v>
      </c>
      <c r="BB46" s="508">
        <f t="shared" ca="1" si="30"/>
        <v>-2.1862488028420881E-4</v>
      </c>
      <c r="BC46" s="508">
        <f t="shared" ca="1" si="30"/>
        <v>0</v>
      </c>
      <c r="BD46" s="508">
        <f t="shared" ca="1" si="30"/>
        <v>0</v>
      </c>
      <c r="BE46" s="508">
        <f t="shared" ca="1" si="30"/>
        <v>0</v>
      </c>
      <c r="BF46" s="508">
        <f t="shared" ca="1" si="30"/>
        <v>0</v>
      </c>
      <c r="BG46" s="508">
        <f t="shared" ca="1" si="30"/>
        <v>0</v>
      </c>
      <c r="BH46" s="508">
        <f t="shared" ca="1" si="30"/>
        <v>0</v>
      </c>
      <c r="BI46" s="508">
        <f t="shared" ca="1" si="30"/>
        <v>0</v>
      </c>
      <c r="BJ46" s="508">
        <f t="shared" ca="1" si="30"/>
        <v>0</v>
      </c>
      <c r="BK46" s="508">
        <f t="shared" ca="1" si="30"/>
        <v>0</v>
      </c>
      <c r="BL46" s="508">
        <f t="shared" ca="1" si="30"/>
        <v>0</v>
      </c>
      <c r="BM46" s="508">
        <f t="shared" ca="1" si="30"/>
        <v>0</v>
      </c>
      <c r="BN46" s="508"/>
      <c r="BO46" s="508"/>
      <c r="BP46" s="508">
        <f ca="1">IF($C$4=Year1,-PMT(Lookups!$E$17,25,NPV(Lookups!$E$17,AM46:BK46),0,1),IF($C$4=Year2,-PMT(Lookups!$F$17,25,NPV(Lookups!$F$17,AN46:BL46),0,1),IF($C$4=Year3,-PMT(Lookups!$G$17,25,NPV(Lookups!$G$17,AO46:BM46),0,1),-PMT(Lookups!$G$17,27,NPV(Lookups!$G$17,AM46:BM46),0,1))))</f>
        <v>-1.3830042266315694E-4</v>
      </c>
      <c r="BS46" s="84" t="str">
        <f t="shared" si="26"/>
        <v>Avoided Gas DRIPE avoided costs divided by After Scenario sales.</v>
      </c>
      <c r="BT46" s="51" t="s">
        <v>17</v>
      </c>
    </row>
    <row r="47" spans="1:72" x14ac:dyDescent="0.25">
      <c r="B47" s="243" t="str">
        <f t="shared" si="23"/>
        <v>Residential</v>
      </c>
      <c r="C47" s="243" t="str">
        <f t="shared" si="23"/>
        <v>Rates</v>
      </c>
      <c r="D47" s="244" t="str">
        <f t="shared" si="23"/>
        <v>Avoided Costs</v>
      </c>
      <c r="E47" s="86" t="s">
        <v>76</v>
      </c>
      <c r="F47" s="84" t="s">
        <v>182</v>
      </c>
      <c r="G47" s="506">
        <f ca="1">SUM(G44:G46)</f>
        <v>0</v>
      </c>
      <c r="H47" s="506">
        <f ca="1">SUM(H44:H46)</f>
        <v>-5.3292330417133993E-3</v>
      </c>
      <c r="I47" s="506">
        <f t="shared" ref="I47:AG47" ca="1" si="31">SUM(I44:I46)</f>
        <v>-5.3292330417133993E-3</v>
      </c>
      <c r="J47" s="506">
        <f t="shared" ca="1" si="31"/>
        <v>-5.3292330417133993E-3</v>
      </c>
      <c r="K47" s="506">
        <f t="shared" ca="1" si="31"/>
        <v>-5.3292330417133993E-3</v>
      </c>
      <c r="L47" s="506">
        <f t="shared" ca="1" si="31"/>
        <v>-5.3292330417133993E-3</v>
      </c>
      <c r="M47" s="506">
        <f t="shared" ca="1" si="31"/>
        <v>-5.3292330417133993E-3</v>
      </c>
      <c r="N47" s="506">
        <f t="shared" ca="1" si="31"/>
        <v>-5.3292330417133993E-3</v>
      </c>
      <c r="O47" s="506">
        <f t="shared" ca="1" si="31"/>
        <v>-5.3292330417133993E-3</v>
      </c>
      <c r="P47" s="506">
        <f t="shared" ca="1" si="31"/>
        <v>-5.3292330417133993E-3</v>
      </c>
      <c r="Q47" s="506">
        <f t="shared" ca="1" si="31"/>
        <v>-5.3292330417133993E-3</v>
      </c>
      <c r="R47" s="506">
        <f t="shared" ca="1" si="31"/>
        <v>-5.3292330417133993E-3</v>
      </c>
      <c r="S47" s="506">
        <f t="shared" ca="1" si="31"/>
        <v>-5.3292330417133993E-3</v>
      </c>
      <c r="T47" s="506">
        <f t="shared" ca="1" si="31"/>
        <v>-5.3292330417133993E-3</v>
      </c>
      <c r="U47" s="506">
        <f t="shared" ca="1" si="31"/>
        <v>-5.3292330417133993E-3</v>
      </c>
      <c r="V47" s="506">
        <f t="shared" ca="1" si="31"/>
        <v>-5.3292330417133993E-3</v>
      </c>
      <c r="W47" s="506">
        <f t="shared" ca="1" si="31"/>
        <v>0</v>
      </c>
      <c r="X47" s="506">
        <f t="shared" ca="1" si="31"/>
        <v>0</v>
      </c>
      <c r="Y47" s="506">
        <f t="shared" ca="1" si="31"/>
        <v>0</v>
      </c>
      <c r="Z47" s="506">
        <f t="shared" ca="1" si="31"/>
        <v>0</v>
      </c>
      <c r="AA47" s="506">
        <f t="shared" ca="1" si="31"/>
        <v>0</v>
      </c>
      <c r="AB47" s="506">
        <f t="shared" ca="1" si="31"/>
        <v>0</v>
      </c>
      <c r="AC47" s="506">
        <f t="shared" ca="1" si="31"/>
        <v>0</v>
      </c>
      <c r="AD47" s="506">
        <f t="shared" ca="1" si="31"/>
        <v>0</v>
      </c>
      <c r="AE47" s="506">
        <f t="shared" ca="1" si="31"/>
        <v>0</v>
      </c>
      <c r="AF47" s="506">
        <f t="shared" ca="1" si="31"/>
        <v>0</v>
      </c>
      <c r="AG47" s="506">
        <f t="shared" ca="1" si="31"/>
        <v>0</v>
      </c>
      <c r="AH47" s="506"/>
      <c r="AI47" s="506"/>
      <c r="AJ47" s="506">
        <f ca="1">IF($C$4=Year1,-PMT(Lookups!$E$17,25,NPV(Lookups!$E$17,G47:AE47),0,1),IF($C$4=Year2,-PMT(Lookups!$F$17,25,NPV(Lookups!$F$17,H47:AF47),0,1),IF($C$4=Year3,-PMT(Lookups!$G$17,25,NPV(Lookups!$G$17,I47:AG47),0,1),-PMT(Lookups!$G$17,27,NPV(Lookups!$G$17,G47:AG47),0,1))))</f>
        <v>-3.371231953020584E-3</v>
      </c>
      <c r="AK47" s="507"/>
      <c r="AL47" s="507"/>
      <c r="AM47" s="508">
        <f ca="1">SUM(AM44:AM46)</f>
        <v>0</v>
      </c>
      <c r="AN47" s="508">
        <f t="shared" ref="AN47:BM47" ca="1" si="32">SUM(AN44:AN46)</f>
        <v>-6.096251125105096E-3</v>
      </c>
      <c r="AO47" s="508">
        <f t="shared" ca="1" si="32"/>
        <v>-6.096251125105096E-3</v>
      </c>
      <c r="AP47" s="508">
        <f t="shared" ca="1" si="32"/>
        <v>-6.096251125105096E-3</v>
      </c>
      <c r="AQ47" s="508">
        <f t="shared" ca="1" si="32"/>
        <v>-6.096251125105096E-3</v>
      </c>
      <c r="AR47" s="508">
        <f t="shared" ca="1" si="32"/>
        <v>-6.096251125105096E-3</v>
      </c>
      <c r="AS47" s="508">
        <f t="shared" ca="1" si="32"/>
        <v>-6.096251125105096E-3</v>
      </c>
      <c r="AT47" s="508">
        <f t="shared" ca="1" si="32"/>
        <v>-6.096251125105096E-3</v>
      </c>
      <c r="AU47" s="508">
        <f t="shared" ca="1" si="32"/>
        <v>-6.096251125105096E-3</v>
      </c>
      <c r="AV47" s="508">
        <f t="shared" ca="1" si="32"/>
        <v>-6.096251125105096E-3</v>
      </c>
      <c r="AW47" s="508">
        <f t="shared" ca="1" si="32"/>
        <v>-6.096251125105096E-3</v>
      </c>
      <c r="AX47" s="508">
        <f t="shared" ca="1" si="32"/>
        <v>-6.096251125105096E-3</v>
      </c>
      <c r="AY47" s="508">
        <f t="shared" ca="1" si="32"/>
        <v>-6.096251125105096E-3</v>
      </c>
      <c r="AZ47" s="508">
        <f t="shared" ca="1" si="32"/>
        <v>-6.096251125105096E-3</v>
      </c>
      <c r="BA47" s="508">
        <f t="shared" ca="1" si="32"/>
        <v>-6.096251125105096E-3</v>
      </c>
      <c r="BB47" s="508">
        <f t="shared" ca="1" si="32"/>
        <v>-6.096251125105096E-3</v>
      </c>
      <c r="BC47" s="508">
        <f t="shared" ca="1" si="32"/>
        <v>0</v>
      </c>
      <c r="BD47" s="508">
        <f t="shared" ca="1" si="32"/>
        <v>0</v>
      </c>
      <c r="BE47" s="508">
        <f t="shared" ca="1" si="32"/>
        <v>0</v>
      </c>
      <c r="BF47" s="508">
        <f t="shared" ca="1" si="32"/>
        <v>0</v>
      </c>
      <c r="BG47" s="508">
        <f t="shared" ca="1" si="32"/>
        <v>0</v>
      </c>
      <c r="BH47" s="508">
        <f t="shared" ca="1" si="32"/>
        <v>0</v>
      </c>
      <c r="BI47" s="508">
        <f t="shared" ca="1" si="32"/>
        <v>0</v>
      </c>
      <c r="BJ47" s="508">
        <f t="shared" ca="1" si="32"/>
        <v>0</v>
      </c>
      <c r="BK47" s="508">
        <f t="shared" ca="1" si="32"/>
        <v>0</v>
      </c>
      <c r="BL47" s="508">
        <f t="shared" ca="1" si="32"/>
        <v>0</v>
      </c>
      <c r="BM47" s="508">
        <f t="shared" ca="1" si="32"/>
        <v>0</v>
      </c>
      <c r="BN47" s="508"/>
      <c r="BO47" s="508"/>
      <c r="BP47" s="508">
        <f ca="1">IF($C$4=Year1,-PMT(Lookups!$E$17,25,NPV(Lookups!$E$17,AM47:BK47),0,1),IF($C$4=Year2,-PMT(Lookups!$F$17,25,NPV(Lookups!$F$17,AN47:BL47),0,1),IF($C$4=Year3,-PMT(Lookups!$G$17,25,NPV(Lookups!$G$17,AO47:BM47),0,1),-PMT(Lookups!$G$17,27,NPV(Lookups!$G$17,AM47:BM47),0,1))))</f>
        <v>-3.8564417104162449E-3</v>
      </c>
      <c r="BS47" s="84" t="s">
        <v>232</v>
      </c>
      <c r="BT47" s="51" t="s">
        <v>17</v>
      </c>
    </row>
    <row r="48" spans="1:72" x14ac:dyDescent="0.25">
      <c r="B48" s="243" t="str">
        <f t="shared" si="23"/>
        <v>Residential</v>
      </c>
      <c r="C48" s="243" t="str">
        <f t="shared" si="23"/>
        <v>Rates</v>
      </c>
      <c r="D48" s="114" t="s">
        <v>165</v>
      </c>
      <c r="E48" s="86"/>
      <c r="F48" s="86"/>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506"/>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S48" s="84"/>
      <c r="BT48" s="51" t="s">
        <v>17</v>
      </c>
    </row>
    <row r="49" spans="1:72" x14ac:dyDescent="0.25">
      <c r="A49" s="246"/>
      <c r="B49" s="243" t="str">
        <f t="shared" si="23"/>
        <v>Residential</v>
      </c>
      <c r="C49" s="243" t="str">
        <f t="shared" si="23"/>
        <v>Rates</v>
      </c>
      <c r="D49" s="244" t="str">
        <f t="shared" si="23"/>
        <v>Increased Costs and Cost Shifting</v>
      </c>
      <c r="E49" s="84" t="s">
        <v>406</v>
      </c>
      <c r="F49" s="84" t="s">
        <v>182</v>
      </c>
      <c r="G49" s="509">
        <f ca="1">IF($C$4=Lookups!$D$40,SUM(INDIRECT("'Yr1'!"&amp;ADDRESS(ROW(G49),COLUMN(G49))),INDIRECT("'Yr2'!"&amp;ADDRESS(ROW(G49),COLUMN(G49))),INDIRECT("'Yr3'!"&amp;ADDRESS(ROW(G49),COLUMN(G49)))),
IF($C$4=G$7,SUMIFS('EE Inputs'!$L$9:$L$32,'EE Inputs'!$C$9:$C$32,$G$6,'EE Inputs'!$D$9:$D$32,$C$4,'EE Inputs'!$E$9:$E$32,$B49),0))</f>
        <v>0</v>
      </c>
      <c r="H49" s="509">
        <f ca="1">IF($C$4=Lookups!$D$40,SUM(INDIRECT("'Yr1'!"&amp;ADDRESS(ROW(H49),COLUMN(H49))),INDIRECT("'Yr2'!"&amp;ADDRESS(ROW(H49),COLUMN(H49))),INDIRECT("'Yr3'!"&amp;ADDRESS(ROW(H49),COLUMN(H49)))),
IF($C$4=H$7,SUMIFS('EE Inputs'!$L$9:$L$32,'EE Inputs'!$C$9:$C$32,$G$6,'EE Inputs'!$D$9:$D$32,$C$4,'EE Inputs'!$E$9:$E$32,$B49),0))</f>
        <v>6.6654138295917709E-2</v>
      </c>
      <c r="I49" s="509">
        <f ca="1">IF($C$4=Lookups!$D$40,SUM(INDIRECT("'Yr1'!"&amp;ADDRESS(ROW(I49),COLUMN(I49))),INDIRECT("'Yr2'!"&amp;ADDRESS(ROW(I49),COLUMN(I49))),INDIRECT("'Yr3'!"&amp;ADDRESS(ROW(I49),COLUMN(I49)))),
IF($C$4=I$7,SUMIFS('EE Inputs'!$L$9:$L$32,'EE Inputs'!$C$9:$C$32,$G$6,'EE Inputs'!$D$9:$D$32,$C$4,'EE Inputs'!$E$9:$E$32,$B49),0))</f>
        <v>0</v>
      </c>
      <c r="J49" s="509">
        <f ca="1">IF($C$4=Lookups!$D$40,SUM(INDIRECT("'Yr1'!"&amp;ADDRESS(ROW(J49),COLUMN(J49))),INDIRECT("'Yr2'!"&amp;ADDRESS(ROW(J49),COLUMN(J49))),INDIRECT("'Yr3'!"&amp;ADDRESS(ROW(J49),COLUMN(J49)))),
IF($C$4=J$7,SUMIFS('EE Inputs'!$L$9:$L$32,'EE Inputs'!$C$9:$C$32,$G$6,'EE Inputs'!$D$9:$D$32,$C$4,'EE Inputs'!$E$9:$E$32,$B49),0))</f>
        <v>0</v>
      </c>
      <c r="K49" s="509">
        <f ca="1">IF($C$4=Lookups!$D$40,SUM(INDIRECT("'Yr1'!"&amp;ADDRESS(ROW(K49),COLUMN(K49))),INDIRECT("'Yr2'!"&amp;ADDRESS(ROW(K49),COLUMN(K49))),INDIRECT("'Yr3'!"&amp;ADDRESS(ROW(K49),COLUMN(K49)))),
IF($C$4=K$7,SUMIFS('EE Inputs'!$L$9:$L$32,'EE Inputs'!$C$9:$C$32,$G$6,'EE Inputs'!$D$9:$D$32,$C$4,'EE Inputs'!$E$9:$E$32,$B49),0))</f>
        <v>0</v>
      </c>
      <c r="L49" s="509">
        <f ca="1">IF($C$4=Lookups!$D$40,SUM(INDIRECT("'Yr1'!"&amp;ADDRESS(ROW(L49),COLUMN(L49))),INDIRECT("'Yr2'!"&amp;ADDRESS(ROW(L49),COLUMN(L49))),INDIRECT("'Yr3'!"&amp;ADDRESS(ROW(L49),COLUMN(L49)))),
IF($C$4=L$7,SUMIFS('EE Inputs'!$L$9:$L$32,'EE Inputs'!$C$9:$C$32,$G$6,'EE Inputs'!$D$9:$D$32,$C$4,'EE Inputs'!$E$9:$E$32,$B49),0))</f>
        <v>0</v>
      </c>
      <c r="M49" s="509">
        <f ca="1">IF($C$4=Lookups!$D$40,SUM(INDIRECT("'Yr1'!"&amp;ADDRESS(ROW(M49),COLUMN(M49))),INDIRECT("'Yr2'!"&amp;ADDRESS(ROW(M49),COLUMN(M49))),INDIRECT("'Yr3'!"&amp;ADDRESS(ROW(M49),COLUMN(M49)))),
IF($C$4=M$7,SUMIFS('EE Inputs'!$L$9:$L$32,'EE Inputs'!$C$9:$C$32,$G$6,'EE Inputs'!$D$9:$D$32,$C$4,'EE Inputs'!$E$9:$E$32,$B49),0))</f>
        <v>0</v>
      </c>
      <c r="N49" s="509">
        <f ca="1">IF($C$4=Lookups!$D$40,SUM(INDIRECT("'Yr1'!"&amp;ADDRESS(ROW(N49),COLUMN(N49))),INDIRECT("'Yr2'!"&amp;ADDRESS(ROW(N49),COLUMN(N49))),INDIRECT("'Yr3'!"&amp;ADDRESS(ROW(N49),COLUMN(N49)))),
IF($C$4=N$7,SUMIFS('EE Inputs'!$L$9:$L$32,'EE Inputs'!$C$9:$C$32,$G$6,'EE Inputs'!$D$9:$D$32,$C$4,'EE Inputs'!$E$9:$E$32,$B49),0))</f>
        <v>0</v>
      </c>
      <c r="O49" s="509">
        <f ca="1">IF($C$4=Lookups!$D$40,SUM(INDIRECT("'Yr1'!"&amp;ADDRESS(ROW(O49),COLUMN(O49))),INDIRECT("'Yr2'!"&amp;ADDRESS(ROW(O49),COLUMN(O49))),INDIRECT("'Yr3'!"&amp;ADDRESS(ROW(O49),COLUMN(O49)))),
IF($C$4=O$7,SUMIFS('EE Inputs'!$L$9:$L$32,'EE Inputs'!$C$9:$C$32,$G$6,'EE Inputs'!$D$9:$D$32,$C$4,'EE Inputs'!$E$9:$E$32,$B49),0))</f>
        <v>0</v>
      </c>
      <c r="P49" s="509">
        <f ca="1">IF($C$4=Lookups!$D$40,SUM(INDIRECT("'Yr1'!"&amp;ADDRESS(ROW(P49),COLUMN(P49))),INDIRECT("'Yr2'!"&amp;ADDRESS(ROW(P49),COLUMN(P49))),INDIRECT("'Yr3'!"&amp;ADDRESS(ROW(P49),COLUMN(P49)))),
IF($C$4=P$7,SUMIFS('EE Inputs'!$L$9:$L$32,'EE Inputs'!$C$9:$C$32,$G$6,'EE Inputs'!$D$9:$D$32,$C$4,'EE Inputs'!$E$9:$E$32,$B49),0))</f>
        <v>0</v>
      </c>
      <c r="Q49" s="509">
        <f ca="1">IF($C$4=Lookups!$D$40,SUM(INDIRECT("'Yr1'!"&amp;ADDRESS(ROW(Q49),COLUMN(Q49))),INDIRECT("'Yr2'!"&amp;ADDRESS(ROW(Q49),COLUMN(Q49))),INDIRECT("'Yr3'!"&amp;ADDRESS(ROW(Q49),COLUMN(Q49)))),
IF($C$4=Q$7,SUMIFS('EE Inputs'!$L$9:$L$32,'EE Inputs'!$C$9:$C$32,$G$6,'EE Inputs'!$D$9:$D$32,$C$4,'EE Inputs'!$E$9:$E$32,$B49),0))</f>
        <v>0</v>
      </c>
      <c r="R49" s="509">
        <f ca="1">IF($C$4=Lookups!$D$40,SUM(INDIRECT("'Yr1'!"&amp;ADDRESS(ROW(R49),COLUMN(R49))),INDIRECT("'Yr2'!"&amp;ADDRESS(ROW(R49),COLUMN(R49))),INDIRECT("'Yr3'!"&amp;ADDRESS(ROW(R49),COLUMN(R49)))),
IF($C$4=R$7,SUMIFS('EE Inputs'!$L$9:$L$32,'EE Inputs'!$C$9:$C$32,$G$6,'EE Inputs'!$D$9:$D$32,$C$4,'EE Inputs'!$E$9:$E$32,$B49),0))</f>
        <v>0</v>
      </c>
      <c r="S49" s="509">
        <f ca="1">IF($C$4=Lookups!$D$40,SUM(INDIRECT("'Yr1'!"&amp;ADDRESS(ROW(S49),COLUMN(S49))),INDIRECT("'Yr2'!"&amp;ADDRESS(ROW(S49),COLUMN(S49))),INDIRECT("'Yr3'!"&amp;ADDRESS(ROW(S49),COLUMN(S49)))),
IF($C$4=S$7,SUMIFS('EE Inputs'!$L$9:$L$32,'EE Inputs'!$C$9:$C$32,$G$6,'EE Inputs'!$D$9:$D$32,$C$4,'EE Inputs'!$E$9:$E$32,$B49),0))</f>
        <v>0</v>
      </c>
      <c r="T49" s="509">
        <f ca="1">IF($C$4=Lookups!$D$40,SUM(INDIRECT("'Yr1'!"&amp;ADDRESS(ROW(T49),COLUMN(T49))),INDIRECT("'Yr2'!"&amp;ADDRESS(ROW(T49),COLUMN(T49))),INDIRECT("'Yr3'!"&amp;ADDRESS(ROW(T49),COLUMN(T49)))),
IF($C$4=T$7,SUMIFS('EE Inputs'!$L$9:$L$32,'EE Inputs'!$C$9:$C$32,$G$6,'EE Inputs'!$D$9:$D$32,$C$4,'EE Inputs'!$E$9:$E$32,$B49),0))</f>
        <v>0</v>
      </c>
      <c r="U49" s="509">
        <f ca="1">IF($C$4=Lookups!$D$40,SUM(INDIRECT("'Yr1'!"&amp;ADDRESS(ROW(U49),COLUMN(U49))),INDIRECT("'Yr2'!"&amp;ADDRESS(ROW(U49),COLUMN(U49))),INDIRECT("'Yr3'!"&amp;ADDRESS(ROW(U49),COLUMN(U49)))),
IF($C$4=U$7,SUMIFS('EE Inputs'!$L$9:$L$32,'EE Inputs'!$C$9:$C$32,$G$6,'EE Inputs'!$D$9:$D$32,$C$4,'EE Inputs'!$E$9:$E$32,$B49),0))</f>
        <v>0</v>
      </c>
      <c r="V49" s="509">
        <f ca="1">IF($C$4=Lookups!$D$40,SUM(INDIRECT("'Yr1'!"&amp;ADDRESS(ROW(V49),COLUMN(V49))),INDIRECT("'Yr2'!"&amp;ADDRESS(ROW(V49),COLUMN(V49))),INDIRECT("'Yr3'!"&amp;ADDRESS(ROW(V49),COLUMN(V49)))),
IF($C$4=V$7,SUMIFS('EE Inputs'!$L$9:$L$32,'EE Inputs'!$C$9:$C$32,$G$6,'EE Inputs'!$D$9:$D$32,$C$4,'EE Inputs'!$E$9:$E$32,$B49),0))</f>
        <v>0</v>
      </c>
      <c r="W49" s="509">
        <f ca="1">IF($C$4=Lookups!$D$40,SUM(INDIRECT("'Yr1'!"&amp;ADDRESS(ROW(W49),COLUMN(W49))),INDIRECT("'Yr2'!"&amp;ADDRESS(ROW(W49),COLUMN(W49))),INDIRECT("'Yr3'!"&amp;ADDRESS(ROW(W49),COLUMN(W49)))),
IF($C$4=W$7,SUMIFS('EE Inputs'!$L$9:$L$32,'EE Inputs'!$C$9:$C$32,$G$6,'EE Inputs'!$D$9:$D$32,$C$4,'EE Inputs'!$E$9:$E$32,$B49),0))</f>
        <v>0</v>
      </c>
      <c r="X49" s="509">
        <f ca="1">IF($C$4=Lookups!$D$40,SUM(INDIRECT("'Yr1'!"&amp;ADDRESS(ROW(X49),COLUMN(X49))),INDIRECT("'Yr2'!"&amp;ADDRESS(ROW(X49),COLUMN(X49))),INDIRECT("'Yr3'!"&amp;ADDRESS(ROW(X49),COLUMN(X49)))),
IF($C$4=X$7,SUMIFS('EE Inputs'!$L$9:$L$32,'EE Inputs'!$C$9:$C$32,$G$6,'EE Inputs'!$D$9:$D$32,$C$4,'EE Inputs'!$E$9:$E$32,$B49),0))</f>
        <v>0</v>
      </c>
      <c r="Y49" s="509">
        <f ca="1">IF($C$4=Lookups!$D$40,SUM(INDIRECT("'Yr1'!"&amp;ADDRESS(ROW(Y49),COLUMN(Y49))),INDIRECT("'Yr2'!"&amp;ADDRESS(ROW(Y49),COLUMN(Y49))),INDIRECT("'Yr3'!"&amp;ADDRESS(ROW(Y49),COLUMN(Y49)))),
IF($C$4=Y$7,SUMIFS('EE Inputs'!$L$9:$L$32,'EE Inputs'!$C$9:$C$32,$G$6,'EE Inputs'!$D$9:$D$32,$C$4,'EE Inputs'!$E$9:$E$32,$B49),0))</f>
        <v>0</v>
      </c>
      <c r="Z49" s="509">
        <f ca="1">IF($C$4=Lookups!$D$40,SUM(INDIRECT("'Yr1'!"&amp;ADDRESS(ROW(Z49),COLUMN(Z49))),INDIRECT("'Yr2'!"&amp;ADDRESS(ROW(Z49),COLUMN(Z49))),INDIRECT("'Yr3'!"&amp;ADDRESS(ROW(Z49),COLUMN(Z49)))),
IF($C$4=Z$7,SUMIFS('EE Inputs'!$L$9:$L$32,'EE Inputs'!$C$9:$C$32,$G$6,'EE Inputs'!$D$9:$D$32,$C$4,'EE Inputs'!$E$9:$E$32,$B49),0))</f>
        <v>0</v>
      </c>
      <c r="AA49" s="509">
        <f ca="1">IF($C$4=Lookups!$D$40,SUM(INDIRECT("'Yr1'!"&amp;ADDRESS(ROW(AA49),COLUMN(AA49))),INDIRECT("'Yr2'!"&amp;ADDRESS(ROW(AA49),COLUMN(AA49))),INDIRECT("'Yr3'!"&amp;ADDRESS(ROW(AA49),COLUMN(AA49)))),
IF($C$4=AA$7,SUMIFS('EE Inputs'!$L$9:$L$32,'EE Inputs'!$C$9:$C$32,$G$6,'EE Inputs'!$D$9:$D$32,$C$4,'EE Inputs'!$E$9:$E$32,$B49),0))</f>
        <v>0</v>
      </c>
      <c r="AB49" s="509">
        <f ca="1">IF($C$4=Lookups!$D$40,SUM(INDIRECT("'Yr1'!"&amp;ADDRESS(ROW(AB49),COLUMN(AB49))),INDIRECT("'Yr2'!"&amp;ADDRESS(ROW(AB49),COLUMN(AB49))),INDIRECT("'Yr3'!"&amp;ADDRESS(ROW(AB49),COLUMN(AB49)))),
IF($C$4=AB$7,SUMIFS('EE Inputs'!$L$9:$L$32,'EE Inputs'!$C$9:$C$32,$G$6,'EE Inputs'!$D$9:$D$32,$C$4,'EE Inputs'!$E$9:$E$32,$B49),0))</f>
        <v>0</v>
      </c>
      <c r="AC49" s="509">
        <f ca="1">IF($C$4=Lookups!$D$40,SUM(INDIRECT("'Yr1'!"&amp;ADDRESS(ROW(AC49),COLUMN(AC49))),INDIRECT("'Yr2'!"&amp;ADDRESS(ROW(AC49),COLUMN(AC49))),INDIRECT("'Yr3'!"&amp;ADDRESS(ROW(AC49),COLUMN(AC49)))),
IF($C$4=AC$7,SUMIFS('EE Inputs'!$L$9:$L$32,'EE Inputs'!$C$9:$C$32,$G$6,'EE Inputs'!$D$9:$D$32,$C$4,'EE Inputs'!$E$9:$E$32,$B49),0))</f>
        <v>0</v>
      </c>
      <c r="AD49" s="509">
        <f ca="1">IF($C$4=Lookups!$D$40,SUM(INDIRECT("'Yr1'!"&amp;ADDRESS(ROW(AD49),COLUMN(AD49))),INDIRECT("'Yr2'!"&amp;ADDRESS(ROW(AD49),COLUMN(AD49))),INDIRECT("'Yr3'!"&amp;ADDRESS(ROW(AD49),COLUMN(AD49)))),
IF($C$4=AD$7,SUMIFS('EE Inputs'!$L$9:$L$32,'EE Inputs'!$C$9:$C$32,$G$6,'EE Inputs'!$D$9:$D$32,$C$4,'EE Inputs'!$E$9:$E$32,$B49),0))</f>
        <v>0</v>
      </c>
      <c r="AE49" s="509">
        <f ca="1">IF($C$4=Lookups!$D$40,SUM(INDIRECT("'Yr1'!"&amp;ADDRESS(ROW(AE49),COLUMN(AE49))),INDIRECT("'Yr2'!"&amp;ADDRESS(ROW(AE49),COLUMN(AE49))),INDIRECT("'Yr3'!"&amp;ADDRESS(ROW(AE49),COLUMN(AE49)))),
IF($C$4=AE$7,SUMIFS('EE Inputs'!$L$9:$L$32,'EE Inputs'!$C$9:$C$32,$G$6,'EE Inputs'!$D$9:$D$32,$C$4,'EE Inputs'!$E$9:$E$32,$B49),0))</f>
        <v>0</v>
      </c>
      <c r="AF49" s="509">
        <f ca="1">IF($C$4=Lookups!$D$40,SUM(INDIRECT("'Yr1'!"&amp;ADDRESS(ROW(AF49),COLUMN(AF49))),INDIRECT("'Yr2'!"&amp;ADDRESS(ROW(AF49),COLUMN(AF49))),INDIRECT("'Yr3'!"&amp;ADDRESS(ROW(AF49),COLUMN(AF49)))),
IF($C$4=AF$7,SUMIFS('EE Inputs'!$L$9:$L$32,'EE Inputs'!$C$9:$C$32,$G$6,'EE Inputs'!$D$9:$D$32,$C$4,'EE Inputs'!$E$9:$E$32,$B49),0))</f>
        <v>0</v>
      </c>
      <c r="AG49" s="509">
        <f ca="1">IF($C$4=Lookups!$D$40,SUM(INDIRECT("'Yr1'!"&amp;ADDRESS(ROW(AG49),COLUMN(AG49))),INDIRECT("'Yr2'!"&amp;ADDRESS(ROW(AG49),COLUMN(AG49))),INDIRECT("'Yr3'!"&amp;ADDRESS(ROW(AG49),COLUMN(AG49)))),
IF($C$4=AG$7,SUMIFS('EE Inputs'!$L$9:$L$32,'EE Inputs'!$C$9:$C$32,$G$6,'EE Inputs'!$D$9:$D$32,$C$4,'EE Inputs'!$E$9:$E$32,$B49),0))</f>
        <v>0</v>
      </c>
      <c r="AH49" s="509"/>
      <c r="AI49" s="509"/>
      <c r="AJ49" s="506">
        <f ca="1">IF($C$4=Year1,-PMT(Lookups!$E$17,25,NPV(Lookups!$E$17,G49:AE49),0,1),IF($C$4=Year2,-PMT(Lookups!$F$17,25,NPV(Lookups!$F$17,H49:AF49),0,1),IF($C$4=Year3,-PMT(Lookups!$G$17,25,NPV(Lookups!$G$17,I49:AG49),0,1),-PMT(Lookups!$G$17,27,NPV(Lookups!$G$17,G49:AG49),0,1))))</f>
        <v>3.0956928586426007E-3</v>
      </c>
      <c r="AK49" s="507"/>
      <c r="AL49" s="507"/>
      <c r="AM49" s="508">
        <f ca="1">IF($C$4=Lookups!$D$40,SUM(INDIRECT("'Yr1'!"&amp;ADDRESS(ROW(AM49),COLUMN(AM49))),INDIRECT("'Yr2'!"&amp;ADDRESS(ROW(AM49),COLUMN(AM49))),INDIRECT("'Yr3'!"&amp;ADDRESS(ROW(AM49),COLUMN(AM49)))),
IF($C$4=AM$7,SUMIFS('EE Inputs'!$L$9:$L$32,'EE Inputs'!$C$9:$C$32,$AM$6,'EE Inputs'!$D$9:$D$32,$C$4,'EE Inputs'!$E$9:$E$32,$B49),0))</f>
        <v>0</v>
      </c>
      <c r="AN49" s="508">
        <f ca="1">IF($C$4=Lookups!$D$40,SUM(INDIRECT("'Yr1'!"&amp;ADDRESS(ROW(AN49),COLUMN(AN49))),INDIRECT("'Yr2'!"&amp;ADDRESS(ROW(AN49),COLUMN(AN49))),INDIRECT("'Yr3'!"&amp;ADDRESS(ROW(AN49),COLUMN(AN49)))),
IF($C$4=AN$7,SUMIFS('EE Inputs'!$L$9:$L$32,'EE Inputs'!$C$9:$C$32,$AM$6,'EE Inputs'!$D$9:$D$32,$C$4,'EE Inputs'!$E$9:$E$32,$B49),0))</f>
        <v>7.9984965955101253E-2</v>
      </c>
      <c r="AO49" s="508">
        <f ca="1">IF($C$4=Lookups!$D$40,SUM(INDIRECT("'Yr1'!"&amp;ADDRESS(ROW(AO49),COLUMN(AO49))),INDIRECT("'Yr2'!"&amp;ADDRESS(ROW(AO49),COLUMN(AO49))),INDIRECT("'Yr3'!"&amp;ADDRESS(ROW(AO49),COLUMN(AO49)))),
IF($C$4=AO$7,SUMIFS('EE Inputs'!$L$9:$L$32,'EE Inputs'!$C$9:$C$32,$AM$6,'EE Inputs'!$D$9:$D$32,$C$4,'EE Inputs'!$E$9:$E$32,$B49),0))</f>
        <v>0</v>
      </c>
      <c r="AP49" s="508">
        <f ca="1">IF($C$4=Lookups!$D$40,SUM(INDIRECT("'Yr1'!"&amp;ADDRESS(ROW(AP49),COLUMN(AP49))),INDIRECT("'Yr2'!"&amp;ADDRESS(ROW(AP49),COLUMN(AP49))),INDIRECT("'Yr3'!"&amp;ADDRESS(ROW(AP49),COLUMN(AP49)))),
IF($C$4=AP$7,SUMIFS('EE Inputs'!$L$9:$L$32,'EE Inputs'!$C$9:$C$32,$AM$6,'EE Inputs'!$D$9:$D$32,$C$4,'EE Inputs'!$E$9:$E$32,$B49),0))</f>
        <v>0</v>
      </c>
      <c r="AQ49" s="508">
        <f ca="1">IF($C$4=Lookups!$D$40,SUM(INDIRECT("'Yr1'!"&amp;ADDRESS(ROW(AQ49),COLUMN(AQ49))),INDIRECT("'Yr2'!"&amp;ADDRESS(ROW(AQ49),COLUMN(AQ49))),INDIRECT("'Yr3'!"&amp;ADDRESS(ROW(AQ49),COLUMN(AQ49)))),
IF($C$4=AQ$7,SUMIFS('EE Inputs'!$L$9:$L$32,'EE Inputs'!$C$9:$C$32,$AM$6,'EE Inputs'!$D$9:$D$32,$C$4,'EE Inputs'!$E$9:$E$32,$B49),0))</f>
        <v>0</v>
      </c>
      <c r="AR49" s="508">
        <f ca="1">IF($C$4=Lookups!$D$40,SUM(INDIRECT("'Yr1'!"&amp;ADDRESS(ROW(AR49),COLUMN(AR49))),INDIRECT("'Yr2'!"&amp;ADDRESS(ROW(AR49),COLUMN(AR49))),INDIRECT("'Yr3'!"&amp;ADDRESS(ROW(AR49),COLUMN(AR49)))),
IF($C$4=AR$7,SUMIFS('EE Inputs'!$L$9:$L$32,'EE Inputs'!$C$9:$C$32,$AM$6,'EE Inputs'!$D$9:$D$32,$C$4,'EE Inputs'!$E$9:$E$32,$B49),0))</f>
        <v>0</v>
      </c>
      <c r="AS49" s="508">
        <f ca="1">IF($C$4=Lookups!$D$40,SUM(INDIRECT("'Yr1'!"&amp;ADDRESS(ROW(AS49),COLUMN(AS49))),INDIRECT("'Yr2'!"&amp;ADDRESS(ROW(AS49),COLUMN(AS49))),INDIRECT("'Yr3'!"&amp;ADDRESS(ROW(AS49),COLUMN(AS49)))),
IF($C$4=AS$7,SUMIFS('EE Inputs'!$L$9:$L$32,'EE Inputs'!$C$9:$C$32,$AM$6,'EE Inputs'!$D$9:$D$32,$C$4,'EE Inputs'!$E$9:$E$32,$B49),0))</f>
        <v>0</v>
      </c>
      <c r="AT49" s="508">
        <f ca="1">IF($C$4=Lookups!$D$40,SUM(INDIRECT("'Yr1'!"&amp;ADDRESS(ROW(AT49),COLUMN(AT49))),INDIRECT("'Yr2'!"&amp;ADDRESS(ROW(AT49),COLUMN(AT49))),INDIRECT("'Yr3'!"&amp;ADDRESS(ROW(AT49),COLUMN(AT49)))),
IF($C$4=AT$7,SUMIFS('EE Inputs'!$L$9:$L$32,'EE Inputs'!$C$9:$C$32,$AM$6,'EE Inputs'!$D$9:$D$32,$C$4,'EE Inputs'!$E$9:$E$32,$B49),0))</f>
        <v>0</v>
      </c>
      <c r="AU49" s="508">
        <f ca="1">IF($C$4=Lookups!$D$40,SUM(INDIRECT("'Yr1'!"&amp;ADDRESS(ROW(AU49),COLUMN(AU49))),INDIRECT("'Yr2'!"&amp;ADDRESS(ROW(AU49),COLUMN(AU49))),INDIRECT("'Yr3'!"&amp;ADDRESS(ROW(AU49),COLUMN(AU49)))),
IF($C$4=AU$7,SUMIFS('EE Inputs'!$L$9:$L$32,'EE Inputs'!$C$9:$C$32,$AM$6,'EE Inputs'!$D$9:$D$32,$C$4,'EE Inputs'!$E$9:$E$32,$B49),0))</f>
        <v>0</v>
      </c>
      <c r="AV49" s="508">
        <f ca="1">IF($C$4=Lookups!$D$40,SUM(INDIRECT("'Yr1'!"&amp;ADDRESS(ROW(AV49),COLUMN(AV49))),INDIRECT("'Yr2'!"&amp;ADDRESS(ROW(AV49),COLUMN(AV49))),INDIRECT("'Yr3'!"&amp;ADDRESS(ROW(AV49),COLUMN(AV49)))),
IF($C$4=AV$7,SUMIFS('EE Inputs'!$L$9:$L$32,'EE Inputs'!$C$9:$C$32,$AM$6,'EE Inputs'!$D$9:$D$32,$C$4,'EE Inputs'!$E$9:$E$32,$B49),0))</f>
        <v>0</v>
      </c>
      <c r="AW49" s="508">
        <f ca="1">IF($C$4=Lookups!$D$40,SUM(INDIRECT("'Yr1'!"&amp;ADDRESS(ROW(AW49),COLUMN(AW49))),INDIRECT("'Yr2'!"&amp;ADDRESS(ROW(AW49),COLUMN(AW49))),INDIRECT("'Yr3'!"&amp;ADDRESS(ROW(AW49),COLUMN(AW49)))),
IF($C$4=AW$7,SUMIFS('EE Inputs'!$L$9:$L$32,'EE Inputs'!$C$9:$C$32,$AM$6,'EE Inputs'!$D$9:$D$32,$C$4,'EE Inputs'!$E$9:$E$32,$B49),0))</f>
        <v>0</v>
      </c>
      <c r="AX49" s="508">
        <f ca="1">IF($C$4=Lookups!$D$40,SUM(INDIRECT("'Yr1'!"&amp;ADDRESS(ROW(AX49),COLUMN(AX49))),INDIRECT("'Yr2'!"&amp;ADDRESS(ROW(AX49),COLUMN(AX49))),INDIRECT("'Yr3'!"&amp;ADDRESS(ROW(AX49),COLUMN(AX49)))),
IF($C$4=AX$7,SUMIFS('EE Inputs'!$L$9:$L$32,'EE Inputs'!$C$9:$C$32,$AM$6,'EE Inputs'!$D$9:$D$32,$C$4,'EE Inputs'!$E$9:$E$32,$B49),0))</f>
        <v>0</v>
      </c>
      <c r="AY49" s="508">
        <f ca="1">IF($C$4=Lookups!$D$40,SUM(INDIRECT("'Yr1'!"&amp;ADDRESS(ROW(AY49),COLUMN(AY49))),INDIRECT("'Yr2'!"&amp;ADDRESS(ROW(AY49),COLUMN(AY49))),INDIRECT("'Yr3'!"&amp;ADDRESS(ROW(AY49),COLUMN(AY49)))),
IF($C$4=AY$7,SUMIFS('EE Inputs'!$L$9:$L$32,'EE Inputs'!$C$9:$C$32,$AM$6,'EE Inputs'!$D$9:$D$32,$C$4,'EE Inputs'!$E$9:$E$32,$B49),0))</f>
        <v>0</v>
      </c>
      <c r="AZ49" s="508">
        <f ca="1">IF($C$4=Lookups!$D$40,SUM(INDIRECT("'Yr1'!"&amp;ADDRESS(ROW(AZ49),COLUMN(AZ49))),INDIRECT("'Yr2'!"&amp;ADDRESS(ROW(AZ49),COLUMN(AZ49))),INDIRECT("'Yr3'!"&amp;ADDRESS(ROW(AZ49),COLUMN(AZ49)))),
IF($C$4=AZ$7,SUMIFS('EE Inputs'!$L$9:$L$32,'EE Inputs'!$C$9:$C$32,$AM$6,'EE Inputs'!$D$9:$D$32,$C$4,'EE Inputs'!$E$9:$E$32,$B49),0))</f>
        <v>0</v>
      </c>
      <c r="BA49" s="508">
        <f ca="1">IF($C$4=Lookups!$D$40,SUM(INDIRECT("'Yr1'!"&amp;ADDRESS(ROW(BA49),COLUMN(BA49))),INDIRECT("'Yr2'!"&amp;ADDRESS(ROW(BA49),COLUMN(BA49))),INDIRECT("'Yr3'!"&amp;ADDRESS(ROW(BA49),COLUMN(BA49)))),
IF($C$4=BA$7,SUMIFS('EE Inputs'!$L$9:$L$32,'EE Inputs'!$C$9:$C$32,$AM$6,'EE Inputs'!$D$9:$D$32,$C$4,'EE Inputs'!$E$9:$E$32,$B49),0))</f>
        <v>0</v>
      </c>
      <c r="BB49" s="508">
        <f ca="1">IF($C$4=Lookups!$D$40,SUM(INDIRECT("'Yr1'!"&amp;ADDRESS(ROW(BB49),COLUMN(BB49))),INDIRECT("'Yr2'!"&amp;ADDRESS(ROW(BB49),COLUMN(BB49))),INDIRECT("'Yr3'!"&amp;ADDRESS(ROW(BB49),COLUMN(BB49)))),
IF($C$4=BB$7,SUMIFS('EE Inputs'!$L$9:$L$32,'EE Inputs'!$C$9:$C$32,$AM$6,'EE Inputs'!$D$9:$D$32,$C$4,'EE Inputs'!$E$9:$E$32,$B49),0))</f>
        <v>0</v>
      </c>
      <c r="BC49" s="508">
        <f ca="1">IF($C$4=Lookups!$D$40,SUM(INDIRECT("'Yr1'!"&amp;ADDRESS(ROW(BC49),COLUMN(BC49))),INDIRECT("'Yr2'!"&amp;ADDRESS(ROW(BC49),COLUMN(BC49))),INDIRECT("'Yr3'!"&amp;ADDRESS(ROW(BC49),COLUMN(BC49)))),
IF($C$4=BC$7,SUMIFS('EE Inputs'!$L$9:$L$32,'EE Inputs'!$C$9:$C$32,$AM$6,'EE Inputs'!$D$9:$D$32,$C$4,'EE Inputs'!$E$9:$E$32,$B49),0))</f>
        <v>0</v>
      </c>
      <c r="BD49" s="508">
        <f ca="1">IF($C$4=Lookups!$D$40,SUM(INDIRECT("'Yr1'!"&amp;ADDRESS(ROW(BD49),COLUMN(BD49))),INDIRECT("'Yr2'!"&amp;ADDRESS(ROW(BD49),COLUMN(BD49))),INDIRECT("'Yr3'!"&amp;ADDRESS(ROW(BD49),COLUMN(BD49)))),
IF($C$4=BD$7,SUMIFS('EE Inputs'!$L$9:$L$32,'EE Inputs'!$C$9:$C$32,$AM$6,'EE Inputs'!$D$9:$D$32,$C$4,'EE Inputs'!$E$9:$E$32,$B49),0))</f>
        <v>0</v>
      </c>
      <c r="BE49" s="508">
        <f ca="1">IF($C$4=Lookups!$D$40,SUM(INDIRECT("'Yr1'!"&amp;ADDRESS(ROW(BE49),COLUMN(BE49))),INDIRECT("'Yr2'!"&amp;ADDRESS(ROW(BE49),COLUMN(BE49))),INDIRECT("'Yr3'!"&amp;ADDRESS(ROW(BE49),COLUMN(BE49)))),
IF($C$4=BE$7,SUMIFS('EE Inputs'!$L$9:$L$32,'EE Inputs'!$C$9:$C$32,$AM$6,'EE Inputs'!$D$9:$D$32,$C$4,'EE Inputs'!$E$9:$E$32,$B49),0))</f>
        <v>0</v>
      </c>
      <c r="BF49" s="508">
        <f ca="1">IF($C$4=Lookups!$D$40,SUM(INDIRECT("'Yr1'!"&amp;ADDRESS(ROW(BF49),COLUMN(BF49))),INDIRECT("'Yr2'!"&amp;ADDRESS(ROW(BF49),COLUMN(BF49))),INDIRECT("'Yr3'!"&amp;ADDRESS(ROW(BF49),COLUMN(BF49)))),
IF($C$4=BF$7,SUMIFS('EE Inputs'!$L$9:$L$32,'EE Inputs'!$C$9:$C$32,$AM$6,'EE Inputs'!$D$9:$D$32,$C$4,'EE Inputs'!$E$9:$E$32,$B49),0))</f>
        <v>0</v>
      </c>
      <c r="BG49" s="508">
        <f ca="1">IF($C$4=Lookups!$D$40,SUM(INDIRECT("'Yr1'!"&amp;ADDRESS(ROW(BG49),COLUMN(BG49))),INDIRECT("'Yr2'!"&amp;ADDRESS(ROW(BG49),COLUMN(BG49))),INDIRECT("'Yr3'!"&amp;ADDRESS(ROW(BG49),COLUMN(BG49)))),
IF($C$4=BG$7,SUMIFS('EE Inputs'!$L$9:$L$32,'EE Inputs'!$C$9:$C$32,$AM$6,'EE Inputs'!$D$9:$D$32,$C$4,'EE Inputs'!$E$9:$E$32,$B49),0))</f>
        <v>0</v>
      </c>
      <c r="BH49" s="508">
        <f ca="1">IF($C$4=Lookups!$D$40,SUM(INDIRECT("'Yr1'!"&amp;ADDRESS(ROW(BH49),COLUMN(BH49))),INDIRECT("'Yr2'!"&amp;ADDRESS(ROW(BH49),COLUMN(BH49))),INDIRECT("'Yr3'!"&amp;ADDRESS(ROW(BH49),COLUMN(BH49)))),
IF($C$4=BH$7,SUMIFS('EE Inputs'!$L$9:$L$32,'EE Inputs'!$C$9:$C$32,$AM$6,'EE Inputs'!$D$9:$D$32,$C$4,'EE Inputs'!$E$9:$E$32,$B49),0))</f>
        <v>0</v>
      </c>
      <c r="BI49" s="508">
        <f ca="1">IF($C$4=Lookups!$D$40,SUM(INDIRECT("'Yr1'!"&amp;ADDRESS(ROW(BI49),COLUMN(BI49))),INDIRECT("'Yr2'!"&amp;ADDRESS(ROW(BI49),COLUMN(BI49))),INDIRECT("'Yr3'!"&amp;ADDRESS(ROW(BI49),COLUMN(BI49)))),
IF($C$4=BI$7,SUMIFS('EE Inputs'!$L$9:$L$32,'EE Inputs'!$C$9:$C$32,$AM$6,'EE Inputs'!$D$9:$D$32,$C$4,'EE Inputs'!$E$9:$E$32,$B49),0))</f>
        <v>0</v>
      </c>
      <c r="BJ49" s="508">
        <f ca="1">IF($C$4=Lookups!$D$40,SUM(INDIRECT("'Yr1'!"&amp;ADDRESS(ROW(BJ49),COLUMN(BJ49))),INDIRECT("'Yr2'!"&amp;ADDRESS(ROW(BJ49),COLUMN(BJ49))),INDIRECT("'Yr3'!"&amp;ADDRESS(ROW(BJ49),COLUMN(BJ49)))),
IF($C$4=BJ$7,SUMIFS('EE Inputs'!$L$9:$L$32,'EE Inputs'!$C$9:$C$32,$AM$6,'EE Inputs'!$D$9:$D$32,$C$4,'EE Inputs'!$E$9:$E$32,$B49),0))</f>
        <v>0</v>
      </c>
      <c r="BK49" s="508">
        <f ca="1">IF($C$4=Lookups!$D$40,SUM(INDIRECT("'Yr1'!"&amp;ADDRESS(ROW(BK49),COLUMN(BK49))),INDIRECT("'Yr2'!"&amp;ADDRESS(ROW(BK49),COLUMN(BK49))),INDIRECT("'Yr3'!"&amp;ADDRESS(ROW(BK49),COLUMN(BK49)))),
IF($C$4=BK$7,SUMIFS('EE Inputs'!$L$9:$L$32,'EE Inputs'!$C$9:$C$32,$AM$6,'EE Inputs'!$D$9:$D$32,$C$4,'EE Inputs'!$E$9:$E$32,$B49),0))</f>
        <v>0</v>
      </c>
      <c r="BL49" s="508">
        <f ca="1">IF($C$4=Lookups!$D$40,SUM(INDIRECT("'Yr1'!"&amp;ADDRESS(ROW(BL49),COLUMN(BL49))),INDIRECT("'Yr2'!"&amp;ADDRESS(ROW(BL49),COLUMN(BL49))),INDIRECT("'Yr3'!"&amp;ADDRESS(ROW(BL49),COLUMN(BL49)))),
IF($C$4=BL$7,SUMIFS('EE Inputs'!$L$9:$L$32,'EE Inputs'!$C$9:$C$32,$AM$6,'EE Inputs'!$D$9:$D$32,$C$4,'EE Inputs'!$E$9:$E$32,$B49),0))</f>
        <v>0</v>
      </c>
      <c r="BM49" s="508">
        <f ca="1">IF($C$4=Lookups!$D$40,SUM(INDIRECT("'Yr1'!"&amp;ADDRESS(ROW(BM49),COLUMN(BM49))),INDIRECT("'Yr2'!"&amp;ADDRESS(ROW(BM49),COLUMN(BM49))),INDIRECT("'Yr3'!"&amp;ADDRESS(ROW(BM49),COLUMN(BM49)))),
IF($C$4=BM$7,SUMIFS('EE Inputs'!$L$9:$L$32,'EE Inputs'!$C$9:$C$32,$AM$6,'EE Inputs'!$D$9:$D$32,$C$4,'EE Inputs'!$E$9:$E$32,$B49),0))</f>
        <v>0</v>
      </c>
      <c r="BN49" s="508"/>
      <c r="BO49" s="508"/>
      <c r="BP49" s="508">
        <f ca="1">IF($C$4=Year1,-PMT(Lookups!$E$17,25,NPV(Lookups!$E$17,AM49:BK49),0,1),IF($C$4=Year2,-PMT(Lookups!$F$17,25,NPV(Lookups!$F$17,AN49:BL49),0,1),IF($C$4=Year3,-PMT(Lookups!$G$17,25,NPV(Lookups!$G$17,AO49:BM49),0,1),-PMT(Lookups!$G$17,27,NPV(Lookups!$G$17,AM49:BM49),0,1))))</f>
        <v>3.7148314303711212E-3</v>
      </c>
      <c r="BS49" s="86" t="s">
        <v>402</v>
      </c>
      <c r="BT49" s="51" t="s">
        <v>17</v>
      </c>
    </row>
    <row r="50" spans="1:72" x14ac:dyDescent="0.25">
      <c r="A50" s="246"/>
      <c r="B50" s="243" t="str">
        <f t="shared" si="23"/>
        <v>Residential</v>
      </c>
      <c r="C50" s="243" t="str">
        <f t="shared" si="23"/>
        <v>Rates</v>
      </c>
      <c r="D50" s="244" t="str">
        <f t="shared" si="23"/>
        <v>Increased Costs and Cost Shifting</v>
      </c>
      <c r="E50" s="86" t="s">
        <v>198</v>
      </c>
      <c r="F50" s="84" t="s">
        <v>182</v>
      </c>
      <c r="G50" s="506">
        <f ca="1">IFERROR((G32/G17)-(G32/G15),0)</f>
        <v>0</v>
      </c>
      <c r="H50" s="506">
        <f ca="1">IFERROR((H32/H17)-(H32/H15),0)</f>
        <v>3.6423195832739896E-3</v>
      </c>
      <c r="I50" s="506">
        <f t="shared" ref="I50:AG50" ca="1" si="33">IFERROR((I32/I17)-(I32/I15),0)</f>
        <v>3.6423195832739896E-3</v>
      </c>
      <c r="J50" s="506">
        <f t="shared" ca="1" si="33"/>
        <v>3.6423195832739896E-3</v>
      </c>
      <c r="K50" s="506">
        <f t="shared" ca="1" si="33"/>
        <v>3.6423195832739896E-3</v>
      </c>
      <c r="L50" s="506">
        <f t="shared" ca="1" si="33"/>
        <v>3.6423195832739896E-3</v>
      </c>
      <c r="M50" s="506">
        <f t="shared" ca="1" si="33"/>
        <v>3.6423195832739896E-3</v>
      </c>
      <c r="N50" s="506">
        <f t="shared" ca="1" si="33"/>
        <v>3.6423195832739896E-3</v>
      </c>
      <c r="O50" s="506">
        <f t="shared" ca="1" si="33"/>
        <v>3.6423195832739896E-3</v>
      </c>
      <c r="P50" s="506">
        <f t="shared" ca="1" si="33"/>
        <v>3.6423195832739896E-3</v>
      </c>
      <c r="Q50" s="506">
        <f t="shared" ca="1" si="33"/>
        <v>3.6423195832739896E-3</v>
      </c>
      <c r="R50" s="506">
        <f t="shared" ca="1" si="33"/>
        <v>3.6423195832739896E-3</v>
      </c>
      <c r="S50" s="506">
        <f t="shared" ca="1" si="33"/>
        <v>3.6423195832739896E-3</v>
      </c>
      <c r="T50" s="506">
        <f t="shared" ca="1" si="33"/>
        <v>3.6423195832739896E-3</v>
      </c>
      <c r="U50" s="506">
        <f t="shared" ca="1" si="33"/>
        <v>3.6423195832739896E-3</v>
      </c>
      <c r="V50" s="506">
        <f t="shared" ca="1" si="33"/>
        <v>3.6423195832739896E-3</v>
      </c>
      <c r="W50" s="506">
        <f t="shared" ca="1" si="33"/>
        <v>0</v>
      </c>
      <c r="X50" s="506">
        <f t="shared" ca="1" si="33"/>
        <v>0</v>
      </c>
      <c r="Y50" s="506">
        <f t="shared" ca="1" si="33"/>
        <v>0</v>
      </c>
      <c r="Z50" s="506">
        <f t="shared" ca="1" si="33"/>
        <v>0</v>
      </c>
      <c r="AA50" s="506">
        <f t="shared" ca="1" si="33"/>
        <v>0</v>
      </c>
      <c r="AB50" s="506">
        <f t="shared" ca="1" si="33"/>
        <v>0</v>
      </c>
      <c r="AC50" s="506">
        <f t="shared" ca="1" si="33"/>
        <v>0</v>
      </c>
      <c r="AD50" s="506">
        <f t="shared" ca="1" si="33"/>
        <v>0</v>
      </c>
      <c r="AE50" s="506">
        <f t="shared" ca="1" si="33"/>
        <v>0</v>
      </c>
      <c r="AF50" s="506">
        <f t="shared" ca="1" si="33"/>
        <v>0</v>
      </c>
      <c r="AG50" s="506">
        <f t="shared" ca="1" si="33"/>
        <v>0</v>
      </c>
      <c r="AH50" s="506"/>
      <c r="AI50" s="506"/>
      <c r="AJ50" s="506">
        <f ca="1">IF($C$4=Year1,-PMT(Lookups!$E$17,25,NPV(Lookups!$E$17,G50:AE50),0,1),IF($C$4=Year2,-PMT(Lookups!$F$17,25,NPV(Lookups!$F$17,H50:AF50),0,1),IF($C$4=Year3,-PMT(Lookups!$G$17,25,NPV(Lookups!$G$17,I50:AG50),0,1),-PMT(Lookups!$G$17,27,NPV(Lookups!$G$17,G50:AG50),0,1))))</f>
        <v>2.304103435922938E-3</v>
      </c>
      <c r="AK50" s="507"/>
      <c r="AL50" s="507"/>
      <c r="AM50" s="508">
        <f ca="1">IFERROR((AM32/AM17)-(AM32/AM15),0)</f>
        <v>0</v>
      </c>
      <c r="AN50" s="508">
        <f t="shared" ref="AN50:BM50" ca="1" si="34">IFERROR((AN32/AN17)-(AN32/AN15),0)</f>
        <v>4.1662185075099778E-3</v>
      </c>
      <c r="AO50" s="508">
        <f t="shared" ca="1" si="34"/>
        <v>4.1662185075099778E-3</v>
      </c>
      <c r="AP50" s="508">
        <f t="shared" ca="1" si="34"/>
        <v>4.1662185075099778E-3</v>
      </c>
      <c r="AQ50" s="508">
        <f t="shared" ca="1" si="34"/>
        <v>4.1662185075099778E-3</v>
      </c>
      <c r="AR50" s="508">
        <f t="shared" ca="1" si="34"/>
        <v>4.1662185075099778E-3</v>
      </c>
      <c r="AS50" s="508">
        <f t="shared" ca="1" si="34"/>
        <v>4.1662185075099778E-3</v>
      </c>
      <c r="AT50" s="508">
        <f t="shared" ca="1" si="34"/>
        <v>4.1662185075099778E-3</v>
      </c>
      <c r="AU50" s="508">
        <f t="shared" ca="1" si="34"/>
        <v>4.1662185075099778E-3</v>
      </c>
      <c r="AV50" s="508">
        <f t="shared" ca="1" si="34"/>
        <v>4.1662185075099778E-3</v>
      </c>
      <c r="AW50" s="508">
        <f t="shared" ca="1" si="34"/>
        <v>4.1662185075099778E-3</v>
      </c>
      <c r="AX50" s="508">
        <f t="shared" ca="1" si="34"/>
        <v>4.1662185075099778E-3</v>
      </c>
      <c r="AY50" s="508">
        <f t="shared" ca="1" si="34"/>
        <v>4.1662185075099778E-3</v>
      </c>
      <c r="AZ50" s="508">
        <f t="shared" ca="1" si="34"/>
        <v>4.1662185075099778E-3</v>
      </c>
      <c r="BA50" s="508">
        <f t="shared" ca="1" si="34"/>
        <v>4.1662185075099778E-3</v>
      </c>
      <c r="BB50" s="508">
        <f t="shared" ca="1" si="34"/>
        <v>4.1662185075099778E-3</v>
      </c>
      <c r="BC50" s="508">
        <f t="shared" ca="1" si="34"/>
        <v>0</v>
      </c>
      <c r="BD50" s="508">
        <f t="shared" ca="1" si="34"/>
        <v>0</v>
      </c>
      <c r="BE50" s="508">
        <f t="shared" ca="1" si="34"/>
        <v>0</v>
      </c>
      <c r="BF50" s="508">
        <f t="shared" ca="1" si="34"/>
        <v>0</v>
      </c>
      <c r="BG50" s="508">
        <f t="shared" ca="1" si="34"/>
        <v>0</v>
      </c>
      <c r="BH50" s="508">
        <f t="shared" ca="1" si="34"/>
        <v>0</v>
      </c>
      <c r="BI50" s="508">
        <f t="shared" ca="1" si="34"/>
        <v>0</v>
      </c>
      <c r="BJ50" s="508">
        <f t="shared" ca="1" si="34"/>
        <v>0</v>
      </c>
      <c r="BK50" s="508">
        <f t="shared" ca="1" si="34"/>
        <v>0</v>
      </c>
      <c r="BL50" s="508">
        <f t="shared" ca="1" si="34"/>
        <v>0</v>
      </c>
      <c r="BM50" s="508">
        <f t="shared" ca="1" si="34"/>
        <v>0</v>
      </c>
      <c r="BN50" s="508"/>
      <c r="BO50" s="508"/>
      <c r="BP50" s="508">
        <f ca="1">IF($C$4=Year1,-PMT(Lookups!$E$17,25,NPV(Lookups!$E$17,AM50:BK50),0,1),IF($C$4=Year2,-PMT(Lookups!$F$17,25,NPV(Lookups!$F$17,AN50:BL50),0,1),IF($C$4=Year3,-PMT(Lookups!$G$17,25,NPV(Lookups!$G$17,AO50:BM50),0,1),-PMT(Lookups!$G$17,27,NPV(Lookups!$G$17,AM50:BM50),0,1))))</f>
        <v>2.6355178776846424E-3</v>
      </c>
      <c r="BS50" s="84" t="s">
        <v>103</v>
      </c>
      <c r="BT50" s="51" t="s">
        <v>17</v>
      </c>
    </row>
    <row r="51" spans="1:72" x14ac:dyDescent="0.25">
      <c r="B51" s="243" t="str">
        <f t="shared" si="23"/>
        <v>Residential</v>
      </c>
      <c r="C51" s="243" t="str">
        <f t="shared" si="23"/>
        <v>Rates</v>
      </c>
      <c r="D51" s="114" t="s">
        <v>110</v>
      </c>
      <c r="E51" s="86"/>
      <c r="F51" s="86"/>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49"/>
      <c r="AI51" s="238"/>
      <c r="AJ51" s="506"/>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S51" s="84"/>
      <c r="BT51" s="51" t="s">
        <v>17</v>
      </c>
    </row>
    <row r="52" spans="1:72" x14ac:dyDescent="0.25">
      <c r="B52" s="243" t="str">
        <f t="shared" si="23"/>
        <v>Residential</v>
      </c>
      <c r="C52" s="243" t="str">
        <f t="shared" si="23"/>
        <v>Rates</v>
      </c>
      <c r="D52" s="244" t="str">
        <f>D51</f>
        <v>Rates after DSM Scenario</v>
      </c>
      <c r="E52" s="86" t="s">
        <v>26</v>
      </c>
      <c r="F52" s="84" t="s">
        <v>182</v>
      </c>
      <c r="G52" s="506">
        <f ca="1">IFERROR(G32/G17,0)</f>
        <v>0</v>
      </c>
      <c r="H52" s="506">
        <f t="shared" ref="H52:AG52" ca="1" si="35">IFERROR(H32/H17,0)</f>
        <v>0.56023603697401425</v>
      </c>
      <c r="I52" s="506">
        <f t="shared" ca="1" si="35"/>
        <v>0.56023603697401425</v>
      </c>
      <c r="J52" s="506">
        <f t="shared" ca="1" si="35"/>
        <v>0.56023603697401425</v>
      </c>
      <c r="K52" s="506">
        <f t="shared" ca="1" si="35"/>
        <v>0.56023603697401425</v>
      </c>
      <c r="L52" s="506">
        <f t="shared" ca="1" si="35"/>
        <v>0.56023603697401425</v>
      </c>
      <c r="M52" s="506">
        <f t="shared" ca="1" si="35"/>
        <v>0.56023603697401425</v>
      </c>
      <c r="N52" s="506">
        <f t="shared" ca="1" si="35"/>
        <v>0.56023603697401425</v>
      </c>
      <c r="O52" s="506">
        <f t="shared" ca="1" si="35"/>
        <v>0.56023603697401425</v>
      </c>
      <c r="P52" s="506">
        <f t="shared" ca="1" si="35"/>
        <v>0.56023603697401425</v>
      </c>
      <c r="Q52" s="506">
        <f t="shared" ca="1" si="35"/>
        <v>0.56023603697401425</v>
      </c>
      <c r="R52" s="506">
        <f t="shared" ca="1" si="35"/>
        <v>0.56023603697401425</v>
      </c>
      <c r="S52" s="506">
        <f t="shared" ca="1" si="35"/>
        <v>0.56023603697401425</v>
      </c>
      <c r="T52" s="506">
        <f t="shared" ca="1" si="35"/>
        <v>0.56023603697401425</v>
      </c>
      <c r="U52" s="506">
        <f t="shared" ca="1" si="35"/>
        <v>0.56023603697401425</v>
      </c>
      <c r="V52" s="506">
        <f t="shared" ca="1" si="35"/>
        <v>0.56023603697401425</v>
      </c>
      <c r="W52" s="506">
        <f t="shared" ca="1" si="35"/>
        <v>0.55689999999999995</v>
      </c>
      <c r="X52" s="506">
        <f t="shared" ca="1" si="35"/>
        <v>0.55689999999999995</v>
      </c>
      <c r="Y52" s="506">
        <f t="shared" ca="1" si="35"/>
        <v>0.55689999999999995</v>
      </c>
      <c r="Z52" s="506">
        <f t="shared" ca="1" si="35"/>
        <v>0.55689999999999995</v>
      </c>
      <c r="AA52" s="506">
        <f t="shared" ca="1" si="35"/>
        <v>0.55689999999999995</v>
      </c>
      <c r="AB52" s="506">
        <f t="shared" ca="1" si="35"/>
        <v>0.55689999999999995</v>
      </c>
      <c r="AC52" s="506">
        <f t="shared" ca="1" si="35"/>
        <v>0.55689999999999995</v>
      </c>
      <c r="AD52" s="506">
        <f t="shared" ca="1" si="35"/>
        <v>0.55689999999999995</v>
      </c>
      <c r="AE52" s="506">
        <f t="shared" ca="1" si="35"/>
        <v>0.55689999999999995</v>
      </c>
      <c r="AF52" s="506">
        <f t="shared" ca="1" si="35"/>
        <v>0.55689999999999995</v>
      </c>
      <c r="AG52" s="506">
        <f t="shared" ca="1" si="35"/>
        <v>0.55689999999999995</v>
      </c>
      <c r="AH52" s="509"/>
      <c r="AI52" s="506"/>
      <c r="AJ52" s="506">
        <f ca="1">IF($C$4=Year1,-PMT(Lookups!$E$17,25,NPV(Lookups!$E$17,G52:AE52),0,1),IF($C$4=Year2,-PMT(Lookups!$F$17,25,NPV(Lookups!$F$17,H52:AF52),0,1),IF($C$4=Year3,-PMT(Lookups!$G$17,25,NPV(Lookups!$G$17,I52:AG52),0,1),-PMT(Lookups!$G$17,27,NPV(Lookups!$G$17,G52:AG52),0,1))))</f>
        <v>0.55124341678144773</v>
      </c>
      <c r="AK52" s="507"/>
      <c r="AL52" s="507"/>
      <c r="AM52" s="508">
        <f ca="1">IFERROR(AM32/AM17,0)</f>
        <v>0</v>
      </c>
      <c r="AN52" s="508">
        <f t="shared" ref="AN52:BM52" ca="1" si="36">IFERROR(AN32/AN17,0)</f>
        <v>0.56071618123978451</v>
      </c>
      <c r="AO52" s="508">
        <f t="shared" ca="1" si="36"/>
        <v>0.56071618123978451</v>
      </c>
      <c r="AP52" s="508">
        <f t="shared" ca="1" si="36"/>
        <v>0.56071618123978451</v>
      </c>
      <c r="AQ52" s="508">
        <f t="shared" ca="1" si="36"/>
        <v>0.56071618123978451</v>
      </c>
      <c r="AR52" s="508">
        <f t="shared" ca="1" si="36"/>
        <v>0.56071618123978451</v>
      </c>
      <c r="AS52" s="508">
        <f t="shared" ca="1" si="36"/>
        <v>0.56071618123978451</v>
      </c>
      <c r="AT52" s="508">
        <f t="shared" ca="1" si="36"/>
        <v>0.56071618123978451</v>
      </c>
      <c r="AU52" s="508">
        <f t="shared" ca="1" si="36"/>
        <v>0.56071618123978451</v>
      </c>
      <c r="AV52" s="508">
        <f t="shared" ca="1" si="36"/>
        <v>0.56071618123978451</v>
      </c>
      <c r="AW52" s="508">
        <f t="shared" ca="1" si="36"/>
        <v>0.56071618123978451</v>
      </c>
      <c r="AX52" s="508">
        <f t="shared" ca="1" si="36"/>
        <v>0.56071618123978451</v>
      </c>
      <c r="AY52" s="508">
        <f t="shared" ca="1" si="36"/>
        <v>0.56071618123978451</v>
      </c>
      <c r="AZ52" s="508">
        <f t="shared" ca="1" si="36"/>
        <v>0.56071618123978451</v>
      </c>
      <c r="BA52" s="508">
        <f t="shared" ca="1" si="36"/>
        <v>0.56071618123978451</v>
      </c>
      <c r="BB52" s="508">
        <f t="shared" ca="1" si="36"/>
        <v>0.56071618123978451</v>
      </c>
      <c r="BC52" s="508">
        <f t="shared" ca="1" si="36"/>
        <v>0.55689999999999995</v>
      </c>
      <c r="BD52" s="508">
        <f t="shared" ca="1" si="36"/>
        <v>0.55689999999999995</v>
      </c>
      <c r="BE52" s="508">
        <f t="shared" ca="1" si="36"/>
        <v>0.55689999999999995</v>
      </c>
      <c r="BF52" s="508">
        <f t="shared" ca="1" si="36"/>
        <v>0.55689999999999995</v>
      </c>
      <c r="BG52" s="508">
        <f t="shared" ca="1" si="36"/>
        <v>0.55689999999999995</v>
      </c>
      <c r="BH52" s="508">
        <f t="shared" ca="1" si="36"/>
        <v>0.55689999999999995</v>
      </c>
      <c r="BI52" s="508">
        <f t="shared" ca="1" si="36"/>
        <v>0.55689999999999995</v>
      </c>
      <c r="BJ52" s="508">
        <f t="shared" ca="1" si="36"/>
        <v>0.55689999999999995</v>
      </c>
      <c r="BK52" s="508">
        <f t="shared" ca="1" si="36"/>
        <v>0.55689999999999995</v>
      </c>
      <c r="BL52" s="508">
        <f t="shared" ca="1" si="36"/>
        <v>0.55689999999999995</v>
      </c>
      <c r="BM52" s="508">
        <f t="shared" ca="1" si="36"/>
        <v>0.55689999999999995</v>
      </c>
      <c r="BN52" s="508"/>
      <c r="BO52" s="508"/>
      <c r="BP52" s="508">
        <f ca="1">IF($C$4=Year1,-PMT(Lookups!$E$17,25,NPV(Lookups!$E$17,AM52:BK52),0,1),IF($C$4=Year2,-PMT(Lookups!$F$17,25,NPV(Lookups!$F$17,AN52:BL52),0,1),IF($C$4=Year3,-PMT(Lookups!$G$17,25,NPV(Lookups!$G$17,AO52:BM52),0,1),-PMT(Lookups!$G$17,27,NPV(Lookups!$G$17,AM52:BM52),0,1))))</f>
        <v>0.55154715236181251</v>
      </c>
      <c r="BS52" s="84" t="s">
        <v>238</v>
      </c>
      <c r="BT52" s="51" t="s">
        <v>17</v>
      </c>
    </row>
    <row r="53" spans="1:72" x14ac:dyDescent="0.25">
      <c r="B53" s="243" t="str">
        <f t="shared" si="23"/>
        <v>Residential</v>
      </c>
      <c r="C53" s="243" t="str">
        <f t="shared" si="23"/>
        <v>Rates</v>
      </c>
      <c r="D53" s="244" t="str">
        <f>D52</f>
        <v>Rates after DSM Scenario</v>
      </c>
      <c r="E53" s="84" t="s">
        <v>407</v>
      </c>
      <c r="F53" s="84" t="s">
        <v>182</v>
      </c>
      <c r="G53" s="506">
        <f ca="1">IFERROR(G33/G17,0)</f>
        <v>0</v>
      </c>
      <c r="H53" s="506">
        <f t="shared" ref="H53:AG53" ca="1" si="37">IFERROR(H33/H17,0)</f>
        <v>-3.3215950238913071E-2</v>
      </c>
      <c r="I53" s="506">
        <f t="shared" ca="1" si="37"/>
        <v>-3.3215950238913071E-2</v>
      </c>
      <c r="J53" s="506">
        <f t="shared" ca="1" si="37"/>
        <v>-3.3215950238913071E-2</v>
      </c>
      <c r="K53" s="506">
        <f t="shared" ca="1" si="37"/>
        <v>-3.3215950238913071E-2</v>
      </c>
      <c r="L53" s="506">
        <f t="shared" ca="1" si="37"/>
        <v>-3.3215950238913071E-2</v>
      </c>
      <c r="M53" s="506">
        <f t="shared" ca="1" si="37"/>
        <v>-3.3215950238913071E-2</v>
      </c>
      <c r="N53" s="506">
        <f t="shared" ca="1" si="37"/>
        <v>-3.3215950238913071E-2</v>
      </c>
      <c r="O53" s="506">
        <f t="shared" ca="1" si="37"/>
        <v>-3.3215950238913071E-2</v>
      </c>
      <c r="P53" s="506">
        <f t="shared" ca="1" si="37"/>
        <v>-3.3215950238913071E-2</v>
      </c>
      <c r="Q53" s="506">
        <f t="shared" ca="1" si="37"/>
        <v>-3.3215950238913071E-2</v>
      </c>
      <c r="R53" s="506">
        <f t="shared" ca="1" si="37"/>
        <v>-3.3215950238913071E-2</v>
      </c>
      <c r="S53" s="506">
        <f t="shared" ca="1" si="37"/>
        <v>-3.3215950238913071E-2</v>
      </c>
      <c r="T53" s="506">
        <f t="shared" ca="1" si="37"/>
        <v>-3.3215950238913071E-2</v>
      </c>
      <c r="U53" s="506">
        <f t="shared" ca="1" si="37"/>
        <v>-3.3215950238913071E-2</v>
      </c>
      <c r="V53" s="506">
        <f t="shared" ca="1" si="37"/>
        <v>-3.3215950238913071E-2</v>
      </c>
      <c r="W53" s="506">
        <f t="shared" ca="1" si="37"/>
        <v>-3.3000000000000002E-2</v>
      </c>
      <c r="X53" s="506">
        <f t="shared" ca="1" si="37"/>
        <v>-3.3000000000000002E-2</v>
      </c>
      <c r="Y53" s="506">
        <f t="shared" ca="1" si="37"/>
        <v>-3.3000000000000002E-2</v>
      </c>
      <c r="Z53" s="506">
        <f t="shared" ca="1" si="37"/>
        <v>-3.3000000000000002E-2</v>
      </c>
      <c r="AA53" s="506">
        <f t="shared" ca="1" si="37"/>
        <v>-3.3000000000000002E-2</v>
      </c>
      <c r="AB53" s="506">
        <f t="shared" ca="1" si="37"/>
        <v>-3.3000000000000002E-2</v>
      </c>
      <c r="AC53" s="506">
        <f t="shared" ca="1" si="37"/>
        <v>-3.3000000000000002E-2</v>
      </c>
      <c r="AD53" s="506">
        <f t="shared" ca="1" si="37"/>
        <v>-3.3000000000000002E-2</v>
      </c>
      <c r="AE53" s="506">
        <f t="shared" ca="1" si="37"/>
        <v>-3.3000000000000002E-2</v>
      </c>
      <c r="AF53" s="506">
        <f t="shared" ca="1" si="37"/>
        <v>-3.3000000000000002E-2</v>
      </c>
      <c r="AG53" s="506">
        <f t="shared" ca="1" si="37"/>
        <v>-3.3000000000000002E-2</v>
      </c>
      <c r="AH53" s="509"/>
      <c r="AI53" s="506"/>
      <c r="AJ53" s="506">
        <f ca="1">IF($C$4=Year1,-PMT(Lookups!$E$17,25,NPV(Lookups!$E$17,G53:AE53),0,1),IF($C$4=Year2,-PMT(Lookups!$F$17,25,NPV(Lookups!$F$17,H53:AF53),0,1),IF($C$4=Year3,-PMT(Lookups!$G$17,25,NPV(Lookups!$G$17,I53:AG53),0,1),-PMT(Lookups!$G$17,27,NPV(Lookups!$G$17,G53:AG53),0,1))))</f>
        <v>-3.267636633429262E-2</v>
      </c>
      <c r="AK53" s="507"/>
      <c r="AL53" s="507"/>
      <c r="AM53" s="508">
        <f ca="1">IFERROR(AM33/AM17,0)</f>
        <v>0</v>
      </c>
      <c r="AN53" s="508">
        <f t="shared" ref="AN53:BM53" ca="1" si="38">IFERROR(AN33/AN17,0)</f>
        <v>-3.3247031210051424E-2</v>
      </c>
      <c r="AO53" s="508">
        <f t="shared" ca="1" si="38"/>
        <v>-3.3247031210051424E-2</v>
      </c>
      <c r="AP53" s="508">
        <f t="shared" ca="1" si="38"/>
        <v>-3.3247031210051424E-2</v>
      </c>
      <c r="AQ53" s="508">
        <f t="shared" ca="1" si="38"/>
        <v>-3.3247031210051424E-2</v>
      </c>
      <c r="AR53" s="508">
        <f t="shared" ca="1" si="38"/>
        <v>-3.3247031210051424E-2</v>
      </c>
      <c r="AS53" s="508">
        <f t="shared" ca="1" si="38"/>
        <v>-3.3247031210051424E-2</v>
      </c>
      <c r="AT53" s="508">
        <f t="shared" ca="1" si="38"/>
        <v>-3.3247031210051424E-2</v>
      </c>
      <c r="AU53" s="508">
        <f t="shared" ca="1" si="38"/>
        <v>-3.3247031210051424E-2</v>
      </c>
      <c r="AV53" s="508">
        <f t="shared" ca="1" si="38"/>
        <v>-3.3247031210051424E-2</v>
      </c>
      <c r="AW53" s="508">
        <f t="shared" ca="1" si="38"/>
        <v>-3.3247031210051424E-2</v>
      </c>
      <c r="AX53" s="508">
        <f t="shared" ca="1" si="38"/>
        <v>-3.3247031210051424E-2</v>
      </c>
      <c r="AY53" s="508">
        <f t="shared" ca="1" si="38"/>
        <v>-3.3247031210051424E-2</v>
      </c>
      <c r="AZ53" s="508">
        <f t="shared" ca="1" si="38"/>
        <v>-3.3247031210051424E-2</v>
      </c>
      <c r="BA53" s="508">
        <f t="shared" ca="1" si="38"/>
        <v>-3.3247031210051424E-2</v>
      </c>
      <c r="BB53" s="508">
        <f t="shared" ca="1" si="38"/>
        <v>-3.3247031210051424E-2</v>
      </c>
      <c r="BC53" s="508">
        <f t="shared" ca="1" si="38"/>
        <v>-3.3000000000000002E-2</v>
      </c>
      <c r="BD53" s="508">
        <f t="shared" ca="1" si="38"/>
        <v>-3.3000000000000002E-2</v>
      </c>
      <c r="BE53" s="508">
        <f t="shared" ca="1" si="38"/>
        <v>-3.3000000000000002E-2</v>
      </c>
      <c r="BF53" s="508">
        <f t="shared" ca="1" si="38"/>
        <v>-3.3000000000000002E-2</v>
      </c>
      <c r="BG53" s="508">
        <f t="shared" ca="1" si="38"/>
        <v>-3.3000000000000002E-2</v>
      </c>
      <c r="BH53" s="508">
        <f t="shared" ca="1" si="38"/>
        <v>-3.3000000000000002E-2</v>
      </c>
      <c r="BI53" s="508">
        <f t="shared" ca="1" si="38"/>
        <v>-3.3000000000000002E-2</v>
      </c>
      <c r="BJ53" s="508">
        <f t="shared" ca="1" si="38"/>
        <v>-3.3000000000000002E-2</v>
      </c>
      <c r="BK53" s="508">
        <f t="shared" ca="1" si="38"/>
        <v>-3.3000000000000002E-2</v>
      </c>
      <c r="BL53" s="508">
        <f t="shared" ca="1" si="38"/>
        <v>-3.3000000000000002E-2</v>
      </c>
      <c r="BM53" s="508">
        <f t="shared" ca="1" si="38"/>
        <v>-3.3000000000000002E-2</v>
      </c>
      <c r="BN53" s="508"/>
      <c r="BO53" s="508"/>
      <c r="BP53" s="508">
        <f ca="1">IF($C$4=Year1,-PMT(Lookups!$E$17,25,NPV(Lookups!$E$17,AM53:BK53),0,1),IF($C$4=Year2,-PMT(Lookups!$F$17,25,NPV(Lookups!$F$17,AN53:BL53),0,1),IF($C$4=Year3,-PMT(Lookups!$G$17,25,NPV(Lookups!$G$17,AO53:BM53),0,1),-PMT(Lookups!$G$17,27,NPV(Lookups!$G$17,AM53:BM53),0,1))))</f>
        <v>-3.2696027918278983E-2</v>
      </c>
      <c r="BS53" s="84" t="s">
        <v>237</v>
      </c>
      <c r="BT53" s="51" t="s">
        <v>17</v>
      </c>
    </row>
    <row r="54" spans="1:72" x14ac:dyDescent="0.25">
      <c r="B54" s="243" t="str">
        <f t="shared" si="23"/>
        <v>Residential</v>
      </c>
      <c r="C54" s="243" t="str">
        <f t="shared" si="23"/>
        <v>Rates</v>
      </c>
      <c r="D54" s="244" t="str">
        <f t="shared" si="23"/>
        <v>Rates after DSM Scenario</v>
      </c>
      <c r="E54" s="84" t="s">
        <v>197</v>
      </c>
      <c r="F54" s="84" t="s">
        <v>182</v>
      </c>
      <c r="G54" s="506">
        <f ca="1">IFERROR(G40+G46,0)</f>
        <v>0</v>
      </c>
      <c r="H54" s="506">
        <f t="shared" ref="H54:AG54" ca="1" si="39">IFERROR(H40+H46,0)</f>
        <v>0.62010888206344494</v>
      </c>
      <c r="I54" s="506">
        <f t="shared" ca="1" si="39"/>
        <v>0.62010888206344494</v>
      </c>
      <c r="J54" s="506">
        <f t="shared" ca="1" si="39"/>
        <v>0.62010888206344494</v>
      </c>
      <c r="K54" s="506">
        <f t="shared" ca="1" si="39"/>
        <v>0.62010888206344494</v>
      </c>
      <c r="L54" s="506">
        <f t="shared" ca="1" si="39"/>
        <v>0.62010888206344494</v>
      </c>
      <c r="M54" s="506">
        <f t="shared" ca="1" si="39"/>
        <v>0.62010888206344494</v>
      </c>
      <c r="N54" s="506">
        <f t="shared" ca="1" si="39"/>
        <v>0.62010888206344494</v>
      </c>
      <c r="O54" s="506">
        <f t="shared" ca="1" si="39"/>
        <v>0.62010888206344494</v>
      </c>
      <c r="P54" s="506">
        <f t="shared" ca="1" si="39"/>
        <v>0.62010888206344494</v>
      </c>
      <c r="Q54" s="506">
        <f t="shared" ca="1" si="39"/>
        <v>0.62010888206344494</v>
      </c>
      <c r="R54" s="506">
        <f t="shared" ca="1" si="39"/>
        <v>0.62010888206344494</v>
      </c>
      <c r="S54" s="506">
        <f t="shared" ca="1" si="39"/>
        <v>0.62010888206344494</v>
      </c>
      <c r="T54" s="506">
        <f t="shared" ca="1" si="39"/>
        <v>0.62010888206344494</v>
      </c>
      <c r="U54" s="506">
        <f t="shared" ca="1" si="39"/>
        <v>0.62010888206344494</v>
      </c>
      <c r="V54" s="506">
        <f t="shared" ca="1" si="39"/>
        <v>0.62010888206344494</v>
      </c>
      <c r="W54" s="506">
        <f t="shared" ca="1" si="39"/>
        <v>0.62029999999999996</v>
      </c>
      <c r="X54" s="506">
        <f t="shared" ca="1" si="39"/>
        <v>0.62029999999999996</v>
      </c>
      <c r="Y54" s="506">
        <f t="shared" ca="1" si="39"/>
        <v>0.62029999999999996</v>
      </c>
      <c r="Z54" s="506">
        <f t="shared" ca="1" si="39"/>
        <v>0.62029999999999996</v>
      </c>
      <c r="AA54" s="506">
        <f t="shared" ca="1" si="39"/>
        <v>0.62029999999999996</v>
      </c>
      <c r="AB54" s="506">
        <f t="shared" ca="1" si="39"/>
        <v>0.62029999999999996</v>
      </c>
      <c r="AC54" s="506">
        <f t="shared" ca="1" si="39"/>
        <v>0.62029999999999996</v>
      </c>
      <c r="AD54" s="506">
        <f t="shared" ca="1" si="39"/>
        <v>0.62029999999999996</v>
      </c>
      <c r="AE54" s="506">
        <f t="shared" ca="1" si="39"/>
        <v>0.62029999999999996</v>
      </c>
      <c r="AF54" s="506">
        <f t="shared" ca="1" si="39"/>
        <v>0.62029999999999996</v>
      </c>
      <c r="AG54" s="506">
        <f t="shared" ca="1" si="39"/>
        <v>0.62029999999999996</v>
      </c>
      <c r="AH54" s="509"/>
      <c r="AI54" s="506"/>
      <c r="AJ54" s="506">
        <f ca="1">IF($C$4=Year1,-PMT(Lookups!$E$17,25,NPV(Lookups!$E$17,G54:AE54),0,1),IF($C$4=Year2,-PMT(Lookups!$F$17,25,NPV(Lookups!$F$17,H54:AF54),0,1),IF($C$4=Year3,-PMT(Lookups!$G$17,25,NPV(Lookups!$G$17,I54:AG54),0,1),-PMT(Lookups!$G$17,27,NPV(Lookups!$G$17,G54:AG54),0,1))))</f>
        <v>0.6115279428740048</v>
      </c>
      <c r="AK54" s="507"/>
      <c r="AL54" s="507"/>
      <c r="AM54" s="508">
        <f ca="1">IFERROR(AM40+AM46,0)</f>
        <v>0</v>
      </c>
      <c r="AN54" s="508">
        <f t="shared" ref="AN54:BM54" ca="1" si="40">IFERROR(AN40+AN46,0)</f>
        <v>0.62008137511971573</v>
      </c>
      <c r="AO54" s="508">
        <f t="shared" ca="1" si="40"/>
        <v>0.62008137511971573</v>
      </c>
      <c r="AP54" s="508">
        <f t="shared" ca="1" si="40"/>
        <v>0.62008137511971573</v>
      </c>
      <c r="AQ54" s="508">
        <f t="shared" ca="1" si="40"/>
        <v>0.62008137511971573</v>
      </c>
      <c r="AR54" s="508">
        <f t="shared" ca="1" si="40"/>
        <v>0.62008137511971573</v>
      </c>
      <c r="AS54" s="508">
        <f t="shared" ca="1" si="40"/>
        <v>0.62008137511971573</v>
      </c>
      <c r="AT54" s="508">
        <f t="shared" ca="1" si="40"/>
        <v>0.62008137511971573</v>
      </c>
      <c r="AU54" s="508">
        <f t="shared" ca="1" si="40"/>
        <v>0.62008137511971573</v>
      </c>
      <c r="AV54" s="508">
        <f t="shared" ca="1" si="40"/>
        <v>0.62008137511971573</v>
      </c>
      <c r="AW54" s="508">
        <f t="shared" ca="1" si="40"/>
        <v>0.62008137511971573</v>
      </c>
      <c r="AX54" s="508">
        <f t="shared" ca="1" si="40"/>
        <v>0.62008137511971573</v>
      </c>
      <c r="AY54" s="508">
        <f t="shared" ca="1" si="40"/>
        <v>0.62008137511971573</v>
      </c>
      <c r="AZ54" s="508">
        <f t="shared" ca="1" si="40"/>
        <v>0.62008137511971573</v>
      </c>
      <c r="BA54" s="508">
        <f t="shared" ca="1" si="40"/>
        <v>0.62008137511971573</v>
      </c>
      <c r="BB54" s="508">
        <f t="shared" ca="1" si="40"/>
        <v>0.62008137511971573</v>
      </c>
      <c r="BC54" s="508">
        <f t="shared" ca="1" si="40"/>
        <v>0.62029999999999996</v>
      </c>
      <c r="BD54" s="508">
        <f t="shared" ca="1" si="40"/>
        <v>0.62029999999999996</v>
      </c>
      <c r="BE54" s="508">
        <f t="shared" ca="1" si="40"/>
        <v>0.62029999999999996</v>
      </c>
      <c r="BF54" s="508">
        <f t="shared" ca="1" si="40"/>
        <v>0.62029999999999996</v>
      </c>
      <c r="BG54" s="508">
        <f t="shared" ca="1" si="40"/>
        <v>0.62029999999999996</v>
      </c>
      <c r="BH54" s="508">
        <f t="shared" ca="1" si="40"/>
        <v>0.62029999999999996</v>
      </c>
      <c r="BI54" s="508">
        <f t="shared" ca="1" si="40"/>
        <v>0.62029999999999996</v>
      </c>
      <c r="BJ54" s="508">
        <f t="shared" ca="1" si="40"/>
        <v>0.62029999999999996</v>
      </c>
      <c r="BK54" s="508">
        <f t="shared" ca="1" si="40"/>
        <v>0.62029999999999996</v>
      </c>
      <c r="BL54" s="508">
        <f t="shared" ca="1" si="40"/>
        <v>0.62029999999999996</v>
      </c>
      <c r="BM54" s="508">
        <f t="shared" ca="1" si="40"/>
        <v>0.62029999999999996</v>
      </c>
      <c r="BN54" s="508"/>
      <c r="BO54" s="508"/>
      <c r="BP54" s="508">
        <f ca="1">IF($C$4=Year1,-PMT(Lookups!$E$17,25,NPV(Lookups!$E$17,AM54:BK54),0,1),IF($C$4=Year2,-PMT(Lookups!$F$17,25,NPV(Lookups!$F$17,AN54:BL54),0,1),IF($C$4=Year3,-PMT(Lookups!$G$17,25,NPV(Lookups!$G$17,AO54:BM54),0,1),-PMT(Lookups!$G$17,27,NPV(Lookups!$G$17,AM54:BM54),0,1))))</f>
        <v>0.61151054219234868</v>
      </c>
      <c r="BS54" s="86" t="s">
        <v>236</v>
      </c>
      <c r="BT54" s="51" t="s">
        <v>17</v>
      </c>
    </row>
    <row r="55" spans="1:72" x14ac:dyDescent="0.25">
      <c r="B55" s="243" t="str">
        <f t="shared" si="23"/>
        <v>Residential</v>
      </c>
      <c r="C55" s="243" t="str">
        <f t="shared" si="23"/>
        <v>Rates</v>
      </c>
      <c r="D55" s="244" t="str">
        <f t="shared" si="23"/>
        <v>Rates after DSM Scenario</v>
      </c>
      <c r="E55" s="84" t="s">
        <v>406</v>
      </c>
      <c r="F55" s="84" t="s">
        <v>182</v>
      </c>
      <c r="G55" s="509">
        <f ca="1">G49</f>
        <v>0</v>
      </c>
      <c r="H55" s="509">
        <f t="shared" ref="H55:AG55" ca="1" si="41">H49</f>
        <v>6.6654138295917709E-2</v>
      </c>
      <c r="I55" s="509">
        <f t="shared" ca="1" si="41"/>
        <v>0</v>
      </c>
      <c r="J55" s="509">
        <f t="shared" ca="1" si="41"/>
        <v>0</v>
      </c>
      <c r="K55" s="509">
        <f t="shared" ca="1" si="41"/>
        <v>0</v>
      </c>
      <c r="L55" s="509">
        <f t="shared" ca="1" si="41"/>
        <v>0</v>
      </c>
      <c r="M55" s="509">
        <f t="shared" ca="1" si="41"/>
        <v>0</v>
      </c>
      <c r="N55" s="509">
        <f t="shared" ca="1" si="41"/>
        <v>0</v>
      </c>
      <c r="O55" s="509">
        <f t="shared" ca="1" si="41"/>
        <v>0</v>
      </c>
      <c r="P55" s="509">
        <f t="shared" ca="1" si="41"/>
        <v>0</v>
      </c>
      <c r="Q55" s="509">
        <f t="shared" ca="1" si="41"/>
        <v>0</v>
      </c>
      <c r="R55" s="509">
        <f t="shared" ca="1" si="41"/>
        <v>0</v>
      </c>
      <c r="S55" s="509">
        <f t="shared" ca="1" si="41"/>
        <v>0</v>
      </c>
      <c r="T55" s="509">
        <f t="shared" ca="1" si="41"/>
        <v>0</v>
      </c>
      <c r="U55" s="509">
        <f t="shared" ca="1" si="41"/>
        <v>0</v>
      </c>
      <c r="V55" s="509">
        <f t="shared" ca="1" si="41"/>
        <v>0</v>
      </c>
      <c r="W55" s="509">
        <f t="shared" ca="1" si="41"/>
        <v>0</v>
      </c>
      <c r="X55" s="509">
        <f t="shared" ca="1" si="41"/>
        <v>0</v>
      </c>
      <c r="Y55" s="509">
        <f t="shared" ca="1" si="41"/>
        <v>0</v>
      </c>
      <c r="Z55" s="509">
        <f t="shared" ca="1" si="41"/>
        <v>0</v>
      </c>
      <c r="AA55" s="509">
        <f t="shared" ca="1" si="41"/>
        <v>0</v>
      </c>
      <c r="AB55" s="509">
        <f t="shared" ca="1" si="41"/>
        <v>0</v>
      </c>
      <c r="AC55" s="509">
        <f t="shared" ca="1" si="41"/>
        <v>0</v>
      </c>
      <c r="AD55" s="509">
        <f t="shared" ca="1" si="41"/>
        <v>0</v>
      </c>
      <c r="AE55" s="509">
        <f t="shared" ca="1" si="41"/>
        <v>0</v>
      </c>
      <c r="AF55" s="509">
        <f t="shared" ca="1" si="41"/>
        <v>0</v>
      </c>
      <c r="AG55" s="509">
        <f t="shared" ca="1" si="41"/>
        <v>0</v>
      </c>
      <c r="AH55" s="509"/>
      <c r="AI55" s="509"/>
      <c r="AJ55" s="506">
        <f ca="1">IF($C$4=Year1,-PMT(Lookups!$E$17,25,NPV(Lookups!$E$17,G55:AE55),0,1),IF($C$4=Year2,-PMT(Lookups!$F$17,25,NPV(Lookups!$F$17,H55:AF55),0,1),IF($C$4=Year3,-PMT(Lookups!$G$17,25,NPV(Lookups!$G$17,I55:AG55),0,1),-PMT(Lookups!$G$17,27,NPV(Lookups!$G$17,G55:AG55),0,1))))</f>
        <v>3.0956928586426007E-3</v>
      </c>
      <c r="AK55" s="507"/>
      <c r="AL55" s="507"/>
      <c r="AM55" s="508">
        <f ca="1">AM49</f>
        <v>0</v>
      </c>
      <c r="AN55" s="508">
        <f t="shared" ref="AN55:BM55" ca="1" si="42">AN49</f>
        <v>7.9984965955101253E-2</v>
      </c>
      <c r="AO55" s="508">
        <f t="shared" ca="1" si="42"/>
        <v>0</v>
      </c>
      <c r="AP55" s="508">
        <f t="shared" ca="1" si="42"/>
        <v>0</v>
      </c>
      <c r="AQ55" s="508">
        <f t="shared" ca="1" si="42"/>
        <v>0</v>
      </c>
      <c r="AR55" s="508">
        <f t="shared" ca="1" si="42"/>
        <v>0</v>
      </c>
      <c r="AS55" s="508">
        <f t="shared" ca="1" si="42"/>
        <v>0</v>
      </c>
      <c r="AT55" s="508">
        <f t="shared" ca="1" si="42"/>
        <v>0</v>
      </c>
      <c r="AU55" s="508">
        <f t="shared" ca="1" si="42"/>
        <v>0</v>
      </c>
      <c r="AV55" s="508">
        <f t="shared" ca="1" si="42"/>
        <v>0</v>
      </c>
      <c r="AW55" s="508">
        <f t="shared" ca="1" si="42"/>
        <v>0</v>
      </c>
      <c r="AX55" s="508">
        <f t="shared" ca="1" si="42"/>
        <v>0</v>
      </c>
      <c r="AY55" s="508">
        <f t="shared" ca="1" si="42"/>
        <v>0</v>
      </c>
      <c r="AZ55" s="508">
        <f t="shared" ca="1" si="42"/>
        <v>0</v>
      </c>
      <c r="BA55" s="508">
        <f t="shared" ca="1" si="42"/>
        <v>0</v>
      </c>
      <c r="BB55" s="508">
        <f t="shared" ca="1" si="42"/>
        <v>0</v>
      </c>
      <c r="BC55" s="508">
        <f t="shared" ca="1" si="42"/>
        <v>0</v>
      </c>
      <c r="BD55" s="508">
        <f t="shared" ca="1" si="42"/>
        <v>0</v>
      </c>
      <c r="BE55" s="508">
        <f t="shared" ca="1" si="42"/>
        <v>0</v>
      </c>
      <c r="BF55" s="508">
        <f t="shared" ca="1" si="42"/>
        <v>0</v>
      </c>
      <c r="BG55" s="508">
        <f t="shared" ca="1" si="42"/>
        <v>0</v>
      </c>
      <c r="BH55" s="508">
        <f t="shared" ca="1" si="42"/>
        <v>0</v>
      </c>
      <c r="BI55" s="508">
        <f t="shared" ca="1" si="42"/>
        <v>0</v>
      </c>
      <c r="BJ55" s="508">
        <f t="shared" ca="1" si="42"/>
        <v>0</v>
      </c>
      <c r="BK55" s="508">
        <f t="shared" ca="1" si="42"/>
        <v>0</v>
      </c>
      <c r="BL55" s="508">
        <f t="shared" ca="1" si="42"/>
        <v>0</v>
      </c>
      <c r="BM55" s="508">
        <f t="shared" ca="1" si="42"/>
        <v>0</v>
      </c>
      <c r="BN55" s="508"/>
      <c r="BO55" s="508"/>
      <c r="BP55" s="508">
        <f ca="1">IF($C$4=Year1,-PMT(Lookups!$E$17,25,NPV(Lookups!$E$17,AM55:BK55),0,1),IF($C$4=Year2,-PMT(Lookups!$F$17,25,NPV(Lookups!$F$17,AN55:BL55),0,1),IF($C$4=Year3,-PMT(Lookups!$G$17,25,NPV(Lookups!$G$17,AO55:BM55),0,1),-PMT(Lookups!$G$17,27,NPV(Lookups!$G$17,AM55:BM55),0,1))))</f>
        <v>3.7148314303711212E-3</v>
      </c>
      <c r="BS55" s="84" t="s">
        <v>403</v>
      </c>
      <c r="BT55" s="51" t="s">
        <v>17</v>
      </c>
    </row>
    <row r="56" spans="1:72" x14ac:dyDescent="0.25">
      <c r="B56" s="243" t="str">
        <f>B57</f>
        <v>Residential</v>
      </c>
      <c r="C56" s="243" t="str">
        <f>C57</f>
        <v>Rates</v>
      </c>
      <c r="D56" s="244" t="str">
        <f>D57</f>
        <v>Rates after DSM Scenario</v>
      </c>
      <c r="E56" s="86" t="s">
        <v>75</v>
      </c>
      <c r="F56" s="84" t="s">
        <v>182</v>
      </c>
      <c r="G56" s="506">
        <f>G41</f>
        <v>0</v>
      </c>
      <c r="H56" s="506">
        <f>H41</f>
        <v>0.2233803664496018</v>
      </c>
      <c r="I56" s="506">
        <f t="shared" ref="I56:AG56" si="43">I41</f>
        <v>0.2233803664496018</v>
      </c>
      <c r="J56" s="506">
        <f t="shared" si="43"/>
        <v>0.2233803664496018</v>
      </c>
      <c r="K56" s="506">
        <f t="shared" si="43"/>
        <v>0.2233803664496018</v>
      </c>
      <c r="L56" s="506">
        <f t="shared" si="43"/>
        <v>0.2233803664496018</v>
      </c>
      <c r="M56" s="506">
        <f t="shared" si="43"/>
        <v>0.2233803664496018</v>
      </c>
      <c r="N56" s="506">
        <f t="shared" si="43"/>
        <v>0.2233803664496018</v>
      </c>
      <c r="O56" s="506">
        <f t="shared" si="43"/>
        <v>0.2233803664496018</v>
      </c>
      <c r="P56" s="506">
        <f t="shared" si="43"/>
        <v>0.2233803664496018</v>
      </c>
      <c r="Q56" s="506">
        <f t="shared" si="43"/>
        <v>0.2233803664496018</v>
      </c>
      <c r="R56" s="506">
        <f t="shared" si="43"/>
        <v>0.2233803664496018</v>
      </c>
      <c r="S56" s="506">
        <f t="shared" si="43"/>
        <v>0.2233803664496018</v>
      </c>
      <c r="T56" s="506">
        <f t="shared" si="43"/>
        <v>0.2233803664496018</v>
      </c>
      <c r="U56" s="506">
        <f t="shared" si="43"/>
        <v>0.2233803664496018</v>
      </c>
      <c r="V56" s="506">
        <f t="shared" si="43"/>
        <v>0.2233803664496018</v>
      </c>
      <c r="W56" s="506">
        <f t="shared" si="43"/>
        <v>0.2233803664496018</v>
      </c>
      <c r="X56" s="506">
        <f t="shared" si="43"/>
        <v>0.2233803664496018</v>
      </c>
      <c r="Y56" s="506">
        <f t="shared" si="43"/>
        <v>0.2233803664496018</v>
      </c>
      <c r="Z56" s="506">
        <f t="shared" si="43"/>
        <v>0.2233803664496018</v>
      </c>
      <c r="AA56" s="506">
        <f t="shared" si="43"/>
        <v>0.2233803664496018</v>
      </c>
      <c r="AB56" s="506">
        <f t="shared" si="43"/>
        <v>0.2233803664496018</v>
      </c>
      <c r="AC56" s="506">
        <f t="shared" si="43"/>
        <v>0.2233803664496018</v>
      </c>
      <c r="AD56" s="506">
        <f t="shared" si="43"/>
        <v>0.2233803664496018</v>
      </c>
      <c r="AE56" s="506">
        <f t="shared" si="43"/>
        <v>0.2233803664496018</v>
      </c>
      <c r="AF56" s="506">
        <f t="shared" si="43"/>
        <v>0.2233803664496018</v>
      </c>
      <c r="AG56" s="506">
        <f t="shared" si="43"/>
        <v>0.2233803664496018</v>
      </c>
      <c r="AH56" s="506"/>
      <c r="AI56" s="506"/>
      <c r="AJ56" s="506">
        <f>IF($C$4=Year1,-PMT(Lookups!$E$17,25,NPV(Lookups!$E$17,G56:AE56),0,1),IF($C$4=Year2,-PMT(Lookups!$F$17,25,NPV(Lookups!$F$17,H56:AF56),0,1),IF($C$4=Year3,-PMT(Lookups!$G$17,25,NPV(Lookups!$G$17,I56:AG56),0,1),-PMT(Lookups!$G$17,27,NPV(Lookups!$G$17,G56:AG56),0,1))))</f>
        <v>0.22026494051558318</v>
      </c>
      <c r="AK56" s="507"/>
      <c r="AL56" s="507"/>
      <c r="AM56" s="508">
        <f>AM41</f>
        <v>0</v>
      </c>
      <c r="AN56" s="508">
        <f t="shared" ref="AN56:BM56" si="44">AN41</f>
        <v>0.2233803664496018</v>
      </c>
      <c r="AO56" s="508">
        <f t="shared" si="44"/>
        <v>0.2233803664496018</v>
      </c>
      <c r="AP56" s="508">
        <f t="shared" si="44"/>
        <v>0.2233803664496018</v>
      </c>
      <c r="AQ56" s="508">
        <f t="shared" si="44"/>
        <v>0.2233803664496018</v>
      </c>
      <c r="AR56" s="508">
        <f t="shared" si="44"/>
        <v>0.2233803664496018</v>
      </c>
      <c r="AS56" s="508">
        <f t="shared" si="44"/>
        <v>0.2233803664496018</v>
      </c>
      <c r="AT56" s="508">
        <f t="shared" si="44"/>
        <v>0.2233803664496018</v>
      </c>
      <c r="AU56" s="508">
        <f t="shared" si="44"/>
        <v>0.2233803664496018</v>
      </c>
      <c r="AV56" s="508">
        <f t="shared" si="44"/>
        <v>0.2233803664496018</v>
      </c>
      <c r="AW56" s="508">
        <f t="shared" si="44"/>
        <v>0.2233803664496018</v>
      </c>
      <c r="AX56" s="508">
        <f t="shared" si="44"/>
        <v>0.2233803664496018</v>
      </c>
      <c r="AY56" s="508">
        <f t="shared" si="44"/>
        <v>0.2233803664496018</v>
      </c>
      <c r="AZ56" s="508">
        <f t="shared" si="44"/>
        <v>0.2233803664496018</v>
      </c>
      <c r="BA56" s="508">
        <f t="shared" si="44"/>
        <v>0.2233803664496018</v>
      </c>
      <c r="BB56" s="508">
        <f t="shared" si="44"/>
        <v>0.2233803664496018</v>
      </c>
      <c r="BC56" s="508">
        <f t="shared" si="44"/>
        <v>0.2233803664496018</v>
      </c>
      <c r="BD56" s="508">
        <f t="shared" si="44"/>
        <v>0.2233803664496018</v>
      </c>
      <c r="BE56" s="508">
        <f t="shared" si="44"/>
        <v>0.2233803664496018</v>
      </c>
      <c r="BF56" s="508">
        <f t="shared" si="44"/>
        <v>0.2233803664496018</v>
      </c>
      <c r="BG56" s="508">
        <f t="shared" si="44"/>
        <v>0.2233803664496018</v>
      </c>
      <c r="BH56" s="508">
        <f t="shared" si="44"/>
        <v>0.2233803664496018</v>
      </c>
      <c r="BI56" s="508">
        <f t="shared" si="44"/>
        <v>0.2233803664496018</v>
      </c>
      <c r="BJ56" s="508">
        <f t="shared" si="44"/>
        <v>0.2233803664496018</v>
      </c>
      <c r="BK56" s="508">
        <f t="shared" si="44"/>
        <v>0.2233803664496018</v>
      </c>
      <c r="BL56" s="508">
        <f t="shared" si="44"/>
        <v>0.2233803664496018</v>
      </c>
      <c r="BM56" s="508">
        <f t="shared" si="44"/>
        <v>0.2233803664496018</v>
      </c>
      <c r="BN56" s="508"/>
      <c r="BO56" s="508"/>
      <c r="BP56" s="508">
        <f>IF($C$4=Year1,-PMT(Lookups!$E$17,25,NPV(Lookups!$E$17,AM56:BK56),0,1),IF($C$4=Year2,-PMT(Lookups!$F$17,25,NPV(Lookups!$F$17,AN56:BL56),0,1),IF($C$4=Year3,-PMT(Lookups!$G$17,25,NPV(Lookups!$G$17,AO56:BM56),0,1),-PMT(Lookups!$G$17,27,NPV(Lookups!$G$17,AM56:BM56),0,1))))</f>
        <v>0.22026494051558318</v>
      </c>
      <c r="BS56" s="84" t="s">
        <v>171</v>
      </c>
      <c r="BT56" s="51" t="s">
        <v>17</v>
      </c>
    </row>
    <row r="57" spans="1:72" x14ac:dyDescent="0.25">
      <c r="B57" s="243" t="str">
        <f>B55</f>
        <v>Residential</v>
      </c>
      <c r="C57" s="243" t="str">
        <f>C55</f>
        <v>Rates</v>
      </c>
      <c r="D57" s="244" t="str">
        <f>D55</f>
        <v>Rates after DSM Scenario</v>
      </c>
      <c r="E57" s="84" t="s">
        <v>76</v>
      </c>
      <c r="F57" s="84" t="s">
        <v>182</v>
      </c>
      <c r="G57" s="506">
        <f ca="1">SUM(G52:G56)</f>
        <v>0</v>
      </c>
      <c r="H57" s="506">
        <f ca="1">SUM(H52:H56)</f>
        <v>1.4371634735440657</v>
      </c>
      <c r="I57" s="506">
        <f t="shared" ref="I57:AG57" ca="1" si="45">SUM(I52:I56)</f>
        <v>1.3705093352481481</v>
      </c>
      <c r="J57" s="506">
        <f t="shared" ca="1" si="45"/>
        <v>1.3705093352481481</v>
      </c>
      <c r="K57" s="506">
        <f t="shared" ca="1" si="45"/>
        <v>1.3705093352481481</v>
      </c>
      <c r="L57" s="506">
        <f t="shared" ca="1" si="45"/>
        <v>1.3705093352481481</v>
      </c>
      <c r="M57" s="506">
        <f t="shared" ca="1" si="45"/>
        <v>1.3705093352481481</v>
      </c>
      <c r="N57" s="506">
        <f t="shared" ca="1" si="45"/>
        <v>1.3705093352481481</v>
      </c>
      <c r="O57" s="506">
        <f t="shared" ca="1" si="45"/>
        <v>1.3705093352481481</v>
      </c>
      <c r="P57" s="506">
        <f t="shared" ca="1" si="45"/>
        <v>1.3705093352481481</v>
      </c>
      <c r="Q57" s="506">
        <f t="shared" ca="1" si="45"/>
        <v>1.3705093352481481</v>
      </c>
      <c r="R57" s="506">
        <f t="shared" ca="1" si="45"/>
        <v>1.3705093352481481</v>
      </c>
      <c r="S57" s="506">
        <f t="shared" ca="1" si="45"/>
        <v>1.3705093352481481</v>
      </c>
      <c r="T57" s="506">
        <f t="shared" ca="1" si="45"/>
        <v>1.3705093352481481</v>
      </c>
      <c r="U57" s="506">
        <f t="shared" ca="1" si="45"/>
        <v>1.3705093352481481</v>
      </c>
      <c r="V57" s="506">
        <f t="shared" ca="1" si="45"/>
        <v>1.3705093352481481</v>
      </c>
      <c r="W57" s="506">
        <f t="shared" ca="1" si="45"/>
        <v>1.3675803664496016</v>
      </c>
      <c r="X57" s="506">
        <f t="shared" ca="1" si="45"/>
        <v>1.3675803664496016</v>
      </c>
      <c r="Y57" s="506">
        <f t="shared" ca="1" si="45"/>
        <v>1.3675803664496016</v>
      </c>
      <c r="Z57" s="506">
        <f t="shared" ca="1" si="45"/>
        <v>1.3675803664496016</v>
      </c>
      <c r="AA57" s="506">
        <f t="shared" ca="1" si="45"/>
        <v>1.3675803664496016</v>
      </c>
      <c r="AB57" s="506">
        <f t="shared" ca="1" si="45"/>
        <v>1.3675803664496016</v>
      </c>
      <c r="AC57" s="506">
        <f t="shared" ca="1" si="45"/>
        <v>1.3675803664496016</v>
      </c>
      <c r="AD57" s="506">
        <f t="shared" ca="1" si="45"/>
        <v>1.3675803664496016</v>
      </c>
      <c r="AE57" s="506">
        <f t="shared" ca="1" si="45"/>
        <v>1.3675803664496016</v>
      </c>
      <c r="AF57" s="506">
        <f t="shared" ca="1" si="45"/>
        <v>1.3675803664496016</v>
      </c>
      <c r="AG57" s="506">
        <f t="shared" ca="1" si="45"/>
        <v>1.3675803664496016</v>
      </c>
      <c r="AH57" s="506"/>
      <c r="AI57" s="506"/>
      <c r="AJ57" s="506">
        <f ca="1">IF($C$4=Year1,-PMT(Lookups!$E$17,25,NPV(Lookups!$E$17,G57:AE57),0,1),IF($C$4=Year2,-PMT(Lookups!$F$17,25,NPV(Lookups!$F$17,H57:AF57),0,1),IF($C$4=Year3,-PMT(Lookups!$G$17,25,NPV(Lookups!$G$17,I57:AG57),0,1),-PMT(Lookups!$G$17,27,NPV(Lookups!$G$17,G57:AG57),0,1))))</f>
        <v>1.3534556266953859</v>
      </c>
      <c r="AK57" s="507"/>
      <c r="AL57" s="507"/>
      <c r="AM57" s="508">
        <f ca="1">SUM(AM52:AM56)</f>
        <v>0</v>
      </c>
      <c r="AN57" s="508">
        <f ca="1">SUM(AN52:AN56)</f>
        <v>1.4509158575541519</v>
      </c>
      <c r="AO57" s="508">
        <f t="shared" ref="AO57:BM57" ca="1" si="46">SUM(AO52:AO56)</f>
        <v>1.3709308915990506</v>
      </c>
      <c r="AP57" s="508">
        <f t="shared" ca="1" si="46"/>
        <v>1.3709308915990506</v>
      </c>
      <c r="AQ57" s="508">
        <f t="shared" ca="1" si="46"/>
        <v>1.3709308915990506</v>
      </c>
      <c r="AR57" s="508">
        <f t="shared" ca="1" si="46"/>
        <v>1.3709308915990506</v>
      </c>
      <c r="AS57" s="508">
        <f t="shared" ca="1" si="46"/>
        <v>1.3709308915990506</v>
      </c>
      <c r="AT57" s="508">
        <f t="shared" ca="1" si="46"/>
        <v>1.3709308915990506</v>
      </c>
      <c r="AU57" s="508">
        <f t="shared" ca="1" si="46"/>
        <v>1.3709308915990506</v>
      </c>
      <c r="AV57" s="508">
        <f t="shared" ca="1" si="46"/>
        <v>1.3709308915990506</v>
      </c>
      <c r="AW57" s="508">
        <f t="shared" ca="1" si="46"/>
        <v>1.3709308915990506</v>
      </c>
      <c r="AX57" s="508">
        <f t="shared" ca="1" si="46"/>
        <v>1.3709308915990506</v>
      </c>
      <c r="AY57" s="508">
        <f t="shared" ca="1" si="46"/>
        <v>1.3709308915990506</v>
      </c>
      <c r="AZ57" s="508">
        <f t="shared" ca="1" si="46"/>
        <v>1.3709308915990506</v>
      </c>
      <c r="BA57" s="508">
        <f t="shared" ca="1" si="46"/>
        <v>1.3709308915990506</v>
      </c>
      <c r="BB57" s="508">
        <f t="shared" ca="1" si="46"/>
        <v>1.3709308915990506</v>
      </c>
      <c r="BC57" s="508">
        <f t="shared" ca="1" si="46"/>
        <v>1.3675803664496016</v>
      </c>
      <c r="BD57" s="508">
        <f t="shared" ca="1" si="46"/>
        <v>1.3675803664496016</v>
      </c>
      <c r="BE57" s="508">
        <f t="shared" ca="1" si="46"/>
        <v>1.3675803664496016</v>
      </c>
      <c r="BF57" s="508">
        <f t="shared" ca="1" si="46"/>
        <v>1.3675803664496016</v>
      </c>
      <c r="BG57" s="508">
        <f t="shared" ca="1" si="46"/>
        <v>1.3675803664496016</v>
      </c>
      <c r="BH57" s="508">
        <f t="shared" ca="1" si="46"/>
        <v>1.3675803664496016</v>
      </c>
      <c r="BI57" s="508">
        <f t="shared" ca="1" si="46"/>
        <v>1.3675803664496016</v>
      </c>
      <c r="BJ57" s="508">
        <f t="shared" ca="1" si="46"/>
        <v>1.3675803664496016</v>
      </c>
      <c r="BK57" s="508">
        <f t="shared" ca="1" si="46"/>
        <v>1.3675803664496016</v>
      </c>
      <c r="BL57" s="508">
        <f t="shared" ca="1" si="46"/>
        <v>1.3675803664496016</v>
      </c>
      <c r="BM57" s="508">
        <f t="shared" ca="1" si="46"/>
        <v>1.3675803664496016</v>
      </c>
      <c r="BN57" s="508"/>
      <c r="BO57" s="508"/>
      <c r="BP57" s="508">
        <f ca="1">IF($C$4=Year1,-PMT(Lookups!$E$17,25,NPV(Lookups!$E$17,AM57:BK57),0,1),IF($C$4=Year2,-PMT(Lookups!$F$17,25,NPV(Lookups!$F$17,AN57:BL57),0,1),IF($C$4=Year3,-PMT(Lookups!$G$17,25,NPV(Lookups!$G$17,AO57:BM57),0,1),-PMT(Lookups!$G$17,27,NPV(Lookups!$G$17,AM57:BM57),0,1))))</f>
        <v>1.3543414385818369</v>
      </c>
      <c r="BS57" s="84" t="s">
        <v>235</v>
      </c>
      <c r="BT57" s="51" t="s">
        <v>17</v>
      </c>
    </row>
    <row r="58" spans="1:72" x14ac:dyDescent="0.25">
      <c r="B58" s="243" t="str">
        <f>B56</f>
        <v>Residential</v>
      </c>
      <c r="C58" s="243" t="str">
        <f>C56</f>
        <v>Rates</v>
      </c>
      <c r="D58" s="114" t="s">
        <v>114</v>
      </c>
      <c r="E58" s="84"/>
      <c r="F58" s="84"/>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49"/>
      <c r="AI58" s="109"/>
      <c r="AJ58" s="506"/>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S58" s="84"/>
      <c r="BT58" s="51" t="s">
        <v>17</v>
      </c>
    </row>
    <row r="59" spans="1:72" x14ac:dyDescent="0.25">
      <c r="B59" s="243" t="str">
        <f t="shared" si="23"/>
        <v>Residential</v>
      </c>
      <c r="C59" s="243" t="str">
        <f t="shared" si="23"/>
        <v>Rates</v>
      </c>
      <c r="D59" s="244" t="str">
        <f t="shared" si="23"/>
        <v>Change in Rates after DSM Scenario</v>
      </c>
      <c r="E59" s="84" t="s">
        <v>76</v>
      </c>
      <c r="F59" s="84" t="s">
        <v>182</v>
      </c>
      <c r="G59" s="510">
        <f ca="1">G57-G42</f>
        <v>0</v>
      </c>
      <c r="H59" s="510">
        <f ca="1">H57-H42</f>
        <v>6.9583107094464136E-2</v>
      </c>
      <c r="I59" s="510">
        <f t="shared" ref="I59:AG59" ca="1" si="47">I57-I42</f>
        <v>2.9289687985465385E-3</v>
      </c>
      <c r="J59" s="510">
        <f t="shared" ca="1" si="47"/>
        <v>2.9289687985465385E-3</v>
      </c>
      <c r="K59" s="510">
        <f t="shared" ca="1" si="47"/>
        <v>2.9289687985465385E-3</v>
      </c>
      <c r="L59" s="510">
        <f t="shared" ca="1" si="47"/>
        <v>2.9289687985465385E-3</v>
      </c>
      <c r="M59" s="510">
        <f t="shared" ca="1" si="47"/>
        <v>2.9289687985465385E-3</v>
      </c>
      <c r="N59" s="510">
        <f t="shared" ca="1" si="47"/>
        <v>2.9289687985465385E-3</v>
      </c>
      <c r="O59" s="510">
        <f t="shared" ca="1" si="47"/>
        <v>2.9289687985465385E-3</v>
      </c>
      <c r="P59" s="510">
        <f t="shared" ca="1" si="47"/>
        <v>2.9289687985465385E-3</v>
      </c>
      <c r="Q59" s="510">
        <f t="shared" ca="1" si="47"/>
        <v>2.9289687985465385E-3</v>
      </c>
      <c r="R59" s="510">
        <f t="shared" ca="1" si="47"/>
        <v>2.9289687985465385E-3</v>
      </c>
      <c r="S59" s="510">
        <f t="shared" ca="1" si="47"/>
        <v>2.9289687985465385E-3</v>
      </c>
      <c r="T59" s="510">
        <f t="shared" ca="1" si="47"/>
        <v>2.9289687985465385E-3</v>
      </c>
      <c r="U59" s="510">
        <f t="shared" ca="1" si="47"/>
        <v>2.9289687985465385E-3</v>
      </c>
      <c r="V59" s="510">
        <f t="shared" ca="1" si="47"/>
        <v>2.9289687985465385E-3</v>
      </c>
      <c r="W59" s="510">
        <f t="shared" ca="1" si="47"/>
        <v>0</v>
      </c>
      <c r="X59" s="510">
        <f t="shared" ca="1" si="47"/>
        <v>0</v>
      </c>
      <c r="Y59" s="510">
        <f t="shared" ca="1" si="47"/>
        <v>0</v>
      </c>
      <c r="Z59" s="510">
        <f t="shared" ca="1" si="47"/>
        <v>0</v>
      </c>
      <c r="AA59" s="510">
        <f t="shared" ca="1" si="47"/>
        <v>0</v>
      </c>
      <c r="AB59" s="510">
        <f t="shared" ca="1" si="47"/>
        <v>0</v>
      </c>
      <c r="AC59" s="510">
        <f t="shared" ca="1" si="47"/>
        <v>0</v>
      </c>
      <c r="AD59" s="510">
        <f t="shared" ca="1" si="47"/>
        <v>0</v>
      </c>
      <c r="AE59" s="510">
        <f t="shared" ca="1" si="47"/>
        <v>0</v>
      </c>
      <c r="AF59" s="510">
        <f t="shared" ca="1" si="47"/>
        <v>0</v>
      </c>
      <c r="AG59" s="510">
        <f t="shared" ca="1" si="47"/>
        <v>0</v>
      </c>
      <c r="AH59" s="510"/>
      <c r="AI59" s="510"/>
      <c r="AJ59" s="506">
        <f ca="1">IF($C$4=Year1,-PMT(Lookups!$E$17,25,NPV(Lookups!$E$17,G59:AE59),0,1),IF($C$4=Year2,-PMT(Lookups!$F$17,25,NPV(Lookups!$F$17,H59:AF59),0,1),IF($C$4=Year3,-PMT(Lookups!$G$17,25,NPV(Lookups!$G$17,I59:AG59),0,1),-PMT(Lookups!$G$17,27,NPV(Lookups!$G$17,G59:AG59),0,1))))</f>
        <v>4.9485360587376223E-3</v>
      </c>
      <c r="AK59" s="507"/>
      <c r="AL59" s="507"/>
      <c r="AM59" s="508">
        <f ca="1">AM57-AM42</f>
        <v>0</v>
      </c>
      <c r="AN59" s="508">
        <f ca="1">AN57-AN42</f>
        <v>8.3335491104550297E-2</v>
      </c>
      <c r="AO59" s="508">
        <f t="shared" ref="AO59:BM59" ca="1" si="48">AO57-AO42</f>
        <v>3.3505251494490018E-3</v>
      </c>
      <c r="AP59" s="508">
        <f t="shared" ca="1" si="48"/>
        <v>3.3505251494490018E-3</v>
      </c>
      <c r="AQ59" s="508">
        <f t="shared" ca="1" si="48"/>
        <v>3.3505251494490018E-3</v>
      </c>
      <c r="AR59" s="508">
        <f t="shared" ca="1" si="48"/>
        <v>3.3505251494490018E-3</v>
      </c>
      <c r="AS59" s="508">
        <f t="shared" ca="1" si="48"/>
        <v>3.3505251494490018E-3</v>
      </c>
      <c r="AT59" s="508">
        <f t="shared" ca="1" si="48"/>
        <v>3.3505251494490018E-3</v>
      </c>
      <c r="AU59" s="508">
        <f t="shared" ca="1" si="48"/>
        <v>3.3505251494490018E-3</v>
      </c>
      <c r="AV59" s="508">
        <f t="shared" ca="1" si="48"/>
        <v>3.3505251494490018E-3</v>
      </c>
      <c r="AW59" s="508">
        <f t="shared" ca="1" si="48"/>
        <v>3.3505251494490018E-3</v>
      </c>
      <c r="AX59" s="508">
        <f t="shared" ca="1" si="48"/>
        <v>3.3505251494490018E-3</v>
      </c>
      <c r="AY59" s="508">
        <f t="shared" ca="1" si="48"/>
        <v>3.3505251494490018E-3</v>
      </c>
      <c r="AZ59" s="508">
        <f t="shared" ca="1" si="48"/>
        <v>3.3505251494490018E-3</v>
      </c>
      <c r="BA59" s="508">
        <f t="shared" ca="1" si="48"/>
        <v>3.3505251494490018E-3</v>
      </c>
      <c r="BB59" s="508">
        <f t="shared" ca="1" si="48"/>
        <v>3.3505251494490018E-3</v>
      </c>
      <c r="BC59" s="508">
        <f t="shared" ca="1" si="48"/>
        <v>0</v>
      </c>
      <c r="BD59" s="508">
        <f t="shared" ca="1" si="48"/>
        <v>0</v>
      </c>
      <c r="BE59" s="508">
        <f t="shared" ca="1" si="48"/>
        <v>0</v>
      </c>
      <c r="BF59" s="508">
        <f t="shared" ca="1" si="48"/>
        <v>0</v>
      </c>
      <c r="BG59" s="508">
        <f t="shared" ca="1" si="48"/>
        <v>0</v>
      </c>
      <c r="BH59" s="508">
        <f t="shared" ca="1" si="48"/>
        <v>0</v>
      </c>
      <c r="BI59" s="508">
        <f t="shared" ca="1" si="48"/>
        <v>0</v>
      </c>
      <c r="BJ59" s="508">
        <f t="shared" ca="1" si="48"/>
        <v>0</v>
      </c>
      <c r="BK59" s="508">
        <f t="shared" ca="1" si="48"/>
        <v>0</v>
      </c>
      <c r="BL59" s="508">
        <f t="shared" ca="1" si="48"/>
        <v>0</v>
      </c>
      <c r="BM59" s="508">
        <f t="shared" ca="1" si="48"/>
        <v>0</v>
      </c>
      <c r="BN59" s="508"/>
      <c r="BO59" s="508"/>
      <c r="BP59" s="508">
        <f ca="1">IF($C$4=Year1,-PMT(Lookups!$E$17,25,NPV(Lookups!$E$17,AM59:BK59),0,1),IF($C$4=Year2,-PMT(Lookups!$F$17,25,NPV(Lookups!$F$17,AN59:BL59),0,1),IF($C$4=Year3,-PMT(Lookups!$G$17,25,NPV(Lookups!$G$17,AO59:BM59),0,1),-PMT(Lookups!$G$17,27,NPV(Lookups!$G$17,AM59:BM59),0,1))))</f>
        <v>5.8343479451884173E-3</v>
      </c>
      <c r="BS59" s="84" t="s">
        <v>233</v>
      </c>
      <c r="BT59" s="51" t="s">
        <v>17</v>
      </c>
    </row>
    <row r="60" spans="1:72" x14ac:dyDescent="0.25">
      <c r="B60" s="243" t="str">
        <f t="shared" ref="B60:D75" si="49">B59</f>
        <v>Residential</v>
      </c>
      <c r="C60" s="243" t="str">
        <f t="shared" si="49"/>
        <v>Rates</v>
      </c>
      <c r="D60" s="244" t="str">
        <f t="shared" si="49"/>
        <v>Change in Rates after DSM Scenario</v>
      </c>
      <c r="E60" s="84" t="s">
        <v>76</v>
      </c>
      <c r="F60" s="84" t="s">
        <v>16</v>
      </c>
      <c r="G60" s="224">
        <f ca="1">IFERROR(G57/G42-1,0)</f>
        <v>0</v>
      </c>
      <c r="H60" s="224">
        <f ca="1">IFERROR(H57/H42-1,0)</f>
        <v>5.0880451929205428E-2</v>
      </c>
      <c r="I60" s="224">
        <f t="shared" ref="I60:AF60" ca="1" si="50">IFERROR(I57/I42-1,0)</f>
        <v>2.1417160339545216E-3</v>
      </c>
      <c r="J60" s="224">
        <f t="shared" ca="1" si="50"/>
        <v>2.1417160339545216E-3</v>
      </c>
      <c r="K60" s="224">
        <f t="shared" ca="1" si="50"/>
        <v>2.1417160339545216E-3</v>
      </c>
      <c r="L60" s="224">
        <f t="shared" ca="1" si="50"/>
        <v>2.1417160339545216E-3</v>
      </c>
      <c r="M60" s="224">
        <f t="shared" ca="1" si="50"/>
        <v>2.1417160339545216E-3</v>
      </c>
      <c r="N60" s="224">
        <f t="shared" ca="1" si="50"/>
        <v>2.1417160339545216E-3</v>
      </c>
      <c r="O60" s="224">
        <f t="shared" ca="1" si="50"/>
        <v>2.1417160339545216E-3</v>
      </c>
      <c r="P60" s="224">
        <f t="shared" ca="1" si="50"/>
        <v>2.1417160339545216E-3</v>
      </c>
      <c r="Q60" s="224">
        <f t="shared" ca="1" si="50"/>
        <v>2.1417160339545216E-3</v>
      </c>
      <c r="R60" s="224">
        <f t="shared" ca="1" si="50"/>
        <v>2.1417160339545216E-3</v>
      </c>
      <c r="S60" s="224">
        <f t="shared" ca="1" si="50"/>
        <v>2.1417160339545216E-3</v>
      </c>
      <c r="T60" s="224">
        <f t="shared" ca="1" si="50"/>
        <v>2.1417160339545216E-3</v>
      </c>
      <c r="U60" s="224">
        <f t="shared" ca="1" si="50"/>
        <v>2.1417160339545216E-3</v>
      </c>
      <c r="V60" s="224">
        <f t="shared" ca="1" si="50"/>
        <v>2.1417160339545216E-3</v>
      </c>
      <c r="W60" s="224">
        <f t="shared" ca="1" si="50"/>
        <v>0</v>
      </c>
      <c r="X60" s="224">
        <f t="shared" ca="1" si="50"/>
        <v>0</v>
      </c>
      <c r="Y60" s="224">
        <f t="shared" ca="1" si="50"/>
        <v>0</v>
      </c>
      <c r="Z60" s="224">
        <f t="shared" ca="1" si="50"/>
        <v>0</v>
      </c>
      <c r="AA60" s="224">
        <f t="shared" ca="1" si="50"/>
        <v>0</v>
      </c>
      <c r="AB60" s="224">
        <f t="shared" ca="1" si="50"/>
        <v>0</v>
      </c>
      <c r="AC60" s="224">
        <f t="shared" ca="1" si="50"/>
        <v>0</v>
      </c>
      <c r="AD60" s="224">
        <f t="shared" ca="1" si="50"/>
        <v>0</v>
      </c>
      <c r="AE60" s="224">
        <f t="shared" ca="1" si="50"/>
        <v>0</v>
      </c>
      <c r="AF60" s="224">
        <f t="shared" ca="1" si="50"/>
        <v>0</v>
      </c>
      <c r="AG60" s="224">
        <f ca="1">IFERROR(AG57/AG42-1,0)</f>
        <v>0</v>
      </c>
      <c r="AH60" s="224"/>
      <c r="AI60" s="224"/>
      <c r="AJ60" s="224">
        <f ca="1">IFERROR(AJ57/AJ42-1,0)</f>
        <v>3.6696403697822344E-3</v>
      </c>
      <c r="AK60" s="212"/>
      <c r="AL60" s="212"/>
      <c r="AM60" s="504">
        <f ca="1">IFERROR(AM57/AM42-1,0)</f>
        <v>0</v>
      </c>
      <c r="AN60" s="504">
        <f t="shared" ref="AN60:BM60" ca="1" si="51">IFERROR(AN57/AN42-1,0)</f>
        <v>6.0936448891043105E-2</v>
      </c>
      <c r="AO60" s="504">
        <f t="shared" ca="1" si="51"/>
        <v>2.4499658167420613E-3</v>
      </c>
      <c r="AP60" s="504">
        <f t="shared" ca="1" si="51"/>
        <v>2.4499658167420613E-3</v>
      </c>
      <c r="AQ60" s="504">
        <f t="shared" ca="1" si="51"/>
        <v>2.4499658167420613E-3</v>
      </c>
      <c r="AR60" s="504">
        <f t="shared" ca="1" si="51"/>
        <v>2.4499658167420613E-3</v>
      </c>
      <c r="AS60" s="504">
        <f t="shared" ca="1" si="51"/>
        <v>2.4499658167420613E-3</v>
      </c>
      <c r="AT60" s="504">
        <f t="shared" ca="1" si="51"/>
        <v>2.4499658167420613E-3</v>
      </c>
      <c r="AU60" s="504">
        <f t="shared" ca="1" si="51"/>
        <v>2.4499658167420613E-3</v>
      </c>
      <c r="AV60" s="504">
        <f t="shared" ca="1" si="51"/>
        <v>2.4499658167420613E-3</v>
      </c>
      <c r="AW60" s="504">
        <f t="shared" ca="1" si="51"/>
        <v>2.4499658167420613E-3</v>
      </c>
      <c r="AX60" s="504">
        <f t="shared" ca="1" si="51"/>
        <v>2.4499658167420613E-3</v>
      </c>
      <c r="AY60" s="504">
        <f t="shared" ca="1" si="51"/>
        <v>2.4499658167420613E-3</v>
      </c>
      <c r="AZ60" s="504">
        <f t="shared" ca="1" si="51"/>
        <v>2.4499658167420613E-3</v>
      </c>
      <c r="BA60" s="504">
        <f t="shared" ca="1" si="51"/>
        <v>2.4499658167420613E-3</v>
      </c>
      <c r="BB60" s="504">
        <f t="shared" ca="1" si="51"/>
        <v>2.4499658167420613E-3</v>
      </c>
      <c r="BC60" s="504">
        <f t="shared" ca="1" si="51"/>
        <v>0</v>
      </c>
      <c r="BD60" s="504">
        <f t="shared" ca="1" si="51"/>
        <v>0</v>
      </c>
      <c r="BE60" s="504">
        <f t="shared" ca="1" si="51"/>
        <v>0</v>
      </c>
      <c r="BF60" s="504">
        <f t="shared" ca="1" si="51"/>
        <v>0</v>
      </c>
      <c r="BG60" s="504">
        <f t="shared" ca="1" si="51"/>
        <v>0</v>
      </c>
      <c r="BH60" s="504">
        <f t="shared" ca="1" si="51"/>
        <v>0</v>
      </c>
      <c r="BI60" s="504">
        <f t="shared" ca="1" si="51"/>
        <v>0</v>
      </c>
      <c r="BJ60" s="504">
        <f t="shared" ca="1" si="51"/>
        <v>0</v>
      </c>
      <c r="BK60" s="504">
        <f t="shared" ca="1" si="51"/>
        <v>0</v>
      </c>
      <c r="BL60" s="504">
        <f t="shared" ca="1" si="51"/>
        <v>0</v>
      </c>
      <c r="BM60" s="504">
        <f t="shared" ca="1" si="51"/>
        <v>0</v>
      </c>
      <c r="BN60" s="504"/>
      <c r="BO60" s="504"/>
      <c r="BP60" s="504">
        <f ca="1">IFERROR(BP57/BP42-1,0)</f>
        <v>4.3265237429594983E-3</v>
      </c>
      <c r="BS60" s="84" t="s">
        <v>234</v>
      </c>
      <c r="BT60" s="51" t="s">
        <v>17</v>
      </c>
    </row>
    <row r="61" spans="1:72" x14ac:dyDescent="0.25">
      <c r="B61" s="243" t="str">
        <f t="shared" si="49"/>
        <v>Residential</v>
      </c>
      <c r="C61" s="243" t="str">
        <f t="shared" si="49"/>
        <v>Rates</v>
      </c>
      <c r="D61" s="85"/>
      <c r="E61" s="84" t="s">
        <v>17</v>
      </c>
      <c r="F61" s="84"/>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S61" s="84"/>
      <c r="BT61" s="51" t="s">
        <v>17</v>
      </c>
    </row>
    <row r="62" spans="1:72" s="5" customFormat="1" ht="15.75" x14ac:dyDescent="0.25">
      <c r="A62" s="52"/>
      <c r="B62" s="241" t="str">
        <f t="shared" si="49"/>
        <v>Residential</v>
      </c>
      <c r="C62" s="63" t="s">
        <v>51</v>
      </c>
      <c r="D62" s="61"/>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2"/>
      <c r="BO62" s="62"/>
      <c r="BP62" s="62"/>
      <c r="BS62" s="62"/>
      <c r="BT62" s="51" t="s">
        <v>17</v>
      </c>
    </row>
    <row r="63" spans="1:72" x14ac:dyDescent="0.25">
      <c r="B63" s="243" t="str">
        <f t="shared" si="49"/>
        <v>Residential</v>
      </c>
      <c r="C63" s="243" t="str">
        <f>C62</f>
        <v>Bills</v>
      </c>
      <c r="D63" s="114" t="str">
        <f>"Bills before DSM ("&amp;Lookups!$D$22&amp;" Scenario, Non-Participant)"</f>
        <v>Bills before DSM (No EE Scenario, Non-Participant)</v>
      </c>
      <c r="E63" s="86"/>
      <c r="F63" s="84"/>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S63" s="84"/>
      <c r="BT63" s="51" t="s">
        <v>17</v>
      </c>
    </row>
    <row r="64" spans="1:72" x14ac:dyDescent="0.25">
      <c r="B64" s="243" t="str">
        <f t="shared" si="49"/>
        <v>Residential</v>
      </c>
      <c r="C64" s="243" t="str">
        <f t="shared" si="49"/>
        <v>Bills</v>
      </c>
      <c r="D64" s="244" t="str">
        <f>D63</f>
        <v>Bills before DSM (No EE Scenario, Non-Participant)</v>
      </c>
      <c r="E64" s="86" t="s">
        <v>75</v>
      </c>
      <c r="F64" s="84" t="s">
        <v>31</v>
      </c>
      <c r="G64" s="659">
        <f>IF(G$8=0,0,INDEX('R&amp;B Inputs'!$H$45:$U$45,MATCH($B64,'R&amp;B Inputs'!$H$4:$U$4,0))*(1+INDEX('R&amp;B Inputs'!$H$46:$U$46,MATCH($B64,'R&amp;B Inputs'!$H$4:$U$4,0)))^(G$7-Year1)*12)</f>
        <v>0</v>
      </c>
      <c r="H64" s="659">
        <f>IF(H$8=0,0,INDEX('R&amp;B Inputs'!$H$45:$U$45,MATCH($B64,'R&amp;B Inputs'!$H$4:$U$4,0))*(1+INDEX('R&amp;B Inputs'!$H$46:$U$46,MATCH($B64,'R&amp;B Inputs'!$H$4:$U$4,0)))^(H$7-Year1)*12)</f>
        <v>182.39999999999998</v>
      </c>
      <c r="I64" s="659">
        <f>IF(I$8=0,0,INDEX('R&amp;B Inputs'!$H$45:$U$45,MATCH($B64,'R&amp;B Inputs'!$H$4:$U$4,0))*(1+INDEX('R&amp;B Inputs'!$H$46:$U$46,MATCH($B64,'R&amp;B Inputs'!$H$4:$U$4,0)))^(I$7-Year1)*12)</f>
        <v>182.39999999999998</v>
      </c>
      <c r="J64" s="659">
        <f>IF(J$8=0,0,INDEX('R&amp;B Inputs'!$H$45:$U$45,MATCH($B64,'R&amp;B Inputs'!$H$4:$U$4,0))*(1+INDEX('R&amp;B Inputs'!$H$46:$U$46,MATCH($B64,'R&amp;B Inputs'!$H$4:$U$4,0)))^(J$7-Year1)*12)</f>
        <v>182.39999999999998</v>
      </c>
      <c r="K64" s="659">
        <f>IF(K$8=0,0,INDEX('R&amp;B Inputs'!$H$45:$U$45,MATCH($B64,'R&amp;B Inputs'!$H$4:$U$4,0))*(1+INDEX('R&amp;B Inputs'!$H$46:$U$46,MATCH($B64,'R&amp;B Inputs'!$H$4:$U$4,0)))^(K$7-Year1)*12)</f>
        <v>182.39999999999998</v>
      </c>
      <c r="L64" s="659">
        <f>IF(L$8=0,0,INDEX('R&amp;B Inputs'!$H$45:$U$45,MATCH($B64,'R&amp;B Inputs'!$H$4:$U$4,0))*(1+INDEX('R&amp;B Inputs'!$H$46:$U$46,MATCH($B64,'R&amp;B Inputs'!$H$4:$U$4,0)))^(L$7-Year1)*12)</f>
        <v>182.39999999999998</v>
      </c>
      <c r="M64" s="659">
        <f>IF(M$8=0,0,INDEX('R&amp;B Inputs'!$H$45:$U$45,MATCH($B64,'R&amp;B Inputs'!$H$4:$U$4,0))*(1+INDEX('R&amp;B Inputs'!$H$46:$U$46,MATCH($B64,'R&amp;B Inputs'!$H$4:$U$4,0)))^(M$7-Year1)*12)</f>
        <v>182.39999999999998</v>
      </c>
      <c r="N64" s="659">
        <f>IF(N$8=0,0,INDEX('R&amp;B Inputs'!$H$45:$U$45,MATCH($B64,'R&amp;B Inputs'!$H$4:$U$4,0))*(1+INDEX('R&amp;B Inputs'!$H$46:$U$46,MATCH($B64,'R&amp;B Inputs'!$H$4:$U$4,0)))^(N$7-Year1)*12)</f>
        <v>182.39999999999998</v>
      </c>
      <c r="O64" s="659">
        <f>IF(O$8=0,0,INDEX('R&amp;B Inputs'!$H$45:$U$45,MATCH($B64,'R&amp;B Inputs'!$H$4:$U$4,0))*(1+INDEX('R&amp;B Inputs'!$H$46:$U$46,MATCH($B64,'R&amp;B Inputs'!$H$4:$U$4,0)))^(O$7-Year1)*12)</f>
        <v>182.39999999999998</v>
      </c>
      <c r="P64" s="659">
        <f>IF(P$8=0,0,INDEX('R&amp;B Inputs'!$H$45:$U$45,MATCH($B64,'R&amp;B Inputs'!$H$4:$U$4,0))*(1+INDEX('R&amp;B Inputs'!$H$46:$U$46,MATCH($B64,'R&amp;B Inputs'!$H$4:$U$4,0)))^(P$7-Year1)*12)</f>
        <v>182.39999999999998</v>
      </c>
      <c r="Q64" s="659">
        <f>IF(Q$8=0,0,INDEX('R&amp;B Inputs'!$H$45:$U$45,MATCH($B64,'R&amp;B Inputs'!$H$4:$U$4,0))*(1+INDEX('R&amp;B Inputs'!$H$46:$U$46,MATCH($B64,'R&amp;B Inputs'!$H$4:$U$4,0)))^(Q$7-Year1)*12)</f>
        <v>182.39999999999998</v>
      </c>
      <c r="R64" s="659">
        <f>IF(R$8=0,0,INDEX('R&amp;B Inputs'!$H$45:$U$45,MATCH($B64,'R&amp;B Inputs'!$H$4:$U$4,0))*(1+INDEX('R&amp;B Inputs'!$H$46:$U$46,MATCH($B64,'R&amp;B Inputs'!$H$4:$U$4,0)))^(R$7-Year1)*12)</f>
        <v>182.39999999999998</v>
      </c>
      <c r="S64" s="659">
        <f>IF(S$8=0,0,INDEX('R&amp;B Inputs'!$H$45:$U$45,MATCH($B64,'R&amp;B Inputs'!$H$4:$U$4,0))*(1+INDEX('R&amp;B Inputs'!$H$46:$U$46,MATCH($B64,'R&amp;B Inputs'!$H$4:$U$4,0)))^(S$7-Year1)*12)</f>
        <v>182.39999999999998</v>
      </c>
      <c r="T64" s="659">
        <f>IF(T$8=0,0,INDEX('R&amp;B Inputs'!$H$45:$U$45,MATCH($B64,'R&amp;B Inputs'!$H$4:$U$4,0))*(1+INDEX('R&amp;B Inputs'!$H$46:$U$46,MATCH($B64,'R&amp;B Inputs'!$H$4:$U$4,0)))^(T$7-Year1)*12)</f>
        <v>182.39999999999998</v>
      </c>
      <c r="U64" s="659">
        <f>IF(U$8=0,0,INDEX('R&amp;B Inputs'!$H$45:$U$45,MATCH($B64,'R&amp;B Inputs'!$H$4:$U$4,0))*(1+INDEX('R&amp;B Inputs'!$H$46:$U$46,MATCH($B64,'R&amp;B Inputs'!$H$4:$U$4,0)))^(U$7-Year1)*12)</f>
        <v>182.39999999999998</v>
      </c>
      <c r="V64" s="659">
        <f>IF(V$8=0,0,INDEX('R&amp;B Inputs'!$H$45:$U$45,MATCH($B64,'R&amp;B Inputs'!$H$4:$U$4,0))*(1+INDEX('R&amp;B Inputs'!$H$46:$U$46,MATCH($B64,'R&amp;B Inputs'!$H$4:$U$4,0)))^(V$7-Year1)*12)</f>
        <v>182.39999999999998</v>
      </c>
      <c r="W64" s="659">
        <f>IF(W$8=0,0,INDEX('R&amp;B Inputs'!$H$45:$U$45,MATCH($B64,'R&amp;B Inputs'!$H$4:$U$4,0))*(1+INDEX('R&amp;B Inputs'!$H$46:$U$46,MATCH($B64,'R&amp;B Inputs'!$H$4:$U$4,0)))^(W$7-Year1)*12)</f>
        <v>182.39999999999998</v>
      </c>
      <c r="X64" s="659">
        <f>IF(X$8=0,0,INDEX('R&amp;B Inputs'!$H$45:$U$45,MATCH($B64,'R&amp;B Inputs'!$H$4:$U$4,0))*(1+INDEX('R&amp;B Inputs'!$H$46:$U$46,MATCH($B64,'R&amp;B Inputs'!$H$4:$U$4,0)))^(X$7-Year1)*12)</f>
        <v>182.39999999999998</v>
      </c>
      <c r="Y64" s="659">
        <f>IF(Y$8=0,0,INDEX('R&amp;B Inputs'!$H$45:$U$45,MATCH($B64,'R&amp;B Inputs'!$H$4:$U$4,0))*(1+INDEX('R&amp;B Inputs'!$H$46:$U$46,MATCH($B64,'R&amp;B Inputs'!$H$4:$U$4,0)))^(Y$7-Year1)*12)</f>
        <v>182.39999999999998</v>
      </c>
      <c r="Z64" s="659">
        <f>IF(Z$8=0,0,INDEX('R&amp;B Inputs'!$H$45:$U$45,MATCH($B64,'R&amp;B Inputs'!$H$4:$U$4,0))*(1+INDEX('R&amp;B Inputs'!$H$46:$U$46,MATCH($B64,'R&amp;B Inputs'!$H$4:$U$4,0)))^(Z$7-Year1)*12)</f>
        <v>182.39999999999998</v>
      </c>
      <c r="AA64" s="659">
        <f>IF(AA$8=0,0,INDEX('R&amp;B Inputs'!$H$45:$U$45,MATCH($B64,'R&amp;B Inputs'!$H$4:$U$4,0))*(1+INDEX('R&amp;B Inputs'!$H$46:$U$46,MATCH($B64,'R&amp;B Inputs'!$H$4:$U$4,0)))^(AA$7-Year1)*12)</f>
        <v>182.39999999999998</v>
      </c>
      <c r="AB64" s="659">
        <f>IF(AB$8=0,0,INDEX('R&amp;B Inputs'!$H$45:$U$45,MATCH($B64,'R&amp;B Inputs'!$H$4:$U$4,0))*(1+INDEX('R&amp;B Inputs'!$H$46:$U$46,MATCH($B64,'R&amp;B Inputs'!$H$4:$U$4,0)))^(AB$7-Year1)*12)</f>
        <v>182.39999999999998</v>
      </c>
      <c r="AC64" s="659">
        <f>IF(AC$8=0,0,INDEX('R&amp;B Inputs'!$H$45:$U$45,MATCH($B64,'R&amp;B Inputs'!$H$4:$U$4,0))*(1+INDEX('R&amp;B Inputs'!$H$46:$U$46,MATCH($B64,'R&amp;B Inputs'!$H$4:$U$4,0)))^(AC$7-Year1)*12)</f>
        <v>182.39999999999998</v>
      </c>
      <c r="AD64" s="659">
        <f>IF(AD$8=0,0,INDEX('R&amp;B Inputs'!$H$45:$U$45,MATCH($B64,'R&amp;B Inputs'!$H$4:$U$4,0))*(1+INDEX('R&amp;B Inputs'!$H$46:$U$46,MATCH($B64,'R&amp;B Inputs'!$H$4:$U$4,0)))^(AD$7-Year1)*12)</f>
        <v>182.39999999999998</v>
      </c>
      <c r="AE64" s="659">
        <f>IF(AE$8=0,0,INDEX('R&amp;B Inputs'!$H$45:$U$45,MATCH($B64,'R&amp;B Inputs'!$H$4:$U$4,0))*(1+INDEX('R&amp;B Inputs'!$H$46:$U$46,MATCH($B64,'R&amp;B Inputs'!$H$4:$U$4,0)))^(AE$7-Year1)*12)</f>
        <v>182.39999999999998</v>
      </c>
      <c r="AF64" s="659">
        <f>IF(AF$8=0,0,INDEX('R&amp;B Inputs'!$H$45:$U$45,MATCH($B64,'R&amp;B Inputs'!$H$4:$U$4,0))*(1+INDEX('R&amp;B Inputs'!$H$46:$U$46,MATCH($B64,'R&amp;B Inputs'!$H$4:$U$4,0)))^(AF$7-Year1)*12)</f>
        <v>182.39999999999998</v>
      </c>
      <c r="AG64" s="659">
        <f>IF(AG$8=0,0,INDEX('R&amp;B Inputs'!$H$45:$U$45,MATCH($B64,'R&amp;B Inputs'!$H$4:$U$4,0))*(1+INDEX('R&amp;B Inputs'!$H$46:$U$46,MATCH($B64,'R&amp;B Inputs'!$H$4:$U$4,0)))^(AG$7-Year1)*12)</f>
        <v>182.39999999999998</v>
      </c>
      <c r="AH64" s="49"/>
      <c r="AI64" s="49"/>
      <c r="AJ64" s="720">
        <f>IF($C$4=Year1,-PMT(Lookups!$E$17,25,NPV(Lookups!$E$17,G64:AE64),0,1),IF($C$4=Year2,-PMT(Lookups!$F$17,25,NPV(Lookups!$F$17,H64:AF64),0,1),IF($C$4=Year3,-PMT(Lookups!$G$17,25,NPV(Lookups!$G$17,I64:AG64),0,1),-PMT(Lookups!$G$17,27,NPV(Lookups!$G$17,G64:AG64),0,1))))</f>
        <v>179.85611622276028</v>
      </c>
      <c r="AM64" s="705">
        <f>IF(AM$8=0,0,INDEX('R&amp;B Inputs'!$H$45:$U$45,MATCH($B64,'R&amp;B Inputs'!$H$4:$U$4,0))*(1+INDEX('R&amp;B Inputs'!$H$46:$U$46,MATCH($B64,'R&amp;B Inputs'!$H$4:$U$4,0)))^(AM$7-Year1)*12)</f>
        <v>0</v>
      </c>
      <c r="AN64" s="705">
        <f>IF(AN$8=0,0,INDEX('R&amp;B Inputs'!$H$45:$U$45,MATCH($B64,'R&amp;B Inputs'!$H$4:$U$4,0))*(1+INDEX('R&amp;B Inputs'!$H$46:$U$46,MATCH($B64,'R&amp;B Inputs'!$H$4:$U$4,0)))^(AN$7-Year1)*12)</f>
        <v>182.39999999999998</v>
      </c>
      <c r="AO64" s="705">
        <f>IF(AO$8=0,0,INDEX('R&amp;B Inputs'!$H$45:$U$45,MATCH($B64,'R&amp;B Inputs'!$H$4:$U$4,0))*(1+INDEX('R&amp;B Inputs'!$H$46:$U$46,MATCH($B64,'R&amp;B Inputs'!$H$4:$U$4,0)))^(AO$7-Year1)*12)</f>
        <v>182.39999999999998</v>
      </c>
      <c r="AP64" s="705">
        <f>IF(AP$8=0,0,INDEX('R&amp;B Inputs'!$H$45:$U$45,MATCH($B64,'R&amp;B Inputs'!$H$4:$U$4,0))*(1+INDEX('R&amp;B Inputs'!$H$46:$U$46,MATCH($B64,'R&amp;B Inputs'!$H$4:$U$4,0)))^(AP$7-Year1)*12)</f>
        <v>182.39999999999998</v>
      </c>
      <c r="AQ64" s="705">
        <f>IF(AQ$8=0,0,INDEX('R&amp;B Inputs'!$H$45:$U$45,MATCH($B64,'R&amp;B Inputs'!$H$4:$U$4,0))*(1+INDEX('R&amp;B Inputs'!$H$46:$U$46,MATCH($B64,'R&amp;B Inputs'!$H$4:$U$4,0)))^(AQ$7-Year1)*12)</f>
        <v>182.39999999999998</v>
      </c>
      <c r="AR64" s="705">
        <f>IF(AR$8=0,0,INDEX('R&amp;B Inputs'!$H$45:$U$45,MATCH($B64,'R&amp;B Inputs'!$H$4:$U$4,0))*(1+INDEX('R&amp;B Inputs'!$H$46:$U$46,MATCH($B64,'R&amp;B Inputs'!$H$4:$U$4,0)))^(AR$7-Year1)*12)</f>
        <v>182.39999999999998</v>
      </c>
      <c r="AS64" s="705">
        <f>IF(AS$8=0,0,INDEX('R&amp;B Inputs'!$H$45:$U$45,MATCH($B64,'R&amp;B Inputs'!$H$4:$U$4,0))*(1+INDEX('R&amp;B Inputs'!$H$46:$U$46,MATCH($B64,'R&amp;B Inputs'!$H$4:$U$4,0)))^(AS$7-Year1)*12)</f>
        <v>182.39999999999998</v>
      </c>
      <c r="AT64" s="705">
        <f>IF(AT$8=0,0,INDEX('R&amp;B Inputs'!$H$45:$U$45,MATCH($B64,'R&amp;B Inputs'!$H$4:$U$4,0))*(1+INDEX('R&amp;B Inputs'!$H$46:$U$46,MATCH($B64,'R&amp;B Inputs'!$H$4:$U$4,0)))^(AT$7-Year1)*12)</f>
        <v>182.39999999999998</v>
      </c>
      <c r="AU64" s="705">
        <f>IF(AU$8=0,0,INDEX('R&amp;B Inputs'!$H$45:$U$45,MATCH($B64,'R&amp;B Inputs'!$H$4:$U$4,0))*(1+INDEX('R&amp;B Inputs'!$H$46:$U$46,MATCH($B64,'R&amp;B Inputs'!$H$4:$U$4,0)))^(AU$7-Year1)*12)</f>
        <v>182.39999999999998</v>
      </c>
      <c r="AV64" s="705">
        <f>IF(AV$8=0,0,INDEX('R&amp;B Inputs'!$H$45:$U$45,MATCH($B64,'R&amp;B Inputs'!$H$4:$U$4,0))*(1+INDEX('R&amp;B Inputs'!$H$46:$U$46,MATCH($B64,'R&amp;B Inputs'!$H$4:$U$4,0)))^(AV$7-Year1)*12)</f>
        <v>182.39999999999998</v>
      </c>
      <c r="AW64" s="705">
        <f>IF(AW$8=0,0,INDEX('R&amp;B Inputs'!$H$45:$U$45,MATCH($B64,'R&amp;B Inputs'!$H$4:$U$4,0))*(1+INDEX('R&amp;B Inputs'!$H$46:$U$46,MATCH($B64,'R&amp;B Inputs'!$H$4:$U$4,0)))^(AW$7-Year1)*12)</f>
        <v>182.39999999999998</v>
      </c>
      <c r="AX64" s="705">
        <f>IF(AX$8=0,0,INDEX('R&amp;B Inputs'!$H$45:$U$45,MATCH($B64,'R&amp;B Inputs'!$H$4:$U$4,0))*(1+INDEX('R&amp;B Inputs'!$H$46:$U$46,MATCH($B64,'R&amp;B Inputs'!$H$4:$U$4,0)))^(AX$7-Year1)*12)</f>
        <v>182.39999999999998</v>
      </c>
      <c r="AY64" s="705">
        <f>IF(AY$8=0,0,INDEX('R&amp;B Inputs'!$H$45:$U$45,MATCH($B64,'R&amp;B Inputs'!$H$4:$U$4,0))*(1+INDEX('R&amp;B Inputs'!$H$46:$U$46,MATCH($B64,'R&amp;B Inputs'!$H$4:$U$4,0)))^(AY$7-Year1)*12)</f>
        <v>182.39999999999998</v>
      </c>
      <c r="AZ64" s="705">
        <f>IF(AZ$8=0,0,INDEX('R&amp;B Inputs'!$H$45:$U$45,MATCH($B64,'R&amp;B Inputs'!$H$4:$U$4,0))*(1+INDEX('R&amp;B Inputs'!$H$46:$U$46,MATCH($B64,'R&amp;B Inputs'!$H$4:$U$4,0)))^(AZ$7-Year1)*12)</f>
        <v>182.39999999999998</v>
      </c>
      <c r="BA64" s="705">
        <f>IF(BA$8=0,0,INDEX('R&amp;B Inputs'!$H$45:$U$45,MATCH($B64,'R&amp;B Inputs'!$H$4:$U$4,0))*(1+INDEX('R&amp;B Inputs'!$H$46:$U$46,MATCH($B64,'R&amp;B Inputs'!$H$4:$U$4,0)))^(BA$7-Year1)*12)</f>
        <v>182.39999999999998</v>
      </c>
      <c r="BB64" s="705">
        <f>IF(BB$8=0,0,INDEX('R&amp;B Inputs'!$H$45:$U$45,MATCH($B64,'R&amp;B Inputs'!$H$4:$U$4,0))*(1+INDEX('R&amp;B Inputs'!$H$46:$U$46,MATCH($B64,'R&amp;B Inputs'!$H$4:$U$4,0)))^(BB$7-Year1)*12)</f>
        <v>182.39999999999998</v>
      </c>
      <c r="BC64" s="705">
        <f>IF(BC$8=0,0,INDEX('R&amp;B Inputs'!$H$45:$U$45,MATCH($B64,'R&amp;B Inputs'!$H$4:$U$4,0))*(1+INDEX('R&amp;B Inputs'!$H$46:$U$46,MATCH($B64,'R&amp;B Inputs'!$H$4:$U$4,0)))^(BC$7-Year1)*12)</f>
        <v>182.39999999999998</v>
      </c>
      <c r="BD64" s="705">
        <f>IF(BD$8=0,0,INDEX('R&amp;B Inputs'!$H$45:$U$45,MATCH($B64,'R&amp;B Inputs'!$H$4:$U$4,0))*(1+INDEX('R&amp;B Inputs'!$H$46:$U$46,MATCH($B64,'R&amp;B Inputs'!$H$4:$U$4,0)))^(BD$7-Year1)*12)</f>
        <v>182.39999999999998</v>
      </c>
      <c r="BE64" s="705">
        <f>IF(BE$8=0,0,INDEX('R&amp;B Inputs'!$H$45:$U$45,MATCH($B64,'R&amp;B Inputs'!$H$4:$U$4,0))*(1+INDEX('R&amp;B Inputs'!$H$46:$U$46,MATCH($B64,'R&amp;B Inputs'!$H$4:$U$4,0)))^(BE$7-Year1)*12)</f>
        <v>182.39999999999998</v>
      </c>
      <c r="BF64" s="705">
        <f>IF(BF$8=0,0,INDEX('R&amp;B Inputs'!$H$45:$U$45,MATCH($B64,'R&amp;B Inputs'!$H$4:$U$4,0))*(1+INDEX('R&amp;B Inputs'!$H$46:$U$46,MATCH($B64,'R&amp;B Inputs'!$H$4:$U$4,0)))^(BF$7-Year1)*12)</f>
        <v>182.39999999999998</v>
      </c>
      <c r="BG64" s="705">
        <f>IF(BG$8=0,0,INDEX('R&amp;B Inputs'!$H$45:$U$45,MATCH($B64,'R&amp;B Inputs'!$H$4:$U$4,0))*(1+INDEX('R&amp;B Inputs'!$H$46:$U$46,MATCH($B64,'R&amp;B Inputs'!$H$4:$U$4,0)))^(BG$7-Year1)*12)</f>
        <v>182.39999999999998</v>
      </c>
      <c r="BH64" s="705">
        <f>IF(BH$8=0,0,INDEX('R&amp;B Inputs'!$H$45:$U$45,MATCH($B64,'R&amp;B Inputs'!$H$4:$U$4,0))*(1+INDEX('R&amp;B Inputs'!$H$46:$U$46,MATCH($B64,'R&amp;B Inputs'!$H$4:$U$4,0)))^(BH$7-Year1)*12)</f>
        <v>182.39999999999998</v>
      </c>
      <c r="BI64" s="705">
        <f>IF(BI$8=0,0,INDEX('R&amp;B Inputs'!$H$45:$U$45,MATCH($B64,'R&amp;B Inputs'!$H$4:$U$4,0))*(1+INDEX('R&amp;B Inputs'!$H$46:$U$46,MATCH($B64,'R&amp;B Inputs'!$H$4:$U$4,0)))^(BI$7-Year1)*12)</f>
        <v>182.39999999999998</v>
      </c>
      <c r="BJ64" s="705">
        <f>IF(BJ$8=0,0,INDEX('R&amp;B Inputs'!$H$45:$U$45,MATCH($B64,'R&amp;B Inputs'!$H$4:$U$4,0))*(1+INDEX('R&amp;B Inputs'!$H$46:$U$46,MATCH($B64,'R&amp;B Inputs'!$H$4:$U$4,0)))^(BJ$7-Year1)*12)</f>
        <v>182.39999999999998</v>
      </c>
      <c r="BK64" s="705">
        <f>IF(BK$8=0,0,INDEX('R&amp;B Inputs'!$H$45:$U$45,MATCH($B64,'R&amp;B Inputs'!$H$4:$U$4,0))*(1+INDEX('R&amp;B Inputs'!$H$46:$U$46,MATCH($B64,'R&amp;B Inputs'!$H$4:$U$4,0)))^(BK$7-Year1)*12)</f>
        <v>182.39999999999998</v>
      </c>
      <c r="BL64" s="705">
        <f>IF(BL$8=0,0,INDEX('R&amp;B Inputs'!$H$45:$U$45,MATCH($B64,'R&amp;B Inputs'!$H$4:$U$4,0))*(1+INDEX('R&amp;B Inputs'!$H$46:$U$46,MATCH($B64,'R&amp;B Inputs'!$H$4:$U$4,0)))^(BL$7-Year1)*12)</f>
        <v>182.39999999999998</v>
      </c>
      <c r="BM64" s="705">
        <f>IF(BM$8=0,0,INDEX('R&amp;B Inputs'!$H$45:$U$45,MATCH($B64,'R&amp;B Inputs'!$H$4:$U$4,0))*(1+INDEX('R&amp;B Inputs'!$H$46:$U$46,MATCH($B64,'R&amp;B Inputs'!$H$4:$U$4,0)))^(BM$7-Year1)*12)</f>
        <v>182.39999999999998</v>
      </c>
      <c r="BN64" s="74"/>
      <c r="BO64" s="74"/>
      <c r="BP64" s="149">
        <f>IF($C$4=Year1,-PMT(Lookups!$E$17,25,NPV(Lookups!$E$17,AM64:BK64),0,1),IF($C$4=Year2,-PMT(Lookups!$F$17,25,NPV(Lookups!$F$17,AN64:BL64),0,1),IF($C$4=Year3,-PMT(Lookups!$G$17,25,NPV(Lookups!$G$17,AO64:BM64),0,1),-PMT(Lookups!$G$17,27,NPV(Lookups!$G$17,AM64:BM64),0,1))))</f>
        <v>179.85611622276028</v>
      </c>
      <c r="BS64" s="84" t="str">
        <f t="shared" ref="BS64" si="52">E64&amp;" charge from the R&amp;B Inputs tab, escalated annually by the growth rate included on the R&amp;B Inputs tab."</f>
        <v>Customer Charge charge from the R&amp;B Inputs tab, escalated annually by the growth rate included on the R&amp;B Inputs tab.</v>
      </c>
      <c r="BT64" s="51" t="s">
        <v>17</v>
      </c>
    </row>
    <row r="65" spans="1:72" x14ac:dyDescent="0.25">
      <c r="B65" s="243" t="str">
        <f t="shared" si="49"/>
        <v>Residential</v>
      </c>
      <c r="C65" s="243" t="str">
        <f t="shared" si="49"/>
        <v>Bills</v>
      </c>
      <c r="D65" s="244" t="str">
        <f>D64</f>
        <v>Bills before DSM (No EE Scenario, Non-Participant)</v>
      </c>
      <c r="E65" s="84" t="s">
        <v>309</v>
      </c>
      <c r="F65" s="84" t="s">
        <v>195</v>
      </c>
      <c r="G65" s="64">
        <f>IF(G$8=0,0,INDEX('R&amp;B Inputs'!$I$27:$V$27,MATCH($B65,'R&amp;B Inputs'!$I$4:$V$4,0))+INDEX('R&amp;B Inputs'!$I$28:$V$28,MATCH($B65,'R&amp;B Inputs'!$I$4:$V$4,0)))</f>
        <v>0</v>
      </c>
      <c r="H65" s="64">
        <f>IF(H$8=0,0,INDEX('R&amp;B Inputs'!$I$27:$V$27,MATCH($B65,'R&amp;B Inputs'!$I$4:$V$4,0))+INDEX('R&amp;B Inputs'!$I$28:$V$28,MATCH($B65,'R&amp;B Inputs'!$I$4:$V$4,0)))</f>
        <v>666</v>
      </c>
      <c r="I65" s="64">
        <f>IF(I$8=0,0,INDEX('R&amp;B Inputs'!$I$27:$V$27,MATCH($B65,'R&amp;B Inputs'!$I$4:$V$4,0))+INDEX('R&amp;B Inputs'!$I$28:$V$28,MATCH($B65,'R&amp;B Inputs'!$I$4:$V$4,0)))</f>
        <v>666</v>
      </c>
      <c r="J65" s="64">
        <f>IF(J$8=0,0,INDEX('R&amp;B Inputs'!$I$27:$V$27,MATCH($B65,'R&amp;B Inputs'!$I$4:$V$4,0))+INDEX('R&amp;B Inputs'!$I$28:$V$28,MATCH($B65,'R&amp;B Inputs'!$I$4:$V$4,0)))</f>
        <v>666</v>
      </c>
      <c r="K65" s="64">
        <f>IF(K$8=0,0,INDEX('R&amp;B Inputs'!$I$27:$V$27,MATCH($B65,'R&amp;B Inputs'!$I$4:$V$4,0))+INDEX('R&amp;B Inputs'!$I$28:$V$28,MATCH($B65,'R&amp;B Inputs'!$I$4:$V$4,0)))</f>
        <v>666</v>
      </c>
      <c r="L65" s="64">
        <f>IF(L$8=0,0,INDEX('R&amp;B Inputs'!$I$27:$V$27,MATCH($B65,'R&amp;B Inputs'!$I$4:$V$4,0))+INDEX('R&amp;B Inputs'!$I$28:$V$28,MATCH($B65,'R&amp;B Inputs'!$I$4:$V$4,0)))</f>
        <v>666</v>
      </c>
      <c r="M65" s="64">
        <f>IF(M$8=0,0,INDEX('R&amp;B Inputs'!$I$27:$V$27,MATCH($B65,'R&amp;B Inputs'!$I$4:$V$4,0))+INDEX('R&amp;B Inputs'!$I$28:$V$28,MATCH($B65,'R&amp;B Inputs'!$I$4:$V$4,0)))</f>
        <v>666</v>
      </c>
      <c r="N65" s="64">
        <f>IF(N$8=0,0,INDEX('R&amp;B Inputs'!$I$27:$V$27,MATCH($B65,'R&amp;B Inputs'!$I$4:$V$4,0))+INDEX('R&amp;B Inputs'!$I$28:$V$28,MATCH($B65,'R&amp;B Inputs'!$I$4:$V$4,0)))</f>
        <v>666</v>
      </c>
      <c r="O65" s="64">
        <f>IF(O$8=0,0,INDEX('R&amp;B Inputs'!$I$27:$V$27,MATCH($B65,'R&amp;B Inputs'!$I$4:$V$4,0))+INDEX('R&amp;B Inputs'!$I$28:$V$28,MATCH($B65,'R&amp;B Inputs'!$I$4:$V$4,0)))</f>
        <v>666</v>
      </c>
      <c r="P65" s="64">
        <f>IF(P$8=0,0,INDEX('R&amp;B Inputs'!$I$27:$V$27,MATCH($B65,'R&amp;B Inputs'!$I$4:$V$4,0))+INDEX('R&amp;B Inputs'!$I$28:$V$28,MATCH($B65,'R&amp;B Inputs'!$I$4:$V$4,0)))</f>
        <v>666</v>
      </c>
      <c r="Q65" s="64">
        <f>IF(Q$8=0,0,INDEX('R&amp;B Inputs'!$I$27:$V$27,MATCH($B65,'R&amp;B Inputs'!$I$4:$V$4,0))+INDEX('R&amp;B Inputs'!$I$28:$V$28,MATCH($B65,'R&amp;B Inputs'!$I$4:$V$4,0)))</f>
        <v>666</v>
      </c>
      <c r="R65" s="64">
        <f>IF(R$8=0,0,INDEX('R&amp;B Inputs'!$I$27:$V$27,MATCH($B65,'R&amp;B Inputs'!$I$4:$V$4,0))+INDEX('R&amp;B Inputs'!$I$28:$V$28,MATCH($B65,'R&amp;B Inputs'!$I$4:$V$4,0)))</f>
        <v>666</v>
      </c>
      <c r="S65" s="64">
        <f>IF(S$8=0,0,INDEX('R&amp;B Inputs'!$I$27:$V$27,MATCH($B65,'R&amp;B Inputs'!$I$4:$V$4,0))+INDEX('R&amp;B Inputs'!$I$28:$V$28,MATCH($B65,'R&amp;B Inputs'!$I$4:$V$4,0)))</f>
        <v>666</v>
      </c>
      <c r="T65" s="64">
        <f>IF(T$8=0,0,INDEX('R&amp;B Inputs'!$I$27:$V$27,MATCH($B65,'R&amp;B Inputs'!$I$4:$V$4,0))+INDEX('R&amp;B Inputs'!$I$28:$V$28,MATCH($B65,'R&amp;B Inputs'!$I$4:$V$4,0)))</f>
        <v>666</v>
      </c>
      <c r="U65" s="64">
        <f>IF(U$8=0,0,INDEX('R&amp;B Inputs'!$I$27:$V$27,MATCH($B65,'R&amp;B Inputs'!$I$4:$V$4,0))+INDEX('R&amp;B Inputs'!$I$28:$V$28,MATCH($B65,'R&amp;B Inputs'!$I$4:$V$4,0)))</f>
        <v>666</v>
      </c>
      <c r="V65" s="64">
        <f>IF(V$8=0,0,INDEX('R&amp;B Inputs'!$I$27:$V$27,MATCH($B65,'R&amp;B Inputs'!$I$4:$V$4,0))+INDEX('R&amp;B Inputs'!$I$28:$V$28,MATCH($B65,'R&amp;B Inputs'!$I$4:$V$4,0)))</f>
        <v>666</v>
      </c>
      <c r="W65" s="64">
        <f>IF(W$8=0,0,INDEX('R&amp;B Inputs'!$I$27:$V$27,MATCH($B65,'R&amp;B Inputs'!$I$4:$V$4,0))+INDEX('R&amp;B Inputs'!$I$28:$V$28,MATCH($B65,'R&amp;B Inputs'!$I$4:$V$4,0)))</f>
        <v>666</v>
      </c>
      <c r="X65" s="64">
        <f>IF(X$8=0,0,INDEX('R&amp;B Inputs'!$I$27:$V$27,MATCH($B65,'R&amp;B Inputs'!$I$4:$V$4,0))+INDEX('R&amp;B Inputs'!$I$28:$V$28,MATCH($B65,'R&amp;B Inputs'!$I$4:$V$4,0)))</f>
        <v>666</v>
      </c>
      <c r="Y65" s="64">
        <f>IF(Y$8=0,0,INDEX('R&amp;B Inputs'!$I$27:$V$27,MATCH($B65,'R&amp;B Inputs'!$I$4:$V$4,0))+INDEX('R&amp;B Inputs'!$I$28:$V$28,MATCH($B65,'R&amp;B Inputs'!$I$4:$V$4,0)))</f>
        <v>666</v>
      </c>
      <c r="Z65" s="64">
        <f>IF(Z$8=0,0,INDEX('R&amp;B Inputs'!$I$27:$V$27,MATCH($B65,'R&amp;B Inputs'!$I$4:$V$4,0))+INDEX('R&amp;B Inputs'!$I$28:$V$28,MATCH($B65,'R&amp;B Inputs'!$I$4:$V$4,0)))</f>
        <v>666</v>
      </c>
      <c r="AA65" s="64">
        <f>IF(AA$8=0,0,INDEX('R&amp;B Inputs'!$I$27:$V$27,MATCH($B65,'R&amp;B Inputs'!$I$4:$V$4,0))+INDEX('R&amp;B Inputs'!$I$28:$V$28,MATCH($B65,'R&amp;B Inputs'!$I$4:$V$4,0)))</f>
        <v>666</v>
      </c>
      <c r="AB65" s="64">
        <f>IF(AB$8=0,0,INDEX('R&amp;B Inputs'!$I$27:$V$27,MATCH($B65,'R&amp;B Inputs'!$I$4:$V$4,0))+INDEX('R&amp;B Inputs'!$I$28:$V$28,MATCH($B65,'R&amp;B Inputs'!$I$4:$V$4,0)))</f>
        <v>666</v>
      </c>
      <c r="AC65" s="64">
        <f>IF(AC$8=0,0,INDEX('R&amp;B Inputs'!$I$27:$V$27,MATCH($B65,'R&amp;B Inputs'!$I$4:$V$4,0))+INDEX('R&amp;B Inputs'!$I$28:$V$28,MATCH($B65,'R&amp;B Inputs'!$I$4:$V$4,0)))</f>
        <v>666</v>
      </c>
      <c r="AD65" s="64">
        <f>IF(AD$8=0,0,INDEX('R&amp;B Inputs'!$I$27:$V$27,MATCH($B65,'R&amp;B Inputs'!$I$4:$V$4,0))+INDEX('R&amp;B Inputs'!$I$28:$V$28,MATCH($B65,'R&amp;B Inputs'!$I$4:$V$4,0)))</f>
        <v>666</v>
      </c>
      <c r="AE65" s="64">
        <f>IF(AE$8=0,0,INDEX('R&amp;B Inputs'!$I$27:$V$27,MATCH($B65,'R&amp;B Inputs'!$I$4:$V$4,0))+INDEX('R&amp;B Inputs'!$I$28:$V$28,MATCH($B65,'R&amp;B Inputs'!$I$4:$V$4,0)))</f>
        <v>666</v>
      </c>
      <c r="AF65" s="64">
        <f>IF(AF$8=0,0,INDEX('R&amp;B Inputs'!$I$27:$V$27,MATCH($B65,'R&amp;B Inputs'!$I$4:$V$4,0))+INDEX('R&amp;B Inputs'!$I$28:$V$28,MATCH($B65,'R&amp;B Inputs'!$I$4:$V$4,0)))</f>
        <v>666</v>
      </c>
      <c r="AG65" s="64">
        <f>IF(AG$8=0,0,INDEX('R&amp;B Inputs'!$I$27:$V$27,MATCH($B65,'R&amp;B Inputs'!$I$4:$V$4,0))+INDEX('R&amp;B Inputs'!$I$28:$V$28,MATCH($B65,'R&amp;B Inputs'!$I$4:$V$4,0)))</f>
        <v>666</v>
      </c>
      <c r="AH65" s="64"/>
      <c r="AI65" s="64"/>
      <c r="AJ65" s="720"/>
      <c r="AM65" s="71">
        <f>IF(AM$8=0,0,INDEX('R&amp;B Inputs'!$I$27:$V$27,MATCH($B65,'R&amp;B Inputs'!$I$4:$V$4,0))+INDEX('R&amp;B Inputs'!$I$28:$V$28,MATCH($B65,'R&amp;B Inputs'!$I$4:$V$4,0)))</f>
        <v>0</v>
      </c>
      <c r="AN65" s="71">
        <f>IF(AN$8=0,0,INDEX('R&amp;B Inputs'!$I$27:$V$27,MATCH($B65,'R&amp;B Inputs'!$I$4:$V$4,0))+INDEX('R&amp;B Inputs'!$I$28:$V$28,MATCH($B65,'R&amp;B Inputs'!$I$4:$V$4,0)))</f>
        <v>666</v>
      </c>
      <c r="AO65" s="71">
        <f>IF(AO$8=0,0,INDEX('R&amp;B Inputs'!$I$27:$V$27,MATCH($B65,'R&amp;B Inputs'!$I$4:$V$4,0))+INDEX('R&amp;B Inputs'!$I$28:$V$28,MATCH($B65,'R&amp;B Inputs'!$I$4:$V$4,0)))</f>
        <v>666</v>
      </c>
      <c r="AP65" s="71">
        <f>IF(AP$8=0,0,INDEX('R&amp;B Inputs'!$I$27:$V$27,MATCH($B65,'R&amp;B Inputs'!$I$4:$V$4,0))+INDEX('R&amp;B Inputs'!$I$28:$V$28,MATCH($B65,'R&amp;B Inputs'!$I$4:$V$4,0)))</f>
        <v>666</v>
      </c>
      <c r="AQ65" s="71">
        <f>IF(AQ$8=0,0,INDEX('R&amp;B Inputs'!$I$27:$V$27,MATCH($B65,'R&amp;B Inputs'!$I$4:$V$4,0))+INDEX('R&amp;B Inputs'!$I$28:$V$28,MATCH($B65,'R&amp;B Inputs'!$I$4:$V$4,0)))</f>
        <v>666</v>
      </c>
      <c r="AR65" s="71">
        <f>IF(AR$8=0,0,INDEX('R&amp;B Inputs'!$I$27:$V$27,MATCH($B65,'R&amp;B Inputs'!$I$4:$V$4,0))+INDEX('R&amp;B Inputs'!$I$28:$V$28,MATCH($B65,'R&amp;B Inputs'!$I$4:$V$4,0)))</f>
        <v>666</v>
      </c>
      <c r="AS65" s="71">
        <f>IF(AS$8=0,0,INDEX('R&amp;B Inputs'!$I$27:$V$27,MATCH($B65,'R&amp;B Inputs'!$I$4:$V$4,0))+INDEX('R&amp;B Inputs'!$I$28:$V$28,MATCH($B65,'R&amp;B Inputs'!$I$4:$V$4,0)))</f>
        <v>666</v>
      </c>
      <c r="AT65" s="71">
        <f>IF(AT$8=0,0,INDEX('R&amp;B Inputs'!$I$27:$V$27,MATCH($B65,'R&amp;B Inputs'!$I$4:$V$4,0))+INDEX('R&amp;B Inputs'!$I$28:$V$28,MATCH($B65,'R&amp;B Inputs'!$I$4:$V$4,0)))</f>
        <v>666</v>
      </c>
      <c r="AU65" s="71">
        <f>IF(AU$8=0,0,INDEX('R&amp;B Inputs'!$I$27:$V$27,MATCH($B65,'R&amp;B Inputs'!$I$4:$V$4,0))+INDEX('R&amp;B Inputs'!$I$28:$V$28,MATCH($B65,'R&amp;B Inputs'!$I$4:$V$4,0)))</f>
        <v>666</v>
      </c>
      <c r="AV65" s="71">
        <f>IF(AV$8=0,0,INDEX('R&amp;B Inputs'!$I$27:$V$27,MATCH($B65,'R&amp;B Inputs'!$I$4:$V$4,0))+INDEX('R&amp;B Inputs'!$I$28:$V$28,MATCH($B65,'R&amp;B Inputs'!$I$4:$V$4,0)))</f>
        <v>666</v>
      </c>
      <c r="AW65" s="71">
        <f>IF(AW$8=0,0,INDEX('R&amp;B Inputs'!$I$27:$V$27,MATCH($B65,'R&amp;B Inputs'!$I$4:$V$4,0))+INDEX('R&amp;B Inputs'!$I$28:$V$28,MATCH($B65,'R&amp;B Inputs'!$I$4:$V$4,0)))</f>
        <v>666</v>
      </c>
      <c r="AX65" s="71">
        <f>IF(AX$8=0,0,INDEX('R&amp;B Inputs'!$I$27:$V$27,MATCH($B65,'R&amp;B Inputs'!$I$4:$V$4,0))+INDEX('R&amp;B Inputs'!$I$28:$V$28,MATCH($B65,'R&amp;B Inputs'!$I$4:$V$4,0)))</f>
        <v>666</v>
      </c>
      <c r="AY65" s="71">
        <f>IF(AY$8=0,0,INDEX('R&amp;B Inputs'!$I$27:$V$27,MATCH($B65,'R&amp;B Inputs'!$I$4:$V$4,0))+INDEX('R&amp;B Inputs'!$I$28:$V$28,MATCH($B65,'R&amp;B Inputs'!$I$4:$V$4,0)))</f>
        <v>666</v>
      </c>
      <c r="AZ65" s="71">
        <f>IF(AZ$8=0,0,INDEX('R&amp;B Inputs'!$I$27:$V$27,MATCH($B65,'R&amp;B Inputs'!$I$4:$V$4,0))+INDEX('R&amp;B Inputs'!$I$28:$V$28,MATCH($B65,'R&amp;B Inputs'!$I$4:$V$4,0)))</f>
        <v>666</v>
      </c>
      <c r="BA65" s="71">
        <f>IF(BA$8=0,0,INDEX('R&amp;B Inputs'!$I$27:$V$27,MATCH($B65,'R&amp;B Inputs'!$I$4:$V$4,0))+INDEX('R&amp;B Inputs'!$I$28:$V$28,MATCH($B65,'R&amp;B Inputs'!$I$4:$V$4,0)))</f>
        <v>666</v>
      </c>
      <c r="BB65" s="71">
        <f>IF(BB$8=0,0,INDEX('R&amp;B Inputs'!$I$27:$V$27,MATCH($B65,'R&amp;B Inputs'!$I$4:$V$4,0))+INDEX('R&amp;B Inputs'!$I$28:$V$28,MATCH($B65,'R&amp;B Inputs'!$I$4:$V$4,0)))</f>
        <v>666</v>
      </c>
      <c r="BC65" s="71">
        <f>IF(BC$8=0,0,INDEX('R&amp;B Inputs'!$I$27:$V$27,MATCH($B65,'R&amp;B Inputs'!$I$4:$V$4,0))+INDEX('R&amp;B Inputs'!$I$28:$V$28,MATCH($B65,'R&amp;B Inputs'!$I$4:$V$4,0)))</f>
        <v>666</v>
      </c>
      <c r="BD65" s="71">
        <f>IF(BD$8=0,0,INDEX('R&amp;B Inputs'!$I$27:$V$27,MATCH($B65,'R&amp;B Inputs'!$I$4:$V$4,0))+INDEX('R&amp;B Inputs'!$I$28:$V$28,MATCH($B65,'R&amp;B Inputs'!$I$4:$V$4,0)))</f>
        <v>666</v>
      </c>
      <c r="BE65" s="71">
        <f>IF(BE$8=0,0,INDEX('R&amp;B Inputs'!$I$27:$V$27,MATCH($B65,'R&amp;B Inputs'!$I$4:$V$4,0))+INDEX('R&amp;B Inputs'!$I$28:$V$28,MATCH($B65,'R&amp;B Inputs'!$I$4:$V$4,0)))</f>
        <v>666</v>
      </c>
      <c r="BF65" s="71">
        <f>IF(BF$8=0,0,INDEX('R&amp;B Inputs'!$I$27:$V$27,MATCH($B65,'R&amp;B Inputs'!$I$4:$V$4,0))+INDEX('R&amp;B Inputs'!$I$28:$V$28,MATCH($B65,'R&amp;B Inputs'!$I$4:$V$4,0)))</f>
        <v>666</v>
      </c>
      <c r="BG65" s="71">
        <f>IF(BG$8=0,0,INDEX('R&amp;B Inputs'!$I$27:$V$27,MATCH($B65,'R&amp;B Inputs'!$I$4:$V$4,0))+INDEX('R&amp;B Inputs'!$I$28:$V$28,MATCH($B65,'R&amp;B Inputs'!$I$4:$V$4,0)))</f>
        <v>666</v>
      </c>
      <c r="BH65" s="71">
        <f>IF(BH$8=0,0,INDEX('R&amp;B Inputs'!$I$27:$V$27,MATCH($B65,'R&amp;B Inputs'!$I$4:$V$4,0))+INDEX('R&amp;B Inputs'!$I$28:$V$28,MATCH($B65,'R&amp;B Inputs'!$I$4:$V$4,0)))</f>
        <v>666</v>
      </c>
      <c r="BI65" s="71">
        <f>IF(BI$8=0,0,INDEX('R&amp;B Inputs'!$I$27:$V$27,MATCH($B65,'R&amp;B Inputs'!$I$4:$V$4,0))+INDEX('R&amp;B Inputs'!$I$28:$V$28,MATCH($B65,'R&amp;B Inputs'!$I$4:$V$4,0)))</f>
        <v>666</v>
      </c>
      <c r="BJ65" s="71">
        <f>IF(BJ$8=0,0,INDEX('R&amp;B Inputs'!$I$27:$V$27,MATCH($B65,'R&amp;B Inputs'!$I$4:$V$4,0))+INDEX('R&amp;B Inputs'!$I$28:$V$28,MATCH($B65,'R&amp;B Inputs'!$I$4:$V$4,0)))</f>
        <v>666</v>
      </c>
      <c r="BK65" s="71">
        <f>IF(BK$8=0,0,INDEX('R&amp;B Inputs'!$I$27:$V$27,MATCH($B65,'R&amp;B Inputs'!$I$4:$V$4,0))+INDEX('R&amp;B Inputs'!$I$28:$V$28,MATCH($B65,'R&amp;B Inputs'!$I$4:$V$4,0)))</f>
        <v>666</v>
      </c>
      <c r="BL65" s="71">
        <f>IF(BL$8=0,0,INDEX('R&amp;B Inputs'!$I$27:$V$27,MATCH($B65,'R&amp;B Inputs'!$I$4:$V$4,0))+INDEX('R&amp;B Inputs'!$I$28:$V$28,MATCH($B65,'R&amp;B Inputs'!$I$4:$V$4,0)))</f>
        <v>666</v>
      </c>
      <c r="BM65" s="71">
        <f>IF(BM$8=0,0,INDEX('R&amp;B Inputs'!$I$27:$V$27,MATCH($B65,'R&amp;B Inputs'!$I$4:$V$4,0))+INDEX('R&amp;B Inputs'!$I$28:$V$28,MATCH($B65,'R&amp;B Inputs'!$I$4:$V$4,0)))</f>
        <v>666</v>
      </c>
      <c r="BN65" s="71"/>
      <c r="BO65" s="71"/>
      <c r="BP65" s="149"/>
      <c r="BS65" s="76" t="s">
        <v>96</v>
      </c>
      <c r="BT65" s="51" t="s">
        <v>17</v>
      </c>
    </row>
    <row r="66" spans="1:72" x14ac:dyDescent="0.25">
      <c r="B66" s="243" t="str">
        <f t="shared" si="49"/>
        <v>Residential</v>
      </c>
      <c r="C66" s="243" t="str">
        <f t="shared" si="49"/>
        <v>Bills</v>
      </c>
      <c r="D66" s="244" t="str">
        <f>D65</f>
        <v>Bills before DSM (No EE Scenario, Non-Participant)</v>
      </c>
      <c r="E66" s="84" t="s">
        <v>77</v>
      </c>
      <c r="F66" s="84" t="s">
        <v>32</v>
      </c>
      <c r="G66" s="103">
        <f>G64+G65*(G42-G41)</f>
        <v>0</v>
      </c>
      <c r="H66" s="103">
        <f>H64+H65*(H42-H41)</f>
        <v>944.43719999999973</v>
      </c>
      <c r="I66" s="103">
        <f t="shared" ref="I66:AG66" si="53">I64+I65*(I42-I41)</f>
        <v>944.43719999999973</v>
      </c>
      <c r="J66" s="103">
        <f t="shared" si="53"/>
        <v>944.43719999999973</v>
      </c>
      <c r="K66" s="103">
        <f t="shared" si="53"/>
        <v>944.43719999999973</v>
      </c>
      <c r="L66" s="103">
        <f t="shared" si="53"/>
        <v>944.43719999999973</v>
      </c>
      <c r="M66" s="103">
        <f t="shared" si="53"/>
        <v>944.43719999999973</v>
      </c>
      <c r="N66" s="103">
        <f t="shared" si="53"/>
        <v>944.43719999999973</v>
      </c>
      <c r="O66" s="103">
        <f t="shared" si="53"/>
        <v>944.43719999999973</v>
      </c>
      <c r="P66" s="103">
        <f t="shared" si="53"/>
        <v>944.43719999999973</v>
      </c>
      <c r="Q66" s="103">
        <f t="shared" si="53"/>
        <v>944.43719999999973</v>
      </c>
      <c r="R66" s="103">
        <f t="shared" si="53"/>
        <v>944.43719999999973</v>
      </c>
      <c r="S66" s="103">
        <f t="shared" si="53"/>
        <v>944.43719999999973</v>
      </c>
      <c r="T66" s="103">
        <f t="shared" si="53"/>
        <v>944.43719999999973</v>
      </c>
      <c r="U66" s="103">
        <f t="shared" si="53"/>
        <v>944.43719999999973</v>
      </c>
      <c r="V66" s="103">
        <f t="shared" si="53"/>
        <v>944.43719999999973</v>
      </c>
      <c r="W66" s="103">
        <f t="shared" si="53"/>
        <v>944.43719999999973</v>
      </c>
      <c r="X66" s="103">
        <f t="shared" si="53"/>
        <v>944.43719999999973</v>
      </c>
      <c r="Y66" s="103">
        <f t="shared" si="53"/>
        <v>944.43719999999973</v>
      </c>
      <c r="Z66" s="103">
        <f t="shared" si="53"/>
        <v>944.43719999999973</v>
      </c>
      <c r="AA66" s="103">
        <f t="shared" si="53"/>
        <v>944.43719999999973</v>
      </c>
      <c r="AB66" s="103">
        <f t="shared" si="53"/>
        <v>944.43719999999973</v>
      </c>
      <c r="AC66" s="103">
        <f t="shared" si="53"/>
        <v>944.43719999999973</v>
      </c>
      <c r="AD66" s="103">
        <f t="shared" si="53"/>
        <v>944.43719999999973</v>
      </c>
      <c r="AE66" s="103">
        <f t="shared" si="53"/>
        <v>944.43719999999973</v>
      </c>
      <c r="AF66" s="103">
        <f t="shared" si="53"/>
        <v>944.43719999999973</v>
      </c>
      <c r="AG66" s="103">
        <f t="shared" si="53"/>
        <v>944.43719999999973</v>
      </c>
      <c r="AH66" s="103"/>
      <c r="AI66" s="103"/>
      <c r="AJ66" s="720">
        <f>IF($C$4=Year1,-PMT(Lookups!$E$17,25,NPV(Lookups!$E$17,G66:AE66),0,1),IF($C$4=Year2,-PMT(Lookups!$F$17,25,NPV(Lookups!$F$17,H66:AF66),0,1),IF($C$4=Year3,-PMT(Lookups!$G$17,25,NPV(Lookups!$G$17,I66:AG66),0,1),-PMT(Lookups!$G$17,27,NPV(Lookups!$G$17,G66:AG66),0,1))))</f>
        <v>931.26538820338953</v>
      </c>
      <c r="AM66" s="149">
        <f>AM64+AM65*(AM42-AM41)</f>
        <v>0</v>
      </c>
      <c r="AN66" s="149">
        <f>AN64+AN65*(AN42-AN41)</f>
        <v>944.43719999999973</v>
      </c>
      <c r="AO66" s="149">
        <f t="shared" ref="AO66:BM66" si="54">AO64+AO65*(AO42-AO41)</f>
        <v>944.43719999999973</v>
      </c>
      <c r="AP66" s="149">
        <f t="shared" si="54"/>
        <v>944.43719999999973</v>
      </c>
      <c r="AQ66" s="149">
        <f t="shared" si="54"/>
        <v>944.43719999999973</v>
      </c>
      <c r="AR66" s="149">
        <f t="shared" si="54"/>
        <v>944.43719999999973</v>
      </c>
      <c r="AS66" s="149">
        <f t="shared" si="54"/>
        <v>944.43719999999973</v>
      </c>
      <c r="AT66" s="149">
        <f t="shared" si="54"/>
        <v>944.43719999999973</v>
      </c>
      <c r="AU66" s="149">
        <f t="shared" si="54"/>
        <v>944.43719999999973</v>
      </c>
      <c r="AV66" s="149">
        <f t="shared" si="54"/>
        <v>944.43719999999973</v>
      </c>
      <c r="AW66" s="149">
        <f t="shared" si="54"/>
        <v>944.43719999999973</v>
      </c>
      <c r="AX66" s="149">
        <f t="shared" si="54"/>
        <v>944.43719999999973</v>
      </c>
      <c r="AY66" s="149">
        <f t="shared" si="54"/>
        <v>944.43719999999973</v>
      </c>
      <c r="AZ66" s="149">
        <f t="shared" si="54"/>
        <v>944.43719999999973</v>
      </c>
      <c r="BA66" s="149">
        <f t="shared" si="54"/>
        <v>944.43719999999973</v>
      </c>
      <c r="BB66" s="149">
        <f t="shared" si="54"/>
        <v>944.43719999999973</v>
      </c>
      <c r="BC66" s="149">
        <f t="shared" si="54"/>
        <v>944.43719999999973</v>
      </c>
      <c r="BD66" s="149">
        <f t="shared" si="54"/>
        <v>944.43719999999973</v>
      </c>
      <c r="BE66" s="149">
        <f t="shared" si="54"/>
        <v>944.43719999999973</v>
      </c>
      <c r="BF66" s="149">
        <f t="shared" si="54"/>
        <v>944.43719999999973</v>
      </c>
      <c r="BG66" s="149">
        <f t="shared" si="54"/>
        <v>944.43719999999973</v>
      </c>
      <c r="BH66" s="149">
        <f t="shared" si="54"/>
        <v>944.43719999999973</v>
      </c>
      <c r="BI66" s="149">
        <f t="shared" si="54"/>
        <v>944.43719999999973</v>
      </c>
      <c r="BJ66" s="149">
        <f t="shared" si="54"/>
        <v>944.43719999999973</v>
      </c>
      <c r="BK66" s="149">
        <f t="shared" si="54"/>
        <v>944.43719999999973</v>
      </c>
      <c r="BL66" s="149">
        <f t="shared" si="54"/>
        <v>944.43719999999973</v>
      </c>
      <c r="BM66" s="149">
        <f t="shared" si="54"/>
        <v>944.43719999999973</v>
      </c>
      <c r="BN66" s="149"/>
      <c r="BO66" s="149"/>
      <c r="BP66" s="149">
        <f>IF($C$4=Year1,-PMT(Lookups!$E$17,25,NPV(Lookups!$E$17,AM66:BK66),0,1),IF($C$4=Year2,-PMT(Lookups!$F$17,25,NPV(Lookups!$F$17,AN66:BL66),0,1),IF($C$4=Year3,-PMT(Lookups!$G$17,25,NPV(Lookups!$G$17,AO66:BM66),0,1),-PMT(Lookups!$G$17,27,NPV(Lookups!$G$17,AM66:BM66),0,1))))</f>
        <v>931.26538820338953</v>
      </c>
      <c r="BS66" s="84" t="s">
        <v>97</v>
      </c>
      <c r="BT66" s="51" t="s">
        <v>17</v>
      </c>
    </row>
    <row r="67" spans="1:72" x14ac:dyDescent="0.25">
      <c r="B67" s="243" t="str">
        <f t="shared" si="49"/>
        <v>Residential</v>
      </c>
      <c r="C67" s="243" t="str">
        <f t="shared" si="49"/>
        <v>Bills</v>
      </c>
      <c r="D67" s="114" t="s">
        <v>347</v>
      </c>
      <c r="E67" s="84"/>
      <c r="F67" s="84"/>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720"/>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S67" s="84"/>
      <c r="BT67" s="51" t="s">
        <v>17</v>
      </c>
    </row>
    <row r="68" spans="1:72" x14ac:dyDescent="0.25">
      <c r="B68" s="243" t="str">
        <f t="shared" si="49"/>
        <v>Residential</v>
      </c>
      <c r="C68" s="243" t="str">
        <f t="shared" si="49"/>
        <v>Bills</v>
      </c>
      <c r="D68" s="244" t="str">
        <f>D67</f>
        <v>Annual Savings from DSM Scenario</v>
      </c>
      <c r="E68" s="84" t="s">
        <v>78</v>
      </c>
      <c r="F68" s="84" t="s">
        <v>195</v>
      </c>
      <c r="G68" s="65">
        <f t="shared" ref="G68:AG68" ca="1" si="55">IFERROR(G16/G11,0)</f>
        <v>0</v>
      </c>
      <c r="H68" s="65">
        <f t="shared" ca="1" si="55"/>
        <v>5.3086836076591011</v>
      </c>
      <c r="I68" s="65">
        <f t="shared" ca="1" si="55"/>
        <v>5.3086836076591011</v>
      </c>
      <c r="J68" s="65">
        <f t="shared" ca="1" si="55"/>
        <v>5.3086836076591011</v>
      </c>
      <c r="K68" s="65">
        <f t="shared" ca="1" si="55"/>
        <v>5.3086836076591011</v>
      </c>
      <c r="L68" s="65">
        <f t="shared" ca="1" si="55"/>
        <v>5.3086836076591011</v>
      </c>
      <c r="M68" s="65">
        <f t="shared" ca="1" si="55"/>
        <v>5.3086836076591011</v>
      </c>
      <c r="N68" s="65">
        <f t="shared" ca="1" si="55"/>
        <v>5.3086836076591011</v>
      </c>
      <c r="O68" s="65">
        <f t="shared" ca="1" si="55"/>
        <v>5.3086836076591011</v>
      </c>
      <c r="P68" s="65">
        <f t="shared" ca="1" si="55"/>
        <v>5.3086836076591011</v>
      </c>
      <c r="Q68" s="65">
        <f t="shared" ca="1" si="55"/>
        <v>5.3086836076591011</v>
      </c>
      <c r="R68" s="65">
        <f t="shared" ca="1" si="55"/>
        <v>5.3086836076591011</v>
      </c>
      <c r="S68" s="65">
        <f t="shared" ca="1" si="55"/>
        <v>5.3086836076591011</v>
      </c>
      <c r="T68" s="65">
        <f t="shared" ca="1" si="55"/>
        <v>5.3086836076591011</v>
      </c>
      <c r="U68" s="65">
        <f t="shared" ca="1" si="55"/>
        <v>5.3086836076591011</v>
      </c>
      <c r="V68" s="65">
        <f t="shared" ca="1" si="55"/>
        <v>5.3086836076591011</v>
      </c>
      <c r="W68" s="65">
        <f t="shared" ca="1" si="55"/>
        <v>0</v>
      </c>
      <c r="X68" s="65">
        <f t="shared" ca="1" si="55"/>
        <v>0</v>
      </c>
      <c r="Y68" s="65">
        <f t="shared" ca="1" si="55"/>
        <v>0</v>
      </c>
      <c r="Z68" s="65">
        <f t="shared" ca="1" si="55"/>
        <v>0</v>
      </c>
      <c r="AA68" s="65">
        <f t="shared" ca="1" si="55"/>
        <v>0</v>
      </c>
      <c r="AB68" s="65">
        <f t="shared" ca="1" si="55"/>
        <v>0</v>
      </c>
      <c r="AC68" s="65">
        <f t="shared" ca="1" si="55"/>
        <v>0</v>
      </c>
      <c r="AD68" s="65">
        <f t="shared" ca="1" si="55"/>
        <v>0</v>
      </c>
      <c r="AE68" s="65">
        <f t="shared" ca="1" si="55"/>
        <v>0</v>
      </c>
      <c r="AF68" s="65">
        <f t="shared" ca="1" si="55"/>
        <v>0</v>
      </c>
      <c r="AG68" s="65">
        <f t="shared" ca="1" si="55"/>
        <v>0</v>
      </c>
      <c r="AH68" s="65"/>
      <c r="AI68" s="65"/>
      <c r="AJ68" s="720"/>
      <c r="AM68" s="645">
        <f ca="1">IFERROR(AM16/AM11,0)</f>
        <v>0</v>
      </c>
      <c r="AN68" s="645">
        <f t="shared" ref="AN68:BM68" ca="1" si="56">IFERROR(AN16/AN11,0)</f>
        <v>6.0670669801818295</v>
      </c>
      <c r="AO68" s="645">
        <f t="shared" ca="1" si="56"/>
        <v>6.0670669801818295</v>
      </c>
      <c r="AP68" s="645">
        <f t="shared" ca="1" si="56"/>
        <v>6.0670669801818295</v>
      </c>
      <c r="AQ68" s="645">
        <f t="shared" ca="1" si="56"/>
        <v>6.0670669801818295</v>
      </c>
      <c r="AR68" s="645">
        <f t="shared" ca="1" si="56"/>
        <v>6.0670669801818295</v>
      </c>
      <c r="AS68" s="645">
        <f t="shared" ca="1" si="56"/>
        <v>6.0670669801818295</v>
      </c>
      <c r="AT68" s="645">
        <f t="shared" ca="1" si="56"/>
        <v>6.0670669801818295</v>
      </c>
      <c r="AU68" s="645">
        <f t="shared" ca="1" si="56"/>
        <v>6.0670669801818295</v>
      </c>
      <c r="AV68" s="645">
        <f t="shared" ca="1" si="56"/>
        <v>6.0670669801818295</v>
      </c>
      <c r="AW68" s="645">
        <f t="shared" ca="1" si="56"/>
        <v>6.0670669801818295</v>
      </c>
      <c r="AX68" s="645">
        <f t="shared" ca="1" si="56"/>
        <v>6.0670669801818295</v>
      </c>
      <c r="AY68" s="645">
        <f t="shared" ca="1" si="56"/>
        <v>6.0670669801818295</v>
      </c>
      <c r="AZ68" s="645">
        <f t="shared" ca="1" si="56"/>
        <v>6.0670669801818295</v>
      </c>
      <c r="BA68" s="645">
        <f t="shared" ca="1" si="56"/>
        <v>6.0670669801818295</v>
      </c>
      <c r="BB68" s="645">
        <f t="shared" ca="1" si="56"/>
        <v>6.0670669801818295</v>
      </c>
      <c r="BC68" s="645">
        <f t="shared" ca="1" si="56"/>
        <v>0</v>
      </c>
      <c r="BD68" s="645">
        <f t="shared" ca="1" si="56"/>
        <v>0</v>
      </c>
      <c r="BE68" s="645">
        <f t="shared" ca="1" si="56"/>
        <v>0</v>
      </c>
      <c r="BF68" s="645">
        <f t="shared" ca="1" si="56"/>
        <v>0</v>
      </c>
      <c r="BG68" s="645">
        <f t="shared" ca="1" si="56"/>
        <v>0</v>
      </c>
      <c r="BH68" s="645">
        <f t="shared" ca="1" si="56"/>
        <v>0</v>
      </c>
      <c r="BI68" s="645">
        <f t="shared" ca="1" si="56"/>
        <v>0</v>
      </c>
      <c r="BJ68" s="645">
        <f t="shared" ca="1" si="56"/>
        <v>0</v>
      </c>
      <c r="BK68" s="645">
        <f t="shared" ca="1" si="56"/>
        <v>0</v>
      </c>
      <c r="BL68" s="645">
        <f t="shared" ca="1" si="56"/>
        <v>0</v>
      </c>
      <c r="BM68" s="645">
        <f t="shared" ca="1" si="56"/>
        <v>0</v>
      </c>
      <c r="BN68" s="71"/>
      <c r="BO68" s="71"/>
      <c r="BP68" s="71"/>
      <c r="BS68" s="84" t="s">
        <v>104</v>
      </c>
      <c r="BT68" s="51" t="s">
        <v>17</v>
      </c>
    </row>
    <row r="69" spans="1:72" x14ac:dyDescent="0.25">
      <c r="A69" s="246"/>
      <c r="B69" s="243" t="str">
        <f t="shared" si="49"/>
        <v>Residential</v>
      </c>
      <c r="C69" s="243" t="str">
        <f t="shared" si="49"/>
        <v>Bills</v>
      </c>
      <c r="D69" s="244" t="str">
        <f>D68</f>
        <v>Annual Savings from DSM Scenario</v>
      </c>
      <c r="E69" s="84" t="str">
        <f>'EE Inputs'!$N$15&amp;" Participant"</f>
        <v>Low Savings Participant</v>
      </c>
      <c r="F69" s="84" t="s">
        <v>195</v>
      </c>
      <c r="G69" s="64" cm="1">
        <f t="array" aca="1" ref="G69" ca="1">IF($C$4=Lookups!$D$40,INDIRECT("'Yr1'!"&amp;ADDRESS(ROW(G69),COLUMN(G69))),
IF(G12=0,0,SUMIFS('EE Inputs'!$S$9:$S$32,'EE Inputs'!$C$9:$C$32,$G$6,'EE Inputs'!$D$9:$D$32,$C$4,'EE Inputs'!$E$9:$E$32,$B69)))</f>
        <v>0</v>
      </c>
      <c r="H69" s="64" cm="1">
        <f t="array" aca="1" ref="H69" ca="1">IF($C$4=Lookups!$D$40,INDIRECT("'Yr1'!"&amp;ADDRESS(ROW(H69),COLUMN(H69))),
IF(H12=0,0,SUMIFS('EE Inputs'!$S$9:$S$32,'EE Inputs'!$C$9:$C$32,$G$6,'EE Inputs'!$D$9:$D$32,$C$4,'EE Inputs'!$E$9:$E$32,$B69)))</f>
        <v>6.66</v>
      </c>
      <c r="I69" s="64" cm="1">
        <f t="array" aca="1" ref="I69" ca="1">IF($C$4=Lookups!$D$40,INDIRECT("'Yr1'!"&amp;ADDRESS(ROW(I69),COLUMN(I69))),
IF(I12=0,0,SUMIFS('EE Inputs'!$S$9:$S$32,'EE Inputs'!$C$9:$C$32,$G$6,'EE Inputs'!$D$9:$D$32,$C$4,'EE Inputs'!$E$9:$E$32,$B69)))</f>
        <v>6.66</v>
      </c>
      <c r="J69" s="64" cm="1">
        <f t="array" aca="1" ref="J69" ca="1">IF($C$4=Lookups!$D$40,INDIRECT("'Yr1'!"&amp;ADDRESS(ROW(J69),COLUMN(J69))),
IF(J12=0,0,SUMIFS('EE Inputs'!$S$9:$S$32,'EE Inputs'!$C$9:$C$32,$G$6,'EE Inputs'!$D$9:$D$32,$C$4,'EE Inputs'!$E$9:$E$32,$B69)))</f>
        <v>6.66</v>
      </c>
      <c r="K69" s="64" cm="1">
        <f t="array" aca="1" ref="K69" ca="1">IF($C$4=Lookups!$D$40,INDIRECT("'Yr1'!"&amp;ADDRESS(ROW(K69),COLUMN(K69))),
IF(K12=0,0,SUMIFS('EE Inputs'!$S$9:$S$32,'EE Inputs'!$C$9:$C$32,$G$6,'EE Inputs'!$D$9:$D$32,$C$4,'EE Inputs'!$E$9:$E$32,$B69)))</f>
        <v>6.66</v>
      </c>
      <c r="L69" s="64" cm="1">
        <f t="array" aca="1" ref="L69" ca="1">IF($C$4=Lookups!$D$40,INDIRECT("'Yr1'!"&amp;ADDRESS(ROW(L69),COLUMN(L69))),
IF(L12=0,0,SUMIFS('EE Inputs'!$S$9:$S$32,'EE Inputs'!$C$9:$C$32,$G$6,'EE Inputs'!$D$9:$D$32,$C$4,'EE Inputs'!$E$9:$E$32,$B69)))</f>
        <v>6.66</v>
      </c>
      <c r="M69" s="64" cm="1">
        <f t="array" aca="1" ref="M69" ca="1">IF($C$4=Lookups!$D$40,INDIRECT("'Yr1'!"&amp;ADDRESS(ROW(M69),COLUMN(M69))),
IF(M12=0,0,SUMIFS('EE Inputs'!$S$9:$S$32,'EE Inputs'!$C$9:$C$32,$G$6,'EE Inputs'!$D$9:$D$32,$C$4,'EE Inputs'!$E$9:$E$32,$B69)))</f>
        <v>6.66</v>
      </c>
      <c r="N69" s="64" cm="1">
        <f t="array" aca="1" ref="N69" ca="1">IF($C$4=Lookups!$D$40,INDIRECT("'Yr1'!"&amp;ADDRESS(ROW(N69),COLUMN(N69))),
IF(N12=0,0,SUMIFS('EE Inputs'!$S$9:$S$32,'EE Inputs'!$C$9:$C$32,$G$6,'EE Inputs'!$D$9:$D$32,$C$4,'EE Inputs'!$E$9:$E$32,$B69)))</f>
        <v>6.66</v>
      </c>
      <c r="O69" s="64" cm="1">
        <f t="array" aca="1" ref="O69" ca="1">IF($C$4=Lookups!$D$40,INDIRECT("'Yr1'!"&amp;ADDRESS(ROW(O69),COLUMN(O69))),
IF(O12=0,0,SUMIFS('EE Inputs'!$S$9:$S$32,'EE Inputs'!$C$9:$C$32,$G$6,'EE Inputs'!$D$9:$D$32,$C$4,'EE Inputs'!$E$9:$E$32,$B69)))</f>
        <v>6.66</v>
      </c>
      <c r="P69" s="64" cm="1">
        <f t="array" aca="1" ref="P69" ca="1">IF($C$4=Lookups!$D$40,INDIRECT("'Yr1'!"&amp;ADDRESS(ROW(P69),COLUMN(P69))),
IF(P12=0,0,SUMIFS('EE Inputs'!$S$9:$S$32,'EE Inputs'!$C$9:$C$32,$G$6,'EE Inputs'!$D$9:$D$32,$C$4,'EE Inputs'!$E$9:$E$32,$B69)))</f>
        <v>6.66</v>
      </c>
      <c r="Q69" s="64" cm="1">
        <f t="array" aca="1" ref="Q69" ca="1">IF($C$4=Lookups!$D$40,INDIRECT("'Yr1'!"&amp;ADDRESS(ROW(Q69),COLUMN(Q69))),
IF(Q12=0,0,SUMIFS('EE Inputs'!$S$9:$S$32,'EE Inputs'!$C$9:$C$32,$G$6,'EE Inputs'!$D$9:$D$32,$C$4,'EE Inputs'!$E$9:$E$32,$B69)))</f>
        <v>6.66</v>
      </c>
      <c r="R69" s="64" cm="1">
        <f t="array" aca="1" ref="R69" ca="1">IF($C$4=Lookups!$D$40,INDIRECT("'Yr1'!"&amp;ADDRESS(ROW(R69),COLUMN(R69))),
IF(R12=0,0,SUMIFS('EE Inputs'!$S$9:$S$32,'EE Inputs'!$C$9:$C$32,$G$6,'EE Inputs'!$D$9:$D$32,$C$4,'EE Inputs'!$E$9:$E$32,$B69)))</f>
        <v>6.66</v>
      </c>
      <c r="S69" s="64" cm="1">
        <f t="array" aca="1" ref="S69" ca="1">IF($C$4=Lookups!$D$40,INDIRECT("'Yr1'!"&amp;ADDRESS(ROW(S69),COLUMN(S69))),
IF(S12=0,0,SUMIFS('EE Inputs'!$S$9:$S$32,'EE Inputs'!$C$9:$C$32,$G$6,'EE Inputs'!$D$9:$D$32,$C$4,'EE Inputs'!$E$9:$E$32,$B69)))</f>
        <v>6.66</v>
      </c>
      <c r="T69" s="64" cm="1">
        <f t="array" aca="1" ref="T69" ca="1">IF($C$4=Lookups!$D$40,INDIRECT("'Yr1'!"&amp;ADDRESS(ROW(T69),COLUMN(T69))),
IF(T12=0,0,SUMIFS('EE Inputs'!$S$9:$S$32,'EE Inputs'!$C$9:$C$32,$G$6,'EE Inputs'!$D$9:$D$32,$C$4,'EE Inputs'!$E$9:$E$32,$B69)))</f>
        <v>6.66</v>
      </c>
      <c r="U69" s="64" cm="1">
        <f t="array" aca="1" ref="U69" ca="1">IF($C$4=Lookups!$D$40,INDIRECT("'Yr1'!"&amp;ADDRESS(ROW(U69),COLUMN(U69))),
IF(U12=0,0,SUMIFS('EE Inputs'!$S$9:$S$32,'EE Inputs'!$C$9:$C$32,$G$6,'EE Inputs'!$D$9:$D$32,$C$4,'EE Inputs'!$E$9:$E$32,$B69)))</f>
        <v>6.66</v>
      </c>
      <c r="V69" s="64" cm="1">
        <f t="array" aca="1" ref="V69" ca="1">IF($C$4=Lookups!$D$40,INDIRECT("'Yr1'!"&amp;ADDRESS(ROW(V69),COLUMN(V69))),
IF(V12=0,0,SUMIFS('EE Inputs'!$S$9:$S$32,'EE Inputs'!$C$9:$C$32,$G$6,'EE Inputs'!$D$9:$D$32,$C$4,'EE Inputs'!$E$9:$E$32,$B69)))</f>
        <v>6.66</v>
      </c>
      <c r="W69" s="64" cm="1">
        <f t="array" aca="1" ref="W69" ca="1">IF($C$4=Lookups!$D$40,INDIRECT("'Yr1'!"&amp;ADDRESS(ROW(W69),COLUMN(W69))),
IF(W12=0,0,SUMIFS('EE Inputs'!$S$9:$S$32,'EE Inputs'!$C$9:$C$32,$G$6,'EE Inputs'!$D$9:$D$32,$C$4,'EE Inputs'!$E$9:$E$32,$B69)))</f>
        <v>0</v>
      </c>
      <c r="X69" s="64" cm="1">
        <f t="array" aca="1" ref="X69" ca="1">IF($C$4=Lookups!$D$40,INDIRECT("'Yr1'!"&amp;ADDRESS(ROW(X69),COLUMN(X69))),
IF(X12=0,0,SUMIFS('EE Inputs'!$S$9:$S$32,'EE Inputs'!$C$9:$C$32,$G$6,'EE Inputs'!$D$9:$D$32,$C$4,'EE Inputs'!$E$9:$E$32,$B69)))</f>
        <v>0</v>
      </c>
      <c r="Y69" s="64" cm="1">
        <f t="array" aca="1" ref="Y69" ca="1">IF($C$4=Lookups!$D$40,INDIRECT("'Yr1'!"&amp;ADDRESS(ROW(Y69),COLUMN(Y69))),
IF(Y12=0,0,SUMIFS('EE Inputs'!$S$9:$S$32,'EE Inputs'!$C$9:$C$32,$G$6,'EE Inputs'!$D$9:$D$32,$C$4,'EE Inputs'!$E$9:$E$32,$B69)))</f>
        <v>0</v>
      </c>
      <c r="Z69" s="64" cm="1">
        <f t="array" aca="1" ref="Z69" ca="1">IF($C$4=Lookups!$D$40,INDIRECT("'Yr1'!"&amp;ADDRESS(ROW(Z69),COLUMN(Z69))),
IF(Z12=0,0,SUMIFS('EE Inputs'!$S$9:$S$32,'EE Inputs'!$C$9:$C$32,$G$6,'EE Inputs'!$D$9:$D$32,$C$4,'EE Inputs'!$E$9:$E$32,$B69)))</f>
        <v>0</v>
      </c>
      <c r="AA69" s="64" cm="1">
        <f t="array" aca="1" ref="AA69" ca="1">IF($C$4=Lookups!$D$40,INDIRECT("'Yr1'!"&amp;ADDRESS(ROW(AA69),COLUMN(AA69))),
IF(AA12=0,0,SUMIFS('EE Inputs'!$S$9:$S$32,'EE Inputs'!$C$9:$C$32,$G$6,'EE Inputs'!$D$9:$D$32,$C$4,'EE Inputs'!$E$9:$E$32,$B69)))</f>
        <v>0</v>
      </c>
      <c r="AB69" s="64" cm="1">
        <f t="array" aca="1" ref="AB69" ca="1">IF($C$4=Lookups!$D$40,INDIRECT("'Yr1'!"&amp;ADDRESS(ROW(AB69),COLUMN(AB69))),
IF(AB12=0,0,SUMIFS('EE Inputs'!$S$9:$S$32,'EE Inputs'!$C$9:$C$32,$G$6,'EE Inputs'!$D$9:$D$32,$C$4,'EE Inputs'!$E$9:$E$32,$B69)))</f>
        <v>0</v>
      </c>
      <c r="AC69" s="64" cm="1">
        <f t="array" aca="1" ref="AC69" ca="1">IF($C$4=Lookups!$D$40,INDIRECT("'Yr1'!"&amp;ADDRESS(ROW(AC69),COLUMN(AC69))),
IF(AC12=0,0,SUMIFS('EE Inputs'!$S$9:$S$32,'EE Inputs'!$C$9:$C$32,$G$6,'EE Inputs'!$D$9:$D$32,$C$4,'EE Inputs'!$E$9:$E$32,$B69)))</f>
        <v>0</v>
      </c>
      <c r="AD69" s="64" cm="1">
        <f t="array" aca="1" ref="AD69" ca="1">IF($C$4=Lookups!$D$40,INDIRECT("'Yr1'!"&amp;ADDRESS(ROW(AD69),COLUMN(AD69))),
IF(AD12=0,0,SUMIFS('EE Inputs'!$S$9:$S$32,'EE Inputs'!$C$9:$C$32,$G$6,'EE Inputs'!$D$9:$D$32,$C$4,'EE Inputs'!$E$9:$E$32,$B69)))</f>
        <v>0</v>
      </c>
      <c r="AE69" s="64" cm="1">
        <f t="array" aca="1" ref="AE69" ca="1">IF($C$4=Lookups!$D$40,INDIRECT("'Yr1'!"&amp;ADDRESS(ROW(AE69),COLUMN(AE69))),
IF(AE12=0,0,SUMIFS('EE Inputs'!$S$9:$S$32,'EE Inputs'!$C$9:$C$32,$G$6,'EE Inputs'!$D$9:$D$32,$C$4,'EE Inputs'!$E$9:$E$32,$B69)))</f>
        <v>0</v>
      </c>
      <c r="AF69" s="64" cm="1">
        <f t="array" aca="1" ref="AF69" ca="1">IF($C$4=Lookups!$D$40,INDIRECT("'Yr1'!"&amp;ADDRESS(ROW(AF69),COLUMN(AF69))),
IF(AF12=0,0,SUMIFS('EE Inputs'!$S$9:$S$32,'EE Inputs'!$C$9:$C$32,$G$6,'EE Inputs'!$D$9:$D$32,$C$4,'EE Inputs'!$E$9:$E$32,$B69)))</f>
        <v>0</v>
      </c>
      <c r="AG69" s="64" cm="1">
        <f t="array" aca="1" ref="AG69" ca="1">IF($C$4=Lookups!$D$40,INDIRECT("'Yr1'!"&amp;ADDRESS(ROW(AG69),COLUMN(AG69))),
IF(AG12=0,0,SUMIFS('EE Inputs'!$S$9:$S$32,'EE Inputs'!$C$9:$C$32,$G$6,'EE Inputs'!$D$9:$D$32,$C$4,'EE Inputs'!$E$9:$E$32,$B69)))</f>
        <v>0</v>
      </c>
      <c r="AH69" s="64"/>
      <c r="AI69" s="64"/>
      <c r="AJ69" s="720"/>
      <c r="AM69" s="645" cm="1">
        <f t="array" aca="1" ref="AM69" ca="1">IF($C$4=Lookups!$D$40,INDIRECT("'Yr1'!"&amp;ADDRESS(ROW(AM69),COLUMN(AM69))),
IF(AM12=0,0,SUMIFS('EE Inputs'!$S$9:$S$32,'EE Inputs'!$C$9:$C$32,$AM$6,'EE Inputs'!$D$9:$D$32,$C$4,'EE Inputs'!$E$9:$E$32,$B69)))</f>
        <v>0</v>
      </c>
      <c r="AN69" s="645" cm="1">
        <f t="array" aca="1" ref="AN69" ca="1">IF($C$4=Lookups!$D$40,INDIRECT("'Yr1'!"&amp;ADDRESS(ROW(AN69),COLUMN(AN69))),
IF(AN12=0,0,SUMIFS('EE Inputs'!$S$9:$S$32,'EE Inputs'!$C$9:$C$32,$AM$6,'EE Inputs'!$D$9:$D$32,$C$4,'EE Inputs'!$E$9:$E$32,$B69)))</f>
        <v>7.992</v>
      </c>
      <c r="AO69" s="645" cm="1">
        <f t="array" aca="1" ref="AO69" ca="1">IF($C$4=Lookups!$D$40,INDIRECT("'Yr1'!"&amp;ADDRESS(ROW(AO69),COLUMN(AO69))),
IF(AO12=0,0,SUMIFS('EE Inputs'!$S$9:$S$32,'EE Inputs'!$C$9:$C$32,$AM$6,'EE Inputs'!$D$9:$D$32,$C$4,'EE Inputs'!$E$9:$E$32,$B69)))</f>
        <v>7.992</v>
      </c>
      <c r="AP69" s="645" cm="1">
        <f t="array" aca="1" ref="AP69" ca="1">IF($C$4=Lookups!$D$40,INDIRECT("'Yr1'!"&amp;ADDRESS(ROW(AP69),COLUMN(AP69))),
IF(AP12=0,0,SUMIFS('EE Inputs'!$S$9:$S$32,'EE Inputs'!$C$9:$C$32,$AM$6,'EE Inputs'!$D$9:$D$32,$C$4,'EE Inputs'!$E$9:$E$32,$B69)))</f>
        <v>7.992</v>
      </c>
      <c r="AQ69" s="645" cm="1">
        <f t="array" aca="1" ref="AQ69" ca="1">IF($C$4=Lookups!$D$40,INDIRECT("'Yr1'!"&amp;ADDRESS(ROW(AQ69),COLUMN(AQ69))),
IF(AQ12=0,0,SUMIFS('EE Inputs'!$S$9:$S$32,'EE Inputs'!$C$9:$C$32,$AM$6,'EE Inputs'!$D$9:$D$32,$C$4,'EE Inputs'!$E$9:$E$32,$B69)))</f>
        <v>7.992</v>
      </c>
      <c r="AR69" s="645" cm="1">
        <f t="array" aca="1" ref="AR69" ca="1">IF($C$4=Lookups!$D$40,INDIRECT("'Yr1'!"&amp;ADDRESS(ROW(AR69),COLUMN(AR69))),
IF(AR12=0,0,SUMIFS('EE Inputs'!$S$9:$S$32,'EE Inputs'!$C$9:$C$32,$AM$6,'EE Inputs'!$D$9:$D$32,$C$4,'EE Inputs'!$E$9:$E$32,$B69)))</f>
        <v>7.992</v>
      </c>
      <c r="AS69" s="645" cm="1">
        <f t="array" aca="1" ref="AS69" ca="1">IF($C$4=Lookups!$D$40,INDIRECT("'Yr1'!"&amp;ADDRESS(ROW(AS69),COLUMN(AS69))),
IF(AS12=0,0,SUMIFS('EE Inputs'!$S$9:$S$32,'EE Inputs'!$C$9:$C$32,$AM$6,'EE Inputs'!$D$9:$D$32,$C$4,'EE Inputs'!$E$9:$E$32,$B69)))</f>
        <v>7.992</v>
      </c>
      <c r="AT69" s="645" cm="1">
        <f t="array" aca="1" ref="AT69" ca="1">IF($C$4=Lookups!$D$40,INDIRECT("'Yr1'!"&amp;ADDRESS(ROW(AT69),COLUMN(AT69))),
IF(AT12=0,0,SUMIFS('EE Inputs'!$S$9:$S$32,'EE Inputs'!$C$9:$C$32,$AM$6,'EE Inputs'!$D$9:$D$32,$C$4,'EE Inputs'!$E$9:$E$32,$B69)))</f>
        <v>7.992</v>
      </c>
      <c r="AU69" s="645" cm="1">
        <f t="array" aca="1" ref="AU69" ca="1">IF($C$4=Lookups!$D$40,INDIRECT("'Yr1'!"&amp;ADDRESS(ROW(AU69),COLUMN(AU69))),
IF(AU12=0,0,SUMIFS('EE Inputs'!$S$9:$S$32,'EE Inputs'!$C$9:$C$32,$AM$6,'EE Inputs'!$D$9:$D$32,$C$4,'EE Inputs'!$E$9:$E$32,$B69)))</f>
        <v>7.992</v>
      </c>
      <c r="AV69" s="645" cm="1">
        <f t="array" aca="1" ref="AV69" ca="1">IF($C$4=Lookups!$D$40,INDIRECT("'Yr1'!"&amp;ADDRESS(ROW(AV69),COLUMN(AV69))),
IF(AV12=0,0,SUMIFS('EE Inputs'!$S$9:$S$32,'EE Inputs'!$C$9:$C$32,$AM$6,'EE Inputs'!$D$9:$D$32,$C$4,'EE Inputs'!$E$9:$E$32,$B69)))</f>
        <v>7.992</v>
      </c>
      <c r="AW69" s="645" cm="1">
        <f t="array" aca="1" ref="AW69" ca="1">IF($C$4=Lookups!$D$40,INDIRECT("'Yr1'!"&amp;ADDRESS(ROW(AW69),COLUMN(AW69))),
IF(AW12=0,0,SUMIFS('EE Inputs'!$S$9:$S$32,'EE Inputs'!$C$9:$C$32,$AM$6,'EE Inputs'!$D$9:$D$32,$C$4,'EE Inputs'!$E$9:$E$32,$B69)))</f>
        <v>7.992</v>
      </c>
      <c r="AX69" s="645" cm="1">
        <f t="array" aca="1" ref="AX69" ca="1">IF($C$4=Lookups!$D$40,INDIRECT("'Yr1'!"&amp;ADDRESS(ROW(AX69),COLUMN(AX69))),
IF(AX12=0,0,SUMIFS('EE Inputs'!$S$9:$S$32,'EE Inputs'!$C$9:$C$32,$AM$6,'EE Inputs'!$D$9:$D$32,$C$4,'EE Inputs'!$E$9:$E$32,$B69)))</f>
        <v>7.992</v>
      </c>
      <c r="AY69" s="645" cm="1">
        <f t="array" aca="1" ref="AY69" ca="1">IF($C$4=Lookups!$D$40,INDIRECT("'Yr1'!"&amp;ADDRESS(ROW(AY69),COLUMN(AY69))),
IF(AY12=0,0,SUMIFS('EE Inputs'!$S$9:$S$32,'EE Inputs'!$C$9:$C$32,$AM$6,'EE Inputs'!$D$9:$D$32,$C$4,'EE Inputs'!$E$9:$E$32,$B69)))</f>
        <v>7.992</v>
      </c>
      <c r="AZ69" s="645" cm="1">
        <f t="array" aca="1" ref="AZ69" ca="1">IF($C$4=Lookups!$D$40,INDIRECT("'Yr1'!"&amp;ADDRESS(ROW(AZ69),COLUMN(AZ69))),
IF(AZ12=0,0,SUMIFS('EE Inputs'!$S$9:$S$32,'EE Inputs'!$C$9:$C$32,$AM$6,'EE Inputs'!$D$9:$D$32,$C$4,'EE Inputs'!$E$9:$E$32,$B69)))</f>
        <v>7.992</v>
      </c>
      <c r="BA69" s="645" cm="1">
        <f t="array" aca="1" ref="BA69" ca="1">IF($C$4=Lookups!$D$40,INDIRECT("'Yr1'!"&amp;ADDRESS(ROW(BA69),COLUMN(BA69))),
IF(BA12=0,0,SUMIFS('EE Inputs'!$S$9:$S$32,'EE Inputs'!$C$9:$C$32,$AM$6,'EE Inputs'!$D$9:$D$32,$C$4,'EE Inputs'!$E$9:$E$32,$B69)))</f>
        <v>7.992</v>
      </c>
      <c r="BB69" s="645" cm="1">
        <f t="array" aca="1" ref="BB69" ca="1">IF($C$4=Lookups!$D$40,INDIRECT("'Yr1'!"&amp;ADDRESS(ROW(BB69),COLUMN(BB69))),
IF(BB12=0,0,SUMIFS('EE Inputs'!$S$9:$S$32,'EE Inputs'!$C$9:$C$32,$AM$6,'EE Inputs'!$D$9:$D$32,$C$4,'EE Inputs'!$E$9:$E$32,$B69)))</f>
        <v>7.992</v>
      </c>
      <c r="BC69" s="645" cm="1">
        <f t="array" aca="1" ref="BC69" ca="1">IF($C$4=Lookups!$D$40,INDIRECT("'Yr1'!"&amp;ADDRESS(ROW(BC69),COLUMN(BC69))),
IF(BC12=0,0,SUMIFS('EE Inputs'!$S$9:$S$32,'EE Inputs'!$C$9:$C$32,$AM$6,'EE Inputs'!$D$9:$D$32,$C$4,'EE Inputs'!$E$9:$E$32,$B69)))</f>
        <v>0</v>
      </c>
      <c r="BD69" s="645" cm="1">
        <f t="array" aca="1" ref="BD69" ca="1">IF($C$4=Lookups!$D$40,INDIRECT("'Yr1'!"&amp;ADDRESS(ROW(BD69),COLUMN(BD69))),
IF(BD12=0,0,SUMIFS('EE Inputs'!$S$9:$S$32,'EE Inputs'!$C$9:$C$32,$AM$6,'EE Inputs'!$D$9:$D$32,$C$4,'EE Inputs'!$E$9:$E$32,$B69)))</f>
        <v>0</v>
      </c>
      <c r="BE69" s="645" cm="1">
        <f t="array" aca="1" ref="BE69" ca="1">IF($C$4=Lookups!$D$40,INDIRECT("'Yr1'!"&amp;ADDRESS(ROW(BE69),COLUMN(BE69))),
IF(BE12=0,0,SUMIFS('EE Inputs'!$S$9:$S$32,'EE Inputs'!$C$9:$C$32,$AM$6,'EE Inputs'!$D$9:$D$32,$C$4,'EE Inputs'!$E$9:$E$32,$B69)))</f>
        <v>0</v>
      </c>
      <c r="BF69" s="645" cm="1">
        <f t="array" aca="1" ref="BF69" ca="1">IF($C$4=Lookups!$D$40,INDIRECT("'Yr1'!"&amp;ADDRESS(ROW(BF69),COLUMN(BF69))),
IF(BF12=0,0,SUMIFS('EE Inputs'!$S$9:$S$32,'EE Inputs'!$C$9:$C$32,$AM$6,'EE Inputs'!$D$9:$D$32,$C$4,'EE Inputs'!$E$9:$E$32,$B69)))</f>
        <v>0</v>
      </c>
      <c r="BG69" s="645" cm="1">
        <f t="array" aca="1" ref="BG69" ca="1">IF($C$4=Lookups!$D$40,INDIRECT("'Yr1'!"&amp;ADDRESS(ROW(BG69),COLUMN(BG69))),
IF(BG12=0,0,SUMIFS('EE Inputs'!$S$9:$S$32,'EE Inputs'!$C$9:$C$32,$AM$6,'EE Inputs'!$D$9:$D$32,$C$4,'EE Inputs'!$E$9:$E$32,$B69)))</f>
        <v>0</v>
      </c>
      <c r="BH69" s="645" cm="1">
        <f t="array" aca="1" ref="BH69" ca="1">IF($C$4=Lookups!$D$40,INDIRECT("'Yr1'!"&amp;ADDRESS(ROW(BH69),COLUMN(BH69))),
IF(BH12=0,0,SUMIFS('EE Inputs'!$S$9:$S$32,'EE Inputs'!$C$9:$C$32,$AM$6,'EE Inputs'!$D$9:$D$32,$C$4,'EE Inputs'!$E$9:$E$32,$B69)))</f>
        <v>0</v>
      </c>
      <c r="BI69" s="645" cm="1">
        <f t="array" aca="1" ref="BI69" ca="1">IF($C$4=Lookups!$D$40,INDIRECT("'Yr1'!"&amp;ADDRESS(ROW(BI69),COLUMN(BI69))),
IF(BI12=0,0,SUMIFS('EE Inputs'!$S$9:$S$32,'EE Inputs'!$C$9:$C$32,$AM$6,'EE Inputs'!$D$9:$D$32,$C$4,'EE Inputs'!$E$9:$E$32,$B69)))</f>
        <v>0</v>
      </c>
      <c r="BJ69" s="645" cm="1">
        <f t="array" aca="1" ref="BJ69" ca="1">IF($C$4=Lookups!$D$40,INDIRECT("'Yr1'!"&amp;ADDRESS(ROW(BJ69),COLUMN(BJ69))),
IF(BJ12=0,0,SUMIFS('EE Inputs'!$S$9:$S$32,'EE Inputs'!$C$9:$C$32,$AM$6,'EE Inputs'!$D$9:$D$32,$C$4,'EE Inputs'!$E$9:$E$32,$B69)))</f>
        <v>0</v>
      </c>
      <c r="BK69" s="645" cm="1">
        <f t="array" aca="1" ref="BK69" ca="1">IF($C$4=Lookups!$D$40,INDIRECT("'Yr1'!"&amp;ADDRESS(ROW(BK69),COLUMN(BK69))),
IF(BK12=0,0,SUMIFS('EE Inputs'!$S$9:$S$32,'EE Inputs'!$C$9:$C$32,$AM$6,'EE Inputs'!$D$9:$D$32,$C$4,'EE Inputs'!$E$9:$E$32,$B69)))</f>
        <v>0</v>
      </c>
      <c r="BL69" s="645" cm="1">
        <f t="array" aca="1" ref="BL69" ca="1">IF($C$4=Lookups!$D$40,INDIRECT("'Yr1'!"&amp;ADDRESS(ROW(BL69),COLUMN(BL69))),
IF(BL12=0,0,SUMIFS('EE Inputs'!$S$9:$S$32,'EE Inputs'!$C$9:$C$32,$AM$6,'EE Inputs'!$D$9:$D$32,$C$4,'EE Inputs'!$E$9:$E$32,$B69)))</f>
        <v>0</v>
      </c>
      <c r="BM69" s="645" cm="1">
        <f t="array" aca="1" ref="BM69" ca="1">IF($C$4=Lookups!$D$40,INDIRECT("'Yr1'!"&amp;ADDRESS(ROW(BM69),COLUMN(BM69))),
IF(BM12=0,0,SUMIFS('EE Inputs'!$S$9:$S$32,'EE Inputs'!$C$9:$C$32,$AM$6,'EE Inputs'!$D$9:$D$32,$C$4,'EE Inputs'!$E$9:$E$32,$B69)))</f>
        <v>0</v>
      </c>
      <c r="BN69" s="71"/>
      <c r="BO69" s="71"/>
      <c r="BP69" s="71"/>
      <c r="BS69" s="76" t="s">
        <v>96</v>
      </c>
      <c r="BT69" s="51" t="s">
        <v>17</v>
      </c>
    </row>
    <row r="70" spans="1:72" x14ac:dyDescent="0.25">
      <c r="A70" s="246"/>
      <c r="B70" s="243" t="str">
        <f t="shared" si="49"/>
        <v>Residential</v>
      </c>
      <c r="C70" s="243" t="str">
        <f t="shared" si="49"/>
        <v>Bills</v>
      </c>
      <c r="D70" s="244" t="str">
        <f t="shared" si="49"/>
        <v>Annual Savings from DSM Scenario</v>
      </c>
      <c r="E70" s="84" t="str">
        <f>'EE Inputs'!$N$16&amp;" Participant"</f>
        <v>High Savings Participant</v>
      </c>
      <c r="F70" s="84" t="s">
        <v>195</v>
      </c>
      <c r="G70" s="704" cm="1">
        <f t="array" aca="1" ref="G70" ca="1">IF($C$4=Lookups!$D$40,INDIRECT("'Yr1'!"&amp;ADDRESS(ROW(G70),COLUMN(G70))),
IF(G12=0,0,SUMIFS('EE Inputs'!$T$9:$T$32,'EE Inputs'!$C$9:$C$32,$G$6,'EE Inputs'!$D$9:$D$32,$C$4,'EE Inputs'!$E$9:$E$32,$B70)))</f>
        <v>0</v>
      </c>
      <c r="H70" s="704" cm="1">
        <f t="array" aca="1" ref="H70" ca="1">IF($C$4=Lookups!$D$40,INDIRECT("'Yr1'!"&amp;ADDRESS(ROW(H70),COLUMN(H70))),
IF(H12=0,0,SUMIFS('EE Inputs'!$T$9:$T$32,'EE Inputs'!$C$9:$C$32,$G$6,'EE Inputs'!$D$9:$D$32,$C$4,'EE Inputs'!$E$9:$E$32,$B70)))</f>
        <v>46.620000000000005</v>
      </c>
      <c r="I70" s="704" cm="1">
        <f t="array" aca="1" ref="I70" ca="1">IF($C$4=Lookups!$D$40,INDIRECT("'Yr1'!"&amp;ADDRESS(ROW(I70),COLUMN(I70))),
IF(I12=0,0,SUMIFS('EE Inputs'!$T$9:$T$32,'EE Inputs'!$C$9:$C$32,$G$6,'EE Inputs'!$D$9:$D$32,$C$4,'EE Inputs'!$E$9:$E$32,$B70)))</f>
        <v>46.620000000000005</v>
      </c>
      <c r="J70" s="704" cm="1">
        <f t="array" aca="1" ref="J70" ca="1">IF($C$4=Lookups!$D$40,INDIRECT("'Yr1'!"&amp;ADDRESS(ROW(J70),COLUMN(J70))),
IF(J12=0,0,SUMIFS('EE Inputs'!$T$9:$T$32,'EE Inputs'!$C$9:$C$32,$G$6,'EE Inputs'!$D$9:$D$32,$C$4,'EE Inputs'!$E$9:$E$32,$B70)))</f>
        <v>46.620000000000005</v>
      </c>
      <c r="K70" s="704" cm="1">
        <f t="array" aca="1" ref="K70" ca="1">IF($C$4=Lookups!$D$40,INDIRECT("'Yr1'!"&amp;ADDRESS(ROW(K70),COLUMN(K70))),
IF(K12=0,0,SUMIFS('EE Inputs'!$T$9:$T$32,'EE Inputs'!$C$9:$C$32,$G$6,'EE Inputs'!$D$9:$D$32,$C$4,'EE Inputs'!$E$9:$E$32,$B70)))</f>
        <v>46.620000000000005</v>
      </c>
      <c r="L70" s="704" cm="1">
        <f t="array" aca="1" ref="L70" ca="1">IF($C$4=Lookups!$D$40,INDIRECT("'Yr1'!"&amp;ADDRESS(ROW(L70),COLUMN(L70))),
IF(L12=0,0,SUMIFS('EE Inputs'!$T$9:$T$32,'EE Inputs'!$C$9:$C$32,$G$6,'EE Inputs'!$D$9:$D$32,$C$4,'EE Inputs'!$E$9:$E$32,$B70)))</f>
        <v>46.620000000000005</v>
      </c>
      <c r="M70" s="704" cm="1">
        <f t="array" aca="1" ref="M70" ca="1">IF($C$4=Lookups!$D$40,INDIRECT("'Yr1'!"&amp;ADDRESS(ROW(M70),COLUMN(M70))),
IF(M12=0,0,SUMIFS('EE Inputs'!$T$9:$T$32,'EE Inputs'!$C$9:$C$32,$G$6,'EE Inputs'!$D$9:$D$32,$C$4,'EE Inputs'!$E$9:$E$32,$B70)))</f>
        <v>46.620000000000005</v>
      </c>
      <c r="N70" s="704" cm="1">
        <f t="array" aca="1" ref="N70" ca="1">IF($C$4=Lookups!$D$40,INDIRECT("'Yr1'!"&amp;ADDRESS(ROW(N70),COLUMN(N70))),
IF(N12=0,0,SUMIFS('EE Inputs'!$T$9:$T$32,'EE Inputs'!$C$9:$C$32,$G$6,'EE Inputs'!$D$9:$D$32,$C$4,'EE Inputs'!$E$9:$E$32,$B70)))</f>
        <v>46.620000000000005</v>
      </c>
      <c r="O70" s="704" cm="1">
        <f t="array" aca="1" ref="O70" ca="1">IF($C$4=Lookups!$D$40,INDIRECT("'Yr1'!"&amp;ADDRESS(ROW(O70),COLUMN(O70))),
IF(O12=0,0,SUMIFS('EE Inputs'!$T$9:$T$32,'EE Inputs'!$C$9:$C$32,$G$6,'EE Inputs'!$D$9:$D$32,$C$4,'EE Inputs'!$E$9:$E$32,$B70)))</f>
        <v>46.620000000000005</v>
      </c>
      <c r="P70" s="704" cm="1">
        <f t="array" aca="1" ref="P70" ca="1">IF($C$4=Lookups!$D$40,INDIRECT("'Yr1'!"&amp;ADDRESS(ROW(P70),COLUMN(P70))),
IF(P12=0,0,SUMIFS('EE Inputs'!$T$9:$T$32,'EE Inputs'!$C$9:$C$32,$G$6,'EE Inputs'!$D$9:$D$32,$C$4,'EE Inputs'!$E$9:$E$32,$B70)))</f>
        <v>46.620000000000005</v>
      </c>
      <c r="Q70" s="704" cm="1">
        <f t="array" aca="1" ref="Q70" ca="1">IF($C$4=Lookups!$D$40,INDIRECT("'Yr1'!"&amp;ADDRESS(ROW(Q70),COLUMN(Q70))),
IF(Q12=0,0,SUMIFS('EE Inputs'!$T$9:$T$32,'EE Inputs'!$C$9:$C$32,$G$6,'EE Inputs'!$D$9:$D$32,$C$4,'EE Inputs'!$E$9:$E$32,$B70)))</f>
        <v>46.620000000000005</v>
      </c>
      <c r="R70" s="704" cm="1">
        <f t="array" aca="1" ref="R70" ca="1">IF($C$4=Lookups!$D$40,INDIRECT("'Yr1'!"&amp;ADDRESS(ROW(R70),COLUMN(R70))),
IF(R12=0,0,SUMIFS('EE Inputs'!$T$9:$T$32,'EE Inputs'!$C$9:$C$32,$G$6,'EE Inputs'!$D$9:$D$32,$C$4,'EE Inputs'!$E$9:$E$32,$B70)))</f>
        <v>46.620000000000005</v>
      </c>
      <c r="S70" s="704" cm="1">
        <f t="array" aca="1" ref="S70" ca="1">IF($C$4=Lookups!$D$40,INDIRECT("'Yr1'!"&amp;ADDRESS(ROW(S70),COLUMN(S70))),
IF(S12=0,0,SUMIFS('EE Inputs'!$T$9:$T$32,'EE Inputs'!$C$9:$C$32,$G$6,'EE Inputs'!$D$9:$D$32,$C$4,'EE Inputs'!$E$9:$E$32,$B70)))</f>
        <v>46.620000000000005</v>
      </c>
      <c r="T70" s="704" cm="1">
        <f t="array" aca="1" ref="T70" ca="1">IF($C$4=Lookups!$D$40,INDIRECT("'Yr1'!"&amp;ADDRESS(ROW(T70),COLUMN(T70))),
IF(T12=0,0,SUMIFS('EE Inputs'!$T$9:$T$32,'EE Inputs'!$C$9:$C$32,$G$6,'EE Inputs'!$D$9:$D$32,$C$4,'EE Inputs'!$E$9:$E$32,$B70)))</f>
        <v>46.620000000000005</v>
      </c>
      <c r="U70" s="704" cm="1">
        <f t="array" aca="1" ref="U70" ca="1">IF($C$4=Lookups!$D$40,INDIRECT("'Yr1'!"&amp;ADDRESS(ROW(U70),COLUMN(U70))),
IF(U12=0,0,SUMIFS('EE Inputs'!$T$9:$T$32,'EE Inputs'!$C$9:$C$32,$G$6,'EE Inputs'!$D$9:$D$32,$C$4,'EE Inputs'!$E$9:$E$32,$B70)))</f>
        <v>46.620000000000005</v>
      </c>
      <c r="V70" s="704" cm="1">
        <f t="array" aca="1" ref="V70" ca="1">IF($C$4=Lookups!$D$40,INDIRECT("'Yr1'!"&amp;ADDRESS(ROW(V70),COLUMN(V70))),
IF(V12=0,0,SUMIFS('EE Inputs'!$T$9:$T$32,'EE Inputs'!$C$9:$C$32,$G$6,'EE Inputs'!$D$9:$D$32,$C$4,'EE Inputs'!$E$9:$E$32,$B70)))</f>
        <v>46.620000000000005</v>
      </c>
      <c r="W70" s="704" cm="1">
        <f t="array" aca="1" ref="W70" ca="1">IF($C$4=Lookups!$D$40,INDIRECT("'Yr1'!"&amp;ADDRESS(ROW(W70),COLUMN(W70))),
IF(W12=0,0,SUMIFS('EE Inputs'!$T$9:$T$32,'EE Inputs'!$C$9:$C$32,$G$6,'EE Inputs'!$D$9:$D$32,$C$4,'EE Inputs'!$E$9:$E$32,$B70)))</f>
        <v>0</v>
      </c>
      <c r="X70" s="704" cm="1">
        <f t="array" aca="1" ref="X70" ca="1">IF($C$4=Lookups!$D$40,INDIRECT("'Yr1'!"&amp;ADDRESS(ROW(X70),COLUMN(X70))),
IF(X12=0,0,SUMIFS('EE Inputs'!$T$9:$T$32,'EE Inputs'!$C$9:$C$32,$G$6,'EE Inputs'!$D$9:$D$32,$C$4,'EE Inputs'!$E$9:$E$32,$B70)))</f>
        <v>0</v>
      </c>
      <c r="Y70" s="704" cm="1">
        <f t="array" aca="1" ref="Y70" ca="1">IF($C$4=Lookups!$D$40,INDIRECT("'Yr1'!"&amp;ADDRESS(ROW(Y70),COLUMN(Y70))),
IF(Y12=0,0,SUMIFS('EE Inputs'!$T$9:$T$32,'EE Inputs'!$C$9:$C$32,$G$6,'EE Inputs'!$D$9:$D$32,$C$4,'EE Inputs'!$E$9:$E$32,$B70)))</f>
        <v>0</v>
      </c>
      <c r="Z70" s="704" cm="1">
        <f t="array" aca="1" ref="Z70" ca="1">IF($C$4=Lookups!$D$40,INDIRECT("'Yr1'!"&amp;ADDRESS(ROW(Z70),COLUMN(Z70))),
IF(Z12=0,0,SUMIFS('EE Inputs'!$T$9:$T$32,'EE Inputs'!$C$9:$C$32,$G$6,'EE Inputs'!$D$9:$D$32,$C$4,'EE Inputs'!$E$9:$E$32,$B70)))</f>
        <v>0</v>
      </c>
      <c r="AA70" s="704" cm="1">
        <f t="array" aca="1" ref="AA70" ca="1">IF($C$4=Lookups!$D$40,INDIRECT("'Yr1'!"&amp;ADDRESS(ROW(AA70),COLUMN(AA70))),
IF(AA12=0,0,SUMIFS('EE Inputs'!$T$9:$T$32,'EE Inputs'!$C$9:$C$32,$G$6,'EE Inputs'!$D$9:$D$32,$C$4,'EE Inputs'!$E$9:$E$32,$B70)))</f>
        <v>0</v>
      </c>
      <c r="AB70" s="704" cm="1">
        <f t="array" aca="1" ref="AB70" ca="1">IF($C$4=Lookups!$D$40,INDIRECT("'Yr1'!"&amp;ADDRESS(ROW(AB70),COLUMN(AB70))),
IF(AB12=0,0,SUMIFS('EE Inputs'!$T$9:$T$32,'EE Inputs'!$C$9:$C$32,$G$6,'EE Inputs'!$D$9:$D$32,$C$4,'EE Inputs'!$E$9:$E$32,$B70)))</f>
        <v>0</v>
      </c>
      <c r="AC70" s="704" cm="1">
        <f t="array" aca="1" ref="AC70" ca="1">IF($C$4=Lookups!$D$40,INDIRECT("'Yr1'!"&amp;ADDRESS(ROW(AC70),COLUMN(AC70))),
IF(AC12=0,0,SUMIFS('EE Inputs'!$T$9:$T$32,'EE Inputs'!$C$9:$C$32,$G$6,'EE Inputs'!$D$9:$D$32,$C$4,'EE Inputs'!$E$9:$E$32,$B70)))</f>
        <v>0</v>
      </c>
      <c r="AD70" s="704" cm="1">
        <f t="array" aca="1" ref="AD70" ca="1">IF($C$4=Lookups!$D$40,INDIRECT("'Yr1'!"&amp;ADDRESS(ROW(AD70),COLUMN(AD70))),
IF(AD12=0,0,SUMIFS('EE Inputs'!$T$9:$T$32,'EE Inputs'!$C$9:$C$32,$G$6,'EE Inputs'!$D$9:$D$32,$C$4,'EE Inputs'!$E$9:$E$32,$B70)))</f>
        <v>0</v>
      </c>
      <c r="AE70" s="704" cm="1">
        <f t="array" aca="1" ref="AE70" ca="1">IF($C$4=Lookups!$D$40,INDIRECT("'Yr1'!"&amp;ADDRESS(ROW(AE70),COLUMN(AE70))),
IF(AE12=0,0,SUMIFS('EE Inputs'!$T$9:$T$32,'EE Inputs'!$C$9:$C$32,$G$6,'EE Inputs'!$D$9:$D$32,$C$4,'EE Inputs'!$E$9:$E$32,$B70)))</f>
        <v>0</v>
      </c>
      <c r="AF70" s="704" cm="1">
        <f t="array" aca="1" ref="AF70" ca="1">IF($C$4=Lookups!$D$40,INDIRECT("'Yr1'!"&amp;ADDRESS(ROW(AF70),COLUMN(AF70))),
IF(AF12=0,0,SUMIFS('EE Inputs'!$T$9:$T$32,'EE Inputs'!$C$9:$C$32,$G$6,'EE Inputs'!$D$9:$D$32,$C$4,'EE Inputs'!$E$9:$E$32,$B70)))</f>
        <v>0</v>
      </c>
      <c r="AG70" s="704" cm="1">
        <f t="array" aca="1" ref="AG70" ca="1">IF($C$4=Lookups!$D$40,INDIRECT("'Yr1'!"&amp;ADDRESS(ROW(AG70),COLUMN(AG70))),
IF(AG12=0,0,SUMIFS('EE Inputs'!$T$9:$T$32,'EE Inputs'!$C$9:$C$32,$G$6,'EE Inputs'!$D$9:$D$32,$C$4,'EE Inputs'!$E$9:$E$32,$B70)))</f>
        <v>0</v>
      </c>
      <c r="AH70" s="64"/>
      <c r="AI70" s="64"/>
      <c r="AJ70" s="720"/>
      <c r="AM70" s="645" cm="1">
        <f t="array" aca="1" ref="AM70" ca="1">IF($C$4=Lookups!$D$40,INDIRECT("'Yr1'!"&amp;ADDRESS(ROW(AM70),COLUMN(AM70))),
IF(AM12=0,0,SUMIFS('EE Inputs'!$T$9:$T$32,'EE Inputs'!$C$9:$C$32,$AM$6,'EE Inputs'!$D$9:$D$32,$C$4,'EE Inputs'!$E$9:$E$32,$B70)))</f>
        <v>0</v>
      </c>
      <c r="AN70" s="645" cm="1">
        <f t="array" aca="1" ref="AN70" ca="1">IF($C$4=Lookups!$D$40,INDIRECT("'Yr1'!"&amp;ADDRESS(ROW(AN70),COLUMN(AN70))),
IF(AN12=0,0,SUMIFS('EE Inputs'!$T$9:$T$32,'EE Inputs'!$C$9:$C$32,$AM$6,'EE Inputs'!$D$9:$D$32,$C$4,'EE Inputs'!$E$9:$E$32,$B70)))</f>
        <v>55.944000000000003</v>
      </c>
      <c r="AO70" s="645" cm="1">
        <f t="array" aca="1" ref="AO70" ca="1">IF($C$4=Lookups!$D$40,INDIRECT("'Yr1'!"&amp;ADDRESS(ROW(AO70),COLUMN(AO70))),
IF(AO12=0,0,SUMIFS('EE Inputs'!$T$9:$T$32,'EE Inputs'!$C$9:$C$32,$AM$6,'EE Inputs'!$D$9:$D$32,$C$4,'EE Inputs'!$E$9:$E$32,$B70)))</f>
        <v>55.944000000000003</v>
      </c>
      <c r="AP70" s="645" cm="1">
        <f t="array" aca="1" ref="AP70" ca="1">IF($C$4=Lookups!$D$40,INDIRECT("'Yr1'!"&amp;ADDRESS(ROW(AP70),COLUMN(AP70))),
IF(AP12=0,0,SUMIFS('EE Inputs'!$T$9:$T$32,'EE Inputs'!$C$9:$C$32,$AM$6,'EE Inputs'!$D$9:$D$32,$C$4,'EE Inputs'!$E$9:$E$32,$B70)))</f>
        <v>55.944000000000003</v>
      </c>
      <c r="AQ70" s="645" cm="1">
        <f t="array" aca="1" ref="AQ70" ca="1">IF($C$4=Lookups!$D$40,INDIRECT("'Yr1'!"&amp;ADDRESS(ROW(AQ70),COLUMN(AQ70))),
IF(AQ12=0,0,SUMIFS('EE Inputs'!$T$9:$T$32,'EE Inputs'!$C$9:$C$32,$AM$6,'EE Inputs'!$D$9:$D$32,$C$4,'EE Inputs'!$E$9:$E$32,$B70)))</f>
        <v>55.944000000000003</v>
      </c>
      <c r="AR70" s="645" cm="1">
        <f t="array" aca="1" ref="AR70" ca="1">IF($C$4=Lookups!$D$40,INDIRECT("'Yr1'!"&amp;ADDRESS(ROW(AR70),COLUMN(AR70))),
IF(AR12=0,0,SUMIFS('EE Inputs'!$T$9:$T$32,'EE Inputs'!$C$9:$C$32,$AM$6,'EE Inputs'!$D$9:$D$32,$C$4,'EE Inputs'!$E$9:$E$32,$B70)))</f>
        <v>55.944000000000003</v>
      </c>
      <c r="AS70" s="645" cm="1">
        <f t="array" aca="1" ref="AS70" ca="1">IF($C$4=Lookups!$D$40,INDIRECT("'Yr1'!"&amp;ADDRESS(ROW(AS70),COLUMN(AS70))),
IF(AS12=0,0,SUMIFS('EE Inputs'!$T$9:$T$32,'EE Inputs'!$C$9:$C$32,$AM$6,'EE Inputs'!$D$9:$D$32,$C$4,'EE Inputs'!$E$9:$E$32,$B70)))</f>
        <v>55.944000000000003</v>
      </c>
      <c r="AT70" s="645" cm="1">
        <f t="array" aca="1" ref="AT70" ca="1">IF($C$4=Lookups!$D$40,INDIRECT("'Yr1'!"&amp;ADDRESS(ROW(AT70),COLUMN(AT70))),
IF(AT12=0,0,SUMIFS('EE Inputs'!$T$9:$T$32,'EE Inputs'!$C$9:$C$32,$AM$6,'EE Inputs'!$D$9:$D$32,$C$4,'EE Inputs'!$E$9:$E$32,$B70)))</f>
        <v>55.944000000000003</v>
      </c>
      <c r="AU70" s="645" cm="1">
        <f t="array" aca="1" ref="AU70" ca="1">IF($C$4=Lookups!$D$40,INDIRECT("'Yr1'!"&amp;ADDRESS(ROW(AU70),COLUMN(AU70))),
IF(AU12=0,0,SUMIFS('EE Inputs'!$T$9:$T$32,'EE Inputs'!$C$9:$C$32,$AM$6,'EE Inputs'!$D$9:$D$32,$C$4,'EE Inputs'!$E$9:$E$32,$B70)))</f>
        <v>55.944000000000003</v>
      </c>
      <c r="AV70" s="645" cm="1">
        <f t="array" aca="1" ref="AV70" ca="1">IF($C$4=Lookups!$D$40,INDIRECT("'Yr1'!"&amp;ADDRESS(ROW(AV70),COLUMN(AV70))),
IF(AV12=0,0,SUMIFS('EE Inputs'!$T$9:$T$32,'EE Inputs'!$C$9:$C$32,$AM$6,'EE Inputs'!$D$9:$D$32,$C$4,'EE Inputs'!$E$9:$E$32,$B70)))</f>
        <v>55.944000000000003</v>
      </c>
      <c r="AW70" s="645" cm="1">
        <f t="array" aca="1" ref="AW70" ca="1">IF($C$4=Lookups!$D$40,INDIRECT("'Yr1'!"&amp;ADDRESS(ROW(AW70),COLUMN(AW70))),
IF(AW12=0,0,SUMIFS('EE Inputs'!$T$9:$T$32,'EE Inputs'!$C$9:$C$32,$AM$6,'EE Inputs'!$D$9:$D$32,$C$4,'EE Inputs'!$E$9:$E$32,$B70)))</f>
        <v>55.944000000000003</v>
      </c>
      <c r="AX70" s="645" cm="1">
        <f t="array" aca="1" ref="AX70" ca="1">IF($C$4=Lookups!$D$40,INDIRECT("'Yr1'!"&amp;ADDRESS(ROW(AX70),COLUMN(AX70))),
IF(AX12=0,0,SUMIFS('EE Inputs'!$T$9:$T$32,'EE Inputs'!$C$9:$C$32,$AM$6,'EE Inputs'!$D$9:$D$32,$C$4,'EE Inputs'!$E$9:$E$32,$B70)))</f>
        <v>55.944000000000003</v>
      </c>
      <c r="AY70" s="645" cm="1">
        <f t="array" aca="1" ref="AY70" ca="1">IF($C$4=Lookups!$D$40,INDIRECT("'Yr1'!"&amp;ADDRESS(ROW(AY70),COLUMN(AY70))),
IF(AY12=0,0,SUMIFS('EE Inputs'!$T$9:$T$32,'EE Inputs'!$C$9:$C$32,$AM$6,'EE Inputs'!$D$9:$D$32,$C$4,'EE Inputs'!$E$9:$E$32,$B70)))</f>
        <v>55.944000000000003</v>
      </c>
      <c r="AZ70" s="645" cm="1">
        <f t="array" aca="1" ref="AZ70" ca="1">IF($C$4=Lookups!$D$40,INDIRECT("'Yr1'!"&amp;ADDRESS(ROW(AZ70),COLUMN(AZ70))),
IF(AZ12=0,0,SUMIFS('EE Inputs'!$T$9:$T$32,'EE Inputs'!$C$9:$C$32,$AM$6,'EE Inputs'!$D$9:$D$32,$C$4,'EE Inputs'!$E$9:$E$32,$B70)))</f>
        <v>55.944000000000003</v>
      </c>
      <c r="BA70" s="645" cm="1">
        <f t="array" aca="1" ref="BA70" ca="1">IF($C$4=Lookups!$D$40,INDIRECT("'Yr1'!"&amp;ADDRESS(ROW(BA70),COLUMN(BA70))),
IF(BA12=0,0,SUMIFS('EE Inputs'!$T$9:$T$32,'EE Inputs'!$C$9:$C$32,$AM$6,'EE Inputs'!$D$9:$D$32,$C$4,'EE Inputs'!$E$9:$E$32,$B70)))</f>
        <v>55.944000000000003</v>
      </c>
      <c r="BB70" s="645" cm="1">
        <f t="array" aca="1" ref="BB70" ca="1">IF($C$4=Lookups!$D$40,INDIRECT("'Yr1'!"&amp;ADDRESS(ROW(BB70),COLUMN(BB70))),
IF(BB12=0,0,SUMIFS('EE Inputs'!$T$9:$T$32,'EE Inputs'!$C$9:$C$32,$AM$6,'EE Inputs'!$D$9:$D$32,$C$4,'EE Inputs'!$E$9:$E$32,$B70)))</f>
        <v>55.944000000000003</v>
      </c>
      <c r="BC70" s="645" cm="1">
        <f t="array" aca="1" ref="BC70" ca="1">IF($C$4=Lookups!$D$40,INDIRECT("'Yr1'!"&amp;ADDRESS(ROW(BC70),COLUMN(BC70))),
IF(BC12=0,0,SUMIFS('EE Inputs'!$T$9:$T$32,'EE Inputs'!$C$9:$C$32,$AM$6,'EE Inputs'!$D$9:$D$32,$C$4,'EE Inputs'!$E$9:$E$32,$B70)))</f>
        <v>0</v>
      </c>
      <c r="BD70" s="645" cm="1">
        <f t="array" aca="1" ref="BD70" ca="1">IF($C$4=Lookups!$D$40,INDIRECT("'Yr1'!"&amp;ADDRESS(ROW(BD70),COLUMN(BD70))),
IF(BD12=0,0,SUMIFS('EE Inputs'!$T$9:$T$32,'EE Inputs'!$C$9:$C$32,$AM$6,'EE Inputs'!$D$9:$D$32,$C$4,'EE Inputs'!$E$9:$E$32,$B70)))</f>
        <v>0</v>
      </c>
      <c r="BE70" s="645" cm="1">
        <f t="array" aca="1" ref="BE70" ca="1">IF($C$4=Lookups!$D$40,INDIRECT("'Yr1'!"&amp;ADDRESS(ROW(BE70),COLUMN(BE70))),
IF(BE12=0,0,SUMIFS('EE Inputs'!$T$9:$T$32,'EE Inputs'!$C$9:$C$32,$AM$6,'EE Inputs'!$D$9:$D$32,$C$4,'EE Inputs'!$E$9:$E$32,$B70)))</f>
        <v>0</v>
      </c>
      <c r="BF70" s="645" cm="1">
        <f t="array" aca="1" ref="BF70" ca="1">IF($C$4=Lookups!$D$40,INDIRECT("'Yr1'!"&amp;ADDRESS(ROW(BF70),COLUMN(BF70))),
IF(BF12=0,0,SUMIFS('EE Inputs'!$T$9:$T$32,'EE Inputs'!$C$9:$C$32,$AM$6,'EE Inputs'!$D$9:$D$32,$C$4,'EE Inputs'!$E$9:$E$32,$B70)))</f>
        <v>0</v>
      </c>
      <c r="BG70" s="645" cm="1">
        <f t="array" aca="1" ref="BG70" ca="1">IF($C$4=Lookups!$D$40,INDIRECT("'Yr1'!"&amp;ADDRESS(ROW(BG70),COLUMN(BG70))),
IF(BG12=0,0,SUMIFS('EE Inputs'!$T$9:$T$32,'EE Inputs'!$C$9:$C$32,$AM$6,'EE Inputs'!$D$9:$D$32,$C$4,'EE Inputs'!$E$9:$E$32,$B70)))</f>
        <v>0</v>
      </c>
      <c r="BH70" s="645" cm="1">
        <f t="array" aca="1" ref="BH70" ca="1">IF($C$4=Lookups!$D$40,INDIRECT("'Yr1'!"&amp;ADDRESS(ROW(BH70),COLUMN(BH70))),
IF(BH12=0,0,SUMIFS('EE Inputs'!$T$9:$T$32,'EE Inputs'!$C$9:$C$32,$AM$6,'EE Inputs'!$D$9:$D$32,$C$4,'EE Inputs'!$E$9:$E$32,$B70)))</f>
        <v>0</v>
      </c>
      <c r="BI70" s="645" cm="1">
        <f t="array" aca="1" ref="BI70" ca="1">IF($C$4=Lookups!$D$40,INDIRECT("'Yr1'!"&amp;ADDRESS(ROW(BI70),COLUMN(BI70))),
IF(BI12=0,0,SUMIFS('EE Inputs'!$T$9:$T$32,'EE Inputs'!$C$9:$C$32,$AM$6,'EE Inputs'!$D$9:$D$32,$C$4,'EE Inputs'!$E$9:$E$32,$B70)))</f>
        <v>0</v>
      </c>
      <c r="BJ70" s="645" cm="1">
        <f t="array" aca="1" ref="BJ70" ca="1">IF($C$4=Lookups!$D$40,INDIRECT("'Yr1'!"&amp;ADDRESS(ROW(BJ70),COLUMN(BJ70))),
IF(BJ12=0,0,SUMIFS('EE Inputs'!$T$9:$T$32,'EE Inputs'!$C$9:$C$32,$AM$6,'EE Inputs'!$D$9:$D$32,$C$4,'EE Inputs'!$E$9:$E$32,$B70)))</f>
        <v>0</v>
      </c>
      <c r="BK70" s="645" cm="1">
        <f t="array" aca="1" ref="BK70" ca="1">IF($C$4=Lookups!$D$40,INDIRECT("'Yr1'!"&amp;ADDRESS(ROW(BK70),COLUMN(BK70))),
IF(BK12=0,0,SUMIFS('EE Inputs'!$T$9:$T$32,'EE Inputs'!$C$9:$C$32,$AM$6,'EE Inputs'!$D$9:$D$32,$C$4,'EE Inputs'!$E$9:$E$32,$B70)))</f>
        <v>0</v>
      </c>
      <c r="BL70" s="645" cm="1">
        <f t="array" aca="1" ref="BL70" ca="1">IF($C$4=Lookups!$D$40,INDIRECT("'Yr1'!"&amp;ADDRESS(ROW(BL70),COLUMN(BL70))),
IF(BL12=0,0,SUMIFS('EE Inputs'!$T$9:$T$32,'EE Inputs'!$C$9:$C$32,$AM$6,'EE Inputs'!$D$9:$D$32,$C$4,'EE Inputs'!$E$9:$E$32,$B70)))</f>
        <v>0</v>
      </c>
      <c r="BM70" s="645" cm="1">
        <f t="array" aca="1" ref="BM70" ca="1">IF($C$4=Lookups!$D$40,INDIRECT("'Yr1'!"&amp;ADDRESS(ROW(BM70),COLUMN(BM70))),
IF(BM12=0,0,SUMIFS('EE Inputs'!$T$9:$T$32,'EE Inputs'!$C$9:$C$32,$AM$6,'EE Inputs'!$D$9:$D$32,$C$4,'EE Inputs'!$E$9:$E$32,$B70)))</f>
        <v>0</v>
      </c>
      <c r="BN70" s="71"/>
      <c r="BO70" s="71"/>
      <c r="BP70" s="71"/>
      <c r="BS70" s="76" t="s">
        <v>96</v>
      </c>
      <c r="BT70" s="51" t="s">
        <v>17</v>
      </c>
    </row>
    <row r="71" spans="1:72" x14ac:dyDescent="0.25">
      <c r="B71" s="243" t="str">
        <f t="shared" si="49"/>
        <v>Residential</v>
      </c>
      <c r="C71" s="243" t="str">
        <f t="shared" si="49"/>
        <v>Bills</v>
      </c>
      <c r="D71" s="114" t="s">
        <v>111</v>
      </c>
      <c r="E71" s="84"/>
      <c r="F71" s="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49"/>
      <c r="AI71" s="184"/>
      <c r="AJ71" s="720"/>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S71" s="84"/>
      <c r="BT71" s="51" t="s">
        <v>17</v>
      </c>
    </row>
    <row r="72" spans="1:72" x14ac:dyDescent="0.25">
      <c r="B72" s="243" t="str">
        <f t="shared" si="49"/>
        <v>Residential</v>
      </c>
      <c r="C72" s="243" t="str">
        <f t="shared" si="49"/>
        <v>Bills</v>
      </c>
      <c r="D72" s="244" t="str">
        <f t="shared" si="49"/>
        <v>Bills after DSM Scenario</v>
      </c>
      <c r="E72" s="84" t="s">
        <v>348</v>
      </c>
      <c r="F72" s="84" t="s">
        <v>32</v>
      </c>
      <c r="G72" s="103">
        <f ca="1">G64+G65*(G57-G56)</f>
        <v>0</v>
      </c>
      <c r="H72" s="103">
        <f ca="1">H64+H65*(H57-H56)</f>
        <v>990.77954932491286</v>
      </c>
      <c r="I72" s="103">
        <f t="shared" ref="I72:AG72" ca="1" si="57">I64+I65*(I57-I56)</f>
        <v>946.38789321983177</v>
      </c>
      <c r="J72" s="103">
        <f t="shared" ca="1" si="57"/>
        <v>946.38789321983177</v>
      </c>
      <c r="K72" s="103">
        <f t="shared" ca="1" si="57"/>
        <v>946.38789321983177</v>
      </c>
      <c r="L72" s="103">
        <f t="shared" ca="1" si="57"/>
        <v>946.38789321983177</v>
      </c>
      <c r="M72" s="103">
        <f t="shared" ca="1" si="57"/>
        <v>946.38789321983177</v>
      </c>
      <c r="N72" s="103">
        <f t="shared" ca="1" si="57"/>
        <v>946.38789321983177</v>
      </c>
      <c r="O72" s="103">
        <f t="shared" ca="1" si="57"/>
        <v>946.38789321983177</v>
      </c>
      <c r="P72" s="103">
        <f t="shared" ca="1" si="57"/>
        <v>946.38789321983177</v>
      </c>
      <c r="Q72" s="103">
        <f t="shared" ca="1" si="57"/>
        <v>946.38789321983177</v>
      </c>
      <c r="R72" s="103">
        <f t="shared" ca="1" si="57"/>
        <v>946.38789321983177</v>
      </c>
      <c r="S72" s="103">
        <f t="shared" ca="1" si="57"/>
        <v>946.38789321983177</v>
      </c>
      <c r="T72" s="103">
        <f t="shared" ca="1" si="57"/>
        <v>946.38789321983177</v>
      </c>
      <c r="U72" s="103">
        <f t="shared" ca="1" si="57"/>
        <v>946.38789321983177</v>
      </c>
      <c r="V72" s="103">
        <f t="shared" ca="1" si="57"/>
        <v>946.38789321983177</v>
      </c>
      <c r="W72" s="103">
        <f t="shared" ca="1" si="57"/>
        <v>944.43719999999973</v>
      </c>
      <c r="X72" s="103">
        <f t="shared" ca="1" si="57"/>
        <v>944.43719999999973</v>
      </c>
      <c r="Y72" s="103">
        <f t="shared" ca="1" si="57"/>
        <v>944.43719999999973</v>
      </c>
      <c r="Z72" s="103">
        <f t="shared" ca="1" si="57"/>
        <v>944.43719999999973</v>
      </c>
      <c r="AA72" s="103">
        <f t="shared" ca="1" si="57"/>
        <v>944.43719999999973</v>
      </c>
      <c r="AB72" s="103">
        <f t="shared" ca="1" si="57"/>
        <v>944.43719999999973</v>
      </c>
      <c r="AC72" s="103">
        <f t="shared" ca="1" si="57"/>
        <v>944.43719999999973</v>
      </c>
      <c r="AD72" s="103">
        <f t="shared" ca="1" si="57"/>
        <v>944.43719999999973</v>
      </c>
      <c r="AE72" s="103">
        <f t="shared" ca="1" si="57"/>
        <v>944.43719999999973</v>
      </c>
      <c r="AF72" s="103">
        <f t="shared" ca="1" si="57"/>
        <v>944.43719999999973</v>
      </c>
      <c r="AG72" s="103">
        <f t="shared" ca="1" si="57"/>
        <v>944.43719999999973</v>
      </c>
      <c r="AH72" s="103"/>
      <c r="AI72" s="103"/>
      <c r="AJ72" s="720">
        <f ca="1">IF($C$4=Year1,-PMT(Lookups!$E$17,25,NPV(Lookups!$E$17,G72:AE72),0,1),IF($C$4=Year2,-PMT(Lookups!$F$17,25,NPV(Lookups!$F$17,H72:AF72),0,1),IF($C$4=Year3,-PMT(Lookups!$G$17,25,NPV(Lookups!$G$17,I72:AG72),0,1),-PMT(Lookups!$G$17,27,NPV(Lookups!$G$17,G72:AG72),0,1))))</f>
        <v>934.56111321850904</v>
      </c>
      <c r="AM72" s="149">
        <f ca="1">AM64+AM65*(AM57-AM56)</f>
        <v>0</v>
      </c>
      <c r="AN72" s="149">
        <f ca="1">AN64+AN65*(AN57-AN56)</f>
        <v>999.93863707563025</v>
      </c>
      <c r="AO72" s="149">
        <f t="shared" ref="AO72:BM72" ca="1" si="58">AO64+AO65*(AO57-AO56)</f>
        <v>946.66864974953273</v>
      </c>
      <c r="AP72" s="149">
        <f t="shared" ca="1" si="58"/>
        <v>946.66864974953273</v>
      </c>
      <c r="AQ72" s="149">
        <f t="shared" ca="1" si="58"/>
        <v>946.66864974953273</v>
      </c>
      <c r="AR72" s="149">
        <f t="shared" ca="1" si="58"/>
        <v>946.66864974953273</v>
      </c>
      <c r="AS72" s="149">
        <f t="shared" ca="1" si="58"/>
        <v>946.66864974953273</v>
      </c>
      <c r="AT72" s="149">
        <f t="shared" ca="1" si="58"/>
        <v>946.66864974953273</v>
      </c>
      <c r="AU72" s="149">
        <f t="shared" ca="1" si="58"/>
        <v>946.66864974953273</v>
      </c>
      <c r="AV72" s="149">
        <f t="shared" ca="1" si="58"/>
        <v>946.66864974953273</v>
      </c>
      <c r="AW72" s="149">
        <f t="shared" ca="1" si="58"/>
        <v>946.66864974953273</v>
      </c>
      <c r="AX72" s="149">
        <f t="shared" ca="1" si="58"/>
        <v>946.66864974953273</v>
      </c>
      <c r="AY72" s="149">
        <f t="shared" ca="1" si="58"/>
        <v>946.66864974953273</v>
      </c>
      <c r="AZ72" s="149">
        <f t="shared" ca="1" si="58"/>
        <v>946.66864974953273</v>
      </c>
      <c r="BA72" s="149">
        <f t="shared" ca="1" si="58"/>
        <v>946.66864974953273</v>
      </c>
      <c r="BB72" s="149">
        <f t="shared" ca="1" si="58"/>
        <v>946.66864974953273</v>
      </c>
      <c r="BC72" s="149">
        <f t="shared" ca="1" si="58"/>
        <v>944.43719999999973</v>
      </c>
      <c r="BD72" s="149">
        <f t="shared" ca="1" si="58"/>
        <v>944.43719999999973</v>
      </c>
      <c r="BE72" s="149">
        <f t="shared" ca="1" si="58"/>
        <v>944.43719999999973</v>
      </c>
      <c r="BF72" s="149">
        <f t="shared" ca="1" si="58"/>
        <v>944.43719999999973</v>
      </c>
      <c r="BG72" s="149">
        <f t="shared" ca="1" si="58"/>
        <v>944.43719999999973</v>
      </c>
      <c r="BH72" s="149">
        <f t="shared" ca="1" si="58"/>
        <v>944.43719999999973</v>
      </c>
      <c r="BI72" s="149">
        <f t="shared" ca="1" si="58"/>
        <v>944.43719999999973</v>
      </c>
      <c r="BJ72" s="149">
        <f t="shared" ca="1" si="58"/>
        <v>944.43719999999973</v>
      </c>
      <c r="BK72" s="149">
        <f t="shared" ca="1" si="58"/>
        <v>944.43719999999973</v>
      </c>
      <c r="BL72" s="149">
        <f t="shared" ca="1" si="58"/>
        <v>944.43719999999973</v>
      </c>
      <c r="BM72" s="149">
        <f t="shared" ca="1" si="58"/>
        <v>944.43719999999973</v>
      </c>
      <c r="BN72" s="149"/>
      <c r="BO72" s="149"/>
      <c r="BP72" s="149">
        <f ca="1">IF($C$4=Year1,-PMT(Lookups!$E$17,25,NPV(Lookups!$E$17,AM72:BK72),0,1),IF($C$4=Year2,-PMT(Lookups!$F$17,25,NPV(Lookups!$F$17,AN72:BL72),0,1),IF($C$4=Year3,-PMT(Lookups!$G$17,25,NPV(Lookups!$G$17,AO72:BM72),0,1),-PMT(Lookups!$G$17,27,NPV(Lookups!$G$17,AM72:BM72),0,1))))</f>
        <v>935.15106393488509</v>
      </c>
      <c r="BS72" s="84" t="s">
        <v>239</v>
      </c>
      <c r="BT72" s="51" t="s">
        <v>17</v>
      </c>
    </row>
    <row r="73" spans="1:72" x14ac:dyDescent="0.25">
      <c r="B73" s="243" t="str">
        <f t="shared" si="49"/>
        <v>Residential</v>
      </c>
      <c r="C73" s="243" t="str">
        <f t="shared" si="49"/>
        <v>Bills</v>
      </c>
      <c r="D73" s="244" t="str">
        <f t="shared" si="49"/>
        <v>Bills after DSM Scenario</v>
      </c>
      <c r="E73" s="84" t="s">
        <v>349</v>
      </c>
      <c r="F73" s="84" t="s">
        <v>32</v>
      </c>
      <c r="G73" s="103">
        <f ca="1">G64+(G65-G68)*(G57-G56)</f>
        <v>0</v>
      </c>
      <c r="H73" s="103">
        <f ca="1">H64+(H65-H68)*(H57-H56)</f>
        <v>984.33595884102704</v>
      </c>
      <c r="I73" s="103">
        <f t="shared" ref="I73:AG73" ca="1" si="59">I64+(I65-I68)*(I57-I56)</f>
        <v>940.29814846730005</v>
      </c>
      <c r="J73" s="103">
        <f t="shared" ca="1" si="59"/>
        <v>940.29814846730005</v>
      </c>
      <c r="K73" s="103">
        <f t="shared" ca="1" si="59"/>
        <v>940.29814846730005</v>
      </c>
      <c r="L73" s="103">
        <f t="shared" ca="1" si="59"/>
        <v>940.29814846730005</v>
      </c>
      <c r="M73" s="103">
        <f t="shared" ca="1" si="59"/>
        <v>940.29814846730005</v>
      </c>
      <c r="N73" s="103">
        <f t="shared" ca="1" si="59"/>
        <v>940.29814846730005</v>
      </c>
      <c r="O73" s="103">
        <f t="shared" ca="1" si="59"/>
        <v>940.29814846730005</v>
      </c>
      <c r="P73" s="103">
        <f t="shared" ca="1" si="59"/>
        <v>940.29814846730005</v>
      </c>
      <c r="Q73" s="103">
        <f t="shared" ca="1" si="59"/>
        <v>940.29814846730005</v>
      </c>
      <c r="R73" s="103">
        <f t="shared" ca="1" si="59"/>
        <v>940.29814846730005</v>
      </c>
      <c r="S73" s="103">
        <f t="shared" ca="1" si="59"/>
        <v>940.29814846730005</v>
      </c>
      <c r="T73" s="103">
        <f t="shared" ca="1" si="59"/>
        <v>940.29814846730005</v>
      </c>
      <c r="U73" s="103">
        <f t="shared" ca="1" si="59"/>
        <v>940.29814846730005</v>
      </c>
      <c r="V73" s="103">
        <f t="shared" ca="1" si="59"/>
        <v>940.29814846730005</v>
      </c>
      <c r="W73" s="103">
        <f t="shared" ca="1" si="59"/>
        <v>944.43719999999973</v>
      </c>
      <c r="X73" s="103">
        <f t="shared" ca="1" si="59"/>
        <v>944.43719999999973</v>
      </c>
      <c r="Y73" s="103">
        <f t="shared" ca="1" si="59"/>
        <v>944.43719999999973</v>
      </c>
      <c r="Z73" s="103">
        <f t="shared" ca="1" si="59"/>
        <v>944.43719999999973</v>
      </c>
      <c r="AA73" s="103">
        <f t="shared" ca="1" si="59"/>
        <v>944.43719999999973</v>
      </c>
      <c r="AB73" s="103">
        <f t="shared" ca="1" si="59"/>
        <v>944.43719999999973</v>
      </c>
      <c r="AC73" s="103">
        <f t="shared" ca="1" si="59"/>
        <v>944.43719999999973</v>
      </c>
      <c r="AD73" s="103">
        <f t="shared" ca="1" si="59"/>
        <v>944.43719999999973</v>
      </c>
      <c r="AE73" s="103">
        <f t="shared" ca="1" si="59"/>
        <v>944.43719999999973</v>
      </c>
      <c r="AF73" s="103">
        <f t="shared" ca="1" si="59"/>
        <v>944.43719999999973</v>
      </c>
      <c r="AG73" s="103">
        <f t="shared" ca="1" si="59"/>
        <v>944.43719999999973</v>
      </c>
      <c r="AH73" s="103"/>
      <c r="AI73" s="103"/>
      <c r="AJ73" s="720">
        <f ca="1">IF($C$4=Year1,-PMT(Lookups!$E$17,25,NPV(Lookups!$E$17,G73:AE73),0,1),IF($C$4=Year2,-PMT(Lookups!$F$17,25,NPV(Lookups!$F$17,H73:AF73),0,1),IF($C$4=Year3,-PMT(Lookups!$G$17,25,NPV(Lookups!$G$17,I73:AG73),0,1),-PMT(Lookups!$G$17,27,NPV(Lookups!$G$17,G73:AG73),0,1))))</f>
        <v>930.69235333555309</v>
      </c>
      <c r="AM73" s="149">
        <f ca="1">AM64+(AM65-AM68)*(AM57-AM56)</f>
        <v>0</v>
      </c>
      <c r="AN73" s="149">
        <f ca="1">AN64+(AN65-AN68)*(AN57-AN56)</f>
        <v>992.49109703054853</v>
      </c>
      <c r="AO73" s="149">
        <f t="shared" ref="AO73:BM73" ca="1" si="60">AO64+(AO65-AO68)*(AO57-AO56)</f>
        <v>939.70638385030827</v>
      </c>
      <c r="AP73" s="149">
        <f t="shared" ca="1" si="60"/>
        <v>939.70638385030827</v>
      </c>
      <c r="AQ73" s="149">
        <f t="shared" ca="1" si="60"/>
        <v>939.70638385030827</v>
      </c>
      <c r="AR73" s="149">
        <f t="shared" ca="1" si="60"/>
        <v>939.70638385030827</v>
      </c>
      <c r="AS73" s="149">
        <f t="shared" ca="1" si="60"/>
        <v>939.70638385030827</v>
      </c>
      <c r="AT73" s="149">
        <f t="shared" ca="1" si="60"/>
        <v>939.70638385030827</v>
      </c>
      <c r="AU73" s="149">
        <f t="shared" ca="1" si="60"/>
        <v>939.70638385030827</v>
      </c>
      <c r="AV73" s="149">
        <f t="shared" ca="1" si="60"/>
        <v>939.70638385030827</v>
      </c>
      <c r="AW73" s="149">
        <f t="shared" ca="1" si="60"/>
        <v>939.70638385030827</v>
      </c>
      <c r="AX73" s="149">
        <f t="shared" ca="1" si="60"/>
        <v>939.70638385030827</v>
      </c>
      <c r="AY73" s="149">
        <f t="shared" ca="1" si="60"/>
        <v>939.70638385030827</v>
      </c>
      <c r="AZ73" s="149">
        <f t="shared" ca="1" si="60"/>
        <v>939.70638385030827</v>
      </c>
      <c r="BA73" s="149">
        <f t="shared" ca="1" si="60"/>
        <v>939.70638385030827</v>
      </c>
      <c r="BB73" s="149">
        <f t="shared" ca="1" si="60"/>
        <v>939.70638385030827</v>
      </c>
      <c r="BC73" s="149">
        <f t="shared" ca="1" si="60"/>
        <v>944.43719999999973</v>
      </c>
      <c r="BD73" s="149">
        <f t="shared" ca="1" si="60"/>
        <v>944.43719999999973</v>
      </c>
      <c r="BE73" s="149">
        <f t="shared" ca="1" si="60"/>
        <v>944.43719999999973</v>
      </c>
      <c r="BF73" s="149">
        <f t="shared" ca="1" si="60"/>
        <v>944.43719999999973</v>
      </c>
      <c r="BG73" s="149">
        <f t="shared" ca="1" si="60"/>
        <v>944.43719999999973</v>
      </c>
      <c r="BH73" s="149">
        <f t="shared" ca="1" si="60"/>
        <v>944.43719999999973</v>
      </c>
      <c r="BI73" s="149">
        <f t="shared" ca="1" si="60"/>
        <v>944.43719999999973</v>
      </c>
      <c r="BJ73" s="149">
        <f t="shared" ca="1" si="60"/>
        <v>944.43719999999973</v>
      </c>
      <c r="BK73" s="149">
        <f t="shared" ca="1" si="60"/>
        <v>944.43719999999973</v>
      </c>
      <c r="BL73" s="149">
        <f t="shared" ca="1" si="60"/>
        <v>944.43719999999973</v>
      </c>
      <c r="BM73" s="149">
        <f t="shared" ca="1" si="60"/>
        <v>944.43719999999973</v>
      </c>
      <c r="BN73" s="149"/>
      <c r="BO73" s="149"/>
      <c r="BP73" s="149">
        <f ca="1">IF($C$4=Year1,-PMT(Lookups!$E$17,25,NPV(Lookups!$E$17,AM73:BK73),0,1),IF($C$4=Year2,-PMT(Lookups!$F$17,25,NPV(Lookups!$F$17,AN73:BL73),0,1),IF($C$4=Year3,-PMT(Lookups!$G$17,25,NPV(Lookups!$G$17,AO73:BM73),0,1),-PMT(Lookups!$G$17,27,NPV(Lookups!$G$17,AM73:BM73),0,1))))</f>
        <v>930.72424978860317</v>
      </c>
      <c r="BS73" s="84" t="s">
        <v>240</v>
      </c>
      <c r="BT73" s="51" t="s">
        <v>17</v>
      </c>
    </row>
    <row r="74" spans="1:72" x14ac:dyDescent="0.25">
      <c r="B74" s="243" t="str">
        <f t="shared" si="49"/>
        <v>Residential</v>
      </c>
      <c r="C74" s="243" t="str">
        <f t="shared" si="49"/>
        <v>Bills</v>
      </c>
      <c r="D74" s="244" t="str">
        <f t="shared" si="49"/>
        <v>Bills after DSM Scenario</v>
      </c>
      <c r="E74" s="84" t="str">
        <f>'EE Inputs'!$N$15&amp;" Participant Annual Bill"</f>
        <v>Low Savings Participant Annual Bill</v>
      </c>
      <c r="F74" s="84" t="s">
        <v>32</v>
      </c>
      <c r="G74" s="103">
        <f ca="1">G64+(G65-G69)*(G57-G56)</f>
        <v>0</v>
      </c>
      <c r="H74" s="103">
        <f ca="1">H64+(H65-H69)*(H57-H56)</f>
        <v>982.69575383166375</v>
      </c>
      <c r="I74" s="103">
        <f t="shared" ref="I74:AG74" ca="1" si="61">I64+(I65-I69)*(I57-I56)</f>
        <v>938.74801428763351</v>
      </c>
      <c r="J74" s="103">
        <f t="shared" ca="1" si="61"/>
        <v>938.74801428763351</v>
      </c>
      <c r="K74" s="103">
        <f t="shared" ca="1" si="61"/>
        <v>938.74801428763351</v>
      </c>
      <c r="L74" s="103">
        <f t="shared" ca="1" si="61"/>
        <v>938.74801428763351</v>
      </c>
      <c r="M74" s="103">
        <f t="shared" ca="1" si="61"/>
        <v>938.74801428763351</v>
      </c>
      <c r="N74" s="103">
        <f t="shared" ca="1" si="61"/>
        <v>938.74801428763351</v>
      </c>
      <c r="O74" s="103">
        <f t="shared" ca="1" si="61"/>
        <v>938.74801428763351</v>
      </c>
      <c r="P74" s="103">
        <f t="shared" ca="1" si="61"/>
        <v>938.74801428763351</v>
      </c>
      <c r="Q74" s="103">
        <f t="shared" ca="1" si="61"/>
        <v>938.74801428763351</v>
      </c>
      <c r="R74" s="103">
        <f t="shared" ca="1" si="61"/>
        <v>938.74801428763351</v>
      </c>
      <c r="S74" s="103">
        <f t="shared" ca="1" si="61"/>
        <v>938.74801428763351</v>
      </c>
      <c r="T74" s="103">
        <f t="shared" ca="1" si="61"/>
        <v>938.74801428763351</v>
      </c>
      <c r="U74" s="103">
        <f t="shared" ca="1" si="61"/>
        <v>938.74801428763351</v>
      </c>
      <c r="V74" s="103">
        <f t="shared" ca="1" si="61"/>
        <v>938.74801428763351</v>
      </c>
      <c r="W74" s="103">
        <f t="shared" ca="1" si="61"/>
        <v>944.43719999999973</v>
      </c>
      <c r="X74" s="103">
        <f t="shared" ca="1" si="61"/>
        <v>944.43719999999973</v>
      </c>
      <c r="Y74" s="103">
        <f t="shared" ca="1" si="61"/>
        <v>944.43719999999973</v>
      </c>
      <c r="Z74" s="103">
        <f t="shared" ca="1" si="61"/>
        <v>944.43719999999973</v>
      </c>
      <c r="AA74" s="103">
        <f t="shared" ca="1" si="61"/>
        <v>944.43719999999973</v>
      </c>
      <c r="AB74" s="103">
        <f t="shared" ca="1" si="61"/>
        <v>944.43719999999973</v>
      </c>
      <c r="AC74" s="103">
        <f t="shared" ca="1" si="61"/>
        <v>944.43719999999973</v>
      </c>
      <c r="AD74" s="103">
        <f t="shared" ca="1" si="61"/>
        <v>944.43719999999973</v>
      </c>
      <c r="AE74" s="103">
        <f t="shared" ca="1" si="61"/>
        <v>944.43719999999973</v>
      </c>
      <c r="AF74" s="103">
        <f t="shared" ca="1" si="61"/>
        <v>944.43719999999973</v>
      </c>
      <c r="AG74" s="103">
        <f t="shared" ca="1" si="61"/>
        <v>944.43719999999973</v>
      </c>
      <c r="AH74" s="103"/>
      <c r="AI74" s="103"/>
      <c r="AJ74" s="720">
        <f ca="1">IF($C$4=Year1,-PMT(Lookups!$E$17,25,NPV(Lookups!$E$17,G74:AE74),0,1),IF($C$4=Year2,-PMT(Lookups!$F$17,25,NPV(Lookups!$F$17,H74:AF74),0,1),IF($C$4=Year3,-PMT(Lookups!$G$17,25,NPV(Lookups!$G$17,I74:AG74),0,1),-PMT(Lookups!$G$17,27,NPV(Lookups!$G$17,G74:AG74),0,1))))</f>
        <v>929.70756708075976</v>
      </c>
      <c r="AM74" s="149">
        <f ca="1">AM64+(AM65-AM69)*(AM57-AM56)</f>
        <v>0</v>
      </c>
      <c r="AN74" s="149">
        <f ca="1">AN64+(AN65-AN69)*(AN57-AN56)</f>
        <v>990.12817343072277</v>
      </c>
      <c r="AO74" s="149">
        <f t="shared" ref="AO74:BM74" ca="1" si="62">AO64+(AO65-AO69)*(AO57-AO56)</f>
        <v>937.49742595253849</v>
      </c>
      <c r="AP74" s="149">
        <f t="shared" ca="1" si="62"/>
        <v>937.49742595253849</v>
      </c>
      <c r="AQ74" s="149">
        <f t="shared" ca="1" si="62"/>
        <v>937.49742595253849</v>
      </c>
      <c r="AR74" s="149">
        <f t="shared" ca="1" si="62"/>
        <v>937.49742595253849</v>
      </c>
      <c r="AS74" s="149">
        <f t="shared" ca="1" si="62"/>
        <v>937.49742595253849</v>
      </c>
      <c r="AT74" s="149">
        <f t="shared" ca="1" si="62"/>
        <v>937.49742595253849</v>
      </c>
      <c r="AU74" s="149">
        <f t="shared" ca="1" si="62"/>
        <v>937.49742595253849</v>
      </c>
      <c r="AV74" s="149">
        <f t="shared" ca="1" si="62"/>
        <v>937.49742595253849</v>
      </c>
      <c r="AW74" s="149">
        <f t="shared" ca="1" si="62"/>
        <v>937.49742595253849</v>
      </c>
      <c r="AX74" s="149">
        <f t="shared" ca="1" si="62"/>
        <v>937.49742595253849</v>
      </c>
      <c r="AY74" s="149">
        <f t="shared" ca="1" si="62"/>
        <v>937.49742595253849</v>
      </c>
      <c r="AZ74" s="149">
        <f t="shared" ca="1" si="62"/>
        <v>937.49742595253849</v>
      </c>
      <c r="BA74" s="149">
        <f t="shared" ca="1" si="62"/>
        <v>937.49742595253849</v>
      </c>
      <c r="BB74" s="149">
        <f t="shared" ca="1" si="62"/>
        <v>937.49742595253849</v>
      </c>
      <c r="BC74" s="149">
        <f t="shared" ca="1" si="62"/>
        <v>944.43719999999973</v>
      </c>
      <c r="BD74" s="149">
        <f t="shared" ca="1" si="62"/>
        <v>944.43719999999973</v>
      </c>
      <c r="BE74" s="149">
        <f t="shared" ca="1" si="62"/>
        <v>944.43719999999973</v>
      </c>
      <c r="BF74" s="149">
        <f t="shared" ca="1" si="62"/>
        <v>944.43719999999973</v>
      </c>
      <c r="BG74" s="149">
        <f t="shared" ca="1" si="62"/>
        <v>944.43719999999973</v>
      </c>
      <c r="BH74" s="149">
        <f t="shared" ca="1" si="62"/>
        <v>944.43719999999973</v>
      </c>
      <c r="BI74" s="149">
        <f t="shared" ca="1" si="62"/>
        <v>944.43719999999973</v>
      </c>
      <c r="BJ74" s="149">
        <f t="shared" ca="1" si="62"/>
        <v>944.43719999999973</v>
      </c>
      <c r="BK74" s="149">
        <f t="shared" ca="1" si="62"/>
        <v>944.43719999999973</v>
      </c>
      <c r="BL74" s="149">
        <f t="shared" ca="1" si="62"/>
        <v>944.43719999999973</v>
      </c>
      <c r="BM74" s="149">
        <f t="shared" ca="1" si="62"/>
        <v>944.43719999999973</v>
      </c>
      <c r="BN74" s="149"/>
      <c r="BO74" s="149"/>
      <c r="BP74" s="149">
        <f ca="1">IF($C$4=Year1,-PMT(Lookups!$E$17,25,NPV(Lookups!$E$17,AM74:BK74),0,1),IF($C$4=Year2,-PMT(Lookups!$F$17,25,NPV(Lookups!$F$17,AN74:BL74),0,1),IF($C$4=Year3,-PMT(Lookups!$G$17,25,NPV(Lookups!$G$17,AO74:BM74),0,1),-PMT(Lookups!$G$17,27,NPV(Lookups!$G$17,AM74:BM74),0,1))))</f>
        <v>929.31972916098971</v>
      </c>
      <c r="BS74" s="84" t="s">
        <v>240</v>
      </c>
      <c r="BT74" s="51" t="s">
        <v>17</v>
      </c>
    </row>
    <row r="75" spans="1:72" x14ac:dyDescent="0.25">
      <c r="B75" s="243" t="str">
        <f t="shared" si="49"/>
        <v>Residential</v>
      </c>
      <c r="C75" s="243" t="str">
        <f t="shared" si="49"/>
        <v>Bills</v>
      </c>
      <c r="D75" s="244" t="str">
        <f t="shared" si="49"/>
        <v>Bills after DSM Scenario</v>
      </c>
      <c r="E75" s="84" t="str">
        <f>'EE Inputs'!$N$16&amp;" Participant Annual Bill"</f>
        <v>High Savings Participant Annual Bill</v>
      </c>
      <c r="F75" s="84" t="s">
        <v>32</v>
      </c>
      <c r="G75" s="103">
        <f ca="1">G64+(G65-G70)*(G57-G56)</f>
        <v>0</v>
      </c>
      <c r="H75" s="103">
        <f ca="1">H64+(H65-H70)*(H57-H56)</f>
        <v>934.19298087216896</v>
      </c>
      <c r="I75" s="103">
        <f t="shared" ref="I75:AG75" ca="1" si="63">I64+(I65-I70)*(I57-I56)</f>
        <v>892.90874069444351</v>
      </c>
      <c r="J75" s="103">
        <f t="shared" ca="1" si="63"/>
        <v>892.90874069444351</v>
      </c>
      <c r="K75" s="103">
        <f t="shared" ca="1" si="63"/>
        <v>892.90874069444351</v>
      </c>
      <c r="L75" s="103">
        <f t="shared" ca="1" si="63"/>
        <v>892.90874069444351</v>
      </c>
      <c r="M75" s="103">
        <f t="shared" ca="1" si="63"/>
        <v>892.90874069444351</v>
      </c>
      <c r="N75" s="103">
        <f t="shared" ca="1" si="63"/>
        <v>892.90874069444351</v>
      </c>
      <c r="O75" s="103">
        <f t="shared" ca="1" si="63"/>
        <v>892.90874069444351</v>
      </c>
      <c r="P75" s="103">
        <f t="shared" ca="1" si="63"/>
        <v>892.90874069444351</v>
      </c>
      <c r="Q75" s="103">
        <f t="shared" ca="1" si="63"/>
        <v>892.90874069444351</v>
      </c>
      <c r="R75" s="103">
        <f t="shared" ca="1" si="63"/>
        <v>892.90874069444351</v>
      </c>
      <c r="S75" s="103">
        <f t="shared" ca="1" si="63"/>
        <v>892.90874069444351</v>
      </c>
      <c r="T75" s="103">
        <f t="shared" ca="1" si="63"/>
        <v>892.90874069444351</v>
      </c>
      <c r="U75" s="103">
        <f t="shared" ca="1" si="63"/>
        <v>892.90874069444351</v>
      </c>
      <c r="V75" s="103">
        <f t="shared" ca="1" si="63"/>
        <v>892.90874069444351</v>
      </c>
      <c r="W75" s="103">
        <f t="shared" ca="1" si="63"/>
        <v>944.43719999999973</v>
      </c>
      <c r="X75" s="103">
        <f t="shared" ca="1" si="63"/>
        <v>944.43719999999973</v>
      </c>
      <c r="Y75" s="103">
        <f t="shared" ca="1" si="63"/>
        <v>944.43719999999973</v>
      </c>
      <c r="Z75" s="103">
        <f t="shared" ca="1" si="63"/>
        <v>944.43719999999973</v>
      </c>
      <c r="AA75" s="103">
        <f t="shared" ca="1" si="63"/>
        <v>944.43719999999973</v>
      </c>
      <c r="AB75" s="103">
        <f t="shared" ca="1" si="63"/>
        <v>944.43719999999973</v>
      </c>
      <c r="AC75" s="103">
        <f t="shared" ca="1" si="63"/>
        <v>944.43719999999973</v>
      </c>
      <c r="AD75" s="103">
        <f t="shared" ca="1" si="63"/>
        <v>944.43719999999973</v>
      </c>
      <c r="AE75" s="103">
        <f t="shared" ca="1" si="63"/>
        <v>944.43719999999973</v>
      </c>
      <c r="AF75" s="103">
        <f t="shared" ca="1" si="63"/>
        <v>944.43719999999973</v>
      </c>
      <c r="AG75" s="103">
        <f t="shared" ca="1" si="63"/>
        <v>944.43719999999973</v>
      </c>
      <c r="AH75" s="103"/>
      <c r="AI75" s="103"/>
      <c r="AJ75" s="720">
        <f ca="1">IF($C$4=Year1,-PMT(Lookups!$E$17,25,NPV(Lookups!$E$17,G75:AE75),0,1),IF($C$4=Year2,-PMT(Lookups!$F$17,25,NPV(Lookups!$F$17,H75:AF75),0,1),IF($C$4=Year3,-PMT(Lookups!$G$17,25,NPV(Lookups!$G$17,I75:AG75),0,1),-PMT(Lookups!$G$17,27,NPV(Lookups!$G$17,G75:AG75),0,1))))</f>
        <v>900.58629025426512</v>
      </c>
      <c r="AM75" s="149">
        <f ca="1">AM64+(AM65-AM70)*(AM57-AM56)</f>
        <v>0</v>
      </c>
      <c r="AN75" s="149">
        <f ca="1">AN64+(AN65-AN70)*(AN57-AN56)</f>
        <v>931.2653915612774</v>
      </c>
      <c r="AO75" s="149">
        <f t="shared" ref="AO75:BM75" ca="1" si="64">AO64+(AO65-AO70)*(AO57-AO56)</f>
        <v>882.47008317057202</v>
      </c>
      <c r="AP75" s="149">
        <f t="shared" ca="1" si="64"/>
        <v>882.47008317057202</v>
      </c>
      <c r="AQ75" s="149">
        <f t="shared" ca="1" si="64"/>
        <v>882.47008317057202</v>
      </c>
      <c r="AR75" s="149">
        <f t="shared" ca="1" si="64"/>
        <v>882.47008317057202</v>
      </c>
      <c r="AS75" s="149">
        <f t="shared" ca="1" si="64"/>
        <v>882.47008317057202</v>
      </c>
      <c r="AT75" s="149">
        <f t="shared" ca="1" si="64"/>
        <v>882.47008317057202</v>
      </c>
      <c r="AU75" s="149">
        <f t="shared" ca="1" si="64"/>
        <v>882.47008317057202</v>
      </c>
      <c r="AV75" s="149">
        <f t="shared" ca="1" si="64"/>
        <v>882.47008317057202</v>
      </c>
      <c r="AW75" s="149">
        <f t="shared" ca="1" si="64"/>
        <v>882.47008317057202</v>
      </c>
      <c r="AX75" s="149">
        <f t="shared" ca="1" si="64"/>
        <v>882.47008317057202</v>
      </c>
      <c r="AY75" s="149">
        <f t="shared" ca="1" si="64"/>
        <v>882.47008317057202</v>
      </c>
      <c r="AZ75" s="149">
        <f t="shared" ca="1" si="64"/>
        <v>882.47008317057202</v>
      </c>
      <c r="BA75" s="149">
        <f t="shared" ca="1" si="64"/>
        <v>882.47008317057202</v>
      </c>
      <c r="BB75" s="149">
        <f t="shared" ca="1" si="64"/>
        <v>882.47008317057202</v>
      </c>
      <c r="BC75" s="149">
        <f t="shared" ca="1" si="64"/>
        <v>944.43719999999973</v>
      </c>
      <c r="BD75" s="149">
        <f t="shared" ca="1" si="64"/>
        <v>944.43719999999973</v>
      </c>
      <c r="BE75" s="149">
        <f t="shared" ca="1" si="64"/>
        <v>944.43719999999973</v>
      </c>
      <c r="BF75" s="149">
        <f t="shared" ca="1" si="64"/>
        <v>944.43719999999973</v>
      </c>
      <c r="BG75" s="149">
        <f t="shared" ca="1" si="64"/>
        <v>944.43719999999973</v>
      </c>
      <c r="BH75" s="149">
        <f t="shared" ca="1" si="64"/>
        <v>944.43719999999973</v>
      </c>
      <c r="BI75" s="149">
        <f t="shared" ca="1" si="64"/>
        <v>944.43719999999973</v>
      </c>
      <c r="BJ75" s="149">
        <f t="shared" ca="1" si="64"/>
        <v>944.43719999999973</v>
      </c>
      <c r="BK75" s="149">
        <f t="shared" ca="1" si="64"/>
        <v>944.43719999999973</v>
      </c>
      <c r="BL75" s="149">
        <f t="shared" ca="1" si="64"/>
        <v>944.43719999999973</v>
      </c>
      <c r="BM75" s="149">
        <f t="shared" ca="1" si="64"/>
        <v>944.43719999999973</v>
      </c>
      <c r="BN75" s="149"/>
      <c r="BO75" s="149"/>
      <c r="BP75" s="149">
        <f ca="1">IF($C$4=Year1,-PMT(Lookups!$E$17,25,NPV(Lookups!$E$17,AM75:BK75),0,1),IF($C$4=Year2,-PMT(Lookups!$F$17,25,NPV(Lookups!$F$17,AN75:BL75),0,1),IF($C$4=Year3,-PMT(Lookups!$G$17,25,NPV(Lookups!$G$17,AO75:BM75),0,1),-PMT(Lookups!$G$17,27,NPV(Lookups!$G$17,AM75:BM75),0,1))))</f>
        <v>894.33172051761665</v>
      </c>
      <c r="BS75" s="84" t="s">
        <v>240</v>
      </c>
      <c r="BT75" s="51" t="s">
        <v>17</v>
      </c>
    </row>
    <row r="76" spans="1:72" x14ac:dyDescent="0.25">
      <c r="B76" s="243" t="str">
        <f t="shared" ref="B76:D85" si="65">B75</f>
        <v>Residential</v>
      </c>
      <c r="C76" s="243" t="str">
        <f t="shared" si="65"/>
        <v>Bills</v>
      </c>
      <c r="D76" s="114" t="s">
        <v>115</v>
      </c>
      <c r="E76" s="84"/>
      <c r="F76" s="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49"/>
      <c r="AI76" s="184"/>
      <c r="AJ76" s="49"/>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S76" s="84"/>
      <c r="BT76" s="51" t="s">
        <v>17</v>
      </c>
    </row>
    <row r="77" spans="1:72" x14ac:dyDescent="0.25">
      <c r="B77" s="243" t="str">
        <f t="shared" si="65"/>
        <v>Residential</v>
      </c>
      <c r="C77" s="243" t="str">
        <f t="shared" si="65"/>
        <v>Bills</v>
      </c>
      <c r="D77" s="244" t="str">
        <f t="shared" si="65"/>
        <v>Change in Bills</v>
      </c>
      <c r="E77" s="84" t="s">
        <v>348</v>
      </c>
      <c r="F77" s="84" t="s">
        <v>32</v>
      </c>
      <c r="G77" s="103">
        <f ca="1">G72-G66</f>
        <v>0</v>
      </c>
      <c r="H77" s="103">
        <f ca="1">H72-H66</f>
        <v>46.34234932491313</v>
      </c>
      <c r="I77" s="103">
        <f t="shared" ref="I77:AG77" ca="1" si="66">I72-I66</f>
        <v>1.9506932198320328</v>
      </c>
      <c r="J77" s="103">
        <f t="shared" ca="1" si="66"/>
        <v>1.9506932198320328</v>
      </c>
      <c r="K77" s="103">
        <f t="shared" ca="1" si="66"/>
        <v>1.9506932198320328</v>
      </c>
      <c r="L77" s="103">
        <f t="shared" ca="1" si="66"/>
        <v>1.9506932198320328</v>
      </c>
      <c r="M77" s="103">
        <f t="shared" ca="1" si="66"/>
        <v>1.9506932198320328</v>
      </c>
      <c r="N77" s="103">
        <f t="shared" ca="1" si="66"/>
        <v>1.9506932198320328</v>
      </c>
      <c r="O77" s="103">
        <f t="shared" ca="1" si="66"/>
        <v>1.9506932198320328</v>
      </c>
      <c r="P77" s="103">
        <f t="shared" ca="1" si="66"/>
        <v>1.9506932198320328</v>
      </c>
      <c r="Q77" s="103">
        <f t="shared" ca="1" si="66"/>
        <v>1.9506932198320328</v>
      </c>
      <c r="R77" s="103">
        <f t="shared" ca="1" si="66"/>
        <v>1.9506932198320328</v>
      </c>
      <c r="S77" s="103">
        <f t="shared" ca="1" si="66"/>
        <v>1.9506932198320328</v>
      </c>
      <c r="T77" s="103">
        <f t="shared" ca="1" si="66"/>
        <v>1.9506932198320328</v>
      </c>
      <c r="U77" s="103">
        <f t="shared" ca="1" si="66"/>
        <v>1.9506932198320328</v>
      </c>
      <c r="V77" s="103">
        <f t="shared" ca="1" si="66"/>
        <v>1.9506932198320328</v>
      </c>
      <c r="W77" s="103">
        <f t="shared" ca="1" si="66"/>
        <v>0</v>
      </c>
      <c r="X77" s="103">
        <f t="shared" ca="1" si="66"/>
        <v>0</v>
      </c>
      <c r="Y77" s="103">
        <f t="shared" ca="1" si="66"/>
        <v>0</v>
      </c>
      <c r="Z77" s="103">
        <f t="shared" ca="1" si="66"/>
        <v>0</v>
      </c>
      <c r="AA77" s="103">
        <f t="shared" ca="1" si="66"/>
        <v>0</v>
      </c>
      <c r="AB77" s="103">
        <f t="shared" ca="1" si="66"/>
        <v>0</v>
      </c>
      <c r="AC77" s="103">
        <f t="shared" ca="1" si="66"/>
        <v>0</v>
      </c>
      <c r="AD77" s="103">
        <f t="shared" ca="1" si="66"/>
        <v>0</v>
      </c>
      <c r="AE77" s="103">
        <f t="shared" ca="1" si="66"/>
        <v>0</v>
      </c>
      <c r="AF77" s="103">
        <f t="shared" ca="1" si="66"/>
        <v>0</v>
      </c>
      <c r="AG77" s="103">
        <f t="shared" ca="1" si="66"/>
        <v>0</v>
      </c>
      <c r="AH77" s="103"/>
      <c r="AI77" s="65">
        <f ca="1">NPV(Lookups!$E$17,G77:AG77)</f>
        <v>68.995533247671787</v>
      </c>
      <c r="AJ77" s="720">
        <f ca="1">IF($C$4=Year1,-PMT(Lookups!$E$17,25,NPV(Lookups!$E$17,G77:AE77),0,1),IF($C$4=Year2,-PMT(Lookups!$F$17,25,NPV(Lookups!$F$17,H77:AF77),0,1),IF($C$4=Year3,-PMT(Lookups!$G$17,25,NPV(Lookups!$G$17,I77:AG77),0,1),-PMT(Lookups!$G$17,27,NPV(Lookups!$G$17,G77:AG77),0,1))))</f>
        <v>3.2957250151192783</v>
      </c>
      <c r="AM77" s="149">
        <f ca="1">AM72-AM66</f>
        <v>0</v>
      </c>
      <c r="AN77" s="149">
        <f t="shared" ref="AN77:BM77" ca="1" si="67">AN72-AN66</f>
        <v>55.50143707563052</v>
      </c>
      <c r="AO77" s="149">
        <f t="shared" ca="1" si="67"/>
        <v>2.2314497495329988</v>
      </c>
      <c r="AP77" s="149">
        <f t="shared" ca="1" si="67"/>
        <v>2.2314497495329988</v>
      </c>
      <c r="AQ77" s="149">
        <f t="shared" ca="1" si="67"/>
        <v>2.2314497495329988</v>
      </c>
      <c r="AR77" s="149">
        <f t="shared" ca="1" si="67"/>
        <v>2.2314497495329988</v>
      </c>
      <c r="AS77" s="149">
        <f t="shared" ca="1" si="67"/>
        <v>2.2314497495329988</v>
      </c>
      <c r="AT77" s="149">
        <f t="shared" ca="1" si="67"/>
        <v>2.2314497495329988</v>
      </c>
      <c r="AU77" s="149">
        <f t="shared" ca="1" si="67"/>
        <v>2.2314497495329988</v>
      </c>
      <c r="AV77" s="149">
        <f t="shared" ca="1" si="67"/>
        <v>2.2314497495329988</v>
      </c>
      <c r="AW77" s="149">
        <f t="shared" ca="1" si="67"/>
        <v>2.2314497495329988</v>
      </c>
      <c r="AX77" s="149">
        <f t="shared" ca="1" si="67"/>
        <v>2.2314497495329988</v>
      </c>
      <c r="AY77" s="149">
        <f t="shared" ca="1" si="67"/>
        <v>2.2314497495329988</v>
      </c>
      <c r="AZ77" s="149">
        <f t="shared" ca="1" si="67"/>
        <v>2.2314497495329988</v>
      </c>
      <c r="BA77" s="149">
        <f t="shared" ca="1" si="67"/>
        <v>2.2314497495329988</v>
      </c>
      <c r="BB77" s="149">
        <f t="shared" ca="1" si="67"/>
        <v>2.2314497495329988</v>
      </c>
      <c r="BC77" s="149">
        <f t="shared" ca="1" si="67"/>
        <v>0</v>
      </c>
      <c r="BD77" s="149">
        <f t="shared" ca="1" si="67"/>
        <v>0</v>
      </c>
      <c r="BE77" s="149">
        <f t="shared" ca="1" si="67"/>
        <v>0</v>
      </c>
      <c r="BF77" s="149">
        <f t="shared" ca="1" si="67"/>
        <v>0</v>
      </c>
      <c r="BG77" s="149">
        <f t="shared" ca="1" si="67"/>
        <v>0</v>
      </c>
      <c r="BH77" s="149">
        <f t="shared" ca="1" si="67"/>
        <v>0</v>
      </c>
      <c r="BI77" s="149">
        <f t="shared" ca="1" si="67"/>
        <v>0</v>
      </c>
      <c r="BJ77" s="149">
        <f t="shared" ca="1" si="67"/>
        <v>0</v>
      </c>
      <c r="BK77" s="149">
        <f t="shared" ca="1" si="67"/>
        <v>0</v>
      </c>
      <c r="BL77" s="149">
        <f t="shared" ca="1" si="67"/>
        <v>0</v>
      </c>
      <c r="BM77" s="149">
        <f t="shared" ca="1" si="67"/>
        <v>0</v>
      </c>
      <c r="BN77" s="149"/>
      <c r="BO77" s="149">
        <f ca="1">NPV(Lookups!$E$17,AM77:BM77)</f>
        <v>81.346067372785342</v>
      </c>
      <c r="BP77" s="149">
        <f ca="1">IF($C$4=Year1,-PMT(Lookups!$E$17,25,NPV(Lookups!$E$17,AM77:BK77),0,1),IF($C$4=Year2,-PMT(Lookups!$F$17,25,NPV(Lookups!$F$17,AN77:BL77),0,1),IF($C$4=Year3,-PMT(Lookups!$G$17,25,NPV(Lookups!$G$17,AO77:BM77),0,1),-PMT(Lookups!$G$17,27,NPV(Lookups!$G$17,AM77:BM77),0,1))))</f>
        <v>3.8856757314954655</v>
      </c>
      <c r="BS77" s="84" t="s">
        <v>241</v>
      </c>
      <c r="BT77" s="51" t="s">
        <v>17</v>
      </c>
    </row>
    <row r="78" spans="1:72" x14ac:dyDescent="0.25">
      <c r="B78" s="243" t="str">
        <f t="shared" si="65"/>
        <v>Residential</v>
      </c>
      <c r="C78" s="243" t="str">
        <f t="shared" si="65"/>
        <v>Bills</v>
      </c>
      <c r="D78" s="244" t="str">
        <f t="shared" si="65"/>
        <v>Change in Bills</v>
      </c>
      <c r="E78" s="84" t="s">
        <v>348</v>
      </c>
      <c r="F78" s="84" t="s">
        <v>16</v>
      </c>
      <c r="G78" s="223">
        <f ca="1">IFERROR(G72/G66-1,0)</f>
        <v>0</v>
      </c>
      <c r="H78" s="223">
        <f t="shared" ref="H78:AJ78" ca="1" si="68">IFERROR(H72/H66-1,0)</f>
        <v>4.9068746259585128E-2</v>
      </c>
      <c r="I78" s="223">
        <f t="shared" ca="1" si="68"/>
        <v>2.0654557230825876E-3</v>
      </c>
      <c r="J78" s="223">
        <f t="shared" ca="1" si="68"/>
        <v>2.0654557230825876E-3</v>
      </c>
      <c r="K78" s="223">
        <f t="shared" ca="1" si="68"/>
        <v>2.0654557230825876E-3</v>
      </c>
      <c r="L78" s="223">
        <f t="shared" ca="1" si="68"/>
        <v>2.0654557230825876E-3</v>
      </c>
      <c r="M78" s="223">
        <f t="shared" ca="1" si="68"/>
        <v>2.0654557230825876E-3</v>
      </c>
      <c r="N78" s="223">
        <f t="shared" ca="1" si="68"/>
        <v>2.0654557230825876E-3</v>
      </c>
      <c r="O78" s="223">
        <f t="shared" ca="1" si="68"/>
        <v>2.0654557230825876E-3</v>
      </c>
      <c r="P78" s="223">
        <f t="shared" ca="1" si="68"/>
        <v>2.0654557230825876E-3</v>
      </c>
      <c r="Q78" s="223">
        <f t="shared" ca="1" si="68"/>
        <v>2.0654557230825876E-3</v>
      </c>
      <c r="R78" s="223">
        <f t="shared" ca="1" si="68"/>
        <v>2.0654557230825876E-3</v>
      </c>
      <c r="S78" s="224">
        <f t="shared" ca="1" si="68"/>
        <v>2.0654557230825876E-3</v>
      </c>
      <c r="T78" s="224">
        <f t="shared" ca="1" si="68"/>
        <v>2.0654557230825876E-3</v>
      </c>
      <c r="U78" s="224">
        <f t="shared" ca="1" si="68"/>
        <v>2.0654557230825876E-3</v>
      </c>
      <c r="V78" s="224">
        <f t="shared" ca="1" si="68"/>
        <v>2.0654557230825876E-3</v>
      </c>
      <c r="W78" s="224">
        <f t="shared" ca="1" si="68"/>
        <v>0</v>
      </c>
      <c r="X78" s="224">
        <f t="shared" ca="1" si="68"/>
        <v>0</v>
      </c>
      <c r="Y78" s="224">
        <f t="shared" ca="1" si="68"/>
        <v>0</v>
      </c>
      <c r="Z78" s="224">
        <f t="shared" ca="1" si="68"/>
        <v>0</v>
      </c>
      <c r="AA78" s="224">
        <f t="shared" ca="1" si="68"/>
        <v>0</v>
      </c>
      <c r="AB78" s="224">
        <f t="shared" ca="1" si="68"/>
        <v>0</v>
      </c>
      <c r="AC78" s="224">
        <f t="shared" ca="1" si="68"/>
        <v>0</v>
      </c>
      <c r="AD78" s="224">
        <f t="shared" ca="1" si="68"/>
        <v>0</v>
      </c>
      <c r="AE78" s="224">
        <f t="shared" ca="1" si="68"/>
        <v>0</v>
      </c>
      <c r="AF78" s="224">
        <f t="shared" ca="1" si="68"/>
        <v>0</v>
      </c>
      <c r="AG78" s="224">
        <f t="shared" ca="1" si="68"/>
        <v>0</v>
      </c>
      <c r="AH78" s="224">
        <f t="shared" si="68"/>
        <v>0</v>
      </c>
      <c r="AI78" s="224"/>
      <c r="AJ78" s="224">
        <f t="shared" ca="1" si="68"/>
        <v>3.5389750943903842E-3</v>
      </c>
      <c r="AK78" s="212"/>
      <c r="AL78" s="212"/>
      <c r="AM78" s="504">
        <f ca="1">IFERROR(AM72/AM66-1,0)</f>
        <v>0</v>
      </c>
      <c r="AN78" s="504">
        <f t="shared" ref="AN78:BM78" ca="1" si="69">IFERROR(AN72/AN66-1,0)</f>
        <v>5.8766678266835015E-2</v>
      </c>
      <c r="AO78" s="504">
        <f t="shared" ca="1" si="69"/>
        <v>2.3627296230315231E-3</v>
      </c>
      <c r="AP78" s="504">
        <f t="shared" ca="1" si="69"/>
        <v>2.3627296230315231E-3</v>
      </c>
      <c r="AQ78" s="504">
        <f t="shared" ca="1" si="69"/>
        <v>2.3627296230315231E-3</v>
      </c>
      <c r="AR78" s="504">
        <f t="shared" ca="1" si="69"/>
        <v>2.3627296230315231E-3</v>
      </c>
      <c r="AS78" s="504">
        <f t="shared" ca="1" si="69"/>
        <v>2.3627296230315231E-3</v>
      </c>
      <c r="AT78" s="504">
        <f t="shared" ca="1" si="69"/>
        <v>2.3627296230315231E-3</v>
      </c>
      <c r="AU78" s="504">
        <f t="shared" ca="1" si="69"/>
        <v>2.3627296230315231E-3</v>
      </c>
      <c r="AV78" s="504">
        <f t="shared" ca="1" si="69"/>
        <v>2.3627296230315231E-3</v>
      </c>
      <c r="AW78" s="504">
        <f t="shared" ca="1" si="69"/>
        <v>2.3627296230315231E-3</v>
      </c>
      <c r="AX78" s="504">
        <f t="shared" ca="1" si="69"/>
        <v>2.3627296230315231E-3</v>
      </c>
      <c r="AY78" s="504">
        <f t="shared" ca="1" si="69"/>
        <v>2.3627296230315231E-3</v>
      </c>
      <c r="AZ78" s="504">
        <f t="shared" ca="1" si="69"/>
        <v>2.3627296230315231E-3</v>
      </c>
      <c r="BA78" s="504">
        <f t="shared" ca="1" si="69"/>
        <v>2.3627296230315231E-3</v>
      </c>
      <c r="BB78" s="504">
        <f t="shared" ca="1" si="69"/>
        <v>2.3627296230315231E-3</v>
      </c>
      <c r="BC78" s="504">
        <f t="shared" ca="1" si="69"/>
        <v>0</v>
      </c>
      <c r="BD78" s="504">
        <f t="shared" ca="1" si="69"/>
        <v>0</v>
      </c>
      <c r="BE78" s="504">
        <f t="shared" ca="1" si="69"/>
        <v>0</v>
      </c>
      <c r="BF78" s="504">
        <f t="shared" ca="1" si="69"/>
        <v>0</v>
      </c>
      <c r="BG78" s="504">
        <f t="shared" ca="1" si="69"/>
        <v>0</v>
      </c>
      <c r="BH78" s="504">
        <f t="shared" ca="1" si="69"/>
        <v>0</v>
      </c>
      <c r="BI78" s="504">
        <f t="shared" ca="1" si="69"/>
        <v>0</v>
      </c>
      <c r="BJ78" s="504">
        <f t="shared" ca="1" si="69"/>
        <v>0</v>
      </c>
      <c r="BK78" s="504">
        <f t="shared" ca="1" si="69"/>
        <v>0</v>
      </c>
      <c r="BL78" s="504">
        <f t="shared" ca="1" si="69"/>
        <v>0</v>
      </c>
      <c r="BM78" s="504">
        <f t="shared" ca="1" si="69"/>
        <v>0</v>
      </c>
      <c r="BN78" s="504"/>
      <c r="BO78" s="504"/>
      <c r="BP78" s="504">
        <f ca="1">IFERROR(BP72/BP66-1,0)</f>
        <v>4.1724687513533532E-3</v>
      </c>
      <c r="BS78" s="84" t="s">
        <v>242</v>
      </c>
      <c r="BT78" s="51" t="s">
        <v>17</v>
      </c>
    </row>
    <row r="79" spans="1:72" x14ac:dyDescent="0.25">
      <c r="B79" s="243" t="str">
        <f t="shared" si="65"/>
        <v>Residential</v>
      </c>
      <c r="C79" s="243" t="str">
        <f t="shared" si="65"/>
        <v>Bills</v>
      </c>
      <c r="D79" s="244" t="str">
        <f t="shared" si="65"/>
        <v>Change in Bills</v>
      </c>
      <c r="E79" s="84" t="s">
        <v>349</v>
      </c>
      <c r="F79" s="84" t="s">
        <v>32</v>
      </c>
      <c r="G79" s="103">
        <f ca="1">G73-G66</f>
        <v>0</v>
      </c>
      <c r="H79" s="103">
        <f ca="1">H73-H66</f>
        <v>39.898758841027302</v>
      </c>
      <c r="I79" s="103">
        <f t="shared" ref="I79:AG79" ca="1" si="70">I73-I66</f>
        <v>-4.139051532699682</v>
      </c>
      <c r="J79" s="103">
        <f t="shared" ca="1" si="70"/>
        <v>-4.139051532699682</v>
      </c>
      <c r="K79" s="103">
        <f t="shared" ca="1" si="70"/>
        <v>-4.139051532699682</v>
      </c>
      <c r="L79" s="103">
        <f t="shared" ca="1" si="70"/>
        <v>-4.139051532699682</v>
      </c>
      <c r="M79" s="103">
        <f t="shared" ca="1" si="70"/>
        <v>-4.139051532699682</v>
      </c>
      <c r="N79" s="103">
        <f t="shared" ca="1" si="70"/>
        <v>-4.139051532699682</v>
      </c>
      <c r="O79" s="103">
        <f t="shared" ca="1" si="70"/>
        <v>-4.139051532699682</v>
      </c>
      <c r="P79" s="103">
        <f t="shared" ca="1" si="70"/>
        <v>-4.139051532699682</v>
      </c>
      <c r="Q79" s="103">
        <f t="shared" ca="1" si="70"/>
        <v>-4.139051532699682</v>
      </c>
      <c r="R79" s="103">
        <f t="shared" ca="1" si="70"/>
        <v>-4.139051532699682</v>
      </c>
      <c r="S79" s="103">
        <f t="shared" ca="1" si="70"/>
        <v>-4.139051532699682</v>
      </c>
      <c r="T79" s="103">
        <f t="shared" ca="1" si="70"/>
        <v>-4.139051532699682</v>
      </c>
      <c r="U79" s="103">
        <f t="shared" ca="1" si="70"/>
        <v>-4.139051532699682</v>
      </c>
      <c r="V79" s="103">
        <f t="shared" ca="1" si="70"/>
        <v>-4.139051532699682</v>
      </c>
      <c r="W79" s="103">
        <f t="shared" ca="1" si="70"/>
        <v>0</v>
      </c>
      <c r="X79" s="103">
        <f t="shared" ca="1" si="70"/>
        <v>0</v>
      </c>
      <c r="Y79" s="103">
        <f t="shared" ca="1" si="70"/>
        <v>0</v>
      </c>
      <c r="Z79" s="103">
        <f t="shared" ca="1" si="70"/>
        <v>0</v>
      </c>
      <c r="AA79" s="103">
        <f t="shared" ca="1" si="70"/>
        <v>0</v>
      </c>
      <c r="AB79" s="103">
        <f t="shared" ca="1" si="70"/>
        <v>0</v>
      </c>
      <c r="AC79" s="103">
        <f t="shared" ca="1" si="70"/>
        <v>0</v>
      </c>
      <c r="AD79" s="103">
        <f t="shared" ca="1" si="70"/>
        <v>0</v>
      </c>
      <c r="AE79" s="103">
        <f t="shared" ca="1" si="70"/>
        <v>0</v>
      </c>
      <c r="AF79" s="103">
        <f t="shared" ca="1" si="70"/>
        <v>0</v>
      </c>
      <c r="AG79" s="103">
        <f t="shared" ca="1" si="70"/>
        <v>0</v>
      </c>
      <c r="AH79" s="103"/>
      <c r="AI79" s="65">
        <f ca="1">NPV(Lookups!$E$17,G79:AG79)</f>
        <v>-11.996403248000171</v>
      </c>
      <c r="AJ79" s="720">
        <f ca="1">IF($C$4=Year1,-PMT(Lookups!$E$17,25,NPV(Lookups!$E$17,G79:AE79),0,1),IF($C$4=Year2,-PMT(Lookups!$F$17,25,NPV(Lookups!$F$17,H79:AF79),0,1),IF($C$4=Year3,-PMT(Lookups!$G$17,25,NPV(Lookups!$G$17,I79:AG79),0,1),-PMT(Lookups!$G$17,27,NPV(Lookups!$G$17,G79:AG79),0,1))))</f>
        <v>-0.57303486783655599</v>
      </c>
      <c r="AM79" s="149">
        <f ca="1">AM73-AM66</f>
        <v>0</v>
      </c>
      <c r="AN79" s="149">
        <f t="shared" ref="AN79:BM79" ca="1" si="71">AN73-AN66</f>
        <v>48.053897030548796</v>
      </c>
      <c r="AO79" s="149">
        <f t="shared" ca="1" si="71"/>
        <v>-4.7308161496914636</v>
      </c>
      <c r="AP79" s="149">
        <f t="shared" ca="1" si="71"/>
        <v>-4.7308161496914636</v>
      </c>
      <c r="AQ79" s="149">
        <f t="shared" ca="1" si="71"/>
        <v>-4.7308161496914636</v>
      </c>
      <c r="AR79" s="149">
        <f t="shared" ca="1" si="71"/>
        <v>-4.7308161496914636</v>
      </c>
      <c r="AS79" s="149">
        <f t="shared" ca="1" si="71"/>
        <v>-4.7308161496914636</v>
      </c>
      <c r="AT79" s="149">
        <f t="shared" ca="1" si="71"/>
        <v>-4.7308161496914636</v>
      </c>
      <c r="AU79" s="149">
        <f t="shared" ca="1" si="71"/>
        <v>-4.7308161496914636</v>
      </c>
      <c r="AV79" s="149">
        <f t="shared" ca="1" si="71"/>
        <v>-4.7308161496914636</v>
      </c>
      <c r="AW79" s="149">
        <f t="shared" ca="1" si="71"/>
        <v>-4.7308161496914636</v>
      </c>
      <c r="AX79" s="149">
        <f t="shared" ca="1" si="71"/>
        <v>-4.7308161496914636</v>
      </c>
      <c r="AY79" s="149">
        <f t="shared" ca="1" si="71"/>
        <v>-4.7308161496914636</v>
      </c>
      <c r="AZ79" s="149">
        <f t="shared" ca="1" si="71"/>
        <v>-4.7308161496914636</v>
      </c>
      <c r="BA79" s="149">
        <f t="shared" ca="1" si="71"/>
        <v>-4.7308161496914636</v>
      </c>
      <c r="BB79" s="149">
        <f t="shared" ca="1" si="71"/>
        <v>-4.7308161496914636</v>
      </c>
      <c r="BC79" s="149">
        <f t="shared" ca="1" si="71"/>
        <v>0</v>
      </c>
      <c r="BD79" s="149">
        <f t="shared" ca="1" si="71"/>
        <v>0</v>
      </c>
      <c r="BE79" s="149">
        <f t="shared" ca="1" si="71"/>
        <v>0</v>
      </c>
      <c r="BF79" s="149">
        <f t="shared" ca="1" si="71"/>
        <v>0</v>
      </c>
      <c r="BG79" s="149">
        <f t="shared" ca="1" si="71"/>
        <v>0</v>
      </c>
      <c r="BH79" s="149">
        <f t="shared" ca="1" si="71"/>
        <v>0</v>
      </c>
      <c r="BI79" s="149">
        <f t="shared" ca="1" si="71"/>
        <v>0</v>
      </c>
      <c r="BJ79" s="149">
        <f t="shared" ca="1" si="71"/>
        <v>0</v>
      </c>
      <c r="BK79" s="149">
        <f t="shared" ca="1" si="71"/>
        <v>0</v>
      </c>
      <c r="BL79" s="149">
        <f t="shared" ca="1" si="71"/>
        <v>0</v>
      </c>
      <c r="BM79" s="149">
        <f t="shared" ca="1" si="71"/>
        <v>0</v>
      </c>
      <c r="BN79" s="149"/>
      <c r="BO79" s="149">
        <f ca="1">NPV(Lookups!$E$17,AM79:BM79)</f>
        <v>-11.3286555515785</v>
      </c>
      <c r="BP79" s="149">
        <f ca="1">IF($C$4=Year1,-PMT(Lookups!$E$17,25,NPV(Lookups!$E$17,AM79:BK79),0,1),IF($C$4=Year2,-PMT(Lookups!$F$17,25,NPV(Lookups!$F$17,AN79:BL79),0,1),IF($C$4=Year3,-PMT(Lookups!$G$17,25,NPV(Lookups!$G$17,AO79:BM79),0,1),-PMT(Lookups!$G$17,27,NPV(Lookups!$G$17,AM79:BM79),0,1))))</f>
        <v>-0.54113841478668512</v>
      </c>
      <c r="BS79" s="84" t="s">
        <v>241</v>
      </c>
      <c r="BT79" s="51" t="s">
        <v>17</v>
      </c>
    </row>
    <row r="80" spans="1:72" x14ac:dyDescent="0.25">
      <c r="B80" s="243" t="str">
        <f t="shared" si="65"/>
        <v>Residential</v>
      </c>
      <c r="C80" s="243" t="str">
        <f t="shared" si="65"/>
        <v>Bills</v>
      </c>
      <c r="D80" s="244" t="str">
        <f t="shared" si="65"/>
        <v>Change in Bills</v>
      </c>
      <c r="E80" s="84" t="s">
        <v>349</v>
      </c>
      <c r="F80" s="84" t="s">
        <v>16</v>
      </c>
      <c r="G80" s="223">
        <f ca="1">IFERROR(G73/G66-1,0)</f>
        <v>0</v>
      </c>
      <c r="H80" s="223">
        <f t="shared" ref="H80:AJ80" ca="1" si="72">IFERROR(H73/H66-1,0)</f>
        <v>4.2246068707403106E-2</v>
      </c>
      <c r="I80" s="223">
        <f t="shared" ca="1" si="72"/>
        <v>-4.3825587690740075E-3</v>
      </c>
      <c r="J80" s="223">
        <f t="shared" ca="1" si="72"/>
        <v>-4.3825587690740075E-3</v>
      </c>
      <c r="K80" s="223">
        <f t="shared" ca="1" si="72"/>
        <v>-4.3825587690740075E-3</v>
      </c>
      <c r="L80" s="223">
        <f t="shared" ca="1" si="72"/>
        <v>-4.3825587690740075E-3</v>
      </c>
      <c r="M80" s="223">
        <f t="shared" ca="1" si="72"/>
        <v>-4.3825587690740075E-3</v>
      </c>
      <c r="N80" s="223">
        <f t="shared" ca="1" si="72"/>
        <v>-4.3825587690740075E-3</v>
      </c>
      <c r="O80" s="223">
        <f t="shared" ca="1" si="72"/>
        <v>-4.3825587690740075E-3</v>
      </c>
      <c r="P80" s="223">
        <f t="shared" ca="1" si="72"/>
        <v>-4.3825587690740075E-3</v>
      </c>
      <c r="Q80" s="223">
        <f t="shared" ca="1" si="72"/>
        <v>-4.3825587690740075E-3</v>
      </c>
      <c r="R80" s="223">
        <f t="shared" ca="1" si="72"/>
        <v>-4.3825587690740075E-3</v>
      </c>
      <c r="S80" s="224">
        <f t="shared" ca="1" si="72"/>
        <v>-4.3825587690740075E-3</v>
      </c>
      <c r="T80" s="224">
        <f t="shared" ca="1" si="72"/>
        <v>-4.3825587690740075E-3</v>
      </c>
      <c r="U80" s="224">
        <f t="shared" ca="1" si="72"/>
        <v>-4.3825587690740075E-3</v>
      </c>
      <c r="V80" s="224">
        <f t="shared" ca="1" si="72"/>
        <v>-4.3825587690740075E-3</v>
      </c>
      <c r="W80" s="224">
        <f t="shared" ca="1" si="72"/>
        <v>0</v>
      </c>
      <c r="X80" s="224">
        <f t="shared" ca="1" si="72"/>
        <v>0</v>
      </c>
      <c r="Y80" s="224">
        <f t="shared" ca="1" si="72"/>
        <v>0</v>
      </c>
      <c r="Z80" s="224">
        <f t="shared" ca="1" si="72"/>
        <v>0</v>
      </c>
      <c r="AA80" s="224">
        <f t="shared" ca="1" si="72"/>
        <v>0</v>
      </c>
      <c r="AB80" s="224">
        <f t="shared" ca="1" si="72"/>
        <v>0</v>
      </c>
      <c r="AC80" s="224">
        <f t="shared" ca="1" si="72"/>
        <v>0</v>
      </c>
      <c r="AD80" s="224">
        <f t="shared" ca="1" si="72"/>
        <v>0</v>
      </c>
      <c r="AE80" s="224">
        <f t="shared" ca="1" si="72"/>
        <v>0</v>
      </c>
      <c r="AF80" s="224">
        <f t="shared" ca="1" si="72"/>
        <v>0</v>
      </c>
      <c r="AG80" s="224">
        <f t="shared" ca="1" si="72"/>
        <v>0</v>
      </c>
      <c r="AH80" s="224">
        <f t="shared" si="72"/>
        <v>0</v>
      </c>
      <c r="AI80" s="224"/>
      <c r="AJ80" s="224">
        <f t="shared" ca="1" si="72"/>
        <v>-6.1532928754282068E-4</v>
      </c>
      <c r="AK80" s="212"/>
      <c r="AL80" s="212"/>
      <c r="AM80" s="504">
        <f ca="1">IFERROR(AM73/AM66-1,0)</f>
        <v>0</v>
      </c>
      <c r="AN80" s="504">
        <f t="shared" ref="AN80:BM80" ca="1" si="73">IFERROR(AN73/AN66-1,0)</f>
        <v>5.0880987142976508E-2</v>
      </c>
      <c r="AO80" s="504">
        <f t="shared" ca="1" si="73"/>
        <v>-5.009137875648495E-3</v>
      </c>
      <c r="AP80" s="504">
        <f t="shared" ca="1" si="73"/>
        <v>-5.009137875648495E-3</v>
      </c>
      <c r="AQ80" s="504">
        <f t="shared" ca="1" si="73"/>
        <v>-5.009137875648495E-3</v>
      </c>
      <c r="AR80" s="504">
        <f t="shared" ca="1" si="73"/>
        <v>-5.009137875648495E-3</v>
      </c>
      <c r="AS80" s="504">
        <f t="shared" ca="1" si="73"/>
        <v>-5.009137875648495E-3</v>
      </c>
      <c r="AT80" s="504">
        <f t="shared" ca="1" si="73"/>
        <v>-5.009137875648495E-3</v>
      </c>
      <c r="AU80" s="504">
        <f t="shared" ca="1" si="73"/>
        <v>-5.009137875648495E-3</v>
      </c>
      <c r="AV80" s="504">
        <f t="shared" ca="1" si="73"/>
        <v>-5.009137875648495E-3</v>
      </c>
      <c r="AW80" s="504">
        <f t="shared" ca="1" si="73"/>
        <v>-5.009137875648495E-3</v>
      </c>
      <c r="AX80" s="504">
        <f t="shared" ca="1" si="73"/>
        <v>-5.009137875648495E-3</v>
      </c>
      <c r="AY80" s="504">
        <f t="shared" ca="1" si="73"/>
        <v>-5.009137875648495E-3</v>
      </c>
      <c r="AZ80" s="504">
        <f t="shared" ca="1" si="73"/>
        <v>-5.009137875648495E-3</v>
      </c>
      <c r="BA80" s="504">
        <f t="shared" ca="1" si="73"/>
        <v>-5.009137875648495E-3</v>
      </c>
      <c r="BB80" s="504">
        <f t="shared" ca="1" si="73"/>
        <v>-5.009137875648495E-3</v>
      </c>
      <c r="BC80" s="504">
        <f t="shared" ca="1" si="73"/>
        <v>0</v>
      </c>
      <c r="BD80" s="504">
        <f t="shared" ca="1" si="73"/>
        <v>0</v>
      </c>
      <c r="BE80" s="504">
        <f t="shared" ca="1" si="73"/>
        <v>0</v>
      </c>
      <c r="BF80" s="504">
        <f t="shared" ca="1" si="73"/>
        <v>0</v>
      </c>
      <c r="BG80" s="504">
        <f t="shared" ca="1" si="73"/>
        <v>0</v>
      </c>
      <c r="BH80" s="504">
        <f t="shared" ca="1" si="73"/>
        <v>0</v>
      </c>
      <c r="BI80" s="504">
        <f t="shared" ca="1" si="73"/>
        <v>0</v>
      </c>
      <c r="BJ80" s="504">
        <f t="shared" ca="1" si="73"/>
        <v>0</v>
      </c>
      <c r="BK80" s="504">
        <f t="shared" ca="1" si="73"/>
        <v>0</v>
      </c>
      <c r="BL80" s="504">
        <f t="shared" ca="1" si="73"/>
        <v>0</v>
      </c>
      <c r="BM80" s="504">
        <f t="shared" ca="1" si="73"/>
        <v>0</v>
      </c>
      <c r="BN80" s="504"/>
      <c r="BO80" s="504"/>
      <c r="BP80" s="504">
        <f t="shared" ref="BP80" ca="1" si="74">IFERROR(BP73/BP66-1,0)</f>
        <v>-5.8107862875733662E-4</v>
      </c>
      <c r="BS80" s="84" t="s">
        <v>242</v>
      </c>
      <c r="BT80" s="51" t="s">
        <v>17</v>
      </c>
    </row>
    <row r="81" spans="1:72" x14ac:dyDescent="0.25">
      <c r="B81" s="243" t="str">
        <f t="shared" si="65"/>
        <v>Residential</v>
      </c>
      <c r="C81" s="243" t="str">
        <f t="shared" si="65"/>
        <v>Bills</v>
      </c>
      <c r="D81" s="244" t="str">
        <f t="shared" si="65"/>
        <v>Change in Bills</v>
      </c>
      <c r="E81" s="84" t="str">
        <f>'EE Inputs'!$N$15&amp;" Participant Annual Bill"</f>
        <v>Low Savings Participant Annual Bill</v>
      </c>
      <c r="F81" s="84" t="s">
        <v>32</v>
      </c>
      <c r="G81" s="103">
        <f ca="1">G74-G66</f>
        <v>0</v>
      </c>
      <c r="H81" s="103">
        <f ca="1">H74-H66</f>
        <v>38.258553831664017</v>
      </c>
      <c r="I81" s="103">
        <f t="shared" ref="I81:AG81" ca="1" si="75">I74-I66</f>
        <v>-5.6891857123662248</v>
      </c>
      <c r="J81" s="103">
        <f t="shared" ca="1" si="75"/>
        <v>-5.6891857123662248</v>
      </c>
      <c r="K81" s="103">
        <f t="shared" ca="1" si="75"/>
        <v>-5.6891857123662248</v>
      </c>
      <c r="L81" s="103">
        <f t="shared" ca="1" si="75"/>
        <v>-5.6891857123662248</v>
      </c>
      <c r="M81" s="103">
        <f t="shared" ca="1" si="75"/>
        <v>-5.6891857123662248</v>
      </c>
      <c r="N81" s="103">
        <f t="shared" ca="1" si="75"/>
        <v>-5.6891857123662248</v>
      </c>
      <c r="O81" s="103">
        <f t="shared" ca="1" si="75"/>
        <v>-5.6891857123662248</v>
      </c>
      <c r="P81" s="103">
        <f t="shared" ca="1" si="75"/>
        <v>-5.6891857123662248</v>
      </c>
      <c r="Q81" s="103">
        <f t="shared" ca="1" si="75"/>
        <v>-5.6891857123662248</v>
      </c>
      <c r="R81" s="103">
        <f t="shared" ca="1" si="75"/>
        <v>-5.6891857123662248</v>
      </c>
      <c r="S81" s="103">
        <f t="shared" ca="1" si="75"/>
        <v>-5.6891857123662248</v>
      </c>
      <c r="T81" s="103">
        <f t="shared" ca="1" si="75"/>
        <v>-5.6891857123662248</v>
      </c>
      <c r="U81" s="103">
        <f t="shared" ca="1" si="75"/>
        <v>-5.6891857123662248</v>
      </c>
      <c r="V81" s="103">
        <f t="shared" ca="1" si="75"/>
        <v>-5.6891857123662248</v>
      </c>
      <c r="W81" s="103">
        <f t="shared" ca="1" si="75"/>
        <v>0</v>
      </c>
      <c r="X81" s="103">
        <f t="shared" ca="1" si="75"/>
        <v>0</v>
      </c>
      <c r="Y81" s="103">
        <f t="shared" ca="1" si="75"/>
        <v>0</v>
      </c>
      <c r="Z81" s="103">
        <f t="shared" ca="1" si="75"/>
        <v>0</v>
      </c>
      <c r="AA81" s="103">
        <f t="shared" ca="1" si="75"/>
        <v>0</v>
      </c>
      <c r="AB81" s="103">
        <f t="shared" ca="1" si="75"/>
        <v>0</v>
      </c>
      <c r="AC81" s="103">
        <f t="shared" ca="1" si="75"/>
        <v>0</v>
      </c>
      <c r="AD81" s="103">
        <f t="shared" ca="1" si="75"/>
        <v>0</v>
      </c>
      <c r="AE81" s="103">
        <f t="shared" ca="1" si="75"/>
        <v>0</v>
      </c>
      <c r="AF81" s="103">
        <f t="shared" ca="1" si="75"/>
        <v>0</v>
      </c>
      <c r="AG81" s="103">
        <f t="shared" ca="1" si="75"/>
        <v>0</v>
      </c>
      <c r="AH81" s="103"/>
      <c r="AI81" s="65">
        <f ca="1">NPV(Lookups!$E$17,G81:AG81)</f>
        <v>-32.612763069506521</v>
      </c>
      <c r="AJ81" s="720">
        <f ca="1">IF($C$4=Year1,-PMT(Lookups!$E$17,25,NPV(Lookups!$E$17,G81:AE81),0,1),IF($C$4=Year2,-PMT(Lookups!$F$17,25,NPV(Lookups!$F$17,H81:AF81),0,1),IF($C$4=Year3,-PMT(Lookups!$G$17,25,NPV(Lookups!$G$17,I81:AG81),0,1),-PMT(Lookups!$G$17,27,NPV(Lookups!$G$17,G81:AG81),0,1))))</f>
        <v>-1.5578211226298151</v>
      </c>
      <c r="AM81" s="149">
        <f ca="1">AM74-AM66</f>
        <v>0</v>
      </c>
      <c r="AN81" s="149">
        <f t="shared" ref="AN81:BM81" ca="1" si="76">AN74-AN66</f>
        <v>45.690973430723034</v>
      </c>
      <c r="AO81" s="149">
        <f t="shared" ca="1" si="76"/>
        <v>-6.9397740474612419</v>
      </c>
      <c r="AP81" s="149">
        <f t="shared" ca="1" si="76"/>
        <v>-6.9397740474612419</v>
      </c>
      <c r="AQ81" s="149">
        <f t="shared" ca="1" si="76"/>
        <v>-6.9397740474612419</v>
      </c>
      <c r="AR81" s="149">
        <f t="shared" ca="1" si="76"/>
        <v>-6.9397740474612419</v>
      </c>
      <c r="AS81" s="149">
        <f t="shared" ca="1" si="76"/>
        <v>-6.9397740474612419</v>
      </c>
      <c r="AT81" s="149">
        <f t="shared" ca="1" si="76"/>
        <v>-6.9397740474612419</v>
      </c>
      <c r="AU81" s="149">
        <f t="shared" ca="1" si="76"/>
        <v>-6.9397740474612419</v>
      </c>
      <c r="AV81" s="149">
        <f t="shared" ca="1" si="76"/>
        <v>-6.9397740474612419</v>
      </c>
      <c r="AW81" s="149">
        <f t="shared" ca="1" si="76"/>
        <v>-6.9397740474612419</v>
      </c>
      <c r="AX81" s="149">
        <f t="shared" ca="1" si="76"/>
        <v>-6.9397740474612419</v>
      </c>
      <c r="AY81" s="149">
        <f t="shared" ca="1" si="76"/>
        <v>-6.9397740474612419</v>
      </c>
      <c r="AZ81" s="149">
        <f t="shared" ca="1" si="76"/>
        <v>-6.9397740474612419</v>
      </c>
      <c r="BA81" s="149">
        <f t="shared" ca="1" si="76"/>
        <v>-6.9397740474612419</v>
      </c>
      <c r="BB81" s="149">
        <f t="shared" ca="1" si="76"/>
        <v>-6.9397740474612419</v>
      </c>
      <c r="BC81" s="149">
        <f t="shared" ca="1" si="76"/>
        <v>0</v>
      </c>
      <c r="BD81" s="149">
        <f t="shared" ca="1" si="76"/>
        <v>0</v>
      </c>
      <c r="BE81" s="149">
        <f t="shared" ca="1" si="76"/>
        <v>0</v>
      </c>
      <c r="BF81" s="149">
        <f t="shared" ca="1" si="76"/>
        <v>0</v>
      </c>
      <c r="BG81" s="149">
        <f t="shared" ca="1" si="76"/>
        <v>0</v>
      </c>
      <c r="BH81" s="149">
        <f t="shared" ca="1" si="76"/>
        <v>0</v>
      </c>
      <c r="BI81" s="149">
        <f t="shared" ca="1" si="76"/>
        <v>0</v>
      </c>
      <c r="BJ81" s="149">
        <f t="shared" ca="1" si="76"/>
        <v>0</v>
      </c>
      <c r="BK81" s="149">
        <f t="shared" ca="1" si="76"/>
        <v>0</v>
      </c>
      <c r="BL81" s="149">
        <f t="shared" ca="1" si="76"/>
        <v>0</v>
      </c>
      <c r="BM81" s="149">
        <f t="shared" ca="1" si="76"/>
        <v>0</v>
      </c>
      <c r="BN81" s="149"/>
      <c r="BO81" s="149">
        <f ca="1">NPV(Lookups!$E$17,AM81:BM81)</f>
        <v>-40.73209461732899</v>
      </c>
      <c r="BP81" s="149">
        <f ca="1">IF($C$4=Year1,-PMT(Lookups!$E$17,25,NPV(Lookups!$E$17,AM81:BK81),0,1),IF($C$4=Year2,-PMT(Lookups!$F$17,25,NPV(Lookups!$F$17,AN81:BL81),0,1),IF($C$4=Year3,-PMT(Lookups!$G$17,25,NPV(Lookups!$G$17,AO81:BM81),0,1),-PMT(Lookups!$G$17,27,NPV(Lookups!$G$17,AM81:BM81),0,1))))</f>
        <v>-1.9456590423999129</v>
      </c>
      <c r="BS81" s="84" t="s">
        <v>241</v>
      </c>
      <c r="BT81" s="51" t="s">
        <v>17</v>
      </c>
    </row>
    <row r="82" spans="1:72" x14ac:dyDescent="0.25">
      <c r="B82" s="243" t="str">
        <f t="shared" si="65"/>
        <v>Residential</v>
      </c>
      <c r="C82" s="243" t="str">
        <f t="shared" si="65"/>
        <v>Bills</v>
      </c>
      <c r="D82" s="244" t="str">
        <f t="shared" si="65"/>
        <v>Change in Bills</v>
      </c>
      <c r="E82" s="84" t="str">
        <f>'EE Inputs'!$N$15&amp;" Participant Annual Bill"</f>
        <v>Low Savings Participant Annual Bill</v>
      </c>
      <c r="F82" s="84" t="s">
        <v>16</v>
      </c>
      <c r="G82" s="223">
        <f ca="1">IFERROR(G74/G66-1,0)</f>
        <v>0</v>
      </c>
      <c r="H82" s="223">
        <f t="shared" ref="H82:AJ82" ca="1" si="77">IFERROR(H74/H66-1,0)</f>
        <v>4.0509367728912116E-2</v>
      </c>
      <c r="I82" s="223">
        <f t="shared" ca="1" si="77"/>
        <v>-6.0238899022255765E-3</v>
      </c>
      <c r="J82" s="223">
        <f t="shared" ca="1" si="77"/>
        <v>-6.0238899022255765E-3</v>
      </c>
      <c r="K82" s="223">
        <f t="shared" ca="1" si="77"/>
        <v>-6.0238899022255765E-3</v>
      </c>
      <c r="L82" s="223">
        <f t="shared" ca="1" si="77"/>
        <v>-6.0238899022255765E-3</v>
      </c>
      <c r="M82" s="223">
        <f t="shared" ca="1" si="77"/>
        <v>-6.0238899022255765E-3</v>
      </c>
      <c r="N82" s="223">
        <f t="shared" ca="1" si="77"/>
        <v>-6.0238899022255765E-3</v>
      </c>
      <c r="O82" s="223">
        <f t="shared" ca="1" si="77"/>
        <v>-6.0238899022255765E-3</v>
      </c>
      <c r="P82" s="223">
        <f t="shared" ca="1" si="77"/>
        <v>-6.0238899022255765E-3</v>
      </c>
      <c r="Q82" s="223">
        <f t="shared" ca="1" si="77"/>
        <v>-6.0238899022255765E-3</v>
      </c>
      <c r="R82" s="223">
        <f t="shared" ca="1" si="77"/>
        <v>-6.0238899022255765E-3</v>
      </c>
      <c r="S82" s="224">
        <f t="shared" ca="1" si="77"/>
        <v>-6.0238899022255765E-3</v>
      </c>
      <c r="T82" s="224">
        <f t="shared" ca="1" si="77"/>
        <v>-6.0238899022255765E-3</v>
      </c>
      <c r="U82" s="224">
        <f t="shared" ca="1" si="77"/>
        <v>-6.0238899022255765E-3</v>
      </c>
      <c r="V82" s="224">
        <f t="shared" ca="1" si="77"/>
        <v>-6.0238899022255765E-3</v>
      </c>
      <c r="W82" s="224">
        <f t="shared" ca="1" si="77"/>
        <v>0</v>
      </c>
      <c r="X82" s="224">
        <f t="shared" ca="1" si="77"/>
        <v>0</v>
      </c>
      <c r="Y82" s="224">
        <f t="shared" ca="1" si="77"/>
        <v>0</v>
      </c>
      <c r="Z82" s="224">
        <f t="shared" ca="1" si="77"/>
        <v>0</v>
      </c>
      <c r="AA82" s="224">
        <f t="shared" ca="1" si="77"/>
        <v>0</v>
      </c>
      <c r="AB82" s="224">
        <f t="shared" ca="1" si="77"/>
        <v>0</v>
      </c>
      <c r="AC82" s="224">
        <f t="shared" ca="1" si="77"/>
        <v>0</v>
      </c>
      <c r="AD82" s="224">
        <f t="shared" ca="1" si="77"/>
        <v>0</v>
      </c>
      <c r="AE82" s="224">
        <f t="shared" ca="1" si="77"/>
        <v>0</v>
      </c>
      <c r="AF82" s="224">
        <f t="shared" ca="1" si="77"/>
        <v>0</v>
      </c>
      <c r="AG82" s="224">
        <f t="shared" ca="1" si="77"/>
        <v>0</v>
      </c>
      <c r="AH82" s="224">
        <f t="shared" si="77"/>
        <v>0</v>
      </c>
      <c r="AI82" s="224"/>
      <c r="AJ82" s="224">
        <f t="shared" ca="1" si="77"/>
        <v>-1.6728004093818916E-3</v>
      </c>
      <c r="AK82" s="212"/>
      <c r="AL82" s="212"/>
      <c r="AM82" s="504">
        <f ca="1">IFERROR(AM74/AM66-1,0)</f>
        <v>0</v>
      </c>
      <c r="AN82" s="504">
        <f t="shared" ref="AN82:BM82" ca="1" si="78">IFERROR(AN74/AN66-1,0)</f>
        <v>4.8379048845940353E-2</v>
      </c>
      <c r="AO82" s="504">
        <f t="shared" ca="1" si="78"/>
        <v>-7.3480524141374959E-3</v>
      </c>
      <c r="AP82" s="504">
        <f t="shared" ca="1" si="78"/>
        <v>-7.3480524141374959E-3</v>
      </c>
      <c r="AQ82" s="504">
        <f t="shared" ca="1" si="78"/>
        <v>-7.3480524141374959E-3</v>
      </c>
      <c r="AR82" s="504">
        <f t="shared" ca="1" si="78"/>
        <v>-7.3480524141374959E-3</v>
      </c>
      <c r="AS82" s="504">
        <f t="shared" ca="1" si="78"/>
        <v>-7.3480524141374959E-3</v>
      </c>
      <c r="AT82" s="504">
        <f t="shared" ca="1" si="78"/>
        <v>-7.3480524141374959E-3</v>
      </c>
      <c r="AU82" s="504">
        <f t="shared" ca="1" si="78"/>
        <v>-7.3480524141374959E-3</v>
      </c>
      <c r="AV82" s="504">
        <f t="shared" ca="1" si="78"/>
        <v>-7.3480524141374959E-3</v>
      </c>
      <c r="AW82" s="504">
        <f t="shared" ca="1" si="78"/>
        <v>-7.3480524141374959E-3</v>
      </c>
      <c r="AX82" s="504">
        <f t="shared" ca="1" si="78"/>
        <v>-7.3480524141374959E-3</v>
      </c>
      <c r="AY82" s="504">
        <f t="shared" ca="1" si="78"/>
        <v>-7.3480524141374959E-3</v>
      </c>
      <c r="AZ82" s="504">
        <f t="shared" ca="1" si="78"/>
        <v>-7.3480524141374959E-3</v>
      </c>
      <c r="BA82" s="504">
        <f t="shared" ca="1" si="78"/>
        <v>-7.3480524141374959E-3</v>
      </c>
      <c r="BB82" s="504">
        <f t="shared" ca="1" si="78"/>
        <v>-7.3480524141374959E-3</v>
      </c>
      <c r="BC82" s="504">
        <f t="shared" ca="1" si="78"/>
        <v>0</v>
      </c>
      <c r="BD82" s="504">
        <f t="shared" ca="1" si="78"/>
        <v>0</v>
      </c>
      <c r="BE82" s="504">
        <f t="shared" ca="1" si="78"/>
        <v>0</v>
      </c>
      <c r="BF82" s="504">
        <f t="shared" ca="1" si="78"/>
        <v>0</v>
      </c>
      <c r="BG82" s="504">
        <f t="shared" ca="1" si="78"/>
        <v>0</v>
      </c>
      <c r="BH82" s="504">
        <f t="shared" ca="1" si="78"/>
        <v>0</v>
      </c>
      <c r="BI82" s="504">
        <f t="shared" ca="1" si="78"/>
        <v>0</v>
      </c>
      <c r="BJ82" s="504">
        <f t="shared" ca="1" si="78"/>
        <v>0</v>
      </c>
      <c r="BK82" s="504">
        <f t="shared" ca="1" si="78"/>
        <v>0</v>
      </c>
      <c r="BL82" s="504">
        <f t="shared" ca="1" si="78"/>
        <v>0</v>
      </c>
      <c r="BM82" s="504">
        <f t="shared" ca="1" si="78"/>
        <v>0</v>
      </c>
      <c r="BN82" s="504"/>
      <c r="BO82" s="504"/>
      <c r="BP82" s="504">
        <f t="shared" ref="BP82" ca="1" si="79">IFERROR(BP74/BP66-1,0)</f>
        <v>-2.0892637770565381E-3</v>
      </c>
      <c r="BS82" s="84" t="s">
        <v>242</v>
      </c>
      <c r="BT82" s="51" t="s">
        <v>17</v>
      </c>
    </row>
    <row r="83" spans="1:72" x14ac:dyDescent="0.25">
      <c r="B83" s="243" t="str">
        <f t="shared" si="65"/>
        <v>Residential</v>
      </c>
      <c r="C83" s="243" t="str">
        <f t="shared" si="65"/>
        <v>Bills</v>
      </c>
      <c r="D83" s="244" t="str">
        <f t="shared" si="65"/>
        <v>Change in Bills</v>
      </c>
      <c r="E83" s="84" t="str">
        <f>'EE Inputs'!$N$16&amp;" Participant Annual Bill"</f>
        <v>High Savings Participant Annual Bill</v>
      </c>
      <c r="F83" s="84" t="s">
        <v>32</v>
      </c>
      <c r="G83" s="103">
        <f ca="1">G75-G66</f>
        <v>0</v>
      </c>
      <c r="H83" s="103">
        <f ca="1">H75-H66</f>
        <v>-10.244219127830775</v>
      </c>
      <c r="I83" s="103">
        <f t="shared" ref="I83:AG83" ca="1" si="80">I75-I66</f>
        <v>-51.528459305556225</v>
      </c>
      <c r="J83" s="103">
        <f t="shared" ca="1" si="80"/>
        <v>-51.528459305556225</v>
      </c>
      <c r="K83" s="103">
        <f t="shared" ca="1" si="80"/>
        <v>-51.528459305556225</v>
      </c>
      <c r="L83" s="103">
        <f t="shared" ca="1" si="80"/>
        <v>-51.528459305556225</v>
      </c>
      <c r="M83" s="103">
        <f t="shared" ca="1" si="80"/>
        <v>-51.528459305556225</v>
      </c>
      <c r="N83" s="103">
        <f t="shared" ca="1" si="80"/>
        <v>-51.528459305556225</v>
      </c>
      <c r="O83" s="103">
        <f t="shared" ca="1" si="80"/>
        <v>-51.528459305556225</v>
      </c>
      <c r="P83" s="103">
        <f t="shared" ca="1" si="80"/>
        <v>-51.528459305556225</v>
      </c>
      <c r="Q83" s="103">
        <f t="shared" ca="1" si="80"/>
        <v>-51.528459305556225</v>
      </c>
      <c r="R83" s="103">
        <f t="shared" ca="1" si="80"/>
        <v>-51.528459305556225</v>
      </c>
      <c r="S83" s="103">
        <f t="shared" ca="1" si="80"/>
        <v>-51.528459305556225</v>
      </c>
      <c r="T83" s="103">
        <f t="shared" ca="1" si="80"/>
        <v>-51.528459305556225</v>
      </c>
      <c r="U83" s="103">
        <f t="shared" ca="1" si="80"/>
        <v>-51.528459305556225</v>
      </c>
      <c r="V83" s="103">
        <f t="shared" ca="1" si="80"/>
        <v>-51.528459305556225</v>
      </c>
      <c r="W83" s="103">
        <f t="shared" ca="1" si="80"/>
        <v>0</v>
      </c>
      <c r="X83" s="103">
        <f t="shared" ca="1" si="80"/>
        <v>0</v>
      </c>
      <c r="Y83" s="103">
        <f t="shared" ca="1" si="80"/>
        <v>0</v>
      </c>
      <c r="Z83" s="103">
        <f t="shared" ca="1" si="80"/>
        <v>0</v>
      </c>
      <c r="AA83" s="103">
        <f t="shared" ca="1" si="80"/>
        <v>0</v>
      </c>
      <c r="AB83" s="103">
        <f t="shared" ca="1" si="80"/>
        <v>0</v>
      </c>
      <c r="AC83" s="103">
        <f t="shared" ca="1" si="80"/>
        <v>0</v>
      </c>
      <c r="AD83" s="103">
        <f t="shared" ca="1" si="80"/>
        <v>0</v>
      </c>
      <c r="AE83" s="103">
        <f t="shared" ca="1" si="80"/>
        <v>0</v>
      </c>
      <c r="AF83" s="103">
        <f t="shared" ca="1" si="80"/>
        <v>0</v>
      </c>
      <c r="AG83" s="103">
        <f t="shared" ca="1" si="80"/>
        <v>0</v>
      </c>
      <c r="AH83" s="103"/>
      <c r="AI83" s="65">
        <f ca="1">NPV(Lookups!$E$17,G83:AG83)</f>
        <v>-642.2625409725822</v>
      </c>
      <c r="AJ83" s="720">
        <f ca="1">IF($C$4=Year1,-PMT(Lookups!$E$17,25,NPV(Lookups!$E$17,G83:AE83),0,1),IF($C$4=Year2,-PMT(Lookups!$F$17,25,NPV(Lookups!$F$17,H83:AF83),0,1),IF($C$4=Year3,-PMT(Lookups!$G$17,25,NPV(Lookups!$G$17,I83:AG83),0,1),-PMT(Lookups!$G$17,27,NPV(Lookups!$G$17,G83:AG83),0,1))))</f>
        <v>-30.679097949124653</v>
      </c>
      <c r="AM83" s="149">
        <f ca="1">AM75-AM66</f>
        <v>0</v>
      </c>
      <c r="AN83" s="149">
        <f t="shared" ref="AN83:BM83" ca="1" si="81">AN75-AN66</f>
        <v>-13.171808438722337</v>
      </c>
      <c r="AO83" s="149">
        <f t="shared" ca="1" si="81"/>
        <v>-61.967116829427709</v>
      </c>
      <c r="AP83" s="149">
        <f t="shared" ca="1" si="81"/>
        <v>-61.967116829427709</v>
      </c>
      <c r="AQ83" s="149">
        <f t="shared" ca="1" si="81"/>
        <v>-61.967116829427709</v>
      </c>
      <c r="AR83" s="149">
        <f t="shared" ca="1" si="81"/>
        <v>-61.967116829427709</v>
      </c>
      <c r="AS83" s="149">
        <f t="shared" ca="1" si="81"/>
        <v>-61.967116829427709</v>
      </c>
      <c r="AT83" s="149">
        <f t="shared" ca="1" si="81"/>
        <v>-61.967116829427709</v>
      </c>
      <c r="AU83" s="149">
        <f t="shared" ca="1" si="81"/>
        <v>-61.967116829427709</v>
      </c>
      <c r="AV83" s="149">
        <f t="shared" ca="1" si="81"/>
        <v>-61.967116829427709</v>
      </c>
      <c r="AW83" s="149">
        <f t="shared" ca="1" si="81"/>
        <v>-61.967116829427709</v>
      </c>
      <c r="AX83" s="149">
        <f t="shared" ca="1" si="81"/>
        <v>-61.967116829427709</v>
      </c>
      <c r="AY83" s="149">
        <f t="shared" ca="1" si="81"/>
        <v>-61.967116829427709</v>
      </c>
      <c r="AZ83" s="149">
        <f t="shared" ca="1" si="81"/>
        <v>-61.967116829427709</v>
      </c>
      <c r="BA83" s="149">
        <f t="shared" ca="1" si="81"/>
        <v>-61.967116829427709</v>
      </c>
      <c r="BB83" s="149">
        <f t="shared" ca="1" si="81"/>
        <v>-61.967116829427709</v>
      </c>
      <c r="BC83" s="149">
        <f t="shared" ca="1" si="81"/>
        <v>0</v>
      </c>
      <c r="BD83" s="149">
        <f t="shared" ca="1" si="81"/>
        <v>0</v>
      </c>
      <c r="BE83" s="149">
        <f t="shared" ca="1" si="81"/>
        <v>0</v>
      </c>
      <c r="BF83" s="149">
        <f t="shared" ca="1" si="81"/>
        <v>0</v>
      </c>
      <c r="BG83" s="149">
        <f t="shared" ca="1" si="81"/>
        <v>0</v>
      </c>
      <c r="BH83" s="149">
        <f t="shared" ca="1" si="81"/>
        <v>0</v>
      </c>
      <c r="BI83" s="149">
        <f t="shared" ca="1" si="81"/>
        <v>0</v>
      </c>
      <c r="BJ83" s="149">
        <f t="shared" ca="1" si="81"/>
        <v>0</v>
      </c>
      <c r="BK83" s="149">
        <f t="shared" ca="1" si="81"/>
        <v>0</v>
      </c>
      <c r="BL83" s="149">
        <f t="shared" ca="1" si="81"/>
        <v>0</v>
      </c>
      <c r="BM83" s="149">
        <f t="shared" ca="1" si="81"/>
        <v>0</v>
      </c>
      <c r="BN83" s="149"/>
      <c r="BO83" s="149">
        <f ca="1">NPV(Lookups!$E$17,AM83:BM83)</f>
        <v>-773.20106655802783</v>
      </c>
      <c r="BP83" s="149">
        <f ca="1">IF($C$4=Year1,-PMT(Lookups!$E$17,25,NPV(Lookups!$E$17,AM83:BK83),0,1),IF($C$4=Year2,-PMT(Lookups!$F$17,25,NPV(Lookups!$F$17,AN83:BL83),0,1),IF($C$4=Year3,-PMT(Lookups!$G$17,25,NPV(Lookups!$G$17,AO83:BM83),0,1),-PMT(Lookups!$G$17,27,NPV(Lookups!$G$17,AM83:BM83),0,1))))</f>
        <v>-36.933667685772797</v>
      </c>
      <c r="BS83" s="84" t="s">
        <v>241</v>
      </c>
      <c r="BT83" s="51" t="s">
        <v>17</v>
      </c>
    </row>
    <row r="84" spans="1:72" x14ac:dyDescent="0.25">
      <c r="B84" s="243" t="str">
        <f t="shared" si="65"/>
        <v>Residential</v>
      </c>
      <c r="C84" s="243" t="str">
        <f t="shared" si="65"/>
        <v>Bills</v>
      </c>
      <c r="D84" s="244" t="str">
        <f t="shared" si="65"/>
        <v>Change in Bills</v>
      </c>
      <c r="E84" s="84" t="str">
        <f>'EE Inputs'!$N$16&amp;" Participant Annual Bill"</f>
        <v>High Savings Participant Annual Bill</v>
      </c>
      <c r="F84" s="84" t="s">
        <v>16</v>
      </c>
      <c r="G84" s="223">
        <f ca="1">IFERROR(G75/G66-1,0)</f>
        <v>0</v>
      </c>
      <c r="H84" s="223">
        <f t="shared" ref="H84:AJ84" ca="1" si="82">IFERROR(H75/H66-1,0)</f>
        <v>-1.0846903455127288E-2</v>
      </c>
      <c r="I84" s="223">
        <f t="shared" ca="1" si="82"/>
        <v>-5.4559963654074894E-2</v>
      </c>
      <c r="J84" s="223">
        <f t="shared" ca="1" si="82"/>
        <v>-5.4559963654074894E-2</v>
      </c>
      <c r="K84" s="223">
        <f t="shared" ca="1" si="82"/>
        <v>-5.4559963654074894E-2</v>
      </c>
      <c r="L84" s="223">
        <f t="shared" ca="1" si="82"/>
        <v>-5.4559963654074894E-2</v>
      </c>
      <c r="M84" s="223">
        <f t="shared" ca="1" si="82"/>
        <v>-5.4559963654074894E-2</v>
      </c>
      <c r="N84" s="223">
        <f t="shared" ca="1" si="82"/>
        <v>-5.4559963654074894E-2</v>
      </c>
      <c r="O84" s="223">
        <f t="shared" ca="1" si="82"/>
        <v>-5.4559963654074894E-2</v>
      </c>
      <c r="P84" s="223">
        <f t="shared" ca="1" si="82"/>
        <v>-5.4559963654074894E-2</v>
      </c>
      <c r="Q84" s="223">
        <f t="shared" ca="1" si="82"/>
        <v>-5.4559963654074894E-2</v>
      </c>
      <c r="R84" s="223">
        <f t="shared" ca="1" si="82"/>
        <v>-5.4559963654074894E-2</v>
      </c>
      <c r="S84" s="224">
        <f t="shared" ca="1" si="82"/>
        <v>-5.4559963654074894E-2</v>
      </c>
      <c r="T84" s="224">
        <f t="shared" ca="1" si="82"/>
        <v>-5.4559963654074894E-2</v>
      </c>
      <c r="U84" s="224">
        <f t="shared" ca="1" si="82"/>
        <v>-5.4559963654074894E-2</v>
      </c>
      <c r="V84" s="224">
        <f t="shared" ca="1" si="82"/>
        <v>-5.4559963654074894E-2</v>
      </c>
      <c r="W84" s="224">
        <f t="shared" ca="1" si="82"/>
        <v>0</v>
      </c>
      <c r="X84" s="224">
        <f t="shared" ca="1" si="82"/>
        <v>0</v>
      </c>
      <c r="Y84" s="224">
        <f t="shared" ca="1" si="82"/>
        <v>0</v>
      </c>
      <c r="Z84" s="224">
        <f t="shared" ca="1" si="82"/>
        <v>0</v>
      </c>
      <c r="AA84" s="224">
        <f t="shared" ca="1" si="82"/>
        <v>0</v>
      </c>
      <c r="AB84" s="224">
        <f t="shared" ca="1" si="82"/>
        <v>0</v>
      </c>
      <c r="AC84" s="224">
        <f t="shared" ca="1" si="82"/>
        <v>0</v>
      </c>
      <c r="AD84" s="224">
        <f t="shared" ca="1" si="82"/>
        <v>0</v>
      </c>
      <c r="AE84" s="224">
        <f t="shared" ca="1" si="82"/>
        <v>0</v>
      </c>
      <c r="AF84" s="224">
        <f t="shared" ca="1" si="82"/>
        <v>0</v>
      </c>
      <c r="AG84" s="224">
        <f t="shared" ca="1" si="82"/>
        <v>0</v>
      </c>
      <c r="AH84" s="224">
        <f t="shared" si="82"/>
        <v>0</v>
      </c>
      <c r="AI84" s="224"/>
      <c r="AJ84" s="224">
        <f t="shared" ca="1" si="82"/>
        <v>-3.2943453432013547E-2</v>
      </c>
      <c r="AK84" s="212"/>
      <c r="AL84" s="212"/>
      <c r="AM84" s="504">
        <f ca="1">IFERROR(AM75/AM66-1,0)</f>
        <v>0</v>
      </c>
      <c r="AN84" s="504">
        <f t="shared" ref="AN84:BM84" ca="1" si="83">IFERROR(AN75/AN66-1,0)</f>
        <v>-1.394672767942895E-2</v>
      </c>
      <c r="AO84" s="504">
        <f t="shared" ca="1" si="83"/>
        <v>-6.5612744637152942E-2</v>
      </c>
      <c r="AP84" s="504">
        <f t="shared" ca="1" si="83"/>
        <v>-6.5612744637152942E-2</v>
      </c>
      <c r="AQ84" s="504">
        <f t="shared" ca="1" si="83"/>
        <v>-6.5612744637152942E-2</v>
      </c>
      <c r="AR84" s="504">
        <f t="shared" ca="1" si="83"/>
        <v>-6.5612744637152942E-2</v>
      </c>
      <c r="AS84" s="504">
        <f t="shared" ca="1" si="83"/>
        <v>-6.5612744637152942E-2</v>
      </c>
      <c r="AT84" s="504">
        <f t="shared" ca="1" si="83"/>
        <v>-6.5612744637152942E-2</v>
      </c>
      <c r="AU84" s="504">
        <f t="shared" ca="1" si="83"/>
        <v>-6.5612744637152942E-2</v>
      </c>
      <c r="AV84" s="504">
        <f t="shared" ca="1" si="83"/>
        <v>-6.5612744637152942E-2</v>
      </c>
      <c r="AW84" s="504">
        <f t="shared" ca="1" si="83"/>
        <v>-6.5612744637152942E-2</v>
      </c>
      <c r="AX84" s="504">
        <f t="shared" ca="1" si="83"/>
        <v>-6.5612744637152942E-2</v>
      </c>
      <c r="AY84" s="504">
        <f t="shared" ca="1" si="83"/>
        <v>-6.5612744637152942E-2</v>
      </c>
      <c r="AZ84" s="504">
        <f t="shared" ca="1" si="83"/>
        <v>-6.5612744637152942E-2</v>
      </c>
      <c r="BA84" s="504">
        <f t="shared" ca="1" si="83"/>
        <v>-6.5612744637152942E-2</v>
      </c>
      <c r="BB84" s="504">
        <f t="shared" ca="1" si="83"/>
        <v>-6.5612744637152942E-2</v>
      </c>
      <c r="BC84" s="504">
        <f t="shared" ca="1" si="83"/>
        <v>0</v>
      </c>
      <c r="BD84" s="504">
        <f t="shared" ca="1" si="83"/>
        <v>0</v>
      </c>
      <c r="BE84" s="504">
        <f t="shared" ca="1" si="83"/>
        <v>0</v>
      </c>
      <c r="BF84" s="504">
        <f t="shared" ca="1" si="83"/>
        <v>0</v>
      </c>
      <c r="BG84" s="504">
        <f t="shared" ca="1" si="83"/>
        <v>0</v>
      </c>
      <c r="BH84" s="504">
        <f t="shared" ca="1" si="83"/>
        <v>0</v>
      </c>
      <c r="BI84" s="504">
        <f t="shared" ca="1" si="83"/>
        <v>0</v>
      </c>
      <c r="BJ84" s="504">
        <f t="shared" ca="1" si="83"/>
        <v>0</v>
      </c>
      <c r="BK84" s="504">
        <f t="shared" ca="1" si="83"/>
        <v>0</v>
      </c>
      <c r="BL84" s="504">
        <f t="shared" ca="1" si="83"/>
        <v>0</v>
      </c>
      <c r="BM84" s="504">
        <f t="shared" ca="1" si="83"/>
        <v>0</v>
      </c>
      <c r="BN84" s="504"/>
      <c r="BO84" s="504"/>
      <c r="BP84" s="504">
        <f t="shared" ref="BP84" ca="1" si="84">IFERROR(BP75/BP66-1,0)</f>
        <v>-3.9659658947516441E-2</v>
      </c>
      <c r="BS84" s="84" t="s">
        <v>242</v>
      </c>
      <c r="BT84" s="51" t="s">
        <v>17</v>
      </c>
    </row>
    <row r="85" spans="1:72" x14ac:dyDescent="0.25">
      <c r="B85" s="243" t="str">
        <f t="shared" si="65"/>
        <v>Residential</v>
      </c>
      <c r="C85" s="243" t="str">
        <f t="shared" si="65"/>
        <v>Bills</v>
      </c>
      <c r="D85" s="244" t="str">
        <f t="shared" si="65"/>
        <v>Change in Bills</v>
      </c>
      <c r="E85" s="84" t="s">
        <v>17</v>
      </c>
      <c r="F85" s="84"/>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S85" s="84"/>
      <c r="BT85" s="51" t="s">
        <v>17</v>
      </c>
    </row>
    <row r="86" spans="1:72" x14ac:dyDescent="0.25">
      <c r="B86" t="s">
        <v>17</v>
      </c>
      <c r="BT86" s="51" t="s">
        <v>17</v>
      </c>
    </row>
    <row r="87" spans="1:72" x14ac:dyDescent="0.25">
      <c r="B87" t="s">
        <v>17</v>
      </c>
      <c r="BT87" s="51" t="s">
        <v>17</v>
      </c>
    </row>
    <row r="88" spans="1:72" s="51" customFormat="1" ht="23.25" x14ac:dyDescent="0.25">
      <c r="A88" s="52"/>
      <c r="B88" s="195" t="str">
        <f>Lookups!$D$27</f>
        <v>Low-Income</v>
      </c>
      <c r="C88" s="196"/>
      <c r="D88" s="196"/>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51" t="s">
        <v>17</v>
      </c>
    </row>
    <row r="89" spans="1:72" s="5" customFormat="1" ht="15.75" x14ac:dyDescent="0.25">
      <c r="A89" s="52"/>
      <c r="B89" s="241" t="str">
        <f>B88</f>
        <v>Low-Income</v>
      </c>
      <c r="C89" s="63" t="s">
        <v>3</v>
      </c>
      <c r="D89" s="61"/>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M89" s="63"/>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S89" s="62"/>
      <c r="BT89" s="51" t="s">
        <v>17</v>
      </c>
    </row>
    <row r="90" spans="1:72" s="5" customFormat="1" x14ac:dyDescent="0.25">
      <c r="A90" s="52"/>
      <c r="B90" s="242" t="str">
        <f t="shared" ref="B90:C101" si="85">B89</f>
        <v>Low-Income</v>
      </c>
      <c r="C90" s="242" t="str">
        <f>C89</f>
        <v>Customers</v>
      </c>
      <c r="D90" s="244" t="s">
        <v>3</v>
      </c>
      <c r="E90" s="77" t="s">
        <v>3</v>
      </c>
      <c r="F90" s="76" t="s">
        <v>48</v>
      </c>
      <c r="G90" s="64">
        <f>IF(G$8=0,0,INDEX('Multi-Year Inputs'!$E$12:$AE$15,MATCH($B90,'Multi-Year Inputs'!$D$12:$D$15,0),MATCH(G$7,'Multi-Year Inputs'!$E$4:$AE$4,0)))</f>
        <v>0</v>
      </c>
      <c r="H90" s="64">
        <f>IF(H$8=0,0,INDEX('Multi-Year Inputs'!$E$12:$AE$15,MATCH($B90,'Multi-Year Inputs'!$D$12:$D$15,0),MATCH(H$7,'Multi-Year Inputs'!$E$4:$AE$4,0)))</f>
        <v>5826.1944158878568</v>
      </c>
      <c r="I90" s="64">
        <f>IF(I$8=0,0,INDEX('Multi-Year Inputs'!$E$12:$AE$15,MATCH($B90,'Multi-Year Inputs'!$D$12:$D$15,0),MATCH(I$7,'Multi-Year Inputs'!$E$4:$AE$4,0)))</f>
        <v>5826.1944158878568</v>
      </c>
      <c r="J90" s="64">
        <f>IF(J$8=0,0,INDEX('Multi-Year Inputs'!$E$12:$AE$15,MATCH($B90,'Multi-Year Inputs'!$D$12:$D$15,0),MATCH(J$7,'Multi-Year Inputs'!$E$4:$AE$4,0)))</f>
        <v>5826.1944158878568</v>
      </c>
      <c r="K90" s="64">
        <f>IF(K$8=0,0,INDEX('Multi-Year Inputs'!$E$12:$AE$15,MATCH($B90,'Multi-Year Inputs'!$D$12:$D$15,0),MATCH(K$7,'Multi-Year Inputs'!$E$4:$AE$4,0)))</f>
        <v>5826.1944158878568</v>
      </c>
      <c r="L90" s="64">
        <f>IF(L$8=0,0,INDEX('Multi-Year Inputs'!$E$12:$AE$15,MATCH($B90,'Multi-Year Inputs'!$D$12:$D$15,0),MATCH(L$7,'Multi-Year Inputs'!$E$4:$AE$4,0)))</f>
        <v>5826.1944158878568</v>
      </c>
      <c r="M90" s="64">
        <f>IF(M$8=0,0,INDEX('Multi-Year Inputs'!$E$12:$AE$15,MATCH($B90,'Multi-Year Inputs'!$D$12:$D$15,0),MATCH(M$7,'Multi-Year Inputs'!$E$4:$AE$4,0)))</f>
        <v>5826.1944158878568</v>
      </c>
      <c r="N90" s="64">
        <f>IF(N$8=0,0,INDEX('Multi-Year Inputs'!$E$12:$AE$15,MATCH($B90,'Multi-Year Inputs'!$D$12:$D$15,0),MATCH(N$7,'Multi-Year Inputs'!$E$4:$AE$4,0)))</f>
        <v>5826.1944158878568</v>
      </c>
      <c r="O90" s="64">
        <f>IF(O$8=0,0,INDEX('Multi-Year Inputs'!$E$12:$AE$15,MATCH($B90,'Multi-Year Inputs'!$D$12:$D$15,0),MATCH(O$7,'Multi-Year Inputs'!$E$4:$AE$4,0)))</f>
        <v>5826.1944158878568</v>
      </c>
      <c r="P90" s="64">
        <f>IF(P$8=0,0,INDEX('Multi-Year Inputs'!$E$12:$AE$15,MATCH($B90,'Multi-Year Inputs'!$D$12:$D$15,0),MATCH(P$7,'Multi-Year Inputs'!$E$4:$AE$4,0)))</f>
        <v>5826.1944158878568</v>
      </c>
      <c r="Q90" s="64">
        <f>IF(Q$8=0,0,INDEX('Multi-Year Inputs'!$E$12:$AE$15,MATCH($B90,'Multi-Year Inputs'!$D$12:$D$15,0),MATCH(Q$7,'Multi-Year Inputs'!$E$4:$AE$4,0)))</f>
        <v>5826.1944158878568</v>
      </c>
      <c r="R90" s="64">
        <f>IF(R$8=0,0,INDEX('Multi-Year Inputs'!$E$12:$AE$15,MATCH($B90,'Multi-Year Inputs'!$D$12:$D$15,0),MATCH(R$7,'Multi-Year Inputs'!$E$4:$AE$4,0)))</f>
        <v>5826.1944158878568</v>
      </c>
      <c r="S90" s="64">
        <f>IF(S$8=0,0,INDEX('Multi-Year Inputs'!$E$12:$AE$15,MATCH($B90,'Multi-Year Inputs'!$D$12:$D$15,0),MATCH(S$7,'Multi-Year Inputs'!$E$4:$AE$4,0)))</f>
        <v>5826.1944158878568</v>
      </c>
      <c r="T90" s="64">
        <f>IF(T$8=0,0,INDEX('Multi-Year Inputs'!$E$12:$AE$15,MATCH($B90,'Multi-Year Inputs'!$D$12:$D$15,0),MATCH(T$7,'Multi-Year Inputs'!$E$4:$AE$4,0)))</f>
        <v>5826.1944158878568</v>
      </c>
      <c r="U90" s="64">
        <f>IF(U$8=0,0,INDEX('Multi-Year Inputs'!$E$12:$AE$15,MATCH($B90,'Multi-Year Inputs'!$D$12:$D$15,0),MATCH(U$7,'Multi-Year Inputs'!$E$4:$AE$4,0)))</f>
        <v>5826.1944158878568</v>
      </c>
      <c r="V90" s="64">
        <f>IF(V$8=0,0,INDEX('Multi-Year Inputs'!$E$12:$AE$15,MATCH($B90,'Multi-Year Inputs'!$D$12:$D$15,0),MATCH(V$7,'Multi-Year Inputs'!$E$4:$AE$4,0)))</f>
        <v>5826.1944158878568</v>
      </c>
      <c r="W90" s="64">
        <f>IF(W$8=0,0,INDEX('Multi-Year Inputs'!$E$12:$AE$15,MATCH($B90,'Multi-Year Inputs'!$D$12:$D$15,0),MATCH(W$7,'Multi-Year Inputs'!$E$4:$AE$4,0)))</f>
        <v>5826.1944158878568</v>
      </c>
      <c r="X90" s="64">
        <f>IF(X$8=0,0,INDEX('Multi-Year Inputs'!$E$12:$AE$15,MATCH($B90,'Multi-Year Inputs'!$D$12:$D$15,0),MATCH(X$7,'Multi-Year Inputs'!$E$4:$AE$4,0)))</f>
        <v>5826.1944158878568</v>
      </c>
      <c r="Y90" s="64">
        <f>IF(Y$8=0,0,INDEX('Multi-Year Inputs'!$E$12:$AE$15,MATCH($B90,'Multi-Year Inputs'!$D$12:$D$15,0),MATCH(Y$7,'Multi-Year Inputs'!$E$4:$AE$4,0)))</f>
        <v>5826.1944158878568</v>
      </c>
      <c r="Z90" s="64">
        <f>IF(Z$8=0,0,INDEX('Multi-Year Inputs'!$E$12:$AE$15,MATCH($B90,'Multi-Year Inputs'!$D$12:$D$15,0),MATCH(Z$7,'Multi-Year Inputs'!$E$4:$AE$4,0)))</f>
        <v>5826.1944158878568</v>
      </c>
      <c r="AA90" s="64">
        <f>IF(AA$8=0,0,INDEX('Multi-Year Inputs'!$E$12:$AE$15,MATCH($B90,'Multi-Year Inputs'!$D$12:$D$15,0),MATCH(AA$7,'Multi-Year Inputs'!$E$4:$AE$4,0)))</f>
        <v>5826.1944158878568</v>
      </c>
      <c r="AB90" s="64">
        <f>IF(AB$8=0,0,INDEX('Multi-Year Inputs'!$E$12:$AE$15,MATCH($B90,'Multi-Year Inputs'!$D$12:$D$15,0),MATCH(AB$7,'Multi-Year Inputs'!$E$4:$AE$4,0)))</f>
        <v>5826.1944158878568</v>
      </c>
      <c r="AC90" s="64">
        <f>IF(AC$8=0,0,INDEX('Multi-Year Inputs'!$E$12:$AE$15,MATCH($B90,'Multi-Year Inputs'!$D$12:$D$15,0),MATCH(AC$7,'Multi-Year Inputs'!$E$4:$AE$4,0)))</f>
        <v>5826.1944158878568</v>
      </c>
      <c r="AD90" s="64">
        <f>IF(AD$8=0,0,INDEX('Multi-Year Inputs'!$E$12:$AE$15,MATCH($B90,'Multi-Year Inputs'!$D$12:$D$15,0),MATCH(AD$7,'Multi-Year Inputs'!$E$4:$AE$4,0)))</f>
        <v>5826.1944158878568</v>
      </c>
      <c r="AE90" s="64">
        <f>IF(AE$8=0,0,INDEX('Multi-Year Inputs'!$E$12:$AE$15,MATCH($B90,'Multi-Year Inputs'!$D$12:$D$15,0),MATCH(AE$7,'Multi-Year Inputs'!$E$4:$AE$4,0)))</f>
        <v>5826.1944158878568</v>
      </c>
      <c r="AF90" s="64">
        <f>IF(AF$8=0,0,INDEX('Multi-Year Inputs'!$E$12:$AE$15,MATCH($B90,'Multi-Year Inputs'!$D$12:$D$15,0),MATCH(AF$7,'Multi-Year Inputs'!$E$4:$AE$4,0)))</f>
        <v>5826.1944158878568</v>
      </c>
      <c r="AG90" s="64">
        <f>IF(AG$8=0,0,INDEX('Multi-Year Inputs'!$E$12:$AE$15,MATCH($B90,'Multi-Year Inputs'!$D$12:$D$15,0),MATCH(AG$7,'Multi-Year Inputs'!$E$4:$AE$4,0)))</f>
        <v>5826.1944158878568</v>
      </c>
      <c r="AH90" s="64"/>
      <c r="AI90" s="64"/>
      <c r="AJ90" s="64"/>
      <c r="AM90" s="71">
        <f>IF(AM$8=0,0,INDEX('Multi-Year Inputs'!$E$12:$AE$15,MATCH($B90,'Multi-Year Inputs'!$D$12:$D$15,0),MATCH(AM$7,'Multi-Year Inputs'!$E$4:$AE$4,0)))</f>
        <v>0</v>
      </c>
      <c r="AN90" s="71">
        <f>IF(AN$8=0,0,INDEX('Multi-Year Inputs'!$E$12:$AE$15,MATCH($B90,'Multi-Year Inputs'!$D$12:$D$15,0),MATCH(AN$7,'Multi-Year Inputs'!$E$4:$AE$4,0)))</f>
        <v>5826.1944158878568</v>
      </c>
      <c r="AO90" s="71">
        <f>IF(AO$8=0,0,INDEX('Multi-Year Inputs'!$E$12:$AE$15,MATCH($B90,'Multi-Year Inputs'!$D$12:$D$15,0),MATCH(AO$7,'Multi-Year Inputs'!$E$4:$AE$4,0)))</f>
        <v>5826.1944158878568</v>
      </c>
      <c r="AP90" s="71">
        <f>IF(AP$8=0,0,INDEX('Multi-Year Inputs'!$E$12:$AE$15,MATCH($B90,'Multi-Year Inputs'!$D$12:$D$15,0),MATCH(AP$7,'Multi-Year Inputs'!$E$4:$AE$4,0)))</f>
        <v>5826.1944158878568</v>
      </c>
      <c r="AQ90" s="71">
        <f>IF(AQ$8=0,0,INDEX('Multi-Year Inputs'!$E$12:$AE$15,MATCH($B90,'Multi-Year Inputs'!$D$12:$D$15,0),MATCH(AQ$7,'Multi-Year Inputs'!$E$4:$AE$4,0)))</f>
        <v>5826.1944158878568</v>
      </c>
      <c r="AR90" s="71">
        <f>IF(AR$8=0,0,INDEX('Multi-Year Inputs'!$E$12:$AE$15,MATCH($B90,'Multi-Year Inputs'!$D$12:$D$15,0),MATCH(AR$7,'Multi-Year Inputs'!$E$4:$AE$4,0)))</f>
        <v>5826.1944158878568</v>
      </c>
      <c r="AS90" s="71">
        <f>IF(AS$8=0,0,INDEX('Multi-Year Inputs'!$E$12:$AE$15,MATCH($B90,'Multi-Year Inputs'!$D$12:$D$15,0),MATCH(AS$7,'Multi-Year Inputs'!$E$4:$AE$4,0)))</f>
        <v>5826.1944158878568</v>
      </c>
      <c r="AT90" s="71">
        <f>IF(AT$8=0,0,INDEX('Multi-Year Inputs'!$E$12:$AE$15,MATCH($B90,'Multi-Year Inputs'!$D$12:$D$15,0),MATCH(AT$7,'Multi-Year Inputs'!$E$4:$AE$4,0)))</f>
        <v>5826.1944158878568</v>
      </c>
      <c r="AU90" s="71">
        <f>IF(AU$8=0,0,INDEX('Multi-Year Inputs'!$E$12:$AE$15,MATCH($B90,'Multi-Year Inputs'!$D$12:$D$15,0),MATCH(AU$7,'Multi-Year Inputs'!$E$4:$AE$4,0)))</f>
        <v>5826.1944158878568</v>
      </c>
      <c r="AV90" s="71">
        <f>IF(AV$8=0,0,INDEX('Multi-Year Inputs'!$E$12:$AE$15,MATCH($B90,'Multi-Year Inputs'!$D$12:$D$15,0),MATCH(AV$7,'Multi-Year Inputs'!$E$4:$AE$4,0)))</f>
        <v>5826.1944158878568</v>
      </c>
      <c r="AW90" s="71">
        <f>IF(AW$8=0,0,INDEX('Multi-Year Inputs'!$E$12:$AE$15,MATCH($B90,'Multi-Year Inputs'!$D$12:$D$15,0),MATCH(AW$7,'Multi-Year Inputs'!$E$4:$AE$4,0)))</f>
        <v>5826.1944158878568</v>
      </c>
      <c r="AX90" s="71">
        <f>IF(AX$8=0,0,INDEX('Multi-Year Inputs'!$E$12:$AE$15,MATCH($B90,'Multi-Year Inputs'!$D$12:$D$15,0),MATCH(AX$7,'Multi-Year Inputs'!$E$4:$AE$4,0)))</f>
        <v>5826.1944158878568</v>
      </c>
      <c r="AY90" s="71">
        <f>IF(AY$8=0,0,INDEX('Multi-Year Inputs'!$E$12:$AE$15,MATCH($B90,'Multi-Year Inputs'!$D$12:$D$15,0),MATCH(AY$7,'Multi-Year Inputs'!$E$4:$AE$4,0)))</f>
        <v>5826.1944158878568</v>
      </c>
      <c r="AZ90" s="71">
        <f>IF(AZ$8=0,0,INDEX('Multi-Year Inputs'!$E$12:$AE$15,MATCH($B90,'Multi-Year Inputs'!$D$12:$D$15,0),MATCH(AZ$7,'Multi-Year Inputs'!$E$4:$AE$4,0)))</f>
        <v>5826.1944158878568</v>
      </c>
      <c r="BA90" s="71">
        <f>IF(BA$8=0,0,INDEX('Multi-Year Inputs'!$E$12:$AE$15,MATCH($B90,'Multi-Year Inputs'!$D$12:$D$15,0),MATCH(BA$7,'Multi-Year Inputs'!$E$4:$AE$4,0)))</f>
        <v>5826.1944158878568</v>
      </c>
      <c r="BB90" s="71">
        <f>IF(BB$8=0,0,INDEX('Multi-Year Inputs'!$E$12:$AE$15,MATCH($B90,'Multi-Year Inputs'!$D$12:$D$15,0),MATCH(BB$7,'Multi-Year Inputs'!$E$4:$AE$4,0)))</f>
        <v>5826.1944158878568</v>
      </c>
      <c r="BC90" s="71">
        <f>IF(BC$8=0,0,INDEX('Multi-Year Inputs'!$E$12:$AE$15,MATCH($B90,'Multi-Year Inputs'!$D$12:$D$15,0),MATCH(BC$7,'Multi-Year Inputs'!$E$4:$AE$4,0)))</f>
        <v>5826.1944158878568</v>
      </c>
      <c r="BD90" s="71">
        <f>IF(BD$8=0,0,INDEX('Multi-Year Inputs'!$E$12:$AE$15,MATCH($B90,'Multi-Year Inputs'!$D$12:$D$15,0),MATCH(BD$7,'Multi-Year Inputs'!$E$4:$AE$4,0)))</f>
        <v>5826.1944158878568</v>
      </c>
      <c r="BE90" s="71">
        <f>IF(BE$8=0,0,INDEX('Multi-Year Inputs'!$E$12:$AE$15,MATCH($B90,'Multi-Year Inputs'!$D$12:$D$15,0),MATCH(BE$7,'Multi-Year Inputs'!$E$4:$AE$4,0)))</f>
        <v>5826.1944158878568</v>
      </c>
      <c r="BF90" s="71">
        <f>IF(BF$8=0,0,INDEX('Multi-Year Inputs'!$E$12:$AE$15,MATCH($B90,'Multi-Year Inputs'!$D$12:$D$15,0),MATCH(BF$7,'Multi-Year Inputs'!$E$4:$AE$4,0)))</f>
        <v>5826.1944158878568</v>
      </c>
      <c r="BG90" s="71">
        <f>IF(BG$8=0,0,INDEX('Multi-Year Inputs'!$E$12:$AE$15,MATCH($B90,'Multi-Year Inputs'!$D$12:$D$15,0),MATCH(BG$7,'Multi-Year Inputs'!$E$4:$AE$4,0)))</f>
        <v>5826.1944158878568</v>
      </c>
      <c r="BH90" s="71">
        <f>IF(BH$8=0,0,INDEX('Multi-Year Inputs'!$E$12:$AE$15,MATCH($B90,'Multi-Year Inputs'!$D$12:$D$15,0),MATCH(BH$7,'Multi-Year Inputs'!$E$4:$AE$4,0)))</f>
        <v>5826.1944158878568</v>
      </c>
      <c r="BI90" s="71">
        <f>IF(BI$8=0,0,INDEX('Multi-Year Inputs'!$E$12:$AE$15,MATCH($B90,'Multi-Year Inputs'!$D$12:$D$15,0),MATCH(BI$7,'Multi-Year Inputs'!$E$4:$AE$4,0)))</f>
        <v>5826.1944158878568</v>
      </c>
      <c r="BJ90" s="71">
        <f>IF(BJ$8=0,0,INDEX('Multi-Year Inputs'!$E$12:$AE$15,MATCH($B90,'Multi-Year Inputs'!$D$12:$D$15,0),MATCH(BJ$7,'Multi-Year Inputs'!$E$4:$AE$4,0)))</f>
        <v>5826.1944158878568</v>
      </c>
      <c r="BK90" s="71">
        <f>IF(BK$8=0,0,INDEX('Multi-Year Inputs'!$E$12:$AE$15,MATCH($B90,'Multi-Year Inputs'!$D$12:$D$15,0),MATCH(BK$7,'Multi-Year Inputs'!$E$4:$AE$4,0)))</f>
        <v>5826.1944158878568</v>
      </c>
      <c r="BL90" s="71">
        <f>IF(BL$8=0,0,INDEX('Multi-Year Inputs'!$E$12:$AE$15,MATCH($B90,'Multi-Year Inputs'!$D$12:$D$15,0),MATCH(BL$7,'Multi-Year Inputs'!$E$4:$AE$4,0)))</f>
        <v>5826.1944158878568</v>
      </c>
      <c r="BM90" s="71">
        <f>IF(BM$8=0,0,INDEX('Multi-Year Inputs'!$E$12:$AE$15,MATCH($B90,'Multi-Year Inputs'!$D$12:$D$15,0),MATCH(BM$7,'Multi-Year Inputs'!$E$4:$AE$4,0)))</f>
        <v>5826.1944158878568</v>
      </c>
      <c r="BN90" s="72"/>
      <c r="BO90" s="72"/>
      <c r="BP90" s="72"/>
      <c r="BS90" s="76" t="s">
        <v>89</v>
      </c>
      <c r="BT90" s="51" t="s">
        <v>17</v>
      </c>
    </row>
    <row r="91" spans="1:72" s="5" customFormat="1" x14ac:dyDescent="0.25">
      <c r="A91" s="52"/>
      <c r="B91" s="242" t="str">
        <f t="shared" si="85"/>
        <v>Low-Income</v>
      </c>
      <c r="C91" s="242" t="str">
        <f>C90</f>
        <v>Customers</v>
      </c>
      <c r="D91" s="244" t="s">
        <v>40</v>
      </c>
      <c r="E91" s="77" t="s">
        <v>40</v>
      </c>
      <c r="F91" s="76" t="s">
        <v>2</v>
      </c>
      <c r="G91" s="65">
        <f ca="1">IF($C$4=Lookups!$D$40,IF(SUM(INDIRECT("'Yr1'!"&amp;ADDRESS(ROW(G91),COLUMN(G91))),INDIRECT("'Yr2'!"&amp;ADDRESS(ROW(G91),COLUMN(G91))),INDIRECT("'Yr3'!"&amp;ADDRESS(ROW(G91),COLUMN(G91))))&gt;0,"3 Yr. total",0),
IF(G$7&lt;$C$4,0,IF(G$8&lt;=SUMIFS('EE Inputs'!$V$9:$V$32,'EE Inputs'!$C$9:$C$32,$G$6,'EE Inputs'!$D$9:$D$32,$C$4,'EE Inputs'!$E$9:$E$32,$B91),SUMIFS('EE Inputs'!$V$9:$V$32,'EE Inputs'!$C$9:$C$32,$G$6,'EE Inputs'!$D$9:$D$32,$C$4,'EE Inputs'!$E$9:$E$32,$B91),0)))</f>
        <v>0</v>
      </c>
      <c r="H91" s="65">
        <f ca="1">IF($C$4=Lookups!$D$40,IF(SUM(INDIRECT("'Yr1'!"&amp;ADDRESS(ROW(H91),COLUMN(H91))),INDIRECT("'Yr2'!"&amp;ADDRESS(ROW(H91),COLUMN(H91))),INDIRECT("'Yr3'!"&amp;ADDRESS(ROW(H91),COLUMN(H91))))&gt;0,"3 Yr. total",0),
IF(H$7&lt;$C$4,0,IF(H$8&lt;=SUMIFS('EE Inputs'!$V$9:$V$32,'EE Inputs'!$C$9:$C$32,$G$6,'EE Inputs'!$D$9:$D$32,$C$4,'EE Inputs'!$E$9:$E$32,$B91),SUMIFS('EE Inputs'!$V$9:$V$32,'EE Inputs'!$C$9:$C$32,$G$6,'EE Inputs'!$D$9:$D$32,$C$4,'EE Inputs'!$E$9:$E$32,$B91),0)))</f>
        <v>20</v>
      </c>
      <c r="I91" s="65">
        <f ca="1">IF($C$4=Lookups!$D$40,IF(SUM(INDIRECT("'Yr1'!"&amp;ADDRESS(ROW(I91),COLUMN(I91))),INDIRECT("'Yr2'!"&amp;ADDRESS(ROW(I91),COLUMN(I91))),INDIRECT("'Yr3'!"&amp;ADDRESS(ROW(I91),COLUMN(I91))))&gt;0,"3 Yr. total",0),
IF(I$7&lt;$C$4,0,IF(I$8&lt;=SUMIFS('EE Inputs'!$V$9:$V$32,'EE Inputs'!$C$9:$C$32,$G$6,'EE Inputs'!$D$9:$D$32,$C$4,'EE Inputs'!$E$9:$E$32,$B91),SUMIFS('EE Inputs'!$V$9:$V$32,'EE Inputs'!$C$9:$C$32,$G$6,'EE Inputs'!$D$9:$D$32,$C$4,'EE Inputs'!$E$9:$E$32,$B91),0)))</f>
        <v>20</v>
      </c>
      <c r="J91" s="65">
        <f ca="1">IF($C$4=Lookups!$D$40,IF(SUM(INDIRECT("'Yr1'!"&amp;ADDRESS(ROW(J91),COLUMN(J91))),INDIRECT("'Yr2'!"&amp;ADDRESS(ROW(J91),COLUMN(J91))),INDIRECT("'Yr3'!"&amp;ADDRESS(ROW(J91),COLUMN(J91))))&gt;0,"3 Yr. total",0),
IF(J$7&lt;$C$4,0,IF(J$8&lt;=SUMIFS('EE Inputs'!$V$9:$V$32,'EE Inputs'!$C$9:$C$32,$G$6,'EE Inputs'!$D$9:$D$32,$C$4,'EE Inputs'!$E$9:$E$32,$B91),SUMIFS('EE Inputs'!$V$9:$V$32,'EE Inputs'!$C$9:$C$32,$G$6,'EE Inputs'!$D$9:$D$32,$C$4,'EE Inputs'!$E$9:$E$32,$B91),0)))</f>
        <v>20</v>
      </c>
      <c r="K91" s="65">
        <f ca="1">IF($C$4=Lookups!$D$40,IF(SUM(INDIRECT("'Yr1'!"&amp;ADDRESS(ROW(K91),COLUMN(K91))),INDIRECT("'Yr2'!"&amp;ADDRESS(ROW(K91),COLUMN(K91))),INDIRECT("'Yr3'!"&amp;ADDRESS(ROW(K91),COLUMN(K91))))&gt;0,"3 Yr. total",0),
IF(K$7&lt;$C$4,0,IF(K$8&lt;=SUMIFS('EE Inputs'!$V$9:$V$32,'EE Inputs'!$C$9:$C$32,$G$6,'EE Inputs'!$D$9:$D$32,$C$4,'EE Inputs'!$E$9:$E$32,$B91),SUMIFS('EE Inputs'!$V$9:$V$32,'EE Inputs'!$C$9:$C$32,$G$6,'EE Inputs'!$D$9:$D$32,$C$4,'EE Inputs'!$E$9:$E$32,$B91),0)))</f>
        <v>20</v>
      </c>
      <c r="L91" s="65">
        <f ca="1">IF($C$4=Lookups!$D$40,IF(SUM(INDIRECT("'Yr1'!"&amp;ADDRESS(ROW(L91),COLUMN(L91))),INDIRECT("'Yr2'!"&amp;ADDRESS(ROW(L91),COLUMN(L91))),INDIRECT("'Yr3'!"&amp;ADDRESS(ROW(L91),COLUMN(L91))))&gt;0,"3 Yr. total",0),
IF(L$7&lt;$C$4,0,IF(L$8&lt;=SUMIFS('EE Inputs'!$V$9:$V$32,'EE Inputs'!$C$9:$C$32,$G$6,'EE Inputs'!$D$9:$D$32,$C$4,'EE Inputs'!$E$9:$E$32,$B91),SUMIFS('EE Inputs'!$V$9:$V$32,'EE Inputs'!$C$9:$C$32,$G$6,'EE Inputs'!$D$9:$D$32,$C$4,'EE Inputs'!$E$9:$E$32,$B91),0)))</f>
        <v>20</v>
      </c>
      <c r="M91" s="65">
        <f ca="1">IF($C$4=Lookups!$D$40,IF(SUM(INDIRECT("'Yr1'!"&amp;ADDRESS(ROW(M91),COLUMN(M91))),INDIRECT("'Yr2'!"&amp;ADDRESS(ROW(M91),COLUMN(M91))),INDIRECT("'Yr3'!"&amp;ADDRESS(ROW(M91),COLUMN(M91))))&gt;0,"3 Yr. total",0),
IF(M$7&lt;$C$4,0,IF(M$8&lt;=SUMIFS('EE Inputs'!$V$9:$V$32,'EE Inputs'!$C$9:$C$32,$G$6,'EE Inputs'!$D$9:$D$32,$C$4,'EE Inputs'!$E$9:$E$32,$B91),SUMIFS('EE Inputs'!$V$9:$V$32,'EE Inputs'!$C$9:$C$32,$G$6,'EE Inputs'!$D$9:$D$32,$C$4,'EE Inputs'!$E$9:$E$32,$B91),0)))</f>
        <v>20</v>
      </c>
      <c r="N91" s="65">
        <f ca="1">IF($C$4=Lookups!$D$40,IF(SUM(INDIRECT("'Yr1'!"&amp;ADDRESS(ROW(N91),COLUMN(N91))),INDIRECT("'Yr2'!"&amp;ADDRESS(ROW(N91),COLUMN(N91))),INDIRECT("'Yr3'!"&amp;ADDRESS(ROW(N91),COLUMN(N91))))&gt;0,"3 Yr. total",0),
IF(N$7&lt;$C$4,0,IF(N$8&lt;=SUMIFS('EE Inputs'!$V$9:$V$32,'EE Inputs'!$C$9:$C$32,$G$6,'EE Inputs'!$D$9:$D$32,$C$4,'EE Inputs'!$E$9:$E$32,$B91),SUMIFS('EE Inputs'!$V$9:$V$32,'EE Inputs'!$C$9:$C$32,$G$6,'EE Inputs'!$D$9:$D$32,$C$4,'EE Inputs'!$E$9:$E$32,$B91),0)))</f>
        <v>20</v>
      </c>
      <c r="O91" s="65">
        <f ca="1">IF($C$4=Lookups!$D$40,IF(SUM(INDIRECT("'Yr1'!"&amp;ADDRESS(ROW(O91),COLUMN(O91))),INDIRECT("'Yr2'!"&amp;ADDRESS(ROW(O91),COLUMN(O91))),INDIRECT("'Yr3'!"&amp;ADDRESS(ROW(O91),COLUMN(O91))))&gt;0,"3 Yr. total",0),
IF(O$7&lt;$C$4,0,IF(O$8&lt;=SUMIFS('EE Inputs'!$V$9:$V$32,'EE Inputs'!$C$9:$C$32,$G$6,'EE Inputs'!$D$9:$D$32,$C$4,'EE Inputs'!$E$9:$E$32,$B91),SUMIFS('EE Inputs'!$V$9:$V$32,'EE Inputs'!$C$9:$C$32,$G$6,'EE Inputs'!$D$9:$D$32,$C$4,'EE Inputs'!$E$9:$E$32,$B91),0)))</f>
        <v>20</v>
      </c>
      <c r="P91" s="65">
        <f ca="1">IF($C$4=Lookups!$D$40,IF(SUM(INDIRECT("'Yr1'!"&amp;ADDRESS(ROW(P91),COLUMN(P91))),INDIRECT("'Yr2'!"&amp;ADDRESS(ROW(P91),COLUMN(P91))),INDIRECT("'Yr3'!"&amp;ADDRESS(ROW(P91),COLUMN(P91))))&gt;0,"3 Yr. total",0),
IF(P$7&lt;$C$4,0,IF(P$8&lt;=SUMIFS('EE Inputs'!$V$9:$V$32,'EE Inputs'!$C$9:$C$32,$G$6,'EE Inputs'!$D$9:$D$32,$C$4,'EE Inputs'!$E$9:$E$32,$B91),SUMIFS('EE Inputs'!$V$9:$V$32,'EE Inputs'!$C$9:$C$32,$G$6,'EE Inputs'!$D$9:$D$32,$C$4,'EE Inputs'!$E$9:$E$32,$B91),0)))</f>
        <v>20</v>
      </c>
      <c r="Q91" s="65">
        <f ca="1">IF($C$4=Lookups!$D$40,IF(SUM(INDIRECT("'Yr1'!"&amp;ADDRESS(ROW(Q91),COLUMN(Q91))),INDIRECT("'Yr2'!"&amp;ADDRESS(ROW(Q91),COLUMN(Q91))),INDIRECT("'Yr3'!"&amp;ADDRESS(ROW(Q91),COLUMN(Q91))))&gt;0,"3 Yr. total",0),
IF(Q$7&lt;$C$4,0,IF(Q$8&lt;=SUMIFS('EE Inputs'!$V$9:$V$32,'EE Inputs'!$C$9:$C$32,$G$6,'EE Inputs'!$D$9:$D$32,$C$4,'EE Inputs'!$E$9:$E$32,$B91),SUMIFS('EE Inputs'!$V$9:$V$32,'EE Inputs'!$C$9:$C$32,$G$6,'EE Inputs'!$D$9:$D$32,$C$4,'EE Inputs'!$E$9:$E$32,$B91),0)))</f>
        <v>20</v>
      </c>
      <c r="R91" s="65">
        <f ca="1">IF($C$4=Lookups!$D$40,IF(SUM(INDIRECT("'Yr1'!"&amp;ADDRESS(ROW(R91),COLUMN(R91))),INDIRECT("'Yr2'!"&amp;ADDRESS(ROW(R91),COLUMN(R91))),INDIRECT("'Yr3'!"&amp;ADDRESS(ROW(R91),COLUMN(R91))))&gt;0,"3 Yr. total",0),
IF(R$7&lt;$C$4,0,IF(R$8&lt;=SUMIFS('EE Inputs'!$V$9:$V$32,'EE Inputs'!$C$9:$C$32,$G$6,'EE Inputs'!$D$9:$D$32,$C$4,'EE Inputs'!$E$9:$E$32,$B91),SUMIFS('EE Inputs'!$V$9:$V$32,'EE Inputs'!$C$9:$C$32,$G$6,'EE Inputs'!$D$9:$D$32,$C$4,'EE Inputs'!$E$9:$E$32,$B91),0)))</f>
        <v>20</v>
      </c>
      <c r="S91" s="65">
        <f ca="1">IF($C$4=Lookups!$D$40,IF(SUM(INDIRECT("'Yr1'!"&amp;ADDRESS(ROW(S91),COLUMN(S91))),INDIRECT("'Yr2'!"&amp;ADDRESS(ROW(S91),COLUMN(S91))),INDIRECT("'Yr3'!"&amp;ADDRESS(ROW(S91),COLUMN(S91))))&gt;0,"3 Yr. total",0),
IF(S$7&lt;$C$4,0,IF(S$8&lt;=SUMIFS('EE Inputs'!$V$9:$V$32,'EE Inputs'!$C$9:$C$32,$G$6,'EE Inputs'!$D$9:$D$32,$C$4,'EE Inputs'!$E$9:$E$32,$B91),SUMIFS('EE Inputs'!$V$9:$V$32,'EE Inputs'!$C$9:$C$32,$G$6,'EE Inputs'!$D$9:$D$32,$C$4,'EE Inputs'!$E$9:$E$32,$B91),0)))</f>
        <v>20</v>
      </c>
      <c r="T91" s="65">
        <f ca="1">IF($C$4=Lookups!$D$40,IF(SUM(INDIRECT("'Yr1'!"&amp;ADDRESS(ROW(T91),COLUMN(T91))),INDIRECT("'Yr2'!"&amp;ADDRESS(ROW(T91),COLUMN(T91))),INDIRECT("'Yr3'!"&amp;ADDRESS(ROW(T91),COLUMN(T91))))&gt;0,"3 Yr. total",0),
IF(T$7&lt;$C$4,0,IF(T$8&lt;=SUMIFS('EE Inputs'!$V$9:$V$32,'EE Inputs'!$C$9:$C$32,$G$6,'EE Inputs'!$D$9:$D$32,$C$4,'EE Inputs'!$E$9:$E$32,$B91),SUMIFS('EE Inputs'!$V$9:$V$32,'EE Inputs'!$C$9:$C$32,$G$6,'EE Inputs'!$D$9:$D$32,$C$4,'EE Inputs'!$E$9:$E$32,$B91),0)))</f>
        <v>20</v>
      </c>
      <c r="U91" s="65">
        <f ca="1">IF($C$4=Lookups!$D$40,IF(SUM(INDIRECT("'Yr1'!"&amp;ADDRESS(ROW(U91),COLUMN(U91))),INDIRECT("'Yr2'!"&amp;ADDRESS(ROW(U91),COLUMN(U91))),INDIRECT("'Yr3'!"&amp;ADDRESS(ROW(U91),COLUMN(U91))))&gt;0,"3 Yr. total",0),
IF(U$7&lt;$C$4,0,IF(U$8&lt;=SUMIFS('EE Inputs'!$V$9:$V$32,'EE Inputs'!$C$9:$C$32,$G$6,'EE Inputs'!$D$9:$D$32,$C$4,'EE Inputs'!$E$9:$E$32,$B91),SUMIFS('EE Inputs'!$V$9:$V$32,'EE Inputs'!$C$9:$C$32,$G$6,'EE Inputs'!$D$9:$D$32,$C$4,'EE Inputs'!$E$9:$E$32,$B91),0)))</f>
        <v>20</v>
      </c>
      <c r="V91" s="65">
        <f ca="1">IF($C$4=Lookups!$D$40,IF(SUM(INDIRECT("'Yr1'!"&amp;ADDRESS(ROW(V91),COLUMN(V91))),INDIRECT("'Yr2'!"&amp;ADDRESS(ROW(V91),COLUMN(V91))),INDIRECT("'Yr3'!"&amp;ADDRESS(ROW(V91),COLUMN(V91))))&gt;0,"3 Yr. total",0),
IF(V$7&lt;$C$4,0,IF(V$8&lt;=SUMIFS('EE Inputs'!$V$9:$V$32,'EE Inputs'!$C$9:$C$32,$G$6,'EE Inputs'!$D$9:$D$32,$C$4,'EE Inputs'!$E$9:$E$32,$B91),SUMIFS('EE Inputs'!$V$9:$V$32,'EE Inputs'!$C$9:$C$32,$G$6,'EE Inputs'!$D$9:$D$32,$C$4,'EE Inputs'!$E$9:$E$32,$B91),0)))</f>
        <v>20</v>
      </c>
      <c r="W91" s="65">
        <f ca="1">IF($C$4=Lookups!$D$40,IF(SUM(INDIRECT("'Yr1'!"&amp;ADDRESS(ROW(W91),COLUMN(W91))),INDIRECT("'Yr2'!"&amp;ADDRESS(ROW(W91),COLUMN(W91))),INDIRECT("'Yr3'!"&amp;ADDRESS(ROW(W91),COLUMN(W91))))&gt;0,"3 Yr. total",0),
IF(W$7&lt;$C$4,0,IF(W$8&lt;=SUMIFS('EE Inputs'!$V$9:$V$32,'EE Inputs'!$C$9:$C$32,$G$6,'EE Inputs'!$D$9:$D$32,$C$4,'EE Inputs'!$E$9:$E$32,$B91),SUMIFS('EE Inputs'!$V$9:$V$32,'EE Inputs'!$C$9:$C$32,$G$6,'EE Inputs'!$D$9:$D$32,$C$4,'EE Inputs'!$E$9:$E$32,$B91),0)))</f>
        <v>20</v>
      </c>
      <c r="X91" s="65">
        <f ca="1">IF($C$4=Lookups!$D$40,IF(SUM(INDIRECT("'Yr1'!"&amp;ADDRESS(ROW(X91),COLUMN(X91))),INDIRECT("'Yr2'!"&amp;ADDRESS(ROW(X91),COLUMN(X91))),INDIRECT("'Yr3'!"&amp;ADDRESS(ROW(X91),COLUMN(X91))))&gt;0,"3 Yr. total",0),
IF(X$7&lt;$C$4,0,IF(X$8&lt;=SUMIFS('EE Inputs'!$V$9:$V$32,'EE Inputs'!$C$9:$C$32,$G$6,'EE Inputs'!$D$9:$D$32,$C$4,'EE Inputs'!$E$9:$E$32,$B91),SUMIFS('EE Inputs'!$V$9:$V$32,'EE Inputs'!$C$9:$C$32,$G$6,'EE Inputs'!$D$9:$D$32,$C$4,'EE Inputs'!$E$9:$E$32,$B91),0)))</f>
        <v>20</v>
      </c>
      <c r="Y91" s="65">
        <f ca="1">IF($C$4=Lookups!$D$40,IF(SUM(INDIRECT("'Yr1'!"&amp;ADDRESS(ROW(Y91),COLUMN(Y91))),INDIRECT("'Yr2'!"&amp;ADDRESS(ROW(Y91),COLUMN(Y91))),INDIRECT("'Yr3'!"&amp;ADDRESS(ROW(Y91),COLUMN(Y91))))&gt;0,"3 Yr. total",0),
IF(Y$7&lt;$C$4,0,IF(Y$8&lt;=SUMIFS('EE Inputs'!$V$9:$V$32,'EE Inputs'!$C$9:$C$32,$G$6,'EE Inputs'!$D$9:$D$32,$C$4,'EE Inputs'!$E$9:$E$32,$B91),SUMIFS('EE Inputs'!$V$9:$V$32,'EE Inputs'!$C$9:$C$32,$G$6,'EE Inputs'!$D$9:$D$32,$C$4,'EE Inputs'!$E$9:$E$32,$B91),0)))</f>
        <v>20</v>
      </c>
      <c r="Z91" s="65">
        <f ca="1">IF($C$4=Lookups!$D$40,IF(SUM(INDIRECT("'Yr1'!"&amp;ADDRESS(ROW(Z91),COLUMN(Z91))),INDIRECT("'Yr2'!"&amp;ADDRESS(ROW(Z91),COLUMN(Z91))),INDIRECT("'Yr3'!"&amp;ADDRESS(ROW(Z91),COLUMN(Z91))))&gt;0,"3 Yr. total",0),
IF(Z$7&lt;$C$4,0,IF(Z$8&lt;=SUMIFS('EE Inputs'!$V$9:$V$32,'EE Inputs'!$C$9:$C$32,$G$6,'EE Inputs'!$D$9:$D$32,$C$4,'EE Inputs'!$E$9:$E$32,$B91),SUMIFS('EE Inputs'!$V$9:$V$32,'EE Inputs'!$C$9:$C$32,$G$6,'EE Inputs'!$D$9:$D$32,$C$4,'EE Inputs'!$E$9:$E$32,$B91),0)))</f>
        <v>20</v>
      </c>
      <c r="AA91" s="65">
        <f ca="1">IF($C$4=Lookups!$D$40,IF(SUM(INDIRECT("'Yr1'!"&amp;ADDRESS(ROW(AA91),COLUMN(AA91))),INDIRECT("'Yr2'!"&amp;ADDRESS(ROW(AA91),COLUMN(AA91))),INDIRECT("'Yr3'!"&amp;ADDRESS(ROW(AA91),COLUMN(AA91))))&gt;0,"3 Yr. total",0),
IF(AA$7&lt;$C$4,0,IF(AA$8&lt;=SUMIFS('EE Inputs'!$V$9:$V$32,'EE Inputs'!$C$9:$C$32,$G$6,'EE Inputs'!$D$9:$D$32,$C$4,'EE Inputs'!$E$9:$E$32,$B91),SUMIFS('EE Inputs'!$V$9:$V$32,'EE Inputs'!$C$9:$C$32,$G$6,'EE Inputs'!$D$9:$D$32,$C$4,'EE Inputs'!$E$9:$E$32,$B91),0)))</f>
        <v>20</v>
      </c>
      <c r="AB91" s="65">
        <f ca="1">IF($C$4=Lookups!$D$40,IF(SUM(INDIRECT("'Yr1'!"&amp;ADDRESS(ROW(AB91),COLUMN(AB91))),INDIRECT("'Yr2'!"&amp;ADDRESS(ROW(AB91),COLUMN(AB91))),INDIRECT("'Yr3'!"&amp;ADDRESS(ROW(AB91),COLUMN(AB91))))&gt;0,"3 Yr. total",0),
IF(AB$7&lt;$C$4,0,IF(AB$8&lt;=SUMIFS('EE Inputs'!$V$9:$V$32,'EE Inputs'!$C$9:$C$32,$G$6,'EE Inputs'!$D$9:$D$32,$C$4,'EE Inputs'!$E$9:$E$32,$B91),SUMIFS('EE Inputs'!$V$9:$V$32,'EE Inputs'!$C$9:$C$32,$G$6,'EE Inputs'!$D$9:$D$32,$C$4,'EE Inputs'!$E$9:$E$32,$B91),0)))</f>
        <v>0</v>
      </c>
      <c r="AC91" s="65">
        <f ca="1">IF($C$4=Lookups!$D$40,IF(SUM(INDIRECT("'Yr1'!"&amp;ADDRESS(ROW(AC91),COLUMN(AC91))),INDIRECT("'Yr2'!"&amp;ADDRESS(ROW(AC91),COLUMN(AC91))),INDIRECT("'Yr3'!"&amp;ADDRESS(ROW(AC91),COLUMN(AC91))))&gt;0,"3 Yr. total",0),
IF(AC$7&lt;$C$4,0,IF(AC$8&lt;=SUMIFS('EE Inputs'!$V$9:$V$32,'EE Inputs'!$C$9:$C$32,$G$6,'EE Inputs'!$D$9:$D$32,$C$4,'EE Inputs'!$E$9:$E$32,$B91),SUMIFS('EE Inputs'!$V$9:$V$32,'EE Inputs'!$C$9:$C$32,$G$6,'EE Inputs'!$D$9:$D$32,$C$4,'EE Inputs'!$E$9:$E$32,$B91),0)))</f>
        <v>0</v>
      </c>
      <c r="AD91" s="65">
        <f ca="1">IF($C$4=Lookups!$D$40,IF(SUM(INDIRECT("'Yr1'!"&amp;ADDRESS(ROW(AD91),COLUMN(AD91))),INDIRECT("'Yr2'!"&amp;ADDRESS(ROW(AD91),COLUMN(AD91))),INDIRECT("'Yr3'!"&amp;ADDRESS(ROW(AD91),COLUMN(AD91))))&gt;0,"3 Yr. total",0),
IF(AD$7&lt;$C$4,0,IF(AD$8&lt;=SUMIFS('EE Inputs'!$V$9:$V$32,'EE Inputs'!$C$9:$C$32,$G$6,'EE Inputs'!$D$9:$D$32,$C$4,'EE Inputs'!$E$9:$E$32,$B91),SUMIFS('EE Inputs'!$V$9:$V$32,'EE Inputs'!$C$9:$C$32,$G$6,'EE Inputs'!$D$9:$D$32,$C$4,'EE Inputs'!$E$9:$E$32,$B91),0)))</f>
        <v>0</v>
      </c>
      <c r="AE91" s="65">
        <f ca="1">IF($C$4=Lookups!$D$40,IF(SUM(INDIRECT("'Yr1'!"&amp;ADDRESS(ROW(AE91),COLUMN(AE91))),INDIRECT("'Yr2'!"&amp;ADDRESS(ROW(AE91),COLUMN(AE91))),INDIRECT("'Yr3'!"&amp;ADDRESS(ROW(AE91),COLUMN(AE91))))&gt;0,"3 Yr. total",0),
IF(AE$7&lt;$C$4,0,IF(AE$8&lt;=SUMIFS('EE Inputs'!$V$9:$V$32,'EE Inputs'!$C$9:$C$32,$G$6,'EE Inputs'!$D$9:$D$32,$C$4,'EE Inputs'!$E$9:$E$32,$B91),SUMIFS('EE Inputs'!$V$9:$V$32,'EE Inputs'!$C$9:$C$32,$G$6,'EE Inputs'!$D$9:$D$32,$C$4,'EE Inputs'!$E$9:$E$32,$B91),0)))</f>
        <v>0</v>
      </c>
      <c r="AF91" s="65">
        <f ca="1">IF($C$4=Lookups!$D$40,IF(SUM(INDIRECT("'Yr1'!"&amp;ADDRESS(ROW(AF91),COLUMN(AF91))),INDIRECT("'Yr2'!"&amp;ADDRESS(ROW(AF91),COLUMN(AF91))),INDIRECT("'Yr3'!"&amp;ADDRESS(ROW(AF91),COLUMN(AF91))))&gt;0,"3 Yr. total",0),
IF(AF$7&lt;$C$4,0,IF(AF$8&lt;=SUMIFS('EE Inputs'!$V$9:$V$32,'EE Inputs'!$C$9:$C$32,$G$6,'EE Inputs'!$D$9:$D$32,$C$4,'EE Inputs'!$E$9:$E$32,$B91),SUMIFS('EE Inputs'!$V$9:$V$32,'EE Inputs'!$C$9:$C$32,$G$6,'EE Inputs'!$D$9:$D$32,$C$4,'EE Inputs'!$E$9:$E$32,$B91),0)))</f>
        <v>0</v>
      </c>
      <c r="AG91" s="65">
        <f ca="1">IF($C$4=Lookups!$D$40,IF(SUM(INDIRECT("'Yr1'!"&amp;ADDRESS(ROW(AG91),COLUMN(AG91))),INDIRECT("'Yr2'!"&amp;ADDRESS(ROW(AG91),COLUMN(AG91))),INDIRECT("'Yr3'!"&amp;ADDRESS(ROW(AG91),COLUMN(AG91))))&gt;0,"3 Yr. total",0),
IF(AG$7&lt;$C$4,0,IF(AG$8&lt;=SUMIFS('EE Inputs'!$V$9:$V$32,'EE Inputs'!$C$9:$C$32,$G$6,'EE Inputs'!$D$9:$D$32,$C$4,'EE Inputs'!$E$9:$E$32,$B91),SUMIFS('EE Inputs'!$V$9:$V$32,'EE Inputs'!$C$9:$C$32,$G$6,'EE Inputs'!$D$9:$D$32,$C$4,'EE Inputs'!$E$9:$E$32,$B91),0)))</f>
        <v>0</v>
      </c>
      <c r="AH91" s="65"/>
      <c r="AI91" s="65"/>
      <c r="AJ91" s="65"/>
      <c r="AM91" s="72">
        <f ca="1">IF($C$4=Lookups!$D$40,IF(SUM(INDIRECT("'Yr1'!"&amp;ADDRESS(ROW(AM91),COLUMN(AM91))),INDIRECT("'Yr2'!"&amp;ADDRESS(ROW(AM91),COLUMN(AM91))),INDIRECT("'Yr3'!"&amp;ADDRESS(ROW(AM91),COLUMN(AM91))))&gt;0,"3 Yr. total",0),
IF(AM$7&lt;$C$4,0,IF(AM$8&lt;=SUMIFS('EE Inputs'!$V$9:$V$32,'EE Inputs'!$C$9:$C$32,$AM$6,'EE Inputs'!$D$9:$D$32,$C$4,'EE Inputs'!$E$9:$E$32,$B91),SUMIFS('EE Inputs'!$V$9:$V$32,'EE Inputs'!$C$9:$C$32,$AM$6,'EE Inputs'!$D$9:$D$32,$C$4,'EE Inputs'!$E$9:$E$32,$B91),0)))</f>
        <v>0</v>
      </c>
      <c r="AN91" s="72">
        <f ca="1">IF($C$4=Lookups!$D$40,IF(SUM(INDIRECT("'Yr1'!"&amp;ADDRESS(ROW(AN91),COLUMN(AN91))),INDIRECT("'Yr2'!"&amp;ADDRESS(ROW(AN91),COLUMN(AN91))),INDIRECT("'Yr3'!"&amp;ADDRESS(ROW(AN91),COLUMN(AN91))))&gt;0,"3 Yr. total",0),
IF(AN$7&lt;$C$4,0,IF(AN$8&lt;=SUMIFS('EE Inputs'!$V$9:$V$32,'EE Inputs'!$C$9:$C$32,$AM$6,'EE Inputs'!$D$9:$D$32,$C$4,'EE Inputs'!$E$9:$E$32,$B91),SUMIFS('EE Inputs'!$V$9:$V$32,'EE Inputs'!$C$9:$C$32,$AM$6,'EE Inputs'!$D$9:$D$32,$C$4,'EE Inputs'!$E$9:$E$32,$B91),0)))</f>
        <v>20</v>
      </c>
      <c r="AO91" s="72">
        <f ca="1">IF($C$4=Lookups!$D$40,IF(SUM(INDIRECT("'Yr1'!"&amp;ADDRESS(ROW(AO91),COLUMN(AO91))),INDIRECT("'Yr2'!"&amp;ADDRESS(ROW(AO91),COLUMN(AO91))),INDIRECT("'Yr3'!"&amp;ADDRESS(ROW(AO91),COLUMN(AO91))))&gt;0,"3 Yr. total",0),
IF(AO$7&lt;$C$4,0,IF(AO$8&lt;=SUMIFS('EE Inputs'!$V$9:$V$32,'EE Inputs'!$C$9:$C$32,$AM$6,'EE Inputs'!$D$9:$D$32,$C$4,'EE Inputs'!$E$9:$E$32,$B91),SUMIFS('EE Inputs'!$V$9:$V$32,'EE Inputs'!$C$9:$C$32,$AM$6,'EE Inputs'!$D$9:$D$32,$C$4,'EE Inputs'!$E$9:$E$32,$B91),0)))</f>
        <v>20</v>
      </c>
      <c r="AP91" s="72">
        <f ca="1">IF($C$4=Lookups!$D$40,IF(SUM(INDIRECT("'Yr1'!"&amp;ADDRESS(ROW(AP91),COLUMN(AP91))),INDIRECT("'Yr2'!"&amp;ADDRESS(ROW(AP91),COLUMN(AP91))),INDIRECT("'Yr3'!"&amp;ADDRESS(ROW(AP91),COLUMN(AP91))))&gt;0,"3 Yr. total",0),
IF(AP$7&lt;$C$4,0,IF(AP$8&lt;=SUMIFS('EE Inputs'!$V$9:$V$32,'EE Inputs'!$C$9:$C$32,$AM$6,'EE Inputs'!$D$9:$D$32,$C$4,'EE Inputs'!$E$9:$E$32,$B91),SUMIFS('EE Inputs'!$V$9:$V$32,'EE Inputs'!$C$9:$C$32,$AM$6,'EE Inputs'!$D$9:$D$32,$C$4,'EE Inputs'!$E$9:$E$32,$B91),0)))</f>
        <v>20</v>
      </c>
      <c r="AQ91" s="72">
        <f ca="1">IF($C$4=Lookups!$D$40,IF(SUM(INDIRECT("'Yr1'!"&amp;ADDRESS(ROW(AQ91),COLUMN(AQ91))),INDIRECT("'Yr2'!"&amp;ADDRESS(ROW(AQ91),COLUMN(AQ91))),INDIRECT("'Yr3'!"&amp;ADDRESS(ROW(AQ91),COLUMN(AQ91))))&gt;0,"3 Yr. total",0),
IF(AQ$7&lt;$C$4,0,IF(AQ$8&lt;=SUMIFS('EE Inputs'!$V$9:$V$32,'EE Inputs'!$C$9:$C$32,$AM$6,'EE Inputs'!$D$9:$D$32,$C$4,'EE Inputs'!$E$9:$E$32,$B91),SUMIFS('EE Inputs'!$V$9:$V$32,'EE Inputs'!$C$9:$C$32,$AM$6,'EE Inputs'!$D$9:$D$32,$C$4,'EE Inputs'!$E$9:$E$32,$B91),0)))</f>
        <v>20</v>
      </c>
      <c r="AR91" s="72">
        <f ca="1">IF($C$4=Lookups!$D$40,IF(SUM(INDIRECT("'Yr1'!"&amp;ADDRESS(ROW(AR91),COLUMN(AR91))),INDIRECT("'Yr2'!"&amp;ADDRESS(ROW(AR91),COLUMN(AR91))),INDIRECT("'Yr3'!"&amp;ADDRESS(ROW(AR91),COLUMN(AR91))))&gt;0,"3 Yr. total",0),
IF(AR$7&lt;$C$4,0,IF(AR$8&lt;=SUMIFS('EE Inputs'!$V$9:$V$32,'EE Inputs'!$C$9:$C$32,$AM$6,'EE Inputs'!$D$9:$D$32,$C$4,'EE Inputs'!$E$9:$E$32,$B91),SUMIFS('EE Inputs'!$V$9:$V$32,'EE Inputs'!$C$9:$C$32,$AM$6,'EE Inputs'!$D$9:$D$32,$C$4,'EE Inputs'!$E$9:$E$32,$B91),0)))</f>
        <v>20</v>
      </c>
      <c r="AS91" s="72">
        <f ca="1">IF($C$4=Lookups!$D$40,IF(SUM(INDIRECT("'Yr1'!"&amp;ADDRESS(ROW(AS91),COLUMN(AS91))),INDIRECT("'Yr2'!"&amp;ADDRESS(ROW(AS91),COLUMN(AS91))),INDIRECT("'Yr3'!"&amp;ADDRESS(ROW(AS91),COLUMN(AS91))))&gt;0,"3 Yr. total",0),
IF(AS$7&lt;$C$4,0,IF(AS$8&lt;=SUMIFS('EE Inputs'!$V$9:$V$32,'EE Inputs'!$C$9:$C$32,$AM$6,'EE Inputs'!$D$9:$D$32,$C$4,'EE Inputs'!$E$9:$E$32,$B91),SUMIFS('EE Inputs'!$V$9:$V$32,'EE Inputs'!$C$9:$C$32,$AM$6,'EE Inputs'!$D$9:$D$32,$C$4,'EE Inputs'!$E$9:$E$32,$B91),0)))</f>
        <v>20</v>
      </c>
      <c r="AT91" s="72">
        <f ca="1">IF($C$4=Lookups!$D$40,IF(SUM(INDIRECT("'Yr1'!"&amp;ADDRESS(ROW(AT91),COLUMN(AT91))),INDIRECT("'Yr2'!"&amp;ADDRESS(ROW(AT91),COLUMN(AT91))),INDIRECT("'Yr3'!"&amp;ADDRESS(ROW(AT91),COLUMN(AT91))))&gt;0,"3 Yr. total",0),
IF(AT$7&lt;$C$4,0,IF(AT$8&lt;=SUMIFS('EE Inputs'!$V$9:$V$32,'EE Inputs'!$C$9:$C$32,$AM$6,'EE Inputs'!$D$9:$D$32,$C$4,'EE Inputs'!$E$9:$E$32,$B91),SUMIFS('EE Inputs'!$V$9:$V$32,'EE Inputs'!$C$9:$C$32,$AM$6,'EE Inputs'!$D$9:$D$32,$C$4,'EE Inputs'!$E$9:$E$32,$B91),0)))</f>
        <v>20</v>
      </c>
      <c r="AU91" s="72">
        <f ca="1">IF($C$4=Lookups!$D$40,IF(SUM(INDIRECT("'Yr1'!"&amp;ADDRESS(ROW(AU91),COLUMN(AU91))),INDIRECT("'Yr2'!"&amp;ADDRESS(ROW(AU91),COLUMN(AU91))),INDIRECT("'Yr3'!"&amp;ADDRESS(ROW(AU91),COLUMN(AU91))))&gt;0,"3 Yr. total",0),
IF(AU$7&lt;$C$4,0,IF(AU$8&lt;=SUMIFS('EE Inputs'!$V$9:$V$32,'EE Inputs'!$C$9:$C$32,$AM$6,'EE Inputs'!$D$9:$D$32,$C$4,'EE Inputs'!$E$9:$E$32,$B91),SUMIFS('EE Inputs'!$V$9:$V$32,'EE Inputs'!$C$9:$C$32,$AM$6,'EE Inputs'!$D$9:$D$32,$C$4,'EE Inputs'!$E$9:$E$32,$B91),0)))</f>
        <v>20</v>
      </c>
      <c r="AV91" s="72">
        <f ca="1">IF($C$4=Lookups!$D$40,IF(SUM(INDIRECT("'Yr1'!"&amp;ADDRESS(ROW(AV91),COLUMN(AV91))),INDIRECT("'Yr2'!"&amp;ADDRESS(ROW(AV91),COLUMN(AV91))),INDIRECT("'Yr3'!"&amp;ADDRESS(ROW(AV91),COLUMN(AV91))))&gt;0,"3 Yr. total",0),
IF(AV$7&lt;$C$4,0,IF(AV$8&lt;=SUMIFS('EE Inputs'!$V$9:$V$32,'EE Inputs'!$C$9:$C$32,$AM$6,'EE Inputs'!$D$9:$D$32,$C$4,'EE Inputs'!$E$9:$E$32,$B91),SUMIFS('EE Inputs'!$V$9:$V$32,'EE Inputs'!$C$9:$C$32,$AM$6,'EE Inputs'!$D$9:$D$32,$C$4,'EE Inputs'!$E$9:$E$32,$B91),0)))</f>
        <v>20</v>
      </c>
      <c r="AW91" s="72">
        <f ca="1">IF($C$4=Lookups!$D$40,IF(SUM(INDIRECT("'Yr1'!"&amp;ADDRESS(ROW(AW91),COLUMN(AW91))),INDIRECT("'Yr2'!"&amp;ADDRESS(ROW(AW91),COLUMN(AW91))),INDIRECT("'Yr3'!"&amp;ADDRESS(ROW(AW91),COLUMN(AW91))))&gt;0,"3 Yr. total",0),
IF(AW$7&lt;$C$4,0,IF(AW$8&lt;=SUMIFS('EE Inputs'!$V$9:$V$32,'EE Inputs'!$C$9:$C$32,$AM$6,'EE Inputs'!$D$9:$D$32,$C$4,'EE Inputs'!$E$9:$E$32,$B91),SUMIFS('EE Inputs'!$V$9:$V$32,'EE Inputs'!$C$9:$C$32,$AM$6,'EE Inputs'!$D$9:$D$32,$C$4,'EE Inputs'!$E$9:$E$32,$B91),0)))</f>
        <v>20</v>
      </c>
      <c r="AX91" s="72">
        <f ca="1">IF($C$4=Lookups!$D$40,IF(SUM(INDIRECT("'Yr1'!"&amp;ADDRESS(ROW(AX91),COLUMN(AX91))),INDIRECT("'Yr2'!"&amp;ADDRESS(ROW(AX91),COLUMN(AX91))),INDIRECT("'Yr3'!"&amp;ADDRESS(ROW(AX91),COLUMN(AX91))))&gt;0,"3 Yr. total",0),
IF(AX$7&lt;$C$4,0,IF(AX$8&lt;=SUMIFS('EE Inputs'!$V$9:$V$32,'EE Inputs'!$C$9:$C$32,$AM$6,'EE Inputs'!$D$9:$D$32,$C$4,'EE Inputs'!$E$9:$E$32,$B91),SUMIFS('EE Inputs'!$V$9:$V$32,'EE Inputs'!$C$9:$C$32,$AM$6,'EE Inputs'!$D$9:$D$32,$C$4,'EE Inputs'!$E$9:$E$32,$B91),0)))</f>
        <v>20</v>
      </c>
      <c r="AY91" s="72">
        <f ca="1">IF($C$4=Lookups!$D$40,IF(SUM(INDIRECT("'Yr1'!"&amp;ADDRESS(ROW(AY91),COLUMN(AY91))),INDIRECT("'Yr2'!"&amp;ADDRESS(ROW(AY91),COLUMN(AY91))),INDIRECT("'Yr3'!"&amp;ADDRESS(ROW(AY91),COLUMN(AY91))))&gt;0,"3 Yr. total",0),
IF(AY$7&lt;$C$4,0,IF(AY$8&lt;=SUMIFS('EE Inputs'!$V$9:$V$32,'EE Inputs'!$C$9:$C$32,$AM$6,'EE Inputs'!$D$9:$D$32,$C$4,'EE Inputs'!$E$9:$E$32,$B91),SUMIFS('EE Inputs'!$V$9:$V$32,'EE Inputs'!$C$9:$C$32,$AM$6,'EE Inputs'!$D$9:$D$32,$C$4,'EE Inputs'!$E$9:$E$32,$B91),0)))</f>
        <v>20</v>
      </c>
      <c r="AZ91" s="72">
        <f ca="1">IF($C$4=Lookups!$D$40,IF(SUM(INDIRECT("'Yr1'!"&amp;ADDRESS(ROW(AZ91),COLUMN(AZ91))),INDIRECT("'Yr2'!"&amp;ADDRESS(ROW(AZ91),COLUMN(AZ91))),INDIRECT("'Yr3'!"&amp;ADDRESS(ROW(AZ91),COLUMN(AZ91))))&gt;0,"3 Yr. total",0),
IF(AZ$7&lt;$C$4,0,IF(AZ$8&lt;=SUMIFS('EE Inputs'!$V$9:$V$32,'EE Inputs'!$C$9:$C$32,$AM$6,'EE Inputs'!$D$9:$D$32,$C$4,'EE Inputs'!$E$9:$E$32,$B91),SUMIFS('EE Inputs'!$V$9:$V$32,'EE Inputs'!$C$9:$C$32,$AM$6,'EE Inputs'!$D$9:$D$32,$C$4,'EE Inputs'!$E$9:$E$32,$B91),0)))</f>
        <v>20</v>
      </c>
      <c r="BA91" s="72">
        <f ca="1">IF($C$4=Lookups!$D$40,IF(SUM(INDIRECT("'Yr1'!"&amp;ADDRESS(ROW(BA91),COLUMN(BA91))),INDIRECT("'Yr2'!"&amp;ADDRESS(ROW(BA91),COLUMN(BA91))),INDIRECT("'Yr3'!"&amp;ADDRESS(ROW(BA91),COLUMN(BA91))))&gt;0,"3 Yr. total",0),
IF(BA$7&lt;$C$4,0,IF(BA$8&lt;=SUMIFS('EE Inputs'!$V$9:$V$32,'EE Inputs'!$C$9:$C$32,$AM$6,'EE Inputs'!$D$9:$D$32,$C$4,'EE Inputs'!$E$9:$E$32,$B91),SUMIFS('EE Inputs'!$V$9:$V$32,'EE Inputs'!$C$9:$C$32,$AM$6,'EE Inputs'!$D$9:$D$32,$C$4,'EE Inputs'!$E$9:$E$32,$B91),0)))</f>
        <v>20</v>
      </c>
      <c r="BB91" s="72">
        <f ca="1">IF($C$4=Lookups!$D$40,IF(SUM(INDIRECT("'Yr1'!"&amp;ADDRESS(ROW(BB91),COLUMN(BB91))),INDIRECT("'Yr2'!"&amp;ADDRESS(ROW(BB91),COLUMN(BB91))),INDIRECT("'Yr3'!"&amp;ADDRESS(ROW(BB91),COLUMN(BB91))))&gt;0,"3 Yr. total",0),
IF(BB$7&lt;$C$4,0,IF(BB$8&lt;=SUMIFS('EE Inputs'!$V$9:$V$32,'EE Inputs'!$C$9:$C$32,$AM$6,'EE Inputs'!$D$9:$D$32,$C$4,'EE Inputs'!$E$9:$E$32,$B91),SUMIFS('EE Inputs'!$V$9:$V$32,'EE Inputs'!$C$9:$C$32,$AM$6,'EE Inputs'!$D$9:$D$32,$C$4,'EE Inputs'!$E$9:$E$32,$B91),0)))</f>
        <v>20</v>
      </c>
      <c r="BC91" s="72">
        <f ca="1">IF($C$4=Lookups!$D$40,IF(SUM(INDIRECT("'Yr1'!"&amp;ADDRESS(ROW(BC91),COLUMN(BC91))),INDIRECT("'Yr2'!"&amp;ADDRESS(ROW(BC91),COLUMN(BC91))),INDIRECT("'Yr3'!"&amp;ADDRESS(ROW(BC91),COLUMN(BC91))))&gt;0,"3 Yr. total",0),
IF(BC$7&lt;$C$4,0,IF(BC$8&lt;=SUMIFS('EE Inputs'!$V$9:$V$32,'EE Inputs'!$C$9:$C$32,$AM$6,'EE Inputs'!$D$9:$D$32,$C$4,'EE Inputs'!$E$9:$E$32,$B91),SUMIFS('EE Inputs'!$V$9:$V$32,'EE Inputs'!$C$9:$C$32,$AM$6,'EE Inputs'!$D$9:$D$32,$C$4,'EE Inputs'!$E$9:$E$32,$B91),0)))</f>
        <v>20</v>
      </c>
      <c r="BD91" s="72">
        <f ca="1">IF($C$4=Lookups!$D$40,IF(SUM(INDIRECT("'Yr1'!"&amp;ADDRESS(ROW(BD91),COLUMN(BD91))),INDIRECT("'Yr2'!"&amp;ADDRESS(ROW(BD91),COLUMN(BD91))),INDIRECT("'Yr3'!"&amp;ADDRESS(ROW(BD91),COLUMN(BD91))))&gt;0,"3 Yr. total",0),
IF(BD$7&lt;$C$4,0,IF(BD$8&lt;=SUMIFS('EE Inputs'!$V$9:$V$32,'EE Inputs'!$C$9:$C$32,$AM$6,'EE Inputs'!$D$9:$D$32,$C$4,'EE Inputs'!$E$9:$E$32,$B91),SUMIFS('EE Inputs'!$V$9:$V$32,'EE Inputs'!$C$9:$C$32,$AM$6,'EE Inputs'!$D$9:$D$32,$C$4,'EE Inputs'!$E$9:$E$32,$B91),0)))</f>
        <v>20</v>
      </c>
      <c r="BE91" s="72">
        <f ca="1">IF($C$4=Lookups!$D$40,IF(SUM(INDIRECT("'Yr1'!"&amp;ADDRESS(ROW(BE91),COLUMN(BE91))),INDIRECT("'Yr2'!"&amp;ADDRESS(ROW(BE91),COLUMN(BE91))),INDIRECT("'Yr3'!"&amp;ADDRESS(ROW(BE91),COLUMN(BE91))))&gt;0,"3 Yr. total",0),
IF(BE$7&lt;$C$4,0,IF(BE$8&lt;=SUMIFS('EE Inputs'!$V$9:$V$32,'EE Inputs'!$C$9:$C$32,$AM$6,'EE Inputs'!$D$9:$D$32,$C$4,'EE Inputs'!$E$9:$E$32,$B91),SUMIFS('EE Inputs'!$V$9:$V$32,'EE Inputs'!$C$9:$C$32,$AM$6,'EE Inputs'!$D$9:$D$32,$C$4,'EE Inputs'!$E$9:$E$32,$B91),0)))</f>
        <v>20</v>
      </c>
      <c r="BF91" s="72">
        <f ca="1">IF($C$4=Lookups!$D$40,IF(SUM(INDIRECT("'Yr1'!"&amp;ADDRESS(ROW(BF91),COLUMN(BF91))),INDIRECT("'Yr2'!"&amp;ADDRESS(ROW(BF91),COLUMN(BF91))),INDIRECT("'Yr3'!"&amp;ADDRESS(ROW(BF91),COLUMN(BF91))))&gt;0,"3 Yr. total",0),
IF(BF$7&lt;$C$4,0,IF(BF$8&lt;=SUMIFS('EE Inputs'!$V$9:$V$32,'EE Inputs'!$C$9:$C$32,$AM$6,'EE Inputs'!$D$9:$D$32,$C$4,'EE Inputs'!$E$9:$E$32,$B91),SUMIFS('EE Inputs'!$V$9:$V$32,'EE Inputs'!$C$9:$C$32,$AM$6,'EE Inputs'!$D$9:$D$32,$C$4,'EE Inputs'!$E$9:$E$32,$B91),0)))</f>
        <v>20</v>
      </c>
      <c r="BG91" s="72">
        <f ca="1">IF($C$4=Lookups!$D$40,IF(SUM(INDIRECT("'Yr1'!"&amp;ADDRESS(ROW(BG91),COLUMN(BG91))),INDIRECT("'Yr2'!"&amp;ADDRESS(ROW(BG91),COLUMN(BG91))),INDIRECT("'Yr3'!"&amp;ADDRESS(ROW(BG91),COLUMN(BG91))))&gt;0,"3 Yr. total",0),
IF(BG$7&lt;$C$4,0,IF(BG$8&lt;=SUMIFS('EE Inputs'!$V$9:$V$32,'EE Inputs'!$C$9:$C$32,$AM$6,'EE Inputs'!$D$9:$D$32,$C$4,'EE Inputs'!$E$9:$E$32,$B91),SUMIFS('EE Inputs'!$V$9:$V$32,'EE Inputs'!$C$9:$C$32,$AM$6,'EE Inputs'!$D$9:$D$32,$C$4,'EE Inputs'!$E$9:$E$32,$B91),0)))</f>
        <v>20</v>
      </c>
      <c r="BH91" s="72">
        <f ca="1">IF($C$4=Lookups!$D$40,IF(SUM(INDIRECT("'Yr1'!"&amp;ADDRESS(ROW(BH91),COLUMN(BH91))),INDIRECT("'Yr2'!"&amp;ADDRESS(ROW(BH91),COLUMN(BH91))),INDIRECT("'Yr3'!"&amp;ADDRESS(ROW(BH91),COLUMN(BH91))))&gt;0,"3 Yr. total",0),
IF(BH$7&lt;$C$4,0,IF(BH$8&lt;=SUMIFS('EE Inputs'!$V$9:$V$32,'EE Inputs'!$C$9:$C$32,$AM$6,'EE Inputs'!$D$9:$D$32,$C$4,'EE Inputs'!$E$9:$E$32,$B91),SUMIFS('EE Inputs'!$V$9:$V$32,'EE Inputs'!$C$9:$C$32,$AM$6,'EE Inputs'!$D$9:$D$32,$C$4,'EE Inputs'!$E$9:$E$32,$B91),0)))</f>
        <v>0</v>
      </c>
      <c r="BI91" s="72">
        <f ca="1">IF($C$4=Lookups!$D$40,IF(SUM(INDIRECT("'Yr1'!"&amp;ADDRESS(ROW(BI91),COLUMN(BI91))),INDIRECT("'Yr2'!"&amp;ADDRESS(ROW(BI91),COLUMN(BI91))),INDIRECT("'Yr3'!"&amp;ADDRESS(ROW(BI91),COLUMN(BI91))))&gt;0,"3 Yr. total",0),
IF(BI$7&lt;$C$4,0,IF(BI$8&lt;=SUMIFS('EE Inputs'!$V$9:$V$32,'EE Inputs'!$C$9:$C$32,$AM$6,'EE Inputs'!$D$9:$D$32,$C$4,'EE Inputs'!$E$9:$E$32,$B91),SUMIFS('EE Inputs'!$V$9:$V$32,'EE Inputs'!$C$9:$C$32,$AM$6,'EE Inputs'!$D$9:$D$32,$C$4,'EE Inputs'!$E$9:$E$32,$B91),0)))</f>
        <v>0</v>
      </c>
      <c r="BJ91" s="72">
        <f ca="1">IF($C$4=Lookups!$D$40,IF(SUM(INDIRECT("'Yr1'!"&amp;ADDRESS(ROW(BJ91),COLUMN(BJ91))),INDIRECT("'Yr2'!"&amp;ADDRESS(ROW(BJ91),COLUMN(BJ91))),INDIRECT("'Yr3'!"&amp;ADDRESS(ROW(BJ91),COLUMN(BJ91))))&gt;0,"3 Yr. total",0),
IF(BJ$7&lt;$C$4,0,IF(BJ$8&lt;=SUMIFS('EE Inputs'!$V$9:$V$32,'EE Inputs'!$C$9:$C$32,$AM$6,'EE Inputs'!$D$9:$D$32,$C$4,'EE Inputs'!$E$9:$E$32,$B91),SUMIFS('EE Inputs'!$V$9:$V$32,'EE Inputs'!$C$9:$C$32,$AM$6,'EE Inputs'!$D$9:$D$32,$C$4,'EE Inputs'!$E$9:$E$32,$B91),0)))</f>
        <v>0</v>
      </c>
      <c r="BK91" s="72">
        <f ca="1">IF($C$4=Lookups!$D$40,IF(SUM(INDIRECT("'Yr1'!"&amp;ADDRESS(ROW(BK91),COLUMN(BK91))),INDIRECT("'Yr2'!"&amp;ADDRESS(ROW(BK91),COLUMN(BK91))),INDIRECT("'Yr3'!"&amp;ADDRESS(ROW(BK91),COLUMN(BK91))))&gt;0,"3 Yr. total",0),
IF(BK$7&lt;$C$4,0,IF(BK$8&lt;=SUMIFS('EE Inputs'!$V$9:$V$32,'EE Inputs'!$C$9:$C$32,$AM$6,'EE Inputs'!$D$9:$D$32,$C$4,'EE Inputs'!$E$9:$E$32,$B91),SUMIFS('EE Inputs'!$V$9:$V$32,'EE Inputs'!$C$9:$C$32,$AM$6,'EE Inputs'!$D$9:$D$32,$C$4,'EE Inputs'!$E$9:$E$32,$B91),0)))</f>
        <v>0</v>
      </c>
      <c r="BL91" s="72">
        <f ca="1">IF($C$4=Lookups!$D$40,IF(SUM(INDIRECT("'Yr1'!"&amp;ADDRESS(ROW(BL91),COLUMN(BL91))),INDIRECT("'Yr2'!"&amp;ADDRESS(ROW(BL91),COLUMN(BL91))),INDIRECT("'Yr3'!"&amp;ADDRESS(ROW(BL91),COLUMN(BL91))))&gt;0,"3 Yr. total",0),
IF(BL$7&lt;$C$4,0,IF(BL$8&lt;=SUMIFS('EE Inputs'!$V$9:$V$32,'EE Inputs'!$C$9:$C$32,$AM$6,'EE Inputs'!$D$9:$D$32,$C$4,'EE Inputs'!$E$9:$E$32,$B91),SUMIFS('EE Inputs'!$V$9:$V$32,'EE Inputs'!$C$9:$C$32,$AM$6,'EE Inputs'!$D$9:$D$32,$C$4,'EE Inputs'!$E$9:$E$32,$B91),0)))</f>
        <v>0</v>
      </c>
      <c r="BM91" s="72">
        <f ca="1">IF($C$4=Lookups!$D$40,IF(SUM(INDIRECT("'Yr1'!"&amp;ADDRESS(ROW(BM91),COLUMN(BM91))),INDIRECT("'Yr2'!"&amp;ADDRESS(ROW(BM91),COLUMN(BM91))),INDIRECT("'Yr3'!"&amp;ADDRESS(ROW(BM91),COLUMN(BM91))))&gt;0,"3 Yr. total",0),
IF(BM$7&lt;$C$4,0,IF(BM$8&lt;=SUMIFS('EE Inputs'!$V$9:$V$32,'EE Inputs'!$C$9:$C$32,$AM$6,'EE Inputs'!$D$9:$D$32,$C$4,'EE Inputs'!$E$9:$E$32,$B91),SUMIFS('EE Inputs'!$V$9:$V$32,'EE Inputs'!$C$9:$C$32,$AM$6,'EE Inputs'!$D$9:$D$32,$C$4,'EE Inputs'!$E$9:$E$32,$B91),0)))</f>
        <v>0</v>
      </c>
      <c r="BN91" s="72"/>
      <c r="BO91" s="72"/>
      <c r="BP91" s="72"/>
      <c r="BS91" s="76" t="s">
        <v>90</v>
      </c>
      <c r="BT91" s="51" t="s">
        <v>17</v>
      </c>
    </row>
    <row r="92" spans="1:72" s="5" customFormat="1" x14ac:dyDescent="0.25">
      <c r="A92" s="52"/>
      <c r="B92" s="242" t="str">
        <f t="shared" si="85"/>
        <v>Low-Income</v>
      </c>
      <c r="C92" s="242" t="str">
        <f>C91</f>
        <v>Customers</v>
      </c>
      <c r="D92" s="77" t="s">
        <v>17</v>
      </c>
      <c r="E92" s="76"/>
      <c r="F92" s="76"/>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S92" s="76"/>
      <c r="BT92" s="51" t="s">
        <v>17</v>
      </c>
    </row>
    <row r="93" spans="1:72" s="5" customFormat="1" ht="15.75" x14ac:dyDescent="0.25">
      <c r="A93" s="52"/>
      <c r="B93" s="241" t="str">
        <f t="shared" si="85"/>
        <v>Low-Income</v>
      </c>
      <c r="C93" s="63" t="s">
        <v>4</v>
      </c>
      <c r="D93" s="61"/>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2"/>
      <c r="BO93" s="62"/>
      <c r="BP93" s="62"/>
      <c r="BS93" s="62"/>
      <c r="BT93" s="51" t="s">
        <v>17</v>
      </c>
    </row>
    <row r="94" spans="1:72" x14ac:dyDescent="0.25">
      <c r="B94" s="243" t="str">
        <f t="shared" si="85"/>
        <v>Low-Income</v>
      </c>
      <c r="C94" s="243" t="str">
        <f>C93</f>
        <v>Sales</v>
      </c>
      <c r="D94" s="244" t="str">
        <f>"Sales before DSM ("&amp;Lookups!$D$22&amp;" Scenario)"</f>
        <v>Sales before DSM (No EE Scenario)</v>
      </c>
      <c r="E94" s="85" t="str">
        <f>"Sales before DSM ("&amp;Lookups!$D$22&amp;" Scenario)"</f>
        <v>Sales before DSM (No EE Scenario)</v>
      </c>
      <c r="F94" s="84" t="s">
        <v>195</v>
      </c>
      <c r="G94" s="64">
        <f>IF(G$8=0,0,INDEX('Multi-Year Inputs'!$E$41:$AE$44,MATCH($B94,'Multi-Year Inputs'!$D$41:$D$44,0),MATCH(G$7,'Multi-Year Inputs'!$E$4:$AE$4,0)))</f>
        <v>0</v>
      </c>
      <c r="H94" s="64">
        <f>IF(H$8=0,0,INDEX('Multi-Year Inputs'!$E$41:$AE$44,MATCH($B94,'Multi-Year Inputs'!$D$41:$D$44,0),MATCH(H$7,'Multi-Year Inputs'!$E$4:$AE$4,0)))</f>
        <v>4673617.4897935251</v>
      </c>
      <c r="I94" s="64">
        <f>IF(I$8=0,0,INDEX('Multi-Year Inputs'!$E$41:$AE$44,MATCH($B94,'Multi-Year Inputs'!$D$41:$D$44,0),MATCH(I$7,'Multi-Year Inputs'!$E$4:$AE$4,0)))</f>
        <v>4673617.4897935251</v>
      </c>
      <c r="J94" s="64">
        <f>IF(J$8=0,0,INDEX('Multi-Year Inputs'!$E$41:$AE$44,MATCH($B94,'Multi-Year Inputs'!$D$41:$D$44,0),MATCH(J$7,'Multi-Year Inputs'!$E$4:$AE$4,0)))</f>
        <v>4673617.4897935251</v>
      </c>
      <c r="K94" s="64">
        <f>IF(K$8=0,0,INDEX('Multi-Year Inputs'!$E$41:$AE$44,MATCH($B94,'Multi-Year Inputs'!$D$41:$D$44,0),MATCH(K$7,'Multi-Year Inputs'!$E$4:$AE$4,0)))</f>
        <v>4673617.4897935251</v>
      </c>
      <c r="L94" s="64">
        <f>IF(L$8=0,0,INDEX('Multi-Year Inputs'!$E$41:$AE$44,MATCH($B94,'Multi-Year Inputs'!$D$41:$D$44,0),MATCH(L$7,'Multi-Year Inputs'!$E$4:$AE$4,0)))</f>
        <v>4673617.4897935251</v>
      </c>
      <c r="M94" s="64">
        <f>IF(M$8=0,0,INDEX('Multi-Year Inputs'!$E$41:$AE$44,MATCH($B94,'Multi-Year Inputs'!$D$41:$D$44,0),MATCH(M$7,'Multi-Year Inputs'!$E$4:$AE$4,0)))</f>
        <v>4673617.4897935251</v>
      </c>
      <c r="N94" s="64">
        <f>IF(N$8=0,0,INDEX('Multi-Year Inputs'!$E$41:$AE$44,MATCH($B94,'Multi-Year Inputs'!$D$41:$D$44,0),MATCH(N$7,'Multi-Year Inputs'!$E$4:$AE$4,0)))</f>
        <v>4673617.4897935251</v>
      </c>
      <c r="O94" s="64">
        <f>IF(O$8=0,0,INDEX('Multi-Year Inputs'!$E$41:$AE$44,MATCH($B94,'Multi-Year Inputs'!$D$41:$D$44,0),MATCH(O$7,'Multi-Year Inputs'!$E$4:$AE$4,0)))</f>
        <v>4673617.4897935251</v>
      </c>
      <c r="P94" s="64">
        <f>IF(P$8=0,0,INDEX('Multi-Year Inputs'!$E$41:$AE$44,MATCH($B94,'Multi-Year Inputs'!$D$41:$D$44,0),MATCH(P$7,'Multi-Year Inputs'!$E$4:$AE$4,0)))</f>
        <v>4673617.4897935251</v>
      </c>
      <c r="Q94" s="64">
        <f>IF(Q$8=0,0,INDEX('Multi-Year Inputs'!$E$41:$AE$44,MATCH($B94,'Multi-Year Inputs'!$D$41:$D$44,0),MATCH(Q$7,'Multi-Year Inputs'!$E$4:$AE$4,0)))</f>
        <v>4673617.4897935251</v>
      </c>
      <c r="R94" s="64">
        <f>IF(R$8=0,0,INDEX('Multi-Year Inputs'!$E$41:$AE$44,MATCH($B94,'Multi-Year Inputs'!$D$41:$D$44,0),MATCH(R$7,'Multi-Year Inputs'!$E$4:$AE$4,0)))</f>
        <v>4673617.4897935251</v>
      </c>
      <c r="S94" s="64">
        <f>IF(S$8=0,0,INDEX('Multi-Year Inputs'!$E$41:$AE$44,MATCH($B94,'Multi-Year Inputs'!$D$41:$D$44,0),MATCH(S$7,'Multi-Year Inputs'!$E$4:$AE$4,0)))</f>
        <v>4673617.4897935251</v>
      </c>
      <c r="T94" s="64">
        <f>IF(T$8=0,0,INDEX('Multi-Year Inputs'!$E$41:$AE$44,MATCH($B94,'Multi-Year Inputs'!$D$41:$D$44,0),MATCH(T$7,'Multi-Year Inputs'!$E$4:$AE$4,0)))</f>
        <v>4673617.4897935251</v>
      </c>
      <c r="U94" s="64">
        <f>IF(U$8=0,0,INDEX('Multi-Year Inputs'!$E$41:$AE$44,MATCH($B94,'Multi-Year Inputs'!$D$41:$D$44,0),MATCH(U$7,'Multi-Year Inputs'!$E$4:$AE$4,0)))</f>
        <v>4673617.4897935251</v>
      </c>
      <c r="V94" s="64">
        <f>IF(V$8=0,0,INDEX('Multi-Year Inputs'!$E$41:$AE$44,MATCH($B94,'Multi-Year Inputs'!$D$41:$D$44,0),MATCH(V$7,'Multi-Year Inputs'!$E$4:$AE$4,0)))</f>
        <v>4673617.4897935251</v>
      </c>
      <c r="W94" s="64">
        <f>IF(W$8=0,0,INDEX('Multi-Year Inputs'!$E$41:$AE$44,MATCH($B94,'Multi-Year Inputs'!$D$41:$D$44,0),MATCH(W$7,'Multi-Year Inputs'!$E$4:$AE$4,0)))</f>
        <v>4673617.4897935251</v>
      </c>
      <c r="X94" s="64">
        <f>IF(X$8=0,0,INDEX('Multi-Year Inputs'!$E$41:$AE$44,MATCH($B94,'Multi-Year Inputs'!$D$41:$D$44,0),MATCH(X$7,'Multi-Year Inputs'!$E$4:$AE$4,0)))</f>
        <v>4673617.4897935251</v>
      </c>
      <c r="Y94" s="64">
        <f>IF(Y$8=0,0,INDEX('Multi-Year Inputs'!$E$41:$AE$44,MATCH($B94,'Multi-Year Inputs'!$D$41:$D$44,0),MATCH(Y$7,'Multi-Year Inputs'!$E$4:$AE$4,0)))</f>
        <v>4673617.4897935251</v>
      </c>
      <c r="Z94" s="64">
        <f>IF(Z$8=0,0,INDEX('Multi-Year Inputs'!$E$41:$AE$44,MATCH($B94,'Multi-Year Inputs'!$D$41:$D$44,0),MATCH(Z$7,'Multi-Year Inputs'!$E$4:$AE$4,0)))</f>
        <v>4673617.4897935251</v>
      </c>
      <c r="AA94" s="64">
        <f>IF(AA$8=0,0,INDEX('Multi-Year Inputs'!$E$41:$AE$44,MATCH($B94,'Multi-Year Inputs'!$D$41:$D$44,0),MATCH(AA$7,'Multi-Year Inputs'!$E$4:$AE$4,0)))</f>
        <v>4673617.4897935251</v>
      </c>
      <c r="AB94" s="64">
        <f>IF(AB$8=0,0,INDEX('Multi-Year Inputs'!$E$41:$AE$44,MATCH($B94,'Multi-Year Inputs'!$D$41:$D$44,0),MATCH(AB$7,'Multi-Year Inputs'!$E$4:$AE$4,0)))</f>
        <v>4673617.4897935251</v>
      </c>
      <c r="AC94" s="64">
        <f>IF(AC$8=0,0,INDEX('Multi-Year Inputs'!$E$41:$AE$44,MATCH($B94,'Multi-Year Inputs'!$D$41:$D$44,0),MATCH(AC$7,'Multi-Year Inputs'!$E$4:$AE$4,0)))</f>
        <v>4673617.4897935251</v>
      </c>
      <c r="AD94" s="64">
        <f>IF(AD$8=0,0,INDEX('Multi-Year Inputs'!$E$41:$AE$44,MATCH($B94,'Multi-Year Inputs'!$D$41:$D$44,0),MATCH(AD$7,'Multi-Year Inputs'!$E$4:$AE$4,0)))</f>
        <v>4673617.4897935251</v>
      </c>
      <c r="AE94" s="64">
        <f>IF(AE$8=0,0,INDEX('Multi-Year Inputs'!$E$41:$AE$44,MATCH($B94,'Multi-Year Inputs'!$D$41:$D$44,0),MATCH(AE$7,'Multi-Year Inputs'!$E$4:$AE$4,0)))</f>
        <v>4673617.4897935251</v>
      </c>
      <c r="AF94" s="64">
        <f>IF(AF$8=0,0,INDEX('Multi-Year Inputs'!$E$41:$AE$44,MATCH($B94,'Multi-Year Inputs'!$D$41:$D$44,0),MATCH(AF$7,'Multi-Year Inputs'!$E$4:$AE$4,0)))</f>
        <v>4673617.4897935251</v>
      </c>
      <c r="AG94" s="64">
        <f>IF(AG$8=0,0,INDEX('Multi-Year Inputs'!$E$41:$AE$44,MATCH($B94,'Multi-Year Inputs'!$D$41:$D$44,0),MATCH(AG$7,'Multi-Year Inputs'!$E$4:$AE$4,0)))</f>
        <v>4673617.4897935251</v>
      </c>
      <c r="AH94" s="64"/>
      <c r="AI94" s="64">
        <f t="shared" ref="AI94:AI96" si="86">SUM(G94:AG94)</f>
        <v>121514054.73463164</v>
      </c>
      <c r="AJ94" s="64"/>
      <c r="AM94" s="71">
        <f>IF(AM$8=0,0,INDEX('Multi-Year Inputs'!$E$41:$AE$44,MATCH($B94,'Multi-Year Inputs'!$D$41:$D$44,0),MATCH(AM$7,'Multi-Year Inputs'!$E$4:$AE$4,0)))</f>
        <v>0</v>
      </c>
      <c r="AN94" s="71">
        <f>IF(AN$8=0,0,INDEX('Multi-Year Inputs'!$E$41:$AE$44,MATCH($B94,'Multi-Year Inputs'!$D$41:$D$44,0),MATCH(AN$7,'Multi-Year Inputs'!$E$4:$AE$4,0)))</f>
        <v>4673617.4897935251</v>
      </c>
      <c r="AO94" s="71">
        <f>IF(AO$8=0,0,INDEX('Multi-Year Inputs'!$E$41:$AE$44,MATCH($B94,'Multi-Year Inputs'!$D$41:$D$44,0),MATCH(AO$7,'Multi-Year Inputs'!$E$4:$AE$4,0)))</f>
        <v>4673617.4897935251</v>
      </c>
      <c r="AP94" s="71">
        <f>IF(AP$8=0,0,INDEX('Multi-Year Inputs'!$E$41:$AE$44,MATCH($B94,'Multi-Year Inputs'!$D$41:$D$44,0),MATCH(AP$7,'Multi-Year Inputs'!$E$4:$AE$4,0)))</f>
        <v>4673617.4897935251</v>
      </c>
      <c r="AQ94" s="71">
        <f>IF(AQ$8=0,0,INDEX('Multi-Year Inputs'!$E$41:$AE$44,MATCH($B94,'Multi-Year Inputs'!$D$41:$D$44,0),MATCH(AQ$7,'Multi-Year Inputs'!$E$4:$AE$4,0)))</f>
        <v>4673617.4897935251</v>
      </c>
      <c r="AR94" s="71">
        <f>IF(AR$8=0,0,INDEX('Multi-Year Inputs'!$E$41:$AE$44,MATCH($B94,'Multi-Year Inputs'!$D$41:$D$44,0),MATCH(AR$7,'Multi-Year Inputs'!$E$4:$AE$4,0)))</f>
        <v>4673617.4897935251</v>
      </c>
      <c r="AS94" s="71">
        <f>IF(AS$8=0,0,INDEX('Multi-Year Inputs'!$E$41:$AE$44,MATCH($B94,'Multi-Year Inputs'!$D$41:$D$44,0),MATCH(AS$7,'Multi-Year Inputs'!$E$4:$AE$4,0)))</f>
        <v>4673617.4897935251</v>
      </c>
      <c r="AT94" s="71">
        <f>IF(AT$8=0,0,INDEX('Multi-Year Inputs'!$E$41:$AE$44,MATCH($B94,'Multi-Year Inputs'!$D$41:$D$44,0),MATCH(AT$7,'Multi-Year Inputs'!$E$4:$AE$4,0)))</f>
        <v>4673617.4897935251</v>
      </c>
      <c r="AU94" s="71">
        <f>IF(AU$8=0,0,INDEX('Multi-Year Inputs'!$E$41:$AE$44,MATCH($B94,'Multi-Year Inputs'!$D$41:$D$44,0),MATCH(AU$7,'Multi-Year Inputs'!$E$4:$AE$4,0)))</f>
        <v>4673617.4897935251</v>
      </c>
      <c r="AV94" s="71">
        <f>IF(AV$8=0,0,INDEX('Multi-Year Inputs'!$E$41:$AE$44,MATCH($B94,'Multi-Year Inputs'!$D$41:$D$44,0),MATCH(AV$7,'Multi-Year Inputs'!$E$4:$AE$4,0)))</f>
        <v>4673617.4897935251</v>
      </c>
      <c r="AW94" s="71">
        <f>IF(AW$8=0,0,INDEX('Multi-Year Inputs'!$E$41:$AE$44,MATCH($B94,'Multi-Year Inputs'!$D$41:$D$44,0),MATCH(AW$7,'Multi-Year Inputs'!$E$4:$AE$4,0)))</f>
        <v>4673617.4897935251</v>
      </c>
      <c r="AX94" s="71">
        <f>IF(AX$8=0,0,INDEX('Multi-Year Inputs'!$E$41:$AE$44,MATCH($B94,'Multi-Year Inputs'!$D$41:$D$44,0),MATCH(AX$7,'Multi-Year Inputs'!$E$4:$AE$4,0)))</f>
        <v>4673617.4897935251</v>
      </c>
      <c r="AY94" s="71">
        <f>IF(AY$8=0,0,INDEX('Multi-Year Inputs'!$E$41:$AE$44,MATCH($B94,'Multi-Year Inputs'!$D$41:$D$44,0),MATCH(AY$7,'Multi-Year Inputs'!$E$4:$AE$4,0)))</f>
        <v>4673617.4897935251</v>
      </c>
      <c r="AZ94" s="71">
        <f>IF(AZ$8=0,0,INDEX('Multi-Year Inputs'!$E$41:$AE$44,MATCH($B94,'Multi-Year Inputs'!$D$41:$D$44,0),MATCH(AZ$7,'Multi-Year Inputs'!$E$4:$AE$4,0)))</f>
        <v>4673617.4897935251</v>
      </c>
      <c r="BA94" s="71">
        <f>IF(BA$8=0,0,INDEX('Multi-Year Inputs'!$E$41:$AE$44,MATCH($B94,'Multi-Year Inputs'!$D$41:$D$44,0),MATCH(BA$7,'Multi-Year Inputs'!$E$4:$AE$4,0)))</f>
        <v>4673617.4897935251</v>
      </c>
      <c r="BB94" s="71">
        <f>IF(BB$8=0,0,INDEX('Multi-Year Inputs'!$E$41:$AE$44,MATCH($B94,'Multi-Year Inputs'!$D$41:$D$44,0),MATCH(BB$7,'Multi-Year Inputs'!$E$4:$AE$4,0)))</f>
        <v>4673617.4897935251</v>
      </c>
      <c r="BC94" s="71">
        <f>IF(BC$8=0,0,INDEX('Multi-Year Inputs'!$E$41:$AE$44,MATCH($B94,'Multi-Year Inputs'!$D$41:$D$44,0),MATCH(BC$7,'Multi-Year Inputs'!$E$4:$AE$4,0)))</f>
        <v>4673617.4897935251</v>
      </c>
      <c r="BD94" s="71">
        <f>IF(BD$8=0,0,INDEX('Multi-Year Inputs'!$E$41:$AE$44,MATCH($B94,'Multi-Year Inputs'!$D$41:$D$44,0),MATCH(BD$7,'Multi-Year Inputs'!$E$4:$AE$4,0)))</f>
        <v>4673617.4897935251</v>
      </c>
      <c r="BE94" s="71">
        <f>IF(BE$8=0,0,INDEX('Multi-Year Inputs'!$E$41:$AE$44,MATCH($B94,'Multi-Year Inputs'!$D$41:$D$44,0),MATCH(BE$7,'Multi-Year Inputs'!$E$4:$AE$4,0)))</f>
        <v>4673617.4897935251</v>
      </c>
      <c r="BF94" s="71">
        <f>IF(BF$8=0,0,INDEX('Multi-Year Inputs'!$E$41:$AE$44,MATCH($B94,'Multi-Year Inputs'!$D$41:$D$44,0),MATCH(BF$7,'Multi-Year Inputs'!$E$4:$AE$4,0)))</f>
        <v>4673617.4897935251</v>
      </c>
      <c r="BG94" s="71">
        <f>IF(BG$8=0,0,INDEX('Multi-Year Inputs'!$E$41:$AE$44,MATCH($B94,'Multi-Year Inputs'!$D$41:$D$44,0),MATCH(BG$7,'Multi-Year Inputs'!$E$4:$AE$4,0)))</f>
        <v>4673617.4897935251</v>
      </c>
      <c r="BH94" s="71">
        <f>IF(BH$8=0,0,INDEX('Multi-Year Inputs'!$E$41:$AE$44,MATCH($B94,'Multi-Year Inputs'!$D$41:$D$44,0),MATCH(BH$7,'Multi-Year Inputs'!$E$4:$AE$4,0)))</f>
        <v>4673617.4897935251</v>
      </c>
      <c r="BI94" s="71">
        <f>IF(BI$8=0,0,INDEX('Multi-Year Inputs'!$E$41:$AE$44,MATCH($B94,'Multi-Year Inputs'!$D$41:$D$44,0),MATCH(BI$7,'Multi-Year Inputs'!$E$4:$AE$4,0)))</f>
        <v>4673617.4897935251</v>
      </c>
      <c r="BJ94" s="71">
        <f>IF(BJ$8=0,0,INDEX('Multi-Year Inputs'!$E$41:$AE$44,MATCH($B94,'Multi-Year Inputs'!$D$41:$D$44,0),MATCH(BJ$7,'Multi-Year Inputs'!$E$4:$AE$4,0)))</f>
        <v>4673617.4897935251</v>
      </c>
      <c r="BK94" s="71">
        <f>IF(BK$8=0,0,INDEX('Multi-Year Inputs'!$E$41:$AE$44,MATCH($B94,'Multi-Year Inputs'!$D$41:$D$44,0),MATCH(BK$7,'Multi-Year Inputs'!$E$4:$AE$4,0)))</f>
        <v>4673617.4897935251</v>
      </c>
      <c r="BL94" s="71">
        <f>IF(BL$8=0,0,INDEX('Multi-Year Inputs'!$E$41:$AE$44,MATCH($B94,'Multi-Year Inputs'!$D$41:$D$44,0),MATCH(BL$7,'Multi-Year Inputs'!$E$4:$AE$4,0)))</f>
        <v>4673617.4897935251</v>
      </c>
      <c r="BM94" s="71">
        <f>IF(BM$8=0,0,INDEX('Multi-Year Inputs'!$E$41:$AE$44,MATCH($B94,'Multi-Year Inputs'!$D$41:$D$44,0),MATCH(BM$7,'Multi-Year Inputs'!$E$4:$AE$4,0)))</f>
        <v>4673617.4897935251</v>
      </c>
      <c r="BN94" s="72"/>
      <c r="BO94" s="72">
        <f>SUM(AM94:BM94)</f>
        <v>121514054.73463164</v>
      </c>
      <c r="BP94" s="72"/>
      <c r="BS94" s="76" t="s">
        <v>91</v>
      </c>
      <c r="BT94" s="51" t="s">
        <v>17</v>
      </c>
    </row>
    <row r="95" spans="1:72" x14ac:dyDescent="0.25">
      <c r="A95" s="246"/>
      <c r="B95" s="243" t="str">
        <f t="shared" si="85"/>
        <v>Low-Income</v>
      </c>
      <c r="C95" s="243" t="str">
        <f>C94</f>
        <v>Sales</v>
      </c>
      <c r="D95" s="244" t="s">
        <v>108</v>
      </c>
      <c r="E95" s="85" t="s">
        <v>108</v>
      </c>
      <c r="F95" s="84" t="s">
        <v>195</v>
      </c>
      <c r="G95" s="64">
        <f ca="1">IF($C$4=Lookups!$D$40,SUM(INDIRECT("'Yr1'!"&amp;ADDRESS(ROW(G95),COLUMN(G95))),INDIRECT("'Yr2'!"&amp;ADDRESS(ROW(G95),COLUMN(G95))),INDIRECT("'Yr3'!"&amp;ADDRESS(ROW(G95),COLUMN(G95)))),
IF(G91&gt;0,SUMIFS('EE Inputs'!$I$9:$I$32,'EE Inputs'!$C$9:$C$32,$G$6,'EE Inputs'!$D$9:$D$32,$C$4,'EE Inputs'!$E$9:$E$32,$B95)/SUMIFS('EE Inputs'!$V$9:$V$32,'EE Inputs'!$C$9:$C$32,$G$6,'EE Inputs'!$D$9:$D$32,$C$4,'EE Inputs'!$E$9:$E$32,$B95)*10,0))</f>
        <v>0</v>
      </c>
      <c r="H95" s="64">
        <f ca="1">IF($C$4=Lookups!$D$40,SUM(INDIRECT("'Yr1'!"&amp;ADDRESS(ROW(H95),COLUMN(H95))),INDIRECT("'Yr2'!"&amp;ADDRESS(ROW(H95),COLUMN(H95))),INDIRECT("'Yr3'!"&amp;ADDRESS(ROW(H95),COLUMN(H95)))),
IF(H91&gt;0,SUMIFS('EE Inputs'!$I$9:$I$32,'EE Inputs'!$C$9:$C$32,$G$6,'EE Inputs'!$D$9:$D$32,$C$4,'EE Inputs'!$E$9:$E$32,$B95)/SUMIFS('EE Inputs'!$V$9:$V$32,'EE Inputs'!$C$9:$C$32,$G$6,'EE Inputs'!$D$9:$D$32,$C$4,'EE Inputs'!$E$9:$E$32,$B95)*10,0))</f>
        <v>90059.135414076416</v>
      </c>
      <c r="I95" s="64">
        <f ca="1">IF($C$4=Lookups!$D$40,SUM(INDIRECT("'Yr1'!"&amp;ADDRESS(ROW(I95),COLUMN(I95))),INDIRECT("'Yr2'!"&amp;ADDRESS(ROW(I95),COLUMN(I95))),INDIRECT("'Yr3'!"&amp;ADDRESS(ROW(I95),COLUMN(I95)))),
IF(I91&gt;0,SUMIFS('EE Inputs'!$I$9:$I$32,'EE Inputs'!$C$9:$C$32,$G$6,'EE Inputs'!$D$9:$D$32,$C$4,'EE Inputs'!$E$9:$E$32,$B95)/SUMIFS('EE Inputs'!$V$9:$V$32,'EE Inputs'!$C$9:$C$32,$G$6,'EE Inputs'!$D$9:$D$32,$C$4,'EE Inputs'!$E$9:$E$32,$B95)*10,0))</f>
        <v>90059.135414076416</v>
      </c>
      <c r="J95" s="64">
        <f ca="1">IF($C$4=Lookups!$D$40,SUM(INDIRECT("'Yr1'!"&amp;ADDRESS(ROW(J95),COLUMN(J95))),INDIRECT("'Yr2'!"&amp;ADDRESS(ROW(J95),COLUMN(J95))),INDIRECT("'Yr3'!"&amp;ADDRESS(ROW(J95),COLUMN(J95)))),
IF(J91&gt;0,SUMIFS('EE Inputs'!$I$9:$I$32,'EE Inputs'!$C$9:$C$32,$G$6,'EE Inputs'!$D$9:$D$32,$C$4,'EE Inputs'!$E$9:$E$32,$B95)/SUMIFS('EE Inputs'!$V$9:$V$32,'EE Inputs'!$C$9:$C$32,$G$6,'EE Inputs'!$D$9:$D$32,$C$4,'EE Inputs'!$E$9:$E$32,$B95)*10,0))</f>
        <v>90059.135414076416</v>
      </c>
      <c r="K95" s="64">
        <f ca="1">IF($C$4=Lookups!$D$40,SUM(INDIRECT("'Yr1'!"&amp;ADDRESS(ROW(K95),COLUMN(K95))),INDIRECT("'Yr2'!"&amp;ADDRESS(ROW(K95),COLUMN(K95))),INDIRECT("'Yr3'!"&amp;ADDRESS(ROW(K95),COLUMN(K95)))),
IF(K91&gt;0,SUMIFS('EE Inputs'!$I$9:$I$32,'EE Inputs'!$C$9:$C$32,$G$6,'EE Inputs'!$D$9:$D$32,$C$4,'EE Inputs'!$E$9:$E$32,$B95)/SUMIFS('EE Inputs'!$V$9:$V$32,'EE Inputs'!$C$9:$C$32,$G$6,'EE Inputs'!$D$9:$D$32,$C$4,'EE Inputs'!$E$9:$E$32,$B95)*10,0))</f>
        <v>90059.135414076416</v>
      </c>
      <c r="L95" s="64">
        <f ca="1">IF($C$4=Lookups!$D$40,SUM(INDIRECT("'Yr1'!"&amp;ADDRESS(ROW(L95),COLUMN(L95))),INDIRECT("'Yr2'!"&amp;ADDRESS(ROW(L95),COLUMN(L95))),INDIRECT("'Yr3'!"&amp;ADDRESS(ROW(L95),COLUMN(L95)))),
IF(L91&gt;0,SUMIFS('EE Inputs'!$I$9:$I$32,'EE Inputs'!$C$9:$C$32,$G$6,'EE Inputs'!$D$9:$D$32,$C$4,'EE Inputs'!$E$9:$E$32,$B95)/SUMIFS('EE Inputs'!$V$9:$V$32,'EE Inputs'!$C$9:$C$32,$G$6,'EE Inputs'!$D$9:$D$32,$C$4,'EE Inputs'!$E$9:$E$32,$B95)*10,0))</f>
        <v>90059.135414076416</v>
      </c>
      <c r="M95" s="64">
        <f ca="1">IF($C$4=Lookups!$D$40,SUM(INDIRECT("'Yr1'!"&amp;ADDRESS(ROW(M95),COLUMN(M95))),INDIRECT("'Yr2'!"&amp;ADDRESS(ROW(M95),COLUMN(M95))),INDIRECT("'Yr3'!"&amp;ADDRESS(ROW(M95),COLUMN(M95)))),
IF(M91&gt;0,SUMIFS('EE Inputs'!$I$9:$I$32,'EE Inputs'!$C$9:$C$32,$G$6,'EE Inputs'!$D$9:$D$32,$C$4,'EE Inputs'!$E$9:$E$32,$B95)/SUMIFS('EE Inputs'!$V$9:$V$32,'EE Inputs'!$C$9:$C$32,$G$6,'EE Inputs'!$D$9:$D$32,$C$4,'EE Inputs'!$E$9:$E$32,$B95)*10,0))</f>
        <v>90059.135414076416</v>
      </c>
      <c r="N95" s="64">
        <f ca="1">IF($C$4=Lookups!$D$40,SUM(INDIRECT("'Yr1'!"&amp;ADDRESS(ROW(N95),COLUMN(N95))),INDIRECT("'Yr2'!"&amp;ADDRESS(ROW(N95),COLUMN(N95))),INDIRECT("'Yr3'!"&amp;ADDRESS(ROW(N95),COLUMN(N95)))),
IF(N91&gt;0,SUMIFS('EE Inputs'!$I$9:$I$32,'EE Inputs'!$C$9:$C$32,$G$6,'EE Inputs'!$D$9:$D$32,$C$4,'EE Inputs'!$E$9:$E$32,$B95)/SUMIFS('EE Inputs'!$V$9:$V$32,'EE Inputs'!$C$9:$C$32,$G$6,'EE Inputs'!$D$9:$D$32,$C$4,'EE Inputs'!$E$9:$E$32,$B95)*10,0))</f>
        <v>90059.135414076416</v>
      </c>
      <c r="O95" s="64">
        <f ca="1">IF($C$4=Lookups!$D$40,SUM(INDIRECT("'Yr1'!"&amp;ADDRESS(ROW(O95),COLUMN(O95))),INDIRECT("'Yr2'!"&amp;ADDRESS(ROW(O95),COLUMN(O95))),INDIRECT("'Yr3'!"&amp;ADDRESS(ROW(O95),COLUMN(O95)))),
IF(O91&gt;0,SUMIFS('EE Inputs'!$I$9:$I$32,'EE Inputs'!$C$9:$C$32,$G$6,'EE Inputs'!$D$9:$D$32,$C$4,'EE Inputs'!$E$9:$E$32,$B95)/SUMIFS('EE Inputs'!$V$9:$V$32,'EE Inputs'!$C$9:$C$32,$G$6,'EE Inputs'!$D$9:$D$32,$C$4,'EE Inputs'!$E$9:$E$32,$B95)*10,0))</f>
        <v>90059.135414076416</v>
      </c>
      <c r="P95" s="64">
        <f ca="1">IF($C$4=Lookups!$D$40,SUM(INDIRECT("'Yr1'!"&amp;ADDRESS(ROW(P95),COLUMN(P95))),INDIRECT("'Yr2'!"&amp;ADDRESS(ROW(P95),COLUMN(P95))),INDIRECT("'Yr3'!"&amp;ADDRESS(ROW(P95),COLUMN(P95)))),
IF(P91&gt;0,SUMIFS('EE Inputs'!$I$9:$I$32,'EE Inputs'!$C$9:$C$32,$G$6,'EE Inputs'!$D$9:$D$32,$C$4,'EE Inputs'!$E$9:$E$32,$B95)/SUMIFS('EE Inputs'!$V$9:$V$32,'EE Inputs'!$C$9:$C$32,$G$6,'EE Inputs'!$D$9:$D$32,$C$4,'EE Inputs'!$E$9:$E$32,$B95)*10,0))</f>
        <v>90059.135414076416</v>
      </c>
      <c r="Q95" s="64">
        <f ca="1">IF($C$4=Lookups!$D$40,SUM(INDIRECT("'Yr1'!"&amp;ADDRESS(ROW(Q95),COLUMN(Q95))),INDIRECT("'Yr2'!"&amp;ADDRESS(ROW(Q95),COLUMN(Q95))),INDIRECT("'Yr3'!"&amp;ADDRESS(ROW(Q95),COLUMN(Q95)))),
IF(Q91&gt;0,SUMIFS('EE Inputs'!$I$9:$I$32,'EE Inputs'!$C$9:$C$32,$G$6,'EE Inputs'!$D$9:$D$32,$C$4,'EE Inputs'!$E$9:$E$32,$B95)/SUMIFS('EE Inputs'!$V$9:$V$32,'EE Inputs'!$C$9:$C$32,$G$6,'EE Inputs'!$D$9:$D$32,$C$4,'EE Inputs'!$E$9:$E$32,$B95)*10,0))</f>
        <v>90059.135414076416</v>
      </c>
      <c r="R95" s="64">
        <f ca="1">IF($C$4=Lookups!$D$40,SUM(INDIRECT("'Yr1'!"&amp;ADDRESS(ROW(R95),COLUMN(R95))),INDIRECT("'Yr2'!"&amp;ADDRESS(ROW(R95),COLUMN(R95))),INDIRECT("'Yr3'!"&amp;ADDRESS(ROW(R95),COLUMN(R95)))),
IF(R91&gt;0,SUMIFS('EE Inputs'!$I$9:$I$32,'EE Inputs'!$C$9:$C$32,$G$6,'EE Inputs'!$D$9:$D$32,$C$4,'EE Inputs'!$E$9:$E$32,$B95)/SUMIFS('EE Inputs'!$V$9:$V$32,'EE Inputs'!$C$9:$C$32,$G$6,'EE Inputs'!$D$9:$D$32,$C$4,'EE Inputs'!$E$9:$E$32,$B95)*10,0))</f>
        <v>90059.135414076416</v>
      </c>
      <c r="S95" s="64">
        <f ca="1">IF($C$4=Lookups!$D$40,SUM(INDIRECT("'Yr1'!"&amp;ADDRESS(ROW(S95),COLUMN(S95))),INDIRECT("'Yr2'!"&amp;ADDRESS(ROW(S95),COLUMN(S95))),INDIRECT("'Yr3'!"&amp;ADDRESS(ROW(S95),COLUMN(S95)))),
IF(S91&gt;0,SUMIFS('EE Inputs'!$I$9:$I$32,'EE Inputs'!$C$9:$C$32,$G$6,'EE Inputs'!$D$9:$D$32,$C$4,'EE Inputs'!$E$9:$E$32,$B95)/SUMIFS('EE Inputs'!$V$9:$V$32,'EE Inputs'!$C$9:$C$32,$G$6,'EE Inputs'!$D$9:$D$32,$C$4,'EE Inputs'!$E$9:$E$32,$B95)*10,0))</f>
        <v>90059.135414076416</v>
      </c>
      <c r="T95" s="64">
        <f ca="1">IF($C$4=Lookups!$D$40,SUM(INDIRECT("'Yr1'!"&amp;ADDRESS(ROW(T95),COLUMN(T95))),INDIRECT("'Yr2'!"&amp;ADDRESS(ROW(T95),COLUMN(T95))),INDIRECT("'Yr3'!"&amp;ADDRESS(ROW(T95),COLUMN(T95)))),
IF(T91&gt;0,SUMIFS('EE Inputs'!$I$9:$I$32,'EE Inputs'!$C$9:$C$32,$G$6,'EE Inputs'!$D$9:$D$32,$C$4,'EE Inputs'!$E$9:$E$32,$B95)/SUMIFS('EE Inputs'!$V$9:$V$32,'EE Inputs'!$C$9:$C$32,$G$6,'EE Inputs'!$D$9:$D$32,$C$4,'EE Inputs'!$E$9:$E$32,$B95)*10,0))</f>
        <v>90059.135414076416</v>
      </c>
      <c r="U95" s="64">
        <f ca="1">IF($C$4=Lookups!$D$40,SUM(INDIRECT("'Yr1'!"&amp;ADDRESS(ROW(U95),COLUMN(U95))),INDIRECT("'Yr2'!"&amp;ADDRESS(ROW(U95),COLUMN(U95))),INDIRECT("'Yr3'!"&amp;ADDRESS(ROW(U95),COLUMN(U95)))),
IF(U91&gt;0,SUMIFS('EE Inputs'!$I$9:$I$32,'EE Inputs'!$C$9:$C$32,$G$6,'EE Inputs'!$D$9:$D$32,$C$4,'EE Inputs'!$E$9:$E$32,$B95)/SUMIFS('EE Inputs'!$V$9:$V$32,'EE Inputs'!$C$9:$C$32,$G$6,'EE Inputs'!$D$9:$D$32,$C$4,'EE Inputs'!$E$9:$E$32,$B95)*10,0))</f>
        <v>90059.135414076416</v>
      </c>
      <c r="V95" s="64">
        <f ca="1">IF($C$4=Lookups!$D$40,SUM(INDIRECT("'Yr1'!"&amp;ADDRESS(ROW(V95),COLUMN(V95))),INDIRECT("'Yr2'!"&amp;ADDRESS(ROW(V95),COLUMN(V95))),INDIRECT("'Yr3'!"&amp;ADDRESS(ROW(V95),COLUMN(V95)))),
IF(V91&gt;0,SUMIFS('EE Inputs'!$I$9:$I$32,'EE Inputs'!$C$9:$C$32,$G$6,'EE Inputs'!$D$9:$D$32,$C$4,'EE Inputs'!$E$9:$E$32,$B95)/SUMIFS('EE Inputs'!$V$9:$V$32,'EE Inputs'!$C$9:$C$32,$G$6,'EE Inputs'!$D$9:$D$32,$C$4,'EE Inputs'!$E$9:$E$32,$B95)*10,0))</f>
        <v>90059.135414076416</v>
      </c>
      <c r="W95" s="64">
        <f ca="1">IF($C$4=Lookups!$D$40,SUM(INDIRECT("'Yr1'!"&amp;ADDRESS(ROW(W95),COLUMN(W95))),INDIRECT("'Yr2'!"&amp;ADDRESS(ROW(W95),COLUMN(W95))),INDIRECT("'Yr3'!"&amp;ADDRESS(ROW(W95),COLUMN(W95)))),
IF(W91&gt;0,SUMIFS('EE Inputs'!$I$9:$I$32,'EE Inputs'!$C$9:$C$32,$G$6,'EE Inputs'!$D$9:$D$32,$C$4,'EE Inputs'!$E$9:$E$32,$B95)/SUMIFS('EE Inputs'!$V$9:$V$32,'EE Inputs'!$C$9:$C$32,$G$6,'EE Inputs'!$D$9:$D$32,$C$4,'EE Inputs'!$E$9:$E$32,$B95)*10,0))</f>
        <v>90059.135414076416</v>
      </c>
      <c r="X95" s="64">
        <f ca="1">IF($C$4=Lookups!$D$40,SUM(INDIRECT("'Yr1'!"&amp;ADDRESS(ROW(X95),COLUMN(X95))),INDIRECT("'Yr2'!"&amp;ADDRESS(ROW(X95),COLUMN(X95))),INDIRECT("'Yr3'!"&amp;ADDRESS(ROW(X95),COLUMN(X95)))),
IF(X91&gt;0,SUMIFS('EE Inputs'!$I$9:$I$32,'EE Inputs'!$C$9:$C$32,$G$6,'EE Inputs'!$D$9:$D$32,$C$4,'EE Inputs'!$E$9:$E$32,$B95)/SUMIFS('EE Inputs'!$V$9:$V$32,'EE Inputs'!$C$9:$C$32,$G$6,'EE Inputs'!$D$9:$D$32,$C$4,'EE Inputs'!$E$9:$E$32,$B95)*10,0))</f>
        <v>90059.135414076416</v>
      </c>
      <c r="Y95" s="64">
        <f ca="1">IF($C$4=Lookups!$D$40,SUM(INDIRECT("'Yr1'!"&amp;ADDRESS(ROW(Y95),COLUMN(Y95))),INDIRECT("'Yr2'!"&amp;ADDRESS(ROW(Y95),COLUMN(Y95))),INDIRECT("'Yr3'!"&amp;ADDRESS(ROW(Y95),COLUMN(Y95)))),
IF(Y91&gt;0,SUMIFS('EE Inputs'!$I$9:$I$32,'EE Inputs'!$C$9:$C$32,$G$6,'EE Inputs'!$D$9:$D$32,$C$4,'EE Inputs'!$E$9:$E$32,$B95)/SUMIFS('EE Inputs'!$V$9:$V$32,'EE Inputs'!$C$9:$C$32,$G$6,'EE Inputs'!$D$9:$D$32,$C$4,'EE Inputs'!$E$9:$E$32,$B95)*10,0))</f>
        <v>90059.135414076416</v>
      </c>
      <c r="Z95" s="64">
        <f ca="1">IF($C$4=Lookups!$D$40,SUM(INDIRECT("'Yr1'!"&amp;ADDRESS(ROW(Z95),COLUMN(Z95))),INDIRECT("'Yr2'!"&amp;ADDRESS(ROW(Z95),COLUMN(Z95))),INDIRECT("'Yr3'!"&amp;ADDRESS(ROW(Z95),COLUMN(Z95)))),
IF(Z91&gt;0,SUMIFS('EE Inputs'!$I$9:$I$32,'EE Inputs'!$C$9:$C$32,$G$6,'EE Inputs'!$D$9:$D$32,$C$4,'EE Inputs'!$E$9:$E$32,$B95)/SUMIFS('EE Inputs'!$V$9:$V$32,'EE Inputs'!$C$9:$C$32,$G$6,'EE Inputs'!$D$9:$D$32,$C$4,'EE Inputs'!$E$9:$E$32,$B95)*10,0))</f>
        <v>90059.135414076416</v>
      </c>
      <c r="AA95" s="64">
        <f ca="1">IF($C$4=Lookups!$D$40,SUM(INDIRECT("'Yr1'!"&amp;ADDRESS(ROW(AA95),COLUMN(AA95))),INDIRECT("'Yr2'!"&amp;ADDRESS(ROW(AA95),COLUMN(AA95))),INDIRECT("'Yr3'!"&amp;ADDRESS(ROW(AA95),COLUMN(AA95)))),
IF(AA91&gt;0,SUMIFS('EE Inputs'!$I$9:$I$32,'EE Inputs'!$C$9:$C$32,$G$6,'EE Inputs'!$D$9:$D$32,$C$4,'EE Inputs'!$E$9:$E$32,$B95)/SUMIFS('EE Inputs'!$V$9:$V$32,'EE Inputs'!$C$9:$C$32,$G$6,'EE Inputs'!$D$9:$D$32,$C$4,'EE Inputs'!$E$9:$E$32,$B95)*10,0))</f>
        <v>90059.135414076416</v>
      </c>
      <c r="AB95" s="64">
        <f ca="1">IF($C$4=Lookups!$D$40,SUM(INDIRECT("'Yr1'!"&amp;ADDRESS(ROW(AB95),COLUMN(AB95))),INDIRECT("'Yr2'!"&amp;ADDRESS(ROW(AB95),COLUMN(AB95))),INDIRECT("'Yr3'!"&amp;ADDRESS(ROW(AB95),COLUMN(AB95)))),
IF(AB91&gt;0,SUMIFS('EE Inputs'!$I$9:$I$32,'EE Inputs'!$C$9:$C$32,$G$6,'EE Inputs'!$D$9:$D$32,$C$4,'EE Inputs'!$E$9:$E$32,$B95)/SUMIFS('EE Inputs'!$V$9:$V$32,'EE Inputs'!$C$9:$C$32,$G$6,'EE Inputs'!$D$9:$D$32,$C$4,'EE Inputs'!$E$9:$E$32,$B95)*10,0))</f>
        <v>0</v>
      </c>
      <c r="AC95" s="64">
        <f ca="1">IF($C$4=Lookups!$D$40,SUM(INDIRECT("'Yr1'!"&amp;ADDRESS(ROW(AC95),COLUMN(AC95))),INDIRECT("'Yr2'!"&amp;ADDRESS(ROW(AC95),COLUMN(AC95))),INDIRECT("'Yr3'!"&amp;ADDRESS(ROW(AC95),COLUMN(AC95)))),
IF(AC91&gt;0,SUMIFS('EE Inputs'!$I$9:$I$32,'EE Inputs'!$C$9:$C$32,$G$6,'EE Inputs'!$D$9:$D$32,$C$4,'EE Inputs'!$E$9:$E$32,$B95)/SUMIFS('EE Inputs'!$V$9:$V$32,'EE Inputs'!$C$9:$C$32,$G$6,'EE Inputs'!$D$9:$D$32,$C$4,'EE Inputs'!$E$9:$E$32,$B95)*10,0))</f>
        <v>0</v>
      </c>
      <c r="AD95" s="64">
        <f ca="1">IF($C$4=Lookups!$D$40,SUM(INDIRECT("'Yr1'!"&amp;ADDRESS(ROW(AD95),COLUMN(AD95))),INDIRECT("'Yr2'!"&amp;ADDRESS(ROW(AD95),COLUMN(AD95))),INDIRECT("'Yr3'!"&amp;ADDRESS(ROW(AD95),COLUMN(AD95)))),
IF(AD91&gt;0,SUMIFS('EE Inputs'!$I$9:$I$32,'EE Inputs'!$C$9:$C$32,$G$6,'EE Inputs'!$D$9:$D$32,$C$4,'EE Inputs'!$E$9:$E$32,$B95)/SUMIFS('EE Inputs'!$V$9:$V$32,'EE Inputs'!$C$9:$C$32,$G$6,'EE Inputs'!$D$9:$D$32,$C$4,'EE Inputs'!$E$9:$E$32,$B95)*10,0))</f>
        <v>0</v>
      </c>
      <c r="AE95" s="64">
        <f ca="1">IF($C$4=Lookups!$D$40,SUM(INDIRECT("'Yr1'!"&amp;ADDRESS(ROW(AE95),COLUMN(AE95))),INDIRECT("'Yr2'!"&amp;ADDRESS(ROW(AE95),COLUMN(AE95))),INDIRECT("'Yr3'!"&amp;ADDRESS(ROW(AE95),COLUMN(AE95)))),
IF(AE91&gt;0,SUMIFS('EE Inputs'!$I$9:$I$32,'EE Inputs'!$C$9:$C$32,$G$6,'EE Inputs'!$D$9:$D$32,$C$4,'EE Inputs'!$E$9:$E$32,$B95)/SUMIFS('EE Inputs'!$V$9:$V$32,'EE Inputs'!$C$9:$C$32,$G$6,'EE Inputs'!$D$9:$D$32,$C$4,'EE Inputs'!$E$9:$E$32,$B95)*10,0))</f>
        <v>0</v>
      </c>
      <c r="AF95" s="64">
        <f ca="1">IF($C$4=Lookups!$D$40,SUM(INDIRECT("'Yr1'!"&amp;ADDRESS(ROW(AF95),COLUMN(AF95))),INDIRECT("'Yr2'!"&amp;ADDRESS(ROW(AF95),COLUMN(AF95))),INDIRECT("'Yr3'!"&amp;ADDRESS(ROW(AF95),COLUMN(AF95)))),
IF(AF91&gt;0,SUMIFS('EE Inputs'!$I$9:$I$32,'EE Inputs'!$C$9:$C$32,$G$6,'EE Inputs'!$D$9:$D$32,$C$4,'EE Inputs'!$E$9:$E$32,$B95)/SUMIFS('EE Inputs'!$V$9:$V$32,'EE Inputs'!$C$9:$C$32,$G$6,'EE Inputs'!$D$9:$D$32,$C$4,'EE Inputs'!$E$9:$E$32,$B95)*10,0))</f>
        <v>0</v>
      </c>
      <c r="AG95" s="64">
        <f ca="1">IF($C$4=Lookups!$D$40,SUM(INDIRECT("'Yr1'!"&amp;ADDRESS(ROW(AG95),COLUMN(AG95))),INDIRECT("'Yr2'!"&amp;ADDRESS(ROW(AG95),COLUMN(AG95))),INDIRECT("'Yr3'!"&amp;ADDRESS(ROW(AG95),COLUMN(AG95)))),
IF(AG91&gt;0,SUMIFS('EE Inputs'!$I$9:$I$32,'EE Inputs'!$C$9:$C$32,$G$6,'EE Inputs'!$D$9:$D$32,$C$4,'EE Inputs'!$E$9:$E$32,$B95)/SUMIFS('EE Inputs'!$V$9:$V$32,'EE Inputs'!$C$9:$C$32,$G$6,'EE Inputs'!$D$9:$D$32,$C$4,'EE Inputs'!$E$9:$E$32,$B95)*10,0))</f>
        <v>0</v>
      </c>
      <c r="AH95" s="64"/>
      <c r="AI95" s="64">
        <f t="shared" ca="1" si="86"/>
        <v>1801182.7082815289</v>
      </c>
      <c r="AJ95" s="64"/>
      <c r="AM95" s="71">
        <f ca="1">IF($C$4=Lookups!$D$40,SUM(INDIRECT("'Yr1'!"&amp;ADDRESS(ROW(AM95),COLUMN(AM95))),INDIRECT("'Yr2'!"&amp;ADDRESS(ROW(AM95),COLUMN(AM95))),INDIRECT("'Yr3'!"&amp;ADDRESS(ROW(AM95),COLUMN(AM95)))),
IF(AM91&gt;0,SUMIFS('EE Inputs'!$I$9:$I$32,'EE Inputs'!$C$9:$C$32,$AM$6,'EE Inputs'!$D$9:$D$32,$C$4,'EE Inputs'!$E$9:$E$32,$B95)/SUMIFS('EE Inputs'!$V$9:$V$32,'EE Inputs'!$C$9:$C$32,$AM$6,'EE Inputs'!$D$9:$D$32,$C$4,'EE Inputs'!$E$9:$E$32,$B95)*10,0))</f>
        <v>0</v>
      </c>
      <c r="AN95" s="71">
        <f ca="1">IF($C$4=Lookups!$D$40,SUM(INDIRECT("'Yr1'!"&amp;ADDRESS(ROW(AN95),COLUMN(AN95))),INDIRECT("'Yr2'!"&amp;ADDRESS(ROW(AN95),COLUMN(AN95))),INDIRECT("'Yr3'!"&amp;ADDRESS(ROW(AN95),COLUMN(AN95)))),
IF(AN91&gt;0,SUMIFS('EE Inputs'!$I$9:$I$32,'EE Inputs'!$C$9:$C$32,$AM$6,'EE Inputs'!$D$9:$D$32,$C$4,'EE Inputs'!$E$9:$E$32,$B95)/SUMIFS('EE Inputs'!$V$9:$V$32,'EE Inputs'!$C$9:$C$32,$AM$6,'EE Inputs'!$D$9:$D$32,$C$4,'EE Inputs'!$E$9:$E$32,$B95)*10,0))</f>
        <v>102924.7261875159</v>
      </c>
      <c r="AO95" s="71">
        <f ca="1">IF($C$4=Lookups!$D$40,SUM(INDIRECT("'Yr1'!"&amp;ADDRESS(ROW(AO95),COLUMN(AO95))),INDIRECT("'Yr2'!"&amp;ADDRESS(ROW(AO95),COLUMN(AO95))),INDIRECT("'Yr3'!"&amp;ADDRESS(ROW(AO95),COLUMN(AO95)))),
IF(AO91&gt;0,SUMIFS('EE Inputs'!$I$9:$I$32,'EE Inputs'!$C$9:$C$32,$AM$6,'EE Inputs'!$D$9:$D$32,$C$4,'EE Inputs'!$E$9:$E$32,$B95)/SUMIFS('EE Inputs'!$V$9:$V$32,'EE Inputs'!$C$9:$C$32,$AM$6,'EE Inputs'!$D$9:$D$32,$C$4,'EE Inputs'!$E$9:$E$32,$B95)*10,0))</f>
        <v>102924.7261875159</v>
      </c>
      <c r="AP95" s="71">
        <f ca="1">IF($C$4=Lookups!$D$40,SUM(INDIRECT("'Yr1'!"&amp;ADDRESS(ROW(AP95),COLUMN(AP95))),INDIRECT("'Yr2'!"&amp;ADDRESS(ROW(AP95),COLUMN(AP95))),INDIRECT("'Yr3'!"&amp;ADDRESS(ROW(AP95),COLUMN(AP95)))),
IF(AP91&gt;0,SUMIFS('EE Inputs'!$I$9:$I$32,'EE Inputs'!$C$9:$C$32,$AM$6,'EE Inputs'!$D$9:$D$32,$C$4,'EE Inputs'!$E$9:$E$32,$B95)/SUMIFS('EE Inputs'!$V$9:$V$32,'EE Inputs'!$C$9:$C$32,$AM$6,'EE Inputs'!$D$9:$D$32,$C$4,'EE Inputs'!$E$9:$E$32,$B95)*10,0))</f>
        <v>102924.7261875159</v>
      </c>
      <c r="AQ95" s="71">
        <f ca="1">IF($C$4=Lookups!$D$40,SUM(INDIRECT("'Yr1'!"&amp;ADDRESS(ROW(AQ95),COLUMN(AQ95))),INDIRECT("'Yr2'!"&amp;ADDRESS(ROW(AQ95),COLUMN(AQ95))),INDIRECT("'Yr3'!"&amp;ADDRESS(ROW(AQ95),COLUMN(AQ95)))),
IF(AQ91&gt;0,SUMIFS('EE Inputs'!$I$9:$I$32,'EE Inputs'!$C$9:$C$32,$AM$6,'EE Inputs'!$D$9:$D$32,$C$4,'EE Inputs'!$E$9:$E$32,$B95)/SUMIFS('EE Inputs'!$V$9:$V$32,'EE Inputs'!$C$9:$C$32,$AM$6,'EE Inputs'!$D$9:$D$32,$C$4,'EE Inputs'!$E$9:$E$32,$B95)*10,0))</f>
        <v>102924.7261875159</v>
      </c>
      <c r="AR95" s="71">
        <f ca="1">IF($C$4=Lookups!$D$40,SUM(INDIRECT("'Yr1'!"&amp;ADDRESS(ROW(AR95),COLUMN(AR95))),INDIRECT("'Yr2'!"&amp;ADDRESS(ROW(AR95),COLUMN(AR95))),INDIRECT("'Yr3'!"&amp;ADDRESS(ROW(AR95),COLUMN(AR95)))),
IF(AR91&gt;0,SUMIFS('EE Inputs'!$I$9:$I$32,'EE Inputs'!$C$9:$C$32,$AM$6,'EE Inputs'!$D$9:$D$32,$C$4,'EE Inputs'!$E$9:$E$32,$B95)/SUMIFS('EE Inputs'!$V$9:$V$32,'EE Inputs'!$C$9:$C$32,$AM$6,'EE Inputs'!$D$9:$D$32,$C$4,'EE Inputs'!$E$9:$E$32,$B95)*10,0))</f>
        <v>102924.7261875159</v>
      </c>
      <c r="AS95" s="71">
        <f ca="1">IF($C$4=Lookups!$D$40,SUM(INDIRECT("'Yr1'!"&amp;ADDRESS(ROW(AS95),COLUMN(AS95))),INDIRECT("'Yr2'!"&amp;ADDRESS(ROW(AS95),COLUMN(AS95))),INDIRECT("'Yr3'!"&amp;ADDRESS(ROW(AS95),COLUMN(AS95)))),
IF(AS91&gt;0,SUMIFS('EE Inputs'!$I$9:$I$32,'EE Inputs'!$C$9:$C$32,$AM$6,'EE Inputs'!$D$9:$D$32,$C$4,'EE Inputs'!$E$9:$E$32,$B95)/SUMIFS('EE Inputs'!$V$9:$V$32,'EE Inputs'!$C$9:$C$32,$AM$6,'EE Inputs'!$D$9:$D$32,$C$4,'EE Inputs'!$E$9:$E$32,$B95)*10,0))</f>
        <v>102924.7261875159</v>
      </c>
      <c r="AT95" s="71">
        <f ca="1">IF($C$4=Lookups!$D$40,SUM(INDIRECT("'Yr1'!"&amp;ADDRESS(ROW(AT95),COLUMN(AT95))),INDIRECT("'Yr2'!"&amp;ADDRESS(ROW(AT95),COLUMN(AT95))),INDIRECT("'Yr3'!"&amp;ADDRESS(ROW(AT95),COLUMN(AT95)))),
IF(AT91&gt;0,SUMIFS('EE Inputs'!$I$9:$I$32,'EE Inputs'!$C$9:$C$32,$AM$6,'EE Inputs'!$D$9:$D$32,$C$4,'EE Inputs'!$E$9:$E$32,$B95)/SUMIFS('EE Inputs'!$V$9:$V$32,'EE Inputs'!$C$9:$C$32,$AM$6,'EE Inputs'!$D$9:$D$32,$C$4,'EE Inputs'!$E$9:$E$32,$B95)*10,0))</f>
        <v>102924.7261875159</v>
      </c>
      <c r="AU95" s="71">
        <f ca="1">IF($C$4=Lookups!$D$40,SUM(INDIRECT("'Yr1'!"&amp;ADDRESS(ROW(AU95),COLUMN(AU95))),INDIRECT("'Yr2'!"&amp;ADDRESS(ROW(AU95),COLUMN(AU95))),INDIRECT("'Yr3'!"&amp;ADDRESS(ROW(AU95),COLUMN(AU95)))),
IF(AU91&gt;0,SUMIFS('EE Inputs'!$I$9:$I$32,'EE Inputs'!$C$9:$C$32,$AM$6,'EE Inputs'!$D$9:$D$32,$C$4,'EE Inputs'!$E$9:$E$32,$B95)/SUMIFS('EE Inputs'!$V$9:$V$32,'EE Inputs'!$C$9:$C$32,$AM$6,'EE Inputs'!$D$9:$D$32,$C$4,'EE Inputs'!$E$9:$E$32,$B95)*10,0))</f>
        <v>102924.7261875159</v>
      </c>
      <c r="AV95" s="71">
        <f ca="1">IF($C$4=Lookups!$D$40,SUM(INDIRECT("'Yr1'!"&amp;ADDRESS(ROW(AV95),COLUMN(AV95))),INDIRECT("'Yr2'!"&amp;ADDRESS(ROW(AV95),COLUMN(AV95))),INDIRECT("'Yr3'!"&amp;ADDRESS(ROW(AV95),COLUMN(AV95)))),
IF(AV91&gt;0,SUMIFS('EE Inputs'!$I$9:$I$32,'EE Inputs'!$C$9:$C$32,$AM$6,'EE Inputs'!$D$9:$D$32,$C$4,'EE Inputs'!$E$9:$E$32,$B95)/SUMIFS('EE Inputs'!$V$9:$V$32,'EE Inputs'!$C$9:$C$32,$AM$6,'EE Inputs'!$D$9:$D$32,$C$4,'EE Inputs'!$E$9:$E$32,$B95)*10,0))</f>
        <v>102924.7261875159</v>
      </c>
      <c r="AW95" s="71">
        <f ca="1">IF($C$4=Lookups!$D$40,SUM(INDIRECT("'Yr1'!"&amp;ADDRESS(ROW(AW95),COLUMN(AW95))),INDIRECT("'Yr2'!"&amp;ADDRESS(ROW(AW95),COLUMN(AW95))),INDIRECT("'Yr3'!"&amp;ADDRESS(ROW(AW95),COLUMN(AW95)))),
IF(AW91&gt;0,SUMIFS('EE Inputs'!$I$9:$I$32,'EE Inputs'!$C$9:$C$32,$AM$6,'EE Inputs'!$D$9:$D$32,$C$4,'EE Inputs'!$E$9:$E$32,$B95)/SUMIFS('EE Inputs'!$V$9:$V$32,'EE Inputs'!$C$9:$C$32,$AM$6,'EE Inputs'!$D$9:$D$32,$C$4,'EE Inputs'!$E$9:$E$32,$B95)*10,0))</f>
        <v>102924.7261875159</v>
      </c>
      <c r="AX95" s="71">
        <f ca="1">IF($C$4=Lookups!$D$40,SUM(INDIRECT("'Yr1'!"&amp;ADDRESS(ROW(AX95),COLUMN(AX95))),INDIRECT("'Yr2'!"&amp;ADDRESS(ROW(AX95),COLUMN(AX95))),INDIRECT("'Yr3'!"&amp;ADDRESS(ROW(AX95),COLUMN(AX95)))),
IF(AX91&gt;0,SUMIFS('EE Inputs'!$I$9:$I$32,'EE Inputs'!$C$9:$C$32,$AM$6,'EE Inputs'!$D$9:$D$32,$C$4,'EE Inputs'!$E$9:$E$32,$B95)/SUMIFS('EE Inputs'!$V$9:$V$32,'EE Inputs'!$C$9:$C$32,$AM$6,'EE Inputs'!$D$9:$D$32,$C$4,'EE Inputs'!$E$9:$E$32,$B95)*10,0))</f>
        <v>102924.7261875159</v>
      </c>
      <c r="AY95" s="71">
        <f ca="1">IF($C$4=Lookups!$D$40,SUM(INDIRECT("'Yr1'!"&amp;ADDRESS(ROW(AY95),COLUMN(AY95))),INDIRECT("'Yr2'!"&amp;ADDRESS(ROW(AY95),COLUMN(AY95))),INDIRECT("'Yr3'!"&amp;ADDRESS(ROW(AY95),COLUMN(AY95)))),
IF(AY91&gt;0,SUMIFS('EE Inputs'!$I$9:$I$32,'EE Inputs'!$C$9:$C$32,$AM$6,'EE Inputs'!$D$9:$D$32,$C$4,'EE Inputs'!$E$9:$E$32,$B95)/SUMIFS('EE Inputs'!$V$9:$V$32,'EE Inputs'!$C$9:$C$32,$AM$6,'EE Inputs'!$D$9:$D$32,$C$4,'EE Inputs'!$E$9:$E$32,$B95)*10,0))</f>
        <v>102924.7261875159</v>
      </c>
      <c r="AZ95" s="71">
        <f ca="1">IF($C$4=Lookups!$D$40,SUM(INDIRECT("'Yr1'!"&amp;ADDRESS(ROW(AZ95),COLUMN(AZ95))),INDIRECT("'Yr2'!"&amp;ADDRESS(ROW(AZ95),COLUMN(AZ95))),INDIRECT("'Yr3'!"&amp;ADDRESS(ROW(AZ95),COLUMN(AZ95)))),
IF(AZ91&gt;0,SUMIFS('EE Inputs'!$I$9:$I$32,'EE Inputs'!$C$9:$C$32,$AM$6,'EE Inputs'!$D$9:$D$32,$C$4,'EE Inputs'!$E$9:$E$32,$B95)/SUMIFS('EE Inputs'!$V$9:$V$32,'EE Inputs'!$C$9:$C$32,$AM$6,'EE Inputs'!$D$9:$D$32,$C$4,'EE Inputs'!$E$9:$E$32,$B95)*10,0))</f>
        <v>102924.7261875159</v>
      </c>
      <c r="BA95" s="71">
        <f ca="1">IF($C$4=Lookups!$D$40,SUM(INDIRECT("'Yr1'!"&amp;ADDRESS(ROW(BA95),COLUMN(BA95))),INDIRECT("'Yr2'!"&amp;ADDRESS(ROW(BA95),COLUMN(BA95))),INDIRECT("'Yr3'!"&amp;ADDRESS(ROW(BA95),COLUMN(BA95)))),
IF(BA91&gt;0,SUMIFS('EE Inputs'!$I$9:$I$32,'EE Inputs'!$C$9:$C$32,$AM$6,'EE Inputs'!$D$9:$D$32,$C$4,'EE Inputs'!$E$9:$E$32,$B95)/SUMIFS('EE Inputs'!$V$9:$V$32,'EE Inputs'!$C$9:$C$32,$AM$6,'EE Inputs'!$D$9:$D$32,$C$4,'EE Inputs'!$E$9:$E$32,$B95)*10,0))</f>
        <v>102924.7261875159</v>
      </c>
      <c r="BB95" s="71">
        <f ca="1">IF($C$4=Lookups!$D$40,SUM(INDIRECT("'Yr1'!"&amp;ADDRESS(ROW(BB95),COLUMN(BB95))),INDIRECT("'Yr2'!"&amp;ADDRESS(ROW(BB95),COLUMN(BB95))),INDIRECT("'Yr3'!"&amp;ADDRESS(ROW(BB95),COLUMN(BB95)))),
IF(BB91&gt;0,SUMIFS('EE Inputs'!$I$9:$I$32,'EE Inputs'!$C$9:$C$32,$AM$6,'EE Inputs'!$D$9:$D$32,$C$4,'EE Inputs'!$E$9:$E$32,$B95)/SUMIFS('EE Inputs'!$V$9:$V$32,'EE Inputs'!$C$9:$C$32,$AM$6,'EE Inputs'!$D$9:$D$32,$C$4,'EE Inputs'!$E$9:$E$32,$B95)*10,0))</f>
        <v>102924.7261875159</v>
      </c>
      <c r="BC95" s="71">
        <f ca="1">IF($C$4=Lookups!$D$40,SUM(INDIRECT("'Yr1'!"&amp;ADDRESS(ROW(BC95),COLUMN(BC95))),INDIRECT("'Yr2'!"&amp;ADDRESS(ROW(BC95),COLUMN(BC95))),INDIRECT("'Yr3'!"&amp;ADDRESS(ROW(BC95),COLUMN(BC95)))),
IF(BC91&gt;0,SUMIFS('EE Inputs'!$I$9:$I$32,'EE Inputs'!$C$9:$C$32,$AM$6,'EE Inputs'!$D$9:$D$32,$C$4,'EE Inputs'!$E$9:$E$32,$B95)/SUMIFS('EE Inputs'!$V$9:$V$32,'EE Inputs'!$C$9:$C$32,$AM$6,'EE Inputs'!$D$9:$D$32,$C$4,'EE Inputs'!$E$9:$E$32,$B95)*10,0))</f>
        <v>102924.7261875159</v>
      </c>
      <c r="BD95" s="71">
        <f ca="1">IF($C$4=Lookups!$D$40,SUM(INDIRECT("'Yr1'!"&amp;ADDRESS(ROW(BD95),COLUMN(BD95))),INDIRECT("'Yr2'!"&amp;ADDRESS(ROW(BD95),COLUMN(BD95))),INDIRECT("'Yr3'!"&amp;ADDRESS(ROW(BD95),COLUMN(BD95)))),
IF(BD91&gt;0,SUMIFS('EE Inputs'!$I$9:$I$32,'EE Inputs'!$C$9:$C$32,$AM$6,'EE Inputs'!$D$9:$D$32,$C$4,'EE Inputs'!$E$9:$E$32,$B95)/SUMIFS('EE Inputs'!$V$9:$V$32,'EE Inputs'!$C$9:$C$32,$AM$6,'EE Inputs'!$D$9:$D$32,$C$4,'EE Inputs'!$E$9:$E$32,$B95)*10,0))</f>
        <v>102924.7261875159</v>
      </c>
      <c r="BE95" s="71">
        <f ca="1">IF($C$4=Lookups!$D$40,SUM(INDIRECT("'Yr1'!"&amp;ADDRESS(ROW(BE95),COLUMN(BE95))),INDIRECT("'Yr2'!"&amp;ADDRESS(ROW(BE95),COLUMN(BE95))),INDIRECT("'Yr3'!"&amp;ADDRESS(ROW(BE95),COLUMN(BE95)))),
IF(BE91&gt;0,SUMIFS('EE Inputs'!$I$9:$I$32,'EE Inputs'!$C$9:$C$32,$AM$6,'EE Inputs'!$D$9:$D$32,$C$4,'EE Inputs'!$E$9:$E$32,$B95)/SUMIFS('EE Inputs'!$V$9:$V$32,'EE Inputs'!$C$9:$C$32,$AM$6,'EE Inputs'!$D$9:$D$32,$C$4,'EE Inputs'!$E$9:$E$32,$B95)*10,0))</f>
        <v>102924.7261875159</v>
      </c>
      <c r="BF95" s="71">
        <f ca="1">IF($C$4=Lookups!$D$40,SUM(INDIRECT("'Yr1'!"&amp;ADDRESS(ROW(BF95),COLUMN(BF95))),INDIRECT("'Yr2'!"&amp;ADDRESS(ROW(BF95),COLUMN(BF95))),INDIRECT("'Yr3'!"&amp;ADDRESS(ROW(BF95),COLUMN(BF95)))),
IF(BF91&gt;0,SUMIFS('EE Inputs'!$I$9:$I$32,'EE Inputs'!$C$9:$C$32,$AM$6,'EE Inputs'!$D$9:$D$32,$C$4,'EE Inputs'!$E$9:$E$32,$B95)/SUMIFS('EE Inputs'!$V$9:$V$32,'EE Inputs'!$C$9:$C$32,$AM$6,'EE Inputs'!$D$9:$D$32,$C$4,'EE Inputs'!$E$9:$E$32,$B95)*10,0))</f>
        <v>102924.7261875159</v>
      </c>
      <c r="BG95" s="71">
        <f ca="1">IF($C$4=Lookups!$D$40,SUM(INDIRECT("'Yr1'!"&amp;ADDRESS(ROW(BG95),COLUMN(BG95))),INDIRECT("'Yr2'!"&amp;ADDRESS(ROW(BG95),COLUMN(BG95))),INDIRECT("'Yr3'!"&amp;ADDRESS(ROW(BG95),COLUMN(BG95)))),
IF(BG91&gt;0,SUMIFS('EE Inputs'!$I$9:$I$32,'EE Inputs'!$C$9:$C$32,$AM$6,'EE Inputs'!$D$9:$D$32,$C$4,'EE Inputs'!$E$9:$E$32,$B95)/SUMIFS('EE Inputs'!$V$9:$V$32,'EE Inputs'!$C$9:$C$32,$AM$6,'EE Inputs'!$D$9:$D$32,$C$4,'EE Inputs'!$E$9:$E$32,$B95)*10,0))</f>
        <v>102924.7261875159</v>
      </c>
      <c r="BH95" s="71">
        <f ca="1">IF($C$4=Lookups!$D$40,SUM(INDIRECT("'Yr1'!"&amp;ADDRESS(ROW(BH95),COLUMN(BH95))),INDIRECT("'Yr2'!"&amp;ADDRESS(ROW(BH95),COLUMN(BH95))),INDIRECT("'Yr3'!"&amp;ADDRESS(ROW(BH95),COLUMN(BH95)))),
IF(BH91&gt;0,SUMIFS('EE Inputs'!$I$9:$I$32,'EE Inputs'!$C$9:$C$32,$AM$6,'EE Inputs'!$D$9:$D$32,$C$4,'EE Inputs'!$E$9:$E$32,$B95)/SUMIFS('EE Inputs'!$V$9:$V$32,'EE Inputs'!$C$9:$C$32,$AM$6,'EE Inputs'!$D$9:$D$32,$C$4,'EE Inputs'!$E$9:$E$32,$B95)*10,0))</f>
        <v>0</v>
      </c>
      <c r="BI95" s="71">
        <f ca="1">IF($C$4=Lookups!$D$40,SUM(INDIRECT("'Yr1'!"&amp;ADDRESS(ROW(BI95),COLUMN(BI95))),INDIRECT("'Yr2'!"&amp;ADDRESS(ROW(BI95),COLUMN(BI95))),INDIRECT("'Yr3'!"&amp;ADDRESS(ROW(BI95),COLUMN(BI95)))),
IF(BI91&gt;0,SUMIFS('EE Inputs'!$I$9:$I$32,'EE Inputs'!$C$9:$C$32,$AM$6,'EE Inputs'!$D$9:$D$32,$C$4,'EE Inputs'!$E$9:$E$32,$B95)/SUMIFS('EE Inputs'!$V$9:$V$32,'EE Inputs'!$C$9:$C$32,$AM$6,'EE Inputs'!$D$9:$D$32,$C$4,'EE Inputs'!$E$9:$E$32,$B95)*10,0))</f>
        <v>0</v>
      </c>
      <c r="BJ95" s="71">
        <f ca="1">IF($C$4=Lookups!$D$40,SUM(INDIRECT("'Yr1'!"&amp;ADDRESS(ROW(BJ95),COLUMN(BJ95))),INDIRECT("'Yr2'!"&amp;ADDRESS(ROW(BJ95),COLUMN(BJ95))),INDIRECT("'Yr3'!"&amp;ADDRESS(ROW(BJ95),COLUMN(BJ95)))),
IF(BJ91&gt;0,SUMIFS('EE Inputs'!$I$9:$I$32,'EE Inputs'!$C$9:$C$32,$AM$6,'EE Inputs'!$D$9:$D$32,$C$4,'EE Inputs'!$E$9:$E$32,$B95)/SUMIFS('EE Inputs'!$V$9:$V$32,'EE Inputs'!$C$9:$C$32,$AM$6,'EE Inputs'!$D$9:$D$32,$C$4,'EE Inputs'!$E$9:$E$32,$B95)*10,0))</f>
        <v>0</v>
      </c>
      <c r="BK95" s="71">
        <f ca="1">IF($C$4=Lookups!$D$40,SUM(INDIRECT("'Yr1'!"&amp;ADDRESS(ROW(BK95),COLUMN(BK95))),INDIRECT("'Yr2'!"&amp;ADDRESS(ROW(BK95),COLUMN(BK95))),INDIRECT("'Yr3'!"&amp;ADDRESS(ROW(BK95),COLUMN(BK95)))),
IF(BK91&gt;0,SUMIFS('EE Inputs'!$I$9:$I$32,'EE Inputs'!$C$9:$C$32,$AM$6,'EE Inputs'!$D$9:$D$32,$C$4,'EE Inputs'!$E$9:$E$32,$B95)/SUMIFS('EE Inputs'!$V$9:$V$32,'EE Inputs'!$C$9:$C$32,$AM$6,'EE Inputs'!$D$9:$D$32,$C$4,'EE Inputs'!$E$9:$E$32,$B95)*10,0))</f>
        <v>0</v>
      </c>
      <c r="BL95" s="71">
        <f ca="1">IF($C$4=Lookups!$D$40,SUM(INDIRECT("'Yr1'!"&amp;ADDRESS(ROW(BL95),COLUMN(BL95))),INDIRECT("'Yr2'!"&amp;ADDRESS(ROW(BL95),COLUMN(BL95))),INDIRECT("'Yr3'!"&amp;ADDRESS(ROW(BL95),COLUMN(BL95)))),
IF(BL91&gt;0,SUMIFS('EE Inputs'!$I$9:$I$32,'EE Inputs'!$C$9:$C$32,$AM$6,'EE Inputs'!$D$9:$D$32,$C$4,'EE Inputs'!$E$9:$E$32,$B95)/SUMIFS('EE Inputs'!$V$9:$V$32,'EE Inputs'!$C$9:$C$32,$AM$6,'EE Inputs'!$D$9:$D$32,$C$4,'EE Inputs'!$E$9:$E$32,$B95)*10,0))</f>
        <v>0</v>
      </c>
      <c r="BM95" s="71">
        <f ca="1">IF($C$4=Lookups!$D$40,SUM(INDIRECT("'Yr1'!"&amp;ADDRESS(ROW(BM95),COLUMN(BM95))),INDIRECT("'Yr2'!"&amp;ADDRESS(ROW(BM95),COLUMN(BM95))),INDIRECT("'Yr3'!"&amp;ADDRESS(ROW(BM95),COLUMN(BM95)))),
IF(BM91&gt;0,SUMIFS('EE Inputs'!$I$9:$I$32,'EE Inputs'!$C$9:$C$32,$AM$6,'EE Inputs'!$D$9:$D$32,$C$4,'EE Inputs'!$E$9:$E$32,$B95)/SUMIFS('EE Inputs'!$V$9:$V$32,'EE Inputs'!$C$9:$C$32,$AM$6,'EE Inputs'!$D$9:$D$32,$C$4,'EE Inputs'!$E$9:$E$32,$B95)*10,0))</f>
        <v>0</v>
      </c>
      <c r="BN95" s="71"/>
      <c r="BO95" s="71">
        <f t="shared" ref="BO95:BO96" ca="1" si="87">SUM(AM95:BM95)</f>
        <v>2058494.5237503189</v>
      </c>
      <c r="BP95" s="71"/>
      <c r="BS95" s="84" t="s">
        <v>92</v>
      </c>
      <c r="BT95" s="51" t="s">
        <v>17</v>
      </c>
    </row>
    <row r="96" spans="1:72" x14ac:dyDescent="0.25">
      <c r="B96" s="243" t="str">
        <f t="shared" si="85"/>
        <v>Low-Income</v>
      </c>
      <c r="C96" s="243" t="str">
        <f>C95</f>
        <v>Sales</v>
      </c>
      <c r="D96" s="244" t="s">
        <v>109</v>
      </c>
      <c r="E96" s="85" t="s">
        <v>109</v>
      </c>
      <c r="F96" s="84" t="s">
        <v>195</v>
      </c>
      <c r="G96" s="65">
        <f ca="1">G94-G95</f>
        <v>0</v>
      </c>
      <c r="H96" s="65">
        <f t="shared" ref="H96:AG96" ca="1" si="88">H94-H95</f>
        <v>4583558.354379449</v>
      </c>
      <c r="I96" s="65">
        <f t="shared" ca="1" si="88"/>
        <v>4583558.354379449</v>
      </c>
      <c r="J96" s="65">
        <f t="shared" ca="1" si="88"/>
        <v>4583558.354379449</v>
      </c>
      <c r="K96" s="65">
        <f t="shared" ca="1" si="88"/>
        <v>4583558.354379449</v>
      </c>
      <c r="L96" s="65">
        <f t="shared" ca="1" si="88"/>
        <v>4583558.354379449</v>
      </c>
      <c r="M96" s="65">
        <f t="shared" ca="1" si="88"/>
        <v>4583558.354379449</v>
      </c>
      <c r="N96" s="65">
        <f t="shared" ca="1" si="88"/>
        <v>4583558.354379449</v>
      </c>
      <c r="O96" s="65">
        <f t="shared" ca="1" si="88"/>
        <v>4583558.354379449</v>
      </c>
      <c r="P96" s="65">
        <f t="shared" ca="1" si="88"/>
        <v>4583558.354379449</v>
      </c>
      <c r="Q96" s="65">
        <f t="shared" ca="1" si="88"/>
        <v>4583558.354379449</v>
      </c>
      <c r="R96" s="65">
        <f t="shared" ca="1" si="88"/>
        <v>4583558.354379449</v>
      </c>
      <c r="S96" s="65">
        <f t="shared" ca="1" si="88"/>
        <v>4583558.354379449</v>
      </c>
      <c r="T96" s="65">
        <f t="shared" ca="1" si="88"/>
        <v>4583558.354379449</v>
      </c>
      <c r="U96" s="65">
        <f t="shared" ca="1" si="88"/>
        <v>4583558.354379449</v>
      </c>
      <c r="V96" s="65">
        <f t="shared" ca="1" si="88"/>
        <v>4583558.354379449</v>
      </c>
      <c r="W96" s="65">
        <f t="shared" ca="1" si="88"/>
        <v>4583558.354379449</v>
      </c>
      <c r="X96" s="65">
        <f t="shared" ca="1" si="88"/>
        <v>4583558.354379449</v>
      </c>
      <c r="Y96" s="65">
        <f t="shared" ca="1" si="88"/>
        <v>4583558.354379449</v>
      </c>
      <c r="Z96" s="65">
        <f t="shared" ca="1" si="88"/>
        <v>4583558.354379449</v>
      </c>
      <c r="AA96" s="65">
        <f t="shared" ca="1" si="88"/>
        <v>4583558.354379449</v>
      </c>
      <c r="AB96" s="65">
        <f t="shared" ca="1" si="88"/>
        <v>4673617.4897935251</v>
      </c>
      <c r="AC96" s="65">
        <f t="shared" ca="1" si="88"/>
        <v>4673617.4897935251</v>
      </c>
      <c r="AD96" s="65">
        <f t="shared" ca="1" si="88"/>
        <v>4673617.4897935251</v>
      </c>
      <c r="AE96" s="65">
        <f t="shared" ca="1" si="88"/>
        <v>4673617.4897935251</v>
      </c>
      <c r="AF96" s="65">
        <f t="shared" ca="1" si="88"/>
        <v>4673617.4897935251</v>
      </c>
      <c r="AG96" s="65">
        <f t="shared" ca="1" si="88"/>
        <v>4673617.4897935251</v>
      </c>
      <c r="AH96" s="65"/>
      <c r="AI96" s="65">
        <f t="shared" ca="1" si="86"/>
        <v>119712872.02635008</v>
      </c>
      <c r="AJ96" s="65"/>
      <c r="AM96" s="72">
        <f ca="1">AM94-AM95</f>
        <v>0</v>
      </c>
      <c r="AN96" s="72">
        <f t="shared" ref="AN96:BM96" ca="1" si="89">AN94-AN95</f>
        <v>4570692.7636060091</v>
      </c>
      <c r="AO96" s="72">
        <f t="shared" ca="1" si="89"/>
        <v>4570692.7636060091</v>
      </c>
      <c r="AP96" s="72">
        <f t="shared" ca="1" si="89"/>
        <v>4570692.7636060091</v>
      </c>
      <c r="AQ96" s="72">
        <f t="shared" ca="1" si="89"/>
        <v>4570692.7636060091</v>
      </c>
      <c r="AR96" s="72">
        <f t="shared" ca="1" si="89"/>
        <v>4570692.7636060091</v>
      </c>
      <c r="AS96" s="72">
        <f t="shared" ca="1" si="89"/>
        <v>4570692.7636060091</v>
      </c>
      <c r="AT96" s="72">
        <f t="shared" ca="1" si="89"/>
        <v>4570692.7636060091</v>
      </c>
      <c r="AU96" s="72">
        <f t="shared" ca="1" si="89"/>
        <v>4570692.7636060091</v>
      </c>
      <c r="AV96" s="72">
        <f t="shared" ca="1" si="89"/>
        <v>4570692.7636060091</v>
      </c>
      <c r="AW96" s="72">
        <f t="shared" ca="1" si="89"/>
        <v>4570692.7636060091</v>
      </c>
      <c r="AX96" s="72">
        <f t="shared" ca="1" si="89"/>
        <v>4570692.7636060091</v>
      </c>
      <c r="AY96" s="72">
        <f t="shared" ca="1" si="89"/>
        <v>4570692.7636060091</v>
      </c>
      <c r="AZ96" s="72">
        <f t="shared" ca="1" si="89"/>
        <v>4570692.7636060091</v>
      </c>
      <c r="BA96" s="72">
        <f t="shared" ca="1" si="89"/>
        <v>4570692.7636060091</v>
      </c>
      <c r="BB96" s="72">
        <f t="shared" ca="1" si="89"/>
        <v>4570692.7636060091</v>
      </c>
      <c r="BC96" s="72">
        <f t="shared" ca="1" si="89"/>
        <v>4570692.7636060091</v>
      </c>
      <c r="BD96" s="72">
        <f t="shared" ca="1" si="89"/>
        <v>4570692.7636060091</v>
      </c>
      <c r="BE96" s="72">
        <f t="shared" ca="1" si="89"/>
        <v>4570692.7636060091</v>
      </c>
      <c r="BF96" s="72">
        <f t="shared" ca="1" si="89"/>
        <v>4570692.7636060091</v>
      </c>
      <c r="BG96" s="72">
        <f t="shared" ca="1" si="89"/>
        <v>4570692.7636060091</v>
      </c>
      <c r="BH96" s="72">
        <f t="shared" ca="1" si="89"/>
        <v>4673617.4897935251</v>
      </c>
      <c r="BI96" s="72">
        <f t="shared" ca="1" si="89"/>
        <v>4673617.4897935251</v>
      </c>
      <c r="BJ96" s="72">
        <f t="shared" ca="1" si="89"/>
        <v>4673617.4897935251</v>
      </c>
      <c r="BK96" s="72">
        <f t="shared" ca="1" si="89"/>
        <v>4673617.4897935251</v>
      </c>
      <c r="BL96" s="72">
        <f t="shared" ca="1" si="89"/>
        <v>4673617.4897935251</v>
      </c>
      <c r="BM96" s="72">
        <f t="shared" ca="1" si="89"/>
        <v>4673617.4897935251</v>
      </c>
      <c r="BN96" s="72"/>
      <c r="BO96" s="72">
        <f t="shared" ca="1" si="87"/>
        <v>119455560.21088135</v>
      </c>
      <c r="BP96" s="72"/>
      <c r="BS96" s="84" t="s">
        <v>93</v>
      </c>
      <c r="BT96" s="51" t="s">
        <v>17</v>
      </c>
    </row>
    <row r="97" spans="1:72" s="5" customFormat="1" x14ac:dyDescent="0.25">
      <c r="A97" s="52"/>
      <c r="B97" s="242" t="str">
        <f t="shared" si="85"/>
        <v>Low-Income</v>
      </c>
      <c r="C97" s="243" t="str">
        <f>C96</f>
        <v>Sales</v>
      </c>
      <c r="D97" s="77" t="s">
        <v>17</v>
      </c>
      <c r="E97" s="76"/>
      <c r="F97" s="76"/>
      <c r="G97" s="468"/>
      <c r="H97" s="468"/>
      <c r="I97" s="468"/>
      <c r="J97" s="468"/>
      <c r="K97" s="468"/>
      <c r="L97" s="468"/>
      <c r="M97" s="468"/>
      <c r="N97" s="468"/>
      <c r="O97" s="468"/>
      <c r="P97" s="468"/>
      <c r="Q97" s="468"/>
      <c r="R97" s="468"/>
      <c r="S97" s="468"/>
      <c r="T97" s="468"/>
      <c r="U97" s="468"/>
      <c r="V97" s="468"/>
      <c r="W97" s="468"/>
      <c r="X97" s="468"/>
      <c r="Y97" s="468"/>
      <c r="Z97" s="468"/>
      <c r="AA97" s="468"/>
      <c r="AB97" s="468"/>
      <c r="AC97" s="468"/>
      <c r="AD97" s="468"/>
      <c r="AE97" s="468"/>
      <c r="AF97" s="468"/>
      <c r="AG97" s="468"/>
      <c r="AH97" s="48"/>
      <c r="AI97" s="235"/>
      <c r="AJ97" s="48"/>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S97" s="76"/>
      <c r="BT97" s="51" t="s">
        <v>17</v>
      </c>
    </row>
    <row r="98" spans="1:72" s="5" customFormat="1" ht="15.75" x14ac:dyDescent="0.25">
      <c r="A98" s="52"/>
      <c r="B98" s="241" t="str">
        <f t="shared" si="85"/>
        <v>Low-Income</v>
      </c>
      <c r="C98" s="63" t="s">
        <v>124</v>
      </c>
      <c r="D98" s="61"/>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2"/>
      <c r="BO98" s="62"/>
      <c r="BP98" s="62"/>
      <c r="BS98" s="62"/>
      <c r="BT98" s="51" t="s">
        <v>17</v>
      </c>
    </row>
    <row r="99" spans="1:72" x14ac:dyDescent="0.25">
      <c r="B99" s="243" t="str">
        <f t="shared" si="85"/>
        <v>Low-Income</v>
      </c>
      <c r="C99" s="243" t="str">
        <f t="shared" si="85"/>
        <v>Revenue Requirements</v>
      </c>
      <c r="D99" s="114" t="str">
        <f>"Revenue Requirement before DSM ("&amp;Lookups!$D$22&amp;" Scenario)"</f>
        <v>Revenue Requirement before DSM (No EE Scenario)</v>
      </c>
      <c r="E99" s="84"/>
      <c r="F99" s="84"/>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S99" s="84"/>
      <c r="BT99" s="51" t="s">
        <v>17</v>
      </c>
    </row>
    <row r="100" spans="1:72" x14ac:dyDescent="0.25">
      <c r="B100" s="243" t="str">
        <f t="shared" si="85"/>
        <v>Low-Income</v>
      </c>
      <c r="C100" s="243" t="str">
        <f t="shared" si="85"/>
        <v>Revenue Requirements</v>
      </c>
      <c r="D100" s="244" t="str">
        <f>D99</f>
        <v>Revenue Requirement before DSM (No EE Scenario)</v>
      </c>
      <c r="E100" s="84" t="s">
        <v>26</v>
      </c>
      <c r="F100" s="84" t="s">
        <v>32</v>
      </c>
      <c r="G100" s="65">
        <f>G117*G94</f>
        <v>0</v>
      </c>
      <c r="H100" s="65">
        <f t="shared" ref="H100:AG100" si="90">H117*H94</f>
        <v>1041281.9767259974</v>
      </c>
      <c r="I100" s="65">
        <f t="shared" si="90"/>
        <v>1041281.9767259974</v>
      </c>
      <c r="J100" s="65">
        <f t="shared" si="90"/>
        <v>1041281.9767259974</v>
      </c>
      <c r="K100" s="65">
        <f t="shared" si="90"/>
        <v>1041281.9767259974</v>
      </c>
      <c r="L100" s="65">
        <f t="shared" si="90"/>
        <v>1041281.9767259974</v>
      </c>
      <c r="M100" s="65">
        <f t="shared" si="90"/>
        <v>1041281.9767259974</v>
      </c>
      <c r="N100" s="65">
        <f t="shared" si="90"/>
        <v>1041281.9767259974</v>
      </c>
      <c r="O100" s="65">
        <f t="shared" si="90"/>
        <v>1041281.9767259974</v>
      </c>
      <c r="P100" s="65">
        <f t="shared" si="90"/>
        <v>1041281.9767259974</v>
      </c>
      <c r="Q100" s="65">
        <f t="shared" si="90"/>
        <v>1041281.9767259974</v>
      </c>
      <c r="R100" s="65">
        <f t="shared" si="90"/>
        <v>1041281.9767259974</v>
      </c>
      <c r="S100" s="65">
        <f t="shared" si="90"/>
        <v>1041281.9767259974</v>
      </c>
      <c r="T100" s="65">
        <f t="shared" si="90"/>
        <v>1041281.9767259974</v>
      </c>
      <c r="U100" s="65">
        <f t="shared" si="90"/>
        <v>1041281.9767259974</v>
      </c>
      <c r="V100" s="65">
        <f t="shared" si="90"/>
        <v>1041281.9767259974</v>
      </c>
      <c r="W100" s="65">
        <f t="shared" si="90"/>
        <v>1041281.9767259974</v>
      </c>
      <c r="X100" s="65">
        <f t="shared" si="90"/>
        <v>1041281.9767259974</v>
      </c>
      <c r="Y100" s="65">
        <f t="shared" si="90"/>
        <v>1041281.9767259974</v>
      </c>
      <c r="Z100" s="65">
        <f t="shared" si="90"/>
        <v>1041281.9767259974</v>
      </c>
      <c r="AA100" s="65">
        <f t="shared" si="90"/>
        <v>1041281.9767259974</v>
      </c>
      <c r="AB100" s="65">
        <f t="shared" si="90"/>
        <v>1041281.9767259974</v>
      </c>
      <c r="AC100" s="65">
        <f t="shared" si="90"/>
        <v>1041281.9767259974</v>
      </c>
      <c r="AD100" s="65">
        <f t="shared" si="90"/>
        <v>1041281.9767259974</v>
      </c>
      <c r="AE100" s="65">
        <f t="shared" si="90"/>
        <v>1041281.9767259974</v>
      </c>
      <c r="AF100" s="65">
        <f t="shared" si="90"/>
        <v>1041281.9767259974</v>
      </c>
      <c r="AG100" s="65">
        <f t="shared" si="90"/>
        <v>1041281.9767259974</v>
      </c>
      <c r="AH100" s="65"/>
      <c r="AI100" s="65">
        <f>NPV(Lookups!$E$17,G100:AG100)</f>
        <v>22207717.341444168</v>
      </c>
      <c r="AJ100" s="65"/>
      <c r="AM100" s="72">
        <f>AM117*AM94</f>
        <v>0</v>
      </c>
      <c r="AN100" s="72">
        <f t="shared" ref="AN100:BM100" si="91">AN117*AN94</f>
        <v>1041281.9767259974</v>
      </c>
      <c r="AO100" s="72">
        <f t="shared" si="91"/>
        <v>1041281.9767259974</v>
      </c>
      <c r="AP100" s="72">
        <f t="shared" si="91"/>
        <v>1041281.9767259974</v>
      </c>
      <c r="AQ100" s="72">
        <f t="shared" si="91"/>
        <v>1041281.9767259974</v>
      </c>
      <c r="AR100" s="72">
        <f t="shared" si="91"/>
        <v>1041281.9767259974</v>
      </c>
      <c r="AS100" s="72">
        <f t="shared" si="91"/>
        <v>1041281.9767259974</v>
      </c>
      <c r="AT100" s="72">
        <f t="shared" si="91"/>
        <v>1041281.9767259974</v>
      </c>
      <c r="AU100" s="72">
        <f t="shared" si="91"/>
        <v>1041281.9767259974</v>
      </c>
      <c r="AV100" s="72">
        <f t="shared" si="91"/>
        <v>1041281.9767259974</v>
      </c>
      <c r="AW100" s="72">
        <f t="shared" si="91"/>
        <v>1041281.9767259974</v>
      </c>
      <c r="AX100" s="72">
        <f t="shared" si="91"/>
        <v>1041281.9767259974</v>
      </c>
      <c r="AY100" s="72">
        <f t="shared" si="91"/>
        <v>1041281.9767259974</v>
      </c>
      <c r="AZ100" s="72">
        <f t="shared" si="91"/>
        <v>1041281.9767259974</v>
      </c>
      <c r="BA100" s="72">
        <f t="shared" si="91"/>
        <v>1041281.9767259974</v>
      </c>
      <c r="BB100" s="72">
        <f t="shared" si="91"/>
        <v>1041281.9767259974</v>
      </c>
      <c r="BC100" s="72">
        <f t="shared" si="91"/>
        <v>1041281.9767259974</v>
      </c>
      <c r="BD100" s="72">
        <f t="shared" si="91"/>
        <v>1041281.9767259974</v>
      </c>
      <c r="BE100" s="72">
        <f t="shared" si="91"/>
        <v>1041281.9767259974</v>
      </c>
      <c r="BF100" s="72">
        <f t="shared" si="91"/>
        <v>1041281.9767259974</v>
      </c>
      <c r="BG100" s="72">
        <f t="shared" si="91"/>
        <v>1041281.9767259974</v>
      </c>
      <c r="BH100" s="72">
        <f t="shared" si="91"/>
        <v>1041281.9767259974</v>
      </c>
      <c r="BI100" s="72">
        <f t="shared" si="91"/>
        <v>1041281.9767259974</v>
      </c>
      <c r="BJ100" s="72">
        <f t="shared" si="91"/>
        <v>1041281.9767259974</v>
      </c>
      <c r="BK100" s="72">
        <f t="shared" si="91"/>
        <v>1041281.9767259974</v>
      </c>
      <c r="BL100" s="72">
        <f t="shared" si="91"/>
        <v>1041281.9767259974</v>
      </c>
      <c r="BM100" s="72">
        <f t="shared" si="91"/>
        <v>1041281.9767259974</v>
      </c>
      <c r="BN100" s="72"/>
      <c r="BO100" s="72">
        <f>NPV(Lookups!$E$17,AM100:BM100)</f>
        <v>22207717.341444168</v>
      </c>
      <c r="BP100" s="72"/>
      <c r="BS100" s="84" t="str">
        <f>"No EE Scenario "&amp;E100&amp;" rate multiplied by No EE Scenario sales."</f>
        <v>No EE Scenario Distribution rate multiplied by No EE Scenario sales.</v>
      </c>
      <c r="BT100" s="51" t="s">
        <v>17</v>
      </c>
    </row>
    <row r="101" spans="1:72" x14ac:dyDescent="0.25">
      <c r="B101" s="243" t="str">
        <f t="shared" si="85"/>
        <v>Low-Income</v>
      </c>
      <c r="C101" s="243" t="str">
        <f t="shared" si="85"/>
        <v>Revenue Requirements</v>
      </c>
      <c r="D101" s="244" t="str">
        <f>D100</f>
        <v>Revenue Requirement before DSM (No EE Scenario)</v>
      </c>
      <c r="E101" s="84" t="s">
        <v>407</v>
      </c>
      <c r="F101" s="84" t="s">
        <v>32</v>
      </c>
      <c r="G101" s="65">
        <f>G118*G94</f>
        <v>0</v>
      </c>
      <c r="H101" s="65">
        <f t="shared" ref="H101:AG101" si="92">H118*H94</f>
        <v>-154229.37716318635</v>
      </c>
      <c r="I101" s="65">
        <f t="shared" si="92"/>
        <v>-154229.37716318635</v>
      </c>
      <c r="J101" s="65">
        <f t="shared" si="92"/>
        <v>-154229.37716318635</v>
      </c>
      <c r="K101" s="65">
        <f t="shared" si="92"/>
        <v>-154229.37716318635</v>
      </c>
      <c r="L101" s="65">
        <f t="shared" si="92"/>
        <v>-154229.37716318635</v>
      </c>
      <c r="M101" s="65">
        <f t="shared" si="92"/>
        <v>-154229.37716318635</v>
      </c>
      <c r="N101" s="65">
        <f t="shared" si="92"/>
        <v>-154229.37716318635</v>
      </c>
      <c r="O101" s="65">
        <f t="shared" si="92"/>
        <v>-154229.37716318635</v>
      </c>
      <c r="P101" s="65">
        <f t="shared" si="92"/>
        <v>-154229.37716318635</v>
      </c>
      <c r="Q101" s="65">
        <f t="shared" si="92"/>
        <v>-154229.37716318635</v>
      </c>
      <c r="R101" s="65">
        <f t="shared" si="92"/>
        <v>-154229.37716318635</v>
      </c>
      <c r="S101" s="65">
        <f t="shared" si="92"/>
        <v>-154229.37716318635</v>
      </c>
      <c r="T101" s="65">
        <f t="shared" si="92"/>
        <v>-154229.37716318635</v>
      </c>
      <c r="U101" s="65">
        <f t="shared" si="92"/>
        <v>-154229.37716318635</v>
      </c>
      <c r="V101" s="65">
        <f t="shared" si="92"/>
        <v>-154229.37716318635</v>
      </c>
      <c r="W101" s="65">
        <f t="shared" si="92"/>
        <v>-154229.37716318635</v>
      </c>
      <c r="X101" s="65">
        <f t="shared" si="92"/>
        <v>-154229.37716318635</v>
      </c>
      <c r="Y101" s="65">
        <f t="shared" si="92"/>
        <v>-154229.37716318635</v>
      </c>
      <c r="Z101" s="65">
        <f t="shared" si="92"/>
        <v>-154229.37716318635</v>
      </c>
      <c r="AA101" s="65">
        <f t="shared" si="92"/>
        <v>-154229.37716318635</v>
      </c>
      <c r="AB101" s="65">
        <f t="shared" si="92"/>
        <v>-154229.37716318635</v>
      </c>
      <c r="AC101" s="65">
        <f t="shared" si="92"/>
        <v>-154229.37716318635</v>
      </c>
      <c r="AD101" s="65">
        <f t="shared" si="92"/>
        <v>-154229.37716318635</v>
      </c>
      <c r="AE101" s="65">
        <f t="shared" si="92"/>
        <v>-154229.37716318635</v>
      </c>
      <c r="AF101" s="65">
        <f t="shared" si="92"/>
        <v>-154229.37716318635</v>
      </c>
      <c r="AG101" s="65">
        <f t="shared" si="92"/>
        <v>-154229.37716318635</v>
      </c>
      <c r="AH101" s="65"/>
      <c r="AI101" s="65">
        <f>NPV(Lookups!$E$17,G101:AG101)</f>
        <v>-3289293.8611654304</v>
      </c>
      <c r="AJ101" s="65"/>
      <c r="AM101" s="72">
        <f>AM118*AM94</f>
        <v>0</v>
      </c>
      <c r="AN101" s="72">
        <f t="shared" ref="AN101:BM101" si="93">AN118*AN94</f>
        <v>-154229.37716318635</v>
      </c>
      <c r="AO101" s="72">
        <f t="shared" si="93"/>
        <v>-154229.37716318635</v>
      </c>
      <c r="AP101" s="72">
        <f t="shared" si="93"/>
        <v>-154229.37716318635</v>
      </c>
      <c r="AQ101" s="72">
        <f t="shared" si="93"/>
        <v>-154229.37716318635</v>
      </c>
      <c r="AR101" s="72">
        <f t="shared" si="93"/>
        <v>-154229.37716318635</v>
      </c>
      <c r="AS101" s="72">
        <f t="shared" si="93"/>
        <v>-154229.37716318635</v>
      </c>
      <c r="AT101" s="72">
        <f t="shared" si="93"/>
        <v>-154229.37716318635</v>
      </c>
      <c r="AU101" s="72">
        <f t="shared" si="93"/>
        <v>-154229.37716318635</v>
      </c>
      <c r="AV101" s="72">
        <f t="shared" si="93"/>
        <v>-154229.37716318635</v>
      </c>
      <c r="AW101" s="72">
        <f t="shared" si="93"/>
        <v>-154229.37716318635</v>
      </c>
      <c r="AX101" s="72">
        <f t="shared" si="93"/>
        <v>-154229.37716318635</v>
      </c>
      <c r="AY101" s="72">
        <f t="shared" si="93"/>
        <v>-154229.37716318635</v>
      </c>
      <c r="AZ101" s="72">
        <f t="shared" si="93"/>
        <v>-154229.37716318635</v>
      </c>
      <c r="BA101" s="72">
        <f t="shared" si="93"/>
        <v>-154229.37716318635</v>
      </c>
      <c r="BB101" s="72">
        <f t="shared" si="93"/>
        <v>-154229.37716318635</v>
      </c>
      <c r="BC101" s="72">
        <f t="shared" si="93"/>
        <v>-154229.37716318635</v>
      </c>
      <c r="BD101" s="72">
        <f t="shared" si="93"/>
        <v>-154229.37716318635</v>
      </c>
      <c r="BE101" s="72">
        <f t="shared" si="93"/>
        <v>-154229.37716318635</v>
      </c>
      <c r="BF101" s="72">
        <f t="shared" si="93"/>
        <v>-154229.37716318635</v>
      </c>
      <c r="BG101" s="72">
        <f t="shared" si="93"/>
        <v>-154229.37716318635</v>
      </c>
      <c r="BH101" s="72">
        <f t="shared" si="93"/>
        <v>-154229.37716318635</v>
      </c>
      <c r="BI101" s="72">
        <f t="shared" si="93"/>
        <v>-154229.37716318635</v>
      </c>
      <c r="BJ101" s="72">
        <f t="shared" si="93"/>
        <v>-154229.37716318635</v>
      </c>
      <c r="BK101" s="72">
        <f t="shared" si="93"/>
        <v>-154229.37716318635</v>
      </c>
      <c r="BL101" s="72">
        <f t="shared" si="93"/>
        <v>-154229.37716318635</v>
      </c>
      <c r="BM101" s="72">
        <f t="shared" si="93"/>
        <v>-154229.37716318635</v>
      </c>
      <c r="BN101" s="72"/>
      <c r="BO101" s="72">
        <f>NPV(Lookups!$E$17,AM101:BM101)</f>
        <v>-3289293.8611654304</v>
      </c>
      <c r="BP101" s="72"/>
      <c r="BS101" s="84" t="str">
        <f>"No EE Scenario "&amp;E101&amp;" rate multiplied by No EE Scenario sales."</f>
        <v>No EE Scenario LDAC, Non-EE rate multiplied by No EE Scenario sales.</v>
      </c>
      <c r="BT101" s="51" t="s">
        <v>17</v>
      </c>
    </row>
    <row r="102" spans="1:72" x14ac:dyDescent="0.25">
      <c r="A102" s="1"/>
      <c r="B102" s="243" t="str">
        <f>B100</f>
        <v>Low-Income</v>
      </c>
      <c r="C102" s="243" t="str">
        <f>C100</f>
        <v>Revenue Requirements</v>
      </c>
      <c r="D102" s="244" t="str">
        <f>D100</f>
        <v>Revenue Requirement before DSM (No EE Scenario)</v>
      </c>
      <c r="E102" s="84" t="s">
        <v>197</v>
      </c>
      <c r="F102" s="84" t="s">
        <v>32</v>
      </c>
      <c r="G102" s="65">
        <f>G119*G94</f>
        <v>0</v>
      </c>
      <c r="H102" s="65">
        <f>H119*H94</f>
        <v>2899044.9289189233</v>
      </c>
      <c r="I102" s="65">
        <f t="shared" ref="I102:AG102" si="94">I119*I94</f>
        <v>2899044.9289189233</v>
      </c>
      <c r="J102" s="65">
        <f t="shared" si="94"/>
        <v>2899044.9289189233</v>
      </c>
      <c r="K102" s="65">
        <f t="shared" si="94"/>
        <v>2899044.9289189233</v>
      </c>
      <c r="L102" s="65">
        <f t="shared" si="94"/>
        <v>2899044.9289189233</v>
      </c>
      <c r="M102" s="65">
        <f t="shared" si="94"/>
        <v>2899044.9289189233</v>
      </c>
      <c r="N102" s="65">
        <f t="shared" si="94"/>
        <v>2899044.9289189233</v>
      </c>
      <c r="O102" s="65">
        <f t="shared" si="94"/>
        <v>2899044.9289189233</v>
      </c>
      <c r="P102" s="65">
        <f t="shared" si="94"/>
        <v>2899044.9289189233</v>
      </c>
      <c r="Q102" s="65">
        <f t="shared" si="94"/>
        <v>2899044.9289189233</v>
      </c>
      <c r="R102" s="65">
        <f t="shared" si="94"/>
        <v>2899044.9289189233</v>
      </c>
      <c r="S102" s="65">
        <f t="shared" si="94"/>
        <v>2899044.9289189233</v>
      </c>
      <c r="T102" s="65">
        <f t="shared" si="94"/>
        <v>2899044.9289189233</v>
      </c>
      <c r="U102" s="65">
        <f t="shared" si="94"/>
        <v>2899044.9289189233</v>
      </c>
      <c r="V102" s="65">
        <f t="shared" si="94"/>
        <v>2899044.9289189233</v>
      </c>
      <c r="W102" s="65">
        <f t="shared" si="94"/>
        <v>2899044.9289189233</v>
      </c>
      <c r="X102" s="65">
        <f t="shared" si="94"/>
        <v>2899044.9289189233</v>
      </c>
      <c r="Y102" s="65">
        <f t="shared" si="94"/>
        <v>2899044.9289189233</v>
      </c>
      <c r="Z102" s="65">
        <f t="shared" si="94"/>
        <v>2899044.9289189233</v>
      </c>
      <c r="AA102" s="65">
        <f t="shared" si="94"/>
        <v>2899044.9289189233</v>
      </c>
      <c r="AB102" s="65">
        <f t="shared" si="94"/>
        <v>2899044.9289189233</v>
      </c>
      <c r="AC102" s="65">
        <f t="shared" si="94"/>
        <v>2899044.9289189233</v>
      </c>
      <c r="AD102" s="65">
        <f t="shared" si="94"/>
        <v>2899044.9289189233</v>
      </c>
      <c r="AE102" s="65">
        <f t="shared" si="94"/>
        <v>2899044.9289189233</v>
      </c>
      <c r="AF102" s="65">
        <f t="shared" si="94"/>
        <v>2899044.9289189233</v>
      </c>
      <c r="AG102" s="65">
        <f t="shared" si="94"/>
        <v>2899044.9289189233</v>
      </c>
      <c r="AH102" s="65"/>
      <c r="AI102" s="65">
        <f>NPV(Lookups!$E$17,G102:AG102)</f>
        <v>61828757.032755025</v>
      </c>
      <c r="AJ102" s="65"/>
      <c r="AM102" s="72">
        <f>AM119*AM94</f>
        <v>0</v>
      </c>
      <c r="AN102" s="72">
        <f t="shared" ref="AN102:BM102" si="95">AN119*AN94</f>
        <v>2899044.9289189233</v>
      </c>
      <c r="AO102" s="72">
        <f t="shared" si="95"/>
        <v>2899044.9289189233</v>
      </c>
      <c r="AP102" s="72">
        <f t="shared" si="95"/>
        <v>2899044.9289189233</v>
      </c>
      <c r="AQ102" s="72">
        <f t="shared" si="95"/>
        <v>2899044.9289189233</v>
      </c>
      <c r="AR102" s="72">
        <f t="shared" si="95"/>
        <v>2899044.9289189233</v>
      </c>
      <c r="AS102" s="72">
        <f t="shared" si="95"/>
        <v>2899044.9289189233</v>
      </c>
      <c r="AT102" s="72">
        <f t="shared" si="95"/>
        <v>2899044.9289189233</v>
      </c>
      <c r="AU102" s="72">
        <f t="shared" si="95"/>
        <v>2899044.9289189233</v>
      </c>
      <c r="AV102" s="72">
        <f t="shared" si="95"/>
        <v>2899044.9289189233</v>
      </c>
      <c r="AW102" s="72">
        <f t="shared" si="95"/>
        <v>2899044.9289189233</v>
      </c>
      <c r="AX102" s="72">
        <f t="shared" si="95"/>
        <v>2899044.9289189233</v>
      </c>
      <c r="AY102" s="72">
        <f t="shared" si="95"/>
        <v>2899044.9289189233</v>
      </c>
      <c r="AZ102" s="72">
        <f t="shared" si="95"/>
        <v>2899044.9289189233</v>
      </c>
      <c r="BA102" s="72">
        <f t="shared" si="95"/>
        <v>2899044.9289189233</v>
      </c>
      <c r="BB102" s="72">
        <f t="shared" si="95"/>
        <v>2899044.9289189233</v>
      </c>
      <c r="BC102" s="72">
        <f t="shared" si="95"/>
        <v>2899044.9289189233</v>
      </c>
      <c r="BD102" s="72">
        <f t="shared" si="95"/>
        <v>2899044.9289189233</v>
      </c>
      <c r="BE102" s="72">
        <f t="shared" si="95"/>
        <v>2899044.9289189233</v>
      </c>
      <c r="BF102" s="72">
        <f t="shared" si="95"/>
        <v>2899044.9289189233</v>
      </c>
      <c r="BG102" s="72">
        <f t="shared" si="95"/>
        <v>2899044.9289189233</v>
      </c>
      <c r="BH102" s="72">
        <f t="shared" si="95"/>
        <v>2899044.9289189233</v>
      </c>
      <c r="BI102" s="72">
        <f t="shared" si="95"/>
        <v>2899044.9289189233</v>
      </c>
      <c r="BJ102" s="72">
        <f t="shared" si="95"/>
        <v>2899044.9289189233</v>
      </c>
      <c r="BK102" s="72">
        <f t="shared" si="95"/>
        <v>2899044.9289189233</v>
      </c>
      <c r="BL102" s="72">
        <f t="shared" si="95"/>
        <v>2899044.9289189233</v>
      </c>
      <c r="BM102" s="72">
        <f t="shared" si="95"/>
        <v>2899044.9289189233</v>
      </c>
      <c r="BN102" s="72"/>
      <c r="BO102" s="72">
        <f>NPV(Lookups!$E$17,AM102:BM102)</f>
        <v>61828757.032755025</v>
      </c>
      <c r="BP102" s="72"/>
      <c r="BS102" s="84" t="str">
        <f>"No EE Scenario "&amp;E102&amp;" rate multiplied by No EE Scenario sales."</f>
        <v>No EE Scenario Cost of Gas rate multiplied by No EE Scenario sales.</v>
      </c>
      <c r="BT102" s="51" t="s">
        <v>17</v>
      </c>
    </row>
    <row r="103" spans="1:72" x14ac:dyDescent="0.25">
      <c r="B103" s="243" t="str">
        <f t="shared" ref="B103:C105" si="96">B102</f>
        <v>Low-Income</v>
      </c>
      <c r="C103" s="243" t="str">
        <f t="shared" si="96"/>
        <v>Revenue Requirements</v>
      </c>
      <c r="D103" s="114" t="s">
        <v>24</v>
      </c>
      <c r="E103" s="84"/>
      <c r="F103" s="84"/>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S103" s="84"/>
      <c r="BT103" s="51" t="s">
        <v>17</v>
      </c>
    </row>
    <row r="104" spans="1:72" x14ac:dyDescent="0.25">
      <c r="A104" s="246"/>
      <c r="B104" s="243" t="str">
        <f t="shared" si="96"/>
        <v>Low-Income</v>
      </c>
      <c r="C104" s="243" t="str">
        <f t="shared" si="96"/>
        <v>Revenue Requirements</v>
      </c>
      <c r="D104" s="244" t="str">
        <f>D103</f>
        <v>Avoided Costs</v>
      </c>
      <c r="E104" s="84" t="s">
        <v>45</v>
      </c>
      <c r="F104" s="84" t="s">
        <v>32</v>
      </c>
      <c r="G104" s="65">
        <f ca="1">IF($C$4=Lookups!$D$40,SUM(INDIRECT("'Yr1'!"&amp;ADDRESS(ROW(G104),COLUMN(G104))),INDIRECT("'Yr2'!"&amp;ADDRESS(ROW(G104),COLUMN(G104))),INDIRECT("'Yr3'!"&amp;ADDRESS(ROW(G104),COLUMN(G104)))),
IF(G91=0,0,-PMT(INDEX(Lookups!$E$17:$G$17,MATCH($C$4,Lookups!$E$14:$G$14,0)),G91,SUMIFS('EE Inputs'!$J$9:$J$32,'EE Inputs'!$C$9:$C$32,$G$6,'EE Inputs'!$D$9:$D$32,$C$4,'EE Inputs'!$E$9:$E$32,$B104),0,1)))-G105</f>
        <v>0</v>
      </c>
      <c r="H104" s="65">
        <f ca="1">IF($C$4=Lookups!$D$40,SUM(INDIRECT("'Yr1'!"&amp;ADDRESS(ROW(H104),COLUMN(H104))),INDIRECT("'Yr2'!"&amp;ADDRESS(ROW(H104),COLUMN(H104))),INDIRECT("'Yr3'!"&amp;ADDRESS(ROW(H104),COLUMN(H104)))),
IF(H91=0,0,-PMT(INDEX(Lookups!$E$17:$G$17,MATCH($C$4,Lookups!$E$14:$G$14,0)),H91,SUMIFS('EE Inputs'!$J$9:$J$32,'EE Inputs'!$C$9:$C$32,$G$6,'EE Inputs'!$D$9:$D$32,$C$4,'EE Inputs'!$E$9:$E$32,$B104),0,1)))-H105</f>
        <v>66883.01945364209</v>
      </c>
      <c r="I104" s="65">
        <f ca="1">IF($C$4=Lookups!$D$40,SUM(INDIRECT("'Yr1'!"&amp;ADDRESS(ROW(I104),COLUMN(I104))),INDIRECT("'Yr2'!"&amp;ADDRESS(ROW(I104),COLUMN(I104))),INDIRECT("'Yr3'!"&amp;ADDRESS(ROW(I104),COLUMN(I104)))),
IF(I91=0,0,-PMT(INDEX(Lookups!$E$17:$G$17,MATCH($C$4,Lookups!$E$14:$G$14,0)),I91,SUMIFS('EE Inputs'!$J$9:$J$32,'EE Inputs'!$C$9:$C$32,$G$6,'EE Inputs'!$D$9:$D$32,$C$4,'EE Inputs'!$E$9:$E$32,$B104),0,1)))-I105</f>
        <v>66883.01945364209</v>
      </c>
      <c r="J104" s="65">
        <f ca="1">IF($C$4=Lookups!$D$40,SUM(INDIRECT("'Yr1'!"&amp;ADDRESS(ROW(J104),COLUMN(J104))),INDIRECT("'Yr2'!"&amp;ADDRESS(ROW(J104),COLUMN(J104))),INDIRECT("'Yr3'!"&amp;ADDRESS(ROW(J104),COLUMN(J104)))),
IF(J91=0,0,-PMT(INDEX(Lookups!$E$17:$G$17,MATCH($C$4,Lookups!$E$14:$G$14,0)),J91,SUMIFS('EE Inputs'!$J$9:$J$32,'EE Inputs'!$C$9:$C$32,$G$6,'EE Inputs'!$D$9:$D$32,$C$4,'EE Inputs'!$E$9:$E$32,$B104),0,1)))-J105</f>
        <v>66883.01945364209</v>
      </c>
      <c r="K104" s="65">
        <f ca="1">IF($C$4=Lookups!$D$40,SUM(INDIRECT("'Yr1'!"&amp;ADDRESS(ROW(K104),COLUMN(K104))),INDIRECT("'Yr2'!"&amp;ADDRESS(ROW(K104),COLUMN(K104))),INDIRECT("'Yr3'!"&amp;ADDRESS(ROW(K104),COLUMN(K104)))),
IF(K91=0,0,-PMT(INDEX(Lookups!$E$17:$G$17,MATCH($C$4,Lookups!$E$14:$G$14,0)),K91,SUMIFS('EE Inputs'!$J$9:$J$32,'EE Inputs'!$C$9:$C$32,$G$6,'EE Inputs'!$D$9:$D$32,$C$4,'EE Inputs'!$E$9:$E$32,$B104),0,1)))-K105</f>
        <v>66883.01945364209</v>
      </c>
      <c r="L104" s="65">
        <f ca="1">IF($C$4=Lookups!$D$40,SUM(INDIRECT("'Yr1'!"&amp;ADDRESS(ROW(L104),COLUMN(L104))),INDIRECT("'Yr2'!"&amp;ADDRESS(ROW(L104),COLUMN(L104))),INDIRECT("'Yr3'!"&amp;ADDRESS(ROW(L104),COLUMN(L104)))),
IF(L91=0,0,-PMT(INDEX(Lookups!$E$17:$G$17,MATCH($C$4,Lookups!$E$14:$G$14,0)),L91,SUMIFS('EE Inputs'!$J$9:$J$32,'EE Inputs'!$C$9:$C$32,$G$6,'EE Inputs'!$D$9:$D$32,$C$4,'EE Inputs'!$E$9:$E$32,$B104),0,1)))-L105</f>
        <v>66883.01945364209</v>
      </c>
      <c r="M104" s="65">
        <f ca="1">IF($C$4=Lookups!$D$40,SUM(INDIRECT("'Yr1'!"&amp;ADDRESS(ROW(M104),COLUMN(M104))),INDIRECT("'Yr2'!"&amp;ADDRESS(ROW(M104),COLUMN(M104))),INDIRECT("'Yr3'!"&amp;ADDRESS(ROW(M104),COLUMN(M104)))),
IF(M91=0,0,-PMT(INDEX(Lookups!$E$17:$G$17,MATCH($C$4,Lookups!$E$14:$G$14,0)),M91,SUMIFS('EE Inputs'!$J$9:$J$32,'EE Inputs'!$C$9:$C$32,$G$6,'EE Inputs'!$D$9:$D$32,$C$4,'EE Inputs'!$E$9:$E$32,$B104),0,1)))-M105</f>
        <v>66883.01945364209</v>
      </c>
      <c r="N104" s="65">
        <f ca="1">IF($C$4=Lookups!$D$40,SUM(INDIRECT("'Yr1'!"&amp;ADDRESS(ROW(N104),COLUMN(N104))),INDIRECT("'Yr2'!"&amp;ADDRESS(ROW(N104),COLUMN(N104))),INDIRECT("'Yr3'!"&amp;ADDRESS(ROW(N104),COLUMN(N104)))),
IF(N91=0,0,-PMT(INDEX(Lookups!$E$17:$G$17,MATCH($C$4,Lookups!$E$14:$G$14,0)),N91,SUMIFS('EE Inputs'!$J$9:$J$32,'EE Inputs'!$C$9:$C$32,$G$6,'EE Inputs'!$D$9:$D$32,$C$4,'EE Inputs'!$E$9:$E$32,$B104),0,1)))-N105</f>
        <v>66883.01945364209</v>
      </c>
      <c r="O104" s="65">
        <f ca="1">IF($C$4=Lookups!$D$40,SUM(INDIRECT("'Yr1'!"&amp;ADDRESS(ROW(O104),COLUMN(O104))),INDIRECT("'Yr2'!"&amp;ADDRESS(ROW(O104),COLUMN(O104))),INDIRECT("'Yr3'!"&amp;ADDRESS(ROW(O104),COLUMN(O104)))),
IF(O91=0,0,-PMT(INDEX(Lookups!$E$17:$G$17,MATCH($C$4,Lookups!$E$14:$G$14,0)),O91,SUMIFS('EE Inputs'!$J$9:$J$32,'EE Inputs'!$C$9:$C$32,$G$6,'EE Inputs'!$D$9:$D$32,$C$4,'EE Inputs'!$E$9:$E$32,$B104),0,1)))-O105</f>
        <v>66883.01945364209</v>
      </c>
      <c r="P104" s="65">
        <f ca="1">IF($C$4=Lookups!$D$40,SUM(INDIRECT("'Yr1'!"&amp;ADDRESS(ROW(P104),COLUMN(P104))),INDIRECT("'Yr2'!"&amp;ADDRESS(ROW(P104),COLUMN(P104))),INDIRECT("'Yr3'!"&amp;ADDRESS(ROW(P104),COLUMN(P104)))),
IF(P91=0,0,-PMT(INDEX(Lookups!$E$17:$G$17,MATCH($C$4,Lookups!$E$14:$G$14,0)),P91,SUMIFS('EE Inputs'!$J$9:$J$32,'EE Inputs'!$C$9:$C$32,$G$6,'EE Inputs'!$D$9:$D$32,$C$4,'EE Inputs'!$E$9:$E$32,$B104),0,1)))-P105</f>
        <v>66883.01945364209</v>
      </c>
      <c r="Q104" s="65">
        <f ca="1">IF($C$4=Lookups!$D$40,SUM(INDIRECT("'Yr1'!"&amp;ADDRESS(ROW(Q104),COLUMN(Q104))),INDIRECT("'Yr2'!"&amp;ADDRESS(ROW(Q104),COLUMN(Q104))),INDIRECT("'Yr3'!"&amp;ADDRESS(ROW(Q104),COLUMN(Q104)))),
IF(Q91=0,0,-PMT(INDEX(Lookups!$E$17:$G$17,MATCH($C$4,Lookups!$E$14:$G$14,0)),Q91,SUMIFS('EE Inputs'!$J$9:$J$32,'EE Inputs'!$C$9:$C$32,$G$6,'EE Inputs'!$D$9:$D$32,$C$4,'EE Inputs'!$E$9:$E$32,$B104),0,1)))-Q105</f>
        <v>66883.01945364209</v>
      </c>
      <c r="R104" s="65">
        <f ca="1">IF($C$4=Lookups!$D$40,SUM(INDIRECT("'Yr1'!"&amp;ADDRESS(ROW(R104),COLUMN(R104))),INDIRECT("'Yr2'!"&amp;ADDRESS(ROW(R104),COLUMN(R104))),INDIRECT("'Yr3'!"&amp;ADDRESS(ROW(R104),COLUMN(R104)))),
IF(R91=0,0,-PMT(INDEX(Lookups!$E$17:$G$17,MATCH($C$4,Lookups!$E$14:$G$14,0)),R91,SUMIFS('EE Inputs'!$J$9:$J$32,'EE Inputs'!$C$9:$C$32,$G$6,'EE Inputs'!$D$9:$D$32,$C$4,'EE Inputs'!$E$9:$E$32,$B104),0,1)))-R105</f>
        <v>66883.01945364209</v>
      </c>
      <c r="S104" s="65">
        <f ca="1">IF($C$4=Lookups!$D$40,SUM(INDIRECT("'Yr1'!"&amp;ADDRESS(ROW(S104),COLUMN(S104))),INDIRECT("'Yr2'!"&amp;ADDRESS(ROW(S104),COLUMN(S104))),INDIRECT("'Yr3'!"&amp;ADDRESS(ROW(S104),COLUMN(S104)))),
IF(S91=0,0,-PMT(INDEX(Lookups!$E$17:$G$17,MATCH($C$4,Lookups!$E$14:$G$14,0)),S91,SUMIFS('EE Inputs'!$J$9:$J$32,'EE Inputs'!$C$9:$C$32,$G$6,'EE Inputs'!$D$9:$D$32,$C$4,'EE Inputs'!$E$9:$E$32,$B104),0,1)))-S105</f>
        <v>66883.01945364209</v>
      </c>
      <c r="T104" s="65">
        <f ca="1">IF($C$4=Lookups!$D$40,SUM(INDIRECT("'Yr1'!"&amp;ADDRESS(ROW(T104),COLUMN(T104))),INDIRECT("'Yr2'!"&amp;ADDRESS(ROW(T104),COLUMN(T104))),INDIRECT("'Yr3'!"&amp;ADDRESS(ROW(T104),COLUMN(T104)))),
IF(T91=0,0,-PMT(INDEX(Lookups!$E$17:$G$17,MATCH($C$4,Lookups!$E$14:$G$14,0)),T91,SUMIFS('EE Inputs'!$J$9:$J$32,'EE Inputs'!$C$9:$C$32,$G$6,'EE Inputs'!$D$9:$D$32,$C$4,'EE Inputs'!$E$9:$E$32,$B104),0,1)))-T105</f>
        <v>66883.01945364209</v>
      </c>
      <c r="U104" s="65">
        <f ca="1">IF($C$4=Lookups!$D$40,SUM(INDIRECT("'Yr1'!"&amp;ADDRESS(ROW(U104),COLUMN(U104))),INDIRECT("'Yr2'!"&amp;ADDRESS(ROW(U104),COLUMN(U104))),INDIRECT("'Yr3'!"&amp;ADDRESS(ROW(U104),COLUMN(U104)))),
IF(U91=0,0,-PMT(INDEX(Lookups!$E$17:$G$17,MATCH($C$4,Lookups!$E$14:$G$14,0)),U91,SUMIFS('EE Inputs'!$J$9:$J$32,'EE Inputs'!$C$9:$C$32,$G$6,'EE Inputs'!$D$9:$D$32,$C$4,'EE Inputs'!$E$9:$E$32,$B104),0,1)))-U105</f>
        <v>66883.01945364209</v>
      </c>
      <c r="V104" s="65">
        <f ca="1">IF($C$4=Lookups!$D$40,SUM(INDIRECT("'Yr1'!"&amp;ADDRESS(ROW(V104),COLUMN(V104))),INDIRECT("'Yr2'!"&amp;ADDRESS(ROW(V104),COLUMN(V104))),INDIRECT("'Yr3'!"&amp;ADDRESS(ROW(V104),COLUMN(V104)))),
IF(V91=0,0,-PMT(INDEX(Lookups!$E$17:$G$17,MATCH($C$4,Lookups!$E$14:$G$14,0)),V91,SUMIFS('EE Inputs'!$J$9:$J$32,'EE Inputs'!$C$9:$C$32,$G$6,'EE Inputs'!$D$9:$D$32,$C$4,'EE Inputs'!$E$9:$E$32,$B104),0,1)))-V105</f>
        <v>66883.01945364209</v>
      </c>
      <c r="W104" s="65">
        <f ca="1">IF($C$4=Lookups!$D$40,SUM(INDIRECT("'Yr1'!"&amp;ADDRESS(ROW(W104),COLUMN(W104))),INDIRECT("'Yr2'!"&amp;ADDRESS(ROW(W104),COLUMN(W104))),INDIRECT("'Yr3'!"&amp;ADDRESS(ROW(W104),COLUMN(W104)))),
IF(W91=0,0,-PMT(INDEX(Lookups!$E$17:$G$17,MATCH($C$4,Lookups!$E$14:$G$14,0)),W91,SUMIFS('EE Inputs'!$J$9:$J$32,'EE Inputs'!$C$9:$C$32,$G$6,'EE Inputs'!$D$9:$D$32,$C$4,'EE Inputs'!$E$9:$E$32,$B104),0,1)))-W105</f>
        <v>66883.01945364209</v>
      </c>
      <c r="X104" s="65">
        <f ca="1">IF($C$4=Lookups!$D$40,SUM(INDIRECT("'Yr1'!"&amp;ADDRESS(ROW(X104),COLUMN(X104))),INDIRECT("'Yr2'!"&amp;ADDRESS(ROW(X104),COLUMN(X104))),INDIRECT("'Yr3'!"&amp;ADDRESS(ROW(X104),COLUMN(X104)))),
IF(X91=0,0,-PMT(INDEX(Lookups!$E$17:$G$17,MATCH($C$4,Lookups!$E$14:$G$14,0)),X91,SUMIFS('EE Inputs'!$J$9:$J$32,'EE Inputs'!$C$9:$C$32,$G$6,'EE Inputs'!$D$9:$D$32,$C$4,'EE Inputs'!$E$9:$E$32,$B104),0,1)))-X105</f>
        <v>66883.01945364209</v>
      </c>
      <c r="Y104" s="65">
        <f ca="1">IF($C$4=Lookups!$D$40,SUM(INDIRECT("'Yr1'!"&amp;ADDRESS(ROW(Y104),COLUMN(Y104))),INDIRECT("'Yr2'!"&amp;ADDRESS(ROW(Y104),COLUMN(Y104))),INDIRECT("'Yr3'!"&amp;ADDRESS(ROW(Y104),COLUMN(Y104)))),
IF(Y91=0,0,-PMT(INDEX(Lookups!$E$17:$G$17,MATCH($C$4,Lookups!$E$14:$G$14,0)),Y91,SUMIFS('EE Inputs'!$J$9:$J$32,'EE Inputs'!$C$9:$C$32,$G$6,'EE Inputs'!$D$9:$D$32,$C$4,'EE Inputs'!$E$9:$E$32,$B104),0,1)))-Y105</f>
        <v>66883.01945364209</v>
      </c>
      <c r="Z104" s="65">
        <f ca="1">IF($C$4=Lookups!$D$40,SUM(INDIRECT("'Yr1'!"&amp;ADDRESS(ROW(Z104),COLUMN(Z104))),INDIRECT("'Yr2'!"&amp;ADDRESS(ROW(Z104),COLUMN(Z104))),INDIRECT("'Yr3'!"&amp;ADDRESS(ROW(Z104),COLUMN(Z104)))),
IF(Z91=0,0,-PMT(INDEX(Lookups!$E$17:$G$17,MATCH($C$4,Lookups!$E$14:$G$14,0)),Z91,SUMIFS('EE Inputs'!$J$9:$J$32,'EE Inputs'!$C$9:$C$32,$G$6,'EE Inputs'!$D$9:$D$32,$C$4,'EE Inputs'!$E$9:$E$32,$B104),0,1)))-Z105</f>
        <v>66883.01945364209</v>
      </c>
      <c r="AA104" s="65">
        <f ca="1">IF($C$4=Lookups!$D$40,SUM(INDIRECT("'Yr1'!"&amp;ADDRESS(ROW(AA104),COLUMN(AA104))),INDIRECT("'Yr2'!"&amp;ADDRESS(ROW(AA104),COLUMN(AA104))),INDIRECT("'Yr3'!"&amp;ADDRESS(ROW(AA104),COLUMN(AA104)))),
IF(AA91=0,0,-PMT(INDEX(Lookups!$E$17:$G$17,MATCH($C$4,Lookups!$E$14:$G$14,0)),AA91,SUMIFS('EE Inputs'!$J$9:$J$32,'EE Inputs'!$C$9:$C$32,$G$6,'EE Inputs'!$D$9:$D$32,$C$4,'EE Inputs'!$E$9:$E$32,$B104),0,1)))-AA105</f>
        <v>66883.01945364209</v>
      </c>
      <c r="AB104" s="65">
        <f ca="1">IF($C$4=Lookups!$D$40,SUM(INDIRECT("'Yr1'!"&amp;ADDRESS(ROW(AB104),COLUMN(AB104))),INDIRECT("'Yr2'!"&amp;ADDRESS(ROW(AB104),COLUMN(AB104))),INDIRECT("'Yr3'!"&amp;ADDRESS(ROW(AB104),COLUMN(AB104)))),
IF(AB91=0,0,-PMT(INDEX(Lookups!$E$17:$G$17,MATCH($C$4,Lookups!$E$14:$G$14,0)),AB91,SUMIFS('EE Inputs'!$J$9:$J$32,'EE Inputs'!$C$9:$C$32,$G$6,'EE Inputs'!$D$9:$D$32,$C$4,'EE Inputs'!$E$9:$E$32,$B104),0,1)))-AB105</f>
        <v>0</v>
      </c>
      <c r="AC104" s="65">
        <f ca="1">IF($C$4=Lookups!$D$40,SUM(INDIRECT("'Yr1'!"&amp;ADDRESS(ROW(AC104),COLUMN(AC104))),INDIRECT("'Yr2'!"&amp;ADDRESS(ROW(AC104),COLUMN(AC104))),INDIRECT("'Yr3'!"&amp;ADDRESS(ROW(AC104),COLUMN(AC104)))),
IF(AC91=0,0,-PMT(INDEX(Lookups!$E$17:$G$17,MATCH($C$4,Lookups!$E$14:$G$14,0)),AC91,SUMIFS('EE Inputs'!$J$9:$J$32,'EE Inputs'!$C$9:$C$32,$G$6,'EE Inputs'!$D$9:$D$32,$C$4,'EE Inputs'!$E$9:$E$32,$B104),0,1)))-AC105</f>
        <v>0</v>
      </c>
      <c r="AD104" s="65">
        <f ca="1">IF($C$4=Lookups!$D$40,SUM(INDIRECT("'Yr1'!"&amp;ADDRESS(ROW(AD104),COLUMN(AD104))),INDIRECT("'Yr2'!"&amp;ADDRESS(ROW(AD104),COLUMN(AD104))),INDIRECT("'Yr3'!"&amp;ADDRESS(ROW(AD104),COLUMN(AD104)))),
IF(AD91=0,0,-PMT(INDEX(Lookups!$E$17:$G$17,MATCH($C$4,Lookups!$E$14:$G$14,0)),AD91,SUMIFS('EE Inputs'!$J$9:$J$32,'EE Inputs'!$C$9:$C$32,$G$6,'EE Inputs'!$D$9:$D$32,$C$4,'EE Inputs'!$E$9:$E$32,$B104),0,1)))-AD105</f>
        <v>0</v>
      </c>
      <c r="AE104" s="65">
        <f ca="1">IF($C$4=Lookups!$D$40,SUM(INDIRECT("'Yr1'!"&amp;ADDRESS(ROW(AE104),COLUMN(AE104))),INDIRECT("'Yr2'!"&amp;ADDRESS(ROW(AE104),COLUMN(AE104))),INDIRECT("'Yr3'!"&amp;ADDRESS(ROW(AE104),COLUMN(AE104)))),
IF(AE91=0,0,-PMT(INDEX(Lookups!$E$17:$G$17,MATCH($C$4,Lookups!$E$14:$G$14,0)),AE91,SUMIFS('EE Inputs'!$J$9:$J$32,'EE Inputs'!$C$9:$C$32,$G$6,'EE Inputs'!$D$9:$D$32,$C$4,'EE Inputs'!$E$9:$E$32,$B104),0,1)))-AE105</f>
        <v>0</v>
      </c>
      <c r="AF104" s="65">
        <f ca="1">IF($C$4=Lookups!$D$40,SUM(INDIRECT("'Yr1'!"&amp;ADDRESS(ROW(AF104),COLUMN(AF104))),INDIRECT("'Yr2'!"&amp;ADDRESS(ROW(AF104),COLUMN(AF104))),INDIRECT("'Yr3'!"&amp;ADDRESS(ROW(AF104),COLUMN(AF104)))),
IF(AF91=0,0,-PMT(INDEX(Lookups!$E$17:$G$17,MATCH($C$4,Lookups!$E$14:$G$14,0)),AF91,SUMIFS('EE Inputs'!$J$9:$J$32,'EE Inputs'!$C$9:$C$32,$G$6,'EE Inputs'!$D$9:$D$32,$C$4,'EE Inputs'!$E$9:$E$32,$B104),0,1)))-AF105</f>
        <v>0</v>
      </c>
      <c r="AG104" s="65">
        <f ca="1">IF($C$4=Lookups!$D$40,SUM(INDIRECT("'Yr1'!"&amp;ADDRESS(ROW(AG104),COLUMN(AG104))),INDIRECT("'Yr2'!"&amp;ADDRESS(ROW(AG104),COLUMN(AG104))),INDIRECT("'Yr3'!"&amp;ADDRESS(ROW(AG104),COLUMN(AG104)))),
IF(AG91=0,0,-PMT(INDEX(Lookups!$E$17:$G$17,MATCH($C$4,Lookups!$E$14:$G$14,0)),AG91,SUMIFS('EE Inputs'!$J$9:$J$32,'EE Inputs'!$C$9:$C$32,$G$6,'EE Inputs'!$D$9:$D$32,$C$4,'EE Inputs'!$E$9:$E$32,$B104),0,1)))-AG105</f>
        <v>0</v>
      </c>
      <c r="AH104" s="65"/>
      <c r="AI104" s="65">
        <f ca="1">NPV(Lookups!$E$17,G104:AG104)</f>
        <v>1141887.9934643076</v>
      </c>
      <c r="AJ104" s="65"/>
      <c r="AM104" s="72">
        <f ca="1">IF($C$4=Lookups!$D$40,SUM(INDIRECT("'Yr1'!"&amp;ADDRESS(ROW(AM104),COLUMN(AM104))),INDIRECT("'Yr2'!"&amp;ADDRESS(ROW(AM104),COLUMN(AM104))),INDIRECT("'Yr3'!"&amp;ADDRESS(ROW(AM104),COLUMN(AM104)))),
IF(AM91=0,0,-PMT(INDEX(Lookups!$E$17:$G$17,MATCH($C$4,Lookups!$E$14:$G$14,0)),AM91,SUMIFS('EE Inputs'!$J$9:$J$32,'EE Inputs'!$C$9:$C$32,$AM$6,'EE Inputs'!$D$9:$D$32,$C$4,'EE Inputs'!$E$9:$E$32,$B104),0,1)))-AM105</f>
        <v>0</v>
      </c>
      <c r="AN104" s="72">
        <f ca="1">IF($C$4=Lookups!$D$40,SUM(INDIRECT("'Yr1'!"&amp;ADDRESS(ROW(AN104),COLUMN(AN104))),INDIRECT("'Yr2'!"&amp;ADDRESS(ROW(AN104),COLUMN(AN104))),INDIRECT("'Yr3'!"&amp;ADDRESS(ROW(AN104),COLUMN(AN104)))),
IF(AN91=0,0,-PMT(INDEX(Lookups!$E$17:$G$17,MATCH($C$4,Lookups!$E$14:$G$14,0)),AN91,SUMIFS('EE Inputs'!$J$9:$J$32,'EE Inputs'!$C$9:$C$32,$AM$6,'EE Inputs'!$D$9:$D$32,$C$4,'EE Inputs'!$E$9:$E$32,$B104),0,1)))-AN105</f>
        <v>76437.736518448102</v>
      </c>
      <c r="AO104" s="72">
        <f ca="1">IF($C$4=Lookups!$D$40,SUM(INDIRECT("'Yr1'!"&amp;ADDRESS(ROW(AO104),COLUMN(AO104))),INDIRECT("'Yr2'!"&amp;ADDRESS(ROW(AO104),COLUMN(AO104))),INDIRECT("'Yr3'!"&amp;ADDRESS(ROW(AO104),COLUMN(AO104)))),
IF(AO91=0,0,-PMT(INDEX(Lookups!$E$17:$G$17,MATCH($C$4,Lookups!$E$14:$G$14,0)),AO91,SUMIFS('EE Inputs'!$J$9:$J$32,'EE Inputs'!$C$9:$C$32,$AM$6,'EE Inputs'!$D$9:$D$32,$C$4,'EE Inputs'!$E$9:$E$32,$B104),0,1)))-AO105</f>
        <v>76437.736518448102</v>
      </c>
      <c r="AP104" s="72">
        <f ca="1">IF($C$4=Lookups!$D$40,SUM(INDIRECT("'Yr1'!"&amp;ADDRESS(ROW(AP104),COLUMN(AP104))),INDIRECT("'Yr2'!"&amp;ADDRESS(ROW(AP104),COLUMN(AP104))),INDIRECT("'Yr3'!"&amp;ADDRESS(ROW(AP104),COLUMN(AP104)))),
IF(AP91=0,0,-PMT(INDEX(Lookups!$E$17:$G$17,MATCH($C$4,Lookups!$E$14:$G$14,0)),AP91,SUMIFS('EE Inputs'!$J$9:$J$32,'EE Inputs'!$C$9:$C$32,$AM$6,'EE Inputs'!$D$9:$D$32,$C$4,'EE Inputs'!$E$9:$E$32,$B104),0,1)))-AP105</f>
        <v>76437.736518448102</v>
      </c>
      <c r="AQ104" s="72">
        <f ca="1">IF($C$4=Lookups!$D$40,SUM(INDIRECT("'Yr1'!"&amp;ADDRESS(ROW(AQ104),COLUMN(AQ104))),INDIRECT("'Yr2'!"&amp;ADDRESS(ROW(AQ104),COLUMN(AQ104))),INDIRECT("'Yr3'!"&amp;ADDRESS(ROW(AQ104),COLUMN(AQ104)))),
IF(AQ91=0,0,-PMT(INDEX(Lookups!$E$17:$G$17,MATCH($C$4,Lookups!$E$14:$G$14,0)),AQ91,SUMIFS('EE Inputs'!$J$9:$J$32,'EE Inputs'!$C$9:$C$32,$AM$6,'EE Inputs'!$D$9:$D$32,$C$4,'EE Inputs'!$E$9:$E$32,$B104),0,1)))-AQ105</f>
        <v>76437.736518448102</v>
      </c>
      <c r="AR104" s="72">
        <f ca="1">IF($C$4=Lookups!$D$40,SUM(INDIRECT("'Yr1'!"&amp;ADDRESS(ROW(AR104),COLUMN(AR104))),INDIRECT("'Yr2'!"&amp;ADDRESS(ROW(AR104),COLUMN(AR104))),INDIRECT("'Yr3'!"&amp;ADDRESS(ROW(AR104),COLUMN(AR104)))),
IF(AR91=0,0,-PMT(INDEX(Lookups!$E$17:$G$17,MATCH($C$4,Lookups!$E$14:$G$14,0)),AR91,SUMIFS('EE Inputs'!$J$9:$J$32,'EE Inputs'!$C$9:$C$32,$AM$6,'EE Inputs'!$D$9:$D$32,$C$4,'EE Inputs'!$E$9:$E$32,$B104),0,1)))-AR105</f>
        <v>76437.736518448102</v>
      </c>
      <c r="AS104" s="72">
        <f ca="1">IF($C$4=Lookups!$D$40,SUM(INDIRECT("'Yr1'!"&amp;ADDRESS(ROW(AS104),COLUMN(AS104))),INDIRECT("'Yr2'!"&amp;ADDRESS(ROW(AS104),COLUMN(AS104))),INDIRECT("'Yr3'!"&amp;ADDRESS(ROW(AS104),COLUMN(AS104)))),
IF(AS91=0,0,-PMT(INDEX(Lookups!$E$17:$G$17,MATCH($C$4,Lookups!$E$14:$G$14,0)),AS91,SUMIFS('EE Inputs'!$J$9:$J$32,'EE Inputs'!$C$9:$C$32,$AM$6,'EE Inputs'!$D$9:$D$32,$C$4,'EE Inputs'!$E$9:$E$32,$B104),0,1)))-AS105</f>
        <v>76437.736518448102</v>
      </c>
      <c r="AT104" s="72">
        <f ca="1">IF($C$4=Lookups!$D$40,SUM(INDIRECT("'Yr1'!"&amp;ADDRESS(ROW(AT104),COLUMN(AT104))),INDIRECT("'Yr2'!"&amp;ADDRESS(ROW(AT104),COLUMN(AT104))),INDIRECT("'Yr3'!"&amp;ADDRESS(ROW(AT104),COLUMN(AT104)))),
IF(AT91=0,0,-PMT(INDEX(Lookups!$E$17:$G$17,MATCH($C$4,Lookups!$E$14:$G$14,0)),AT91,SUMIFS('EE Inputs'!$J$9:$J$32,'EE Inputs'!$C$9:$C$32,$AM$6,'EE Inputs'!$D$9:$D$32,$C$4,'EE Inputs'!$E$9:$E$32,$B104),0,1)))-AT105</f>
        <v>76437.736518448102</v>
      </c>
      <c r="AU104" s="72">
        <f ca="1">IF($C$4=Lookups!$D$40,SUM(INDIRECT("'Yr1'!"&amp;ADDRESS(ROW(AU104),COLUMN(AU104))),INDIRECT("'Yr2'!"&amp;ADDRESS(ROW(AU104),COLUMN(AU104))),INDIRECT("'Yr3'!"&amp;ADDRESS(ROW(AU104),COLUMN(AU104)))),
IF(AU91=0,0,-PMT(INDEX(Lookups!$E$17:$G$17,MATCH($C$4,Lookups!$E$14:$G$14,0)),AU91,SUMIFS('EE Inputs'!$J$9:$J$32,'EE Inputs'!$C$9:$C$32,$AM$6,'EE Inputs'!$D$9:$D$32,$C$4,'EE Inputs'!$E$9:$E$32,$B104),0,1)))-AU105</f>
        <v>76437.736518448102</v>
      </c>
      <c r="AV104" s="72">
        <f ca="1">IF($C$4=Lookups!$D$40,SUM(INDIRECT("'Yr1'!"&amp;ADDRESS(ROW(AV104),COLUMN(AV104))),INDIRECT("'Yr2'!"&amp;ADDRESS(ROW(AV104),COLUMN(AV104))),INDIRECT("'Yr3'!"&amp;ADDRESS(ROW(AV104),COLUMN(AV104)))),
IF(AV91=0,0,-PMT(INDEX(Lookups!$E$17:$G$17,MATCH($C$4,Lookups!$E$14:$G$14,0)),AV91,SUMIFS('EE Inputs'!$J$9:$J$32,'EE Inputs'!$C$9:$C$32,$AM$6,'EE Inputs'!$D$9:$D$32,$C$4,'EE Inputs'!$E$9:$E$32,$B104),0,1)))-AV105</f>
        <v>76437.736518448102</v>
      </c>
      <c r="AW104" s="72">
        <f ca="1">IF($C$4=Lookups!$D$40,SUM(INDIRECT("'Yr1'!"&amp;ADDRESS(ROW(AW104),COLUMN(AW104))),INDIRECT("'Yr2'!"&amp;ADDRESS(ROW(AW104),COLUMN(AW104))),INDIRECT("'Yr3'!"&amp;ADDRESS(ROW(AW104),COLUMN(AW104)))),
IF(AW91=0,0,-PMT(INDEX(Lookups!$E$17:$G$17,MATCH($C$4,Lookups!$E$14:$G$14,0)),AW91,SUMIFS('EE Inputs'!$J$9:$J$32,'EE Inputs'!$C$9:$C$32,$AM$6,'EE Inputs'!$D$9:$D$32,$C$4,'EE Inputs'!$E$9:$E$32,$B104),0,1)))-AW105</f>
        <v>76437.736518448102</v>
      </c>
      <c r="AX104" s="72">
        <f ca="1">IF($C$4=Lookups!$D$40,SUM(INDIRECT("'Yr1'!"&amp;ADDRESS(ROW(AX104),COLUMN(AX104))),INDIRECT("'Yr2'!"&amp;ADDRESS(ROW(AX104),COLUMN(AX104))),INDIRECT("'Yr3'!"&amp;ADDRESS(ROW(AX104),COLUMN(AX104)))),
IF(AX91=0,0,-PMT(INDEX(Lookups!$E$17:$G$17,MATCH($C$4,Lookups!$E$14:$G$14,0)),AX91,SUMIFS('EE Inputs'!$J$9:$J$32,'EE Inputs'!$C$9:$C$32,$AM$6,'EE Inputs'!$D$9:$D$32,$C$4,'EE Inputs'!$E$9:$E$32,$B104),0,1)))-AX105</f>
        <v>76437.736518448102</v>
      </c>
      <c r="AY104" s="72">
        <f ca="1">IF($C$4=Lookups!$D$40,SUM(INDIRECT("'Yr1'!"&amp;ADDRESS(ROW(AY104),COLUMN(AY104))),INDIRECT("'Yr2'!"&amp;ADDRESS(ROW(AY104),COLUMN(AY104))),INDIRECT("'Yr3'!"&amp;ADDRESS(ROW(AY104),COLUMN(AY104)))),
IF(AY91=0,0,-PMT(INDEX(Lookups!$E$17:$G$17,MATCH($C$4,Lookups!$E$14:$G$14,0)),AY91,SUMIFS('EE Inputs'!$J$9:$J$32,'EE Inputs'!$C$9:$C$32,$AM$6,'EE Inputs'!$D$9:$D$32,$C$4,'EE Inputs'!$E$9:$E$32,$B104),0,1)))-AY105</f>
        <v>76437.736518448102</v>
      </c>
      <c r="AZ104" s="72">
        <f ca="1">IF($C$4=Lookups!$D$40,SUM(INDIRECT("'Yr1'!"&amp;ADDRESS(ROW(AZ104),COLUMN(AZ104))),INDIRECT("'Yr2'!"&amp;ADDRESS(ROW(AZ104),COLUMN(AZ104))),INDIRECT("'Yr3'!"&amp;ADDRESS(ROW(AZ104),COLUMN(AZ104)))),
IF(AZ91=0,0,-PMT(INDEX(Lookups!$E$17:$G$17,MATCH($C$4,Lookups!$E$14:$G$14,0)),AZ91,SUMIFS('EE Inputs'!$J$9:$J$32,'EE Inputs'!$C$9:$C$32,$AM$6,'EE Inputs'!$D$9:$D$32,$C$4,'EE Inputs'!$E$9:$E$32,$B104),0,1)))-AZ105</f>
        <v>76437.736518448102</v>
      </c>
      <c r="BA104" s="72">
        <f ca="1">IF($C$4=Lookups!$D$40,SUM(INDIRECT("'Yr1'!"&amp;ADDRESS(ROW(BA104),COLUMN(BA104))),INDIRECT("'Yr2'!"&amp;ADDRESS(ROW(BA104),COLUMN(BA104))),INDIRECT("'Yr3'!"&amp;ADDRESS(ROW(BA104),COLUMN(BA104)))),
IF(BA91=0,0,-PMT(INDEX(Lookups!$E$17:$G$17,MATCH($C$4,Lookups!$E$14:$G$14,0)),BA91,SUMIFS('EE Inputs'!$J$9:$J$32,'EE Inputs'!$C$9:$C$32,$AM$6,'EE Inputs'!$D$9:$D$32,$C$4,'EE Inputs'!$E$9:$E$32,$B104),0,1)))-BA105</f>
        <v>76437.736518448102</v>
      </c>
      <c r="BB104" s="72">
        <f ca="1">IF($C$4=Lookups!$D$40,SUM(INDIRECT("'Yr1'!"&amp;ADDRESS(ROW(BB104),COLUMN(BB104))),INDIRECT("'Yr2'!"&amp;ADDRESS(ROW(BB104),COLUMN(BB104))),INDIRECT("'Yr3'!"&amp;ADDRESS(ROW(BB104),COLUMN(BB104)))),
IF(BB91=0,0,-PMT(INDEX(Lookups!$E$17:$G$17,MATCH($C$4,Lookups!$E$14:$G$14,0)),BB91,SUMIFS('EE Inputs'!$J$9:$J$32,'EE Inputs'!$C$9:$C$32,$AM$6,'EE Inputs'!$D$9:$D$32,$C$4,'EE Inputs'!$E$9:$E$32,$B104),0,1)))-BB105</f>
        <v>76437.736518448102</v>
      </c>
      <c r="BC104" s="72">
        <f ca="1">IF($C$4=Lookups!$D$40,SUM(INDIRECT("'Yr1'!"&amp;ADDRESS(ROW(BC104),COLUMN(BC104))),INDIRECT("'Yr2'!"&amp;ADDRESS(ROW(BC104),COLUMN(BC104))),INDIRECT("'Yr3'!"&amp;ADDRESS(ROW(BC104),COLUMN(BC104)))),
IF(BC91=0,0,-PMT(INDEX(Lookups!$E$17:$G$17,MATCH($C$4,Lookups!$E$14:$G$14,0)),BC91,SUMIFS('EE Inputs'!$J$9:$J$32,'EE Inputs'!$C$9:$C$32,$AM$6,'EE Inputs'!$D$9:$D$32,$C$4,'EE Inputs'!$E$9:$E$32,$B104),0,1)))-BC105</f>
        <v>76437.736518448102</v>
      </c>
      <c r="BD104" s="72">
        <f ca="1">IF($C$4=Lookups!$D$40,SUM(INDIRECT("'Yr1'!"&amp;ADDRESS(ROW(BD104),COLUMN(BD104))),INDIRECT("'Yr2'!"&amp;ADDRESS(ROW(BD104),COLUMN(BD104))),INDIRECT("'Yr3'!"&amp;ADDRESS(ROW(BD104),COLUMN(BD104)))),
IF(BD91=0,0,-PMT(INDEX(Lookups!$E$17:$G$17,MATCH($C$4,Lookups!$E$14:$G$14,0)),BD91,SUMIFS('EE Inputs'!$J$9:$J$32,'EE Inputs'!$C$9:$C$32,$AM$6,'EE Inputs'!$D$9:$D$32,$C$4,'EE Inputs'!$E$9:$E$32,$B104),0,1)))-BD105</f>
        <v>76437.736518448102</v>
      </c>
      <c r="BE104" s="72">
        <f ca="1">IF($C$4=Lookups!$D$40,SUM(INDIRECT("'Yr1'!"&amp;ADDRESS(ROW(BE104),COLUMN(BE104))),INDIRECT("'Yr2'!"&amp;ADDRESS(ROW(BE104),COLUMN(BE104))),INDIRECT("'Yr3'!"&amp;ADDRESS(ROW(BE104),COLUMN(BE104)))),
IF(BE91=0,0,-PMT(INDEX(Lookups!$E$17:$G$17,MATCH($C$4,Lookups!$E$14:$G$14,0)),BE91,SUMIFS('EE Inputs'!$J$9:$J$32,'EE Inputs'!$C$9:$C$32,$AM$6,'EE Inputs'!$D$9:$D$32,$C$4,'EE Inputs'!$E$9:$E$32,$B104),0,1)))-BE105</f>
        <v>76437.736518448102</v>
      </c>
      <c r="BF104" s="72">
        <f ca="1">IF($C$4=Lookups!$D$40,SUM(INDIRECT("'Yr1'!"&amp;ADDRESS(ROW(BF104),COLUMN(BF104))),INDIRECT("'Yr2'!"&amp;ADDRESS(ROW(BF104),COLUMN(BF104))),INDIRECT("'Yr3'!"&amp;ADDRESS(ROW(BF104),COLUMN(BF104)))),
IF(BF91=0,0,-PMT(INDEX(Lookups!$E$17:$G$17,MATCH($C$4,Lookups!$E$14:$G$14,0)),BF91,SUMIFS('EE Inputs'!$J$9:$J$32,'EE Inputs'!$C$9:$C$32,$AM$6,'EE Inputs'!$D$9:$D$32,$C$4,'EE Inputs'!$E$9:$E$32,$B104),0,1)))-BF105</f>
        <v>76437.736518448102</v>
      </c>
      <c r="BG104" s="72">
        <f ca="1">IF($C$4=Lookups!$D$40,SUM(INDIRECT("'Yr1'!"&amp;ADDRESS(ROW(BG104),COLUMN(BG104))),INDIRECT("'Yr2'!"&amp;ADDRESS(ROW(BG104),COLUMN(BG104))),INDIRECT("'Yr3'!"&amp;ADDRESS(ROW(BG104),COLUMN(BG104)))),
IF(BG91=0,0,-PMT(INDEX(Lookups!$E$17:$G$17,MATCH($C$4,Lookups!$E$14:$G$14,0)),BG91,SUMIFS('EE Inputs'!$J$9:$J$32,'EE Inputs'!$C$9:$C$32,$AM$6,'EE Inputs'!$D$9:$D$32,$C$4,'EE Inputs'!$E$9:$E$32,$B104),0,1)))-BG105</f>
        <v>76437.736518448102</v>
      </c>
      <c r="BH104" s="72">
        <f ca="1">IF($C$4=Lookups!$D$40,SUM(INDIRECT("'Yr1'!"&amp;ADDRESS(ROW(BH104),COLUMN(BH104))),INDIRECT("'Yr2'!"&amp;ADDRESS(ROW(BH104),COLUMN(BH104))),INDIRECT("'Yr3'!"&amp;ADDRESS(ROW(BH104),COLUMN(BH104)))),
IF(BH91=0,0,-PMT(INDEX(Lookups!$E$17:$G$17,MATCH($C$4,Lookups!$E$14:$G$14,0)),BH91,SUMIFS('EE Inputs'!$J$9:$J$32,'EE Inputs'!$C$9:$C$32,$AM$6,'EE Inputs'!$D$9:$D$32,$C$4,'EE Inputs'!$E$9:$E$32,$B104),0,1)))-BH105</f>
        <v>0</v>
      </c>
      <c r="BI104" s="72">
        <f ca="1">IF($C$4=Lookups!$D$40,SUM(INDIRECT("'Yr1'!"&amp;ADDRESS(ROW(BI104),COLUMN(BI104))),INDIRECT("'Yr2'!"&amp;ADDRESS(ROW(BI104),COLUMN(BI104))),INDIRECT("'Yr3'!"&amp;ADDRESS(ROW(BI104),COLUMN(BI104)))),
IF(BI91=0,0,-PMT(INDEX(Lookups!$E$17:$G$17,MATCH($C$4,Lookups!$E$14:$G$14,0)),BI91,SUMIFS('EE Inputs'!$J$9:$J$32,'EE Inputs'!$C$9:$C$32,$AM$6,'EE Inputs'!$D$9:$D$32,$C$4,'EE Inputs'!$E$9:$E$32,$B104),0,1)))-BI105</f>
        <v>0</v>
      </c>
      <c r="BJ104" s="72">
        <f ca="1">IF($C$4=Lookups!$D$40,SUM(INDIRECT("'Yr1'!"&amp;ADDRESS(ROW(BJ104),COLUMN(BJ104))),INDIRECT("'Yr2'!"&amp;ADDRESS(ROW(BJ104),COLUMN(BJ104))),INDIRECT("'Yr3'!"&amp;ADDRESS(ROW(BJ104),COLUMN(BJ104)))),
IF(BJ91=0,0,-PMT(INDEX(Lookups!$E$17:$G$17,MATCH($C$4,Lookups!$E$14:$G$14,0)),BJ91,SUMIFS('EE Inputs'!$J$9:$J$32,'EE Inputs'!$C$9:$C$32,$AM$6,'EE Inputs'!$D$9:$D$32,$C$4,'EE Inputs'!$E$9:$E$32,$B104),0,1)))-BJ105</f>
        <v>0</v>
      </c>
      <c r="BK104" s="72">
        <f ca="1">IF($C$4=Lookups!$D$40,SUM(INDIRECT("'Yr1'!"&amp;ADDRESS(ROW(BK104),COLUMN(BK104))),INDIRECT("'Yr2'!"&amp;ADDRESS(ROW(BK104),COLUMN(BK104))),INDIRECT("'Yr3'!"&amp;ADDRESS(ROW(BK104),COLUMN(BK104)))),
IF(BK91=0,0,-PMT(INDEX(Lookups!$E$17:$G$17,MATCH($C$4,Lookups!$E$14:$G$14,0)),BK91,SUMIFS('EE Inputs'!$J$9:$J$32,'EE Inputs'!$C$9:$C$32,$AM$6,'EE Inputs'!$D$9:$D$32,$C$4,'EE Inputs'!$E$9:$E$32,$B104),0,1)))-BK105</f>
        <v>0</v>
      </c>
      <c r="BL104" s="72">
        <f ca="1">IF($C$4=Lookups!$D$40,SUM(INDIRECT("'Yr1'!"&amp;ADDRESS(ROW(BL104),COLUMN(BL104))),INDIRECT("'Yr2'!"&amp;ADDRESS(ROW(BL104),COLUMN(BL104))),INDIRECT("'Yr3'!"&amp;ADDRESS(ROW(BL104),COLUMN(BL104)))),
IF(BL91=0,0,-PMT(INDEX(Lookups!$E$17:$G$17,MATCH($C$4,Lookups!$E$14:$G$14,0)),BL91,SUMIFS('EE Inputs'!$J$9:$J$32,'EE Inputs'!$C$9:$C$32,$AM$6,'EE Inputs'!$D$9:$D$32,$C$4,'EE Inputs'!$E$9:$E$32,$B104),0,1)))-BL105</f>
        <v>0</v>
      </c>
      <c r="BM104" s="72">
        <f ca="1">IF($C$4=Lookups!$D$40,SUM(INDIRECT("'Yr1'!"&amp;ADDRESS(ROW(BM104),COLUMN(BM104))),INDIRECT("'Yr2'!"&amp;ADDRESS(ROW(BM104),COLUMN(BM104))),INDIRECT("'Yr3'!"&amp;ADDRESS(ROW(BM104),COLUMN(BM104)))),
IF(BM91=0,0,-PMT(INDEX(Lookups!$E$17:$G$17,MATCH($C$4,Lookups!$E$14:$G$14,0)),BM91,SUMIFS('EE Inputs'!$J$9:$J$32,'EE Inputs'!$C$9:$C$32,$AM$6,'EE Inputs'!$D$9:$D$32,$C$4,'EE Inputs'!$E$9:$E$32,$B104),0,1)))-BM105</f>
        <v>0</v>
      </c>
      <c r="BN104" s="72"/>
      <c r="BO104" s="72">
        <f ca="1">NPV(Lookups!$E$17,AM104:BM104)</f>
        <v>1305014.8496734947</v>
      </c>
      <c r="BP104" s="72"/>
      <c r="BS104" s="84" t="str">
        <f>"Avoided "&amp;E104&amp;" costs, less the retail margin."</f>
        <v>Avoided Gas costs, less the retail margin.</v>
      </c>
      <c r="BT104" s="51" t="s">
        <v>17</v>
      </c>
    </row>
    <row r="105" spans="1:72" x14ac:dyDescent="0.25">
      <c r="A105" s="246"/>
      <c r="B105" s="243" t="str">
        <f t="shared" si="96"/>
        <v>Low-Income</v>
      </c>
      <c r="C105" s="243" t="str">
        <f t="shared" si="96"/>
        <v>Revenue Requirements</v>
      </c>
      <c r="D105" s="244" t="str">
        <f>D104</f>
        <v>Avoided Costs</v>
      </c>
      <c r="E105" s="84" t="s">
        <v>412</v>
      </c>
      <c r="F105" s="84" t="s">
        <v>32</v>
      </c>
      <c r="G105" s="65">
        <f ca="1">IF($C$4=Lookups!$D$40,SUM(INDIRECT("'Yr1'!"&amp;ADDRESS(ROW(G105),COLUMN(G105))),INDIRECT("'Yr2'!"&amp;ADDRESS(ROW(G105),COLUMN(G105))),INDIRECT("'Yr3'!"&amp;ADDRESS(ROW(G105),COLUMN(G105)))),
IF(G91=0,0,-PMT(INDEX(Lookups!$E$17:$G$17,MATCH($C$4,Lookups!$E$14:$G$14,0)),G91,SUMIFS('EE Inputs'!$W$9:$W$32,'EE Inputs'!$C$9:$C$32,$G$6,'EE Inputs'!$D$9:$D$32,$C$4,'EE Inputs'!$E$9:$E$32,$B105),0,1)))</f>
        <v>0</v>
      </c>
      <c r="H105" s="65">
        <f ca="1">IF($C$4=Lookups!$D$40,SUM(INDIRECT("'Yr1'!"&amp;ADDRESS(ROW(H105),COLUMN(H105))),INDIRECT("'Yr2'!"&amp;ADDRESS(ROW(H105),COLUMN(H105))),INDIRECT("'Yr3'!"&amp;ADDRESS(ROW(H105),COLUMN(H105)))),
IF(H91=0,0,-PMT(INDEX(Lookups!$E$17:$G$17,MATCH($C$4,Lookups!$E$14:$G$14,0)),H91,SUMIFS('EE Inputs'!$W$9:$W$32,'EE Inputs'!$C$9:$C$32,$G$6,'EE Inputs'!$D$9:$D$32,$C$4,'EE Inputs'!$E$9:$E$32,$B105),0,1)))</f>
        <v>4269.1289012963034</v>
      </c>
      <c r="I105" s="65">
        <f ca="1">IF($C$4=Lookups!$D$40,SUM(INDIRECT("'Yr1'!"&amp;ADDRESS(ROW(I105),COLUMN(I105))),INDIRECT("'Yr2'!"&amp;ADDRESS(ROW(I105),COLUMN(I105))),INDIRECT("'Yr3'!"&amp;ADDRESS(ROW(I105),COLUMN(I105)))),
IF(I91=0,0,-PMT(INDEX(Lookups!$E$17:$G$17,MATCH($C$4,Lookups!$E$14:$G$14,0)),I91,SUMIFS('EE Inputs'!$W$9:$W$32,'EE Inputs'!$C$9:$C$32,$G$6,'EE Inputs'!$D$9:$D$32,$C$4,'EE Inputs'!$E$9:$E$32,$B105),0,1)))</f>
        <v>4269.1289012963034</v>
      </c>
      <c r="J105" s="65">
        <f ca="1">IF($C$4=Lookups!$D$40,SUM(INDIRECT("'Yr1'!"&amp;ADDRESS(ROW(J105),COLUMN(J105))),INDIRECT("'Yr2'!"&amp;ADDRESS(ROW(J105),COLUMN(J105))),INDIRECT("'Yr3'!"&amp;ADDRESS(ROW(J105),COLUMN(J105)))),
IF(J91=0,0,-PMT(INDEX(Lookups!$E$17:$G$17,MATCH($C$4,Lookups!$E$14:$G$14,0)),J91,SUMIFS('EE Inputs'!$W$9:$W$32,'EE Inputs'!$C$9:$C$32,$G$6,'EE Inputs'!$D$9:$D$32,$C$4,'EE Inputs'!$E$9:$E$32,$B105),0,1)))</f>
        <v>4269.1289012963034</v>
      </c>
      <c r="K105" s="65">
        <f ca="1">IF($C$4=Lookups!$D$40,SUM(INDIRECT("'Yr1'!"&amp;ADDRESS(ROW(K105),COLUMN(K105))),INDIRECT("'Yr2'!"&amp;ADDRESS(ROW(K105),COLUMN(K105))),INDIRECT("'Yr3'!"&amp;ADDRESS(ROW(K105),COLUMN(K105)))),
IF(K91=0,0,-PMT(INDEX(Lookups!$E$17:$G$17,MATCH($C$4,Lookups!$E$14:$G$14,0)),K91,SUMIFS('EE Inputs'!$W$9:$W$32,'EE Inputs'!$C$9:$C$32,$G$6,'EE Inputs'!$D$9:$D$32,$C$4,'EE Inputs'!$E$9:$E$32,$B105),0,1)))</f>
        <v>4269.1289012963034</v>
      </c>
      <c r="L105" s="65">
        <f ca="1">IF($C$4=Lookups!$D$40,SUM(INDIRECT("'Yr1'!"&amp;ADDRESS(ROW(L105),COLUMN(L105))),INDIRECT("'Yr2'!"&amp;ADDRESS(ROW(L105),COLUMN(L105))),INDIRECT("'Yr3'!"&amp;ADDRESS(ROW(L105),COLUMN(L105)))),
IF(L91=0,0,-PMT(INDEX(Lookups!$E$17:$G$17,MATCH($C$4,Lookups!$E$14:$G$14,0)),L91,SUMIFS('EE Inputs'!$W$9:$W$32,'EE Inputs'!$C$9:$C$32,$G$6,'EE Inputs'!$D$9:$D$32,$C$4,'EE Inputs'!$E$9:$E$32,$B105),0,1)))</f>
        <v>4269.1289012963034</v>
      </c>
      <c r="M105" s="65">
        <f ca="1">IF($C$4=Lookups!$D$40,SUM(INDIRECT("'Yr1'!"&amp;ADDRESS(ROW(M105),COLUMN(M105))),INDIRECT("'Yr2'!"&amp;ADDRESS(ROW(M105),COLUMN(M105))),INDIRECT("'Yr3'!"&amp;ADDRESS(ROW(M105),COLUMN(M105)))),
IF(M91=0,0,-PMT(INDEX(Lookups!$E$17:$G$17,MATCH($C$4,Lookups!$E$14:$G$14,0)),M91,SUMIFS('EE Inputs'!$W$9:$W$32,'EE Inputs'!$C$9:$C$32,$G$6,'EE Inputs'!$D$9:$D$32,$C$4,'EE Inputs'!$E$9:$E$32,$B105),0,1)))</f>
        <v>4269.1289012963034</v>
      </c>
      <c r="N105" s="65">
        <f ca="1">IF($C$4=Lookups!$D$40,SUM(INDIRECT("'Yr1'!"&amp;ADDRESS(ROW(N105),COLUMN(N105))),INDIRECT("'Yr2'!"&amp;ADDRESS(ROW(N105),COLUMN(N105))),INDIRECT("'Yr3'!"&amp;ADDRESS(ROW(N105),COLUMN(N105)))),
IF(N91=0,0,-PMT(INDEX(Lookups!$E$17:$G$17,MATCH($C$4,Lookups!$E$14:$G$14,0)),N91,SUMIFS('EE Inputs'!$W$9:$W$32,'EE Inputs'!$C$9:$C$32,$G$6,'EE Inputs'!$D$9:$D$32,$C$4,'EE Inputs'!$E$9:$E$32,$B105),0,1)))</f>
        <v>4269.1289012963034</v>
      </c>
      <c r="O105" s="65">
        <f ca="1">IF($C$4=Lookups!$D$40,SUM(INDIRECT("'Yr1'!"&amp;ADDRESS(ROW(O105),COLUMN(O105))),INDIRECT("'Yr2'!"&amp;ADDRESS(ROW(O105),COLUMN(O105))),INDIRECT("'Yr3'!"&amp;ADDRESS(ROW(O105),COLUMN(O105)))),
IF(O91=0,0,-PMT(INDEX(Lookups!$E$17:$G$17,MATCH($C$4,Lookups!$E$14:$G$14,0)),O91,SUMIFS('EE Inputs'!$W$9:$W$32,'EE Inputs'!$C$9:$C$32,$G$6,'EE Inputs'!$D$9:$D$32,$C$4,'EE Inputs'!$E$9:$E$32,$B105),0,1)))</f>
        <v>4269.1289012963034</v>
      </c>
      <c r="P105" s="65">
        <f ca="1">IF($C$4=Lookups!$D$40,SUM(INDIRECT("'Yr1'!"&amp;ADDRESS(ROW(P105),COLUMN(P105))),INDIRECT("'Yr2'!"&amp;ADDRESS(ROW(P105),COLUMN(P105))),INDIRECT("'Yr3'!"&amp;ADDRESS(ROW(P105),COLUMN(P105)))),
IF(P91=0,0,-PMT(INDEX(Lookups!$E$17:$G$17,MATCH($C$4,Lookups!$E$14:$G$14,0)),P91,SUMIFS('EE Inputs'!$W$9:$W$32,'EE Inputs'!$C$9:$C$32,$G$6,'EE Inputs'!$D$9:$D$32,$C$4,'EE Inputs'!$E$9:$E$32,$B105),0,1)))</f>
        <v>4269.1289012963034</v>
      </c>
      <c r="Q105" s="65">
        <f ca="1">IF($C$4=Lookups!$D$40,SUM(INDIRECT("'Yr1'!"&amp;ADDRESS(ROW(Q105),COLUMN(Q105))),INDIRECT("'Yr2'!"&amp;ADDRESS(ROW(Q105),COLUMN(Q105))),INDIRECT("'Yr3'!"&amp;ADDRESS(ROW(Q105),COLUMN(Q105)))),
IF(Q91=0,0,-PMT(INDEX(Lookups!$E$17:$G$17,MATCH($C$4,Lookups!$E$14:$G$14,0)),Q91,SUMIFS('EE Inputs'!$W$9:$W$32,'EE Inputs'!$C$9:$C$32,$G$6,'EE Inputs'!$D$9:$D$32,$C$4,'EE Inputs'!$E$9:$E$32,$B105),0,1)))</f>
        <v>4269.1289012963034</v>
      </c>
      <c r="R105" s="65">
        <f ca="1">IF($C$4=Lookups!$D$40,SUM(INDIRECT("'Yr1'!"&amp;ADDRESS(ROW(R105),COLUMN(R105))),INDIRECT("'Yr2'!"&amp;ADDRESS(ROW(R105),COLUMN(R105))),INDIRECT("'Yr3'!"&amp;ADDRESS(ROW(R105),COLUMN(R105)))),
IF(R91=0,0,-PMT(INDEX(Lookups!$E$17:$G$17,MATCH($C$4,Lookups!$E$14:$G$14,0)),R91,SUMIFS('EE Inputs'!$W$9:$W$32,'EE Inputs'!$C$9:$C$32,$G$6,'EE Inputs'!$D$9:$D$32,$C$4,'EE Inputs'!$E$9:$E$32,$B105),0,1)))</f>
        <v>4269.1289012963034</v>
      </c>
      <c r="S105" s="65">
        <f ca="1">IF($C$4=Lookups!$D$40,SUM(INDIRECT("'Yr1'!"&amp;ADDRESS(ROW(S105),COLUMN(S105))),INDIRECT("'Yr2'!"&amp;ADDRESS(ROW(S105),COLUMN(S105))),INDIRECT("'Yr3'!"&amp;ADDRESS(ROW(S105),COLUMN(S105)))),
IF(S91=0,0,-PMT(INDEX(Lookups!$E$17:$G$17,MATCH($C$4,Lookups!$E$14:$G$14,0)),S91,SUMIFS('EE Inputs'!$W$9:$W$32,'EE Inputs'!$C$9:$C$32,$G$6,'EE Inputs'!$D$9:$D$32,$C$4,'EE Inputs'!$E$9:$E$32,$B105),0,1)))</f>
        <v>4269.1289012963034</v>
      </c>
      <c r="T105" s="65">
        <f ca="1">IF($C$4=Lookups!$D$40,SUM(INDIRECT("'Yr1'!"&amp;ADDRESS(ROW(T105),COLUMN(T105))),INDIRECT("'Yr2'!"&amp;ADDRESS(ROW(T105),COLUMN(T105))),INDIRECT("'Yr3'!"&amp;ADDRESS(ROW(T105),COLUMN(T105)))),
IF(T91=0,0,-PMT(INDEX(Lookups!$E$17:$G$17,MATCH($C$4,Lookups!$E$14:$G$14,0)),T91,SUMIFS('EE Inputs'!$W$9:$W$32,'EE Inputs'!$C$9:$C$32,$G$6,'EE Inputs'!$D$9:$D$32,$C$4,'EE Inputs'!$E$9:$E$32,$B105),0,1)))</f>
        <v>4269.1289012963034</v>
      </c>
      <c r="U105" s="65">
        <f ca="1">IF($C$4=Lookups!$D$40,SUM(INDIRECT("'Yr1'!"&amp;ADDRESS(ROW(U105),COLUMN(U105))),INDIRECT("'Yr2'!"&amp;ADDRESS(ROW(U105),COLUMN(U105))),INDIRECT("'Yr3'!"&amp;ADDRESS(ROW(U105),COLUMN(U105)))),
IF(U91=0,0,-PMT(INDEX(Lookups!$E$17:$G$17,MATCH($C$4,Lookups!$E$14:$G$14,0)),U91,SUMIFS('EE Inputs'!$W$9:$W$32,'EE Inputs'!$C$9:$C$32,$G$6,'EE Inputs'!$D$9:$D$32,$C$4,'EE Inputs'!$E$9:$E$32,$B105),0,1)))</f>
        <v>4269.1289012963034</v>
      </c>
      <c r="V105" s="65">
        <f ca="1">IF($C$4=Lookups!$D$40,SUM(INDIRECT("'Yr1'!"&amp;ADDRESS(ROW(V105),COLUMN(V105))),INDIRECT("'Yr2'!"&amp;ADDRESS(ROW(V105),COLUMN(V105))),INDIRECT("'Yr3'!"&amp;ADDRESS(ROW(V105),COLUMN(V105)))),
IF(V91=0,0,-PMT(INDEX(Lookups!$E$17:$G$17,MATCH($C$4,Lookups!$E$14:$G$14,0)),V91,SUMIFS('EE Inputs'!$W$9:$W$32,'EE Inputs'!$C$9:$C$32,$G$6,'EE Inputs'!$D$9:$D$32,$C$4,'EE Inputs'!$E$9:$E$32,$B105),0,1)))</f>
        <v>4269.1289012963034</v>
      </c>
      <c r="W105" s="65">
        <f ca="1">IF($C$4=Lookups!$D$40,SUM(INDIRECT("'Yr1'!"&amp;ADDRESS(ROW(W105),COLUMN(W105))),INDIRECT("'Yr2'!"&amp;ADDRESS(ROW(W105),COLUMN(W105))),INDIRECT("'Yr3'!"&amp;ADDRESS(ROW(W105),COLUMN(W105)))),
IF(W91=0,0,-PMT(INDEX(Lookups!$E$17:$G$17,MATCH($C$4,Lookups!$E$14:$G$14,0)),W91,SUMIFS('EE Inputs'!$W$9:$W$32,'EE Inputs'!$C$9:$C$32,$G$6,'EE Inputs'!$D$9:$D$32,$C$4,'EE Inputs'!$E$9:$E$32,$B105),0,1)))</f>
        <v>4269.1289012963034</v>
      </c>
      <c r="X105" s="65">
        <f ca="1">IF($C$4=Lookups!$D$40,SUM(INDIRECT("'Yr1'!"&amp;ADDRESS(ROW(X105),COLUMN(X105))),INDIRECT("'Yr2'!"&amp;ADDRESS(ROW(X105),COLUMN(X105))),INDIRECT("'Yr3'!"&amp;ADDRESS(ROW(X105),COLUMN(X105)))),
IF(X91=0,0,-PMT(INDEX(Lookups!$E$17:$G$17,MATCH($C$4,Lookups!$E$14:$G$14,0)),X91,SUMIFS('EE Inputs'!$W$9:$W$32,'EE Inputs'!$C$9:$C$32,$G$6,'EE Inputs'!$D$9:$D$32,$C$4,'EE Inputs'!$E$9:$E$32,$B105),0,1)))</f>
        <v>4269.1289012963034</v>
      </c>
      <c r="Y105" s="65">
        <f ca="1">IF($C$4=Lookups!$D$40,SUM(INDIRECT("'Yr1'!"&amp;ADDRESS(ROW(Y105),COLUMN(Y105))),INDIRECT("'Yr2'!"&amp;ADDRESS(ROW(Y105),COLUMN(Y105))),INDIRECT("'Yr3'!"&amp;ADDRESS(ROW(Y105),COLUMN(Y105)))),
IF(Y91=0,0,-PMT(INDEX(Lookups!$E$17:$G$17,MATCH($C$4,Lookups!$E$14:$G$14,0)),Y91,SUMIFS('EE Inputs'!$W$9:$W$32,'EE Inputs'!$C$9:$C$32,$G$6,'EE Inputs'!$D$9:$D$32,$C$4,'EE Inputs'!$E$9:$E$32,$B105),0,1)))</f>
        <v>4269.1289012963034</v>
      </c>
      <c r="Z105" s="65">
        <f ca="1">IF($C$4=Lookups!$D$40,SUM(INDIRECT("'Yr1'!"&amp;ADDRESS(ROW(Z105),COLUMN(Z105))),INDIRECT("'Yr2'!"&amp;ADDRESS(ROW(Z105),COLUMN(Z105))),INDIRECT("'Yr3'!"&amp;ADDRESS(ROW(Z105),COLUMN(Z105)))),
IF(Z91=0,0,-PMT(INDEX(Lookups!$E$17:$G$17,MATCH($C$4,Lookups!$E$14:$G$14,0)),Z91,SUMIFS('EE Inputs'!$W$9:$W$32,'EE Inputs'!$C$9:$C$32,$G$6,'EE Inputs'!$D$9:$D$32,$C$4,'EE Inputs'!$E$9:$E$32,$B105),0,1)))</f>
        <v>4269.1289012963034</v>
      </c>
      <c r="AA105" s="65">
        <f ca="1">IF($C$4=Lookups!$D$40,SUM(INDIRECT("'Yr1'!"&amp;ADDRESS(ROW(AA105),COLUMN(AA105))),INDIRECT("'Yr2'!"&amp;ADDRESS(ROW(AA105),COLUMN(AA105))),INDIRECT("'Yr3'!"&amp;ADDRESS(ROW(AA105),COLUMN(AA105)))),
IF(AA91=0,0,-PMT(INDEX(Lookups!$E$17:$G$17,MATCH($C$4,Lookups!$E$14:$G$14,0)),AA91,SUMIFS('EE Inputs'!$W$9:$W$32,'EE Inputs'!$C$9:$C$32,$G$6,'EE Inputs'!$D$9:$D$32,$C$4,'EE Inputs'!$E$9:$E$32,$B105),0,1)))</f>
        <v>4269.1289012963034</v>
      </c>
      <c r="AB105" s="65">
        <f ca="1">IF($C$4=Lookups!$D$40,SUM(INDIRECT("'Yr1'!"&amp;ADDRESS(ROW(AB105),COLUMN(AB105))),INDIRECT("'Yr2'!"&amp;ADDRESS(ROW(AB105),COLUMN(AB105))),INDIRECT("'Yr3'!"&amp;ADDRESS(ROW(AB105),COLUMN(AB105)))),
IF(AB91=0,0,-PMT(INDEX(Lookups!$E$17:$G$17,MATCH($C$4,Lookups!$E$14:$G$14,0)),AB91,SUMIFS('EE Inputs'!$W$9:$W$32,'EE Inputs'!$C$9:$C$32,$G$6,'EE Inputs'!$D$9:$D$32,$C$4,'EE Inputs'!$E$9:$E$32,$B105),0,1)))</f>
        <v>0</v>
      </c>
      <c r="AC105" s="65">
        <f ca="1">IF($C$4=Lookups!$D$40,SUM(INDIRECT("'Yr1'!"&amp;ADDRESS(ROW(AC105),COLUMN(AC105))),INDIRECT("'Yr2'!"&amp;ADDRESS(ROW(AC105),COLUMN(AC105))),INDIRECT("'Yr3'!"&amp;ADDRESS(ROW(AC105),COLUMN(AC105)))),
IF(AC91=0,0,-PMT(INDEX(Lookups!$E$17:$G$17,MATCH($C$4,Lookups!$E$14:$G$14,0)),AC91,SUMIFS('EE Inputs'!$W$9:$W$32,'EE Inputs'!$C$9:$C$32,$G$6,'EE Inputs'!$D$9:$D$32,$C$4,'EE Inputs'!$E$9:$E$32,$B105),0,1)))</f>
        <v>0</v>
      </c>
      <c r="AD105" s="65">
        <f ca="1">IF($C$4=Lookups!$D$40,SUM(INDIRECT("'Yr1'!"&amp;ADDRESS(ROW(AD105),COLUMN(AD105))),INDIRECT("'Yr2'!"&amp;ADDRESS(ROW(AD105),COLUMN(AD105))),INDIRECT("'Yr3'!"&amp;ADDRESS(ROW(AD105),COLUMN(AD105)))),
IF(AD91=0,0,-PMT(INDEX(Lookups!$E$17:$G$17,MATCH($C$4,Lookups!$E$14:$G$14,0)),AD91,SUMIFS('EE Inputs'!$W$9:$W$32,'EE Inputs'!$C$9:$C$32,$G$6,'EE Inputs'!$D$9:$D$32,$C$4,'EE Inputs'!$E$9:$E$32,$B105),0,1)))</f>
        <v>0</v>
      </c>
      <c r="AE105" s="65">
        <f ca="1">IF($C$4=Lookups!$D$40,SUM(INDIRECT("'Yr1'!"&amp;ADDRESS(ROW(AE105),COLUMN(AE105))),INDIRECT("'Yr2'!"&amp;ADDRESS(ROW(AE105),COLUMN(AE105))),INDIRECT("'Yr3'!"&amp;ADDRESS(ROW(AE105),COLUMN(AE105)))),
IF(AE91=0,0,-PMT(INDEX(Lookups!$E$17:$G$17,MATCH($C$4,Lookups!$E$14:$G$14,0)),AE91,SUMIFS('EE Inputs'!$W$9:$W$32,'EE Inputs'!$C$9:$C$32,$G$6,'EE Inputs'!$D$9:$D$32,$C$4,'EE Inputs'!$E$9:$E$32,$B105),0,1)))</f>
        <v>0</v>
      </c>
      <c r="AF105" s="65">
        <f ca="1">IF($C$4=Lookups!$D$40,SUM(INDIRECT("'Yr1'!"&amp;ADDRESS(ROW(AF105),COLUMN(AF105))),INDIRECT("'Yr2'!"&amp;ADDRESS(ROW(AF105),COLUMN(AF105))),INDIRECT("'Yr3'!"&amp;ADDRESS(ROW(AF105),COLUMN(AF105)))),
IF(AF91=0,0,-PMT(INDEX(Lookups!$E$17:$G$17,MATCH($C$4,Lookups!$E$14:$G$14,0)),AF91,SUMIFS('EE Inputs'!$W$9:$W$32,'EE Inputs'!$C$9:$C$32,$G$6,'EE Inputs'!$D$9:$D$32,$C$4,'EE Inputs'!$E$9:$E$32,$B105),0,1)))</f>
        <v>0</v>
      </c>
      <c r="AG105" s="65">
        <f ca="1">IF($C$4=Lookups!$D$40,SUM(INDIRECT("'Yr1'!"&amp;ADDRESS(ROW(AG105),COLUMN(AG105))),INDIRECT("'Yr2'!"&amp;ADDRESS(ROW(AG105),COLUMN(AG105))),INDIRECT("'Yr3'!"&amp;ADDRESS(ROW(AG105),COLUMN(AG105)))),
IF(AG91=0,0,-PMT(INDEX(Lookups!$E$17:$G$17,MATCH($C$4,Lookups!$E$14:$G$14,0)),AG91,SUMIFS('EE Inputs'!$W$9:$W$32,'EE Inputs'!$C$9:$C$32,$G$6,'EE Inputs'!$D$9:$D$32,$C$4,'EE Inputs'!$E$9:$E$32,$B105),0,1)))</f>
        <v>0</v>
      </c>
      <c r="AH105" s="65"/>
      <c r="AI105" s="65">
        <f ca="1">NPV(Lookups!$E$17,G105:AG105)</f>
        <v>72886.467667934543</v>
      </c>
      <c r="AJ105" s="65"/>
      <c r="AM105" s="72">
        <f ca="1">IF($C$4=Lookups!$D$40,SUM(INDIRECT("'Yr1'!"&amp;ADDRESS(ROW(AM105),COLUMN(AM105))),INDIRECT("'Yr2'!"&amp;ADDRESS(ROW(AM105),COLUMN(AM105))),INDIRECT("'Yr3'!"&amp;ADDRESS(ROW(AM105),COLUMN(AM105)))),
IF(AM91=0,0,-PMT(INDEX(Lookups!$E$17:$G$17,MATCH($C$4,Lookups!$E$14:$G$14,0)),AM91,SUMIFS('EE Inputs'!$W$9:$W$32,'EE Inputs'!$C$9:$C$32,$AM$6,'EE Inputs'!$D$9:$D$32,$C$4,'EE Inputs'!$E$9:$E$32,$B105),0,1)))</f>
        <v>0</v>
      </c>
      <c r="AN105" s="72">
        <f ca="1">IF($C$4=Lookups!$D$40,SUM(INDIRECT("'Yr1'!"&amp;ADDRESS(ROW(AN105),COLUMN(AN105))),INDIRECT("'Yr2'!"&amp;ADDRESS(ROW(AN105),COLUMN(AN105))),INDIRECT("'Yr3'!"&amp;ADDRESS(ROW(AN105),COLUMN(AN105)))),
IF(AN91=0,0,-PMT(INDEX(Lookups!$E$17:$G$17,MATCH($C$4,Lookups!$E$14:$G$14,0)),AN91,SUMIFS('EE Inputs'!$W$9:$W$32,'EE Inputs'!$C$9:$C$32,$AM$6,'EE Inputs'!$D$9:$D$32,$C$4,'EE Inputs'!$E$9:$E$32,$B105),0,1)))</f>
        <v>4879.0044586243466</v>
      </c>
      <c r="AO105" s="72">
        <f ca="1">IF($C$4=Lookups!$D$40,SUM(INDIRECT("'Yr1'!"&amp;ADDRESS(ROW(AO105),COLUMN(AO105))),INDIRECT("'Yr2'!"&amp;ADDRESS(ROW(AO105),COLUMN(AO105))),INDIRECT("'Yr3'!"&amp;ADDRESS(ROW(AO105),COLUMN(AO105)))),
IF(AO91=0,0,-PMT(INDEX(Lookups!$E$17:$G$17,MATCH($C$4,Lookups!$E$14:$G$14,0)),AO91,SUMIFS('EE Inputs'!$W$9:$W$32,'EE Inputs'!$C$9:$C$32,$AM$6,'EE Inputs'!$D$9:$D$32,$C$4,'EE Inputs'!$E$9:$E$32,$B105),0,1)))</f>
        <v>4879.0044586243466</v>
      </c>
      <c r="AP105" s="72">
        <f ca="1">IF($C$4=Lookups!$D$40,SUM(INDIRECT("'Yr1'!"&amp;ADDRESS(ROW(AP105),COLUMN(AP105))),INDIRECT("'Yr2'!"&amp;ADDRESS(ROW(AP105),COLUMN(AP105))),INDIRECT("'Yr3'!"&amp;ADDRESS(ROW(AP105),COLUMN(AP105)))),
IF(AP91=0,0,-PMT(INDEX(Lookups!$E$17:$G$17,MATCH($C$4,Lookups!$E$14:$G$14,0)),AP91,SUMIFS('EE Inputs'!$W$9:$W$32,'EE Inputs'!$C$9:$C$32,$AM$6,'EE Inputs'!$D$9:$D$32,$C$4,'EE Inputs'!$E$9:$E$32,$B105),0,1)))</f>
        <v>4879.0044586243466</v>
      </c>
      <c r="AQ105" s="72">
        <f ca="1">IF($C$4=Lookups!$D$40,SUM(INDIRECT("'Yr1'!"&amp;ADDRESS(ROW(AQ105),COLUMN(AQ105))),INDIRECT("'Yr2'!"&amp;ADDRESS(ROW(AQ105),COLUMN(AQ105))),INDIRECT("'Yr3'!"&amp;ADDRESS(ROW(AQ105),COLUMN(AQ105)))),
IF(AQ91=0,0,-PMT(INDEX(Lookups!$E$17:$G$17,MATCH($C$4,Lookups!$E$14:$G$14,0)),AQ91,SUMIFS('EE Inputs'!$W$9:$W$32,'EE Inputs'!$C$9:$C$32,$AM$6,'EE Inputs'!$D$9:$D$32,$C$4,'EE Inputs'!$E$9:$E$32,$B105),0,1)))</f>
        <v>4879.0044586243466</v>
      </c>
      <c r="AR105" s="72">
        <f ca="1">IF($C$4=Lookups!$D$40,SUM(INDIRECT("'Yr1'!"&amp;ADDRESS(ROW(AR105),COLUMN(AR105))),INDIRECT("'Yr2'!"&amp;ADDRESS(ROW(AR105),COLUMN(AR105))),INDIRECT("'Yr3'!"&amp;ADDRESS(ROW(AR105),COLUMN(AR105)))),
IF(AR91=0,0,-PMT(INDEX(Lookups!$E$17:$G$17,MATCH($C$4,Lookups!$E$14:$G$14,0)),AR91,SUMIFS('EE Inputs'!$W$9:$W$32,'EE Inputs'!$C$9:$C$32,$AM$6,'EE Inputs'!$D$9:$D$32,$C$4,'EE Inputs'!$E$9:$E$32,$B105),0,1)))</f>
        <v>4879.0044586243466</v>
      </c>
      <c r="AS105" s="72">
        <f ca="1">IF($C$4=Lookups!$D$40,SUM(INDIRECT("'Yr1'!"&amp;ADDRESS(ROW(AS105),COLUMN(AS105))),INDIRECT("'Yr2'!"&amp;ADDRESS(ROW(AS105),COLUMN(AS105))),INDIRECT("'Yr3'!"&amp;ADDRESS(ROW(AS105),COLUMN(AS105)))),
IF(AS91=0,0,-PMT(INDEX(Lookups!$E$17:$G$17,MATCH($C$4,Lookups!$E$14:$G$14,0)),AS91,SUMIFS('EE Inputs'!$W$9:$W$32,'EE Inputs'!$C$9:$C$32,$AM$6,'EE Inputs'!$D$9:$D$32,$C$4,'EE Inputs'!$E$9:$E$32,$B105),0,1)))</f>
        <v>4879.0044586243466</v>
      </c>
      <c r="AT105" s="72">
        <f ca="1">IF($C$4=Lookups!$D$40,SUM(INDIRECT("'Yr1'!"&amp;ADDRESS(ROW(AT105),COLUMN(AT105))),INDIRECT("'Yr2'!"&amp;ADDRESS(ROW(AT105),COLUMN(AT105))),INDIRECT("'Yr3'!"&amp;ADDRESS(ROW(AT105),COLUMN(AT105)))),
IF(AT91=0,0,-PMT(INDEX(Lookups!$E$17:$G$17,MATCH($C$4,Lookups!$E$14:$G$14,0)),AT91,SUMIFS('EE Inputs'!$W$9:$W$32,'EE Inputs'!$C$9:$C$32,$AM$6,'EE Inputs'!$D$9:$D$32,$C$4,'EE Inputs'!$E$9:$E$32,$B105),0,1)))</f>
        <v>4879.0044586243466</v>
      </c>
      <c r="AU105" s="72">
        <f ca="1">IF($C$4=Lookups!$D$40,SUM(INDIRECT("'Yr1'!"&amp;ADDRESS(ROW(AU105),COLUMN(AU105))),INDIRECT("'Yr2'!"&amp;ADDRESS(ROW(AU105),COLUMN(AU105))),INDIRECT("'Yr3'!"&amp;ADDRESS(ROW(AU105),COLUMN(AU105)))),
IF(AU91=0,0,-PMT(INDEX(Lookups!$E$17:$G$17,MATCH($C$4,Lookups!$E$14:$G$14,0)),AU91,SUMIFS('EE Inputs'!$W$9:$W$32,'EE Inputs'!$C$9:$C$32,$AM$6,'EE Inputs'!$D$9:$D$32,$C$4,'EE Inputs'!$E$9:$E$32,$B105),0,1)))</f>
        <v>4879.0044586243466</v>
      </c>
      <c r="AV105" s="72">
        <f ca="1">IF($C$4=Lookups!$D$40,SUM(INDIRECT("'Yr1'!"&amp;ADDRESS(ROW(AV105),COLUMN(AV105))),INDIRECT("'Yr2'!"&amp;ADDRESS(ROW(AV105),COLUMN(AV105))),INDIRECT("'Yr3'!"&amp;ADDRESS(ROW(AV105),COLUMN(AV105)))),
IF(AV91=0,0,-PMT(INDEX(Lookups!$E$17:$G$17,MATCH($C$4,Lookups!$E$14:$G$14,0)),AV91,SUMIFS('EE Inputs'!$W$9:$W$32,'EE Inputs'!$C$9:$C$32,$AM$6,'EE Inputs'!$D$9:$D$32,$C$4,'EE Inputs'!$E$9:$E$32,$B105),0,1)))</f>
        <v>4879.0044586243466</v>
      </c>
      <c r="AW105" s="72">
        <f ca="1">IF($C$4=Lookups!$D$40,SUM(INDIRECT("'Yr1'!"&amp;ADDRESS(ROW(AW105),COLUMN(AW105))),INDIRECT("'Yr2'!"&amp;ADDRESS(ROW(AW105),COLUMN(AW105))),INDIRECT("'Yr3'!"&amp;ADDRESS(ROW(AW105),COLUMN(AW105)))),
IF(AW91=0,0,-PMT(INDEX(Lookups!$E$17:$G$17,MATCH($C$4,Lookups!$E$14:$G$14,0)),AW91,SUMIFS('EE Inputs'!$W$9:$W$32,'EE Inputs'!$C$9:$C$32,$AM$6,'EE Inputs'!$D$9:$D$32,$C$4,'EE Inputs'!$E$9:$E$32,$B105),0,1)))</f>
        <v>4879.0044586243466</v>
      </c>
      <c r="AX105" s="72">
        <f ca="1">IF($C$4=Lookups!$D$40,SUM(INDIRECT("'Yr1'!"&amp;ADDRESS(ROW(AX105),COLUMN(AX105))),INDIRECT("'Yr2'!"&amp;ADDRESS(ROW(AX105),COLUMN(AX105))),INDIRECT("'Yr3'!"&amp;ADDRESS(ROW(AX105),COLUMN(AX105)))),
IF(AX91=0,0,-PMT(INDEX(Lookups!$E$17:$G$17,MATCH($C$4,Lookups!$E$14:$G$14,0)),AX91,SUMIFS('EE Inputs'!$W$9:$W$32,'EE Inputs'!$C$9:$C$32,$AM$6,'EE Inputs'!$D$9:$D$32,$C$4,'EE Inputs'!$E$9:$E$32,$B105),0,1)))</f>
        <v>4879.0044586243466</v>
      </c>
      <c r="AY105" s="72">
        <f ca="1">IF($C$4=Lookups!$D$40,SUM(INDIRECT("'Yr1'!"&amp;ADDRESS(ROW(AY105),COLUMN(AY105))),INDIRECT("'Yr2'!"&amp;ADDRESS(ROW(AY105),COLUMN(AY105))),INDIRECT("'Yr3'!"&amp;ADDRESS(ROW(AY105),COLUMN(AY105)))),
IF(AY91=0,0,-PMT(INDEX(Lookups!$E$17:$G$17,MATCH($C$4,Lookups!$E$14:$G$14,0)),AY91,SUMIFS('EE Inputs'!$W$9:$W$32,'EE Inputs'!$C$9:$C$32,$AM$6,'EE Inputs'!$D$9:$D$32,$C$4,'EE Inputs'!$E$9:$E$32,$B105),0,1)))</f>
        <v>4879.0044586243466</v>
      </c>
      <c r="AZ105" s="72">
        <f ca="1">IF($C$4=Lookups!$D$40,SUM(INDIRECT("'Yr1'!"&amp;ADDRESS(ROW(AZ105),COLUMN(AZ105))),INDIRECT("'Yr2'!"&amp;ADDRESS(ROW(AZ105),COLUMN(AZ105))),INDIRECT("'Yr3'!"&amp;ADDRESS(ROW(AZ105),COLUMN(AZ105)))),
IF(AZ91=0,0,-PMT(INDEX(Lookups!$E$17:$G$17,MATCH($C$4,Lookups!$E$14:$G$14,0)),AZ91,SUMIFS('EE Inputs'!$W$9:$W$32,'EE Inputs'!$C$9:$C$32,$AM$6,'EE Inputs'!$D$9:$D$32,$C$4,'EE Inputs'!$E$9:$E$32,$B105),0,1)))</f>
        <v>4879.0044586243466</v>
      </c>
      <c r="BA105" s="72">
        <f ca="1">IF($C$4=Lookups!$D$40,SUM(INDIRECT("'Yr1'!"&amp;ADDRESS(ROW(BA105),COLUMN(BA105))),INDIRECT("'Yr2'!"&amp;ADDRESS(ROW(BA105),COLUMN(BA105))),INDIRECT("'Yr3'!"&amp;ADDRESS(ROW(BA105),COLUMN(BA105)))),
IF(BA91=0,0,-PMT(INDEX(Lookups!$E$17:$G$17,MATCH($C$4,Lookups!$E$14:$G$14,0)),BA91,SUMIFS('EE Inputs'!$W$9:$W$32,'EE Inputs'!$C$9:$C$32,$AM$6,'EE Inputs'!$D$9:$D$32,$C$4,'EE Inputs'!$E$9:$E$32,$B105),0,1)))</f>
        <v>4879.0044586243466</v>
      </c>
      <c r="BB105" s="72">
        <f ca="1">IF($C$4=Lookups!$D$40,SUM(INDIRECT("'Yr1'!"&amp;ADDRESS(ROW(BB105),COLUMN(BB105))),INDIRECT("'Yr2'!"&amp;ADDRESS(ROW(BB105),COLUMN(BB105))),INDIRECT("'Yr3'!"&amp;ADDRESS(ROW(BB105),COLUMN(BB105)))),
IF(BB91=0,0,-PMT(INDEX(Lookups!$E$17:$G$17,MATCH($C$4,Lookups!$E$14:$G$14,0)),BB91,SUMIFS('EE Inputs'!$W$9:$W$32,'EE Inputs'!$C$9:$C$32,$AM$6,'EE Inputs'!$D$9:$D$32,$C$4,'EE Inputs'!$E$9:$E$32,$B105),0,1)))</f>
        <v>4879.0044586243466</v>
      </c>
      <c r="BC105" s="72">
        <f ca="1">IF($C$4=Lookups!$D$40,SUM(INDIRECT("'Yr1'!"&amp;ADDRESS(ROW(BC105),COLUMN(BC105))),INDIRECT("'Yr2'!"&amp;ADDRESS(ROW(BC105),COLUMN(BC105))),INDIRECT("'Yr3'!"&amp;ADDRESS(ROW(BC105),COLUMN(BC105)))),
IF(BC91=0,0,-PMT(INDEX(Lookups!$E$17:$G$17,MATCH($C$4,Lookups!$E$14:$G$14,0)),BC91,SUMIFS('EE Inputs'!$W$9:$W$32,'EE Inputs'!$C$9:$C$32,$AM$6,'EE Inputs'!$D$9:$D$32,$C$4,'EE Inputs'!$E$9:$E$32,$B105),0,1)))</f>
        <v>4879.0044586243466</v>
      </c>
      <c r="BD105" s="72">
        <f ca="1">IF($C$4=Lookups!$D$40,SUM(INDIRECT("'Yr1'!"&amp;ADDRESS(ROW(BD105),COLUMN(BD105))),INDIRECT("'Yr2'!"&amp;ADDRESS(ROW(BD105),COLUMN(BD105))),INDIRECT("'Yr3'!"&amp;ADDRESS(ROW(BD105),COLUMN(BD105)))),
IF(BD91=0,0,-PMT(INDEX(Lookups!$E$17:$G$17,MATCH($C$4,Lookups!$E$14:$G$14,0)),BD91,SUMIFS('EE Inputs'!$W$9:$W$32,'EE Inputs'!$C$9:$C$32,$AM$6,'EE Inputs'!$D$9:$D$32,$C$4,'EE Inputs'!$E$9:$E$32,$B105),0,1)))</f>
        <v>4879.0044586243466</v>
      </c>
      <c r="BE105" s="72">
        <f ca="1">IF($C$4=Lookups!$D$40,SUM(INDIRECT("'Yr1'!"&amp;ADDRESS(ROW(BE105),COLUMN(BE105))),INDIRECT("'Yr2'!"&amp;ADDRESS(ROW(BE105),COLUMN(BE105))),INDIRECT("'Yr3'!"&amp;ADDRESS(ROW(BE105),COLUMN(BE105)))),
IF(BE91=0,0,-PMT(INDEX(Lookups!$E$17:$G$17,MATCH($C$4,Lookups!$E$14:$G$14,0)),BE91,SUMIFS('EE Inputs'!$W$9:$W$32,'EE Inputs'!$C$9:$C$32,$AM$6,'EE Inputs'!$D$9:$D$32,$C$4,'EE Inputs'!$E$9:$E$32,$B105),0,1)))</f>
        <v>4879.0044586243466</v>
      </c>
      <c r="BF105" s="72">
        <f ca="1">IF($C$4=Lookups!$D$40,SUM(INDIRECT("'Yr1'!"&amp;ADDRESS(ROW(BF105),COLUMN(BF105))),INDIRECT("'Yr2'!"&amp;ADDRESS(ROW(BF105),COLUMN(BF105))),INDIRECT("'Yr3'!"&amp;ADDRESS(ROW(BF105),COLUMN(BF105)))),
IF(BF91=0,0,-PMT(INDEX(Lookups!$E$17:$G$17,MATCH($C$4,Lookups!$E$14:$G$14,0)),BF91,SUMIFS('EE Inputs'!$W$9:$W$32,'EE Inputs'!$C$9:$C$32,$AM$6,'EE Inputs'!$D$9:$D$32,$C$4,'EE Inputs'!$E$9:$E$32,$B105),0,1)))</f>
        <v>4879.0044586243466</v>
      </c>
      <c r="BG105" s="72">
        <f ca="1">IF($C$4=Lookups!$D$40,SUM(INDIRECT("'Yr1'!"&amp;ADDRESS(ROW(BG105),COLUMN(BG105))),INDIRECT("'Yr2'!"&amp;ADDRESS(ROW(BG105),COLUMN(BG105))),INDIRECT("'Yr3'!"&amp;ADDRESS(ROW(BG105),COLUMN(BG105)))),
IF(BG91=0,0,-PMT(INDEX(Lookups!$E$17:$G$17,MATCH($C$4,Lookups!$E$14:$G$14,0)),BG91,SUMIFS('EE Inputs'!$W$9:$W$32,'EE Inputs'!$C$9:$C$32,$AM$6,'EE Inputs'!$D$9:$D$32,$C$4,'EE Inputs'!$E$9:$E$32,$B105),0,1)))</f>
        <v>4879.0044586243466</v>
      </c>
      <c r="BH105" s="72">
        <f ca="1">IF($C$4=Lookups!$D$40,SUM(INDIRECT("'Yr1'!"&amp;ADDRESS(ROW(BH105),COLUMN(BH105))),INDIRECT("'Yr2'!"&amp;ADDRESS(ROW(BH105),COLUMN(BH105))),INDIRECT("'Yr3'!"&amp;ADDRESS(ROW(BH105),COLUMN(BH105)))),
IF(BH91=0,0,-PMT(INDEX(Lookups!$E$17:$G$17,MATCH($C$4,Lookups!$E$14:$G$14,0)),BH91,SUMIFS('EE Inputs'!$W$9:$W$32,'EE Inputs'!$C$9:$C$32,$AM$6,'EE Inputs'!$D$9:$D$32,$C$4,'EE Inputs'!$E$9:$E$32,$B105),0,1)))</f>
        <v>0</v>
      </c>
      <c r="BI105" s="72">
        <f ca="1">IF($C$4=Lookups!$D$40,SUM(INDIRECT("'Yr1'!"&amp;ADDRESS(ROW(BI105),COLUMN(BI105))),INDIRECT("'Yr2'!"&amp;ADDRESS(ROW(BI105),COLUMN(BI105))),INDIRECT("'Yr3'!"&amp;ADDRESS(ROW(BI105),COLUMN(BI105)))),
IF(BI91=0,0,-PMT(INDEX(Lookups!$E$17:$G$17,MATCH($C$4,Lookups!$E$14:$G$14,0)),BI91,SUMIFS('EE Inputs'!$W$9:$W$32,'EE Inputs'!$C$9:$C$32,$AM$6,'EE Inputs'!$D$9:$D$32,$C$4,'EE Inputs'!$E$9:$E$32,$B105),0,1)))</f>
        <v>0</v>
      </c>
      <c r="BJ105" s="72">
        <f ca="1">IF($C$4=Lookups!$D$40,SUM(INDIRECT("'Yr1'!"&amp;ADDRESS(ROW(BJ105),COLUMN(BJ105))),INDIRECT("'Yr2'!"&amp;ADDRESS(ROW(BJ105),COLUMN(BJ105))),INDIRECT("'Yr3'!"&amp;ADDRESS(ROW(BJ105),COLUMN(BJ105)))),
IF(BJ91=0,0,-PMT(INDEX(Lookups!$E$17:$G$17,MATCH($C$4,Lookups!$E$14:$G$14,0)),BJ91,SUMIFS('EE Inputs'!$W$9:$W$32,'EE Inputs'!$C$9:$C$32,$AM$6,'EE Inputs'!$D$9:$D$32,$C$4,'EE Inputs'!$E$9:$E$32,$B105),0,1)))</f>
        <v>0</v>
      </c>
      <c r="BK105" s="72">
        <f ca="1">IF($C$4=Lookups!$D$40,SUM(INDIRECT("'Yr1'!"&amp;ADDRESS(ROW(BK105),COLUMN(BK105))),INDIRECT("'Yr2'!"&amp;ADDRESS(ROW(BK105),COLUMN(BK105))),INDIRECT("'Yr3'!"&amp;ADDRESS(ROW(BK105),COLUMN(BK105)))),
IF(BK91=0,0,-PMT(INDEX(Lookups!$E$17:$G$17,MATCH($C$4,Lookups!$E$14:$G$14,0)),BK91,SUMIFS('EE Inputs'!$W$9:$W$32,'EE Inputs'!$C$9:$C$32,$AM$6,'EE Inputs'!$D$9:$D$32,$C$4,'EE Inputs'!$E$9:$E$32,$B105),0,1)))</f>
        <v>0</v>
      </c>
      <c r="BL105" s="72">
        <f ca="1">IF($C$4=Lookups!$D$40,SUM(INDIRECT("'Yr1'!"&amp;ADDRESS(ROW(BL105),COLUMN(BL105))),INDIRECT("'Yr2'!"&amp;ADDRESS(ROW(BL105),COLUMN(BL105))),INDIRECT("'Yr3'!"&amp;ADDRESS(ROW(BL105),COLUMN(BL105)))),
IF(BL91=0,0,-PMT(INDEX(Lookups!$E$17:$G$17,MATCH($C$4,Lookups!$E$14:$G$14,0)),BL91,SUMIFS('EE Inputs'!$W$9:$W$32,'EE Inputs'!$C$9:$C$32,$AM$6,'EE Inputs'!$D$9:$D$32,$C$4,'EE Inputs'!$E$9:$E$32,$B105),0,1)))</f>
        <v>0</v>
      </c>
      <c r="BM105" s="72">
        <f ca="1">IF($C$4=Lookups!$D$40,SUM(INDIRECT("'Yr1'!"&amp;ADDRESS(ROW(BM105),COLUMN(BM105))),INDIRECT("'Yr2'!"&amp;ADDRESS(ROW(BM105),COLUMN(BM105))),INDIRECT("'Yr3'!"&amp;ADDRESS(ROW(BM105),COLUMN(BM105)))),
IF(BM91=0,0,-PMT(INDEX(Lookups!$E$17:$G$17,MATCH($C$4,Lookups!$E$14:$G$14,0)),BM91,SUMIFS('EE Inputs'!$W$9:$W$32,'EE Inputs'!$C$9:$C$32,$AM$6,'EE Inputs'!$D$9:$D$32,$C$4,'EE Inputs'!$E$9:$E$32,$B105),0,1)))</f>
        <v>0</v>
      </c>
      <c r="BN105" s="72"/>
      <c r="BO105" s="72">
        <f ca="1">NPV(Lookups!$E$17,AM105:BM105)</f>
        <v>83298.820191925188</v>
      </c>
      <c r="BP105" s="72"/>
      <c r="BS105" s="84" t="s">
        <v>413</v>
      </c>
      <c r="BT105" s="51"/>
    </row>
    <row r="106" spans="1:72" x14ac:dyDescent="0.25">
      <c r="A106" s="246"/>
      <c r="B106" s="243" t="str">
        <f t="shared" ref="B106:C106" si="97">B104</f>
        <v>Low-Income</v>
      </c>
      <c r="C106" s="243" t="str">
        <f t="shared" si="97"/>
        <v>Revenue Requirements</v>
      </c>
      <c r="D106" s="244" t="str">
        <f>D104</f>
        <v>Avoided Costs</v>
      </c>
      <c r="E106" s="86" t="s">
        <v>175</v>
      </c>
      <c r="F106" s="84" t="s">
        <v>32</v>
      </c>
      <c r="G106" s="65">
        <f ca="1">IF($C$4=Lookups!$D$40,SUM(INDIRECT("'Yr1'!"&amp;ADDRESS(ROW(G106),COLUMN(G106))),INDIRECT("'Yr2'!"&amp;ADDRESS(ROW(G106),COLUMN(G106))),INDIRECT("'Yr3'!"&amp;ADDRESS(ROW(G106),COLUMN(G106)))),
IF(G91=0,0,-PMT(INDEX(Lookups!$E$17:$G$17,MATCH($C$4,Lookups!$E$14:$G$14,0)),G91,SUMIFS('EE Inputs'!$K$9:$K$32,'EE Inputs'!$C$9:$C$32,$G$6,'EE Inputs'!$D$9:$D$32,$C$4,'EE Inputs'!$E$9:$E$32,$B106),0,1)))</f>
        <v>0</v>
      </c>
      <c r="H106" s="65">
        <f ca="1">IF($C$4=Lookups!$D$40,SUM(INDIRECT("'Yr1'!"&amp;ADDRESS(ROW(H106),COLUMN(H106))),INDIRECT("'Yr2'!"&amp;ADDRESS(ROW(H106),COLUMN(H106))),INDIRECT("'Yr3'!"&amp;ADDRESS(ROW(H106),COLUMN(H106)))),
IF(H91=0,0,-PMT(INDEX(Lookups!$E$17:$G$17,MATCH($C$4,Lookups!$E$14:$G$14,0)),H91,SUMIFS('EE Inputs'!$K$9:$K$32,'EE Inputs'!$C$9:$C$32,$G$6,'EE Inputs'!$D$9:$D$32,$C$4,'EE Inputs'!$E$9:$E$32,$B106),0,1)))</f>
        <v>2284.191342285405</v>
      </c>
      <c r="I106" s="65">
        <f ca="1">IF($C$4=Lookups!$D$40,SUM(INDIRECT("'Yr1'!"&amp;ADDRESS(ROW(I106),COLUMN(I106))),INDIRECT("'Yr2'!"&amp;ADDRESS(ROW(I106),COLUMN(I106))),INDIRECT("'Yr3'!"&amp;ADDRESS(ROW(I106),COLUMN(I106)))),
IF(I91=0,0,-PMT(INDEX(Lookups!$E$17:$G$17,MATCH($C$4,Lookups!$E$14:$G$14,0)),I91,SUMIFS('EE Inputs'!$K$9:$K$32,'EE Inputs'!$C$9:$C$32,$G$6,'EE Inputs'!$D$9:$D$32,$C$4,'EE Inputs'!$E$9:$E$32,$B106),0,1)))</f>
        <v>2284.191342285405</v>
      </c>
      <c r="J106" s="65">
        <f ca="1">IF($C$4=Lookups!$D$40,SUM(INDIRECT("'Yr1'!"&amp;ADDRESS(ROW(J106),COLUMN(J106))),INDIRECT("'Yr2'!"&amp;ADDRESS(ROW(J106),COLUMN(J106))),INDIRECT("'Yr3'!"&amp;ADDRESS(ROW(J106),COLUMN(J106)))),
IF(J91=0,0,-PMT(INDEX(Lookups!$E$17:$G$17,MATCH($C$4,Lookups!$E$14:$G$14,0)),J91,SUMIFS('EE Inputs'!$K$9:$K$32,'EE Inputs'!$C$9:$C$32,$G$6,'EE Inputs'!$D$9:$D$32,$C$4,'EE Inputs'!$E$9:$E$32,$B106),0,1)))</f>
        <v>2284.191342285405</v>
      </c>
      <c r="K106" s="65">
        <f ca="1">IF($C$4=Lookups!$D$40,SUM(INDIRECT("'Yr1'!"&amp;ADDRESS(ROW(K106),COLUMN(K106))),INDIRECT("'Yr2'!"&amp;ADDRESS(ROW(K106),COLUMN(K106))),INDIRECT("'Yr3'!"&amp;ADDRESS(ROW(K106),COLUMN(K106)))),
IF(K91=0,0,-PMT(INDEX(Lookups!$E$17:$G$17,MATCH($C$4,Lookups!$E$14:$G$14,0)),K91,SUMIFS('EE Inputs'!$K$9:$K$32,'EE Inputs'!$C$9:$C$32,$G$6,'EE Inputs'!$D$9:$D$32,$C$4,'EE Inputs'!$E$9:$E$32,$B106),0,1)))</f>
        <v>2284.191342285405</v>
      </c>
      <c r="L106" s="65">
        <f ca="1">IF($C$4=Lookups!$D$40,SUM(INDIRECT("'Yr1'!"&amp;ADDRESS(ROW(L106),COLUMN(L106))),INDIRECT("'Yr2'!"&amp;ADDRESS(ROW(L106),COLUMN(L106))),INDIRECT("'Yr3'!"&amp;ADDRESS(ROW(L106),COLUMN(L106)))),
IF(L91=0,0,-PMT(INDEX(Lookups!$E$17:$G$17,MATCH($C$4,Lookups!$E$14:$G$14,0)),L91,SUMIFS('EE Inputs'!$K$9:$K$32,'EE Inputs'!$C$9:$C$32,$G$6,'EE Inputs'!$D$9:$D$32,$C$4,'EE Inputs'!$E$9:$E$32,$B106),0,1)))</f>
        <v>2284.191342285405</v>
      </c>
      <c r="M106" s="65">
        <f ca="1">IF($C$4=Lookups!$D$40,SUM(INDIRECT("'Yr1'!"&amp;ADDRESS(ROW(M106),COLUMN(M106))),INDIRECT("'Yr2'!"&amp;ADDRESS(ROW(M106),COLUMN(M106))),INDIRECT("'Yr3'!"&amp;ADDRESS(ROW(M106),COLUMN(M106)))),
IF(M91=0,0,-PMT(INDEX(Lookups!$E$17:$G$17,MATCH($C$4,Lookups!$E$14:$G$14,0)),M91,SUMIFS('EE Inputs'!$K$9:$K$32,'EE Inputs'!$C$9:$C$32,$G$6,'EE Inputs'!$D$9:$D$32,$C$4,'EE Inputs'!$E$9:$E$32,$B106),0,1)))</f>
        <v>2284.191342285405</v>
      </c>
      <c r="N106" s="65">
        <f ca="1">IF($C$4=Lookups!$D$40,SUM(INDIRECT("'Yr1'!"&amp;ADDRESS(ROW(N106),COLUMN(N106))),INDIRECT("'Yr2'!"&amp;ADDRESS(ROW(N106),COLUMN(N106))),INDIRECT("'Yr3'!"&amp;ADDRESS(ROW(N106),COLUMN(N106)))),
IF(N91=0,0,-PMT(INDEX(Lookups!$E$17:$G$17,MATCH($C$4,Lookups!$E$14:$G$14,0)),N91,SUMIFS('EE Inputs'!$K$9:$K$32,'EE Inputs'!$C$9:$C$32,$G$6,'EE Inputs'!$D$9:$D$32,$C$4,'EE Inputs'!$E$9:$E$32,$B106),0,1)))</f>
        <v>2284.191342285405</v>
      </c>
      <c r="O106" s="65">
        <f ca="1">IF($C$4=Lookups!$D$40,SUM(INDIRECT("'Yr1'!"&amp;ADDRESS(ROW(O106),COLUMN(O106))),INDIRECT("'Yr2'!"&amp;ADDRESS(ROW(O106),COLUMN(O106))),INDIRECT("'Yr3'!"&amp;ADDRESS(ROW(O106),COLUMN(O106)))),
IF(O91=0,0,-PMT(INDEX(Lookups!$E$17:$G$17,MATCH($C$4,Lookups!$E$14:$G$14,0)),O91,SUMIFS('EE Inputs'!$K$9:$K$32,'EE Inputs'!$C$9:$C$32,$G$6,'EE Inputs'!$D$9:$D$32,$C$4,'EE Inputs'!$E$9:$E$32,$B106),0,1)))</f>
        <v>2284.191342285405</v>
      </c>
      <c r="P106" s="65">
        <f ca="1">IF($C$4=Lookups!$D$40,SUM(INDIRECT("'Yr1'!"&amp;ADDRESS(ROW(P106),COLUMN(P106))),INDIRECT("'Yr2'!"&amp;ADDRESS(ROW(P106),COLUMN(P106))),INDIRECT("'Yr3'!"&amp;ADDRESS(ROW(P106),COLUMN(P106)))),
IF(P91=0,0,-PMT(INDEX(Lookups!$E$17:$G$17,MATCH($C$4,Lookups!$E$14:$G$14,0)),P91,SUMIFS('EE Inputs'!$K$9:$K$32,'EE Inputs'!$C$9:$C$32,$G$6,'EE Inputs'!$D$9:$D$32,$C$4,'EE Inputs'!$E$9:$E$32,$B106),0,1)))</f>
        <v>2284.191342285405</v>
      </c>
      <c r="Q106" s="65">
        <f ca="1">IF($C$4=Lookups!$D$40,SUM(INDIRECT("'Yr1'!"&amp;ADDRESS(ROW(Q106),COLUMN(Q106))),INDIRECT("'Yr2'!"&amp;ADDRESS(ROW(Q106),COLUMN(Q106))),INDIRECT("'Yr3'!"&amp;ADDRESS(ROW(Q106),COLUMN(Q106)))),
IF(Q91=0,0,-PMT(INDEX(Lookups!$E$17:$G$17,MATCH($C$4,Lookups!$E$14:$G$14,0)),Q91,SUMIFS('EE Inputs'!$K$9:$K$32,'EE Inputs'!$C$9:$C$32,$G$6,'EE Inputs'!$D$9:$D$32,$C$4,'EE Inputs'!$E$9:$E$32,$B106),0,1)))</f>
        <v>2284.191342285405</v>
      </c>
      <c r="R106" s="65">
        <f ca="1">IF($C$4=Lookups!$D$40,SUM(INDIRECT("'Yr1'!"&amp;ADDRESS(ROW(R106),COLUMN(R106))),INDIRECT("'Yr2'!"&amp;ADDRESS(ROW(R106),COLUMN(R106))),INDIRECT("'Yr3'!"&amp;ADDRESS(ROW(R106),COLUMN(R106)))),
IF(R91=0,0,-PMT(INDEX(Lookups!$E$17:$G$17,MATCH($C$4,Lookups!$E$14:$G$14,0)),R91,SUMIFS('EE Inputs'!$K$9:$K$32,'EE Inputs'!$C$9:$C$32,$G$6,'EE Inputs'!$D$9:$D$32,$C$4,'EE Inputs'!$E$9:$E$32,$B106),0,1)))</f>
        <v>2284.191342285405</v>
      </c>
      <c r="S106" s="65">
        <f ca="1">IF($C$4=Lookups!$D$40,SUM(INDIRECT("'Yr1'!"&amp;ADDRESS(ROW(S106),COLUMN(S106))),INDIRECT("'Yr2'!"&amp;ADDRESS(ROW(S106),COLUMN(S106))),INDIRECT("'Yr3'!"&amp;ADDRESS(ROW(S106),COLUMN(S106)))),
IF(S91=0,0,-PMT(INDEX(Lookups!$E$17:$G$17,MATCH($C$4,Lookups!$E$14:$G$14,0)),S91,SUMIFS('EE Inputs'!$K$9:$K$32,'EE Inputs'!$C$9:$C$32,$G$6,'EE Inputs'!$D$9:$D$32,$C$4,'EE Inputs'!$E$9:$E$32,$B106),0,1)))</f>
        <v>2284.191342285405</v>
      </c>
      <c r="T106" s="65">
        <f ca="1">IF($C$4=Lookups!$D$40,SUM(INDIRECT("'Yr1'!"&amp;ADDRESS(ROW(T106),COLUMN(T106))),INDIRECT("'Yr2'!"&amp;ADDRESS(ROW(T106),COLUMN(T106))),INDIRECT("'Yr3'!"&amp;ADDRESS(ROW(T106),COLUMN(T106)))),
IF(T91=0,0,-PMT(INDEX(Lookups!$E$17:$G$17,MATCH($C$4,Lookups!$E$14:$G$14,0)),T91,SUMIFS('EE Inputs'!$K$9:$K$32,'EE Inputs'!$C$9:$C$32,$G$6,'EE Inputs'!$D$9:$D$32,$C$4,'EE Inputs'!$E$9:$E$32,$B106),0,1)))</f>
        <v>2284.191342285405</v>
      </c>
      <c r="U106" s="65">
        <f ca="1">IF($C$4=Lookups!$D$40,SUM(INDIRECT("'Yr1'!"&amp;ADDRESS(ROW(U106),COLUMN(U106))),INDIRECT("'Yr2'!"&amp;ADDRESS(ROW(U106),COLUMN(U106))),INDIRECT("'Yr3'!"&amp;ADDRESS(ROW(U106),COLUMN(U106)))),
IF(U91=0,0,-PMT(INDEX(Lookups!$E$17:$G$17,MATCH($C$4,Lookups!$E$14:$G$14,0)),U91,SUMIFS('EE Inputs'!$K$9:$K$32,'EE Inputs'!$C$9:$C$32,$G$6,'EE Inputs'!$D$9:$D$32,$C$4,'EE Inputs'!$E$9:$E$32,$B106),0,1)))</f>
        <v>2284.191342285405</v>
      </c>
      <c r="V106" s="65">
        <f ca="1">IF($C$4=Lookups!$D$40,SUM(INDIRECT("'Yr1'!"&amp;ADDRESS(ROW(V106),COLUMN(V106))),INDIRECT("'Yr2'!"&amp;ADDRESS(ROW(V106),COLUMN(V106))),INDIRECT("'Yr3'!"&amp;ADDRESS(ROW(V106),COLUMN(V106)))),
IF(V91=0,0,-PMT(INDEX(Lookups!$E$17:$G$17,MATCH($C$4,Lookups!$E$14:$G$14,0)),V91,SUMIFS('EE Inputs'!$K$9:$K$32,'EE Inputs'!$C$9:$C$32,$G$6,'EE Inputs'!$D$9:$D$32,$C$4,'EE Inputs'!$E$9:$E$32,$B106),0,1)))</f>
        <v>2284.191342285405</v>
      </c>
      <c r="W106" s="65">
        <f ca="1">IF($C$4=Lookups!$D$40,SUM(INDIRECT("'Yr1'!"&amp;ADDRESS(ROW(W106),COLUMN(W106))),INDIRECT("'Yr2'!"&amp;ADDRESS(ROW(W106),COLUMN(W106))),INDIRECT("'Yr3'!"&amp;ADDRESS(ROW(W106),COLUMN(W106)))),
IF(W91=0,0,-PMT(INDEX(Lookups!$E$17:$G$17,MATCH($C$4,Lookups!$E$14:$G$14,0)),W91,SUMIFS('EE Inputs'!$K$9:$K$32,'EE Inputs'!$C$9:$C$32,$G$6,'EE Inputs'!$D$9:$D$32,$C$4,'EE Inputs'!$E$9:$E$32,$B106),0,1)))</f>
        <v>2284.191342285405</v>
      </c>
      <c r="X106" s="65">
        <f ca="1">IF($C$4=Lookups!$D$40,SUM(INDIRECT("'Yr1'!"&amp;ADDRESS(ROW(X106),COLUMN(X106))),INDIRECT("'Yr2'!"&amp;ADDRESS(ROW(X106),COLUMN(X106))),INDIRECT("'Yr3'!"&amp;ADDRESS(ROW(X106),COLUMN(X106)))),
IF(X91=0,0,-PMT(INDEX(Lookups!$E$17:$G$17,MATCH($C$4,Lookups!$E$14:$G$14,0)),X91,SUMIFS('EE Inputs'!$K$9:$K$32,'EE Inputs'!$C$9:$C$32,$G$6,'EE Inputs'!$D$9:$D$32,$C$4,'EE Inputs'!$E$9:$E$32,$B106),0,1)))</f>
        <v>2284.191342285405</v>
      </c>
      <c r="Y106" s="65">
        <f ca="1">IF($C$4=Lookups!$D$40,SUM(INDIRECT("'Yr1'!"&amp;ADDRESS(ROW(Y106),COLUMN(Y106))),INDIRECT("'Yr2'!"&amp;ADDRESS(ROW(Y106),COLUMN(Y106))),INDIRECT("'Yr3'!"&amp;ADDRESS(ROW(Y106),COLUMN(Y106)))),
IF(Y91=0,0,-PMT(INDEX(Lookups!$E$17:$G$17,MATCH($C$4,Lookups!$E$14:$G$14,0)),Y91,SUMIFS('EE Inputs'!$K$9:$K$32,'EE Inputs'!$C$9:$C$32,$G$6,'EE Inputs'!$D$9:$D$32,$C$4,'EE Inputs'!$E$9:$E$32,$B106),0,1)))</f>
        <v>2284.191342285405</v>
      </c>
      <c r="Z106" s="65">
        <f ca="1">IF($C$4=Lookups!$D$40,SUM(INDIRECT("'Yr1'!"&amp;ADDRESS(ROW(Z106),COLUMN(Z106))),INDIRECT("'Yr2'!"&amp;ADDRESS(ROW(Z106),COLUMN(Z106))),INDIRECT("'Yr3'!"&amp;ADDRESS(ROW(Z106),COLUMN(Z106)))),
IF(Z91=0,0,-PMT(INDEX(Lookups!$E$17:$G$17,MATCH($C$4,Lookups!$E$14:$G$14,0)),Z91,SUMIFS('EE Inputs'!$K$9:$K$32,'EE Inputs'!$C$9:$C$32,$G$6,'EE Inputs'!$D$9:$D$32,$C$4,'EE Inputs'!$E$9:$E$32,$B106),0,1)))</f>
        <v>2284.191342285405</v>
      </c>
      <c r="AA106" s="65">
        <f ca="1">IF($C$4=Lookups!$D$40,SUM(INDIRECT("'Yr1'!"&amp;ADDRESS(ROW(AA106),COLUMN(AA106))),INDIRECT("'Yr2'!"&amp;ADDRESS(ROW(AA106),COLUMN(AA106))),INDIRECT("'Yr3'!"&amp;ADDRESS(ROW(AA106),COLUMN(AA106)))),
IF(AA91=0,0,-PMT(INDEX(Lookups!$E$17:$G$17,MATCH($C$4,Lookups!$E$14:$G$14,0)),AA91,SUMIFS('EE Inputs'!$K$9:$K$32,'EE Inputs'!$C$9:$C$32,$G$6,'EE Inputs'!$D$9:$D$32,$C$4,'EE Inputs'!$E$9:$E$32,$B106),0,1)))</f>
        <v>2284.191342285405</v>
      </c>
      <c r="AB106" s="65">
        <f ca="1">IF($C$4=Lookups!$D$40,SUM(INDIRECT("'Yr1'!"&amp;ADDRESS(ROW(AB106),COLUMN(AB106))),INDIRECT("'Yr2'!"&amp;ADDRESS(ROW(AB106),COLUMN(AB106))),INDIRECT("'Yr3'!"&amp;ADDRESS(ROW(AB106),COLUMN(AB106)))),
IF(AB91=0,0,-PMT(INDEX(Lookups!$E$17:$G$17,MATCH($C$4,Lookups!$E$14:$G$14,0)),AB91,SUMIFS('EE Inputs'!$K$9:$K$32,'EE Inputs'!$C$9:$C$32,$G$6,'EE Inputs'!$D$9:$D$32,$C$4,'EE Inputs'!$E$9:$E$32,$B106),0,1)))</f>
        <v>0</v>
      </c>
      <c r="AC106" s="65">
        <f ca="1">IF($C$4=Lookups!$D$40,SUM(INDIRECT("'Yr1'!"&amp;ADDRESS(ROW(AC106),COLUMN(AC106))),INDIRECT("'Yr2'!"&amp;ADDRESS(ROW(AC106),COLUMN(AC106))),INDIRECT("'Yr3'!"&amp;ADDRESS(ROW(AC106),COLUMN(AC106)))),
IF(AC91=0,0,-PMT(INDEX(Lookups!$E$17:$G$17,MATCH($C$4,Lookups!$E$14:$G$14,0)),AC91,SUMIFS('EE Inputs'!$K$9:$K$32,'EE Inputs'!$C$9:$C$32,$G$6,'EE Inputs'!$D$9:$D$32,$C$4,'EE Inputs'!$E$9:$E$32,$B106),0,1)))</f>
        <v>0</v>
      </c>
      <c r="AD106" s="65">
        <f ca="1">IF($C$4=Lookups!$D$40,SUM(INDIRECT("'Yr1'!"&amp;ADDRESS(ROW(AD106),COLUMN(AD106))),INDIRECT("'Yr2'!"&amp;ADDRESS(ROW(AD106),COLUMN(AD106))),INDIRECT("'Yr3'!"&amp;ADDRESS(ROW(AD106),COLUMN(AD106)))),
IF(AD91=0,0,-PMT(INDEX(Lookups!$E$17:$G$17,MATCH($C$4,Lookups!$E$14:$G$14,0)),AD91,SUMIFS('EE Inputs'!$K$9:$K$32,'EE Inputs'!$C$9:$C$32,$G$6,'EE Inputs'!$D$9:$D$32,$C$4,'EE Inputs'!$E$9:$E$32,$B106),0,1)))</f>
        <v>0</v>
      </c>
      <c r="AE106" s="65">
        <f ca="1">IF($C$4=Lookups!$D$40,SUM(INDIRECT("'Yr1'!"&amp;ADDRESS(ROW(AE106),COLUMN(AE106))),INDIRECT("'Yr2'!"&amp;ADDRESS(ROW(AE106),COLUMN(AE106))),INDIRECT("'Yr3'!"&amp;ADDRESS(ROW(AE106),COLUMN(AE106)))),
IF(AE91=0,0,-PMT(INDEX(Lookups!$E$17:$G$17,MATCH($C$4,Lookups!$E$14:$G$14,0)),AE91,SUMIFS('EE Inputs'!$K$9:$K$32,'EE Inputs'!$C$9:$C$32,$G$6,'EE Inputs'!$D$9:$D$32,$C$4,'EE Inputs'!$E$9:$E$32,$B106),0,1)))</f>
        <v>0</v>
      </c>
      <c r="AF106" s="65">
        <f ca="1">IF($C$4=Lookups!$D$40,SUM(INDIRECT("'Yr1'!"&amp;ADDRESS(ROW(AF106),COLUMN(AF106))),INDIRECT("'Yr2'!"&amp;ADDRESS(ROW(AF106),COLUMN(AF106))),INDIRECT("'Yr3'!"&amp;ADDRESS(ROW(AF106),COLUMN(AF106)))),
IF(AF91=0,0,-PMT(INDEX(Lookups!$E$17:$G$17,MATCH($C$4,Lookups!$E$14:$G$14,0)),AF91,SUMIFS('EE Inputs'!$K$9:$K$32,'EE Inputs'!$C$9:$C$32,$G$6,'EE Inputs'!$D$9:$D$32,$C$4,'EE Inputs'!$E$9:$E$32,$B106),0,1)))</f>
        <v>0</v>
      </c>
      <c r="AG106" s="65">
        <f ca="1">IF($C$4=Lookups!$D$40,SUM(INDIRECT("'Yr1'!"&amp;ADDRESS(ROW(AG106),COLUMN(AG106))),INDIRECT("'Yr2'!"&amp;ADDRESS(ROW(AG106),COLUMN(AG106))),INDIRECT("'Yr3'!"&amp;ADDRESS(ROW(AG106),COLUMN(AG106)))),
IF(AG91=0,0,-PMT(INDEX(Lookups!$E$17:$G$17,MATCH($C$4,Lookups!$E$14:$G$14,0)),AG91,SUMIFS('EE Inputs'!$K$9:$K$32,'EE Inputs'!$C$9:$C$32,$G$6,'EE Inputs'!$D$9:$D$32,$C$4,'EE Inputs'!$E$9:$E$32,$B106),0,1)))</f>
        <v>0</v>
      </c>
      <c r="AH106" s="65"/>
      <c r="AI106" s="65">
        <f ca="1">NPV(Lookups!$E$17,G106:AG106)</f>
        <v>38997.800784677209</v>
      </c>
      <c r="AJ106" s="65"/>
      <c r="AM106" s="72">
        <f ca="1">IF($C$4=Lookups!$D$40,SUM(INDIRECT("'Yr1'!"&amp;ADDRESS(ROW(AM106),COLUMN(AM106))),INDIRECT("'Yr2'!"&amp;ADDRESS(ROW(AM106),COLUMN(AM106))),INDIRECT("'Yr3'!"&amp;ADDRESS(ROW(AM106),COLUMN(AM106)))),
IF(AM91=0,0,-PMT(INDEX(Lookups!$E$17:$G$17,MATCH($C$4,Lookups!$E$14:$G$14,0)),AM91,SUMIFS('EE Inputs'!$K$9:$K$32,'EE Inputs'!$C$9:$C$32,$AM$6,'EE Inputs'!$D$9:$D$32,$C$4,'EE Inputs'!$E$9:$E$32,$B106),0,1)))</f>
        <v>0</v>
      </c>
      <c r="AN106" s="72">
        <f ca="1">IF($C$4=Lookups!$D$40,SUM(INDIRECT("'Yr1'!"&amp;ADDRESS(ROW(AN106),COLUMN(AN106))),INDIRECT("'Yr2'!"&amp;ADDRESS(ROW(AN106),COLUMN(AN106))),INDIRECT("'Yr3'!"&amp;ADDRESS(ROW(AN106),COLUMN(AN106)))),
IF(AN91=0,0,-PMT(INDEX(Lookups!$E$17:$G$17,MATCH($C$4,Lookups!$E$14:$G$14,0)),AN91,SUMIFS('EE Inputs'!$K$9:$K$32,'EE Inputs'!$C$9:$C$32,$AM$6,'EE Inputs'!$D$9:$D$32,$C$4,'EE Inputs'!$E$9:$E$32,$B106),0,1)))</f>
        <v>2610.50439118332</v>
      </c>
      <c r="AO106" s="72">
        <f ca="1">IF($C$4=Lookups!$D$40,SUM(INDIRECT("'Yr1'!"&amp;ADDRESS(ROW(AO106),COLUMN(AO106))),INDIRECT("'Yr2'!"&amp;ADDRESS(ROW(AO106),COLUMN(AO106))),INDIRECT("'Yr3'!"&amp;ADDRESS(ROW(AO106),COLUMN(AO106)))),
IF(AO91=0,0,-PMT(INDEX(Lookups!$E$17:$G$17,MATCH($C$4,Lookups!$E$14:$G$14,0)),AO91,SUMIFS('EE Inputs'!$K$9:$K$32,'EE Inputs'!$C$9:$C$32,$AM$6,'EE Inputs'!$D$9:$D$32,$C$4,'EE Inputs'!$E$9:$E$32,$B106),0,1)))</f>
        <v>2610.50439118332</v>
      </c>
      <c r="AP106" s="72">
        <f ca="1">IF($C$4=Lookups!$D$40,SUM(INDIRECT("'Yr1'!"&amp;ADDRESS(ROW(AP106),COLUMN(AP106))),INDIRECT("'Yr2'!"&amp;ADDRESS(ROW(AP106),COLUMN(AP106))),INDIRECT("'Yr3'!"&amp;ADDRESS(ROW(AP106),COLUMN(AP106)))),
IF(AP91=0,0,-PMT(INDEX(Lookups!$E$17:$G$17,MATCH($C$4,Lookups!$E$14:$G$14,0)),AP91,SUMIFS('EE Inputs'!$K$9:$K$32,'EE Inputs'!$C$9:$C$32,$AM$6,'EE Inputs'!$D$9:$D$32,$C$4,'EE Inputs'!$E$9:$E$32,$B106),0,1)))</f>
        <v>2610.50439118332</v>
      </c>
      <c r="AQ106" s="72">
        <f ca="1">IF($C$4=Lookups!$D$40,SUM(INDIRECT("'Yr1'!"&amp;ADDRESS(ROW(AQ106),COLUMN(AQ106))),INDIRECT("'Yr2'!"&amp;ADDRESS(ROW(AQ106),COLUMN(AQ106))),INDIRECT("'Yr3'!"&amp;ADDRESS(ROW(AQ106),COLUMN(AQ106)))),
IF(AQ91=0,0,-PMT(INDEX(Lookups!$E$17:$G$17,MATCH($C$4,Lookups!$E$14:$G$14,0)),AQ91,SUMIFS('EE Inputs'!$K$9:$K$32,'EE Inputs'!$C$9:$C$32,$AM$6,'EE Inputs'!$D$9:$D$32,$C$4,'EE Inputs'!$E$9:$E$32,$B106),0,1)))</f>
        <v>2610.50439118332</v>
      </c>
      <c r="AR106" s="72">
        <f ca="1">IF($C$4=Lookups!$D$40,SUM(INDIRECT("'Yr1'!"&amp;ADDRESS(ROW(AR106),COLUMN(AR106))),INDIRECT("'Yr2'!"&amp;ADDRESS(ROW(AR106),COLUMN(AR106))),INDIRECT("'Yr3'!"&amp;ADDRESS(ROW(AR106),COLUMN(AR106)))),
IF(AR91=0,0,-PMT(INDEX(Lookups!$E$17:$G$17,MATCH($C$4,Lookups!$E$14:$G$14,0)),AR91,SUMIFS('EE Inputs'!$K$9:$K$32,'EE Inputs'!$C$9:$C$32,$AM$6,'EE Inputs'!$D$9:$D$32,$C$4,'EE Inputs'!$E$9:$E$32,$B106),0,1)))</f>
        <v>2610.50439118332</v>
      </c>
      <c r="AS106" s="72">
        <f ca="1">IF($C$4=Lookups!$D$40,SUM(INDIRECT("'Yr1'!"&amp;ADDRESS(ROW(AS106),COLUMN(AS106))),INDIRECT("'Yr2'!"&amp;ADDRESS(ROW(AS106),COLUMN(AS106))),INDIRECT("'Yr3'!"&amp;ADDRESS(ROW(AS106),COLUMN(AS106)))),
IF(AS91=0,0,-PMT(INDEX(Lookups!$E$17:$G$17,MATCH($C$4,Lookups!$E$14:$G$14,0)),AS91,SUMIFS('EE Inputs'!$K$9:$K$32,'EE Inputs'!$C$9:$C$32,$AM$6,'EE Inputs'!$D$9:$D$32,$C$4,'EE Inputs'!$E$9:$E$32,$B106),0,1)))</f>
        <v>2610.50439118332</v>
      </c>
      <c r="AT106" s="72">
        <f ca="1">IF($C$4=Lookups!$D$40,SUM(INDIRECT("'Yr1'!"&amp;ADDRESS(ROW(AT106),COLUMN(AT106))),INDIRECT("'Yr2'!"&amp;ADDRESS(ROW(AT106),COLUMN(AT106))),INDIRECT("'Yr3'!"&amp;ADDRESS(ROW(AT106),COLUMN(AT106)))),
IF(AT91=0,0,-PMT(INDEX(Lookups!$E$17:$G$17,MATCH($C$4,Lookups!$E$14:$G$14,0)),AT91,SUMIFS('EE Inputs'!$K$9:$K$32,'EE Inputs'!$C$9:$C$32,$AM$6,'EE Inputs'!$D$9:$D$32,$C$4,'EE Inputs'!$E$9:$E$32,$B106),0,1)))</f>
        <v>2610.50439118332</v>
      </c>
      <c r="AU106" s="72">
        <f ca="1">IF($C$4=Lookups!$D$40,SUM(INDIRECT("'Yr1'!"&amp;ADDRESS(ROW(AU106),COLUMN(AU106))),INDIRECT("'Yr2'!"&amp;ADDRESS(ROW(AU106),COLUMN(AU106))),INDIRECT("'Yr3'!"&amp;ADDRESS(ROW(AU106),COLUMN(AU106)))),
IF(AU91=0,0,-PMT(INDEX(Lookups!$E$17:$G$17,MATCH($C$4,Lookups!$E$14:$G$14,0)),AU91,SUMIFS('EE Inputs'!$K$9:$K$32,'EE Inputs'!$C$9:$C$32,$AM$6,'EE Inputs'!$D$9:$D$32,$C$4,'EE Inputs'!$E$9:$E$32,$B106),0,1)))</f>
        <v>2610.50439118332</v>
      </c>
      <c r="AV106" s="72">
        <f ca="1">IF($C$4=Lookups!$D$40,SUM(INDIRECT("'Yr1'!"&amp;ADDRESS(ROW(AV106),COLUMN(AV106))),INDIRECT("'Yr2'!"&amp;ADDRESS(ROW(AV106),COLUMN(AV106))),INDIRECT("'Yr3'!"&amp;ADDRESS(ROW(AV106),COLUMN(AV106)))),
IF(AV91=0,0,-PMT(INDEX(Lookups!$E$17:$G$17,MATCH($C$4,Lookups!$E$14:$G$14,0)),AV91,SUMIFS('EE Inputs'!$K$9:$K$32,'EE Inputs'!$C$9:$C$32,$AM$6,'EE Inputs'!$D$9:$D$32,$C$4,'EE Inputs'!$E$9:$E$32,$B106),0,1)))</f>
        <v>2610.50439118332</v>
      </c>
      <c r="AW106" s="72">
        <f ca="1">IF($C$4=Lookups!$D$40,SUM(INDIRECT("'Yr1'!"&amp;ADDRESS(ROW(AW106),COLUMN(AW106))),INDIRECT("'Yr2'!"&amp;ADDRESS(ROW(AW106),COLUMN(AW106))),INDIRECT("'Yr3'!"&amp;ADDRESS(ROW(AW106),COLUMN(AW106)))),
IF(AW91=0,0,-PMT(INDEX(Lookups!$E$17:$G$17,MATCH($C$4,Lookups!$E$14:$G$14,0)),AW91,SUMIFS('EE Inputs'!$K$9:$K$32,'EE Inputs'!$C$9:$C$32,$AM$6,'EE Inputs'!$D$9:$D$32,$C$4,'EE Inputs'!$E$9:$E$32,$B106),0,1)))</f>
        <v>2610.50439118332</v>
      </c>
      <c r="AX106" s="72">
        <f ca="1">IF($C$4=Lookups!$D$40,SUM(INDIRECT("'Yr1'!"&amp;ADDRESS(ROW(AX106),COLUMN(AX106))),INDIRECT("'Yr2'!"&amp;ADDRESS(ROW(AX106),COLUMN(AX106))),INDIRECT("'Yr3'!"&amp;ADDRESS(ROW(AX106),COLUMN(AX106)))),
IF(AX91=0,0,-PMT(INDEX(Lookups!$E$17:$G$17,MATCH($C$4,Lookups!$E$14:$G$14,0)),AX91,SUMIFS('EE Inputs'!$K$9:$K$32,'EE Inputs'!$C$9:$C$32,$AM$6,'EE Inputs'!$D$9:$D$32,$C$4,'EE Inputs'!$E$9:$E$32,$B106),0,1)))</f>
        <v>2610.50439118332</v>
      </c>
      <c r="AY106" s="72">
        <f ca="1">IF($C$4=Lookups!$D$40,SUM(INDIRECT("'Yr1'!"&amp;ADDRESS(ROW(AY106),COLUMN(AY106))),INDIRECT("'Yr2'!"&amp;ADDRESS(ROW(AY106),COLUMN(AY106))),INDIRECT("'Yr3'!"&amp;ADDRESS(ROW(AY106),COLUMN(AY106)))),
IF(AY91=0,0,-PMT(INDEX(Lookups!$E$17:$G$17,MATCH($C$4,Lookups!$E$14:$G$14,0)),AY91,SUMIFS('EE Inputs'!$K$9:$K$32,'EE Inputs'!$C$9:$C$32,$AM$6,'EE Inputs'!$D$9:$D$32,$C$4,'EE Inputs'!$E$9:$E$32,$B106),0,1)))</f>
        <v>2610.50439118332</v>
      </c>
      <c r="AZ106" s="72">
        <f ca="1">IF($C$4=Lookups!$D$40,SUM(INDIRECT("'Yr1'!"&amp;ADDRESS(ROW(AZ106),COLUMN(AZ106))),INDIRECT("'Yr2'!"&amp;ADDRESS(ROW(AZ106),COLUMN(AZ106))),INDIRECT("'Yr3'!"&amp;ADDRESS(ROW(AZ106),COLUMN(AZ106)))),
IF(AZ91=0,0,-PMT(INDEX(Lookups!$E$17:$G$17,MATCH($C$4,Lookups!$E$14:$G$14,0)),AZ91,SUMIFS('EE Inputs'!$K$9:$K$32,'EE Inputs'!$C$9:$C$32,$AM$6,'EE Inputs'!$D$9:$D$32,$C$4,'EE Inputs'!$E$9:$E$32,$B106),0,1)))</f>
        <v>2610.50439118332</v>
      </c>
      <c r="BA106" s="72">
        <f ca="1">IF($C$4=Lookups!$D$40,SUM(INDIRECT("'Yr1'!"&amp;ADDRESS(ROW(BA106),COLUMN(BA106))),INDIRECT("'Yr2'!"&amp;ADDRESS(ROW(BA106),COLUMN(BA106))),INDIRECT("'Yr3'!"&amp;ADDRESS(ROW(BA106),COLUMN(BA106)))),
IF(BA91=0,0,-PMT(INDEX(Lookups!$E$17:$G$17,MATCH($C$4,Lookups!$E$14:$G$14,0)),BA91,SUMIFS('EE Inputs'!$K$9:$K$32,'EE Inputs'!$C$9:$C$32,$AM$6,'EE Inputs'!$D$9:$D$32,$C$4,'EE Inputs'!$E$9:$E$32,$B106),0,1)))</f>
        <v>2610.50439118332</v>
      </c>
      <c r="BB106" s="72">
        <f ca="1">IF($C$4=Lookups!$D$40,SUM(INDIRECT("'Yr1'!"&amp;ADDRESS(ROW(BB106),COLUMN(BB106))),INDIRECT("'Yr2'!"&amp;ADDRESS(ROW(BB106),COLUMN(BB106))),INDIRECT("'Yr3'!"&amp;ADDRESS(ROW(BB106),COLUMN(BB106)))),
IF(BB91=0,0,-PMT(INDEX(Lookups!$E$17:$G$17,MATCH($C$4,Lookups!$E$14:$G$14,0)),BB91,SUMIFS('EE Inputs'!$K$9:$K$32,'EE Inputs'!$C$9:$C$32,$AM$6,'EE Inputs'!$D$9:$D$32,$C$4,'EE Inputs'!$E$9:$E$32,$B106),0,1)))</f>
        <v>2610.50439118332</v>
      </c>
      <c r="BC106" s="72">
        <f ca="1">IF($C$4=Lookups!$D$40,SUM(INDIRECT("'Yr1'!"&amp;ADDRESS(ROW(BC106),COLUMN(BC106))),INDIRECT("'Yr2'!"&amp;ADDRESS(ROW(BC106),COLUMN(BC106))),INDIRECT("'Yr3'!"&amp;ADDRESS(ROW(BC106),COLUMN(BC106)))),
IF(BC91=0,0,-PMT(INDEX(Lookups!$E$17:$G$17,MATCH($C$4,Lookups!$E$14:$G$14,0)),BC91,SUMIFS('EE Inputs'!$K$9:$K$32,'EE Inputs'!$C$9:$C$32,$AM$6,'EE Inputs'!$D$9:$D$32,$C$4,'EE Inputs'!$E$9:$E$32,$B106),0,1)))</f>
        <v>2610.50439118332</v>
      </c>
      <c r="BD106" s="72">
        <f ca="1">IF($C$4=Lookups!$D$40,SUM(INDIRECT("'Yr1'!"&amp;ADDRESS(ROW(BD106),COLUMN(BD106))),INDIRECT("'Yr2'!"&amp;ADDRESS(ROW(BD106),COLUMN(BD106))),INDIRECT("'Yr3'!"&amp;ADDRESS(ROW(BD106),COLUMN(BD106)))),
IF(BD91=0,0,-PMT(INDEX(Lookups!$E$17:$G$17,MATCH($C$4,Lookups!$E$14:$G$14,0)),BD91,SUMIFS('EE Inputs'!$K$9:$K$32,'EE Inputs'!$C$9:$C$32,$AM$6,'EE Inputs'!$D$9:$D$32,$C$4,'EE Inputs'!$E$9:$E$32,$B106),0,1)))</f>
        <v>2610.50439118332</v>
      </c>
      <c r="BE106" s="72">
        <f ca="1">IF($C$4=Lookups!$D$40,SUM(INDIRECT("'Yr1'!"&amp;ADDRESS(ROW(BE106),COLUMN(BE106))),INDIRECT("'Yr2'!"&amp;ADDRESS(ROW(BE106),COLUMN(BE106))),INDIRECT("'Yr3'!"&amp;ADDRESS(ROW(BE106),COLUMN(BE106)))),
IF(BE91=0,0,-PMT(INDEX(Lookups!$E$17:$G$17,MATCH($C$4,Lookups!$E$14:$G$14,0)),BE91,SUMIFS('EE Inputs'!$K$9:$K$32,'EE Inputs'!$C$9:$C$32,$AM$6,'EE Inputs'!$D$9:$D$32,$C$4,'EE Inputs'!$E$9:$E$32,$B106),0,1)))</f>
        <v>2610.50439118332</v>
      </c>
      <c r="BF106" s="72">
        <f ca="1">IF($C$4=Lookups!$D$40,SUM(INDIRECT("'Yr1'!"&amp;ADDRESS(ROW(BF106),COLUMN(BF106))),INDIRECT("'Yr2'!"&amp;ADDRESS(ROW(BF106),COLUMN(BF106))),INDIRECT("'Yr3'!"&amp;ADDRESS(ROW(BF106),COLUMN(BF106)))),
IF(BF91=0,0,-PMT(INDEX(Lookups!$E$17:$G$17,MATCH($C$4,Lookups!$E$14:$G$14,0)),BF91,SUMIFS('EE Inputs'!$K$9:$K$32,'EE Inputs'!$C$9:$C$32,$AM$6,'EE Inputs'!$D$9:$D$32,$C$4,'EE Inputs'!$E$9:$E$32,$B106),0,1)))</f>
        <v>2610.50439118332</v>
      </c>
      <c r="BG106" s="72">
        <f ca="1">IF($C$4=Lookups!$D$40,SUM(INDIRECT("'Yr1'!"&amp;ADDRESS(ROW(BG106),COLUMN(BG106))),INDIRECT("'Yr2'!"&amp;ADDRESS(ROW(BG106),COLUMN(BG106))),INDIRECT("'Yr3'!"&amp;ADDRESS(ROW(BG106),COLUMN(BG106)))),
IF(BG91=0,0,-PMT(INDEX(Lookups!$E$17:$G$17,MATCH($C$4,Lookups!$E$14:$G$14,0)),BG91,SUMIFS('EE Inputs'!$K$9:$K$32,'EE Inputs'!$C$9:$C$32,$AM$6,'EE Inputs'!$D$9:$D$32,$C$4,'EE Inputs'!$E$9:$E$32,$B106),0,1)))</f>
        <v>2610.50439118332</v>
      </c>
      <c r="BH106" s="72">
        <f ca="1">IF($C$4=Lookups!$D$40,SUM(INDIRECT("'Yr1'!"&amp;ADDRESS(ROW(BH106),COLUMN(BH106))),INDIRECT("'Yr2'!"&amp;ADDRESS(ROW(BH106),COLUMN(BH106))),INDIRECT("'Yr3'!"&amp;ADDRESS(ROW(BH106),COLUMN(BH106)))),
IF(BH91=0,0,-PMT(INDEX(Lookups!$E$17:$G$17,MATCH($C$4,Lookups!$E$14:$G$14,0)),BH91,SUMIFS('EE Inputs'!$K$9:$K$32,'EE Inputs'!$C$9:$C$32,$AM$6,'EE Inputs'!$D$9:$D$32,$C$4,'EE Inputs'!$E$9:$E$32,$B106),0,1)))</f>
        <v>0</v>
      </c>
      <c r="BI106" s="72">
        <f ca="1">IF($C$4=Lookups!$D$40,SUM(INDIRECT("'Yr1'!"&amp;ADDRESS(ROW(BI106),COLUMN(BI106))),INDIRECT("'Yr2'!"&amp;ADDRESS(ROW(BI106),COLUMN(BI106))),INDIRECT("'Yr3'!"&amp;ADDRESS(ROW(BI106),COLUMN(BI106)))),
IF(BI91=0,0,-PMT(INDEX(Lookups!$E$17:$G$17,MATCH($C$4,Lookups!$E$14:$G$14,0)),BI91,SUMIFS('EE Inputs'!$K$9:$K$32,'EE Inputs'!$C$9:$C$32,$AM$6,'EE Inputs'!$D$9:$D$32,$C$4,'EE Inputs'!$E$9:$E$32,$B106),0,1)))</f>
        <v>0</v>
      </c>
      <c r="BJ106" s="72">
        <f ca="1">IF($C$4=Lookups!$D$40,SUM(INDIRECT("'Yr1'!"&amp;ADDRESS(ROW(BJ106),COLUMN(BJ106))),INDIRECT("'Yr2'!"&amp;ADDRESS(ROW(BJ106),COLUMN(BJ106))),INDIRECT("'Yr3'!"&amp;ADDRESS(ROW(BJ106),COLUMN(BJ106)))),
IF(BJ91=0,0,-PMT(INDEX(Lookups!$E$17:$G$17,MATCH($C$4,Lookups!$E$14:$G$14,0)),BJ91,SUMIFS('EE Inputs'!$K$9:$K$32,'EE Inputs'!$C$9:$C$32,$AM$6,'EE Inputs'!$D$9:$D$32,$C$4,'EE Inputs'!$E$9:$E$32,$B106),0,1)))</f>
        <v>0</v>
      </c>
      <c r="BK106" s="72">
        <f ca="1">IF($C$4=Lookups!$D$40,SUM(INDIRECT("'Yr1'!"&amp;ADDRESS(ROW(BK106),COLUMN(BK106))),INDIRECT("'Yr2'!"&amp;ADDRESS(ROW(BK106),COLUMN(BK106))),INDIRECT("'Yr3'!"&amp;ADDRESS(ROW(BK106),COLUMN(BK106)))),
IF(BK91=0,0,-PMT(INDEX(Lookups!$E$17:$G$17,MATCH($C$4,Lookups!$E$14:$G$14,0)),BK91,SUMIFS('EE Inputs'!$K$9:$K$32,'EE Inputs'!$C$9:$C$32,$AM$6,'EE Inputs'!$D$9:$D$32,$C$4,'EE Inputs'!$E$9:$E$32,$B106),0,1)))</f>
        <v>0</v>
      </c>
      <c r="BL106" s="72">
        <f ca="1">IF($C$4=Lookups!$D$40,SUM(INDIRECT("'Yr1'!"&amp;ADDRESS(ROW(BL106),COLUMN(BL106))),INDIRECT("'Yr2'!"&amp;ADDRESS(ROW(BL106),COLUMN(BL106))),INDIRECT("'Yr3'!"&amp;ADDRESS(ROW(BL106),COLUMN(BL106)))),
IF(BL91=0,0,-PMT(INDEX(Lookups!$E$17:$G$17,MATCH($C$4,Lookups!$E$14:$G$14,0)),BL91,SUMIFS('EE Inputs'!$K$9:$K$32,'EE Inputs'!$C$9:$C$32,$AM$6,'EE Inputs'!$D$9:$D$32,$C$4,'EE Inputs'!$E$9:$E$32,$B106),0,1)))</f>
        <v>0</v>
      </c>
      <c r="BM106" s="72">
        <f ca="1">IF($C$4=Lookups!$D$40,SUM(INDIRECT("'Yr1'!"&amp;ADDRESS(ROW(BM106),COLUMN(BM106))),INDIRECT("'Yr2'!"&amp;ADDRESS(ROW(BM106),COLUMN(BM106))),INDIRECT("'Yr3'!"&amp;ADDRESS(ROW(BM106),COLUMN(BM106)))),
IF(BM91=0,0,-PMT(INDEX(Lookups!$E$17:$G$17,MATCH($C$4,Lookups!$E$14:$G$14,0)),BM91,SUMIFS('EE Inputs'!$K$9:$K$32,'EE Inputs'!$C$9:$C$32,$AM$6,'EE Inputs'!$D$9:$D$32,$C$4,'EE Inputs'!$E$9:$E$32,$B106),0,1)))</f>
        <v>0</v>
      </c>
      <c r="BN106" s="72"/>
      <c r="BO106" s="72">
        <f ca="1">NPV(Lookups!$E$17,AM106:BM106)</f>
        <v>44568.915182488243</v>
      </c>
      <c r="BP106" s="72"/>
      <c r="BS106" s="84" t="str">
        <f>"Avoided "&amp;E106&amp;" costs."</f>
        <v>Avoided Gas DRIPE costs.</v>
      </c>
      <c r="BT106" s="51" t="s">
        <v>17</v>
      </c>
    </row>
    <row r="107" spans="1:72" x14ac:dyDescent="0.25">
      <c r="B107" s="243" t="str">
        <f t="shared" ref="B107:C109" si="98">B106</f>
        <v>Low-Income</v>
      </c>
      <c r="C107" s="243" t="str">
        <f t="shared" si="98"/>
        <v>Revenue Requirements</v>
      </c>
      <c r="D107" s="114" t="s">
        <v>165</v>
      </c>
      <c r="E107" s="84"/>
      <c r="F107" s="84"/>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S107" s="84"/>
      <c r="BT107" s="51" t="s">
        <v>17</v>
      </c>
    </row>
    <row r="108" spans="1:72" x14ac:dyDescent="0.25">
      <c r="A108" s="476"/>
      <c r="B108" s="243" t="str">
        <f t="shared" si="98"/>
        <v>Low-Income</v>
      </c>
      <c r="C108" s="243" t="str">
        <f t="shared" si="98"/>
        <v>Revenue Requirements</v>
      </c>
      <c r="D108" s="244" t="str">
        <f>D107</f>
        <v>Increased Costs and Cost Shifting</v>
      </c>
      <c r="E108" s="84" t="s">
        <v>406</v>
      </c>
      <c r="F108" s="84" t="s">
        <v>32</v>
      </c>
      <c r="G108" s="64">
        <f ca="1">IF($C$4=Lookups!$D$40,SUM(INDIRECT("'Yr1'!"&amp;ADDRESS(ROW(G108),COLUMN(G108))),INDIRECT("'Yr2'!"&amp;ADDRESS(ROW(G108),COLUMN(G108))),INDIRECT("'Yr3'!"&amp;ADDRESS(ROW(G108),COLUMN(G108)))),
IF($C$4=G$7,G128*G96,0))</f>
        <v>0</v>
      </c>
      <c r="H108" s="64">
        <f ca="1">IF($C$4=Lookups!$D$40,SUM(INDIRECT("'Yr1'!"&amp;ADDRESS(ROW(H108),COLUMN(H108))),INDIRECT("'Yr2'!"&amp;ADDRESS(ROW(H108),COLUMN(H108))),INDIRECT("'Yr3'!"&amp;ADDRESS(ROW(H108),COLUMN(H108)))),
IF($C$4=H$7,H128*H96,0))</f>
        <v>305513.13244021678</v>
      </c>
      <c r="I108" s="64">
        <f ca="1">IF($C$4=Lookups!$D$40,SUM(INDIRECT("'Yr1'!"&amp;ADDRESS(ROW(I108),COLUMN(I108))),INDIRECT("'Yr2'!"&amp;ADDRESS(ROW(I108),COLUMN(I108))),INDIRECT("'Yr3'!"&amp;ADDRESS(ROW(I108),COLUMN(I108)))),
IF($C$4=I$7,I128*I96,0))</f>
        <v>0</v>
      </c>
      <c r="J108" s="64">
        <f ca="1">IF($C$4=Lookups!$D$40,SUM(INDIRECT("'Yr1'!"&amp;ADDRESS(ROW(J108),COLUMN(J108))),INDIRECT("'Yr2'!"&amp;ADDRESS(ROW(J108),COLUMN(J108))),INDIRECT("'Yr3'!"&amp;ADDRESS(ROW(J108),COLUMN(J108)))),
IF($C$4=J$7,J128*J96,0))</f>
        <v>0</v>
      </c>
      <c r="K108" s="64">
        <f ca="1">IF($C$4=Lookups!$D$40,SUM(INDIRECT("'Yr1'!"&amp;ADDRESS(ROW(K108),COLUMN(K108))),INDIRECT("'Yr2'!"&amp;ADDRESS(ROW(K108),COLUMN(K108))),INDIRECT("'Yr3'!"&amp;ADDRESS(ROW(K108),COLUMN(K108)))),
IF($C$4=K$7,K128*K96,0))</f>
        <v>0</v>
      </c>
      <c r="L108" s="64">
        <f ca="1">IF($C$4=Lookups!$D$40,SUM(INDIRECT("'Yr1'!"&amp;ADDRESS(ROW(L108),COLUMN(L108))),INDIRECT("'Yr2'!"&amp;ADDRESS(ROW(L108),COLUMN(L108))),INDIRECT("'Yr3'!"&amp;ADDRESS(ROW(L108),COLUMN(L108)))),
IF($C$4=L$7,L128*L96,0))</f>
        <v>0</v>
      </c>
      <c r="M108" s="64">
        <f ca="1">IF($C$4=Lookups!$D$40,SUM(INDIRECT("'Yr1'!"&amp;ADDRESS(ROW(M108),COLUMN(M108))),INDIRECT("'Yr2'!"&amp;ADDRESS(ROW(M108),COLUMN(M108))),INDIRECT("'Yr3'!"&amp;ADDRESS(ROW(M108),COLUMN(M108)))),
IF($C$4=M$7,M128*M96,0))</f>
        <v>0</v>
      </c>
      <c r="N108" s="64">
        <f ca="1">IF($C$4=Lookups!$D$40,SUM(INDIRECT("'Yr1'!"&amp;ADDRESS(ROW(N108),COLUMN(N108))),INDIRECT("'Yr2'!"&amp;ADDRESS(ROW(N108),COLUMN(N108))),INDIRECT("'Yr3'!"&amp;ADDRESS(ROW(N108),COLUMN(N108)))),
IF($C$4=N$7,N128*N96,0))</f>
        <v>0</v>
      </c>
      <c r="O108" s="64">
        <f ca="1">IF($C$4=Lookups!$D$40,SUM(INDIRECT("'Yr1'!"&amp;ADDRESS(ROW(O108),COLUMN(O108))),INDIRECT("'Yr2'!"&amp;ADDRESS(ROW(O108),COLUMN(O108))),INDIRECT("'Yr3'!"&amp;ADDRESS(ROW(O108),COLUMN(O108)))),
IF($C$4=O$7,O128*O96,0))</f>
        <v>0</v>
      </c>
      <c r="P108" s="64">
        <f ca="1">IF($C$4=Lookups!$D$40,SUM(INDIRECT("'Yr1'!"&amp;ADDRESS(ROW(P108),COLUMN(P108))),INDIRECT("'Yr2'!"&amp;ADDRESS(ROW(P108),COLUMN(P108))),INDIRECT("'Yr3'!"&amp;ADDRESS(ROW(P108),COLUMN(P108)))),
IF($C$4=P$7,P128*P96,0))</f>
        <v>0</v>
      </c>
      <c r="Q108" s="64">
        <f ca="1">IF($C$4=Lookups!$D$40,SUM(INDIRECT("'Yr1'!"&amp;ADDRESS(ROW(Q108),COLUMN(Q108))),INDIRECT("'Yr2'!"&amp;ADDRESS(ROW(Q108),COLUMN(Q108))),INDIRECT("'Yr3'!"&amp;ADDRESS(ROW(Q108),COLUMN(Q108)))),
IF($C$4=Q$7,Q128*Q96,0))</f>
        <v>0</v>
      </c>
      <c r="R108" s="64">
        <f ca="1">IF($C$4=Lookups!$D$40,SUM(INDIRECT("'Yr1'!"&amp;ADDRESS(ROW(R108),COLUMN(R108))),INDIRECT("'Yr2'!"&amp;ADDRESS(ROW(R108),COLUMN(R108))),INDIRECT("'Yr3'!"&amp;ADDRESS(ROW(R108),COLUMN(R108)))),
IF($C$4=R$7,R128*R96,0))</f>
        <v>0</v>
      </c>
      <c r="S108" s="64">
        <f ca="1">IF($C$4=Lookups!$D$40,SUM(INDIRECT("'Yr1'!"&amp;ADDRESS(ROW(S108),COLUMN(S108))),INDIRECT("'Yr2'!"&amp;ADDRESS(ROW(S108),COLUMN(S108))),INDIRECT("'Yr3'!"&amp;ADDRESS(ROW(S108),COLUMN(S108)))),
IF($C$4=S$7,S128*S96,0))</f>
        <v>0</v>
      </c>
      <c r="T108" s="64">
        <f ca="1">IF($C$4=Lookups!$D$40,SUM(INDIRECT("'Yr1'!"&amp;ADDRESS(ROW(T108),COLUMN(T108))),INDIRECT("'Yr2'!"&amp;ADDRESS(ROW(T108),COLUMN(T108))),INDIRECT("'Yr3'!"&amp;ADDRESS(ROW(T108),COLUMN(T108)))),
IF($C$4=T$7,T128*T96,0))</f>
        <v>0</v>
      </c>
      <c r="U108" s="64">
        <f ca="1">IF($C$4=Lookups!$D$40,SUM(INDIRECT("'Yr1'!"&amp;ADDRESS(ROW(U108),COLUMN(U108))),INDIRECT("'Yr2'!"&amp;ADDRESS(ROW(U108),COLUMN(U108))),INDIRECT("'Yr3'!"&amp;ADDRESS(ROW(U108),COLUMN(U108)))),
IF($C$4=U$7,U128*U96,0))</f>
        <v>0</v>
      </c>
      <c r="V108" s="64">
        <f ca="1">IF($C$4=Lookups!$D$40,SUM(INDIRECT("'Yr1'!"&amp;ADDRESS(ROW(V108),COLUMN(V108))),INDIRECT("'Yr2'!"&amp;ADDRESS(ROW(V108),COLUMN(V108))),INDIRECT("'Yr3'!"&amp;ADDRESS(ROW(V108),COLUMN(V108)))),
IF($C$4=V$7,V128*V96,0))</f>
        <v>0</v>
      </c>
      <c r="W108" s="64">
        <f ca="1">IF($C$4=Lookups!$D$40,SUM(INDIRECT("'Yr1'!"&amp;ADDRESS(ROW(W108),COLUMN(W108))),INDIRECT("'Yr2'!"&amp;ADDRESS(ROW(W108),COLUMN(W108))),INDIRECT("'Yr3'!"&amp;ADDRESS(ROW(W108),COLUMN(W108)))),
IF($C$4=W$7,W128*W96,0))</f>
        <v>0</v>
      </c>
      <c r="X108" s="64">
        <f ca="1">IF($C$4=Lookups!$D$40,SUM(INDIRECT("'Yr1'!"&amp;ADDRESS(ROW(X108),COLUMN(X108))),INDIRECT("'Yr2'!"&amp;ADDRESS(ROW(X108),COLUMN(X108))),INDIRECT("'Yr3'!"&amp;ADDRESS(ROW(X108),COLUMN(X108)))),
IF($C$4=X$7,X128*X96,0))</f>
        <v>0</v>
      </c>
      <c r="Y108" s="64">
        <f ca="1">IF($C$4=Lookups!$D$40,SUM(INDIRECT("'Yr1'!"&amp;ADDRESS(ROW(Y108),COLUMN(Y108))),INDIRECT("'Yr2'!"&amp;ADDRESS(ROW(Y108),COLUMN(Y108))),INDIRECT("'Yr3'!"&amp;ADDRESS(ROW(Y108),COLUMN(Y108)))),
IF($C$4=Y$7,Y128*Y96,0))</f>
        <v>0</v>
      </c>
      <c r="Z108" s="64">
        <f ca="1">IF($C$4=Lookups!$D$40,SUM(INDIRECT("'Yr1'!"&amp;ADDRESS(ROW(Z108),COLUMN(Z108))),INDIRECT("'Yr2'!"&amp;ADDRESS(ROW(Z108),COLUMN(Z108))),INDIRECT("'Yr3'!"&amp;ADDRESS(ROW(Z108),COLUMN(Z108)))),
IF($C$4=Z$7,Z128*Z96,0))</f>
        <v>0</v>
      </c>
      <c r="AA108" s="64">
        <f ca="1">IF($C$4=Lookups!$D$40,SUM(INDIRECT("'Yr1'!"&amp;ADDRESS(ROW(AA108),COLUMN(AA108))),INDIRECT("'Yr2'!"&amp;ADDRESS(ROW(AA108),COLUMN(AA108))),INDIRECT("'Yr3'!"&amp;ADDRESS(ROW(AA108),COLUMN(AA108)))),
IF($C$4=AA$7,AA128*AA96,0))</f>
        <v>0</v>
      </c>
      <c r="AB108" s="64">
        <f ca="1">IF($C$4=Lookups!$D$40,SUM(INDIRECT("'Yr1'!"&amp;ADDRESS(ROW(AB108),COLUMN(AB108))),INDIRECT("'Yr2'!"&amp;ADDRESS(ROW(AB108),COLUMN(AB108))),INDIRECT("'Yr3'!"&amp;ADDRESS(ROW(AB108),COLUMN(AB108)))),
IF($C$4=AB$7,AB128*AB96,0))</f>
        <v>0</v>
      </c>
      <c r="AC108" s="64">
        <f ca="1">IF($C$4=Lookups!$D$40,SUM(INDIRECT("'Yr1'!"&amp;ADDRESS(ROW(AC108),COLUMN(AC108))),INDIRECT("'Yr2'!"&amp;ADDRESS(ROW(AC108),COLUMN(AC108))),INDIRECT("'Yr3'!"&amp;ADDRESS(ROW(AC108),COLUMN(AC108)))),
IF($C$4=AC$7,AC128*AC96,0))</f>
        <v>0</v>
      </c>
      <c r="AD108" s="64">
        <f ca="1">IF($C$4=Lookups!$D$40,SUM(INDIRECT("'Yr1'!"&amp;ADDRESS(ROW(AD108),COLUMN(AD108))),INDIRECT("'Yr2'!"&amp;ADDRESS(ROW(AD108),COLUMN(AD108))),INDIRECT("'Yr3'!"&amp;ADDRESS(ROW(AD108),COLUMN(AD108)))),
IF($C$4=AD$7,AD128*AD96,0))</f>
        <v>0</v>
      </c>
      <c r="AE108" s="64">
        <f ca="1">IF($C$4=Lookups!$D$40,SUM(INDIRECT("'Yr1'!"&amp;ADDRESS(ROW(AE108),COLUMN(AE108))),INDIRECT("'Yr2'!"&amp;ADDRESS(ROW(AE108),COLUMN(AE108))),INDIRECT("'Yr3'!"&amp;ADDRESS(ROW(AE108),COLUMN(AE108)))),
IF($C$4=AE$7,AE128*AE96,0))</f>
        <v>0</v>
      </c>
      <c r="AF108" s="64">
        <f ca="1">IF($C$4=Lookups!$D$40,SUM(INDIRECT("'Yr1'!"&amp;ADDRESS(ROW(AF108),COLUMN(AF108))),INDIRECT("'Yr2'!"&amp;ADDRESS(ROW(AF108),COLUMN(AF108))),INDIRECT("'Yr3'!"&amp;ADDRESS(ROW(AF108),COLUMN(AF108)))),
IF($C$4=AF$7,AF128*AF96,0))</f>
        <v>0</v>
      </c>
      <c r="AG108" s="64">
        <f ca="1">IF($C$4=Lookups!$D$40,SUM(INDIRECT("'Yr1'!"&amp;ADDRESS(ROW(AG108),COLUMN(AG108))),INDIRECT("'Yr2'!"&amp;ADDRESS(ROW(AG108),COLUMN(AG108))),INDIRECT("'Yr3'!"&amp;ADDRESS(ROW(AG108),COLUMN(AG108)))),
IF($C$4=AG$7,AG128*AG96,0))</f>
        <v>0</v>
      </c>
      <c r="AH108" s="49"/>
      <c r="AI108" s="64">
        <f ca="1">NPV(Lookups!$E$17,G108:AG108)</f>
        <v>297050.73910675105</v>
      </c>
      <c r="AJ108" s="65"/>
      <c r="AM108" s="71">
        <f ca="1">IF($C$4=Lookups!$D$40,SUM(INDIRECT("'Yr1'!"&amp;ADDRESS(ROW(AM108),COLUMN(AM108))),INDIRECT("'Yr2'!"&amp;ADDRESS(ROW(AM108),COLUMN(AM108))),INDIRECT("'Yr3'!"&amp;ADDRESS(ROW(AM108),COLUMN(AM108)))),
IF($C$4=AM$7,AM128*AM96,0))</f>
        <v>0</v>
      </c>
      <c r="AN108" s="71">
        <f ca="1">IF($C$4=Lookups!$D$40,SUM(INDIRECT("'Yr1'!"&amp;ADDRESS(ROW(AN108),COLUMN(AN108))),INDIRECT("'Yr2'!"&amp;ADDRESS(ROW(AN108),COLUMN(AN108))),INDIRECT("'Yr3'!"&amp;ADDRESS(ROW(AN108),COLUMN(AN108)))),
IF($C$4=AN$7,AN128*AN96,0))</f>
        <v>365586.7050882543</v>
      </c>
      <c r="AO108" s="71">
        <f ca="1">IF($C$4=Lookups!$D$40,SUM(INDIRECT("'Yr1'!"&amp;ADDRESS(ROW(AO108),COLUMN(AO108))),INDIRECT("'Yr2'!"&amp;ADDRESS(ROW(AO108),COLUMN(AO108))),INDIRECT("'Yr3'!"&amp;ADDRESS(ROW(AO108),COLUMN(AO108)))),
IF($C$4=AO$7,AO128*AO96,0))</f>
        <v>0</v>
      </c>
      <c r="AP108" s="71">
        <f ca="1">IF($C$4=Lookups!$D$40,SUM(INDIRECT("'Yr1'!"&amp;ADDRESS(ROW(AP108),COLUMN(AP108))),INDIRECT("'Yr2'!"&amp;ADDRESS(ROW(AP108),COLUMN(AP108))),INDIRECT("'Yr3'!"&amp;ADDRESS(ROW(AP108),COLUMN(AP108)))),
IF($C$4=AP$7,AP128*AP96,0))</f>
        <v>0</v>
      </c>
      <c r="AQ108" s="71">
        <f ca="1">IF($C$4=Lookups!$D$40,SUM(INDIRECT("'Yr1'!"&amp;ADDRESS(ROW(AQ108),COLUMN(AQ108))),INDIRECT("'Yr2'!"&amp;ADDRESS(ROW(AQ108),COLUMN(AQ108))),INDIRECT("'Yr3'!"&amp;ADDRESS(ROW(AQ108),COLUMN(AQ108)))),
IF($C$4=AQ$7,AQ128*AQ96,0))</f>
        <v>0</v>
      </c>
      <c r="AR108" s="71">
        <f ca="1">IF($C$4=Lookups!$D$40,SUM(INDIRECT("'Yr1'!"&amp;ADDRESS(ROW(AR108),COLUMN(AR108))),INDIRECT("'Yr2'!"&amp;ADDRESS(ROW(AR108),COLUMN(AR108))),INDIRECT("'Yr3'!"&amp;ADDRESS(ROW(AR108),COLUMN(AR108)))),
IF($C$4=AR$7,AR128*AR96,0))</f>
        <v>0</v>
      </c>
      <c r="AS108" s="71">
        <f ca="1">IF($C$4=Lookups!$D$40,SUM(INDIRECT("'Yr1'!"&amp;ADDRESS(ROW(AS108),COLUMN(AS108))),INDIRECT("'Yr2'!"&amp;ADDRESS(ROW(AS108),COLUMN(AS108))),INDIRECT("'Yr3'!"&amp;ADDRESS(ROW(AS108),COLUMN(AS108)))),
IF($C$4=AS$7,AS128*AS96,0))</f>
        <v>0</v>
      </c>
      <c r="AT108" s="71">
        <f ca="1">IF($C$4=Lookups!$D$40,SUM(INDIRECT("'Yr1'!"&amp;ADDRESS(ROW(AT108),COLUMN(AT108))),INDIRECT("'Yr2'!"&amp;ADDRESS(ROW(AT108),COLUMN(AT108))),INDIRECT("'Yr3'!"&amp;ADDRESS(ROW(AT108),COLUMN(AT108)))),
IF($C$4=AT$7,AT128*AT96,0))</f>
        <v>0</v>
      </c>
      <c r="AU108" s="71">
        <f ca="1">IF($C$4=Lookups!$D$40,SUM(INDIRECT("'Yr1'!"&amp;ADDRESS(ROW(AU108),COLUMN(AU108))),INDIRECT("'Yr2'!"&amp;ADDRESS(ROW(AU108),COLUMN(AU108))),INDIRECT("'Yr3'!"&amp;ADDRESS(ROW(AU108),COLUMN(AU108)))),
IF($C$4=AU$7,AU128*AU96,0))</f>
        <v>0</v>
      </c>
      <c r="AV108" s="71">
        <f ca="1">IF($C$4=Lookups!$D$40,SUM(INDIRECT("'Yr1'!"&amp;ADDRESS(ROW(AV108),COLUMN(AV108))),INDIRECT("'Yr2'!"&amp;ADDRESS(ROW(AV108),COLUMN(AV108))),INDIRECT("'Yr3'!"&amp;ADDRESS(ROW(AV108),COLUMN(AV108)))),
IF($C$4=AV$7,AV128*AV96,0))</f>
        <v>0</v>
      </c>
      <c r="AW108" s="71">
        <f ca="1">IF($C$4=Lookups!$D$40,SUM(INDIRECT("'Yr1'!"&amp;ADDRESS(ROW(AW108),COLUMN(AW108))),INDIRECT("'Yr2'!"&amp;ADDRESS(ROW(AW108),COLUMN(AW108))),INDIRECT("'Yr3'!"&amp;ADDRESS(ROW(AW108),COLUMN(AW108)))),
IF($C$4=AW$7,AW128*AW96,0))</f>
        <v>0</v>
      </c>
      <c r="AX108" s="71">
        <f ca="1">IF($C$4=Lookups!$D$40,SUM(INDIRECT("'Yr1'!"&amp;ADDRESS(ROW(AX108),COLUMN(AX108))),INDIRECT("'Yr2'!"&amp;ADDRESS(ROW(AX108),COLUMN(AX108))),INDIRECT("'Yr3'!"&amp;ADDRESS(ROW(AX108),COLUMN(AX108)))),
IF($C$4=AX$7,AX128*AX96,0))</f>
        <v>0</v>
      </c>
      <c r="AY108" s="71">
        <f ca="1">IF($C$4=Lookups!$D$40,SUM(INDIRECT("'Yr1'!"&amp;ADDRESS(ROW(AY108),COLUMN(AY108))),INDIRECT("'Yr2'!"&amp;ADDRESS(ROW(AY108),COLUMN(AY108))),INDIRECT("'Yr3'!"&amp;ADDRESS(ROW(AY108),COLUMN(AY108)))),
IF($C$4=AY$7,AY128*AY96,0))</f>
        <v>0</v>
      </c>
      <c r="AZ108" s="71">
        <f ca="1">IF($C$4=Lookups!$D$40,SUM(INDIRECT("'Yr1'!"&amp;ADDRESS(ROW(AZ108),COLUMN(AZ108))),INDIRECT("'Yr2'!"&amp;ADDRESS(ROW(AZ108),COLUMN(AZ108))),INDIRECT("'Yr3'!"&amp;ADDRESS(ROW(AZ108),COLUMN(AZ108)))),
IF($C$4=AZ$7,AZ128*AZ96,0))</f>
        <v>0</v>
      </c>
      <c r="BA108" s="71">
        <f ca="1">IF($C$4=Lookups!$D$40,SUM(INDIRECT("'Yr1'!"&amp;ADDRESS(ROW(BA108),COLUMN(BA108))),INDIRECT("'Yr2'!"&amp;ADDRESS(ROW(BA108),COLUMN(BA108))),INDIRECT("'Yr3'!"&amp;ADDRESS(ROW(BA108),COLUMN(BA108)))),
IF($C$4=BA$7,BA128*BA96,0))</f>
        <v>0</v>
      </c>
      <c r="BB108" s="71">
        <f ca="1">IF($C$4=Lookups!$D$40,SUM(INDIRECT("'Yr1'!"&amp;ADDRESS(ROW(BB108),COLUMN(BB108))),INDIRECT("'Yr2'!"&amp;ADDRESS(ROW(BB108),COLUMN(BB108))),INDIRECT("'Yr3'!"&amp;ADDRESS(ROW(BB108),COLUMN(BB108)))),
IF($C$4=BB$7,BB128*BB96,0))</f>
        <v>0</v>
      </c>
      <c r="BC108" s="71">
        <f ca="1">IF($C$4=Lookups!$D$40,SUM(INDIRECT("'Yr1'!"&amp;ADDRESS(ROW(BC108),COLUMN(BC108))),INDIRECT("'Yr2'!"&amp;ADDRESS(ROW(BC108),COLUMN(BC108))),INDIRECT("'Yr3'!"&amp;ADDRESS(ROW(BC108),COLUMN(BC108)))),
IF($C$4=BC$7,BC128*BC96,0))</f>
        <v>0</v>
      </c>
      <c r="BD108" s="71">
        <f ca="1">IF($C$4=Lookups!$D$40,SUM(INDIRECT("'Yr1'!"&amp;ADDRESS(ROW(BD108),COLUMN(BD108))),INDIRECT("'Yr2'!"&amp;ADDRESS(ROW(BD108),COLUMN(BD108))),INDIRECT("'Yr3'!"&amp;ADDRESS(ROW(BD108),COLUMN(BD108)))),
IF($C$4=BD$7,BD128*BD96,0))</f>
        <v>0</v>
      </c>
      <c r="BE108" s="71">
        <f ca="1">IF($C$4=Lookups!$D$40,SUM(INDIRECT("'Yr1'!"&amp;ADDRESS(ROW(BE108),COLUMN(BE108))),INDIRECT("'Yr2'!"&amp;ADDRESS(ROW(BE108),COLUMN(BE108))),INDIRECT("'Yr3'!"&amp;ADDRESS(ROW(BE108),COLUMN(BE108)))),
IF($C$4=BE$7,BE128*BE96,0))</f>
        <v>0</v>
      </c>
      <c r="BF108" s="71">
        <f ca="1">IF($C$4=Lookups!$D$40,SUM(INDIRECT("'Yr1'!"&amp;ADDRESS(ROW(BF108),COLUMN(BF108))),INDIRECT("'Yr2'!"&amp;ADDRESS(ROW(BF108),COLUMN(BF108))),INDIRECT("'Yr3'!"&amp;ADDRESS(ROW(BF108),COLUMN(BF108)))),
IF($C$4=BF$7,BF128*BF96,0))</f>
        <v>0</v>
      </c>
      <c r="BG108" s="71">
        <f ca="1">IF($C$4=Lookups!$D$40,SUM(INDIRECT("'Yr1'!"&amp;ADDRESS(ROW(BG108),COLUMN(BG108))),INDIRECT("'Yr2'!"&amp;ADDRESS(ROW(BG108),COLUMN(BG108))),INDIRECT("'Yr3'!"&amp;ADDRESS(ROW(BG108),COLUMN(BG108)))),
IF($C$4=BG$7,BG128*BG96,0))</f>
        <v>0</v>
      </c>
      <c r="BH108" s="71">
        <f ca="1">IF($C$4=Lookups!$D$40,SUM(INDIRECT("'Yr1'!"&amp;ADDRESS(ROW(BH108),COLUMN(BH108))),INDIRECT("'Yr2'!"&amp;ADDRESS(ROW(BH108),COLUMN(BH108))),INDIRECT("'Yr3'!"&amp;ADDRESS(ROW(BH108),COLUMN(BH108)))),
IF($C$4=BH$7,BH128*BH96,0))</f>
        <v>0</v>
      </c>
      <c r="BI108" s="71">
        <f ca="1">IF($C$4=Lookups!$D$40,SUM(INDIRECT("'Yr1'!"&amp;ADDRESS(ROW(BI108),COLUMN(BI108))),INDIRECT("'Yr2'!"&amp;ADDRESS(ROW(BI108),COLUMN(BI108))),INDIRECT("'Yr3'!"&amp;ADDRESS(ROW(BI108),COLUMN(BI108)))),
IF($C$4=BI$7,BI128*BI96,0))</f>
        <v>0</v>
      </c>
      <c r="BJ108" s="71">
        <f ca="1">IF($C$4=Lookups!$D$40,SUM(INDIRECT("'Yr1'!"&amp;ADDRESS(ROW(BJ108),COLUMN(BJ108))),INDIRECT("'Yr2'!"&amp;ADDRESS(ROW(BJ108),COLUMN(BJ108))),INDIRECT("'Yr3'!"&amp;ADDRESS(ROW(BJ108),COLUMN(BJ108)))),
IF($C$4=BJ$7,BJ128*BJ96,0))</f>
        <v>0</v>
      </c>
      <c r="BK108" s="71">
        <f ca="1">IF($C$4=Lookups!$D$40,SUM(INDIRECT("'Yr1'!"&amp;ADDRESS(ROW(BK108),COLUMN(BK108))),INDIRECT("'Yr2'!"&amp;ADDRESS(ROW(BK108),COLUMN(BK108))),INDIRECT("'Yr3'!"&amp;ADDRESS(ROW(BK108),COLUMN(BK108)))),
IF($C$4=BK$7,BK128*BK96,0))</f>
        <v>0</v>
      </c>
      <c r="BL108" s="71">
        <f ca="1">IF($C$4=Lookups!$D$40,SUM(INDIRECT("'Yr1'!"&amp;ADDRESS(ROW(BL108),COLUMN(BL108))),INDIRECT("'Yr2'!"&amp;ADDRESS(ROW(BL108),COLUMN(BL108))),INDIRECT("'Yr3'!"&amp;ADDRESS(ROW(BL108),COLUMN(BL108)))),
IF($C$4=BL$7,BL128*BL96,0))</f>
        <v>0</v>
      </c>
      <c r="BM108" s="71">
        <f ca="1">IF($C$4=Lookups!$D$40,SUM(INDIRECT("'Yr1'!"&amp;ADDRESS(ROW(BM108),COLUMN(BM108))),INDIRECT("'Yr2'!"&amp;ADDRESS(ROW(BM108),COLUMN(BM108))),INDIRECT("'Yr3'!"&amp;ADDRESS(ROW(BM108),COLUMN(BM108)))),
IF($C$4=BM$7,BM128*BM96,0))</f>
        <v>0</v>
      </c>
      <c r="BN108" s="71"/>
      <c r="BO108" s="71">
        <f ca="1">NPV(Lookups!$E$17,AM108:BM108)</f>
        <v>355460.33680014824</v>
      </c>
      <c r="BP108" s="72"/>
      <c r="BS108" s="84" t="str">
        <f>E108&amp;" rate multiplied by After DSM sales."</f>
        <v>LDAC, EE Only rate multiplied by After DSM sales.</v>
      </c>
      <c r="BT108" s="51" t="s">
        <v>17</v>
      </c>
    </row>
    <row r="109" spans="1:72" x14ac:dyDescent="0.25">
      <c r="A109" s="476"/>
      <c r="B109" s="243" t="str">
        <f t="shared" si="98"/>
        <v>Low-Income</v>
      </c>
      <c r="C109" s="243" t="str">
        <f t="shared" si="98"/>
        <v>Revenue Requirements</v>
      </c>
      <c r="D109" s="244" t="str">
        <f>D108</f>
        <v>Increased Costs and Cost Shifting</v>
      </c>
      <c r="E109" s="86" t="s">
        <v>198</v>
      </c>
      <c r="F109" s="84" t="s">
        <v>32</v>
      </c>
      <c r="G109" s="64">
        <f ca="1">IF($C$4=Lookups!$D$40,SUM(INDIRECT("'Yr1'!"&amp;ADDRESS(ROW(G109),COLUMN(G109))),INDIRECT("'Yr2'!"&amp;ADDRESS(ROW(G109),COLUMN(G109))),INDIRECT("'Yr3'!"&amp;ADDRESS(ROW(G109),COLUMN(G109)))),
G129*G96)</f>
        <v>0</v>
      </c>
      <c r="H109" s="64">
        <f ca="1">IF($C$4=Lookups!$D$40,SUM(INDIRECT("'Yr1'!"&amp;ADDRESS(ROW(H109),COLUMN(H109))),INDIRECT("'Yr2'!"&amp;ADDRESS(ROW(H109),COLUMN(H109))),INDIRECT("'Yr3'!"&amp;ADDRESS(ROW(H109),COLUMN(H109)))),
H129*H96)</f>
        <v>19982.910602405231</v>
      </c>
      <c r="I109" s="64">
        <f ca="1">IF($C$4=Lookups!$D$40,SUM(INDIRECT("'Yr1'!"&amp;ADDRESS(ROW(I109),COLUMN(I109))),INDIRECT("'Yr2'!"&amp;ADDRESS(ROW(I109),COLUMN(I109))),INDIRECT("'Yr3'!"&amp;ADDRESS(ROW(I109),COLUMN(I109)))),
I129*I96)</f>
        <v>19982.910602405231</v>
      </c>
      <c r="J109" s="64">
        <f ca="1">IF($C$4=Lookups!$D$40,SUM(INDIRECT("'Yr1'!"&amp;ADDRESS(ROW(J109),COLUMN(J109))),INDIRECT("'Yr2'!"&amp;ADDRESS(ROW(J109),COLUMN(J109))),INDIRECT("'Yr3'!"&amp;ADDRESS(ROW(J109),COLUMN(J109)))),
J129*J96)</f>
        <v>19982.910602405231</v>
      </c>
      <c r="K109" s="64">
        <f ca="1">IF($C$4=Lookups!$D$40,SUM(INDIRECT("'Yr1'!"&amp;ADDRESS(ROW(K109),COLUMN(K109))),INDIRECT("'Yr2'!"&amp;ADDRESS(ROW(K109),COLUMN(K109))),INDIRECT("'Yr3'!"&amp;ADDRESS(ROW(K109),COLUMN(K109)))),
K129*K96)</f>
        <v>19982.910602405231</v>
      </c>
      <c r="L109" s="64">
        <f ca="1">IF($C$4=Lookups!$D$40,SUM(INDIRECT("'Yr1'!"&amp;ADDRESS(ROW(L109),COLUMN(L109))),INDIRECT("'Yr2'!"&amp;ADDRESS(ROW(L109),COLUMN(L109))),INDIRECT("'Yr3'!"&amp;ADDRESS(ROW(L109),COLUMN(L109)))),
L129*L96)</f>
        <v>19982.910602405231</v>
      </c>
      <c r="M109" s="64">
        <f ca="1">IF($C$4=Lookups!$D$40,SUM(INDIRECT("'Yr1'!"&amp;ADDRESS(ROW(M109),COLUMN(M109))),INDIRECT("'Yr2'!"&amp;ADDRESS(ROW(M109),COLUMN(M109))),INDIRECT("'Yr3'!"&amp;ADDRESS(ROW(M109),COLUMN(M109)))),
M129*M96)</f>
        <v>19982.910602405231</v>
      </c>
      <c r="N109" s="64">
        <f ca="1">IF($C$4=Lookups!$D$40,SUM(INDIRECT("'Yr1'!"&amp;ADDRESS(ROW(N109),COLUMN(N109))),INDIRECT("'Yr2'!"&amp;ADDRESS(ROW(N109),COLUMN(N109))),INDIRECT("'Yr3'!"&amp;ADDRESS(ROW(N109),COLUMN(N109)))),
N129*N96)</f>
        <v>19982.910602405231</v>
      </c>
      <c r="O109" s="64">
        <f ca="1">IF($C$4=Lookups!$D$40,SUM(INDIRECT("'Yr1'!"&amp;ADDRESS(ROW(O109),COLUMN(O109))),INDIRECT("'Yr2'!"&amp;ADDRESS(ROW(O109),COLUMN(O109))),INDIRECT("'Yr3'!"&amp;ADDRESS(ROW(O109),COLUMN(O109)))),
O129*O96)</f>
        <v>19982.910602405231</v>
      </c>
      <c r="P109" s="64">
        <f ca="1">IF($C$4=Lookups!$D$40,SUM(INDIRECT("'Yr1'!"&amp;ADDRESS(ROW(P109),COLUMN(P109))),INDIRECT("'Yr2'!"&amp;ADDRESS(ROW(P109),COLUMN(P109))),INDIRECT("'Yr3'!"&amp;ADDRESS(ROW(P109),COLUMN(P109)))),
P129*P96)</f>
        <v>19982.910602405231</v>
      </c>
      <c r="Q109" s="64">
        <f ca="1">IF($C$4=Lookups!$D$40,SUM(INDIRECT("'Yr1'!"&amp;ADDRESS(ROW(Q109),COLUMN(Q109))),INDIRECT("'Yr2'!"&amp;ADDRESS(ROW(Q109),COLUMN(Q109))),INDIRECT("'Yr3'!"&amp;ADDRESS(ROW(Q109),COLUMN(Q109)))),
Q129*Q96)</f>
        <v>19982.910602405231</v>
      </c>
      <c r="R109" s="64">
        <f ca="1">IF($C$4=Lookups!$D$40,SUM(INDIRECT("'Yr1'!"&amp;ADDRESS(ROW(R109),COLUMN(R109))),INDIRECT("'Yr2'!"&amp;ADDRESS(ROW(R109),COLUMN(R109))),INDIRECT("'Yr3'!"&amp;ADDRESS(ROW(R109),COLUMN(R109)))),
R129*R96)</f>
        <v>19982.910602405231</v>
      </c>
      <c r="S109" s="64">
        <f ca="1">IF($C$4=Lookups!$D$40,SUM(INDIRECT("'Yr1'!"&amp;ADDRESS(ROW(S109),COLUMN(S109))),INDIRECT("'Yr2'!"&amp;ADDRESS(ROW(S109),COLUMN(S109))),INDIRECT("'Yr3'!"&amp;ADDRESS(ROW(S109),COLUMN(S109)))),
S129*S96)</f>
        <v>19982.910602405231</v>
      </c>
      <c r="T109" s="64">
        <f ca="1">IF($C$4=Lookups!$D$40,SUM(INDIRECT("'Yr1'!"&amp;ADDRESS(ROW(T109),COLUMN(T109))),INDIRECT("'Yr2'!"&amp;ADDRESS(ROW(T109),COLUMN(T109))),INDIRECT("'Yr3'!"&amp;ADDRESS(ROW(T109),COLUMN(T109)))),
T129*T96)</f>
        <v>19982.910602405231</v>
      </c>
      <c r="U109" s="64">
        <f ca="1">IF($C$4=Lookups!$D$40,SUM(INDIRECT("'Yr1'!"&amp;ADDRESS(ROW(U109),COLUMN(U109))),INDIRECT("'Yr2'!"&amp;ADDRESS(ROW(U109),COLUMN(U109))),INDIRECT("'Yr3'!"&amp;ADDRESS(ROW(U109),COLUMN(U109)))),
U129*U96)</f>
        <v>19982.910602405231</v>
      </c>
      <c r="V109" s="64">
        <f ca="1">IF($C$4=Lookups!$D$40,SUM(INDIRECT("'Yr1'!"&amp;ADDRESS(ROW(V109),COLUMN(V109))),INDIRECT("'Yr2'!"&amp;ADDRESS(ROW(V109),COLUMN(V109))),INDIRECT("'Yr3'!"&amp;ADDRESS(ROW(V109),COLUMN(V109)))),
V129*V96)</f>
        <v>19982.910602405231</v>
      </c>
      <c r="W109" s="64">
        <f ca="1">IF($C$4=Lookups!$D$40,SUM(INDIRECT("'Yr1'!"&amp;ADDRESS(ROW(W109),COLUMN(W109))),INDIRECT("'Yr2'!"&amp;ADDRESS(ROW(W109),COLUMN(W109))),INDIRECT("'Yr3'!"&amp;ADDRESS(ROW(W109),COLUMN(W109)))),
W129*W96)</f>
        <v>19982.910602405231</v>
      </c>
      <c r="X109" s="64">
        <f ca="1">IF($C$4=Lookups!$D$40,SUM(INDIRECT("'Yr1'!"&amp;ADDRESS(ROW(X109),COLUMN(X109))),INDIRECT("'Yr2'!"&amp;ADDRESS(ROW(X109),COLUMN(X109))),INDIRECT("'Yr3'!"&amp;ADDRESS(ROW(X109),COLUMN(X109)))),
X129*X96)</f>
        <v>19982.910602405231</v>
      </c>
      <c r="Y109" s="64">
        <f ca="1">IF($C$4=Lookups!$D$40,SUM(INDIRECT("'Yr1'!"&amp;ADDRESS(ROW(Y109),COLUMN(Y109))),INDIRECT("'Yr2'!"&amp;ADDRESS(ROW(Y109),COLUMN(Y109))),INDIRECT("'Yr3'!"&amp;ADDRESS(ROW(Y109),COLUMN(Y109)))),
Y129*Y96)</f>
        <v>19982.910602405231</v>
      </c>
      <c r="Z109" s="64">
        <f ca="1">IF($C$4=Lookups!$D$40,SUM(INDIRECT("'Yr1'!"&amp;ADDRESS(ROW(Z109),COLUMN(Z109))),INDIRECT("'Yr2'!"&amp;ADDRESS(ROW(Z109),COLUMN(Z109))),INDIRECT("'Yr3'!"&amp;ADDRESS(ROW(Z109),COLUMN(Z109)))),
Z129*Z96)</f>
        <v>19982.910602405231</v>
      </c>
      <c r="AA109" s="64">
        <f ca="1">IF($C$4=Lookups!$D$40,SUM(INDIRECT("'Yr1'!"&amp;ADDRESS(ROW(AA109),COLUMN(AA109))),INDIRECT("'Yr2'!"&amp;ADDRESS(ROW(AA109),COLUMN(AA109))),INDIRECT("'Yr3'!"&amp;ADDRESS(ROW(AA109),COLUMN(AA109)))),
AA129*AA96)</f>
        <v>19982.910602405231</v>
      </c>
      <c r="AB109" s="64">
        <f ca="1">IF($C$4=Lookups!$D$40,SUM(INDIRECT("'Yr1'!"&amp;ADDRESS(ROW(AB109),COLUMN(AB109))),INDIRECT("'Yr2'!"&amp;ADDRESS(ROW(AB109),COLUMN(AB109))),INDIRECT("'Yr3'!"&amp;ADDRESS(ROW(AB109),COLUMN(AB109)))),
AB129*AB96)</f>
        <v>0</v>
      </c>
      <c r="AC109" s="64">
        <f ca="1">IF($C$4=Lookups!$D$40,SUM(INDIRECT("'Yr1'!"&amp;ADDRESS(ROW(AC109),COLUMN(AC109))),INDIRECT("'Yr2'!"&amp;ADDRESS(ROW(AC109),COLUMN(AC109))),INDIRECT("'Yr3'!"&amp;ADDRESS(ROW(AC109),COLUMN(AC109)))),
AC129*AC96)</f>
        <v>0</v>
      </c>
      <c r="AD109" s="64">
        <f ca="1">IF($C$4=Lookups!$D$40,SUM(INDIRECT("'Yr1'!"&amp;ADDRESS(ROW(AD109),COLUMN(AD109))),INDIRECT("'Yr2'!"&amp;ADDRESS(ROW(AD109),COLUMN(AD109))),INDIRECT("'Yr3'!"&amp;ADDRESS(ROW(AD109),COLUMN(AD109)))),
AD129*AD96)</f>
        <v>0</v>
      </c>
      <c r="AE109" s="64">
        <f ca="1">IF($C$4=Lookups!$D$40,SUM(INDIRECT("'Yr1'!"&amp;ADDRESS(ROW(AE109),COLUMN(AE109))),INDIRECT("'Yr2'!"&amp;ADDRESS(ROW(AE109),COLUMN(AE109))),INDIRECT("'Yr3'!"&amp;ADDRESS(ROW(AE109),COLUMN(AE109)))),
AE129*AE96)</f>
        <v>0</v>
      </c>
      <c r="AF109" s="64">
        <f ca="1">IF($C$4=Lookups!$D$40,SUM(INDIRECT("'Yr1'!"&amp;ADDRESS(ROW(AF109),COLUMN(AF109))),INDIRECT("'Yr2'!"&amp;ADDRESS(ROW(AF109),COLUMN(AF109))),INDIRECT("'Yr3'!"&amp;ADDRESS(ROW(AF109),COLUMN(AF109)))),
AF129*AF96)</f>
        <v>0</v>
      </c>
      <c r="AG109" s="64">
        <f ca="1">IF($C$4=Lookups!$D$40,SUM(INDIRECT("'Yr1'!"&amp;ADDRESS(ROW(AG109),COLUMN(AG109))),INDIRECT("'Yr2'!"&amp;ADDRESS(ROW(AG109),COLUMN(AG109))),INDIRECT("'Yr3'!"&amp;ADDRESS(ROW(AG109),COLUMN(AG109)))),
AG129*AG96)</f>
        <v>0</v>
      </c>
      <c r="AH109" s="49"/>
      <c r="AI109" s="64">
        <f ca="1">NPV(Lookups!$E$17,G109:AG109)</f>
        <v>341166.50052219775</v>
      </c>
      <c r="AJ109" s="65"/>
      <c r="AM109" s="71">
        <f ca="1">IF($C$4=Lookups!$D$40,SUM(INDIRECT("'Yr1'!"&amp;ADDRESS(ROW(AM109),COLUMN(AM109))),INDIRECT("'Yr2'!"&amp;ADDRESS(ROW(AM109),COLUMN(AM109))),INDIRECT("'Yr3'!"&amp;ADDRESS(ROW(AM109),COLUMN(AM109)))),
AM129*AM96)</f>
        <v>0</v>
      </c>
      <c r="AN109" s="71">
        <f ca="1">IF($C$4=Lookups!$D$40,SUM(INDIRECT("'Yr1'!"&amp;ADDRESS(ROW(AN109),COLUMN(AN109))),INDIRECT("'Yr2'!"&amp;ADDRESS(ROW(AN109),COLUMN(AN109))),INDIRECT("'Yr3'!"&amp;ADDRESS(ROW(AN109),COLUMN(AN109)))),
AN129*AN96)</f>
        <v>22824.181134528295</v>
      </c>
      <c r="AO109" s="71">
        <f ca="1">IF($C$4=Lookups!$D$40,SUM(INDIRECT("'Yr1'!"&amp;ADDRESS(ROW(AO109),COLUMN(AO109))),INDIRECT("'Yr2'!"&amp;ADDRESS(ROW(AO109),COLUMN(AO109))),INDIRECT("'Yr3'!"&amp;ADDRESS(ROW(AO109),COLUMN(AO109)))),
AO129*AO96)</f>
        <v>22824.181134528295</v>
      </c>
      <c r="AP109" s="71">
        <f ca="1">IF($C$4=Lookups!$D$40,SUM(INDIRECT("'Yr1'!"&amp;ADDRESS(ROW(AP109),COLUMN(AP109))),INDIRECT("'Yr2'!"&amp;ADDRESS(ROW(AP109),COLUMN(AP109))),INDIRECT("'Yr3'!"&amp;ADDRESS(ROW(AP109),COLUMN(AP109)))),
AP129*AP96)</f>
        <v>22824.181134528295</v>
      </c>
      <c r="AQ109" s="71">
        <f ca="1">IF($C$4=Lookups!$D$40,SUM(INDIRECT("'Yr1'!"&amp;ADDRESS(ROW(AQ109),COLUMN(AQ109))),INDIRECT("'Yr2'!"&amp;ADDRESS(ROW(AQ109),COLUMN(AQ109))),INDIRECT("'Yr3'!"&amp;ADDRESS(ROW(AQ109),COLUMN(AQ109)))),
AQ129*AQ96)</f>
        <v>22824.181134528295</v>
      </c>
      <c r="AR109" s="71">
        <f ca="1">IF($C$4=Lookups!$D$40,SUM(INDIRECT("'Yr1'!"&amp;ADDRESS(ROW(AR109),COLUMN(AR109))),INDIRECT("'Yr2'!"&amp;ADDRESS(ROW(AR109),COLUMN(AR109))),INDIRECT("'Yr3'!"&amp;ADDRESS(ROW(AR109),COLUMN(AR109)))),
AR129*AR96)</f>
        <v>22824.181134528295</v>
      </c>
      <c r="AS109" s="71">
        <f ca="1">IF($C$4=Lookups!$D$40,SUM(INDIRECT("'Yr1'!"&amp;ADDRESS(ROW(AS109),COLUMN(AS109))),INDIRECT("'Yr2'!"&amp;ADDRESS(ROW(AS109),COLUMN(AS109))),INDIRECT("'Yr3'!"&amp;ADDRESS(ROW(AS109),COLUMN(AS109)))),
AS129*AS96)</f>
        <v>22824.181134528295</v>
      </c>
      <c r="AT109" s="71">
        <f ca="1">IF($C$4=Lookups!$D$40,SUM(INDIRECT("'Yr1'!"&amp;ADDRESS(ROW(AT109),COLUMN(AT109))),INDIRECT("'Yr2'!"&amp;ADDRESS(ROW(AT109),COLUMN(AT109))),INDIRECT("'Yr3'!"&amp;ADDRESS(ROW(AT109),COLUMN(AT109)))),
AT129*AT96)</f>
        <v>22824.181134528295</v>
      </c>
      <c r="AU109" s="71">
        <f ca="1">IF($C$4=Lookups!$D$40,SUM(INDIRECT("'Yr1'!"&amp;ADDRESS(ROW(AU109),COLUMN(AU109))),INDIRECT("'Yr2'!"&amp;ADDRESS(ROW(AU109),COLUMN(AU109))),INDIRECT("'Yr3'!"&amp;ADDRESS(ROW(AU109),COLUMN(AU109)))),
AU129*AU96)</f>
        <v>22824.181134528295</v>
      </c>
      <c r="AV109" s="71">
        <f ca="1">IF($C$4=Lookups!$D$40,SUM(INDIRECT("'Yr1'!"&amp;ADDRESS(ROW(AV109),COLUMN(AV109))),INDIRECT("'Yr2'!"&amp;ADDRESS(ROW(AV109),COLUMN(AV109))),INDIRECT("'Yr3'!"&amp;ADDRESS(ROW(AV109),COLUMN(AV109)))),
AV129*AV96)</f>
        <v>22824.181134528295</v>
      </c>
      <c r="AW109" s="71">
        <f ca="1">IF($C$4=Lookups!$D$40,SUM(INDIRECT("'Yr1'!"&amp;ADDRESS(ROW(AW109),COLUMN(AW109))),INDIRECT("'Yr2'!"&amp;ADDRESS(ROW(AW109),COLUMN(AW109))),INDIRECT("'Yr3'!"&amp;ADDRESS(ROW(AW109),COLUMN(AW109)))),
AW129*AW96)</f>
        <v>22824.181134528295</v>
      </c>
      <c r="AX109" s="71">
        <f ca="1">IF($C$4=Lookups!$D$40,SUM(INDIRECT("'Yr1'!"&amp;ADDRESS(ROW(AX109),COLUMN(AX109))),INDIRECT("'Yr2'!"&amp;ADDRESS(ROW(AX109),COLUMN(AX109))),INDIRECT("'Yr3'!"&amp;ADDRESS(ROW(AX109),COLUMN(AX109)))),
AX129*AX96)</f>
        <v>22824.181134528295</v>
      </c>
      <c r="AY109" s="71">
        <f ca="1">IF($C$4=Lookups!$D$40,SUM(INDIRECT("'Yr1'!"&amp;ADDRESS(ROW(AY109),COLUMN(AY109))),INDIRECT("'Yr2'!"&amp;ADDRESS(ROW(AY109),COLUMN(AY109))),INDIRECT("'Yr3'!"&amp;ADDRESS(ROW(AY109),COLUMN(AY109)))),
AY129*AY96)</f>
        <v>22824.181134528295</v>
      </c>
      <c r="AZ109" s="71">
        <f ca="1">IF($C$4=Lookups!$D$40,SUM(INDIRECT("'Yr1'!"&amp;ADDRESS(ROW(AZ109),COLUMN(AZ109))),INDIRECT("'Yr2'!"&amp;ADDRESS(ROW(AZ109),COLUMN(AZ109))),INDIRECT("'Yr3'!"&amp;ADDRESS(ROW(AZ109),COLUMN(AZ109)))),
AZ129*AZ96)</f>
        <v>22824.181134528295</v>
      </c>
      <c r="BA109" s="71">
        <f ca="1">IF($C$4=Lookups!$D$40,SUM(INDIRECT("'Yr1'!"&amp;ADDRESS(ROW(BA109),COLUMN(BA109))),INDIRECT("'Yr2'!"&amp;ADDRESS(ROW(BA109),COLUMN(BA109))),INDIRECT("'Yr3'!"&amp;ADDRESS(ROW(BA109),COLUMN(BA109)))),
BA129*BA96)</f>
        <v>22824.181134528295</v>
      </c>
      <c r="BB109" s="71">
        <f ca="1">IF($C$4=Lookups!$D$40,SUM(INDIRECT("'Yr1'!"&amp;ADDRESS(ROW(BB109),COLUMN(BB109))),INDIRECT("'Yr2'!"&amp;ADDRESS(ROW(BB109),COLUMN(BB109))),INDIRECT("'Yr3'!"&amp;ADDRESS(ROW(BB109),COLUMN(BB109)))),
BB129*BB96)</f>
        <v>22824.181134528295</v>
      </c>
      <c r="BC109" s="71">
        <f ca="1">IF($C$4=Lookups!$D$40,SUM(INDIRECT("'Yr1'!"&amp;ADDRESS(ROW(BC109),COLUMN(BC109))),INDIRECT("'Yr2'!"&amp;ADDRESS(ROW(BC109),COLUMN(BC109))),INDIRECT("'Yr3'!"&amp;ADDRESS(ROW(BC109),COLUMN(BC109)))),
BC129*BC96)</f>
        <v>22824.181134528295</v>
      </c>
      <c r="BD109" s="71">
        <f ca="1">IF($C$4=Lookups!$D$40,SUM(INDIRECT("'Yr1'!"&amp;ADDRESS(ROW(BD109),COLUMN(BD109))),INDIRECT("'Yr2'!"&amp;ADDRESS(ROW(BD109),COLUMN(BD109))),INDIRECT("'Yr3'!"&amp;ADDRESS(ROW(BD109),COLUMN(BD109)))),
BD129*BD96)</f>
        <v>22824.181134528295</v>
      </c>
      <c r="BE109" s="71">
        <f ca="1">IF($C$4=Lookups!$D$40,SUM(INDIRECT("'Yr1'!"&amp;ADDRESS(ROW(BE109),COLUMN(BE109))),INDIRECT("'Yr2'!"&amp;ADDRESS(ROW(BE109),COLUMN(BE109))),INDIRECT("'Yr3'!"&amp;ADDRESS(ROW(BE109),COLUMN(BE109)))),
BE129*BE96)</f>
        <v>22824.181134528295</v>
      </c>
      <c r="BF109" s="71">
        <f ca="1">IF($C$4=Lookups!$D$40,SUM(INDIRECT("'Yr1'!"&amp;ADDRESS(ROW(BF109),COLUMN(BF109))),INDIRECT("'Yr2'!"&amp;ADDRESS(ROW(BF109),COLUMN(BF109))),INDIRECT("'Yr3'!"&amp;ADDRESS(ROW(BF109),COLUMN(BF109)))),
BF129*BF96)</f>
        <v>22824.181134528295</v>
      </c>
      <c r="BG109" s="71">
        <f ca="1">IF($C$4=Lookups!$D$40,SUM(INDIRECT("'Yr1'!"&amp;ADDRESS(ROW(BG109),COLUMN(BG109))),INDIRECT("'Yr2'!"&amp;ADDRESS(ROW(BG109),COLUMN(BG109))),INDIRECT("'Yr3'!"&amp;ADDRESS(ROW(BG109),COLUMN(BG109)))),
BG129*BG96)</f>
        <v>22824.181134528295</v>
      </c>
      <c r="BH109" s="71">
        <f ca="1">IF($C$4=Lookups!$D$40,SUM(INDIRECT("'Yr1'!"&amp;ADDRESS(ROW(BH109),COLUMN(BH109))),INDIRECT("'Yr2'!"&amp;ADDRESS(ROW(BH109),COLUMN(BH109))),INDIRECT("'Yr3'!"&amp;ADDRESS(ROW(BH109),COLUMN(BH109)))),
BH129*BH96)</f>
        <v>0</v>
      </c>
      <c r="BI109" s="71">
        <f ca="1">IF($C$4=Lookups!$D$40,SUM(INDIRECT("'Yr1'!"&amp;ADDRESS(ROW(BI109),COLUMN(BI109))),INDIRECT("'Yr2'!"&amp;ADDRESS(ROW(BI109),COLUMN(BI109))),INDIRECT("'Yr3'!"&amp;ADDRESS(ROW(BI109),COLUMN(BI109)))),
BI129*BI96)</f>
        <v>0</v>
      </c>
      <c r="BJ109" s="71">
        <f ca="1">IF($C$4=Lookups!$D$40,SUM(INDIRECT("'Yr1'!"&amp;ADDRESS(ROW(BJ109),COLUMN(BJ109))),INDIRECT("'Yr2'!"&amp;ADDRESS(ROW(BJ109),COLUMN(BJ109))),INDIRECT("'Yr3'!"&amp;ADDRESS(ROW(BJ109),COLUMN(BJ109)))),
BJ129*BJ96)</f>
        <v>0</v>
      </c>
      <c r="BK109" s="71">
        <f ca="1">IF($C$4=Lookups!$D$40,SUM(INDIRECT("'Yr1'!"&amp;ADDRESS(ROW(BK109),COLUMN(BK109))),INDIRECT("'Yr2'!"&amp;ADDRESS(ROW(BK109),COLUMN(BK109))),INDIRECT("'Yr3'!"&amp;ADDRESS(ROW(BK109),COLUMN(BK109)))),
BK129*BK96)</f>
        <v>0</v>
      </c>
      <c r="BL109" s="71">
        <f ca="1">IF($C$4=Lookups!$D$40,SUM(INDIRECT("'Yr1'!"&amp;ADDRESS(ROW(BL109),COLUMN(BL109))),INDIRECT("'Yr2'!"&amp;ADDRESS(ROW(BL109),COLUMN(BL109))),INDIRECT("'Yr3'!"&amp;ADDRESS(ROW(BL109),COLUMN(BL109)))),
BL129*BL96)</f>
        <v>0</v>
      </c>
      <c r="BM109" s="71">
        <f ca="1">IF($C$4=Lookups!$D$40,SUM(INDIRECT("'Yr1'!"&amp;ADDRESS(ROW(BM109),COLUMN(BM109))),INDIRECT("'Yr2'!"&amp;ADDRESS(ROW(BM109),COLUMN(BM109))),INDIRECT("'Yr3'!"&amp;ADDRESS(ROW(BM109),COLUMN(BM109)))),
BM129*BM96)</f>
        <v>0</v>
      </c>
      <c r="BN109" s="71"/>
      <c r="BO109" s="71">
        <f ca="1">NPV(Lookups!$E$17,AM109:BM109)</f>
        <v>389675.26602528704</v>
      </c>
      <c r="BP109" s="72"/>
      <c r="BS109" s="84" t="str">
        <f>E109&amp;" rate multiplied by After DSM sales."</f>
        <v>Distribution Lost Revenue rate multiplied by After DSM sales.</v>
      </c>
      <c r="BT109" s="51" t="s">
        <v>17</v>
      </c>
    </row>
    <row r="110" spans="1:72" x14ac:dyDescent="0.25">
      <c r="B110" s="243" t="str">
        <f>B108</f>
        <v>Low-Income</v>
      </c>
      <c r="C110" s="243" t="str">
        <f>C108</f>
        <v>Revenue Requirements</v>
      </c>
      <c r="D110" s="114" t="s">
        <v>125</v>
      </c>
      <c r="E110" s="84"/>
      <c r="F110" s="84"/>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S110" s="84"/>
      <c r="BT110" s="51" t="s">
        <v>17</v>
      </c>
    </row>
    <row r="111" spans="1:72" x14ac:dyDescent="0.25">
      <c r="A111" s="1"/>
      <c r="B111" s="243" t="str">
        <f t="shared" ref="B111:C112" si="99">B110</f>
        <v>Low-Income</v>
      </c>
      <c r="C111" s="243" t="str">
        <f t="shared" si="99"/>
        <v>Revenue Requirements</v>
      </c>
      <c r="D111" s="244" t="str">
        <f>D110</f>
        <v>Revenue Requirement after DSM Scenario</v>
      </c>
      <c r="E111" s="84" t="s">
        <v>26</v>
      </c>
      <c r="F111" s="84" t="s">
        <v>32</v>
      </c>
      <c r="G111" s="64">
        <f ca="1">G100-G105</f>
        <v>0</v>
      </c>
      <c r="H111" s="64">
        <f t="shared" ref="H111:AG111" ca="1" si="100">H100-H105</f>
        <v>1037012.8478247011</v>
      </c>
      <c r="I111" s="64">
        <f t="shared" ca="1" si="100"/>
        <v>1037012.8478247011</v>
      </c>
      <c r="J111" s="64">
        <f t="shared" ca="1" si="100"/>
        <v>1037012.8478247011</v>
      </c>
      <c r="K111" s="64">
        <f t="shared" ca="1" si="100"/>
        <v>1037012.8478247011</v>
      </c>
      <c r="L111" s="64">
        <f t="shared" ca="1" si="100"/>
        <v>1037012.8478247011</v>
      </c>
      <c r="M111" s="64">
        <f t="shared" ca="1" si="100"/>
        <v>1037012.8478247011</v>
      </c>
      <c r="N111" s="64">
        <f t="shared" ca="1" si="100"/>
        <v>1037012.8478247011</v>
      </c>
      <c r="O111" s="64">
        <f t="shared" ca="1" si="100"/>
        <v>1037012.8478247011</v>
      </c>
      <c r="P111" s="64">
        <f t="shared" ca="1" si="100"/>
        <v>1037012.8478247011</v>
      </c>
      <c r="Q111" s="64">
        <f t="shared" ca="1" si="100"/>
        <v>1037012.8478247011</v>
      </c>
      <c r="R111" s="64">
        <f t="shared" ca="1" si="100"/>
        <v>1037012.8478247011</v>
      </c>
      <c r="S111" s="64">
        <f t="shared" ca="1" si="100"/>
        <v>1037012.8478247011</v>
      </c>
      <c r="T111" s="64">
        <f t="shared" ca="1" si="100"/>
        <v>1037012.8478247011</v>
      </c>
      <c r="U111" s="64">
        <f t="shared" ca="1" si="100"/>
        <v>1037012.8478247011</v>
      </c>
      <c r="V111" s="64">
        <f t="shared" ca="1" si="100"/>
        <v>1037012.8478247011</v>
      </c>
      <c r="W111" s="64">
        <f t="shared" ca="1" si="100"/>
        <v>1037012.8478247011</v>
      </c>
      <c r="X111" s="64">
        <f t="shared" ca="1" si="100"/>
        <v>1037012.8478247011</v>
      </c>
      <c r="Y111" s="64">
        <f t="shared" ca="1" si="100"/>
        <v>1037012.8478247011</v>
      </c>
      <c r="Z111" s="64">
        <f t="shared" ca="1" si="100"/>
        <v>1037012.8478247011</v>
      </c>
      <c r="AA111" s="64">
        <f t="shared" ca="1" si="100"/>
        <v>1037012.8478247011</v>
      </c>
      <c r="AB111" s="64">
        <f t="shared" ca="1" si="100"/>
        <v>1041281.9767259974</v>
      </c>
      <c r="AC111" s="64">
        <f t="shared" ca="1" si="100"/>
        <v>1041281.9767259974</v>
      </c>
      <c r="AD111" s="64">
        <f t="shared" ca="1" si="100"/>
        <v>1041281.9767259974</v>
      </c>
      <c r="AE111" s="64">
        <f t="shared" ca="1" si="100"/>
        <v>1041281.9767259974</v>
      </c>
      <c r="AF111" s="64">
        <f t="shared" ca="1" si="100"/>
        <v>1041281.9767259974</v>
      </c>
      <c r="AG111" s="64">
        <f t="shared" ca="1" si="100"/>
        <v>1041281.9767259974</v>
      </c>
      <c r="AH111" s="64"/>
      <c r="AI111" s="64">
        <f ca="1">NPV(Lookups!$E$17,G111:AG111)</f>
        <v>22134830.873776235</v>
      </c>
      <c r="AJ111" s="64"/>
      <c r="AM111" s="71">
        <f ca="1">AM100-AM105</f>
        <v>0</v>
      </c>
      <c r="AN111" s="71">
        <f t="shared" ref="AN111:BM111" ca="1" si="101">AN100-AN105</f>
        <v>1036402.972267373</v>
      </c>
      <c r="AO111" s="71">
        <f t="shared" ca="1" si="101"/>
        <v>1036402.972267373</v>
      </c>
      <c r="AP111" s="71">
        <f t="shared" ca="1" si="101"/>
        <v>1036402.972267373</v>
      </c>
      <c r="AQ111" s="71">
        <f t="shared" ca="1" si="101"/>
        <v>1036402.972267373</v>
      </c>
      <c r="AR111" s="71">
        <f t="shared" ca="1" si="101"/>
        <v>1036402.972267373</v>
      </c>
      <c r="AS111" s="71">
        <f t="shared" ca="1" si="101"/>
        <v>1036402.972267373</v>
      </c>
      <c r="AT111" s="71">
        <f t="shared" ca="1" si="101"/>
        <v>1036402.972267373</v>
      </c>
      <c r="AU111" s="71">
        <f t="shared" ca="1" si="101"/>
        <v>1036402.972267373</v>
      </c>
      <c r="AV111" s="71">
        <f t="shared" ca="1" si="101"/>
        <v>1036402.972267373</v>
      </c>
      <c r="AW111" s="71">
        <f t="shared" ca="1" si="101"/>
        <v>1036402.972267373</v>
      </c>
      <c r="AX111" s="71">
        <f t="shared" ca="1" si="101"/>
        <v>1036402.972267373</v>
      </c>
      <c r="AY111" s="71">
        <f t="shared" ca="1" si="101"/>
        <v>1036402.972267373</v>
      </c>
      <c r="AZ111" s="71">
        <f t="shared" ca="1" si="101"/>
        <v>1036402.972267373</v>
      </c>
      <c r="BA111" s="71">
        <f t="shared" ca="1" si="101"/>
        <v>1036402.972267373</v>
      </c>
      <c r="BB111" s="71">
        <f t="shared" ca="1" si="101"/>
        <v>1036402.972267373</v>
      </c>
      <c r="BC111" s="71">
        <f t="shared" ca="1" si="101"/>
        <v>1036402.972267373</v>
      </c>
      <c r="BD111" s="71">
        <f t="shared" ca="1" si="101"/>
        <v>1036402.972267373</v>
      </c>
      <c r="BE111" s="71">
        <f t="shared" ca="1" si="101"/>
        <v>1036402.972267373</v>
      </c>
      <c r="BF111" s="71">
        <f t="shared" ca="1" si="101"/>
        <v>1036402.972267373</v>
      </c>
      <c r="BG111" s="71">
        <f t="shared" ca="1" si="101"/>
        <v>1036402.972267373</v>
      </c>
      <c r="BH111" s="71">
        <f t="shared" ca="1" si="101"/>
        <v>1041281.9767259974</v>
      </c>
      <c r="BI111" s="71">
        <f t="shared" ca="1" si="101"/>
        <v>1041281.9767259974</v>
      </c>
      <c r="BJ111" s="71">
        <f t="shared" ca="1" si="101"/>
        <v>1041281.9767259974</v>
      </c>
      <c r="BK111" s="71">
        <f t="shared" ca="1" si="101"/>
        <v>1041281.9767259974</v>
      </c>
      <c r="BL111" s="71">
        <f t="shared" ca="1" si="101"/>
        <v>1041281.9767259974</v>
      </c>
      <c r="BM111" s="71">
        <f t="shared" ca="1" si="101"/>
        <v>1041281.9767259974</v>
      </c>
      <c r="BN111" s="71"/>
      <c r="BO111" s="71">
        <f ca="1">NPV(Lookups!$E$17,AM111:BM111)</f>
        <v>22124418.521252245</v>
      </c>
      <c r="BP111" s="71"/>
      <c r="BS111" s="84" t="s">
        <v>229</v>
      </c>
      <c r="BT111" s="51" t="s">
        <v>17</v>
      </c>
    </row>
    <row r="112" spans="1:72" x14ac:dyDescent="0.25">
      <c r="A112" s="1"/>
      <c r="B112" s="243" t="str">
        <f t="shared" si="99"/>
        <v>Low-Income</v>
      </c>
      <c r="C112" s="243" t="str">
        <f t="shared" si="99"/>
        <v>Revenue Requirements</v>
      </c>
      <c r="D112" s="244" t="str">
        <f>D111</f>
        <v>Revenue Requirement after DSM Scenario</v>
      </c>
      <c r="E112" s="84" t="s">
        <v>407</v>
      </c>
      <c r="F112" s="84" t="s">
        <v>32</v>
      </c>
      <c r="G112" s="64">
        <f>G101</f>
        <v>0</v>
      </c>
      <c r="H112" s="64">
        <f t="shared" ref="H112:AG112" si="102">H101</f>
        <v>-154229.37716318635</v>
      </c>
      <c r="I112" s="64">
        <f t="shared" si="102"/>
        <v>-154229.37716318635</v>
      </c>
      <c r="J112" s="64">
        <f t="shared" si="102"/>
        <v>-154229.37716318635</v>
      </c>
      <c r="K112" s="64">
        <f t="shared" si="102"/>
        <v>-154229.37716318635</v>
      </c>
      <c r="L112" s="64">
        <f t="shared" si="102"/>
        <v>-154229.37716318635</v>
      </c>
      <c r="M112" s="64">
        <f t="shared" si="102"/>
        <v>-154229.37716318635</v>
      </c>
      <c r="N112" s="64">
        <f t="shared" si="102"/>
        <v>-154229.37716318635</v>
      </c>
      <c r="O112" s="64">
        <f t="shared" si="102"/>
        <v>-154229.37716318635</v>
      </c>
      <c r="P112" s="64">
        <f t="shared" si="102"/>
        <v>-154229.37716318635</v>
      </c>
      <c r="Q112" s="64">
        <f t="shared" si="102"/>
        <v>-154229.37716318635</v>
      </c>
      <c r="R112" s="64">
        <f t="shared" si="102"/>
        <v>-154229.37716318635</v>
      </c>
      <c r="S112" s="64">
        <f t="shared" si="102"/>
        <v>-154229.37716318635</v>
      </c>
      <c r="T112" s="64">
        <f t="shared" si="102"/>
        <v>-154229.37716318635</v>
      </c>
      <c r="U112" s="64">
        <f t="shared" si="102"/>
        <v>-154229.37716318635</v>
      </c>
      <c r="V112" s="64">
        <f t="shared" si="102"/>
        <v>-154229.37716318635</v>
      </c>
      <c r="W112" s="64">
        <f t="shared" si="102"/>
        <v>-154229.37716318635</v>
      </c>
      <c r="X112" s="64">
        <f t="shared" si="102"/>
        <v>-154229.37716318635</v>
      </c>
      <c r="Y112" s="64">
        <f t="shared" si="102"/>
        <v>-154229.37716318635</v>
      </c>
      <c r="Z112" s="64">
        <f t="shared" si="102"/>
        <v>-154229.37716318635</v>
      </c>
      <c r="AA112" s="64">
        <f t="shared" si="102"/>
        <v>-154229.37716318635</v>
      </c>
      <c r="AB112" s="64">
        <f t="shared" si="102"/>
        <v>-154229.37716318635</v>
      </c>
      <c r="AC112" s="64">
        <f t="shared" si="102"/>
        <v>-154229.37716318635</v>
      </c>
      <c r="AD112" s="64">
        <f t="shared" si="102"/>
        <v>-154229.37716318635</v>
      </c>
      <c r="AE112" s="64">
        <f t="shared" si="102"/>
        <v>-154229.37716318635</v>
      </c>
      <c r="AF112" s="64">
        <f t="shared" si="102"/>
        <v>-154229.37716318635</v>
      </c>
      <c r="AG112" s="64">
        <f t="shared" si="102"/>
        <v>-154229.37716318635</v>
      </c>
      <c r="AH112" s="64"/>
      <c r="AI112" s="64">
        <f>NPV(Lookups!$E$17,G112:AG112)</f>
        <v>-3289293.8611654304</v>
      </c>
      <c r="AJ112" s="64"/>
      <c r="AM112" s="71">
        <f>AM101</f>
        <v>0</v>
      </c>
      <c r="AN112" s="71">
        <f t="shared" ref="AN112:BM112" si="103">AN101</f>
        <v>-154229.37716318635</v>
      </c>
      <c r="AO112" s="71">
        <f t="shared" si="103"/>
        <v>-154229.37716318635</v>
      </c>
      <c r="AP112" s="71">
        <f t="shared" si="103"/>
        <v>-154229.37716318635</v>
      </c>
      <c r="AQ112" s="71">
        <f t="shared" si="103"/>
        <v>-154229.37716318635</v>
      </c>
      <c r="AR112" s="71">
        <f t="shared" si="103"/>
        <v>-154229.37716318635</v>
      </c>
      <c r="AS112" s="71">
        <f t="shared" si="103"/>
        <v>-154229.37716318635</v>
      </c>
      <c r="AT112" s="71">
        <f t="shared" si="103"/>
        <v>-154229.37716318635</v>
      </c>
      <c r="AU112" s="71">
        <f t="shared" si="103"/>
        <v>-154229.37716318635</v>
      </c>
      <c r="AV112" s="71">
        <f t="shared" si="103"/>
        <v>-154229.37716318635</v>
      </c>
      <c r="AW112" s="71">
        <f t="shared" si="103"/>
        <v>-154229.37716318635</v>
      </c>
      <c r="AX112" s="71">
        <f t="shared" si="103"/>
        <v>-154229.37716318635</v>
      </c>
      <c r="AY112" s="71">
        <f t="shared" si="103"/>
        <v>-154229.37716318635</v>
      </c>
      <c r="AZ112" s="71">
        <f t="shared" si="103"/>
        <v>-154229.37716318635</v>
      </c>
      <c r="BA112" s="71">
        <f t="shared" si="103"/>
        <v>-154229.37716318635</v>
      </c>
      <c r="BB112" s="71">
        <f t="shared" si="103"/>
        <v>-154229.37716318635</v>
      </c>
      <c r="BC112" s="71">
        <f t="shared" si="103"/>
        <v>-154229.37716318635</v>
      </c>
      <c r="BD112" s="71">
        <f t="shared" si="103"/>
        <v>-154229.37716318635</v>
      </c>
      <c r="BE112" s="71">
        <f t="shared" si="103"/>
        <v>-154229.37716318635</v>
      </c>
      <c r="BF112" s="71">
        <f t="shared" si="103"/>
        <v>-154229.37716318635</v>
      </c>
      <c r="BG112" s="71">
        <f t="shared" si="103"/>
        <v>-154229.37716318635</v>
      </c>
      <c r="BH112" s="71">
        <f t="shared" si="103"/>
        <v>-154229.37716318635</v>
      </c>
      <c r="BI112" s="71">
        <f t="shared" si="103"/>
        <v>-154229.37716318635</v>
      </c>
      <c r="BJ112" s="71">
        <f t="shared" si="103"/>
        <v>-154229.37716318635</v>
      </c>
      <c r="BK112" s="71">
        <f t="shared" si="103"/>
        <v>-154229.37716318635</v>
      </c>
      <c r="BL112" s="71">
        <f t="shared" si="103"/>
        <v>-154229.37716318635</v>
      </c>
      <c r="BM112" s="71">
        <f t="shared" si="103"/>
        <v>-154229.37716318635</v>
      </c>
      <c r="BN112" s="71"/>
      <c r="BO112" s="71">
        <f>NPV(Lookups!$E$17,AM112:BM112)</f>
        <v>-3289293.8611654304</v>
      </c>
      <c r="BP112" s="71"/>
      <c r="BS112" s="84" t="s">
        <v>230</v>
      </c>
      <c r="BT112" s="51" t="s">
        <v>17</v>
      </c>
    </row>
    <row r="113" spans="1:72" x14ac:dyDescent="0.25">
      <c r="A113" s="1"/>
      <c r="B113" s="243" t="str">
        <f>B111</f>
        <v>Low-Income</v>
      </c>
      <c r="C113" s="243" t="str">
        <f>C111</f>
        <v>Revenue Requirements</v>
      </c>
      <c r="D113" s="244" t="str">
        <f>D111</f>
        <v>Revenue Requirement after DSM Scenario</v>
      </c>
      <c r="E113" s="84" t="s">
        <v>197</v>
      </c>
      <c r="F113" s="84" t="s">
        <v>32</v>
      </c>
      <c r="G113" s="64">
        <f ca="1">G102-G104-G106</f>
        <v>0</v>
      </c>
      <c r="H113" s="64">
        <f t="shared" ref="H113:AG113" ca="1" si="104">H102-H104-H106</f>
        <v>2829877.7181229959</v>
      </c>
      <c r="I113" s="64">
        <f t="shared" ca="1" si="104"/>
        <v>2829877.7181229959</v>
      </c>
      <c r="J113" s="64">
        <f t="shared" ca="1" si="104"/>
        <v>2829877.7181229959</v>
      </c>
      <c r="K113" s="64">
        <f t="shared" ca="1" si="104"/>
        <v>2829877.7181229959</v>
      </c>
      <c r="L113" s="64">
        <f t="shared" ca="1" si="104"/>
        <v>2829877.7181229959</v>
      </c>
      <c r="M113" s="64">
        <f t="shared" ca="1" si="104"/>
        <v>2829877.7181229959</v>
      </c>
      <c r="N113" s="64">
        <f t="shared" ca="1" si="104"/>
        <v>2829877.7181229959</v>
      </c>
      <c r="O113" s="64">
        <f t="shared" ca="1" si="104"/>
        <v>2829877.7181229959</v>
      </c>
      <c r="P113" s="64">
        <f t="shared" ca="1" si="104"/>
        <v>2829877.7181229959</v>
      </c>
      <c r="Q113" s="64">
        <f t="shared" ca="1" si="104"/>
        <v>2829877.7181229959</v>
      </c>
      <c r="R113" s="64">
        <f t="shared" ca="1" si="104"/>
        <v>2829877.7181229959</v>
      </c>
      <c r="S113" s="64">
        <f t="shared" ca="1" si="104"/>
        <v>2829877.7181229959</v>
      </c>
      <c r="T113" s="64">
        <f t="shared" ca="1" si="104"/>
        <v>2829877.7181229959</v>
      </c>
      <c r="U113" s="64">
        <f t="shared" ca="1" si="104"/>
        <v>2829877.7181229959</v>
      </c>
      <c r="V113" s="64">
        <f t="shared" ca="1" si="104"/>
        <v>2829877.7181229959</v>
      </c>
      <c r="W113" s="64">
        <f t="shared" ca="1" si="104"/>
        <v>2829877.7181229959</v>
      </c>
      <c r="X113" s="64">
        <f t="shared" ca="1" si="104"/>
        <v>2829877.7181229959</v>
      </c>
      <c r="Y113" s="64">
        <f t="shared" ca="1" si="104"/>
        <v>2829877.7181229959</v>
      </c>
      <c r="Z113" s="64">
        <f t="shared" ca="1" si="104"/>
        <v>2829877.7181229959</v>
      </c>
      <c r="AA113" s="64">
        <f t="shared" ca="1" si="104"/>
        <v>2829877.7181229959</v>
      </c>
      <c r="AB113" s="64">
        <f t="shared" ca="1" si="104"/>
        <v>2899044.9289189233</v>
      </c>
      <c r="AC113" s="64">
        <f t="shared" ca="1" si="104"/>
        <v>2899044.9289189233</v>
      </c>
      <c r="AD113" s="64">
        <f t="shared" ca="1" si="104"/>
        <v>2899044.9289189233</v>
      </c>
      <c r="AE113" s="64">
        <f t="shared" ca="1" si="104"/>
        <v>2899044.9289189233</v>
      </c>
      <c r="AF113" s="64">
        <f t="shared" ca="1" si="104"/>
        <v>2899044.9289189233</v>
      </c>
      <c r="AG113" s="64">
        <f t="shared" ca="1" si="104"/>
        <v>2899044.9289189233</v>
      </c>
      <c r="AH113" s="64"/>
      <c r="AI113" s="64">
        <f ca="1">NPV(Lookups!$E$17,G113:AG113)</f>
        <v>60647871.238506041</v>
      </c>
      <c r="AJ113" s="64"/>
      <c r="AM113" s="71">
        <f ca="1">AM102-AM104-AM106</f>
        <v>0</v>
      </c>
      <c r="AN113" s="71">
        <f t="shared" ref="AN113:BM113" ca="1" si="105">AN102-AN104-AN106</f>
        <v>2819996.6880092919</v>
      </c>
      <c r="AO113" s="71">
        <f t="shared" ca="1" si="105"/>
        <v>2819996.6880092919</v>
      </c>
      <c r="AP113" s="71">
        <f t="shared" ca="1" si="105"/>
        <v>2819996.6880092919</v>
      </c>
      <c r="AQ113" s="71">
        <f t="shared" ca="1" si="105"/>
        <v>2819996.6880092919</v>
      </c>
      <c r="AR113" s="71">
        <f t="shared" ca="1" si="105"/>
        <v>2819996.6880092919</v>
      </c>
      <c r="AS113" s="71">
        <f t="shared" ca="1" si="105"/>
        <v>2819996.6880092919</v>
      </c>
      <c r="AT113" s="71">
        <f t="shared" ca="1" si="105"/>
        <v>2819996.6880092919</v>
      </c>
      <c r="AU113" s="71">
        <f t="shared" ca="1" si="105"/>
        <v>2819996.6880092919</v>
      </c>
      <c r="AV113" s="71">
        <f t="shared" ca="1" si="105"/>
        <v>2819996.6880092919</v>
      </c>
      <c r="AW113" s="71">
        <f t="shared" ca="1" si="105"/>
        <v>2819996.6880092919</v>
      </c>
      <c r="AX113" s="71">
        <f t="shared" ca="1" si="105"/>
        <v>2819996.6880092919</v>
      </c>
      <c r="AY113" s="71">
        <f t="shared" ca="1" si="105"/>
        <v>2819996.6880092919</v>
      </c>
      <c r="AZ113" s="71">
        <f t="shared" ca="1" si="105"/>
        <v>2819996.6880092919</v>
      </c>
      <c r="BA113" s="71">
        <f t="shared" ca="1" si="105"/>
        <v>2819996.6880092919</v>
      </c>
      <c r="BB113" s="71">
        <f t="shared" ca="1" si="105"/>
        <v>2819996.6880092919</v>
      </c>
      <c r="BC113" s="71">
        <f t="shared" ca="1" si="105"/>
        <v>2819996.6880092919</v>
      </c>
      <c r="BD113" s="71">
        <f t="shared" ca="1" si="105"/>
        <v>2819996.6880092919</v>
      </c>
      <c r="BE113" s="71">
        <f t="shared" ca="1" si="105"/>
        <v>2819996.6880092919</v>
      </c>
      <c r="BF113" s="71">
        <f t="shared" ca="1" si="105"/>
        <v>2819996.6880092919</v>
      </c>
      <c r="BG113" s="71">
        <f t="shared" ca="1" si="105"/>
        <v>2819996.6880092919</v>
      </c>
      <c r="BH113" s="71">
        <f t="shared" ca="1" si="105"/>
        <v>2899044.9289189233</v>
      </c>
      <c r="BI113" s="71">
        <f t="shared" ca="1" si="105"/>
        <v>2899044.9289189233</v>
      </c>
      <c r="BJ113" s="71">
        <f t="shared" ca="1" si="105"/>
        <v>2899044.9289189233</v>
      </c>
      <c r="BK113" s="71">
        <f t="shared" ca="1" si="105"/>
        <v>2899044.9289189233</v>
      </c>
      <c r="BL113" s="71">
        <f t="shared" ca="1" si="105"/>
        <v>2899044.9289189233</v>
      </c>
      <c r="BM113" s="71">
        <f t="shared" ca="1" si="105"/>
        <v>2899044.9289189233</v>
      </c>
      <c r="BN113" s="71"/>
      <c r="BO113" s="71">
        <f ca="1">NPV(Lookups!$E$17,AM113:BM113)</f>
        <v>60479173.267899036</v>
      </c>
      <c r="BP113" s="71"/>
      <c r="BS113" s="84" t="s">
        <v>231</v>
      </c>
      <c r="BT113" s="51" t="s">
        <v>17</v>
      </c>
    </row>
    <row r="114" spans="1:72" x14ac:dyDescent="0.25">
      <c r="B114" s="243" t="str">
        <f t="shared" ref="B114:C118" si="106">B113</f>
        <v>Low-Income</v>
      </c>
      <c r="C114" s="243" t="str">
        <f t="shared" si="106"/>
        <v>Revenue Requirements</v>
      </c>
      <c r="D114" s="244"/>
      <c r="E114" s="84" t="s">
        <v>17</v>
      </c>
      <c r="F114" s="84"/>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S114" s="84"/>
      <c r="BT114" s="51" t="s">
        <v>17</v>
      </c>
    </row>
    <row r="115" spans="1:72" s="5" customFormat="1" ht="15.75" x14ac:dyDescent="0.25">
      <c r="A115" s="52"/>
      <c r="B115" s="241" t="str">
        <f t="shared" si="106"/>
        <v>Low-Income</v>
      </c>
      <c r="C115" s="63" t="s">
        <v>30</v>
      </c>
      <c r="D115" s="61"/>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2"/>
      <c r="BO115" s="62"/>
      <c r="BP115" s="62"/>
      <c r="BS115" s="62"/>
      <c r="BT115" s="51" t="s">
        <v>17</v>
      </c>
    </row>
    <row r="116" spans="1:72" x14ac:dyDescent="0.25">
      <c r="B116" s="243" t="str">
        <f t="shared" si="106"/>
        <v>Low-Income</v>
      </c>
      <c r="C116" s="243" t="str">
        <f t="shared" si="106"/>
        <v>Rates</v>
      </c>
      <c r="D116" s="114" t="str">
        <f>"Rates before DSM ("&amp;Lookups!$D$22&amp;" Scenario)"</f>
        <v>Rates before DSM (No EE Scenario)</v>
      </c>
      <c r="E116" s="84"/>
      <c r="F116" s="84"/>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S116" s="84"/>
      <c r="BT116" s="51" t="s">
        <v>17</v>
      </c>
    </row>
    <row r="117" spans="1:72" x14ac:dyDescent="0.25">
      <c r="B117" s="243" t="str">
        <f t="shared" si="106"/>
        <v>Low-Income</v>
      </c>
      <c r="C117" s="243" t="str">
        <f t="shared" si="106"/>
        <v>Rates</v>
      </c>
      <c r="D117" s="244" t="str">
        <f>D116</f>
        <v>Rates before DSM (No EE Scenario)</v>
      </c>
      <c r="E117" s="84" t="s">
        <v>26</v>
      </c>
      <c r="F117" s="84" t="s">
        <v>182</v>
      </c>
      <c r="G117" s="506">
        <f>IF(G$8=0,0,INDEX('R&amp;B Inputs'!$I$78:$V$78,MATCH($B117,'R&amp;B Inputs'!$I$4:$V$4,0))*(1+INDEX('R&amp;B Inputs'!$I$48:$V$48,MATCH($B117,'R&amp;B Inputs'!$I$4:$V$4,0)))^(G$7-Year1))</f>
        <v>0</v>
      </c>
      <c r="H117" s="506">
        <f>IF(H$8=0,0,INDEX('R&amp;B Inputs'!$I$78:$V$78,MATCH($B117,'R&amp;B Inputs'!$I$4:$V$4,0))*(1+INDEX('R&amp;B Inputs'!$I$48:$V$48,MATCH($B117,'R&amp;B Inputs'!$I$4:$V$4,0)))^(H$7-Year1))</f>
        <v>0.2228</v>
      </c>
      <c r="I117" s="506">
        <f>IF(I$8=0,0,INDEX('R&amp;B Inputs'!$I$78:$V$78,MATCH($B117,'R&amp;B Inputs'!$I$4:$V$4,0))*(1+INDEX('R&amp;B Inputs'!$I$48:$V$48,MATCH($B117,'R&amp;B Inputs'!$I$4:$V$4,0)))^(I$7-Year1))</f>
        <v>0.2228</v>
      </c>
      <c r="J117" s="506">
        <f>IF(J$8=0,0,INDEX('R&amp;B Inputs'!$I$78:$V$78,MATCH($B117,'R&amp;B Inputs'!$I$4:$V$4,0))*(1+INDEX('R&amp;B Inputs'!$I$48:$V$48,MATCH($B117,'R&amp;B Inputs'!$I$4:$V$4,0)))^(J$7-Year1))</f>
        <v>0.2228</v>
      </c>
      <c r="K117" s="506">
        <f>IF(K$8=0,0,INDEX('R&amp;B Inputs'!$I$78:$V$78,MATCH($B117,'R&amp;B Inputs'!$I$4:$V$4,0))*(1+INDEX('R&amp;B Inputs'!$I$48:$V$48,MATCH($B117,'R&amp;B Inputs'!$I$4:$V$4,0)))^(K$7-Year1))</f>
        <v>0.2228</v>
      </c>
      <c r="L117" s="506">
        <f>IF(L$8=0,0,INDEX('R&amp;B Inputs'!$I$78:$V$78,MATCH($B117,'R&amp;B Inputs'!$I$4:$V$4,0))*(1+INDEX('R&amp;B Inputs'!$I$48:$V$48,MATCH($B117,'R&amp;B Inputs'!$I$4:$V$4,0)))^(L$7-Year1))</f>
        <v>0.2228</v>
      </c>
      <c r="M117" s="506">
        <f>IF(M$8=0,0,INDEX('R&amp;B Inputs'!$I$78:$V$78,MATCH($B117,'R&amp;B Inputs'!$I$4:$V$4,0))*(1+INDEX('R&amp;B Inputs'!$I$48:$V$48,MATCH($B117,'R&amp;B Inputs'!$I$4:$V$4,0)))^(M$7-Year1))</f>
        <v>0.2228</v>
      </c>
      <c r="N117" s="506">
        <f>IF(N$8=0,0,INDEX('R&amp;B Inputs'!$I$78:$V$78,MATCH($B117,'R&amp;B Inputs'!$I$4:$V$4,0))*(1+INDEX('R&amp;B Inputs'!$I$48:$V$48,MATCH($B117,'R&amp;B Inputs'!$I$4:$V$4,0)))^(N$7-Year1))</f>
        <v>0.2228</v>
      </c>
      <c r="O117" s="506">
        <f>IF(O$8=0,0,INDEX('R&amp;B Inputs'!$I$78:$V$78,MATCH($B117,'R&amp;B Inputs'!$I$4:$V$4,0))*(1+INDEX('R&amp;B Inputs'!$I$48:$V$48,MATCH($B117,'R&amp;B Inputs'!$I$4:$V$4,0)))^(O$7-Year1))</f>
        <v>0.2228</v>
      </c>
      <c r="P117" s="506">
        <f>IF(P$8=0,0,INDEX('R&amp;B Inputs'!$I$78:$V$78,MATCH($B117,'R&amp;B Inputs'!$I$4:$V$4,0))*(1+INDEX('R&amp;B Inputs'!$I$48:$V$48,MATCH($B117,'R&amp;B Inputs'!$I$4:$V$4,0)))^(P$7-Year1))</f>
        <v>0.2228</v>
      </c>
      <c r="Q117" s="506">
        <f>IF(Q$8=0,0,INDEX('R&amp;B Inputs'!$I$78:$V$78,MATCH($B117,'R&amp;B Inputs'!$I$4:$V$4,0))*(1+INDEX('R&amp;B Inputs'!$I$48:$V$48,MATCH($B117,'R&amp;B Inputs'!$I$4:$V$4,0)))^(Q$7-Year1))</f>
        <v>0.2228</v>
      </c>
      <c r="R117" s="506">
        <f>IF(R$8=0,0,INDEX('R&amp;B Inputs'!$I$78:$V$78,MATCH($B117,'R&amp;B Inputs'!$I$4:$V$4,0))*(1+INDEX('R&amp;B Inputs'!$I$48:$V$48,MATCH($B117,'R&amp;B Inputs'!$I$4:$V$4,0)))^(R$7-Year1))</f>
        <v>0.2228</v>
      </c>
      <c r="S117" s="506">
        <f>IF(S$8=0,0,INDEX('R&amp;B Inputs'!$I$78:$V$78,MATCH($B117,'R&amp;B Inputs'!$I$4:$V$4,0))*(1+INDEX('R&amp;B Inputs'!$I$48:$V$48,MATCH($B117,'R&amp;B Inputs'!$I$4:$V$4,0)))^(S$7-Year1))</f>
        <v>0.2228</v>
      </c>
      <c r="T117" s="506">
        <f>IF(T$8=0,0,INDEX('R&amp;B Inputs'!$I$78:$V$78,MATCH($B117,'R&amp;B Inputs'!$I$4:$V$4,0))*(1+INDEX('R&amp;B Inputs'!$I$48:$V$48,MATCH($B117,'R&amp;B Inputs'!$I$4:$V$4,0)))^(T$7-Year1))</f>
        <v>0.2228</v>
      </c>
      <c r="U117" s="506">
        <f>IF(U$8=0,0,INDEX('R&amp;B Inputs'!$I$78:$V$78,MATCH($B117,'R&amp;B Inputs'!$I$4:$V$4,0))*(1+INDEX('R&amp;B Inputs'!$I$48:$V$48,MATCH($B117,'R&amp;B Inputs'!$I$4:$V$4,0)))^(U$7-Year1))</f>
        <v>0.2228</v>
      </c>
      <c r="V117" s="506">
        <f>IF(V$8=0,0,INDEX('R&amp;B Inputs'!$I$78:$V$78,MATCH($B117,'R&amp;B Inputs'!$I$4:$V$4,0))*(1+INDEX('R&amp;B Inputs'!$I$48:$V$48,MATCH($B117,'R&amp;B Inputs'!$I$4:$V$4,0)))^(V$7-Year1))</f>
        <v>0.2228</v>
      </c>
      <c r="W117" s="506">
        <f>IF(W$8=0,0,INDEX('R&amp;B Inputs'!$I$78:$V$78,MATCH($B117,'R&amp;B Inputs'!$I$4:$V$4,0))*(1+INDEX('R&amp;B Inputs'!$I$48:$V$48,MATCH($B117,'R&amp;B Inputs'!$I$4:$V$4,0)))^(W$7-Year1))</f>
        <v>0.2228</v>
      </c>
      <c r="X117" s="506">
        <f>IF(X$8=0,0,INDEX('R&amp;B Inputs'!$I$78:$V$78,MATCH($B117,'R&amp;B Inputs'!$I$4:$V$4,0))*(1+INDEX('R&amp;B Inputs'!$I$48:$V$48,MATCH($B117,'R&amp;B Inputs'!$I$4:$V$4,0)))^(X$7-Year1))</f>
        <v>0.2228</v>
      </c>
      <c r="Y117" s="506">
        <f>IF(Y$8=0,0,INDEX('R&amp;B Inputs'!$I$78:$V$78,MATCH($B117,'R&amp;B Inputs'!$I$4:$V$4,0))*(1+INDEX('R&amp;B Inputs'!$I$48:$V$48,MATCH($B117,'R&amp;B Inputs'!$I$4:$V$4,0)))^(Y$7-Year1))</f>
        <v>0.2228</v>
      </c>
      <c r="Z117" s="506">
        <f>IF(Z$8=0,0,INDEX('R&amp;B Inputs'!$I$78:$V$78,MATCH($B117,'R&amp;B Inputs'!$I$4:$V$4,0))*(1+INDEX('R&amp;B Inputs'!$I$48:$V$48,MATCH($B117,'R&amp;B Inputs'!$I$4:$V$4,0)))^(Z$7-Year1))</f>
        <v>0.2228</v>
      </c>
      <c r="AA117" s="506">
        <f>IF(AA$8=0,0,INDEX('R&amp;B Inputs'!$I$78:$V$78,MATCH($B117,'R&amp;B Inputs'!$I$4:$V$4,0))*(1+INDEX('R&amp;B Inputs'!$I$48:$V$48,MATCH($B117,'R&amp;B Inputs'!$I$4:$V$4,0)))^(AA$7-Year1))</f>
        <v>0.2228</v>
      </c>
      <c r="AB117" s="506">
        <f>IF(AB$8=0,0,INDEX('R&amp;B Inputs'!$I$78:$V$78,MATCH($B117,'R&amp;B Inputs'!$I$4:$V$4,0))*(1+INDEX('R&amp;B Inputs'!$I$48:$V$48,MATCH($B117,'R&amp;B Inputs'!$I$4:$V$4,0)))^(AB$7-Year1))</f>
        <v>0.2228</v>
      </c>
      <c r="AC117" s="506">
        <f>IF(AC$8=0,0,INDEX('R&amp;B Inputs'!$I$78:$V$78,MATCH($B117,'R&amp;B Inputs'!$I$4:$V$4,0))*(1+INDEX('R&amp;B Inputs'!$I$48:$V$48,MATCH($B117,'R&amp;B Inputs'!$I$4:$V$4,0)))^(AC$7-Year1))</f>
        <v>0.2228</v>
      </c>
      <c r="AD117" s="506">
        <f>IF(AD$8=0,0,INDEX('R&amp;B Inputs'!$I$78:$V$78,MATCH($B117,'R&amp;B Inputs'!$I$4:$V$4,0))*(1+INDEX('R&amp;B Inputs'!$I$48:$V$48,MATCH($B117,'R&amp;B Inputs'!$I$4:$V$4,0)))^(AD$7-Year1))</f>
        <v>0.2228</v>
      </c>
      <c r="AE117" s="506">
        <f>IF(AE$8=0,0,INDEX('R&amp;B Inputs'!$I$78:$V$78,MATCH($B117,'R&amp;B Inputs'!$I$4:$V$4,0))*(1+INDEX('R&amp;B Inputs'!$I$48:$V$48,MATCH($B117,'R&amp;B Inputs'!$I$4:$V$4,0)))^(AE$7-Year1))</f>
        <v>0.2228</v>
      </c>
      <c r="AF117" s="506">
        <f>IF(AF$8=0,0,INDEX('R&amp;B Inputs'!$I$78:$V$78,MATCH($B117,'R&amp;B Inputs'!$I$4:$V$4,0))*(1+INDEX('R&amp;B Inputs'!$I$48:$V$48,MATCH($B117,'R&amp;B Inputs'!$I$4:$V$4,0)))^(AF$7-Year1))</f>
        <v>0.2228</v>
      </c>
      <c r="AG117" s="506">
        <f>IF(AG$8=0,0,INDEX('R&amp;B Inputs'!$I$78:$V$78,MATCH($B117,'R&amp;B Inputs'!$I$4:$V$4,0))*(1+INDEX('R&amp;B Inputs'!$I$48:$V$48,MATCH($B117,'R&amp;B Inputs'!$I$4:$V$4,0)))^(AG$7-Year1))</f>
        <v>0.2228</v>
      </c>
      <c r="AH117" s="506"/>
      <c r="AI117" s="506"/>
      <c r="AJ117" s="506">
        <f>IF($C$4=Year1,-PMT(Lookups!$E$17,25,NPV(Lookups!$E$17,G117:AE117),0,1),IF($C$4=Year2,-PMT(Lookups!$F$17,25,NPV(Lookups!$F$17,H117:AF117),0,1),IF($C$4=Year3,-PMT(Lookups!$G$17,25,NPV(Lookups!$G$17,I117:AG117),0,1),-PMT(Lookups!$G$17,27,NPV(Lookups!$G$17,G117:AG117),0,1))))</f>
        <v>0.21969266828087164</v>
      </c>
      <c r="AK117" s="507"/>
      <c r="AL117" s="507"/>
      <c r="AM117" s="508">
        <f>IF(AM$8=0,0,INDEX('R&amp;B Inputs'!$I$78:$V$78,MATCH($B117,'R&amp;B Inputs'!$I$4:$V$4,0))*(1+INDEX('R&amp;B Inputs'!$I$48:$V$48,MATCH($B117,'R&amp;B Inputs'!$I$4:$V$4,0)))^(AM$7-Year1))</f>
        <v>0</v>
      </c>
      <c r="AN117" s="508">
        <f>IF(AN$8=0,0,INDEX('R&amp;B Inputs'!$I$78:$V$78,MATCH($B117,'R&amp;B Inputs'!$I$4:$V$4,0))*(1+INDEX('R&amp;B Inputs'!$I$48:$V$48,MATCH($B117,'R&amp;B Inputs'!$I$4:$V$4,0)))^(AN$7-Year1))</f>
        <v>0.2228</v>
      </c>
      <c r="AO117" s="508">
        <f>IF(AO$8=0,0,INDEX('R&amp;B Inputs'!$I$78:$V$78,MATCH($B117,'R&amp;B Inputs'!$I$4:$V$4,0))*(1+INDEX('R&amp;B Inputs'!$I$48:$V$48,MATCH($B117,'R&amp;B Inputs'!$I$4:$V$4,0)))^(AO$7-Year1))</f>
        <v>0.2228</v>
      </c>
      <c r="AP117" s="508">
        <f>IF(AP$8=0,0,INDEX('R&amp;B Inputs'!$I$78:$V$78,MATCH($B117,'R&amp;B Inputs'!$I$4:$V$4,0))*(1+INDEX('R&amp;B Inputs'!$I$48:$V$48,MATCH($B117,'R&amp;B Inputs'!$I$4:$V$4,0)))^(AP$7-Year1))</f>
        <v>0.2228</v>
      </c>
      <c r="AQ117" s="508">
        <f>IF(AQ$8=0,0,INDEX('R&amp;B Inputs'!$I$78:$V$78,MATCH($B117,'R&amp;B Inputs'!$I$4:$V$4,0))*(1+INDEX('R&amp;B Inputs'!$I$48:$V$48,MATCH($B117,'R&amp;B Inputs'!$I$4:$V$4,0)))^(AQ$7-Year1))</f>
        <v>0.2228</v>
      </c>
      <c r="AR117" s="508">
        <f>IF(AR$8=0,0,INDEX('R&amp;B Inputs'!$I$78:$V$78,MATCH($B117,'R&amp;B Inputs'!$I$4:$V$4,0))*(1+INDEX('R&amp;B Inputs'!$I$48:$V$48,MATCH($B117,'R&amp;B Inputs'!$I$4:$V$4,0)))^(AR$7-Year1))</f>
        <v>0.2228</v>
      </c>
      <c r="AS117" s="508">
        <f>IF(AS$8=0,0,INDEX('R&amp;B Inputs'!$I$78:$V$78,MATCH($B117,'R&amp;B Inputs'!$I$4:$V$4,0))*(1+INDEX('R&amp;B Inputs'!$I$48:$V$48,MATCH($B117,'R&amp;B Inputs'!$I$4:$V$4,0)))^(AS$7-Year1))</f>
        <v>0.2228</v>
      </c>
      <c r="AT117" s="508">
        <f>IF(AT$8=0,0,INDEX('R&amp;B Inputs'!$I$78:$V$78,MATCH($B117,'R&amp;B Inputs'!$I$4:$V$4,0))*(1+INDEX('R&amp;B Inputs'!$I$48:$V$48,MATCH($B117,'R&amp;B Inputs'!$I$4:$V$4,0)))^(AT$7-Year1))</f>
        <v>0.2228</v>
      </c>
      <c r="AU117" s="508">
        <f>IF(AU$8=0,0,INDEX('R&amp;B Inputs'!$I$78:$V$78,MATCH($B117,'R&amp;B Inputs'!$I$4:$V$4,0))*(1+INDEX('R&amp;B Inputs'!$I$48:$V$48,MATCH($B117,'R&amp;B Inputs'!$I$4:$V$4,0)))^(AU$7-Year1))</f>
        <v>0.2228</v>
      </c>
      <c r="AV117" s="508">
        <f>IF(AV$8=0,0,INDEX('R&amp;B Inputs'!$I$78:$V$78,MATCH($B117,'R&amp;B Inputs'!$I$4:$V$4,0))*(1+INDEX('R&amp;B Inputs'!$I$48:$V$48,MATCH($B117,'R&amp;B Inputs'!$I$4:$V$4,0)))^(AV$7-Year1))</f>
        <v>0.2228</v>
      </c>
      <c r="AW117" s="508">
        <f>IF(AW$8=0,0,INDEX('R&amp;B Inputs'!$I$78:$V$78,MATCH($B117,'R&amp;B Inputs'!$I$4:$V$4,0))*(1+INDEX('R&amp;B Inputs'!$I$48:$V$48,MATCH($B117,'R&amp;B Inputs'!$I$4:$V$4,0)))^(AW$7-Year1))</f>
        <v>0.2228</v>
      </c>
      <c r="AX117" s="508">
        <f>IF(AX$8=0,0,INDEX('R&amp;B Inputs'!$I$78:$V$78,MATCH($B117,'R&amp;B Inputs'!$I$4:$V$4,0))*(1+INDEX('R&amp;B Inputs'!$I$48:$V$48,MATCH($B117,'R&amp;B Inputs'!$I$4:$V$4,0)))^(AX$7-Year1))</f>
        <v>0.2228</v>
      </c>
      <c r="AY117" s="508">
        <f>IF(AY$8=0,0,INDEX('R&amp;B Inputs'!$I$78:$V$78,MATCH($B117,'R&amp;B Inputs'!$I$4:$V$4,0))*(1+INDEX('R&amp;B Inputs'!$I$48:$V$48,MATCH($B117,'R&amp;B Inputs'!$I$4:$V$4,0)))^(AY$7-Year1))</f>
        <v>0.2228</v>
      </c>
      <c r="AZ117" s="508">
        <f>IF(AZ$8=0,0,INDEX('R&amp;B Inputs'!$I$78:$V$78,MATCH($B117,'R&amp;B Inputs'!$I$4:$V$4,0))*(1+INDEX('R&amp;B Inputs'!$I$48:$V$48,MATCH($B117,'R&amp;B Inputs'!$I$4:$V$4,0)))^(AZ$7-Year1))</f>
        <v>0.2228</v>
      </c>
      <c r="BA117" s="508">
        <f>IF(BA$8=0,0,INDEX('R&amp;B Inputs'!$I$78:$V$78,MATCH($B117,'R&amp;B Inputs'!$I$4:$V$4,0))*(1+INDEX('R&amp;B Inputs'!$I$48:$V$48,MATCH($B117,'R&amp;B Inputs'!$I$4:$V$4,0)))^(BA$7-Year1))</f>
        <v>0.2228</v>
      </c>
      <c r="BB117" s="508">
        <f>IF(BB$8=0,0,INDEX('R&amp;B Inputs'!$I$78:$V$78,MATCH($B117,'R&amp;B Inputs'!$I$4:$V$4,0))*(1+INDEX('R&amp;B Inputs'!$I$48:$V$48,MATCH($B117,'R&amp;B Inputs'!$I$4:$V$4,0)))^(BB$7-Year1))</f>
        <v>0.2228</v>
      </c>
      <c r="BC117" s="508">
        <f>IF(BC$8=0,0,INDEX('R&amp;B Inputs'!$I$78:$V$78,MATCH($B117,'R&amp;B Inputs'!$I$4:$V$4,0))*(1+INDEX('R&amp;B Inputs'!$I$48:$V$48,MATCH($B117,'R&amp;B Inputs'!$I$4:$V$4,0)))^(BC$7-Year1))</f>
        <v>0.2228</v>
      </c>
      <c r="BD117" s="508">
        <f>IF(BD$8=0,0,INDEX('R&amp;B Inputs'!$I$78:$V$78,MATCH($B117,'R&amp;B Inputs'!$I$4:$V$4,0))*(1+INDEX('R&amp;B Inputs'!$I$48:$V$48,MATCH($B117,'R&amp;B Inputs'!$I$4:$V$4,0)))^(BD$7-Year1))</f>
        <v>0.2228</v>
      </c>
      <c r="BE117" s="508">
        <f>IF(BE$8=0,0,INDEX('R&amp;B Inputs'!$I$78:$V$78,MATCH($B117,'R&amp;B Inputs'!$I$4:$V$4,0))*(1+INDEX('R&amp;B Inputs'!$I$48:$V$48,MATCH($B117,'R&amp;B Inputs'!$I$4:$V$4,0)))^(BE$7-Year1))</f>
        <v>0.2228</v>
      </c>
      <c r="BF117" s="508">
        <f>IF(BF$8=0,0,INDEX('R&amp;B Inputs'!$I$78:$V$78,MATCH($B117,'R&amp;B Inputs'!$I$4:$V$4,0))*(1+INDEX('R&amp;B Inputs'!$I$48:$V$48,MATCH($B117,'R&amp;B Inputs'!$I$4:$V$4,0)))^(BF$7-Year1))</f>
        <v>0.2228</v>
      </c>
      <c r="BG117" s="508">
        <f>IF(BG$8=0,0,INDEX('R&amp;B Inputs'!$I$78:$V$78,MATCH($B117,'R&amp;B Inputs'!$I$4:$V$4,0))*(1+INDEX('R&amp;B Inputs'!$I$48:$V$48,MATCH($B117,'R&amp;B Inputs'!$I$4:$V$4,0)))^(BG$7-Year1))</f>
        <v>0.2228</v>
      </c>
      <c r="BH117" s="508">
        <f>IF(BH$8=0,0,INDEX('R&amp;B Inputs'!$I$78:$V$78,MATCH($B117,'R&amp;B Inputs'!$I$4:$V$4,0))*(1+INDEX('R&amp;B Inputs'!$I$48:$V$48,MATCH($B117,'R&amp;B Inputs'!$I$4:$V$4,0)))^(BH$7-Year1))</f>
        <v>0.2228</v>
      </c>
      <c r="BI117" s="508">
        <f>IF(BI$8=0,0,INDEX('R&amp;B Inputs'!$I$78:$V$78,MATCH($B117,'R&amp;B Inputs'!$I$4:$V$4,0))*(1+INDEX('R&amp;B Inputs'!$I$48:$V$48,MATCH($B117,'R&amp;B Inputs'!$I$4:$V$4,0)))^(BI$7-Year1))</f>
        <v>0.2228</v>
      </c>
      <c r="BJ117" s="508">
        <f>IF(BJ$8=0,0,INDEX('R&amp;B Inputs'!$I$78:$V$78,MATCH($B117,'R&amp;B Inputs'!$I$4:$V$4,0))*(1+INDEX('R&amp;B Inputs'!$I$48:$V$48,MATCH($B117,'R&amp;B Inputs'!$I$4:$V$4,0)))^(BJ$7-Year1))</f>
        <v>0.2228</v>
      </c>
      <c r="BK117" s="508">
        <f>IF(BK$8=0,0,INDEX('R&amp;B Inputs'!$I$78:$V$78,MATCH($B117,'R&amp;B Inputs'!$I$4:$V$4,0))*(1+INDEX('R&amp;B Inputs'!$I$48:$V$48,MATCH($B117,'R&amp;B Inputs'!$I$4:$V$4,0)))^(BK$7-Year1))</f>
        <v>0.2228</v>
      </c>
      <c r="BL117" s="508">
        <f>IF(BL$8=0,0,INDEX('R&amp;B Inputs'!$I$78:$V$78,MATCH($B117,'R&amp;B Inputs'!$I$4:$V$4,0))*(1+INDEX('R&amp;B Inputs'!$I$48:$V$48,MATCH($B117,'R&amp;B Inputs'!$I$4:$V$4,0)))^(BL$7-Year1))</f>
        <v>0.2228</v>
      </c>
      <c r="BM117" s="508">
        <f>IF(BM$8=0,0,INDEX('R&amp;B Inputs'!$I$78:$V$78,MATCH($B117,'R&amp;B Inputs'!$I$4:$V$4,0))*(1+INDEX('R&amp;B Inputs'!$I$48:$V$48,MATCH($B117,'R&amp;B Inputs'!$I$4:$V$4,0)))^(BM$7-Year1))</f>
        <v>0.2228</v>
      </c>
      <c r="BN117" s="508"/>
      <c r="BO117" s="508"/>
      <c r="BP117" s="508">
        <f>IF($C$4=Year1,-PMT(Lookups!$E$17,25,NPV(Lookups!$E$17,AM117:BK117),0,1),IF($C$4=Year2,-PMT(Lookups!$F$17,25,NPV(Lookups!$F$17,AN117:BL117),0,1),IF($C$4=Year3,-PMT(Lookups!$G$17,25,NPV(Lookups!$G$17,AO117:BM117),0,1),-PMT(Lookups!$G$17,27,NPV(Lookups!$G$17,AM117:BM117),0,1))))</f>
        <v>0.21969266828087164</v>
      </c>
      <c r="BS117" s="76" t="str">
        <f t="shared" ref="BS117:BS119" si="107">E117&amp;" charge from the R&amp;B Inputs tab, escalated annually by the growth rate included on the R&amp;B Inputs tab."</f>
        <v>Distribution charge from the R&amp;B Inputs tab, escalated annually by the growth rate included on the R&amp;B Inputs tab.</v>
      </c>
      <c r="BT117" s="51" t="s">
        <v>17</v>
      </c>
    </row>
    <row r="118" spans="1:72" x14ac:dyDescent="0.25">
      <c r="B118" s="243" t="str">
        <f t="shared" si="106"/>
        <v>Low-Income</v>
      </c>
      <c r="C118" s="243" t="str">
        <f t="shared" si="106"/>
        <v>Rates</v>
      </c>
      <c r="D118" s="244" t="str">
        <f>D117</f>
        <v>Rates before DSM (No EE Scenario)</v>
      </c>
      <c r="E118" s="84" t="s">
        <v>407</v>
      </c>
      <c r="F118" s="84" t="s">
        <v>182</v>
      </c>
      <c r="G118" s="506">
        <f>IF(G$8=0,0,INDEX('R&amp;B Inputs'!$I$82:$V$82,MATCH($B118,'R&amp;B Inputs'!$I$4:$V$4,0))*(1+INDEX('R&amp;B Inputs'!$I$62:$V$62,MATCH($B118,'R&amp;B Inputs'!$I$4:$V$4,0)))^(G$7-Year1))</f>
        <v>0</v>
      </c>
      <c r="H118" s="506">
        <f>IF(H$8=0,0,INDEX('R&amp;B Inputs'!$I$82:$V$82,MATCH($B118,'R&amp;B Inputs'!$I$4:$V$4,0))*(1+INDEX('R&amp;B Inputs'!$I$62:$V$62,MATCH($B118,'R&amp;B Inputs'!$I$4:$V$4,0)))^(H$7-Year1))</f>
        <v>-3.3000000000000002E-2</v>
      </c>
      <c r="I118" s="506">
        <f>IF(I$8=0,0,INDEX('R&amp;B Inputs'!$I$82:$V$82,MATCH($B118,'R&amp;B Inputs'!$I$4:$V$4,0))*(1+INDEX('R&amp;B Inputs'!$I$62:$V$62,MATCH($B118,'R&amp;B Inputs'!$I$4:$V$4,0)))^(I$7-Year1))</f>
        <v>-3.3000000000000002E-2</v>
      </c>
      <c r="J118" s="506">
        <f>IF(J$8=0,0,INDEX('R&amp;B Inputs'!$I$82:$V$82,MATCH($B118,'R&amp;B Inputs'!$I$4:$V$4,0))*(1+INDEX('R&amp;B Inputs'!$I$62:$V$62,MATCH($B118,'R&amp;B Inputs'!$I$4:$V$4,0)))^(J$7-Year1))</f>
        <v>-3.3000000000000002E-2</v>
      </c>
      <c r="K118" s="506">
        <f>IF(K$8=0,0,INDEX('R&amp;B Inputs'!$I$82:$V$82,MATCH($B118,'R&amp;B Inputs'!$I$4:$V$4,0))*(1+INDEX('R&amp;B Inputs'!$I$62:$V$62,MATCH($B118,'R&amp;B Inputs'!$I$4:$V$4,0)))^(K$7-Year1))</f>
        <v>-3.3000000000000002E-2</v>
      </c>
      <c r="L118" s="506">
        <f>IF(L$8=0,0,INDEX('R&amp;B Inputs'!$I$82:$V$82,MATCH($B118,'R&amp;B Inputs'!$I$4:$V$4,0))*(1+INDEX('R&amp;B Inputs'!$I$62:$V$62,MATCH($B118,'R&amp;B Inputs'!$I$4:$V$4,0)))^(L$7-Year1))</f>
        <v>-3.3000000000000002E-2</v>
      </c>
      <c r="M118" s="506">
        <f>IF(M$8=0,0,INDEX('R&amp;B Inputs'!$I$82:$V$82,MATCH($B118,'R&amp;B Inputs'!$I$4:$V$4,0))*(1+INDEX('R&amp;B Inputs'!$I$62:$V$62,MATCH($B118,'R&amp;B Inputs'!$I$4:$V$4,0)))^(M$7-Year1))</f>
        <v>-3.3000000000000002E-2</v>
      </c>
      <c r="N118" s="506">
        <f>IF(N$8=0,0,INDEX('R&amp;B Inputs'!$I$82:$V$82,MATCH($B118,'R&amp;B Inputs'!$I$4:$V$4,0))*(1+INDEX('R&amp;B Inputs'!$I$62:$V$62,MATCH($B118,'R&amp;B Inputs'!$I$4:$V$4,0)))^(N$7-Year1))</f>
        <v>-3.3000000000000002E-2</v>
      </c>
      <c r="O118" s="506">
        <f>IF(O$8=0,0,INDEX('R&amp;B Inputs'!$I$82:$V$82,MATCH($B118,'R&amp;B Inputs'!$I$4:$V$4,0))*(1+INDEX('R&amp;B Inputs'!$I$62:$V$62,MATCH($B118,'R&amp;B Inputs'!$I$4:$V$4,0)))^(O$7-Year1))</f>
        <v>-3.3000000000000002E-2</v>
      </c>
      <c r="P118" s="506">
        <f>IF(P$8=0,0,INDEX('R&amp;B Inputs'!$I$82:$V$82,MATCH($B118,'R&amp;B Inputs'!$I$4:$V$4,0))*(1+INDEX('R&amp;B Inputs'!$I$62:$V$62,MATCH($B118,'R&amp;B Inputs'!$I$4:$V$4,0)))^(P$7-Year1))</f>
        <v>-3.3000000000000002E-2</v>
      </c>
      <c r="Q118" s="506">
        <f>IF(Q$8=0,0,INDEX('R&amp;B Inputs'!$I$82:$V$82,MATCH($B118,'R&amp;B Inputs'!$I$4:$V$4,0))*(1+INDEX('R&amp;B Inputs'!$I$62:$V$62,MATCH($B118,'R&amp;B Inputs'!$I$4:$V$4,0)))^(Q$7-Year1))</f>
        <v>-3.3000000000000002E-2</v>
      </c>
      <c r="R118" s="506">
        <f>IF(R$8=0,0,INDEX('R&amp;B Inputs'!$I$82:$V$82,MATCH($B118,'R&amp;B Inputs'!$I$4:$V$4,0))*(1+INDEX('R&amp;B Inputs'!$I$62:$V$62,MATCH($B118,'R&amp;B Inputs'!$I$4:$V$4,0)))^(R$7-Year1))</f>
        <v>-3.3000000000000002E-2</v>
      </c>
      <c r="S118" s="506">
        <f>IF(S$8=0,0,INDEX('R&amp;B Inputs'!$I$82:$V$82,MATCH($B118,'R&amp;B Inputs'!$I$4:$V$4,0))*(1+INDEX('R&amp;B Inputs'!$I$62:$V$62,MATCH($B118,'R&amp;B Inputs'!$I$4:$V$4,0)))^(S$7-Year1))</f>
        <v>-3.3000000000000002E-2</v>
      </c>
      <c r="T118" s="506">
        <f>IF(T$8=0,0,INDEX('R&amp;B Inputs'!$I$82:$V$82,MATCH($B118,'R&amp;B Inputs'!$I$4:$V$4,0))*(1+INDEX('R&amp;B Inputs'!$I$62:$V$62,MATCH($B118,'R&amp;B Inputs'!$I$4:$V$4,0)))^(T$7-Year1))</f>
        <v>-3.3000000000000002E-2</v>
      </c>
      <c r="U118" s="506">
        <f>IF(U$8=0,0,INDEX('R&amp;B Inputs'!$I$82:$V$82,MATCH($B118,'R&amp;B Inputs'!$I$4:$V$4,0))*(1+INDEX('R&amp;B Inputs'!$I$62:$V$62,MATCH($B118,'R&amp;B Inputs'!$I$4:$V$4,0)))^(U$7-Year1))</f>
        <v>-3.3000000000000002E-2</v>
      </c>
      <c r="V118" s="506">
        <f>IF(V$8=0,0,INDEX('R&amp;B Inputs'!$I$82:$V$82,MATCH($B118,'R&amp;B Inputs'!$I$4:$V$4,0))*(1+INDEX('R&amp;B Inputs'!$I$62:$V$62,MATCH($B118,'R&amp;B Inputs'!$I$4:$V$4,0)))^(V$7-Year1))</f>
        <v>-3.3000000000000002E-2</v>
      </c>
      <c r="W118" s="506">
        <f>IF(W$8=0,0,INDEX('R&amp;B Inputs'!$I$82:$V$82,MATCH($B118,'R&amp;B Inputs'!$I$4:$V$4,0))*(1+INDEX('R&amp;B Inputs'!$I$62:$V$62,MATCH($B118,'R&amp;B Inputs'!$I$4:$V$4,0)))^(W$7-Year1))</f>
        <v>-3.3000000000000002E-2</v>
      </c>
      <c r="X118" s="506">
        <f>IF(X$8=0,0,INDEX('R&amp;B Inputs'!$I$82:$V$82,MATCH($B118,'R&amp;B Inputs'!$I$4:$V$4,0))*(1+INDEX('R&amp;B Inputs'!$I$62:$V$62,MATCH($B118,'R&amp;B Inputs'!$I$4:$V$4,0)))^(X$7-Year1))</f>
        <v>-3.3000000000000002E-2</v>
      </c>
      <c r="Y118" s="506">
        <f>IF(Y$8=0,0,INDEX('R&amp;B Inputs'!$I$82:$V$82,MATCH($B118,'R&amp;B Inputs'!$I$4:$V$4,0))*(1+INDEX('R&amp;B Inputs'!$I$62:$V$62,MATCH($B118,'R&amp;B Inputs'!$I$4:$V$4,0)))^(Y$7-Year1))</f>
        <v>-3.3000000000000002E-2</v>
      </c>
      <c r="Z118" s="506">
        <f>IF(Z$8=0,0,INDEX('R&amp;B Inputs'!$I$82:$V$82,MATCH($B118,'R&amp;B Inputs'!$I$4:$V$4,0))*(1+INDEX('R&amp;B Inputs'!$I$62:$V$62,MATCH($B118,'R&amp;B Inputs'!$I$4:$V$4,0)))^(Z$7-Year1))</f>
        <v>-3.3000000000000002E-2</v>
      </c>
      <c r="AA118" s="506">
        <f>IF(AA$8=0,0,INDEX('R&amp;B Inputs'!$I$82:$V$82,MATCH($B118,'R&amp;B Inputs'!$I$4:$V$4,0))*(1+INDEX('R&amp;B Inputs'!$I$62:$V$62,MATCH($B118,'R&amp;B Inputs'!$I$4:$V$4,0)))^(AA$7-Year1))</f>
        <v>-3.3000000000000002E-2</v>
      </c>
      <c r="AB118" s="506">
        <f>IF(AB$8=0,0,INDEX('R&amp;B Inputs'!$I$82:$V$82,MATCH($B118,'R&amp;B Inputs'!$I$4:$V$4,0))*(1+INDEX('R&amp;B Inputs'!$I$62:$V$62,MATCH($B118,'R&amp;B Inputs'!$I$4:$V$4,0)))^(AB$7-Year1))</f>
        <v>-3.3000000000000002E-2</v>
      </c>
      <c r="AC118" s="506">
        <f>IF(AC$8=0,0,INDEX('R&amp;B Inputs'!$I$82:$V$82,MATCH($B118,'R&amp;B Inputs'!$I$4:$V$4,0))*(1+INDEX('R&amp;B Inputs'!$I$62:$V$62,MATCH($B118,'R&amp;B Inputs'!$I$4:$V$4,0)))^(AC$7-Year1))</f>
        <v>-3.3000000000000002E-2</v>
      </c>
      <c r="AD118" s="506">
        <f>IF(AD$8=0,0,INDEX('R&amp;B Inputs'!$I$82:$V$82,MATCH($B118,'R&amp;B Inputs'!$I$4:$V$4,0))*(1+INDEX('R&amp;B Inputs'!$I$62:$V$62,MATCH($B118,'R&amp;B Inputs'!$I$4:$V$4,0)))^(AD$7-Year1))</f>
        <v>-3.3000000000000002E-2</v>
      </c>
      <c r="AE118" s="506">
        <f>IF(AE$8=0,0,INDEX('R&amp;B Inputs'!$I$82:$V$82,MATCH($B118,'R&amp;B Inputs'!$I$4:$V$4,0))*(1+INDEX('R&amp;B Inputs'!$I$62:$V$62,MATCH($B118,'R&amp;B Inputs'!$I$4:$V$4,0)))^(AE$7-Year1))</f>
        <v>-3.3000000000000002E-2</v>
      </c>
      <c r="AF118" s="506">
        <f>IF(AF$8=0,0,INDEX('R&amp;B Inputs'!$I$82:$V$82,MATCH($B118,'R&amp;B Inputs'!$I$4:$V$4,0))*(1+INDEX('R&amp;B Inputs'!$I$62:$V$62,MATCH($B118,'R&amp;B Inputs'!$I$4:$V$4,0)))^(AF$7-Year1))</f>
        <v>-3.3000000000000002E-2</v>
      </c>
      <c r="AG118" s="506">
        <f>IF(AG$8=0,0,INDEX('R&amp;B Inputs'!$I$82:$V$82,MATCH($B118,'R&amp;B Inputs'!$I$4:$V$4,0))*(1+INDEX('R&amp;B Inputs'!$I$62:$V$62,MATCH($B118,'R&amp;B Inputs'!$I$4:$V$4,0)))^(AG$7-Year1))</f>
        <v>-3.3000000000000002E-2</v>
      </c>
      <c r="AH118" s="506"/>
      <c r="AI118" s="506"/>
      <c r="AJ118" s="506">
        <f>IF($C$4=Year1,-PMT(Lookups!$E$17,25,NPV(Lookups!$E$17,G118:AE118),0,1),IF($C$4=Year2,-PMT(Lookups!$F$17,25,NPV(Lookups!$F$17,H118:AF118),0,1),IF($C$4=Year3,-PMT(Lookups!$G$17,25,NPV(Lookups!$G$17,I118:AG118),0,1),-PMT(Lookups!$G$17,27,NPV(Lookups!$G$17,G118:AG118),0,1))))</f>
        <v>-3.2539757869249397E-2</v>
      </c>
      <c r="AK118" s="507"/>
      <c r="AL118" s="507"/>
      <c r="AM118" s="508">
        <f>IF(AM$8=0,0,INDEX('R&amp;B Inputs'!$I$82:$V$82,MATCH($B118,'R&amp;B Inputs'!$I$4:$V$4,0))*(1+INDEX('R&amp;B Inputs'!$I$62:$V$62,MATCH($B118,'R&amp;B Inputs'!$I$4:$V$4,0)))^(AM$7-Year1))</f>
        <v>0</v>
      </c>
      <c r="AN118" s="508">
        <f>IF(AN$8=0,0,INDEX('R&amp;B Inputs'!$I$82:$V$82,MATCH($B118,'R&amp;B Inputs'!$I$4:$V$4,0))*(1+INDEX('R&amp;B Inputs'!$I$62:$V$62,MATCH($B118,'R&amp;B Inputs'!$I$4:$V$4,0)))^(AN$7-Year1))</f>
        <v>-3.3000000000000002E-2</v>
      </c>
      <c r="AO118" s="508">
        <f>IF(AO$8=0,0,INDEX('R&amp;B Inputs'!$I$82:$V$82,MATCH($B118,'R&amp;B Inputs'!$I$4:$V$4,0))*(1+INDEX('R&amp;B Inputs'!$I$62:$V$62,MATCH($B118,'R&amp;B Inputs'!$I$4:$V$4,0)))^(AO$7-Year1))</f>
        <v>-3.3000000000000002E-2</v>
      </c>
      <c r="AP118" s="508">
        <f>IF(AP$8=0,0,INDEX('R&amp;B Inputs'!$I$82:$V$82,MATCH($B118,'R&amp;B Inputs'!$I$4:$V$4,0))*(1+INDEX('R&amp;B Inputs'!$I$62:$V$62,MATCH($B118,'R&amp;B Inputs'!$I$4:$V$4,0)))^(AP$7-Year1))</f>
        <v>-3.3000000000000002E-2</v>
      </c>
      <c r="AQ118" s="508">
        <f>IF(AQ$8=0,0,INDEX('R&amp;B Inputs'!$I$82:$V$82,MATCH($B118,'R&amp;B Inputs'!$I$4:$V$4,0))*(1+INDEX('R&amp;B Inputs'!$I$62:$V$62,MATCH($B118,'R&amp;B Inputs'!$I$4:$V$4,0)))^(AQ$7-Year1))</f>
        <v>-3.3000000000000002E-2</v>
      </c>
      <c r="AR118" s="508">
        <f>IF(AR$8=0,0,INDEX('R&amp;B Inputs'!$I$82:$V$82,MATCH($B118,'R&amp;B Inputs'!$I$4:$V$4,0))*(1+INDEX('R&amp;B Inputs'!$I$62:$V$62,MATCH($B118,'R&amp;B Inputs'!$I$4:$V$4,0)))^(AR$7-Year1))</f>
        <v>-3.3000000000000002E-2</v>
      </c>
      <c r="AS118" s="508">
        <f>IF(AS$8=0,0,INDEX('R&amp;B Inputs'!$I$82:$V$82,MATCH($B118,'R&amp;B Inputs'!$I$4:$V$4,0))*(1+INDEX('R&amp;B Inputs'!$I$62:$V$62,MATCH($B118,'R&amp;B Inputs'!$I$4:$V$4,0)))^(AS$7-Year1))</f>
        <v>-3.3000000000000002E-2</v>
      </c>
      <c r="AT118" s="508">
        <f>IF(AT$8=0,0,INDEX('R&amp;B Inputs'!$I$82:$V$82,MATCH($B118,'R&amp;B Inputs'!$I$4:$V$4,0))*(1+INDEX('R&amp;B Inputs'!$I$62:$V$62,MATCH($B118,'R&amp;B Inputs'!$I$4:$V$4,0)))^(AT$7-Year1))</f>
        <v>-3.3000000000000002E-2</v>
      </c>
      <c r="AU118" s="508">
        <f>IF(AU$8=0,0,INDEX('R&amp;B Inputs'!$I$82:$V$82,MATCH($B118,'R&amp;B Inputs'!$I$4:$V$4,0))*(1+INDEX('R&amp;B Inputs'!$I$62:$V$62,MATCH($B118,'R&amp;B Inputs'!$I$4:$V$4,0)))^(AU$7-Year1))</f>
        <v>-3.3000000000000002E-2</v>
      </c>
      <c r="AV118" s="508">
        <f>IF(AV$8=0,0,INDEX('R&amp;B Inputs'!$I$82:$V$82,MATCH($B118,'R&amp;B Inputs'!$I$4:$V$4,0))*(1+INDEX('R&amp;B Inputs'!$I$62:$V$62,MATCH($B118,'R&amp;B Inputs'!$I$4:$V$4,0)))^(AV$7-Year1))</f>
        <v>-3.3000000000000002E-2</v>
      </c>
      <c r="AW118" s="508">
        <f>IF(AW$8=0,0,INDEX('R&amp;B Inputs'!$I$82:$V$82,MATCH($B118,'R&amp;B Inputs'!$I$4:$V$4,0))*(1+INDEX('R&amp;B Inputs'!$I$62:$V$62,MATCH($B118,'R&amp;B Inputs'!$I$4:$V$4,0)))^(AW$7-Year1))</f>
        <v>-3.3000000000000002E-2</v>
      </c>
      <c r="AX118" s="508">
        <f>IF(AX$8=0,0,INDEX('R&amp;B Inputs'!$I$82:$V$82,MATCH($B118,'R&amp;B Inputs'!$I$4:$V$4,0))*(1+INDEX('R&amp;B Inputs'!$I$62:$V$62,MATCH($B118,'R&amp;B Inputs'!$I$4:$V$4,0)))^(AX$7-Year1))</f>
        <v>-3.3000000000000002E-2</v>
      </c>
      <c r="AY118" s="508">
        <f>IF(AY$8=0,0,INDEX('R&amp;B Inputs'!$I$82:$V$82,MATCH($B118,'R&amp;B Inputs'!$I$4:$V$4,0))*(1+INDEX('R&amp;B Inputs'!$I$62:$V$62,MATCH($B118,'R&amp;B Inputs'!$I$4:$V$4,0)))^(AY$7-Year1))</f>
        <v>-3.3000000000000002E-2</v>
      </c>
      <c r="AZ118" s="508">
        <f>IF(AZ$8=0,0,INDEX('R&amp;B Inputs'!$I$82:$V$82,MATCH($B118,'R&amp;B Inputs'!$I$4:$V$4,0))*(1+INDEX('R&amp;B Inputs'!$I$62:$V$62,MATCH($B118,'R&amp;B Inputs'!$I$4:$V$4,0)))^(AZ$7-Year1))</f>
        <v>-3.3000000000000002E-2</v>
      </c>
      <c r="BA118" s="508">
        <f>IF(BA$8=0,0,INDEX('R&amp;B Inputs'!$I$82:$V$82,MATCH($B118,'R&amp;B Inputs'!$I$4:$V$4,0))*(1+INDEX('R&amp;B Inputs'!$I$62:$V$62,MATCH($B118,'R&amp;B Inputs'!$I$4:$V$4,0)))^(BA$7-Year1))</f>
        <v>-3.3000000000000002E-2</v>
      </c>
      <c r="BB118" s="508">
        <f>IF(BB$8=0,0,INDEX('R&amp;B Inputs'!$I$82:$V$82,MATCH($B118,'R&amp;B Inputs'!$I$4:$V$4,0))*(1+INDEX('R&amp;B Inputs'!$I$62:$V$62,MATCH($B118,'R&amp;B Inputs'!$I$4:$V$4,0)))^(BB$7-Year1))</f>
        <v>-3.3000000000000002E-2</v>
      </c>
      <c r="BC118" s="508">
        <f>IF(BC$8=0,0,INDEX('R&amp;B Inputs'!$I$82:$V$82,MATCH($B118,'R&amp;B Inputs'!$I$4:$V$4,0))*(1+INDEX('R&amp;B Inputs'!$I$62:$V$62,MATCH($B118,'R&amp;B Inputs'!$I$4:$V$4,0)))^(BC$7-Year1))</f>
        <v>-3.3000000000000002E-2</v>
      </c>
      <c r="BD118" s="508">
        <f>IF(BD$8=0,0,INDEX('R&amp;B Inputs'!$I$82:$V$82,MATCH($B118,'R&amp;B Inputs'!$I$4:$V$4,0))*(1+INDEX('R&amp;B Inputs'!$I$62:$V$62,MATCH($B118,'R&amp;B Inputs'!$I$4:$V$4,0)))^(BD$7-Year1))</f>
        <v>-3.3000000000000002E-2</v>
      </c>
      <c r="BE118" s="508">
        <f>IF(BE$8=0,0,INDEX('R&amp;B Inputs'!$I$82:$V$82,MATCH($B118,'R&amp;B Inputs'!$I$4:$V$4,0))*(1+INDEX('R&amp;B Inputs'!$I$62:$V$62,MATCH($B118,'R&amp;B Inputs'!$I$4:$V$4,0)))^(BE$7-Year1))</f>
        <v>-3.3000000000000002E-2</v>
      </c>
      <c r="BF118" s="508">
        <f>IF(BF$8=0,0,INDEX('R&amp;B Inputs'!$I$82:$V$82,MATCH($B118,'R&amp;B Inputs'!$I$4:$V$4,0))*(1+INDEX('R&amp;B Inputs'!$I$62:$V$62,MATCH($B118,'R&amp;B Inputs'!$I$4:$V$4,0)))^(BF$7-Year1))</f>
        <v>-3.3000000000000002E-2</v>
      </c>
      <c r="BG118" s="508">
        <f>IF(BG$8=0,0,INDEX('R&amp;B Inputs'!$I$82:$V$82,MATCH($B118,'R&amp;B Inputs'!$I$4:$V$4,0))*(1+INDEX('R&amp;B Inputs'!$I$62:$V$62,MATCH($B118,'R&amp;B Inputs'!$I$4:$V$4,0)))^(BG$7-Year1))</f>
        <v>-3.3000000000000002E-2</v>
      </c>
      <c r="BH118" s="508">
        <f>IF(BH$8=0,0,INDEX('R&amp;B Inputs'!$I$82:$V$82,MATCH($B118,'R&amp;B Inputs'!$I$4:$V$4,0))*(1+INDEX('R&amp;B Inputs'!$I$62:$V$62,MATCH($B118,'R&amp;B Inputs'!$I$4:$V$4,0)))^(BH$7-Year1))</f>
        <v>-3.3000000000000002E-2</v>
      </c>
      <c r="BI118" s="508">
        <f>IF(BI$8=0,0,INDEX('R&amp;B Inputs'!$I$82:$V$82,MATCH($B118,'R&amp;B Inputs'!$I$4:$V$4,0))*(1+INDEX('R&amp;B Inputs'!$I$62:$V$62,MATCH($B118,'R&amp;B Inputs'!$I$4:$V$4,0)))^(BI$7-Year1))</f>
        <v>-3.3000000000000002E-2</v>
      </c>
      <c r="BJ118" s="508">
        <f>IF(BJ$8=0,0,INDEX('R&amp;B Inputs'!$I$82:$V$82,MATCH($B118,'R&amp;B Inputs'!$I$4:$V$4,0))*(1+INDEX('R&amp;B Inputs'!$I$62:$V$62,MATCH($B118,'R&amp;B Inputs'!$I$4:$V$4,0)))^(BJ$7-Year1))</f>
        <v>-3.3000000000000002E-2</v>
      </c>
      <c r="BK118" s="508">
        <f>IF(BK$8=0,0,INDEX('R&amp;B Inputs'!$I$82:$V$82,MATCH($B118,'R&amp;B Inputs'!$I$4:$V$4,0))*(1+INDEX('R&amp;B Inputs'!$I$62:$V$62,MATCH($B118,'R&amp;B Inputs'!$I$4:$V$4,0)))^(BK$7-Year1))</f>
        <v>-3.3000000000000002E-2</v>
      </c>
      <c r="BL118" s="508">
        <f>IF(BL$8=0,0,INDEX('R&amp;B Inputs'!$I$82:$V$82,MATCH($B118,'R&amp;B Inputs'!$I$4:$V$4,0))*(1+INDEX('R&amp;B Inputs'!$I$62:$V$62,MATCH($B118,'R&amp;B Inputs'!$I$4:$V$4,0)))^(BL$7-Year1))</f>
        <v>-3.3000000000000002E-2</v>
      </c>
      <c r="BM118" s="508">
        <f>IF(BM$8=0,0,INDEX('R&amp;B Inputs'!$I$82:$V$82,MATCH($B118,'R&amp;B Inputs'!$I$4:$V$4,0))*(1+INDEX('R&amp;B Inputs'!$I$62:$V$62,MATCH($B118,'R&amp;B Inputs'!$I$4:$V$4,0)))^(BM$7-Year1))</f>
        <v>-3.3000000000000002E-2</v>
      </c>
      <c r="BN118" s="508"/>
      <c r="BO118" s="508"/>
      <c r="BP118" s="508">
        <f>IF($C$4=Year1,-PMT(Lookups!$E$17,25,NPV(Lookups!$E$17,AM118:BK118),0,1),IF($C$4=Year2,-PMT(Lookups!$F$17,25,NPV(Lookups!$F$17,AN118:BL118),0,1),IF($C$4=Year3,-PMT(Lookups!$G$17,25,NPV(Lookups!$G$17,AO118:BM118),0,1),-PMT(Lookups!$G$17,27,NPV(Lookups!$G$17,AM118:BM118),0,1))))</f>
        <v>-3.2539757869249397E-2</v>
      </c>
      <c r="BS118" s="76" t="str">
        <f t="shared" si="107"/>
        <v>LDAC, Non-EE charge from the R&amp;B Inputs tab, escalated annually by the growth rate included on the R&amp;B Inputs tab.</v>
      </c>
      <c r="BT118" s="51" t="s">
        <v>17</v>
      </c>
    </row>
    <row r="119" spans="1:72" x14ac:dyDescent="0.25">
      <c r="B119" s="243" t="str">
        <f>B117</f>
        <v>Low-Income</v>
      </c>
      <c r="C119" s="243" t="str">
        <f>C117</f>
        <v>Rates</v>
      </c>
      <c r="D119" s="244" t="str">
        <f>D117</f>
        <v>Rates before DSM (No EE Scenario)</v>
      </c>
      <c r="E119" s="84" t="s">
        <v>197</v>
      </c>
      <c r="F119" s="84" t="s">
        <v>182</v>
      </c>
      <c r="G119" s="506">
        <f>IF(G$8=0,0,INDEX('R&amp;B Inputs'!$I$86:$V$86,MATCH($B119,'R&amp;B Inputs'!$I$4:$V$4,0))*(1+INDEX('R&amp;B Inputs'!$I$66:$V$66,MATCH($B119,'R&amp;B Inputs'!$I$4:$V$4,0)))^(G$7-Year1))</f>
        <v>0</v>
      </c>
      <c r="H119" s="506">
        <f>IF(H$8=0,0,INDEX('R&amp;B Inputs'!$I$86:$V$86,MATCH($B119,'R&amp;B Inputs'!$I$4:$V$4,0))*(1+INDEX('R&amp;B Inputs'!$I$66:$V$66,MATCH($B119,'R&amp;B Inputs'!$I$4:$V$4,0)))^(H$7-Year1))</f>
        <v>0.62029999999999996</v>
      </c>
      <c r="I119" s="506">
        <f>IF(I$8=0,0,INDEX('R&amp;B Inputs'!$I$86:$V$86,MATCH($B119,'R&amp;B Inputs'!$I$4:$V$4,0))*(1+INDEX('R&amp;B Inputs'!$I$66:$V$66,MATCH($B119,'R&amp;B Inputs'!$I$4:$V$4,0)))^(I$7-Year1))</f>
        <v>0.62029999999999996</v>
      </c>
      <c r="J119" s="506">
        <f>IF(J$8=0,0,INDEX('R&amp;B Inputs'!$I$86:$V$86,MATCH($B119,'R&amp;B Inputs'!$I$4:$V$4,0))*(1+INDEX('R&amp;B Inputs'!$I$66:$V$66,MATCH($B119,'R&amp;B Inputs'!$I$4:$V$4,0)))^(J$7-Year1))</f>
        <v>0.62029999999999996</v>
      </c>
      <c r="K119" s="506">
        <f>IF(K$8=0,0,INDEX('R&amp;B Inputs'!$I$86:$V$86,MATCH($B119,'R&amp;B Inputs'!$I$4:$V$4,0))*(1+INDEX('R&amp;B Inputs'!$I$66:$V$66,MATCH($B119,'R&amp;B Inputs'!$I$4:$V$4,0)))^(K$7-Year1))</f>
        <v>0.62029999999999996</v>
      </c>
      <c r="L119" s="506">
        <f>IF(L$8=0,0,INDEX('R&amp;B Inputs'!$I$86:$V$86,MATCH($B119,'R&amp;B Inputs'!$I$4:$V$4,0))*(1+INDEX('R&amp;B Inputs'!$I$66:$V$66,MATCH($B119,'R&amp;B Inputs'!$I$4:$V$4,0)))^(L$7-Year1))</f>
        <v>0.62029999999999996</v>
      </c>
      <c r="M119" s="506">
        <f>IF(M$8=0,0,INDEX('R&amp;B Inputs'!$I$86:$V$86,MATCH($B119,'R&amp;B Inputs'!$I$4:$V$4,0))*(1+INDEX('R&amp;B Inputs'!$I$66:$V$66,MATCH($B119,'R&amp;B Inputs'!$I$4:$V$4,0)))^(M$7-Year1))</f>
        <v>0.62029999999999996</v>
      </c>
      <c r="N119" s="506">
        <f>IF(N$8=0,0,INDEX('R&amp;B Inputs'!$I$86:$V$86,MATCH($B119,'R&amp;B Inputs'!$I$4:$V$4,0))*(1+INDEX('R&amp;B Inputs'!$I$66:$V$66,MATCH($B119,'R&amp;B Inputs'!$I$4:$V$4,0)))^(N$7-Year1))</f>
        <v>0.62029999999999996</v>
      </c>
      <c r="O119" s="506">
        <f>IF(O$8=0,0,INDEX('R&amp;B Inputs'!$I$86:$V$86,MATCH($B119,'R&amp;B Inputs'!$I$4:$V$4,0))*(1+INDEX('R&amp;B Inputs'!$I$66:$V$66,MATCH($B119,'R&amp;B Inputs'!$I$4:$V$4,0)))^(O$7-Year1))</f>
        <v>0.62029999999999996</v>
      </c>
      <c r="P119" s="506">
        <f>IF(P$8=0,0,INDEX('R&amp;B Inputs'!$I$86:$V$86,MATCH($B119,'R&amp;B Inputs'!$I$4:$V$4,0))*(1+INDEX('R&amp;B Inputs'!$I$66:$V$66,MATCH($B119,'R&amp;B Inputs'!$I$4:$V$4,0)))^(P$7-Year1))</f>
        <v>0.62029999999999996</v>
      </c>
      <c r="Q119" s="506">
        <f>IF(Q$8=0,0,INDEX('R&amp;B Inputs'!$I$86:$V$86,MATCH($B119,'R&amp;B Inputs'!$I$4:$V$4,0))*(1+INDEX('R&amp;B Inputs'!$I$66:$V$66,MATCH($B119,'R&amp;B Inputs'!$I$4:$V$4,0)))^(Q$7-Year1))</f>
        <v>0.62029999999999996</v>
      </c>
      <c r="R119" s="506">
        <f>IF(R$8=0,0,INDEX('R&amp;B Inputs'!$I$86:$V$86,MATCH($B119,'R&amp;B Inputs'!$I$4:$V$4,0))*(1+INDEX('R&amp;B Inputs'!$I$66:$V$66,MATCH($B119,'R&amp;B Inputs'!$I$4:$V$4,0)))^(R$7-Year1))</f>
        <v>0.62029999999999996</v>
      </c>
      <c r="S119" s="506">
        <f>IF(S$8=0,0,INDEX('R&amp;B Inputs'!$I$86:$V$86,MATCH($B119,'R&amp;B Inputs'!$I$4:$V$4,0))*(1+INDEX('R&amp;B Inputs'!$I$66:$V$66,MATCH($B119,'R&amp;B Inputs'!$I$4:$V$4,0)))^(S$7-Year1))</f>
        <v>0.62029999999999996</v>
      </c>
      <c r="T119" s="506">
        <f>IF(T$8=0,0,INDEX('R&amp;B Inputs'!$I$86:$V$86,MATCH($B119,'R&amp;B Inputs'!$I$4:$V$4,0))*(1+INDEX('R&amp;B Inputs'!$I$66:$V$66,MATCH($B119,'R&amp;B Inputs'!$I$4:$V$4,0)))^(T$7-Year1))</f>
        <v>0.62029999999999996</v>
      </c>
      <c r="U119" s="506">
        <f>IF(U$8=0,0,INDEX('R&amp;B Inputs'!$I$86:$V$86,MATCH($B119,'R&amp;B Inputs'!$I$4:$V$4,0))*(1+INDEX('R&amp;B Inputs'!$I$66:$V$66,MATCH($B119,'R&amp;B Inputs'!$I$4:$V$4,0)))^(U$7-Year1))</f>
        <v>0.62029999999999996</v>
      </c>
      <c r="V119" s="506">
        <f>IF(V$8=0,0,INDEX('R&amp;B Inputs'!$I$86:$V$86,MATCH($B119,'R&amp;B Inputs'!$I$4:$V$4,0))*(1+INDEX('R&amp;B Inputs'!$I$66:$V$66,MATCH($B119,'R&amp;B Inputs'!$I$4:$V$4,0)))^(V$7-Year1))</f>
        <v>0.62029999999999996</v>
      </c>
      <c r="W119" s="506">
        <f>IF(W$8=0,0,INDEX('R&amp;B Inputs'!$I$86:$V$86,MATCH($B119,'R&amp;B Inputs'!$I$4:$V$4,0))*(1+INDEX('R&amp;B Inputs'!$I$66:$V$66,MATCH($B119,'R&amp;B Inputs'!$I$4:$V$4,0)))^(W$7-Year1))</f>
        <v>0.62029999999999996</v>
      </c>
      <c r="X119" s="506">
        <f>IF(X$8=0,0,INDEX('R&amp;B Inputs'!$I$86:$V$86,MATCH($B119,'R&amp;B Inputs'!$I$4:$V$4,0))*(1+INDEX('R&amp;B Inputs'!$I$66:$V$66,MATCH($B119,'R&amp;B Inputs'!$I$4:$V$4,0)))^(X$7-Year1))</f>
        <v>0.62029999999999996</v>
      </c>
      <c r="Y119" s="506">
        <f>IF(Y$8=0,0,INDEX('R&amp;B Inputs'!$I$86:$V$86,MATCH($B119,'R&amp;B Inputs'!$I$4:$V$4,0))*(1+INDEX('R&amp;B Inputs'!$I$66:$V$66,MATCH($B119,'R&amp;B Inputs'!$I$4:$V$4,0)))^(Y$7-Year1))</f>
        <v>0.62029999999999996</v>
      </c>
      <c r="Z119" s="506">
        <f>IF(Z$8=0,0,INDEX('R&amp;B Inputs'!$I$86:$V$86,MATCH($B119,'R&amp;B Inputs'!$I$4:$V$4,0))*(1+INDEX('R&amp;B Inputs'!$I$66:$V$66,MATCH($B119,'R&amp;B Inputs'!$I$4:$V$4,0)))^(Z$7-Year1))</f>
        <v>0.62029999999999996</v>
      </c>
      <c r="AA119" s="506">
        <f>IF(AA$8=0,0,INDEX('R&amp;B Inputs'!$I$86:$V$86,MATCH($B119,'R&amp;B Inputs'!$I$4:$V$4,0))*(1+INDEX('R&amp;B Inputs'!$I$66:$V$66,MATCH($B119,'R&amp;B Inputs'!$I$4:$V$4,0)))^(AA$7-Year1))</f>
        <v>0.62029999999999996</v>
      </c>
      <c r="AB119" s="506">
        <f>IF(AB$8=0,0,INDEX('R&amp;B Inputs'!$I$86:$V$86,MATCH($B119,'R&amp;B Inputs'!$I$4:$V$4,0))*(1+INDEX('R&amp;B Inputs'!$I$66:$V$66,MATCH($B119,'R&amp;B Inputs'!$I$4:$V$4,0)))^(AB$7-Year1))</f>
        <v>0.62029999999999996</v>
      </c>
      <c r="AC119" s="506">
        <f>IF(AC$8=0,0,INDEX('R&amp;B Inputs'!$I$86:$V$86,MATCH($B119,'R&amp;B Inputs'!$I$4:$V$4,0))*(1+INDEX('R&amp;B Inputs'!$I$66:$V$66,MATCH($B119,'R&amp;B Inputs'!$I$4:$V$4,0)))^(AC$7-Year1))</f>
        <v>0.62029999999999996</v>
      </c>
      <c r="AD119" s="506">
        <f>IF(AD$8=0,0,INDEX('R&amp;B Inputs'!$I$86:$V$86,MATCH($B119,'R&amp;B Inputs'!$I$4:$V$4,0))*(1+INDEX('R&amp;B Inputs'!$I$66:$V$66,MATCH($B119,'R&amp;B Inputs'!$I$4:$V$4,0)))^(AD$7-Year1))</f>
        <v>0.62029999999999996</v>
      </c>
      <c r="AE119" s="506">
        <f>IF(AE$8=0,0,INDEX('R&amp;B Inputs'!$I$86:$V$86,MATCH($B119,'R&amp;B Inputs'!$I$4:$V$4,0))*(1+INDEX('R&amp;B Inputs'!$I$66:$V$66,MATCH($B119,'R&amp;B Inputs'!$I$4:$V$4,0)))^(AE$7-Year1))</f>
        <v>0.62029999999999996</v>
      </c>
      <c r="AF119" s="506">
        <f>IF(AF$8=0,0,INDEX('R&amp;B Inputs'!$I$86:$V$86,MATCH($B119,'R&amp;B Inputs'!$I$4:$V$4,0))*(1+INDEX('R&amp;B Inputs'!$I$66:$V$66,MATCH($B119,'R&amp;B Inputs'!$I$4:$V$4,0)))^(AF$7-Year1))</f>
        <v>0.62029999999999996</v>
      </c>
      <c r="AG119" s="506">
        <f>IF(AG$8=0,0,INDEX('R&amp;B Inputs'!$I$86:$V$86,MATCH($B119,'R&amp;B Inputs'!$I$4:$V$4,0))*(1+INDEX('R&amp;B Inputs'!$I$66:$V$66,MATCH($B119,'R&amp;B Inputs'!$I$4:$V$4,0)))^(AG$7-Year1))</f>
        <v>0.62029999999999996</v>
      </c>
      <c r="AH119" s="506"/>
      <c r="AI119" s="506"/>
      <c r="AJ119" s="506">
        <f>IF($C$4=Year1,-PMT(Lookups!$E$17,25,NPV(Lookups!$E$17,G119:AE119),0,1),IF($C$4=Year2,-PMT(Lookups!$F$17,25,NPV(Lookups!$F$17,H119:AF119),0,1),IF($C$4=Year3,-PMT(Lookups!$G$17,25,NPV(Lookups!$G$17,I119:AG119),0,1),-PMT(Lookups!$G$17,27,NPV(Lookups!$G$17,G119:AG119),0,1))))</f>
        <v>0.61164884261501185</v>
      </c>
      <c r="AK119" s="507"/>
      <c r="AL119" s="507"/>
      <c r="AM119" s="508">
        <f>IF(AM$8=0,0,INDEX('R&amp;B Inputs'!$I$86:$V$86,MATCH($B119,'R&amp;B Inputs'!$I$4:$V$4,0))*(1+INDEX('R&amp;B Inputs'!$I$66:$V$66,MATCH($B119,'R&amp;B Inputs'!$I$4:$V$4,0)))^(AM$7-Year1))</f>
        <v>0</v>
      </c>
      <c r="AN119" s="508">
        <f>IF(AN$8=0,0,INDEX('R&amp;B Inputs'!$I$86:$V$86,MATCH($B119,'R&amp;B Inputs'!$I$4:$V$4,0))*(1+INDEX('R&amp;B Inputs'!$I$66:$V$66,MATCH($B119,'R&amp;B Inputs'!$I$4:$V$4,0)))^(AN$7-Year1))</f>
        <v>0.62029999999999996</v>
      </c>
      <c r="AO119" s="508">
        <f>IF(AO$8=0,0,INDEX('R&amp;B Inputs'!$I$86:$V$86,MATCH($B119,'R&amp;B Inputs'!$I$4:$V$4,0))*(1+INDEX('R&amp;B Inputs'!$I$66:$V$66,MATCH($B119,'R&amp;B Inputs'!$I$4:$V$4,0)))^(AO$7-Year1))</f>
        <v>0.62029999999999996</v>
      </c>
      <c r="AP119" s="508">
        <f>IF(AP$8=0,0,INDEX('R&amp;B Inputs'!$I$86:$V$86,MATCH($B119,'R&amp;B Inputs'!$I$4:$V$4,0))*(1+INDEX('R&amp;B Inputs'!$I$66:$V$66,MATCH($B119,'R&amp;B Inputs'!$I$4:$V$4,0)))^(AP$7-Year1))</f>
        <v>0.62029999999999996</v>
      </c>
      <c r="AQ119" s="508">
        <f>IF(AQ$8=0,0,INDEX('R&amp;B Inputs'!$I$86:$V$86,MATCH($B119,'R&amp;B Inputs'!$I$4:$V$4,0))*(1+INDEX('R&amp;B Inputs'!$I$66:$V$66,MATCH($B119,'R&amp;B Inputs'!$I$4:$V$4,0)))^(AQ$7-Year1))</f>
        <v>0.62029999999999996</v>
      </c>
      <c r="AR119" s="508">
        <f>IF(AR$8=0,0,INDEX('R&amp;B Inputs'!$I$86:$V$86,MATCH($B119,'R&amp;B Inputs'!$I$4:$V$4,0))*(1+INDEX('R&amp;B Inputs'!$I$66:$V$66,MATCH($B119,'R&amp;B Inputs'!$I$4:$V$4,0)))^(AR$7-Year1))</f>
        <v>0.62029999999999996</v>
      </c>
      <c r="AS119" s="508">
        <f>IF(AS$8=0,0,INDEX('R&amp;B Inputs'!$I$86:$V$86,MATCH($B119,'R&amp;B Inputs'!$I$4:$V$4,0))*(1+INDEX('R&amp;B Inputs'!$I$66:$V$66,MATCH($B119,'R&amp;B Inputs'!$I$4:$V$4,0)))^(AS$7-Year1))</f>
        <v>0.62029999999999996</v>
      </c>
      <c r="AT119" s="508">
        <f>IF(AT$8=0,0,INDEX('R&amp;B Inputs'!$I$86:$V$86,MATCH($B119,'R&amp;B Inputs'!$I$4:$V$4,0))*(1+INDEX('R&amp;B Inputs'!$I$66:$V$66,MATCH($B119,'R&amp;B Inputs'!$I$4:$V$4,0)))^(AT$7-Year1))</f>
        <v>0.62029999999999996</v>
      </c>
      <c r="AU119" s="508">
        <f>IF(AU$8=0,0,INDEX('R&amp;B Inputs'!$I$86:$V$86,MATCH($B119,'R&amp;B Inputs'!$I$4:$V$4,0))*(1+INDEX('R&amp;B Inputs'!$I$66:$V$66,MATCH($B119,'R&amp;B Inputs'!$I$4:$V$4,0)))^(AU$7-Year1))</f>
        <v>0.62029999999999996</v>
      </c>
      <c r="AV119" s="508">
        <f>IF(AV$8=0,0,INDEX('R&amp;B Inputs'!$I$86:$V$86,MATCH($B119,'R&amp;B Inputs'!$I$4:$V$4,0))*(1+INDEX('R&amp;B Inputs'!$I$66:$V$66,MATCH($B119,'R&amp;B Inputs'!$I$4:$V$4,0)))^(AV$7-Year1))</f>
        <v>0.62029999999999996</v>
      </c>
      <c r="AW119" s="508">
        <f>IF(AW$8=0,0,INDEX('R&amp;B Inputs'!$I$86:$V$86,MATCH($B119,'R&amp;B Inputs'!$I$4:$V$4,0))*(1+INDEX('R&amp;B Inputs'!$I$66:$V$66,MATCH($B119,'R&amp;B Inputs'!$I$4:$V$4,0)))^(AW$7-Year1))</f>
        <v>0.62029999999999996</v>
      </c>
      <c r="AX119" s="508">
        <f>IF(AX$8=0,0,INDEX('R&amp;B Inputs'!$I$86:$V$86,MATCH($B119,'R&amp;B Inputs'!$I$4:$V$4,0))*(1+INDEX('R&amp;B Inputs'!$I$66:$V$66,MATCH($B119,'R&amp;B Inputs'!$I$4:$V$4,0)))^(AX$7-Year1))</f>
        <v>0.62029999999999996</v>
      </c>
      <c r="AY119" s="508">
        <f>IF(AY$8=0,0,INDEX('R&amp;B Inputs'!$I$86:$V$86,MATCH($B119,'R&amp;B Inputs'!$I$4:$V$4,0))*(1+INDEX('R&amp;B Inputs'!$I$66:$V$66,MATCH($B119,'R&amp;B Inputs'!$I$4:$V$4,0)))^(AY$7-Year1))</f>
        <v>0.62029999999999996</v>
      </c>
      <c r="AZ119" s="508">
        <f>IF(AZ$8=0,0,INDEX('R&amp;B Inputs'!$I$86:$V$86,MATCH($B119,'R&amp;B Inputs'!$I$4:$V$4,0))*(1+INDEX('R&amp;B Inputs'!$I$66:$V$66,MATCH($B119,'R&amp;B Inputs'!$I$4:$V$4,0)))^(AZ$7-Year1))</f>
        <v>0.62029999999999996</v>
      </c>
      <c r="BA119" s="508">
        <f>IF(BA$8=0,0,INDEX('R&amp;B Inputs'!$I$86:$V$86,MATCH($B119,'R&amp;B Inputs'!$I$4:$V$4,0))*(1+INDEX('R&amp;B Inputs'!$I$66:$V$66,MATCH($B119,'R&amp;B Inputs'!$I$4:$V$4,0)))^(BA$7-Year1))</f>
        <v>0.62029999999999996</v>
      </c>
      <c r="BB119" s="508">
        <f>IF(BB$8=0,0,INDEX('R&amp;B Inputs'!$I$86:$V$86,MATCH($B119,'R&amp;B Inputs'!$I$4:$V$4,0))*(1+INDEX('R&amp;B Inputs'!$I$66:$V$66,MATCH($B119,'R&amp;B Inputs'!$I$4:$V$4,0)))^(BB$7-Year1))</f>
        <v>0.62029999999999996</v>
      </c>
      <c r="BC119" s="508">
        <f>IF(BC$8=0,0,INDEX('R&amp;B Inputs'!$I$86:$V$86,MATCH($B119,'R&amp;B Inputs'!$I$4:$V$4,0))*(1+INDEX('R&amp;B Inputs'!$I$66:$V$66,MATCH($B119,'R&amp;B Inputs'!$I$4:$V$4,0)))^(BC$7-Year1))</f>
        <v>0.62029999999999996</v>
      </c>
      <c r="BD119" s="508">
        <f>IF(BD$8=0,0,INDEX('R&amp;B Inputs'!$I$86:$V$86,MATCH($B119,'R&amp;B Inputs'!$I$4:$V$4,0))*(1+INDEX('R&amp;B Inputs'!$I$66:$V$66,MATCH($B119,'R&amp;B Inputs'!$I$4:$V$4,0)))^(BD$7-Year1))</f>
        <v>0.62029999999999996</v>
      </c>
      <c r="BE119" s="508">
        <f>IF(BE$8=0,0,INDEX('R&amp;B Inputs'!$I$86:$V$86,MATCH($B119,'R&amp;B Inputs'!$I$4:$V$4,0))*(1+INDEX('R&amp;B Inputs'!$I$66:$V$66,MATCH($B119,'R&amp;B Inputs'!$I$4:$V$4,0)))^(BE$7-Year1))</f>
        <v>0.62029999999999996</v>
      </c>
      <c r="BF119" s="508">
        <f>IF(BF$8=0,0,INDEX('R&amp;B Inputs'!$I$86:$V$86,MATCH($B119,'R&amp;B Inputs'!$I$4:$V$4,0))*(1+INDEX('R&amp;B Inputs'!$I$66:$V$66,MATCH($B119,'R&amp;B Inputs'!$I$4:$V$4,0)))^(BF$7-Year1))</f>
        <v>0.62029999999999996</v>
      </c>
      <c r="BG119" s="508">
        <f>IF(BG$8=0,0,INDEX('R&amp;B Inputs'!$I$86:$V$86,MATCH($B119,'R&amp;B Inputs'!$I$4:$V$4,0))*(1+INDEX('R&amp;B Inputs'!$I$66:$V$66,MATCH($B119,'R&amp;B Inputs'!$I$4:$V$4,0)))^(BG$7-Year1))</f>
        <v>0.62029999999999996</v>
      </c>
      <c r="BH119" s="508">
        <f>IF(BH$8=0,0,INDEX('R&amp;B Inputs'!$I$86:$V$86,MATCH($B119,'R&amp;B Inputs'!$I$4:$V$4,0))*(1+INDEX('R&amp;B Inputs'!$I$66:$V$66,MATCH($B119,'R&amp;B Inputs'!$I$4:$V$4,0)))^(BH$7-Year1))</f>
        <v>0.62029999999999996</v>
      </c>
      <c r="BI119" s="508">
        <f>IF(BI$8=0,0,INDEX('R&amp;B Inputs'!$I$86:$V$86,MATCH($B119,'R&amp;B Inputs'!$I$4:$V$4,0))*(1+INDEX('R&amp;B Inputs'!$I$66:$V$66,MATCH($B119,'R&amp;B Inputs'!$I$4:$V$4,0)))^(BI$7-Year1))</f>
        <v>0.62029999999999996</v>
      </c>
      <c r="BJ119" s="508">
        <f>IF(BJ$8=0,0,INDEX('R&amp;B Inputs'!$I$86:$V$86,MATCH($B119,'R&amp;B Inputs'!$I$4:$V$4,0))*(1+INDEX('R&amp;B Inputs'!$I$66:$V$66,MATCH($B119,'R&amp;B Inputs'!$I$4:$V$4,0)))^(BJ$7-Year1))</f>
        <v>0.62029999999999996</v>
      </c>
      <c r="BK119" s="508">
        <f>IF(BK$8=0,0,INDEX('R&amp;B Inputs'!$I$86:$V$86,MATCH($B119,'R&amp;B Inputs'!$I$4:$V$4,0))*(1+INDEX('R&amp;B Inputs'!$I$66:$V$66,MATCH($B119,'R&amp;B Inputs'!$I$4:$V$4,0)))^(BK$7-Year1))</f>
        <v>0.62029999999999996</v>
      </c>
      <c r="BL119" s="508">
        <f>IF(BL$8=0,0,INDEX('R&amp;B Inputs'!$I$86:$V$86,MATCH($B119,'R&amp;B Inputs'!$I$4:$V$4,0))*(1+INDEX('R&amp;B Inputs'!$I$66:$V$66,MATCH($B119,'R&amp;B Inputs'!$I$4:$V$4,0)))^(BL$7-Year1))</f>
        <v>0.62029999999999996</v>
      </c>
      <c r="BM119" s="508">
        <f>IF(BM$8=0,0,INDEX('R&amp;B Inputs'!$I$86:$V$86,MATCH($B119,'R&amp;B Inputs'!$I$4:$V$4,0))*(1+INDEX('R&amp;B Inputs'!$I$66:$V$66,MATCH($B119,'R&amp;B Inputs'!$I$4:$V$4,0)))^(BM$7-Year1))</f>
        <v>0.62029999999999996</v>
      </c>
      <c r="BN119" s="508"/>
      <c r="BO119" s="508"/>
      <c r="BP119" s="508">
        <f>IF($C$4=Year1,-PMT(Lookups!$E$17,25,NPV(Lookups!$E$17,AM119:BK119),0,1),IF($C$4=Year2,-PMT(Lookups!$F$17,25,NPV(Lookups!$F$17,AN119:BL119),0,1),IF($C$4=Year3,-PMT(Lookups!$G$17,25,NPV(Lookups!$G$17,AO119:BM119),0,1),-PMT(Lookups!$G$17,27,NPV(Lookups!$G$17,AM119:BM119),0,1))))</f>
        <v>0.61164884261501185</v>
      </c>
      <c r="BS119" s="76" t="str">
        <f t="shared" si="107"/>
        <v>Cost of Gas charge from the R&amp;B Inputs tab, escalated annually by the growth rate included on the R&amp;B Inputs tab.</v>
      </c>
      <c r="BT119" s="51" t="s">
        <v>17</v>
      </c>
    </row>
    <row r="120" spans="1:72" x14ac:dyDescent="0.25">
      <c r="B120" s="243" t="str">
        <f>B121</f>
        <v>Low-Income</v>
      </c>
      <c r="C120" s="243" t="str">
        <f>C121</f>
        <v>Rates</v>
      </c>
      <c r="D120" s="244" t="str">
        <f>D121</f>
        <v>Rates before DSM (No EE Scenario)</v>
      </c>
      <c r="E120" s="86" t="s">
        <v>75</v>
      </c>
      <c r="F120" s="84" t="s">
        <v>182</v>
      </c>
      <c r="G120" s="506">
        <f>IF(G$8=0,0,INDEX('R&amp;B Inputs'!$H$73:$U$73,MATCH($B119,'R&amp;B Inputs'!$H$4:$U$4,0))*(1+INDEX('R&amp;B Inputs'!$H$46:$U$46,MATCH($B119,'R&amp;B Inputs'!$H$4:$U$4,0)))^(G$7-Year1))</f>
        <v>0</v>
      </c>
      <c r="H120" s="506">
        <f>IF(H$8=0,0,INDEX('R&amp;B Inputs'!$H$73:$U$73,MATCH($B119,'R&amp;B Inputs'!$H$4:$U$4,0))*(1+INDEX('R&amp;B Inputs'!$H$46:$U$46,MATCH($B119,'R&amp;B Inputs'!$H$4:$U$4,0)))^(H$7-Year1))</f>
        <v>9.0952917202036049E-2</v>
      </c>
      <c r="I120" s="506">
        <f>IF(I$8=0,0,INDEX('R&amp;B Inputs'!$H$73:$U$73,MATCH($B119,'R&amp;B Inputs'!$H$4:$U$4,0))*(1+INDEX('R&amp;B Inputs'!$H$46:$U$46,MATCH($B119,'R&amp;B Inputs'!$H$4:$U$4,0)))^(I$7-Year1))</f>
        <v>9.0952917202036049E-2</v>
      </c>
      <c r="J120" s="506">
        <f>IF(J$8=0,0,INDEX('R&amp;B Inputs'!$H$73:$U$73,MATCH($B119,'R&amp;B Inputs'!$H$4:$U$4,0))*(1+INDEX('R&amp;B Inputs'!$H$46:$U$46,MATCH($B119,'R&amp;B Inputs'!$H$4:$U$4,0)))^(J$7-Year1))</f>
        <v>9.0952917202036049E-2</v>
      </c>
      <c r="K120" s="506">
        <f>IF(K$8=0,0,INDEX('R&amp;B Inputs'!$H$73:$U$73,MATCH($B119,'R&amp;B Inputs'!$H$4:$U$4,0))*(1+INDEX('R&amp;B Inputs'!$H$46:$U$46,MATCH($B119,'R&amp;B Inputs'!$H$4:$U$4,0)))^(K$7-Year1))</f>
        <v>9.0952917202036049E-2</v>
      </c>
      <c r="L120" s="506">
        <f>IF(L$8=0,0,INDEX('R&amp;B Inputs'!$H$73:$U$73,MATCH($B119,'R&amp;B Inputs'!$H$4:$U$4,0))*(1+INDEX('R&amp;B Inputs'!$H$46:$U$46,MATCH($B119,'R&amp;B Inputs'!$H$4:$U$4,0)))^(L$7-Year1))</f>
        <v>9.0952917202036049E-2</v>
      </c>
      <c r="M120" s="506">
        <f>IF(M$8=0,0,INDEX('R&amp;B Inputs'!$H$73:$U$73,MATCH($B119,'R&amp;B Inputs'!$H$4:$U$4,0))*(1+INDEX('R&amp;B Inputs'!$H$46:$U$46,MATCH($B119,'R&amp;B Inputs'!$H$4:$U$4,0)))^(M$7-Year1))</f>
        <v>9.0952917202036049E-2</v>
      </c>
      <c r="N120" s="506">
        <f>IF(N$8=0,0,INDEX('R&amp;B Inputs'!$H$73:$U$73,MATCH($B119,'R&amp;B Inputs'!$H$4:$U$4,0))*(1+INDEX('R&amp;B Inputs'!$H$46:$U$46,MATCH($B119,'R&amp;B Inputs'!$H$4:$U$4,0)))^(N$7-Year1))</f>
        <v>9.0952917202036049E-2</v>
      </c>
      <c r="O120" s="506">
        <f>IF(O$8=0,0,INDEX('R&amp;B Inputs'!$H$73:$U$73,MATCH($B119,'R&amp;B Inputs'!$H$4:$U$4,0))*(1+INDEX('R&amp;B Inputs'!$H$46:$U$46,MATCH($B119,'R&amp;B Inputs'!$H$4:$U$4,0)))^(O$7-Year1))</f>
        <v>9.0952917202036049E-2</v>
      </c>
      <c r="P120" s="506">
        <f>IF(P$8=0,0,INDEX('R&amp;B Inputs'!$H$73:$U$73,MATCH($B119,'R&amp;B Inputs'!$H$4:$U$4,0))*(1+INDEX('R&amp;B Inputs'!$H$46:$U$46,MATCH($B119,'R&amp;B Inputs'!$H$4:$U$4,0)))^(P$7-Year1))</f>
        <v>9.0952917202036049E-2</v>
      </c>
      <c r="Q120" s="506">
        <f>IF(Q$8=0,0,INDEX('R&amp;B Inputs'!$H$73:$U$73,MATCH($B119,'R&amp;B Inputs'!$H$4:$U$4,0))*(1+INDEX('R&amp;B Inputs'!$H$46:$U$46,MATCH($B119,'R&amp;B Inputs'!$H$4:$U$4,0)))^(Q$7-Year1))</f>
        <v>9.0952917202036049E-2</v>
      </c>
      <c r="R120" s="506">
        <f>IF(R$8=0,0,INDEX('R&amp;B Inputs'!$H$73:$U$73,MATCH($B119,'R&amp;B Inputs'!$H$4:$U$4,0))*(1+INDEX('R&amp;B Inputs'!$H$46:$U$46,MATCH($B119,'R&amp;B Inputs'!$H$4:$U$4,0)))^(R$7-Year1))</f>
        <v>9.0952917202036049E-2</v>
      </c>
      <c r="S120" s="506">
        <f>IF(S$8=0,0,INDEX('R&amp;B Inputs'!$H$73:$U$73,MATCH($B119,'R&amp;B Inputs'!$H$4:$U$4,0))*(1+INDEX('R&amp;B Inputs'!$H$46:$U$46,MATCH($B119,'R&amp;B Inputs'!$H$4:$U$4,0)))^(S$7-Year1))</f>
        <v>9.0952917202036049E-2</v>
      </c>
      <c r="T120" s="506">
        <f>IF(T$8=0,0,INDEX('R&amp;B Inputs'!$H$73:$U$73,MATCH($B119,'R&amp;B Inputs'!$H$4:$U$4,0))*(1+INDEX('R&amp;B Inputs'!$H$46:$U$46,MATCH($B119,'R&amp;B Inputs'!$H$4:$U$4,0)))^(T$7-Year1))</f>
        <v>9.0952917202036049E-2</v>
      </c>
      <c r="U120" s="506">
        <f>IF(U$8=0,0,INDEX('R&amp;B Inputs'!$H$73:$U$73,MATCH($B119,'R&amp;B Inputs'!$H$4:$U$4,0))*(1+INDEX('R&amp;B Inputs'!$H$46:$U$46,MATCH($B119,'R&amp;B Inputs'!$H$4:$U$4,0)))^(U$7-Year1))</f>
        <v>9.0952917202036049E-2</v>
      </c>
      <c r="V120" s="506">
        <f>IF(V$8=0,0,INDEX('R&amp;B Inputs'!$H$73:$U$73,MATCH($B119,'R&amp;B Inputs'!$H$4:$U$4,0))*(1+INDEX('R&amp;B Inputs'!$H$46:$U$46,MATCH($B119,'R&amp;B Inputs'!$H$4:$U$4,0)))^(V$7-Year1))</f>
        <v>9.0952917202036049E-2</v>
      </c>
      <c r="W120" s="506">
        <f>IF(W$8=0,0,INDEX('R&amp;B Inputs'!$H$73:$U$73,MATCH($B119,'R&amp;B Inputs'!$H$4:$U$4,0))*(1+INDEX('R&amp;B Inputs'!$H$46:$U$46,MATCH($B119,'R&amp;B Inputs'!$H$4:$U$4,0)))^(W$7-Year1))</f>
        <v>9.0952917202036049E-2</v>
      </c>
      <c r="X120" s="506">
        <f>IF(X$8=0,0,INDEX('R&amp;B Inputs'!$H$73:$U$73,MATCH($B119,'R&amp;B Inputs'!$H$4:$U$4,0))*(1+INDEX('R&amp;B Inputs'!$H$46:$U$46,MATCH($B119,'R&amp;B Inputs'!$H$4:$U$4,0)))^(X$7-Year1))</f>
        <v>9.0952917202036049E-2</v>
      </c>
      <c r="Y120" s="506">
        <f>IF(Y$8=0,0,INDEX('R&amp;B Inputs'!$H$73:$U$73,MATCH($B119,'R&amp;B Inputs'!$H$4:$U$4,0))*(1+INDEX('R&amp;B Inputs'!$H$46:$U$46,MATCH($B119,'R&amp;B Inputs'!$H$4:$U$4,0)))^(Y$7-Year1))</f>
        <v>9.0952917202036049E-2</v>
      </c>
      <c r="Z120" s="506">
        <f>IF(Z$8=0,0,INDEX('R&amp;B Inputs'!$H$73:$U$73,MATCH($B119,'R&amp;B Inputs'!$H$4:$U$4,0))*(1+INDEX('R&amp;B Inputs'!$H$46:$U$46,MATCH($B119,'R&amp;B Inputs'!$H$4:$U$4,0)))^(Z$7-Year1))</f>
        <v>9.0952917202036049E-2</v>
      </c>
      <c r="AA120" s="506">
        <f>IF(AA$8=0,0,INDEX('R&amp;B Inputs'!$H$73:$U$73,MATCH($B119,'R&amp;B Inputs'!$H$4:$U$4,0))*(1+INDEX('R&amp;B Inputs'!$H$46:$U$46,MATCH($B119,'R&amp;B Inputs'!$H$4:$U$4,0)))^(AA$7-Year1))</f>
        <v>9.0952917202036049E-2</v>
      </c>
      <c r="AB120" s="506">
        <f>IF(AB$8=0,0,INDEX('R&amp;B Inputs'!$H$73:$U$73,MATCH($B119,'R&amp;B Inputs'!$H$4:$U$4,0))*(1+INDEX('R&amp;B Inputs'!$H$46:$U$46,MATCH($B119,'R&amp;B Inputs'!$H$4:$U$4,0)))^(AB$7-Year1))</f>
        <v>9.0952917202036049E-2</v>
      </c>
      <c r="AC120" s="506">
        <f>IF(AC$8=0,0,INDEX('R&amp;B Inputs'!$H$73:$U$73,MATCH($B119,'R&amp;B Inputs'!$H$4:$U$4,0))*(1+INDEX('R&amp;B Inputs'!$H$46:$U$46,MATCH($B119,'R&amp;B Inputs'!$H$4:$U$4,0)))^(AC$7-Year1))</f>
        <v>9.0952917202036049E-2</v>
      </c>
      <c r="AD120" s="506">
        <f>IF(AD$8=0,0,INDEX('R&amp;B Inputs'!$H$73:$U$73,MATCH($B119,'R&amp;B Inputs'!$H$4:$U$4,0))*(1+INDEX('R&amp;B Inputs'!$H$46:$U$46,MATCH($B119,'R&amp;B Inputs'!$H$4:$U$4,0)))^(AD$7-Year1))</f>
        <v>9.0952917202036049E-2</v>
      </c>
      <c r="AE120" s="506">
        <f>IF(AE$8=0,0,INDEX('R&amp;B Inputs'!$H$73:$U$73,MATCH($B119,'R&amp;B Inputs'!$H$4:$U$4,0))*(1+INDEX('R&amp;B Inputs'!$H$46:$U$46,MATCH($B119,'R&amp;B Inputs'!$H$4:$U$4,0)))^(AE$7-Year1))</f>
        <v>9.0952917202036049E-2</v>
      </c>
      <c r="AF120" s="506">
        <f>IF(AF$8=0,0,INDEX('R&amp;B Inputs'!$H$73:$U$73,MATCH($B119,'R&amp;B Inputs'!$H$4:$U$4,0))*(1+INDEX('R&amp;B Inputs'!$H$46:$U$46,MATCH($B119,'R&amp;B Inputs'!$H$4:$U$4,0)))^(AF$7-Year1))</f>
        <v>9.0952917202036049E-2</v>
      </c>
      <c r="AG120" s="506">
        <f>IF(AG$8=0,0,INDEX('R&amp;B Inputs'!$H$73:$U$73,MATCH($B119,'R&amp;B Inputs'!$H$4:$U$4,0))*(1+INDEX('R&amp;B Inputs'!$H$46:$U$46,MATCH($B119,'R&amp;B Inputs'!$H$4:$U$4,0)))^(AG$7-Year1))</f>
        <v>9.0952917202036049E-2</v>
      </c>
      <c r="AH120" s="506"/>
      <c r="AI120" s="506"/>
      <c r="AJ120" s="506">
        <f>IF($C$4=Year1,-PMT(Lookups!$E$17,25,NPV(Lookups!$E$17,G120:AE120),0,1),IF($C$4=Year2,-PMT(Lookups!$F$17,25,NPV(Lookups!$F$17,H120:AF120),0,1),IF($C$4=Year3,-PMT(Lookups!$G$17,25,NPV(Lookups!$G$17,I120:AG120),0,1),-PMT(Lookups!$G$17,27,NPV(Lookups!$G$17,G120:AG120),0,1))))</f>
        <v>8.9684421310792128E-2</v>
      </c>
      <c r="AK120" s="507"/>
      <c r="AL120" s="507"/>
      <c r="AM120" s="508">
        <f>IF(AM$8=0,0,INDEX('R&amp;B Inputs'!$H$73:$U$73,MATCH($B119,'R&amp;B Inputs'!$H$4:$U$4,0))*(1+INDEX('R&amp;B Inputs'!$H$46:$U$46,MATCH($B119,'R&amp;B Inputs'!$H$4:$U$4,0)))^(AM$7-Year1))</f>
        <v>0</v>
      </c>
      <c r="AN120" s="508">
        <f>IF(AN$8=0,0,INDEX('R&amp;B Inputs'!$H$73:$U$73,MATCH($B119,'R&amp;B Inputs'!$H$4:$U$4,0))*(1+INDEX('R&amp;B Inputs'!$H$46:$U$46,MATCH($B119,'R&amp;B Inputs'!$H$4:$U$4,0)))^(AN$7-Year1))</f>
        <v>9.0952917202036049E-2</v>
      </c>
      <c r="AO120" s="508">
        <f>IF(AO$8=0,0,INDEX('R&amp;B Inputs'!$H$73:$U$73,MATCH($B119,'R&amp;B Inputs'!$H$4:$U$4,0))*(1+INDEX('R&amp;B Inputs'!$H$46:$U$46,MATCH($B119,'R&amp;B Inputs'!$H$4:$U$4,0)))^(AO$7-Year1))</f>
        <v>9.0952917202036049E-2</v>
      </c>
      <c r="AP120" s="508">
        <f>IF(AP$8=0,0,INDEX('R&amp;B Inputs'!$H$73:$U$73,MATCH($B119,'R&amp;B Inputs'!$H$4:$U$4,0))*(1+INDEX('R&amp;B Inputs'!$H$46:$U$46,MATCH($B119,'R&amp;B Inputs'!$H$4:$U$4,0)))^(AP$7-Year1))</f>
        <v>9.0952917202036049E-2</v>
      </c>
      <c r="AQ120" s="508">
        <f>IF(AQ$8=0,0,INDEX('R&amp;B Inputs'!$H$73:$U$73,MATCH($B119,'R&amp;B Inputs'!$H$4:$U$4,0))*(1+INDEX('R&amp;B Inputs'!$H$46:$U$46,MATCH($B119,'R&amp;B Inputs'!$H$4:$U$4,0)))^(AQ$7-Year1))</f>
        <v>9.0952917202036049E-2</v>
      </c>
      <c r="AR120" s="508">
        <f>IF(AR$8=0,0,INDEX('R&amp;B Inputs'!$H$73:$U$73,MATCH($B119,'R&amp;B Inputs'!$H$4:$U$4,0))*(1+INDEX('R&amp;B Inputs'!$H$46:$U$46,MATCH($B119,'R&amp;B Inputs'!$H$4:$U$4,0)))^(AR$7-Year1))</f>
        <v>9.0952917202036049E-2</v>
      </c>
      <c r="AS120" s="508">
        <f>IF(AS$8=0,0,INDEX('R&amp;B Inputs'!$H$73:$U$73,MATCH($B119,'R&amp;B Inputs'!$H$4:$U$4,0))*(1+INDEX('R&amp;B Inputs'!$H$46:$U$46,MATCH($B119,'R&amp;B Inputs'!$H$4:$U$4,0)))^(AS$7-Year1))</f>
        <v>9.0952917202036049E-2</v>
      </c>
      <c r="AT120" s="508">
        <f>IF(AT$8=0,0,INDEX('R&amp;B Inputs'!$H$73:$U$73,MATCH($B119,'R&amp;B Inputs'!$H$4:$U$4,0))*(1+INDEX('R&amp;B Inputs'!$H$46:$U$46,MATCH($B119,'R&amp;B Inputs'!$H$4:$U$4,0)))^(AT$7-Year1))</f>
        <v>9.0952917202036049E-2</v>
      </c>
      <c r="AU120" s="508">
        <f>IF(AU$8=0,0,INDEX('R&amp;B Inputs'!$H$73:$U$73,MATCH($B119,'R&amp;B Inputs'!$H$4:$U$4,0))*(1+INDEX('R&amp;B Inputs'!$H$46:$U$46,MATCH($B119,'R&amp;B Inputs'!$H$4:$U$4,0)))^(AU$7-Year1))</f>
        <v>9.0952917202036049E-2</v>
      </c>
      <c r="AV120" s="508">
        <f>IF(AV$8=0,0,INDEX('R&amp;B Inputs'!$H$73:$U$73,MATCH($B119,'R&amp;B Inputs'!$H$4:$U$4,0))*(1+INDEX('R&amp;B Inputs'!$H$46:$U$46,MATCH($B119,'R&amp;B Inputs'!$H$4:$U$4,0)))^(AV$7-Year1))</f>
        <v>9.0952917202036049E-2</v>
      </c>
      <c r="AW120" s="508">
        <f>IF(AW$8=0,0,INDEX('R&amp;B Inputs'!$H$73:$U$73,MATCH($B119,'R&amp;B Inputs'!$H$4:$U$4,0))*(1+INDEX('R&amp;B Inputs'!$H$46:$U$46,MATCH($B119,'R&amp;B Inputs'!$H$4:$U$4,0)))^(AW$7-Year1))</f>
        <v>9.0952917202036049E-2</v>
      </c>
      <c r="AX120" s="508">
        <f>IF(AX$8=0,0,INDEX('R&amp;B Inputs'!$H$73:$U$73,MATCH($B119,'R&amp;B Inputs'!$H$4:$U$4,0))*(1+INDEX('R&amp;B Inputs'!$H$46:$U$46,MATCH($B119,'R&amp;B Inputs'!$H$4:$U$4,0)))^(AX$7-Year1))</f>
        <v>9.0952917202036049E-2</v>
      </c>
      <c r="AY120" s="508">
        <f>IF(AY$8=0,0,INDEX('R&amp;B Inputs'!$H$73:$U$73,MATCH($B119,'R&amp;B Inputs'!$H$4:$U$4,0))*(1+INDEX('R&amp;B Inputs'!$H$46:$U$46,MATCH($B119,'R&amp;B Inputs'!$H$4:$U$4,0)))^(AY$7-Year1))</f>
        <v>9.0952917202036049E-2</v>
      </c>
      <c r="AZ120" s="508">
        <f>IF(AZ$8=0,0,INDEX('R&amp;B Inputs'!$H$73:$U$73,MATCH($B119,'R&amp;B Inputs'!$H$4:$U$4,0))*(1+INDEX('R&amp;B Inputs'!$H$46:$U$46,MATCH($B119,'R&amp;B Inputs'!$H$4:$U$4,0)))^(AZ$7-Year1))</f>
        <v>9.0952917202036049E-2</v>
      </c>
      <c r="BA120" s="508">
        <f>IF(BA$8=0,0,INDEX('R&amp;B Inputs'!$H$73:$U$73,MATCH($B119,'R&amp;B Inputs'!$H$4:$U$4,0))*(1+INDEX('R&amp;B Inputs'!$H$46:$U$46,MATCH($B119,'R&amp;B Inputs'!$H$4:$U$4,0)))^(BA$7-Year1))</f>
        <v>9.0952917202036049E-2</v>
      </c>
      <c r="BB120" s="508">
        <f>IF(BB$8=0,0,INDEX('R&amp;B Inputs'!$H$73:$U$73,MATCH($B119,'R&amp;B Inputs'!$H$4:$U$4,0))*(1+INDEX('R&amp;B Inputs'!$H$46:$U$46,MATCH($B119,'R&amp;B Inputs'!$H$4:$U$4,0)))^(BB$7-Year1))</f>
        <v>9.0952917202036049E-2</v>
      </c>
      <c r="BC120" s="508">
        <f>IF(BC$8=0,0,INDEX('R&amp;B Inputs'!$H$73:$U$73,MATCH($B119,'R&amp;B Inputs'!$H$4:$U$4,0))*(1+INDEX('R&amp;B Inputs'!$H$46:$U$46,MATCH($B119,'R&amp;B Inputs'!$H$4:$U$4,0)))^(BC$7-Year1))</f>
        <v>9.0952917202036049E-2</v>
      </c>
      <c r="BD120" s="508">
        <f>IF(BD$8=0,0,INDEX('R&amp;B Inputs'!$H$73:$U$73,MATCH($B119,'R&amp;B Inputs'!$H$4:$U$4,0))*(1+INDEX('R&amp;B Inputs'!$H$46:$U$46,MATCH($B119,'R&amp;B Inputs'!$H$4:$U$4,0)))^(BD$7-Year1))</f>
        <v>9.0952917202036049E-2</v>
      </c>
      <c r="BE120" s="508">
        <f>IF(BE$8=0,0,INDEX('R&amp;B Inputs'!$H$73:$U$73,MATCH($B119,'R&amp;B Inputs'!$H$4:$U$4,0))*(1+INDEX('R&amp;B Inputs'!$H$46:$U$46,MATCH($B119,'R&amp;B Inputs'!$H$4:$U$4,0)))^(BE$7-Year1))</f>
        <v>9.0952917202036049E-2</v>
      </c>
      <c r="BF120" s="508">
        <f>IF(BF$8=0,0,INDEX('R&amp;B Inputs'!$H$73:$U$73,MATCH($B119,'R&amp;B Inputs'!$H$4:$U$4,0))*(1+INDEX('R&amp;B Inputs'!$H$46:$U$46,MATCH($B119,'R&amp;B Inputs'!$H$4:$U$4,0)))^(BF$7-Year1))</f>
        <v>9.0952917202036049E-2</v>
      </c>
      <c r="BG120" s="508">
        <f>IF(BG$8=0,0,INDEX('R&amp;B Inputs'!$H$73:$U$73,MATCH($B119,'R&amp;B Inputs'!$H$4:$U$4,0))*(1+INDEX('R&amp;B Inputs'!$H$46:$U$46,MATCH($B119,'R&amp;B Inputs'!$H$4:$U$4,0)))^(BG$7-Year1))</f>
        <v>9.0952917202036049E-2</v>
      </c>
      <c r="BH120" s="508">
        <f>IF(BH$8=0,0,INDEX('R&amp;B Inputs'!$H$73:$U$73,MATCH($B119,'R&amp;B Inputs'!$H$4:$U$4,0))*(1+INDEX('R&amp;B Inputs'!$H$46:$U$46,MATCH($B119,'R&amp;B Inputs'!$H$4:$U$4,0)))^(BH$7-Year1))</f>
        <v>9.0952917202036049E-2</v>
      </c>
      <c r="BI120" s="508">
        <f>IF(BI$8=0,0,INDEX('R&amp;B Inputs'!$H$73:$U$73,MATCH($B119,'R&amp;B Inputs'!$H$4:$U$4,0))*(1+INDEX('R&amp;B Inputs'!$H$46:$U$46,MATCH($B119,'R&amp;B Inputs'!$H$4:$U$4,0)))^(BI$7-Year1))</f>
        <v>9.0952917202036049E-2</v>
      </c>
      <c r="BJ120" s="508">
        <f>IF(BJ$8=0,0,INDEX('R&amp;B Inputs'!$H$73:$U$73,MATCH($B119,'R&amp;B Inputs'!$H$4:$U$4,0))*(1+INDEX('R&amp;B Inputs'!$H$46:$U$46,MATCH($B119,'R&amp;B Inputs'!$H$4:$U$4,0)))^(BJ$7-Year1))</f>
        <v>9.0952917202036049E-2</v>
      </c>
      <c r="BK120" s="508">
        <f>IF(BK$8=0,0,INDEX('R&amp;B Inputs'!$H$73:$U$73,MATCH($B119,'R&amp;B Inputs'!$H$4:$U$4,0))*(1+INDEX('R&amp;B Inputs'!$H$46:$U$46,MATCH($B119,'R&amp;B Inputs'!$H$4:$U$4,0)))^(BK$7-Year1))</f>
        <v>9.0952917202036049E-2</v>
      </c>
      <c r="BL120" s="508">
        <f>IF(BL$8=0,0,INDEX('R&amp;B Inputs'!$H$73:$U$73,MATCH($B119,'R&amp;B Inputs'!$H$4:$U$4,0))*(1+INDEX('R&amp;B Inputs'!$H$46:$U$46,MATCH($B119,'R&amp;B Inputs'!$H$4:$U$4,0)))^(BL$7-Year1))</f>
        <v>9.0952917202036049E-2</v>
      </c>
      <c r="BM120" s="508">
        <f>IF(BM$8=0,0,INDEX('R&amp;B Inputs'!$H$73:$U$73,MATCH($B119,'R&amp;B Inputs'!$H$4:$U$4,0))*(1+INDEX('R&amp;B Inputs'!$H$46:$U$46,MATCH($B119,'R&amp;B Inputs'!$H$4:$U$4,0)))^(BM$7-Year1))</f>
        <v>9.0952917202036049E-2</v>
      </c>
      <c r="BN120" s="508"/>
      <c r="BO120" s="508"/>
      <c r="BP120" s="508">
        <f>IF($C$4=Year1,-PMT(Lookups!$E$17,25,NPV(Lookups!$E$17,AM120:BK120),0,1),IF($C$4=Year2,-PMT(Lookups!$F$17,25,NPV(Lookups!$F$17,AN120:BL120),0,1),IF($C$4=Year3,-PMT(Lookups!$G$17,25,NPV(Lookups!$G$17,AO120:BM120),0,1),-PMT(Lookups!$G$17,27,NPV(Lookups!$G$17,AM120:BM120),0,1))))</f>
        <v>8.9684421310792128E-2</v>
      </c>
      <c r="BS120" s="84" t="str">
        <f>E120&amp;" charge from the R&amp;B Inputs tab, escalated annually by the growth rate included on the R&amp;B Inputs tab."</f>
        <v>Customer Charge charge from the R&amp;B Inputs tab, escalated annually by the growth rate included on the R&amp;B Inputs tab.</v>
      </c>
      <c r="BT120" s="51" t="s">
        <v>17</v>
      </c>
    </row>
    <row r="121" spans="1:72" x14ac:dyDescent="0.25">
      <c r="B121" s="243" t="str">
        <f>B119</f>
        <v>Low-Income</v>
      </c>
      <c r="C121" s="243" t="str">
        <f>C119</f>
        <v>Rates</v>
      </c>
      <c r="D121" s="244" t="str">
        <f>D119</f>
        <v>Rates before DSM (No EE Scenario)</v>
      </c>
      <c r="E121" s="84" t="s">
        <v>76</v>
      </c>
      <c r="F121" s="84" t="s">
        <v>182</v>
      </c>
      <c r="G121" s="506">
        <f>SUM(G117:G120)</f>
        <v>0</v>
      </c>
      <c r="H121" s="506">
        <f>SUM(H117:H120)</f>
        <v>0.90105291720203595</v>
      </c>
      <c r="I121" s="506">
        <f t="shared" ref="I121:AG121" si="108">SUM(I117:I120)</f>
        <v>0.90105291720203595</v>
      </c>
      <c r="J121" s="506">
        <f t="shared" si="108"/>
        <v>0.90105291720203595</v>
      </c>
      <c r="K121" s="506">
        <f t="shared" si="108"/>
        <v>0.90105291720203595</v>
      </c>
      <c r="L121" s="506">
        <f t="shared" si="108"/>
        <v>0.90105291720203595</v>
      </c>
      <c r="M121" s="506">
        <f t="shared" si="108"/>
        <v>0.90105291720203595</v>
      </c>
      <c r="N121" s="506">
        <f t="shared" si="108"/>
        <v>0.90105291720203595</v>
      </c>
      <c r="O121" s="506">
        <f t="shared" si="108"/>
        <v>0.90105291720203595</v>
      </c>
      <c r="P121" s="506">
        <f t="shared" si="108"/>
        <v>0.90105291720203595</v>
      </c>
      <c r="Q121" s="506">
        <f t="shared" si="108"/>
        <v>0.90105291720203595</v>
      </c>
      <c r="R121" s="506">
        <f t="shared" si="108"/>
        <v>0.90105291720203595</v>
      </c>
      <c r="S121" s="506">
        <f t="shared" si="108"/>
        <v>0.90105291720203595</v>
      </c>
      <c r="T121" s="506">
        <f t="shared" si="108"/>
        <v>0.90105291720203595</v>
      </c>
      <c r="U121" s="506">
        <f t="shared" si="108"/>
        <v>0.90105291720203595</v>
      </c>
      <c r="V121" s="506">
        <f t="shared" si="108"/>
        <v>0.90105291720203595</v>
      </c>
      <c r="W121" s="506">
        <f t="shared" si="108"/>
        <v>0.90105291720203595</v>
      </c>
      <c r="X121" s="506">
        <f t="shared" si="108"/>
        <v>0.90105291720203595</v>
      </c>
      <c r="Y121" s="506">
        <f t="shared" si="108"/>
        <v>0.90105291720203595</v>
      </c>
      <c r="Z121" s="506">
        <f t="shared" si="108"/>
        <v>0.90105291720203595</v>
      </c>
      <c r="AA121" s="506">
        <f t="shared" si="108"/>
        <v>0.90105291720203595</v>
      </c>
      <c r="AB121" s="506">
        <f t="shared" si="108"/>
        <v>0.90105291720203595</v>
      </c>
      <c r="AC121" s="506">
        <f t="shared" si="108"/>
        <v>0.90105291720203595</v>
      </c>
      <c r="AD121" s="506">
        <f t="shared" si="108"/>
        <v>0.90105291720203595</v>
      </c>
      <c r="AE121" s="506">
        <f t="shared" si="108"/>
        <v>0.90105291720203595</v>
      </c>
      <c r="AF121" s="506">
        <f t="shared" si="108"/>
        <v>0.90105291720203595</v>
      </c>
      <c r="AG121" s="506">
        <f t="shared" si="108"/>
        <v>0.90105291720203595</v>
      </c>
      <c r="AH121" s="506"/>
      <c r="AI121" s="506"/>
      <c r="AJ121" s="506">
        <f>IF($C$4=Year1,-PMT(Lookups!$E$17,25,NPV(Lookups!$E$17,G121:AE121),0,1),IF($C$4=Year2,-PMT(Lookups!$F$17,25,NPV(Lookups!$F$17,H121:AF121),0,1),IF($C$4=Year3,-PMT(Lookups!$G$17,25,NPV(Lookups!$G$17,I121:AG121),0,1),-PMT(Lookups!$G$17,27,NPV(Lookups!$G$17,G121:AG121),0,1))))</f>
        <v>0.88848617433742627</v>
      </c>
      <c r="AK121" s="507"/>
      <c r="AL121" s="507"/>
      <c r="AM121" s="508">
        <f>SUM(AM117:AM120)</f>
        <v>0</v>
      </c>
      <c r="AN121" s="508">
        <f t="shared" ref="AN121:BM121" si="109">SUM(AN117:AN120)</f>
        <v>0.90105291720203595</v>
      </c>
      <c r="AO121" s="508">
        <f t="shared" si="109"/>
        <v>0.90105291720203595</v>
      </c>
      <c r="AP121" s="508">
        <f t="shared" si="109"/>
        <v>0.90105291720203595</v>
      </c>
      <c r="AQ121" s="508">
        <f t="shared" si="109"/>
        <v>0.90105291720203595</v>
      </c>
      <c r="AR121" s="508">
        <f t="shared" si="109"/>
        <v>0.90105291720203595</v>
      </c>
      <c r="AS121" s="508">
        <f t="shared" si="109"/>
        <v>0.90105291720203595</v>
      </c>
      <c r="AT121" s="508">
        <f t="shared" si="109"/>
        <v>0.90105291720203595</v>
      </c>
      <c r="AU121" s="508">
        <f t="shared" si="109"/>
        <v>0.90105291720203595</v>
      </c>
      <c r="AV121" s="508">
        <f t="shared" si="109"/>
        <v>0.90105291720203595</v>
      </c>
      <c r="AW121" s="508">
        <f t="shared" si="109"/>
        <v>0.90105291720203595</v>
      </c>
      <c r="AX121" s="508">
        <f t="shared" si="109"/>
        <v>0.90105291720203595</v>
      </c>
      <c r="AY121" s="508">
        <f t="shared" si="109"/>
        <v>0.90105291720203595</v>
      </c>
      <c r="AZ121" s="508">
        <f t="shared" si="109"/>
        <v>0.90105291720203595</v>
      </c>
      <c r="BA121" s="508">
        <f t="shared" si="109"/>
        <v>0.90105291720203595</v>
      </c>
      <c r="BB121" s="508">
        <f t="shared" si="109"/>
        <v>0.90105291720203595</v>
      </c>
      <c r="BC121" s="508">
        <f t="shared" si="109"/>
        <v>0.90105291720203595</v>
      </c>
      <c r="BD121" s="508">
        <f t="shared" si="109"/>
        <v>0.90105291720203595</v>
      </c>
      <c r="BE121" s="508">
        <f t="shared" si="109"/>
        <v>0.90105291720203595</v>
      </c>
      <c r="BF121" s="508">
        <f t="shared" si="109"/>
        <v>0.90105291720203595</v>
      </c>
      <c r="BG121" s="508">
        <f t="shared" si="109"/>
        <v>0.90105291720203595</v>
      </c>
      <c r="BH121" s="508">
        <f t="shared" si="109"/>
        <v>0.90105291720203595</v>
      </c>
      <c r="BI121" s="508">
        <f t="shared" si="109"/>
        <v>0.90105291720203595</v>
      </c>
      <c r="BJ121" s="508">
        <f t="shared" si="109"/>
        <v>0.90105291720203595</v>
      </c>
      <c r="BK121" s="508">
        <f t="shared" si="109"/>
        <v>0.90105291720203595</v>
      </c>
      <c r="BL121" s="508">
        <f t="shared" si="109"/>
        <v>0.90105291720203595</v>
      </c>
      <c r="BM121" s="508">
        <f t="shared" si="109"/>
        <v>0.90105291720203595</v>
      </c>
      <c r="BN121" s="508"/>
      <c r="BO121" s="508"/>
      <c r="BP121" s="508">
        <f>IF($C$4=Year1,-PMT(Lookups!$E$17,25,NPV(Lookups!$E$17,AM121:BK121),0,1),IF($C$4=Year2,-PMT(Lookups!$F$17,25,NPV(Lookups!$F$17,AN121:BL121),0,1),IF($C$4=Year3,-PMT(Lookups!$G$17,25,NPV(Lookups!$G$17,AO121:BM121),0,1),-PMT(Lookups!$G$17,27,NPV(Lookups!$G$17,AM121:BM121),0,1))))</f>
        <v>0.88848617433742627</v>
      </c>
      <c r="BS121" s="84" t="s">
        <v>94</v>
      </c>
      <c r="BT121" s="51" t="s">
        <v>17</v>
      </c>
    </row>
    <row r="122" spans="1:72" x14ac:dyDescent="0.25">
      <c r="B122" s="243" t="str">
        <f>B120</f>
        <v>Low-Income</v>
      </c>
      <c r="C122" s="243" t="str">
        <f>C120</f>
        <v>Rates</v>
      </c>
      <c r="D122" s="114" t="s">
        <v>24</v>
      </c>
      <c r="E122" s="86"/>
      <c r="F122" s="8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89"/>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S122" s="84"/>
      <c r="BT122" s="51" t="s">
        <v>17</v>
      </c>
    </row>
    <row r="123" spans="1:72" x14ac:dyDescent="0.25">
      <c r="B123" s="243" t="str">
        <f t="shared" ref="B123:D124" si="110">B122</f>
        <v>Low-Income</v>
      </c>
      <c r="C123" s="243" t="str">
        <f t="shared" si="110"/>
        <v>Rates</v>
      </c>
      <c r="D123" s="244" t="str">
        <f t="shared" si="110"/>
        <v>Avoided Costs</v>
      </c>
      <c r="E123" s="84" t="s">
        <v>45</v>
      </c>
      <c r="F123" s="84" t="s">
        <v>182</v>
      </c>
      <c r="G123" s="506">
        <f ca="1">IFERROR(-G104/G96,0)</f>
        <v>0</v>
      </c>
      <c r="H123" s="506">
        <f t="shared" ref="H123:AG123" ca="1" si="111">IFERROR(-H104/H96,0)</f>
        <v>-1.4591942391163718E-2</v>
      </c>
      <c r="I123" s="506">
        <f t="shared" ca="1" si="111"/>
        <v>-1.4591942391163718E-2</v>
      </c>
      <c r="J123" s="506">
        <f t="shared" ca="1" si="111"/>
        <v>-1.4591942391163718E-2</v>
      </c>
      <c r="K123" s="506">
        <f t="shared" ca="1" si="111"/>
        <v>-1.4591942391163718E-2</v>
      </c>
      <c r="L123" s="506">
        <f t="shared" ca="1" si="111"/>
        <v>-1.4591942391163718E-2</v>
      </c>
      <c r="M123" s="506">
        <f t="shared" ca="1" si="111"/>
        <v>-1.4591942391163718E-2</v>
      </c>
      <c r="N123" s="506">
        <f t="shared" ca="1" si="111"/>
        <v>-1.4591942391163718E-2</v>
      </c>
      <c r="O123" s="506">
        <f t="shared" ca="1" si="111"/>
        <v>-1.4591942391163718E-2</v>
      </c>
      <c r="P123" s="506">
        <f t="shared" ca="1" si="111"/>
        <v>-1.4591942391163718E-2</v>
      </c>
      <c r="Q123" s="506">
        <f t="shared" ca="1" si="111"/>
        <v>-1.4591942391163718E-2</v>
      </c>
      <c r="R123" s="506">
        <f t="shared" ca="1" si="111"/>
        <v>-1.4591942391163718E-2</v>
      </c>
      <c r="S123" s="506">
        <f t="shared" ca="1" si="111"/>
        <v>-1.4591942391163718E-2</v>
      </c>
      <c r="T123" s="506">
        <f t="shared" ca="1" si="111"/>
        <v>-1.4591942391163718E-2</v>
      </c>
      <c r="U123" s="506">
        <f t="shared" ca="1" si="111"/>
        <v>-1.4591942391163718E-2</v>
      </c>
      <c r="V123" s="506">
        <f t="shared" ca="1" si="111"/>
        <v>-1.4591942391163718E-2</v>
      </c>
      <c r="W123" s="506">
        <f t="shared" ca="1" si="111"/>
        <v>-1.4591942391163718E-2</v>
      </c>
      <c r="X123" s="506">
        <f t="shared" ca="1" si="111"/>
        <v>-1.4591942391163718E-2</v>
      </c>
      <c r="Y123" s="506">
        <f t="shared" ca="1" si="111"/>
        <v>-1.4591942391163718E-2</v>
      </c>
      <c r="Z123" s="506">
        <f t="shared" ca="1" si="111"/>
        <v>-1.4591942391163718E-2</v>
      </c>
      <c r="AA123" s="506">
        <f t="shared" ca="1" si="111"/>
        <v>-1.4591942391163718E-2</v>
      </c>
      <c r="AB123" s="506">
        <f t="shared" ca="1" si="111"/>
        <v>0</v>
      </c>
      <c r="AC123" s="506">
        <f t="shared" ca="1" si="111"/>
        <v>0</v>
      </c>
      <c r="AD123" s="506">
        <f t="shared" ca="1" si="111"/>
        <v>0</v>
      </c>
      <c r="AE123" s="506">
        <f t="shared" ca="1" si="111"/>
        <v>0</v>
      </c>
      <c r="AF123" s="506">
        <f t="shared" ca="1" si="111"/>
        <v>0</v>
      </c>
      <c r="AG123" s="506">
        <f t="shared" ca="1" si="111"/>
        <v>0</v>
      </c>
      <c r="AH123" s="506"/>
      <c r="AI123" s="506"/>
      <c r="AJ123" s="506">
        <f ca="1">IF($C$4=Year1,-PMT(Lookups!$E$17,25,NPV(Lookups!$E$17,G123:AE123),0,1),IF($C$4=Year2,-PMT(Lookups!$F$17,25,NPV(Lookups!$F$17,H123:AF123),0,1),IF($C$4=Year3,-PMT(Lookups!$G$17,25,NPV(Lookups!$G$17,I123:AG123),0,1),-PMT(Lookups!$G$17,27,NPV(Lookups!$G$17,G123:AG123),0,1))))</f>
        <v>-1.190010338761298E-2</v>
      </c>
      <c r="AK123" s="507"/>
      <c r="AL123" s="507"/>
      <c r="AM123" s="508">
        <f ca="1">IFERROR(-AM104/AM96,0)</f>
        <v>0</v>
      </c>
      <c r="AN123" s="508">
        <f t="shared" ref="AN123:BM123" ca="1" si="112">IFERROR(-AN104/AN96,0)</f>
        <v>-1.6723446635284932E-2</v>
      </c>
      <c r="AO123" s="508">
        <f t="shared" ca="1" si="112"/>
        <v>-1.6723446635284932E-2</v>
      </c>
      <c r="AP123" s="508">
        <f t="shared" ca="1" si="112"/>
        <v>-1.6723446635284932E-2</v>
      </c>
      <c r="AQ123" s="508">
        <f t="shared" ca="1" si="112"/>
        <v>-1.6723446635284932E-2</v>
      </c>
      <c r="AR123" s="508">
        <f t="shared" ca="1" si="112"/>
        <v>-1.6723446635284932E-2</v>
      </c>
      <c r="AS123" s="508">
        <f t="shared" ca="1" si="112"/>
        <v>-1.6723446635284932E-2</v>
      </c>
      <c r="AT123" s="508">
        <f t="shared" ca="1" si="112"/>
        <v>-1.6723446635284932E-2</v>
      </c>
      <c r="AU123" s="508">
        <f t="shared" ca="1" si="112"/>
        <v>-1.6723446635284932E-2</v>
      </c>
      <c r="AV123" s="508">
        <f t="shared" ca="1" si="112"/>
        <v>-1.6723446635284932E-2</v>
      </c>
      <c r="AW123" s="508">
        <f t="shared" ca="1" si="112"/>
        <v>-1.6723446635284932E-2</v>
      </c>
      <c r="AX123" s="508">
        <f t="shared" ca="1" si="112"/>
        <v>-1.6723446635284932E-2</v>
      </c>
      <c r="AY123" s="508">
        <f t="shared" ca="1" si="112"/>
        <v>-1.6723446635284932E-2</v>
      </c>
      <c r="AZ123" s="508">
        <f t="shared" ca="1" si="112"/>
        <v>-1.6723446635284932E-2</v>
      </c>
      <c r="BA123" s="508">
        <f t="shared" ca="1" si="112"/>
        <v>-1.6723446635284932E-2</v>
      </c>
      <c r="BB123" s="508">
        <f t="shared" ca="1" si="112"/>
        <v>-1.6723446635284932E-2</v>
      </c>
      <c r="BC123" s="508">
        <f t="shared" ca="1" si="112"/>
        <v>-1.6723446635284932E-2</v>
      </c>
      <c r="BD123" s="508">
        <f t="shared" ca="1" si="112"/>
        <v>-1.6723446635284932E-2</v>
      </c>
      <c r="BE123" s="508">
        <f t="shared" ca="1" si="112"/>
        <v>-1.6723446635284932E-2</v>
      </c>
      <c r="BF123" s="508">
        <f t="shared" ca="1" si="112"/>
        <v>-1.6723446635284932E-2</v>
      </c>
      <c r="BG123" s="508">
        <f t="shared" ca="1" si="112"/>
        <v>-1.6723446635284932E-2</v>
      </c>
      <c r="BH123" s="508">
        <f t="shared" ca="1" si="112"/>
        <v>0</v>
      </c>
      <c r="BI123" s="508">
        <f t="shared" ca="1" si="112"/>
        <v>0</v>
      </c>
      <c r="BJ123" s="508">
        <f t="shared" ca="1" si="112"/>
        <v>0</v>
      </c>
      <c r="BK123" s="508">
        <f t="shared" ca="1" si="112"/>
        <v>0</v>
      </c>
      <c r="BL123" s="508">
        <f t="shared" ca="1" si="112"/>
        <v>0</v>
      </c>
      <c r="BM123" s="508">
        <f t="shared" ca="1" si="112"/>
        <v>0</v>
      </c>
      <c r="BN123" s="508"/>
      <c r="BO123" s="508"/>
      <c r="BP123" s="508">
        <f ca="1">IF($C$4=Year1,-PMT(Lookups!$E$17,25,NPV(Lookups!$E$17,AM123:BK123),0,1),IF($C$4=Year2,-PMT(Lookups!$F$17,25,NPV(Lookups!$F$17,AN123:BL123),0,1),IF($C$4=Year3,-PMT(Lookups!$G$17,25,NPV(Lookups!$G$17,AO123:BM123),0,1),-PMT(Lookups!$G$17,27,NPV(Lookups!$G$17,AM123:BM123),0,1))))</f>
        <v>-1.3638399784091239E-2</v>
      </c>
      <c r="BS123" s="84" t="str">
        <f t="shared" ref="BS123:BS125" si="113">"Avoided "&amp;E123&amp;" avoided costs divided by After Scenario sales."</f>
        <v>Avoided Gas avoided costs divided by After Scenario sales.</v>
      </c>
      <c r="BT123" s="51" t="s">
        <v>17</v>
      </c>
    </row>
    <row r="124" spans="1:72" x14ac:dyDescent="0.25">
      <c r="B124" s="243" t="str">
        <f t="shared" si="110"/>
        <v>Low-Income</v>
      </c>
      <c r="C124" s="243" t="str">
        <f t="shared" si="110"/>
        <v>Rates</v>
      </c>
      <c r="D124" s="244" t="str">
        <f t="shared" si="110"/>
        <v>Avoided Costs</v>
      </c>
      <c r="E124" s="86" t="s">
        <v>412</v>
      </c>
      <c r="F124" s="84" t="s">
        <v>182</v>
      </c>
      <c r="G124" s="506">
        <f ca="1">IFERROR(-G105/G96,0)</f>
        <v>0</v>
      </c>
      <c r="H124" s="506">
        <f t="shared" ref="H124:AG124" ca="1" si="114">IFERROR(-H105/H96,0)</f>
        <v>-9.3140057815938612E-4</v>
      </c>
      <c r="I124" s="506">
        <f t="shared" ca="1" si="114"/>
        <v>-9.3140057815938612E-4</v>
      </c>
      <c r="J124" s="506">
        <f t="shared" ca="1" si="114"/>
        <v>-9.3140057815938612E-4</v>
      </c>
      <c r="K124" s="506">
        <f t="shared" ca="1" si="114"/>
        <v>-9.3140057815938612E-4</v>
      </c>
      <c r="L124" s="506">
        <f t="shared" ca="1" si="114"/>
        <v>-9.3140057815938612E-4</v>
      </c>
      <c r="M124" s="506">
        <f t="shared" ca="1" si="114"/>
        <v>-9.3140057815938612E-4</v>
      </c>
      <c r="N124" s="506">
        <f t="shared" ca="1" si="114"/>
        <v>-9.3140057815938612E-4</v>
      </c>
      <c r="O124" s="506">
        <f t="shared" ca="1" si="114"/>
        <v>-9.3140057815938612E-4</v>
      </c>
      <c r="P124" s="506">
        <f t="shared" ca="1" si="114"/>
        <v>-9.3140057815938612E-4</v>
      </c>
      <c r="Q124" s="506">
        <f t="shared" ca="1" si="114"/>
        <v>-9.3140057815938612E-4</v>
      </c>
      <c r="R124" s="506">
        <f t="shared" ca="1" si="114"/>
        <v>-9.3140057815938612E-4</v>
      </c>
      <c r="S124" s="506">
        <f t="shared" ca="1" si="114"/>
        <v>-9.3140057815938612E-4</v>
      </c>
      <c r="T124" s="506">
        <f t="shared" ca="1" si="114"/>
        <v>-9.3140057815938612E-4</v>
      </c>
      <c r="U124" s="506">
        <f t="shared" ca="1" si="114"/>
        <v>-9.3140057815938612E-4</v>
      </c>
      <c r="V124" s="506">
        <f t="shared" ca="1" si="114"/>
        <v>-9.3140057815938612E-4</v>
      </c>
      <c r="W124" s="506">
        <f t="shared" ca="1" si="114"/>
        <v>-9.3140057815938612E-4</v>
      </c>
      <c r="X124" s="506">
        <f t="shared" ca="1" si="114"/>
        <v>-9.3140057815938612E-4</v>
      </c>
      <c r="Y124" s="506">
        <f t="shared" ca="1" si="114"/>
        <v>-9.3140057815938612E-4</v>
      </c>
      <c r="Z124" s="506">
        <f t="shared" ca="1" si="114"/>
        <v>-9.3140057815938612E-4</v>
      </c>
      <c r="AA124" s="506">
        <f t="shared" ca="1" si="114"/>
        <v>-9.3140057815938612E-4</v>
      </c>
      <c r="AB124" s="506">
        <f t="shared" ca="1" si="114"/>
        <v>0</v>
      </c>
      <c r="AC124" s="506">
        <f t="shared" ca="1" si="114"/>
        <v>0</v>
      </c>
      <c r="AD124" s="506">
        <f t="shared" ca="1" si="114"/>
        <v>0</v>
      </c>
      <c r="AE124" s="506">
        <f t="shared" ca="1" si="114"/>
        <v>0</v>
      </c>
      <c r="AF124" s="506">
        <f t="shared" ca="1" si="114"/>
        <v>0</v>
      </c>
      <c r="AG124" s="506">
        <f t="shared" ca="1" si="114"/>
        <v>0</v>
      </c>
      <c r="AH124" s="506"/>
      <c r="AI124" s="506"/>
      <c r="AJ124" s="506">
        <f ca="1">IF($C$4=Year1,-PMT(Lookups!$E$17,25,NPV(Lookups!$E$17,G124:AE124),0,1),IF($C$4=Year2,-PMT(Lookups!$F$17,25,NPV(Lookups!$F$17,H124:AF124),0,1),IF($C$4=Year3,-PMT(Lookups!$G$17,25,NPV(Lookups!$G$17,I124:AG124),0,1),-PMT(Lookups!$G$17,27,NPV(Lookups!$G$17,G124:AG124),0,1))))</f>
        <v>-7.5958106729444525E-4</v>
      </c>
      <c r="AK124" s="507"/>
      <c r="AL124" s="507"/>
      <c r="AM124" s="508">
        <f ca="1">IFERROR(-AM105/AM96,0)</f>
        <v>0</v>
      </c>
      <c r="AN124" s="508">
        <f t="shared" ref="AN124:BM124" ca="1" si="115">IFERROR(-AN105/AN96,0)</f>
        <v>-1.0674540405501019E-3</v>
      </c>
      <c r="AO124" s="508">
        <f t="shared" ca="1" si="115"/>
        <v>-1.0674540405501019E-3</v>
      </c>
      <c r="AP124" s="508">
        <f t="shared" ca="1" si="115"/>
        <v>-1.0674540405501019E-3</v>
      </c>
      <c r="AQ124" s="508">
        <f t="shared" ca="1" si="115"/>
        <v>-1.0674540405501019E-3</v>
      </c>
      <c r="AR124" s="508">
        <f t="shared" ca="1" si="115"/>
        <v>-1.0674540405501019E-3</v>
      </c>
      <c r="AS124" s="508">
        <f t="shared" ca="1" si="115"/>
        <v>-1.0674540405501019E-3</v>
      </c>
      <c r="AT124" s="508">
        <f t="shared" ca="1" si="115"/>
        <v>-1.0674540405501019E-3</v>
      </c>
      <c r="AU124" s="508">
        <f t="shared" ca="1" si="115"/>
        <v>-1.0674540405501019E-3</v>
      </c>
      <c r="AV124" s="508">
        <f t="shared" ca="1" si="115"/>
        <v>-1.0674540405501019E-3</v>
      </c>
      <c r="AW124" s="508">
        <f t="shared" ca="1" si="115"/>
        <v>-1.0674540405501019E-3</v>
      </c>
      <c r="AX124" s="508">
        <f t="shared" ca="1" si="115"/>
        <v>-1.0674540405501019E-3</v>
      </c>
      <c r="AY124" s="508">
        <f t="shared" ca="1" si="115"/>
        <v>-1.0674540405501019E-3</v>
      </c>
      <c r="AZ124" s="508">
        <f t="shared" ca="1" si="115"/>
        <v>-1.0674540405501019E-3</v>
      </c>
      <c r="BA124" s="508">
        <f t="shared" ca="1" si="115"/>
        <v>-1.0674540405501019E-3</v>
      </c>
      <c r="BB124" s="508">
        <f t="shared" ca="1" si="115"/>
        <v>-1.0674540405501019E-3</v>
      </c>
      <c r="BC124" s="508">
        <f t="shared" ca="1" si="115"/>
        <v>-1.0674540405501019E-3</v>
      </c>
      <c r="BD124" s="508">
        <f t="shared" ca="1" si="115"/>
        <v>-1.0674540405501019E-3</v>
      </c>
      <c r="BE124" s="508">
        <f t="shared" ca="1" si="115"/>
        <v>-1.0674540405501019E-3</v>
      </c>
      <c r="BF124" s="508">
        <f t="shared" ca="1" si="115"/>
        <v>-1.0674540405501019E-3</v>
      </c>
      <c r="BG124" s="508">
        <f t="shared" ca="1" si="115"/>
        <v>-1.0674540405501019E-3</v>
      </c>
      <c r="BH124" s="508">
        <f t="shared" ca="1" si="115"/>
        <v>0</v>
      </c>
      <c r="BI124" s="508">
        <f t="shared" ca="1" si="115"/>
        <v>0</v>
      </c>
      <c r="BJ124" s="508">
        <f t="shared" ca="1" si="115"/>
        <v>0</v>
      </c>
      <c r="BK124" s="508">
        <f t="shared" ca="1" si="115"/>
        <v>0</v>
      </c>
      <c r="BL124" s="508">
        <f t="shared" ca="1" si="115"/>
        <v>0</v>
      </c>
      <c r="BM124" s="508">
        <f t="shared" ca="1" si="115"/>
        <v>0</v>
      </c>
      <c r="BN124" s="508"/>
      <c r="BO124" s="508"/>
      <c r="BP124" s="508">
        <f ca="1">IF($C$4=Year1,-PMT(Lookups!$E$17,25,NPV(Lookups!$E$17,AM124:BK124),0,1),IF($C$4=Year2,-PMT(Lookups!$F$17,25,NPV(Lookups!$F$17,AN124:BL124),0,1),IF($C$4=Year3,-PMT(Lookups!$G$17,25,NPV(Lookups!$G$17,AO124:BM124),0,1),-PMT(Lookups!$G$17,27,NPV(Lookups!$G$17,AM124:BM124),0,1))))</f>
        <v>-8.7053615643135581E-4</v>
      </c>
      <c r="BS124" s="84" t="str">
        <f t="shared" si="113"/>
        <v>Avoided Gas, Retail Margin avoided costs divided by After Scenario sales.</v>
      </c>
      <c r="BT124" s="51"/>
    </row>
    <row r="125" spans="1:72" x14ac:dyDescent="0.25">
      <c r="B125" s="243" t="str">
        <f t="shared" ref="B125:D125" si="116">B123</f>
        <v>Low-Income</v>
      </c>
      <c r="C125" s="243" t="str">
        <f t="shared" si="116"/>
        <v>Rates</v>
      </c>
      <c r="D125" s="244" t="str">
        <f t="shared" si="116"/>
        <v>Avoided Costs</v>
      </c>
      <c r="E125" s="86" t="s">
        <v>175</v>
      </c>
      <c r="F125" s="84" t="s">
        <v>182</v>
      </c>
      <c r="G125" s="506">
        <f ca="1">IFERROR(-G106/G96,0)</f>
        <v>0</v>
      </c>
      <c r="H125" s="506">
        <f t="shared" ref="H125:AG125" ca="1" si="117">IFERROR(-H106/H96,0)</f>
        <v>-4.9834455365947955E-4</v>
      </c>
      <c r="I125" s="506">
        <f t="shared" ca="1" si="117"/>
        <v>-4.9834455365947955E-4</v>
      </c>
      <c r="J125" s="506">
        <f t="shared" ca="1" si="117"/>
        <v>-4.9834455365947955E-4</v>
      </c>
      <c r="K125" s="506">
        <f t="shared" ca="1" si="117"/>
        <v>-4.9834455365947955E-4</v>
      </c>
      <c r="L125" s="506">
        <f t="shared" ca="1" si="117"/>
        <v>-4.9834455365947955E-4</v>
      </c>
      <c r="M125" s="506">
        <f t="shared" ca="1" si="117"/>
        <v>-4.9834455365947955E-4</v>
      </c>
      <c r="N125" s="506">
        <f t="shared" ca="1" si="117"/>
        <v>-4.9834455365947955E-4</v>
      </c>
      <c r="O125" s="506">
        <f t="shared" ca="1" si="117"/>
        <v>-4.9834455365947955E-4</v>
      </c>
      <c r="P125" s="506">
        <f t="shared" ca="1" si="117"/>
        <v>-4.9834455365947955E-4</v>
      </c>
      <c r="Q125" s="506">
        <f t="shared" ca="1" si="117"/>
        <v>-4.9834455365947955E-4</v>
      </c>
      <c r="R125" s="506">
        <f t="shared" ca="1" si="117"/>
        <v>-4.9834455365947955E-4</v>
      </c>
      <c r="S125" s="506">
        <f t="shared" ca="1" si="117"/>
        <v>-4.9834455365947955E-4</v>
      </c>
      <c r="T125" s="506">
        <f t="shared" ca="1" si="117"/>
        <v>-4.9834455365947955E-4</v>
      </c>
      <c r="U125" s="506">
        <f t="shared" ca="1" si="117"/>
        <v>-4.9834455365947955E-4</v>
      </c>
      <c r="V125" s="506">
        <f t="shared" ca="1" si="117"/>
        <v>-4.9834455365947955E-4</v>
      </c>
      <c r="W125" s="506">
        <f t="shared" ca="1" si="117"/>
        <v>-4.9834455365947955E-4</v>
      </c>
      <c r="X125" s="506">
        <f t="shared" ca="1" si="117"/>
        <v>-4.9834455365947955E-4</v>
      </c>
      <c r="Y125" s="506">
        <f t="shared" ca="1" si="117"/>
        <v>-4.9834455365947955E-4</v>
      </c>
      <c r="Z125" s="506">
        <f t="shared" ca="1" si="117"/>
        <v>-4.9834455365947955E-4</v>
      </c>
      <c r="AA125" s="506">
        <f t="shared" ca="1" si="117"/>
        <v>-4.9834455365947955E-4</v>
      </c>
      <c r="AB125" s="506">
        <f t="shared" ca="1" si="117"/>
        <v>0</v>
      </c>
      <c r="AC125" s="506">
        <f t="shared" ca="1" si="117"/>
        <v>0</v>
      </c>
      <c r="AD125" s="506">
        <f t="shared" ca="1" si="117"/>
        <v>0</v>
      </c>
      <c r="AE125" s="506">
        <f t="shared" ca="1" si="117"/>
        <v>0</v>
      </c>
      <c r="AF125" s="506">
        <f t="shared" ca="1" si="117"/>
        <v>0</v>
      </c>
      <c r="AG125" s="506">
        <f t="shared" ca="1" si="117"/>
        <v>0</v>
      </c>
      <c r="AH125" s="506"/>
      <c r="AI125" s="506"/>
      <c r="AJ125" s="506">
        <f ca="1">IF($C$4=Year1,-PMT(Lookups!$E$17,25,NPV(Lookups!$E$17,G125:AE125),0,1),IF($C$4=Year2,-PMT(Lookups!$F$17,25,NPV(Lookups!$F$17,H125:AF125),0,1),IF($C$4=Year3,-PMT(Lookups!$G$17,25,NPV(Lookups!$G$17,I125:AG125),0,1),-PMT(Lookups!$G$17,27,NPV(Lookups!$G$17,G125:AG125),0,1))))</f>
        <v>-4.0641276892600879E-4</v>
      </c>
      <c r="AK125" s="507"/>
      <c r="AL125" s="507"/>
      <c r="AM125" s="508">
        <f ca="1">IFERROR(-AM106/AM96,0)</f>
        <v>0</v>
      </c>
      <c r="AN125" s="508">
        <f t="shared" ref="AN125:BM125" ca="1" si="118">IFERROR(-AN106/AN96,0)</f>
        <v>-5.7113976506348784E-4</v>
      </c>
      <c r="AO125" s="508">
        <f t="shared" ca="1" si="118"/>
        <v>-5.7113976506348784E-4</v>
      </c>
      <c r="AP125" s="508">
        <f t="shared" ca="1" si="118"/>
        <v>-5.7113976506348784E-4</v>
      </c>
      <c r="AQ125" s="508">
        <f t="shared" ca="1" si="118"/>
        <v>-5.7113976506348784E-4</v>
      </c>
      <c r="AR125" s="508">
        <f t="shared" ca="1" si="118"/>
        <v>-5.7113976506348784E-4</v>
      </c>
      <c r="AS125" s="508">
        <f t="shared" ca="1" si="118"/>
        <v>-5.7113976506348784E-4</v>
      </c>
      <c r="AT125" s="508">
        <f t="shared" ca="1" si="118"/>
        <v>-5.7113976506348784E-4</v>
      </c>
      <c r="AU125" s="508">
        <f t="shared" ca="1" si="118"/>
        <v>-5.7113976506348784E-4</v>
      </c>
      <c r="AV125" s="508">
        <f t="shared" ca="1" si="118"/>
        <v>-5.7113976506348784E-4</v>
      </c>
      <c r="AW125" s="508">
        <f t="shared" ca="1" si="118"/>
        <v>-5.7113976506348784E-4</v>
      </c>
      <c r="AX125" s="508">
        <f t="shared" ca="1" si="118"/>
        <v>-5.7113976506348784E-4</v>
      </c>
      <c r="AY125" s="508">
        <f t="shared" ca="1" si="118"/>
        <v>-5.7113976506348784E-4</v>
      </c>
      <c r="AZ125" s="508">
        <f t="shared" ca="1" si="118"/>
        <v>-5.7113976506348784E-4</v>
      </c>
      <c r="BA125" s="508">
        <f t="shared" ca="1" si="118"/>
        <v>-5.7113976506348784E-4</v>
      </c>
      <c r="BB125" s="508">
        <f t="shared" ca="1" si="118"/>
        <v>-5.7113976506348784E-4</v>
      </c>
      <c r="BC125" s="508">
        <f t="shared" ca="1" si="118"/>
        <v>-5.7113976506348784E-4</v>
      </c>
      <c r="BD125" s="508">
        <f t="shared" ca="1" si="118"/>
        <v>-5.7113976506348784E-4</v>
      </c>
      <c r="BE125" s="508">
        <f t="shared" ca="1" si="118"/>
        <v>-5.7113976506348784E-4</v>
      </c>
      <c r="BF125" s="508">
        <f t="shared" ca="1" si="118"/>
        <v>-5.7113976506348784E-4</v>
      </c>
      <c r="BG125" s="508">
        <f t="shared" ca="1" si="118"/>
        <v>-5.7113976506348784E-4</v>
      </c>
      <c r="BH125" s="508">
        <f t="shared" ca="1" si="118"/>
        <v>0</v>
      </c>
      <c r="BI125" s="508">
        <f t="shared" ca="1" si="118"/>
        <v>0</v>
      </c>
      <c r="BJ125" s="508">
        <f t="shared" ca="1" si="118"/>
        <v>0</v>
      </c>
      <c r="BK125" s="508">
        <f t="shared" ca="1" si="118"/>
        <v>0</v>
      </c>
      <c r="BL125" s="508">
        <f t="shared" ca="1" si="118"/>
        <v>0</v>
      </c>
      <c r="BM125" s="508">
        <f t="shared" ca="1" si="118"/>
        <v>0</v>
      </c>
      <c r="BN125" s="508"/>
      <c r="BO125" s="508"/>
      <c r="BP125" s="508">
        <f ca="1">IF($C$4=Year1,-PMT(Lookups!$E$17,25,NPV(Lookups!$E$17,AM125:BK125),0,1),IF($C$4=Year2,-PMT(Lookups!$F$17,25,NPV(Lookups!$F$17,AN125:BL125),0,1),IF($C$4=Year3,-PMT(Lookups!$G$17,25,NPV(Lookups!$G$17,AO125:BM125),0,1),-PMT(Lookups!$G$17,27,NPV(Lookups!$G$17,AM125:BM125),0,1))))</f>
        <v>-4.6577913144368275E-4</v>
      </c>
      <c r="BS125" s="84" t="str">
        <f t="shared" si="113"/>
        <v>Avoided Gas DRIPE avoided costs divided by After Scenario sales.</v>
      </c>
      <c r="BT125" s="51" t="s">
        <v>17</v>
      </c>
    </row>
    <row r="126" spans="1:72" x14ac:dyDescent="0.25">
      <c r="B126" s="243" t="str">
        <f t="shared" ref="B126:D134" si="119">B125</f>
        <v>Low-Income</v>
      </c>
      <c r="C126" s="243" t="str">
        <f t="shared" si="119"/>
        <v>Rates</v>
      </c>
      <c r="D126" s="244" t="str">
        <f t="shared" si="119"/>
        <v>Avoided Costs</v>
      </c>
      <c r="E126" s="86" t="s">
        <v>76</v>
      </c>
      <c r="F126" s="84" t="s">
        <v>182</v>
      </c>
      <c r="G126" s="506">
        <f ca="1">SUM(G123:G125)</f>
        <v>0</v>
      </c>
      <c r="H126" s="506">
        <f ca="1">SUM(H123:H125)</f>
        <v>-1.6021687522982584E-2</v>
      </c>
      <c r="I126" s="506">
        <f t="shared" ref="I126:AG126" ca="1" si="120">SUM(I123:I125)</f>
        <v>-1.6021687522982584E-2</v>
      </c>
      <c r="J126" s="506">
        <f t="shared" ca="1" si="120"/>
        <v>-1.6021687522982584E-2</v>
      </c>
      <c r="K126" s="506">
        <f t="shared" ca="1" si="120"/>
        <v>-1.6021687522982584E-2</v>
      </c>
      <c r="L126" s="506">
        <f t="shared" ca="1" si="120"/>
        <v>-1.6021687522982584E-2</v>
      </c>
      <c r="M126" s="506">
        <f t="shared" ca="1" si="120"/>
        <v>-1.6021687522982584E-2</v>
      </c>
      <c r="N126" s="506">
        <f t="shared" ca="1" si="120"/>
        <v>-1.6021687522982584E-2</v>
      </c>
      <c r="O126" s="506">
        <f t="shared" ca="1" si="120"/>
        <v>-1.6021687522982584E-2</v>
      </c>
      <c r="P126" s="506">
        <f t="shared" ca="1" si="120"/>
        <v>-1.6021687522982584E-2</v>
      </c>
      <c r="Q126" s="506">
        <f t="shared" ca="1" si="120"/>
        <v>-1.6021687522982584E-2</v>
      </c>
      <c r="R126" s="506">
        <f t="shared" ca="1" si="120"/>
        <v>-1.6021687522982584E-2</v>
      </c>
      <c r="S126" s="506">
        <f t="shared" ca="1" si="120"/>
        <v>-1.6021687522982584E-2</v>
      </c>
      <c r="T126" s="506">
        <f t="shared" ca="1" si="120"/>
        <v>-1.6021687522982584E-2</v>
      </c>
      <c r="U126" s="506">
        <f t="shared" ca="1" si="120"/>
        <v>-1.6021687522982584E-2</v>
      </c>
      <c r="V126" s="506">
        <f t="shared" ca="1" si="120"/>
        <v>-1.6021687522982584E-2</v>
      </c>
      <c r="W126" s="506">
        <f t="shared" ca="1" si="120"/>
        <v>-1.6021687522982584E-2</v>
      </c>
      <c r="X126" s="506">
        <f t="shared" ca="1" si="120"/>
        <v>-1.6021687522982584E-2</v>
      </c>
      <c r="Y126" s="506">
        <f t="shared" ca="1" si="120"/>
        <v>-1.6021687522982584E-2</v>
      </c>
      <c r="Z126" s="506">
        <f t="shared" ca="1" si="120"/>
        <v>-1.6021687522982584E-2</v>
      </c>
      <c r="AA126" s="506">
        <f t="shared" ca="1" si="120"/>
        <v>-1.6021687522982584E-2</v>
      </c>
      <c r="AB126" s="506">
        <f t="shared" ca="1" si="120"/>
        <v>0</v>
      </c>
      <c r="AC126" s="506">
        <f t="shared" ca="1" si="120"/>
        <v>0</v>
      </c>
      <c r="AD126" s="506">
        <f t="shared" ca="1" si="120"/>
        <v>0</v>
      </c>
      <c r="AE126" s="506">
        <f t="shared" ca="1" si="120"/>
        <v>0</v>
      </c>
      <c r="AF126" s="506">
        <f t="shared" ca="1" si="120"/>
        <v>0</v>
      </c>
      <c r="AG126" s="506">
        <f t="shared" ca="1" si="120"/>
        <v>0</v>
      </c>
      <c r="AH126" s="506"/>
      <c r="AI126" s="506"/>
      <c r="AJ126" s="506">
        <f ca="1">IF($C$4=Year1,-PMT(Lookups!$E$17,25,NPV(Lookups!$E$17,G126:AE126),0,1),IF($C$4=Year2,-PMT(Lookups!$F$17,25,NPV(Lookups!$F$17,H126:AF126),0,1),IF($C$4=Year3,-PMT(Lookups!$G$17,25,NPV(Lookups!$G$17,I126:AG126),0,1),-PMT(Lookups!$G$17,27,NPV(Lookups!$G$17,G126:AG126),0,1))))</f>
        <v>-1.3066097223833433E-2</v>
      </c>
      <c r="AK126" s="507"/>
      <c r="AL126" s="507"/>
      <c r="AM126" s="508">
        <f ca="1">SUM(AM123:AM125)</f>
        <v>0</v>
      </c>
      <c r="AN126" s="508">
        <f t="shared" ref="AN126:BM126" ca="1" si="121">SUM(AN123:AN125)</f>
        <v>-1.8362040440898519E-2</v>
      </c>
      <c r="AO126" s="508">
        <f t="shared" ca="1" si="121"/>
        <v>-1.8362040440898519E-2</v>
      </c>
      <c r="AP126" s="508">
        <f t="shared" ca="1" si="121"/>
        <v>-1.8362040440898519E-2</v>
      </c>
      <c r="AQ126" s="508">
        <f t="shared" ca="1" si="121"/>
        <v>-1.8362040440898519E-2</v>
      </c>
      <c r="AR126" s="508">
        <f t="shared" ca="1" si="121"/>
        <v>-1.8362040440898519E-2</v>
      </c>
      <c r="AS126" s="508">
        <f t="shared" ca="1" si="121"/>
        <v>-1.8362040440898519E-2</v>
      </c>
      <c r="AT126" s="508">
        <f t="shared" ca="1" si="121"/>
        <v>-1.8362040440898519E-2</v>
      </c>
      <c r="AU126" s="508">
        <f t="shared" ca="1" si="121"/>
        <v>-1.8362040440898519E-2</v>
      </c>
      <c r="AV126" s="508">
        <f t="shared" ca="1" si="121"/>
        <v>-1.8362040440898519E-2</v>
      </c>
      <c r="AW126" s="508">
        <f t="shared" ca="1" si="121"/>
        <v>-1.8362040440898519E-2</v>
      </c>
      <c r="AX126" s="508">
        <f t="shared" ca="1" si="121"/>
        <v>-1.8362040440898519E-2</v>
      </c>
      <c r="AY126" s="508">
        <f t="shared" ca="1" si="121"/>
        <v>-1.8362040440898519E-2</v>
      </c>
      <c r="AZ126" s="508">
        <f t="shared" ca="1" si="121"/>
        <v>-1.8362040440898519E-2</v>
      </c>
      <c r="BA126" s="508">
        <f t="shared" ca="1" si="121"/>
        <v>-1.8362040440898519E-2</v>
      </c>
      <c r="BB126" s="508">
        <f t="shared" ca="1" si="121"/>
        <v>-1.8362040440898519E-2</v>
      </c>
      <c r="BC126" s="508">
        <f t="shared" ca="1" si="121"/>
        <v>-1.8362040440898519E-2</v>
      </c>
      <c r="BD126" s="508">
        <f t="shared" ca="1" si="121"/>
        <v>-1.8362040440898519E-2</v>
      </c>
      <c r="BE126" s="508">
        <f t="shared" ca="1" si="121"/>
        <v>-1.8362040440898519E-2</v>
      </c>
      <c r="BF126" s="508">
        <f t="shared" ca="1" si="121"/>
        <v>-1.8362040440898519E-2</v>
      </c>
      <c r="BG126" s="508">
        <f t="shared" ca="1" si="121"/>
        <v>-1.8362040440898519E-2</v>
      </c>
      <c r="BH126" s="508">
        <f t="shared" ca="1" si="121"/>
        <v>0</v>
      </c>
      <c r="BI126" s="508">
        <f t="shared" ca="1" si="121"/>
        <v>0</v>
      </c>
      <c r="BJ126" s="508">
        <f t="shared" ca="1" si="121"/>
        <v>0</v>
      </c>
      <c r="BK126" s="508">
        <f t="shared" ca="1" si="121"/>
        <v>0</v>
      </c>
      <c r="BL126" s="508">
        <f t="shared" ca="1" si="121"/>
        <v>0</v>
      </c>
      <c r="BM126" s="508">
        <f t="shared" ca="1" si="121"/>
        <v>0</v>
      </c>
      <c r="BN126" s="508"/>
      <c r="BO126" s="508"/>
      <c r="BP126" s="508">
        <f ca="1">IF($C$4=Year1,-PMT(Lookups!$E$17,25,NPV(Lookups!$E$17,AM126:BK126),0,1),IF($C$4=Year2,-PMT(Lookups!$F$17,25,NPV(Lookups!$F$17,AN126:BL126),0,1),IF($C$4=Year3,-PMT(Lookups!$G$17,25,NPV(Lookups!$G$17,AO126:BM126),0,1),-PMT(Lookups!$G$17,27,NPV(Lookups!$G$17,AM126:BM126),0,1))))</f>
        <v>-1.497471507196628E-2</v>
      </c>
      <c r="BS126" s="84" t="s">
        <v>232</v>
      </c>
      <c r="BT126" s="51" t="s">
        <v>17</v>
      </c>
    </row>
    <row r="127" spans="1:72" x14ac:dyDescent="0.25">
      <c r="B127" s="243" t="str">
        <f t="shared" si="119"/>
        <v>Low-Income</v>
      </c>
      <c r="C127" s="243" t="str">
        <f t="shared" si="119"/>
        <v>Rates</v>
      </c>
      <c r="D127" s="114" t="s">
        <v>165</v>
      </c>
      <c r="E127" s="86"/>
      <c r="F127" s="86"/>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S127" s="84"/>
      <c r="BT127" s="51" t="s">
        <v>17</v>
      </c>
    </row>
    <row r="128" spans="1:72" x14ac:dyDescent="0.25">
      <c r="A128" s="246"/>
      <c r="B128" s="243" t="str">
        <f t="shared" si="119"/>
        <v>Low-Income</v>
      </c>
      <c r="C128" s="243" t="str">
        <f t="shared" si="119"/>
        <v>Rates</v>
      </c>
      <c r="D128" s="244" t="str">
        <f t="shared" si="119"/>
        <v>Increased Costs and Cost Shifting</v>
      </c>
      <c r="E128" s="84" t="s">
        <v>406</v>
      </c>
      <c r="F128" s="84" t="s">
        <v>182</v>
      </c>
      <c r="G128" s="509">
        <f ca="1">IF($C$4=Lookups!$D$40,SUM(INDIRECT("'Yr1'!"&amp;ADDRESS(ROW(G128),COLUMN(G128))),INDIRECT("'Yr2'!"&amp;ADDRESS(ROW(G128),COLUMN(G128))),INDIRECT("'Yr3'!"&amp;ADDRESS(ROW(G128),COLUMN(G128)))),
IF($C$4=G$7,SUMIFS('EE Inputs'!$L$9:$L$32,'EE Inputs'!$C$9:$C$32,$G$6,'EE Inputs'!$D$9:$D$32,$C$4,'EE Inputs'!$E$9:$E$32,$B128),0))</f>
        <v>0</v>
      </c>
      <c r="H128" s="509">
        <f ca="1">IF($C$4=Lookups!$D$40,SUM(INDIRECT("'Yr1'!"&amp;ADDRESS(ROW(H128),COLUMN(H128))),INDIRECT("'Yr2'!"&amp;ADDRESS(ROW(H128),COLUMN(H128))),INDIRECT("'Yr3'!"&amp;ADDRESS(ROW(H128),COLUMN(H128)))),
IF($C$4=H$7,SUMIFS('EE Inputs'!$L$9:$L$32,'EE Inputs'!$C$9:$C$32,$G$6,'EE Inputs'!$D$9:$D$32,$C$4,'EE Inputs'!$E$9:$E$32,$B128),0))</f>
        <v>6.6654138295917709E-2</v>
      </c>
      <c r="I128" s="509">
        <f ca="1">IF($C$4=Lookups!$D$40,SUM(INDIRECT("'Yr1'!"&amp;ADDRESS(ROW(I128),COLUMN(I128))),INDIRECT("'Yr2'!"&amp;ADDRESS(ROW(I128),COLUMN(I128))),INDIRECT("'Yr3'!"&amp;ADDRESS(ROW(I128),COLUMN(I128)))),
IF($C$4=I$7,SUMIFS('EE Inputs'!$L$9:$L$32,'EE Inputs'!$C$9:$C$32,$G$6,'EE Inputs'!$D$9:$D$32,$C$4,'EE Inputs'!$E$9:$E$32,$B128),0))</f>
        <v>0</v>
      </c>
      <c r="J128" s="509">
        <f ca="1">IF($C$4=Lookups!$D$40,SUM(INDIRECT("'Yr1'!"&amp;ADDRESS(ROW(J128),COLUMN(J128))),INDIRECT("'Yr2'!"&amp;ADDRESS(ROW(J128),COLUMN(J128))),INDIRECT("'Yr3'!"&amp;ADDRESS(ROW(J128),COLUMN(J128)))),
IF($C$4=J$7,SUMIFS('EE Inputs'!$L$9:$L$32,'EE Inputs'!$C$9:$C$32,$G$6,'EE Inputs'!$D$9:$D$32,$C$4,'EE Inputs'!$E$9:$E$32,$B128),0))</f>
        <v>0</v>
      </c>
      <c r="K128" s="509">
        <f ca="1">IF($C$4=Lookups!$D$40,SUM(INDIRECT("'Yr1'!"&amp;ADDRESS(ROW(K128),COLUMN(K128))),INDIRECT("'Yr2'!"&amp;ADDRESS(ROW(K128),COLUMN(K128))),INDIRECT("'Yr3'!"&amp;ADDRESS(ROW(K128),COLUMN(K128)))),
IF($C$4=K$7,SUMIFS('EE Inputs'!$L$9:$L$32,'EE Inputs'!$C$9:$C$32,$G$6,'EE Inputs'!$D$9:$D$32,$C$4,'EE Inputs'!$E$9:$E$32,$B128),0))</f>
        <v>0</v>
      </c>
      <c r="L128" s="509">
        <f ca="1">IF($C$4=Lookups!$D$40,SUM(INDIRECT("'Yr1'!"&amp;ADDRESS(ROW(L128),COLUMN(L128))),INDIRECT("'Yr2'!"&amp;ADDRESS(ROW(L128),COLUMN(L128))),INDIRECT("'Yr3'!"&amp;ADDRESS(ROW(L128),COLUMN(L128)))),
IF($C$4=L$7,SUMIFS('EE Inputs'!$L$9:$L$32,'EE Inputs'!$C$9:$C$32,$G$6,'EE Inputs'!$D$9:$D$32,$C$4,'EE Inputs'!$E$9:$E$32,$B128),0))</f>
        <v>0</v>
      </c>
      <c r="M128" s="509">
        <f ca="1">IF($C$4=Lookups!$D$40,SUM(INDIRECT("'Yr1'!"&amp;ADDRESS(ROW(M128),COLUMN(M128))),INDIRECT("'Yr2'!"&amp;ADDRESS(ROW(M128),COLUMN(M128))),INDIRECT("'Yr3'!"&amp;ADDRESS(ROW(M128),COLUMN(M128)))),
IF($C$4=M$7,SUMIFS('EE Inputs'!$L$9:$L$32,'EE Inputs'!$C$9:$C$32,$G$6,'EE Inputs'!$D$9:$D$32,$C$4,'EE Inputs'!$E$9:$E$32,$B128),0))</f>
        <v>0</v>
      </c>
      <c r="N128" s="509">
        <f ca="1">IF($C$4=Lookups!$D$40,SUM(INDIRECT("'Yr1'!"&amp;ADDRESS(ROW(N128),COLUMN(N128))),INDIRECT("'Yr2'!"&amp;ADDRESS(ROW(N128),COLUMN(N128))),INDIRECT("'Yr3'!"&amp;ADDRESS(ROW(N128),COLUMN(N128)))),
IF($C$4=N$7,SUMIFS('EE Inputs'!$L$9:$L$32,'EE Inputs'!$C$9:$C$32,$G$6,'EE Inputs'!$D$9:$D$32,$C$4,'EE Inputs'!$E$9:$E$32,$B128),0))</f>
        <v>0</v>
      </c>
      <c r="O128" s="509">
        <f ca="1">IF($C$4=Lookups!$D$40,SUM(INDIRECT("'Yr1'!"&amp;ADDRESS(ROW(O128),COLUMN(O128))),INDIRECT("'Yr2'!"&amp;ADDRESS(ROW(O128),COLUMN(O128))),INDIRECT("'Yr3'!"&amp;ADDRESS(ROW(O128),COLUMN(O128)))),
IF($C$4=O$7,SUMIFS('EE Inputs'!$L$9:$L$32,'EE Inputs'!$C$9:$C$32,$G$6,'EE Inputs'!$D$9:$D$32,$C$4,'EE Inputs'!$E$9:$E$32,$B128),0))</f>
        <v>0</v>
      </c>
      <c r="P128" s="509">
        <f ca="1">IF($C$4=Lookups!$D$40,SUM(INDIRECT("'Yr1'!"&amp;ADDRESS(ROW(P128),COLUMN(P128))),INDIRECT("'Yr2'!"&amp;ADDRESS(ROW(P128),COLUMN(P128))),INDIRECT("'Yr3'!"&amp;ADDRESS(ROW(P128),COLUMN(P128)))),
IF($C$4=P$7,SUMIFS('EE Inputs'!$L$9:$L$32,'EE Inputs'!$C$9:$C$32,$G$6,'EE Inputs'!$D$9:$D$32,$C$4,'EE Inputs'!$E$9:$E$32,$B128),0))</f>
        <v>0</v>
      </c>
      <c r="Q128" s="509">
        <f ca="1">IF($C$4=Lookups!$D$40,SUM(INDIRECT("'Yr1'!"&amp;ADDRESS(ROW(Q128),COLUMN(Q128))),INDIRECT("'Yr2'!"&amp;ADDRESS(ROW(Q128),COLUMN(Q128))),INDIRECT("'Yr3'!"&amp;ADDRESS(ROW(Q128),COLUMN(Q128)))),
IF($C$4=Q$7,SUMIFS('EE Inputs'!$L$9:$L$32,'EE Inputs'!$C$9:$C$32,$G$6,'EE Inputs'!$D$9:$D$32,$C$4,'EE Inputs'!$E$9:$E$32,$B128),0))</f>
        <v>0</v>
      </c>
      <c r="R128" s="509">
        <f ca="1">IF($C$4=Lookups!$D$40,SUM(INDIRECT("'Yr1'!"&amp;ADDRESS(ROW(R128),COLUMN(R128))),INDIRECT("'Yr2'!"&amp;ADDRESS(ROW(R128),COLUMN(R128))),INDIRECT("'Yr3'!"&amp;ADDRESS(ROW(R128),COLUMN(R128)))),
IF($C$4=R$7,SUMIFS('EE Inputs'!$L$9:$L$32,'EE Inputs'!$C$9:$C$32,$G$6,'EE Inputs'!$D$9:$D$32,$C$4,'EE Inputs'!$E$9:$E$32,$B128),0))</f>
        <v>0</v>
      </c>
      <c r="S128" s="509">
        <f ca="1">IF($C$4=Lookups!$D$40,SUM(INDIRECT("'Yr1'!"&amp;ADDRESS(ROW(S128),COLUMN(S128))),INDIRECT("'Yr2'!"&amp;ADDRESS(ROW(S128),COLUMN(S128))),INDIRECT("'Yr3'!"&amp;ADDRESS(ROW(S128),COLUMN(S128)))),
IF($C$4=S$7,SUMIFS('EE Inputs'!$L$9:$L$32,'EE Inputs'!$C$9:$C$32,$G$6,'EE Inputs'!$D$9:$D$32,$C$4,'EE Inputs'!$E$9:$E$32,$B128),0))</f>
        <v>0</v>
      </c>
      <c r="T128" s="509">
        <f ca="1">IF($C$4=Lookups!$D$40,SUM(INDIRECT("'Yr1'!"&amp;ADDRESS(ROW(T128),COLUMN(T128))),INDIRECT("'Yr2'!"&amp;ADDRESS(ROW(T128),COLUMN(T128))),INDIRECT("'Yr3'!"&amp;ADDRESS(ROW(T128),COLUMN(T128)))),
IF($C$4=T$7,SUMIFS('EE Inputs'!$L$9:$L$32,'EE Inputs'!$C$9:$C$32,$G$6,'EE Inputs'!$D$9:$D$32,$C$4,'EE Inputs'!$E$9:$E$32,$B128),0))</f>
        <v>0</v>
      </c>
      <c r="U128" s="509">
        <f ca="1">IF($C$4=Lookups!$D$40,SUM(INDIRECT("'Yr1'!"&amp;ADDRESS(ROW(U128),COLUMN(U128))),INDIRECT("'Yr2'!"&amp;ADDRESS(ROW(U128),COLUMN(U128))),INDIRECT("'Yr3'!"&amp;ADDRESS(ROW(U128),COLUMN(U128)))),
IF($C$4=U$7,SUMIFS('EE Inputs'!$L$9:$L$32,'EE Inputs'!$C$9:$C$32,$G$6,'EE Inputs'!$D$9:$D$32,$C$4,'EE Inputs'!$E$9:$E$32,$B128),0))</f>
        <v>0</v>
      </c>
      <c r="V128" s="509">
        <f ca="1">IF($C$4=Lookups!$D$40,SUM(INDIRECT("'Yr1'!"&amp;ADDRESS(ROW(V128),COLUMN(V128))),INDIRECT("'Yr2'!"&amp;ADDRESS(ROW(V128),COLUMN(V128))),INDIRECT("'Yr3'!"&amp;ADDRESS(ROW(V128),COLUMN(V128)))),
IF($C$4=V$7,SUMIFS('EE Inputs'!$L$9:$L$32,'EE Inputs'!$C$9:$C$32,$G$6,'EE Inputs'!$D$9:$D$32,$C$4,'EE Inputs'!$E$9:$E$32,$B128),0))</f>
        <v>0</v>
      </c>
      <c r="W128" s="509">
        <f ca="1">IF($C$4=Lookups!$D$40,SUM(INDIRECT("'Yr1'!"&amp;ADDRESS(ROW(W128),COLUMN(W128))),INDIRECT("'Yr2'!"&amp;ADDRESS(ROW(W128),COLUMN(W128))),INDIRECT("'Yr3'!"&amp;ADDRESS(ROW(W128),COLUMN(W128)))),
IF($C$4=W$7,SUMIFS('EE Inputs'!$L$9:$L$32,'EE Inputs'!$C$9:$C$32,$G$6,'EE Inputs'!$D$9:$D$32,$C$4,'EE Inputs'!$E$9:$E$32,$B128),0))</f>
        <v>0</v>
      </c>
      <c r="X128" s="509">
        <f ca="1">IF($C$4=Lookups!$D$40,SUM(INDIRECT("'Yr1'!"&amp;ADDRESS(ROW(X128),COLUMN(X128))),INDIRECT("'Yr2'!"&amp;ADDRESS(ROW(X128),COLUMN(X128))),INDIRECT("'Yr3'!"&amp;ADDRESS(ROW(X128),COLUMN(X128)))),
IF($C$4=X$7,SUMIFS('EE Inputs'!$L$9:$L$32,'EE Inputs'!$C$9:$C$32,$G$6,'EE Inputs'!$D$9:$D$32,$C$4,'EE Inputs'!$E$9:$E$32,$B128),0))</f>
        <v>0</v>
      </c>
      <c r="Y128" s="509">
        <f ca="1">IF($C$4=Lookups!$D$40,SUM(INDIRECT("'Yr1'!"&amp;ADDRESS(ROW(Y128),COLUMN(Y128))),INDIRECT("'Yr2'!"&amp;ADDRESS(ROW(Y128),COLUMN(Y128))),INDIRECT("'Yr3'!"&amp;ADDRESS(ROW(Y128),COLUMN(Y128)))),
IF($C$4=Y$7,SUMIFS('EE Inputs'!$L$9:$L$32,'EE Inputs'!$C$9:$C$32,$G$6,'EE Inputs'!$D$9:$D$32,$C$4,'EE Inputs'!$E$9:$E$32,$B128),0))</f>
        <v>0</v>
      </c>
      <c r="Z128" s="509">
        <f ca="1">IF($C$4=Lookups!$D$40,SUM(INDIRECT("'Yr1'!"&amp;ADDRESS(ROW(Z128),COLUMN(Z128))),INDIRECT("'Yr2'!"&amp;ADDRESS(ROW(Z128),COLUMN(Z128))),INDIRECT("'Yr3'!"&amp;ADDRESS(ROW(Z128),COLUMN(Z128)))),
IF($C$4=Z$7,SUMIFS('EE Inputs'!$L$9:$L$32,'EE Inputs'!$C$9:$C$32,$G$6,'EE Inputs'!$D$9:$D$32,$C$4,'EE Inputs'!$E$9:$E$32,$B128),0))</f>
        <v>0</v>
      </c>
      <c r="AA128" s="509">
        <f ca="1">IF($C$4=Lookups!$D$40,SUM(INDIRECT("'Yr1'!"&amp;ADDRESS(ROW(AA128),COLUMN(AA128))),INDIRECT("'Yr2'!"&amp;ADDRESS(ROW(AA128),COLUMN(AA128))),INDIRECT("'Yr3'!"&amp;ADDRESS(ROW(AA128),COLUMN(AA128)))),
IF($C$4=AA$7,SUMIFS('EE Inputs'!$L$9:$L$32,'EE Inputs'!$C$9:$C$32,$G$6,'EE Inputs'!$D$9:$D$32,$C$4,'EE Inputs'!$E$9:$E$32,$B128),0))</f>
        <v>0</v>
      </c>
      <c r="AB128" s="509">
        <f ca="1">IF($C$4=Lookups!$D$40,SUM(INDIRECT("'Yr1'!"&amp;ADDRESS(ROW(AB128),COLUMN(AB128))),INDIRECT("'Yr2'!"&amp;ADDRESS(ROW(AB128),COLUMN(AB128))),INDIRECT("'Yr3'!"&amp;ADDRESS(ROW(AB128),COLUMN(AB128)))),
IF($C$4=AB$7,SUMIFS('EE Inputs'!$L$9:$L$32,'EE Inputs'!$C$9:$C$32,$G$6,'EE Inputs'!$D$9:$D$32,$C$4,'EE Inputs'!$E$9:$E$32,$B128),0))</f>
        <v>0</v>
      </c>
      <c r="AC128" s="509">
        <f ca="1">IF($C$4=Lookups!$D$40,SUM(INDIRECT("'Yr1'!"&amp;ADDRESS(ROW(AC128),COLUMN(AC128))),INDIRECT("'Yr2'!"&amp;ADDRESS(ROW(AC128),COLUMN(AC128))),INDIRECT("'Yr3'!"&amp;ADDRESS(ROW(AC128),COLUMN(AC128)))),
IF($C$4=AC$7,SUMIFS('EE Inputs'!$L$9:$L$32,'EE Inputs'!$C$9:$C$32,$G$6,'EE Inputs'!$D$9:$D$32,$C$4,'EE Inputs'!$E$9:$E$32,$B128),0))</f>
        <v>0</v>
      </c>
      <c r="AD128" s="509">
        <f ca="1">IF($C$4=Lookups!$D$40,SUM(INDIRECT("'Yr1'!"&amp;ADDRESS(ROW(AD128),COLUMN(AD128))),INDIRECT("'Yr2'!"&amp;ADDRESS(ROW(AD128),COLUMN(AD128))),INDIRECT("'Yr3'!"&amp;ADDRESS(ROW(AD128),COLUMN(AD128)))),
IF($C$4=AD$7,SUMIFS('EE Inputs'!$L$9:$L$32,'EE Inputs'!$C$9:$C$32,$G$6,'EE Inputs'!$D$9:$D$32,$C$4,'EE Inputs'!$E$9:$E$32,$B128),0))</f>
        <v>0</v>
      </c>
      <c r="AE128" s="509">
        <f ca="1">IF($C$4=Lookups!$D$40,SUM(INDIRECT("'Yr1'!"&amp;ADDRESS(ROW(AE128),COLUMN(AE128))),INDIRECT("'Yr2'!"&amp;ADDRESS(ROW(AE128),COLUMN(AE128))),INDIRECT("'Yr3'!"&amp;ADDRESS(ROW(AE128),COLUMN(AE128)))),
IF($C$4=AE$7,SUMIFS('EE Inputs'!$L$9:$L$32,'EE Inputs'!$C$9:$C$32,$G$6,'EE Inputs'!$D$9:$D$32,$C$4,'EE Inputs'!$E$9:$E$32,$B128),0))</f>
        <v>0</v>
      </c>
      <c r="AF128" s="509">
        <f ca="1">IF($C$4=Lookups!$D$40,SUM(INDIRECT("'Yr1'!"&amp;ADDRESS(ROW(AF128),COLUMN(AF128))),INDIRECT("'Yr2'!"&amp;ADDRESS(ROW(AF128),COLUMN(AF128))),INDIRECT("'Yr3'!"&amp;ADDRESS(ROW(AF128),COLUMN(AF128)))),
IF($C$4=AF$7,SUMIFS('EE Inputs'!$L$9:$L$32,'EE Inputs'!$C$9:$C$32,$G$6,'EE Inputs'!$D$9:$D$32,$C$4,'EE Inputs'!$E$9:$E$32,$B128),0))</f>
        <v>0</v>
      </c>
      <c r="AG128" s="509">
        <f ca="1">IF($C$4=Lookups!$D$40,SUM(INDIRECT("'Yr1'!"&amp;ADDRESS(ROW(AG128),COLUMN(AG128))),INDIRECT("'Yr2'!"&amp;ADDRESS(ROW(AG128),COLUMN(AG128))),INDIRECT("'Yr3'!"&amp;ADDRESS(ROW(AG128),COLUMN(AG128)))),
IF($C$4=AG$7,SUMIFS('EE Inputs'!$L$9:$L$32,'EE Inputs'!$C$9:$C$32,$G$6,'EE Inputs'!$D$9:$D$32,$C$4,'EE Inputs'!$E$9:$E$32,$B128),0))</f>
        <v>0</v>
      </c>
      <c r="AH128" s="509"/>
      <c r="AI128" s="509"/>
      <c r="AJ128" s="509">
        <f ca="1">IF($C$4=Year1,-PMT(Lookups!$E$17,25,NPV(Lookups!$E$17,G128:AE128),0,1),IF($C$4=Year2,-PMT(Lookups!$F$17,25,NPV(Lookups!$F$17,H128:AF128),0,1),IF($C$4=Year3,-PMT(Lookups!$G$17,25,NPV(Lookups!$G$17,I128:AG128),0,1),-PMT(Lookups!$G$17,27,NPV(Lookups!$G$17,G128:AG128),0,1))))</f>
        <v>3.0956928586426007E-3</v>
      </c>
      <c r="AK128" s="507"/>
      <c r="AL128" s="507"/>
      <c r="AM128" s="508">
        <f ca="1">IF($C$4=Lookups!$D$40,SUM(INDIRECT("'Yr1'!"&amp;ADDRESS(ROW(AM128),COLUMN(AM128))),INDIRECT("'Yr2'!"&amp;ADDRESS(ROW(AM128),COLUMN(AM128))),INDIRECT("'Yr3'!"&amp;ADDRESS(ROW(AM128),COLUMN(AM128)))),
IF($C$4=AM$7,SUMIFS('EE Inputs'!$L$9:$L$32,'EE Inputs'!$C$9:$C$32,$AM$6,'EE Inputs'!$D$9:$D$32,$C$4,'EE Inputs'!$E$9:$E$32,$B128),0))</f>
        <v>0</v>
      </c>
      <c r="AN128" s="508">
        <f ca="1">IF($C$4=Lookups!$D$40,SUM(INDIRECT("'Yr1'!"&amp;ADDRESS(ROW(AN128),COLUMN(AN128))),INDIRECT("'Yr2'!"&amp;ADDRESS(ROW(AN128),COLUMN(AN128))),INDIRECT("'Yr3'!"&amp;ADDRESS(ROW(AN128),COLUMN(AN128)))),
IF($C$4=AN$7,SUMIFS('EE Inputs'!$L$9:$L$32,'EE Inputs'!$C$9:$C$32,$AM$6,'EE Inputs'!$D$9:$D$32,$C$4,'EE Inputs'!$E$9:$E$32,$B128),0))</f>
        <v>7.9984965955101253E-2</v>
      </c>
      <c r="AO128" s="508">
        <f ca="1">IF($C$4=Lookups!$D$40,SUM(INDIRECT("'Yr1'!"&amp;ADDRESS(ROW(AO128),COLUMN(AO128))),INDIRECT("'Yr2'!"&amp;ADDRESS(ROW(AO128),COLUMN(AO128))),INDIRECT("'Yr3'!"&amp;ADDRESS(ROW(AO128),COLUMN(AO128)))),
IF($C$4=AO$7,SUMIFS('EE Inputs'!$L$9:$L$32,'EE Inputs'!$C$9:$C$32,$AM$6,'EE Inputs'!$D$9:$D$32,$C$4,'EE Inputs'!$E$9:$E$32,$B128),0))</f>
        <v>0</v>
      </c>
      <c r="AP128" s="508">
        <f ca="1">IF($C$4=Lookups!$D$40,SUM(INDIRECT("'Yr1'!"&amp;ADDRESS(ROW(AP128),COLUMN(AP128))),INDIRECT("'Yr2'!"&amp;ADDRESS(ROW(AP128),COLUMN(AP128))),INDIRECT("'Yr3'!"&amp;ADDRESS(ROW(AP128),COLUMN(AP128)))),
IF($C$4=AP$7,SUMIFS('EE Inputs'!$L$9:$L$32,'EE Inputs'!$C$9:$C$32,$AM$6,'EE Inputs'!$D$9:$D$32,$C$4,'EE Inputs'!$E$9:$E$32,$B128),0))</f>
        <v>0</v>
      </c>
      <c r="AQ128" s="508">
        <f ca="1">IF($C$4=Lookups!$D$40,SUM(INDIRECT("'Yr1'!"&amp;ADDRESS(ROW(AQ128),COLUMN(AQ128))),INDIRECT("'Yr2'!"&amp;ADDRESS(ROW(AQ128),COLUMN(AQ128))),INDIRECT("'Yr3'!"&amp;ADDRESS(ROW(AQ128),COLUMN(AQ128)))),
IF($C$4=AQ$7,SUMIFS('EE Inputs'!$L$9:$L$32,'EE Inputs'!$C$9:$C$32,$AM$6,'EE Inputs'!$D$9:$D$32,$C$4,'EE Inputs'!$E$9:$E$32,$B128),0))</f>
        <v>0</v>
      </c>
      <c r="AR128" s="508">
        <f ca="1">IF($C$4=Lookups!$D$40,SUM(INDIRECT("'Yr1'!"&amp;ADDRESS(ROW(AR128),COLUMN(AR128))),INDIRECT("'Yr2'!"&amp;ADDRESS(ROW(AR128),COLUMN(AR128))),INDIRECT("'Yr3'!"&amp;ADDRESS(ROW(AR128),COLUMN(AR128)))),
IF($C$4=AR$7,SUMIFS('EE Inputs'!$L$9:$L$32,'EE Inputs'!$C$9:$C$32,$AM$6,'EE Inputs'!$D$9:$D$32,$C$4,'EE Inputs'!$E$9:$E$32,$B128),0))</f>
        <v>0</v>
      </c>
      <c r="AS128" s="508">
        <f ca="1">IF($C$4=Lookups!$D$40,SUM(INDIRECT("'Yr1'!"&amp;ADDRESS(ROW(AS128),COLUMN(AS128))),INDIRECT("'Yr2'!"&amp;ADDRESS(ROW(AS128),COLUMN(AS128))),INDIRECT("'Yr3'!"&amp;ADDRESS(ROW(AS128),COLUMN(AS128)))),
IF($C$4=AS$7,SUMIFS('EE Inputs'!$L$9:$L$32,'EE Inputs'!$C$9:$C$32,$AM$6,'EE Inputs'!$D$9:$D$32,$C$4,'EE Inputs'!$E$9:$E$32,$B128),0))</f>
        <v>0</v>
      </c>
      <c r="AT128" s="508">
        <f ca="1">IF($C$4=Lookups!$D$40,SUM(INDIRECT("'Yr1'!"&amp;ADDRESS(ROW(AT128),COLUMN(AT128))),INDIRECT("'Yr2'!"&amp;ADDRESS(ROW(AT128),COLUMN(AT128))),INDIRECT("'Yr3'!"&amp;ADDRESS(ROW(AT128),COLUMN(AT128)))),
IF($C$4=AT$7,SUMIFS('EE Inputs'!$L$9:$L$32,'EE Inputs'!$C$9:$C$32,$AM$6,'EE Inputs'!$D$9:$D$32,$C$4,'EE Inputs'!$E$9:$E$32,$B128),0))</f>
        <v>0</v>
      </c>
      <c r="AU128" s="508">
        <f ca="1">IF($C$4=Lookups!$D$40,SUM(INDIRECT("'Yr1'!"&amp;ADDRESS(ROW(AU128),COLUMN(AU128))),INDIRECT("'Yr2'!"&amp;ADDRESS(ROW(AU128),COLUMN(AU128))),INDIRECT("'Yr3'!"&amp;ADDRESS(ROW(AU128),COLUMN(AU128)))),
IF($C$4=AU$7,SUMIFS('EE Inputs'!$L$9:$L$32,'EE Inputs'!$C$9:$C$32,$AM$6,'EE Inputs'!$D$9:$D$32,$C$4,'EE Inputs'!$E$9:$E$32,$B128),0))</f>
        <v>0</v>
      </c>
      <c r="AV128" s="508">
        <f ca="1">IF($C$4=Lookups!$D$40,SUM(INDIRECT("'Yr1'!"&amp;ADDRESS(ROW(AV128),COLUMN(AV128))),INDIRECT("'Yr2'!"&amp;ADDRESS(ROW(AV128),COLUMN(AV128))),INDIRECT("'Yr3'!"&amp;ADDRESS(ROW(AV128),COLUMN(AV128)))),
IF($C$4=AV$7,SUMIFS('EE Inputs'!$L$9:$L$32,'EE Inputs'!$C$9:$C$32,$AM$6,'EE Inputs'!$D$9:$D$32,$C$4,'EE Inputs'!$E$9:$E$32,$B128),0))</f>
        <v>0</v>
      </c>
      <c r="AW128" s="508">
        <f ca="1">IF($C$4=Lookups!$D$40,SUM(INDIRECT("'Yr1'!"&amp;ADDRESS(ROW(AW128),COLUMN(AW128))),INDIRECT("'Yr2'!"&amp;ADDRESS(ROW(AW128),COLUMN(AW128))),INDIRECT("'Yr3'!"&amp;ADDRESS(ROW(AW128),COLUMN(AW128)))),
IF($C$4=AW$7,SUMIFS('EE Inputs'!$L$9:$L$32,'EE Inputs'!$C$9:$C$32,$AM$6,'EE Inputs'!$D$9:$D$32,$C$4,'EE Inputs'!$E$9:$E$32,$B128),0))</f>
        <v>0</v>
      </c>
      <c r="AX128" s="508">
        <f ca="1">IF($C$4=Lookups!$D$40,SUM(INDIRECT("'Yr1'!"&amp;ADDRESS(ROW(AX128),COLUMN(AX128))),INDIRECT("'Yr2'!"&amp;ADDRESS(ROW(AX128),COLUMN(AX128))),INDIRECT("'Yr3'!"&amp;ADDRESS(ROW(AX128),COLUMN(AX128)))),
IF($C$4=AX$7,SUMIFS('EE Inputs'!$L$9:$L$32,'EE Inputs'!$C$9:$C$32,$AM$6,'EE Inputs'!$D$9:$D$32,$C$4,'EE Inputs'!$E$9:$E$32,$B128),0))</f>
        <v>0</v>
      </c>
      <c r="AY128" s="508">
        <f ca="1">IF($C$4=Lookups!$D$40,SUM(INDIRECT("'Yr1'!"&amp;ADDRESS(ROW(AY128),COLUMN(AY128))),INDIRECT("'Yr2'!"&amp;ADDRESS(ROW(AY128),COLUMN(AY128))),INDIRECT("'Yr3'!"&amp;ADDRESS(ROW(AY128),COLUMN(AY128)))),
IF($C$4=AY$7,SUMIFS('EE Inputs'!$L$9:$L$32,'EE Inputs'!$C$9:$C$32,$AM$6,'EE Inputs'!$D$9:$D$32,$C$4,'EE Inputs'!$E$9:$E$32,$B128),0))</f>
        <v>0</v>
      </c>
      <c r="AZ128" s="508">
        <f ca="1">IF($C$4=Lookups!$D$40,SUM(INDIRECT("'Yr1'!"&amp;ADDRESS(ROW(AZ128),COLUMN(AZ128))),INDIRECT("'Yr2'!"&amp;ADDRESS(ROW(AZ128),COLUMN(AZ128))),INDIRECT("'Yr3'!"&amp;ADDRESS(ROW(AZ128),COLUMN(AZ128)))),
IF($C$4=AZ$7,SUMIFS('EE Inputs'!$L$9:$L$32,'EE Inputs'!$C$9:$C$32,$AM$6,'EE Inputs'!$D$9:$D$32,$C$4,'EE Inputs'!$E$9:$E$32,$B128),0))</f>
        <v>0</v>
      </c>
      <c r="BA128" s="508">
        <f ca="1">IF($C$4=Lookups!$D$40,SUM(INDIRECT("'Yr1'!"&amp;ADDRESS(ROW(BA128),COLUMN(BA128))),INDIRECT("'Yr2'!"&amp;ADDRESS(ROW(BA128),COLUMN(BA128))),INDIRECT("'Yr3'!"&amp;ADDRESS(ROW(BA128),COLUMN(BA128)))),
IF($C$4=BA$7,SUMIFS('EE Inputs'!$L$9:$L$32,'EE Inputs'!$C$9:$C$32,$AM$6,'EE Inputs'!$D$9:$D$32,$C$4,'EE Inputs'!$E$9:$E$32,$B128),0))</f>
        <v>0</v>
      </c>
      <c r="BB128" s="508">
        <f ca="1">IF($C$4=Lookups!$D$40,SUM(INDIRECT("'Yr1'!"&amp;ADDRESS(ROW(BB128),COLUMN(BB128))),INDIRECT("'Yr2'!"&amp;ADDRESS(ROW(BB128),COLUMN(BB128))),INDIRECT("'Yr3'!"&amp;ADDRESS(ROW(BB128),COLUMN(BB128)))),
IF($C$4=BB$7,SUMIFS('EE Inputs'!$L$9:$L$32,'EE Inputs'!$C$9:$C$32,$AM$6,'EE Inputs'!$D$9:$D$32,$C$4,'EE Inputs'!$E$9:$E$32,$B128),0))</f>
        <v>0</v>
      </c>
      <c r="BC128" s="508">
        <f ca="1">IF($C$4=Lookups!$D$40,SUM(INDIRECT("'Yr1'!"&amp;ADDRESS(ROW(BC128),COLUMN(BC128))),INDIRECT("'Yr2'!"&amp;ADDRESS(ROW(BC128),COLUMN(BC128))),INDIRECT("'Yr3'!"&amp;ADDRESS(ROW(BC128),COLUMN(BC128)))),
IF($C$4=BC$7,SUMIFS('EE Inputs'!$L$9:$L$32,'EE Inputs'!$C$9:$C$32,$AM$6,'EE Inputs'!$D$9:$D$32,$C$4,'EE Inputs'!$E$9:$E$32,$B128),0))</f>
        <v>0</v>
      </c>
      <c r="BD128" s="508">
        <f ca="1">IF($C$4=Lookups!$D$40,SUM(INDIRECT("'Yr1'!"&amp;ADDRESS(ROW(BD128),COLUMN(BD128))),INDIRECT("'Yr2'!"&amp;ADDRESS(ROW(BD128),COLUMN(BD128))),INDIRECT("'Yr3'!"&amp;ADDRESS(ROW(BD128),COLUMN(BD128)))),
IF($C$4=BD$7,SUMIFS('EE Inputs'!$L$9:$L$32,'EE Inputs'!$C$9:$C$32,$AM$6,'EE Inputs'!$D$9:$D$32,$C$4,'EE Inputs'!$E$9:$E$32,$B128),0))</f>
        <v>0</v>
      </c>
      <c r="BE128" s="508">
        <f ca="1">IF($C$4=Lookups!$D$40,SUM(INDIRECT("'Yr1'!"&amp;ADDRESS(ROW(BE128),COLUMN(BE128))),INDIRECT("'Yr2'!"&amp;ADDRESS(ROW(BE128),COLUMN(BE128))),INDIRECT("'Yr3'!"&amp;ADDRESS(ROW(BE128),COLUMN(BE128)))),
IF($C$4=BE$7,SUMIFS('EE Inputs'!$L$9:$L$32,'EE Inputs'!$C$9:$C$32,$AM$6,'EE Inputs'!$D$9:$D$32,$C$4,'EE Inputs'!$E$9:$E$32,$B128),0))</f>
        <v>0</v>
      </c>
      <c r="BF128" s="508">
        <f ca="1">IF($C$4=Lookups!$D$40,SUM(INDIRECT("'Yr1'!"&amp;ADDRESS(ROW(BF128),COLUMN(BF128))),INDIRECT("'Yr2'!"&amp;ADDRESS(ROW(BF128),COLUMN(BF128))),INDIRECT("'Yr3'!"&amp;ADDRESS(ROW(BF128),COLUMN(BF128)))),
IF($C$4=BF$7,SUMIFS('EE Inputs'!$L$9:$L$32,'EE Inputs'!$C$9:$C$32,$AM$6,'EE Inputs'!$D$9:$D$32,$C$4,'EE Inputs'!$E$9:$E$32,$B128),0))</f>
        <v>0</v>
      </c>
      <c r="BG128" s="508">
        <f ca="1">IF($C$4=Lookups!$D$40,SUM(INDIRECT("'Yr1'!"&amp;ADDRESS(ROW(BG128),COLUMN(BG128))),INDIRECT("'Yr2'!"&amp;ADDRESS(ROW(BG128),COLUMN(BG128))),INDIRECT("'Yr3'!"&amp;ADDRESS(ROW(BG128),COLUMN(BG128)))),
IF($C$4=BG$7,SUMIFS('EE Inputs'!$L$9:$L$32,'EE Inputs'!$C$9:$C$32,$AM$6,'EE Inputs'!$D$9:$D$32,$C$4,'EE Inputs'!$E$9:$E$32,$B128),0))</f>
        <v>0</v>
      </c>
      <c r="BH128" s="508">
        <f ca="1">IF($C$4=Lookups!$D$40,SUM(INDIRECT("'Yr1'!"&amp;ADDRESS(ROW(BH128),COLUMN(BH128))),INDIRECT("'Yr2'!"&amp;ADDRESS(ROW(BH128),COLUMN(BH128))),INDIRECT("'Yr3'!"&amp;ADDRESS(ROW(BH128),COLUMN(BH128)))),
IF($C$4=BH$7,SUMIFS('EE Inputs'!$L$9:$L$32,'EE Inputs'!$C$9:$C$32,$AM$6,'EE Inputs'!$D$9:$D$32,$C$4,'EE Inputs'!$E$9:$E$32,$B128),0))</f>
        <v>0</v>
      </c>
      <c r="BI128" s="508">
        <f ca="1">IF($C$4=Lookups!$D$40,SUM(INDIRECT("'Yr1'!"&amp;ADDRESS(ROW(BI128),COLUMN(BI128))),INDIRECT("'Yr2'!"&amp;ADDRESS(ROW(BI128),COLUMN(BI128))),INDIRECT("'Yr3'!"&amp;ADDRESS(ROW(BI128),COLUMN(BI128)))),
IF($C$4=BI$7,SUMIFS('EE Inputs'!$L$9:$L$32,'EE Inputs'!$C$9:$C$32,$AM$6,'EE Inputs'!$D$9:$D$32,$C$4,'EE Inputs'!$E$9:$E$32,$B128),0))</f>
        <v>0</v>
      </c>
      <c r="BJ128" s="508">
        <f ca="1">IF($C$4=Lookups!$D$40,SUM(INDIRECT("'Yr1'!"&amp;ADDRESS(ROW(BJ128),COLUMN(BJ128))),INDIRECT("'Yr2'!"&amp;ADDRESS(ROW(BJ128),COLUMN(BJ128))),INDIRECT("'Yr3'!"&amp;ADDRESS(ROW(BJ128),COLUMN(BJ128)))),
IF($C$4=BJ$7,SUMIFS('EE Inputs'!$L$9:$L$32,'EE Inputs'!$C$9:$C$32,$AM$6,'EE Inputs'!$D$9:$D$32,$C$4,'EE Inputs'!$E$9:$E$32,$B128),0))</f>
        <v>0</v>
      </c>
      <c r="BK128" s="508">
        <f ca="1">IF($C$4=Lookups!$D$40,SUM(INDIRECT("'Yr1'!"&amp;ADDRESS(ROW(BK128),COLUMN(BK128))),INDIRECT("'Yr2'!"&amp;ADDRESS(ROW(BK128),COLUMN(BK128))),INDIRECT("'Yr3'!"&amp;ADDRESS(ROW(BK128),COLUMN(BK128)))),
IF($C$4=BK$7,SUMIFS('EE Inputs'!$L$9:$L$32,'EE Inputs'!$C$9:$C$32,$AM$6,'EE Inputs'!$D$9:$D$32,$C$4,'EE Inputs'!$E$9:$E$32,$B128),0))</f>
        <v>0</v>
      </c>
      <c r="BL128" s="508">
        <f ca="1">IF($C$4=Lookups!$D$40,SUM(INDIRECT("'Yr1'!"&amp;ADDRESS(ROW(BL128),COLUMN(BL128))),INDIRECT("'Yr2'!"&amp;ADDRESS(ROW(BL128),COLUMN(BL128))),INDIRECT("'Yr3'!"&amp;ADDRESS(ROW(BL128),COLUMN(BL128)))),
IF($C$4=BL$7,SUMIFS('EE Inputs'!$L$9:$L$32,'EE Inputs'!$C$9:$C$32,$AM$6,'EE Inputs'!$D$9:$D$32,$C$4,'EE Inputs'!$E$9:$E$32,$B128),0))</f>
        <v>0</v>
      </c>
      <c r="BM128" s="508">
        <f ca="1">IF($C$4=Lookups!$D$40,SUM(INDIRECT("'Yr1'!"&amp;ADDRESS(ROW(BM128),COLUMN(BM128))),INDIRECT("'Yr2'!"&amp;ADDRESS(ROW(BM128),COLUMN(BM128))),INDIRECT("'Yr3'!"&amp;ADDRESS(ROW(BM128),COLUMN(BM128)))),
IF($C$4=BM$7,SUMIFS('EE Inputs'!$L$9:$L$32,'EE Inputs'!$C$9:$C$32,$AM$6,'EE Inputs'!$D$9:$D$32,$C$4,'EE Inputs'!$E$9:$E$32,$B128),0))</f>
        <v>0</v>
      </c>
      <c r="BN128" s="508"/>
      <c r="BO128" s="508"/>
      <c r="BP128" s="508">
        <f ca="1">IF($C$4=Year1,-PMT(Lookups!$E$17,25,NPV(Lookups!$E$17,AM128:BK128),0,1),IF($C$4=Year2,-PMT(Lookups!$F$17,25,NPV(Lookups!$F$17,AN128:BL128),0,1),IF($C$4=Year3,-PMT(Lookups!$G$17,25,NPV(Lookups!$G$17,AO128:BM128),0,1),-PMT(Lookups!$G$17,27,NPV(Lookups!$G$17,AM128:BM128),0,1))))</f>
        <v>3.7148314303711212E-3</v>
      </c>
      <c r="BS128" s="86" t="s">
        <v>402</v>
      </c>
      <c r="BT128" s="51" t="s">
        <v>17</v>
      </c>
    </row>
    <row r="129" spans="1:72" x14ac:dyDescent="0.25">
      <c r="A129" s="246"/>
      <c r="B129" s="243" t="str">
        <f t="shared" si="119"/>
        <v>Low-Income</v>
      </c>
      <c r="C129" s="243" t="str">
        <f t="shared" si="119"/>
        <v>Rates</v>
      </c>
      <c r="D129" s="244" t="str">
        <f t="shared" si="119"/>
        <v>Increased Costs and Cost Shifting</v>
      </c>
      <c r="E129" s="86" t="s">
        <v>198</v>
      </c>
      <c r="F129" s="84" t="s">
        <v>182</v>
      </c>
      <c r="G129" s="506">
        <f ca="1">IFERROR((G111/G96)-(G111/G94),0)</f>
        <v>0</v>
      </c>
      <c r="H129" s="506">
        <f t="shared" ref="H129:AG129" ca="1" si="122">IFERROR((H111/H96)-(H111/H94),0)</f>
        <v>4.3596937264499258E-3</v>
      </c>
      <c r="I129" s="506">
        <f t="shared" ca="1" si="122"/>
        <v>4.3596937264499258E-3</v>
      </c>
      <c r="J129" s="506">
        <f t="shared" ca="1" si="122"/>
        <v>4.3596937264499258E-3</v>
      </c>
      <c r="K129" s="506">
        <f t="shared" ca="1" si="122"/>
        <v>4.3596937264499258E-3</v>
      </c>
      <c r="L129" s="506">
        <f t="shared" ca="1" si="122"/>
        <v>4.3596937264499258E-3</v>
      </c>
      <c r="M129" s="506">
        <f t="shared" ca="1" si="122"/>
        <v>4.3596937264499258E-3</v>
      </c>
      <c r="N129" s="506">
        <f t="shared" ca="1" si="122"/>
        <v>4.3596937264499258E-3</v>
      </c>
      <c r="O129" s="506">
        <f t="shared" ca="1" si="122"/>
        <v>4.3596937264499258E-3</v>
      </c>
      <c r="P129" s="506">
        <f t="shared" ca="1" si="122"/>
        <v>4.3596937264499258E-3</v>
      </c>
      <c r="Q129" s="506">
        <f t="shared" ca="1" si="122"/>
        <v>4.3596937264499258E-3</v>
      </c>
      <c r="R129" s="506">
        <f t="shared" ca="1" si="122"/>
        <v>4.3596937264499258E-3</v>
      </c>
      <c r="S129" s="506">
        <f t="shared" ca="1" si="122"/>
        <v>4.3596937264499258E-3</v>
      </c>
      <c r="T129" s="506">
        <f t="shared" ca="1" si="122"/>
        <v>4.3596937264499258E-3</v>
      </c>
      <c r="U129" s="506">
        <f t="shared" ca="1" si="122"/>
        <v>4.3596937264499258E-3</v>
      </c>
      <c r="V129" s="506">
        <f t="shared" ca="1" si="122"/>
        <v>4.3596937264499258E-3</v>
      </c>
      <c r="W129" s="506">
        <f t="shared" ca="1" si="122"/>
        <v>4.3596937264499258E-3</v>
      </c>
      <c r="X129" s="506">
        <f t="shared" ca="1" si="122"/>
        <v>4.3596937264499258E-3</v>
      </c>
      <c r="Y129" s="506">
        <f t="shared" ca="1" si="122"/>
        <v>4.3596937264499258E-3</v>
      </c>
      <c r="Z129" s="506">
        <f t="shared" ca="1" si="122"/>
        <v>4.3596937264499258E-3</v>
      </c>
      <c r="AA129" s="506">
        <f t="shared" ca="1" si="122"/>
        <v>4.3596937264499258E-3</v>
      </c>
      <c r="AB129" s="506">
        <f t="shared" ca="1" si="122"/>
        <v>0</v>
      </c>
      <c r="AC129" s="506">
        <f t="shared" ca="1" si="122"/>
        <v>0</v>
      </c>
      <c r="AD129" s="506">
        <f t="shared" ca="1" si="122"/>
        <v>0</v>
      </c>
      <c r="AE129" s="506">
        <f t="shared" ca="1" si="122"/>
        <v>0</v>
      </c>
      <c r="AF129" s="506">
        <f t="shared" ca="1" si="122"/>
        <v>0</v>
      </c>
      <c r="AG129" s="506">
        <f t="shared" ca="1" si="122"/>
        <v>0</v>
      </c>
      <c r="AH129" s="506"/>
      <c r="AI129" s="506"/>
      <c r="AJ129" s="506">
        <f ca="1">IF($C$4=Year1,-PMT(Lookups!$E$17,25,NPV(Lookups!$E$17,G129:AE129),0,1),IF($C$4=Year2,-PMT(Lookups!$F$17,25,NPV(Lookups!$F$17,H129:AF129),0,1),IF($C$4=Year3,-PMT(Lookups!$G$17,25,NPV(Lookups!$G$17,I129:AG129),0,1),-PMT(Lookups!$G$17,27,NPV(Lookups!$G$17,G129:AG129),0,1))))</f>
        <v>3.5554420852496448E-3</v>
      </c>
      <c r="AK129" s="507"/>
      <c r="AL129" s="507"/>
      <c r="AM129" s="508">
        <f ca="1">IFERROR((AM111/AM96)-(AM111/AM94),0)</f>
        <v>0</v>
      </c>
      <c r="AN129" s="508">
        <f t="shared" ref="AN129:BM129" ca="1" si="123">IFERROR((AN111/AN96)-(AN111/AN94),0)</f>
        <v>4.9935933817877864E-3</v>
      </c>
      <c r="AO129" s="508">
        <f t="shared" ca="1" si="123"/>
        <v>4.9935933817877864E-3</v>
      </c>
      <c r="AP129" s="508">
        <f t="shared" ca="1" si="123"/>
        <v>4.9935933817877864E-3</v>
      </c>
      <c r="AQ129" s="508">
        <f t="shared" ca="1" si="123"/>
        <v>4.9935933817877864E-3</v>
      </c>
      <c r="AR129" s="508">
        <f t="shared" ca="1" si="123"/>
        <v>4.9935933817877864E-3</v>
      </c>
      <c r="AS129" s="508">
        <f t="shared" ca="1" si="123"/>
        <v>4.9935933817877864E-3</v>
      </c>
      <c r="AT129" s="508">
        <f t="shared" ca="1" si="123"/>
        <v>4.9935933817877864E-3</v>
      </c>
      <c r="AU129" s="508">
        <f t="shared" ca="1" si="123"/>
        <v>4.9935933817877864E-3</v>
      </c>
      <c r="AV129" s="508">
        <f t="shared" ca="1" si="123"/>
        <v>4.9935933817877864E-3</v>
      </c>
      <c r="AW129" s="508">
        <f t="shared" ca="1" si="123"/>
        <v>4.9935933817877864E-3</v>
      </c>
      <c r="AX129" s="508">
        <f t="shared" ca="1" si="123"/>
        <v>4.9935933817877864E-3</v>
      </c>
      <c r="AY129" s="508">
        <f t="shared" ca="1" si="123"/>
        <v>4.9935933817877864E-3</v>
      </c>
      <c r="AZ129" s="508">
        <f t="shared" ca="1" si="123"/>
        <v>4.9935933817877864E-3</v>
      </c>
      <c r="BA129" s="508">
        <f t="shared" ca="1" si="123"/>
        <v>4.9935933817877864E-3</v>
      </c>
      <c r="BB129" s="508">
        <f t="shared" ca="1" si="123"/>
        <v>4.9935933817877864E-3</v>
      </c>
      <c r="BC129" s="508">
        <f t="shared" ca="1" si="123"/>
        <v>4.9935933817877864E-3</v>
      </c>
      <c r="BD129" s="508">
        <f t="shared" ca="1" si="123"/>
        <v>4.9935933817877864E-3</v>
      </c>
      <c r="BE129" s="508">
        <f t="shared" ca="1" si="123"/>
        <v>4.9935933817877864E-3</v>
      </c>
      <c r="BF129" s="508">
        <f t="shared" ca="1" si="123"/>
        <v>4.9935933817877864E-3</v>
      </c>
      <c r="BG129" s="508">
        <f t="shared" ca="1" si="123"/>
        <v>4.9935933817877864E-3</v>
      </c>
      <c r="BH129" s="508">
        <f t="shared" ca="1" si="123"/>
        <v>0</v>
      </c>
      <c r="BI129" s="508">
        <f t="shared" ca="1" si="123"/>
        <v>0</v>
      </c>
      <c r="BJ129" s="508">
        <f t="shared" ca="1" si="123"/>
        <v>0</v>
      </c>
      <c r="BK129" s="508">
        <f t="shared" ca="1" si="123"/>
        <v>0</v>
      </c>
      <c r="BL129" s="508">
        <f t="shared" ca="1" si="123"/>
        <v>0</v>
      </c>
      <c r="BM129" s="508">
        <f t="shared" ca="1" si="123"/>
        <v>0</v>
      </c>
      <c r="BN129" s="508"/>
      <c r="BO129" s="508"/>
      <c r="BP129" s="508">
        <f ca="1">IF($C$4=Year1,-PMT(Lookups!$E$17,25,NPV(Lookups!$E$17,AM129:BK129),0,1),IF($C$4=Year2,-PMT(Lookups!$F$17,25,NPV(Lookups!$F$17,AN129:BL129),0,1),IF($C$4=Year3,-PMT(Lookups!$G$17,25,NPV(Lookups!$G$17,AO129:BM129),0,1),-PMT(Lookups!$G$17,27,NPV(Lookups!$G$17,AM129:BM129),0,1))))</f>
        <v>4.0724035173658243E-3</v>
      </c>
      <c r="BS129" s="84" t="s">
        <v>103</v>
      </c>
      <c r="BT129" s="51" t="s">
        <v>17</v>
      </c>
    </row>
    <row r="130" spans="1:72" x14ac:dyDescent="0.25">
      <c r="B130" s="243" t="str">
        <f t="shared" si="119"/>
        <v>Low-Income</v>
      </c>
      <c r="C130" s="243" t="str">
        <f t="shared" si="119"/>
        <v>Rates</v>
      </c>
      <c r="D130" s="114" t="s">
        <v>110</v>
      </c>
      <c r="E130" s="86"/>
      <c r="F130" s="86"/>
      <c r="G130" s="238"/>
      <c r="H130" s="238"/>
      <c r="I130" s="238"/>
      <c r="J130" s="238"/>
      <c r="K130" s="238"/>
      <c r="L130" s="238"/>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49"/>
      <c r="AI130" s="238"/>
      <c r="AJ130" s="49"/>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S130" s="84"/>
      <c r="BT130" s="51" t="s">
        <v>17</v>
      </c>
    </row>
    <row r="131" spans="1:72" x14ac:dyDescent="0.25">
      <c r="B131" s="243" t="str">
        <f t="shared" si="119"/>
        <v>Low-Income</v>
      </c>
      <c r="C131" s="243" t="str">
        <f t="shared" si="119"/>
        <v>Rates</v>
      </c>
      <c r="D131" s="244" t="str">
        <f>D130</f>
        <v>Rates after DSM Scenario</v>
      </c>
      <c r="E131" s="86" t="s">
        <v>26</v>
      </c>
      <c r="F131" s="84" t="s">
        <v>182</v>
      </c>
      <c r="G131" s="506">
        <f ca="1">IFERROR(G111/G96,0)</f>
        <v>0</v>
      </c>
      <c r="H131" s="506">
        <f t="shared" ref="H131:AG131" ca="1" si="124">IFERROR(H111/H96,0)</f>
        <v>0.22624624094375656</v>
      </c>
      <c r="I131" s="506">
        <f t="shared" ca="1" si="124"/>
        <v>0.22624624094375656</v>
      </c>
      <c r="J131" s="506">
        <f t="shared" ca="1" si="124"/>
        <v>0.22624624094375656</v>
      </c>
      <c r="K131" s="506">
        <f t="shared" ca="1" si="124"/>
        <v>0.22624624094375656</v>
      </c>
      <c r="L131" s="506">
        <f t="shared" ca="1" si="124"/>
        <v>0.22624624094375656</v>
      </c>
      <c r="M131" s="506">
        <f t="shared" ca="1" si="124"/>
        <v>0.22624624094375656</v>
      </c>
      <c r="N131" s="506">
        <f t="shared" ca="1" si="124"/>
        <v>0.22624624094375656</v>
      </c>
      <c r="O131" s="506">
        <f t="shared" ca="1" si="124"/>
        <v>0.22624624094375656</v>
      </c>
      <c r="P131" s="506">
        <f t="shared" ca="1" si="124"/>
        <v>0.22624624094375656</v>
      </c>
      <c r="Q131" s="506">
        <f t="shared" ca="1" si="124"/>
        <v>0.22624624094375656</v>
      </c>
      <c r="R131" s="506">
        <f t="shared" ca="1" si="124"/>
        <v>0.22624624094375656</v>
      </c>
      <c r="S131" s="506">
        <f t="shared" ca="1" si="124"/>
        <v>0.22624624094375656</v>
      </c>
      <c r="T131" s="506">
        <f t="shared" ca="1" si="124"/>
        <v>0.22624624094375656</v>
      </c>
      <c r="U131" s="506">
        <f t="shared" ca="1" si="124"/>
        <v>0.22624624094375656</v>
      </c>
      <c r="V131" s="506">
        <f t="shared" ca="1" si="124"/>
        <v>0.22624624094375656</v>
      </c>
      <c r="W131" s="506">
        <f t="shared" ca="1" si="124"/>
        <v>0.22624624094375656</v>
      </c>
      <c r="X131" s="506">
        <f t="shared" ca="1" si="124"/>
        <v>0.22624624094375656</v>
      </c>
      <c r="Y131" s="506">
        <f t="shared" ca="1" si="124"/>
        <v>0.22624624094375656</v>
      </c>
      <c r="Z131" s="506">
        <f t="shared" ca="1" si="124"/>
        <v>0.22624624094375656</v>
      </c>
      <c r="AA131" s="506">
        <f t="shared" ca="1" si="124"/>
        <v>0.22624624094375656</v>
      </c>
      <c r="AB131" s="506">
        <f t="shared" ca="1" si="124"/>
        <v>0.2228</v>
      </c>
      <c r="AC131" s="506">
        <f t="shared" ca="1" si="124"/>
        <v>0.2228</v>
      </c>
      <c r="AD131" s="506">
        <f t="shared" ca="1" si="124"/>
        <v>0.2228</v>
      </c>
      <c r="AE131" s="506">
        <f t="shared" ca="1" si="124"/>
        <v>0.2228</v>
      </c>
      <c r="AF131" s="506">
        <f t="shared" ca="1" si="124"/>
        <v>0.2228</v>
      </c>
      <c r="AG131" s="506">
        <f t="shared" ca="1" si="124"/>
        <v>0.2228</v>
      </c>
      <c r="AH131" s="509"/>
      <c r="AI131" s="506"/>
      <c r="AJ131" s="509">
        <f ca="1">IF($C$4=Year1,-PMT(Lookups!$E$17,25,NPV(Lookups!$E$17,G131:AE131),0,1),IF($C$4=Year2,-PMT(Lookups!$F$17,25,NPV(Lookups!$F$17,H131:AF131),0,1),IF($C$4=Year3,-PMT(Lookups!$G$17,25,NPV(Lookups!$G$17,I131:AG131),0,1),-PMT(Lookups!$G$17,27,NPV(Lookups!$G$17,G131:AG131),0,1))))</f>
        <v>0.22250316618649404</v>
      </c>
      <c r="AK131" s="507"/>
      <c r="AL131" s="507"/>
      <c r="AM131" s="508">
        <f ca="1">IFERROR(AM111/AM96,0)</f>
        <v>0</v>
      </c>
      <c r="AN131" s="508">
        <f t="shared" ref="AN131:BM131" ca="1" si="125">IFERROR(AN111/AN96,0)</f>
        <v>0.22674964734442393</v>
      </c>
      <c r="AO131" s="508">
        <f t="shared" ca="1" si="125"/>
        <v>0.22674964734442393</v>
      </c>
      <c r="AP131" s="508">
        <f t="shared" ca="1" si="125"/>
        <v>0.22674964734442393</v>
      </c>
      <c r="AQ131" s="508">
        <f t="shared" ca="1" si="125"/>
        <v>0.22674964734442393</v>
      </c>
      <c r="AR131" s="508">
        <f t="shared" ca="1" si="125"/>
        <v>0.22674964734442393</v>
      </c>
      <c r="AS131" s="508">
        <f t="shared" ca="1" si="125"/>
        <v>0.22674964734442393</v>
      </c>
      <c r="AT131" s="508">
        <f t="shared" ca="1" si="125"/>
        <v>0.22674964734442393</v>
      </c>
      <c r="AU131" s="508">
        <f t="shared" ca="1" si="125"/>
        <v>0.22674964734442393</v>
      </c>
      <c r="AV131" s="508">
        <f t="shared" ca="1" si="125"/>
        <v>0.22674964734442393</v>
      </c>
      <c r="AW131" s="508">
        <f t="shared" ca="1" si="125"/>
        <v>0.22674964734442393</v>
      </c>
      <c r="AX131" s="508">
        <f t="shared" ca="1" si="125"/>
        <v>0.22674964734442393</v>
      </c>
      <c r="AY131" s="508">
        <f t="shared" ca="1" si="125"/>
        <v>0.22674964734442393</v>
      </c>
      <c r="AZ131" s="508">
        <f t="shared" ca="1" si="125"/>
        <v>0.22674964734442393</v>
      </c>
      <c r="BA131" s="508">
        <f t="shared" ca="1" si="125"/>
        <v>0.22674964734442393</v>
      </c>
      <c r="BB131" s="508">
        <f t="shared" ca="1" si="125"/>
        <v>0.22674964734442393</v>
      </c>
      <c r="BC131" s="508">
        <f t="shared" ca="1" si="125"/>
        <v>0.22674964734442393</v>
      </c>
      <c r="BD131" s="508">
        <f t="shared" ca="1" si="125"/>
        <v>0.22674964734442393</v>
      </c>
      <c r="BE131" s="508">
        <f t="shared" ca="1" si="125"/>
        <v>0.22674964734442393</v>
      </c>
      <c r="BF131" s="508">
        <f t="shared" ca="1" si="125"/>
        <v>0.22674964734442393</v>
      </c>
      <c r="BG131" s="508">
        <f t="shared" ca="1" si="125"/>
        <v>0.22674964734442393</v>
      </c>
      <c r="BH131" s="508">
        <f t="shared" ca="1" si="125"/>
        <v>0.2228</v>
      </c>
      <c r="BI131" s="508">
        <f t="shared" ca="1" si="125"/>
        <v>0.2228</v>
      </c>
      <c r="BJ131" s="508">
        <f t="shared" ca="1" si="125"/>
        <v>0.2228</v>
      </c>
      <c r="BK131" s="508">
        <f t="shared" ca="1" si="125"/>
        <v>0.2228</v>
      </c>
      <c r="BL131" s="508">
        <f t="shared" ca="1" si="125"/>
        <v>0.2228</v>
      </c>
      <c r="BM131" s="508">
        <f t="shared" ca="1" si="125"/>
        <v>0.2228</v>
      </c>
      <c r="BN131" s="508"/>
      <c r="BO131" s="508"/>
      <c r="BP131" s="508">
        <f ca="1">IF($C$4=Year1,-PMT(Lookups!$E$17,25,NPV(Lookups!$E$17,AM131:BK131),0,1),IF($C$4=Year2,-PMT(Lookups!$F$17,25,NPV(Lookups!$F$17,AN131:BL131),0,1),IF($C$4=Year3,-PMT(Lookups!$G$17,25,NPV(Lookups!$G$17,AO131:BM131),0,1),-PMT(Lookups!$G$17,27,NPV(Lookups!$G$17,AM131:BM131),0,1))))</f>
        <v>0.22291370702152061</v>
      </c>
      <c r="BS131" s="84" t="s">
        <v>238</v>
      </c>
      <c r="BT131" s="51" t="s">
        <v>17</v>
      </c>
    </row>
    <row r="132" spans="1:72" x14ac:dyDescent="0.25">
      <c r="B132" s="243" t="str">
        <f t="shared" si="119"/>
        <v>Low-Income</v>
      </c>
      <c r="C132" s="243" t="str">
        <f t="shared" si="119"/>
        <v>Rates</v>
      </c>
      <c r="D132" s="244" t="str">
        <f>D131</f>
        <v>Rates after DSM Scenario</v>
      </c>
      <c r="E132" s="84" t="s">
        <v>407</v>
      </c>
      <c r="F132" s="84" t="s">
        <v>182</v>
      </c>
      <c r="G132" s="506">
        <f ca="1">IFERROR(G112/G96,0)</f>
        <v>0</v>
      </c>
      <c r="H132" s="506">
        <f t="shared" ref="H132:AG132" ca="1" si="126">IFERROR(H112/H96,0)</f>
        <v>-3.3648393941755957E-2</v>
      </c>
      <c r="I132" s="506">
        <f t="shared" ca="1" si="126"/>
        <v>-3.3648393941755957E-2</v>
      </c>
      <c r="J132" s="506">
        <f t="shared" ca="1" si="126"/>
        <v>-3.3648393941755957E-2</v>
      </c>
      <c r="K132" s="506">
        <f t="shared" ca="1" si="126"/>
        <v>-3.3648393941755957E-2</v>
      </c>
      <c r="L132" s="506">
        <f t="shared" ca="1" si="126"/>
        <v>-3.3648393941755957E-2</v>
      </c>
      <c r="M132" s="506">
        <f t="shared" ca="1" si="126"/>
        <v>-3.3648393941755957E-2</v>
      </c>
      <c r="N132" s="506">
        <f t="shared" ca="1" si="126"/>
        <v>-3.3648393941755957E-2</v>
      </c>
      <c r="O132" s="506">
        <f t="shared" ca="1" si="126"/>
        <v>-3.3648393941755957E-2</v>
      </c>
      <c r="P132" s="506">
        <f t="shared" ca="1" si="126"/>
        <v>-3.3648393941755957E-2</v>
      </c>
      <c r="Q132" s="506">
        <f t="shared" ca="1" si="126"/>
        <v>-3.3648393941755957E-2</v>
      </c>
      <c r="R132" s="506">
        <f t="shared" ca="1" si="126"/>
        <v>-3.3648393941755957E-2</v>
      </c>
      <c r="S132" s="506">
        <f t="shared" ca="1" si="126"/>
        <v>-3.3648393941755957E-2</v>
      </c>
      <c r="T132" s="506">
        <f t="shared" ca="1" si="126"/>
        <v>-3.3648393941755957E-2</v>
      </c>
      <c r="U132" s="506">
        <f t="shared" ca="1" si="126"/>
        <v>-3.3648393941755957E-2</v>
      </c>
      <c r="V132" s="506">
        <f t="shared" ca="1" si="126"/>
        <v>-3.3648393941755957E-2</v>
      </c>
      <c r="W132" s="506">
        <f t="shared" ca="1" si="126"/>
        <v>-3.3648393941755957E-2</v>
      </c>
      <c r="X132" s="506">
        <f t="shared" ca="1" si="126"/>
        <v>-3.3648393941755957E-2</v>
      </c>
      <c r="Y132" s="506">
        <f t="shared" ca="1" si="126"/>
        <v>-3.3648393941755957E-2</v>
      </c>
      <c r="Z132" s="506">
        <f t="shared" ca="1" si="126"/>
        <v>-3.3648393941755957E-2</v>
      </c>
      <c r="AA132" s="506">
        <f t="shared" ca="1" si="126"/>
        <v>-3.3648393941755957E-2</v>
      </c>
      <c r="AB132" s="506">
        <f t="shared" ca="1" si="126"/>
        <v>-3.3000000000000002E-2</v>
      </c>
      <c r="AC132" s="506">
        <f t="shared" ca="1" si="126"/>
        <v>-3.3000000000000002E-2</v>
      </c>
      <c r="AD132" s="506">
        <f t="shared" ca="1" si="126"/>
        <v>-3.3000000000000002E-2</v>
      </c>
      <c r="AE132" s="506">
        <f t="shared" ca="1" si="126"/>
        <v>-3.3000000000000002E-2</v>
      </c>
      <c r="AF132" s="506">
        <f t="shared" ca="1" si="126"/>
        <v>-3.3000000000000002E-2</v>
      </c>
      <c r="AG132" s="506">
        <f t="shared" ca="1" si="126"/>
        <v>-3.3000000000000002E-2</v>
      </c>
      <c r="AH132" s="509"/>
      <c r="AI132" s="506"/>
      <c r="AJ132" s="509">
        <f ca="1">IF($C$4=Year1,-PMT(Lookups!$E$17,25,NPV(Lookups!$E$17,G132:AE132),0,1),IF($C$4=Year2,-PMT(Lookups!$F$17,25,NPV(Lookups!$F$17,H132:AF132),0,1),IF($C$4=Year3,-PMT(Lookups!$G$17,25,NPV(Lookups!$G$17,I132:AG132),0,1),-PMT(Lookups!$G$17,27,NPV(Lookups!$G$17,G132:AG132),0,1))))</f>
        <v>-3.3068539763801696E-2</v>
      </c>
      <c r="AK132" s="507"/>
      <c r="AL132" s="507"/>
      <c r="AM132" s="508">
        <f ca="1">IFERROR(AM112/AM96,0)</f>
        <v>0</v>
      </c>
      <c r="AN132" s="508">
        <f t="shared" ref="AN132:BM132" ca="1" si="127">IFERROR(AN112/AN96,0)</f>
        <v>-3.3743107476230452E-2</v>
      </c>
      <c r="AO132" s="508">
        <f t="shared" ca="1" si="127"/>
        <v>-3.3743107476230452E-2</v>
      </c>
      <c r="AP132" s="508">
        <f t="shared" ca="1" si="127"/>
        <v>-3.3743107476230452E-2</v>
      </c>
      <c r="AQ132" s="508">
        <f t="shared" ca="1" si="127"/>
        <v>-3.3743107476230452E-2</v>
      </c>
      <c r="AR132" s="508">
        <f t="shared" ca="1" si="127"/>
        <v>-3.3743107476230452E-2</v>
      </c>
      <c r="AS132" s="508">
        <f t="shared" ca="1" si="127"/>
        <v>-3.3743107476230452E-2</v>
      </c>
      <c r="AT132" s="508">
        <f t="shared" ca="1" si="127"/>
        <v>-3.3743107476230452E-2</v>
      </c>
      <c r="AU132" s="508">
        <f t="shared" ca="1" si="127"/>
        <v>-3.3743107476230452E-2</v>
      </c>
      <c r="AV132" s="508">
        <f t="shared" ca="1" si="127"/>
        <v>-3.3743107476230452E-2</v>
      </c>
      <c r="AW132" s="508">
        <f t="shared" ca="1" si="127"/>
        <v>-3.3743107476230452E-2</v>
      </c>
      <c r="AX132" s="508">
        <f t="shared" ca="1" si="127"/>
        <v>-3.3743107476230452E-2</v>
      </c>
      <c r="AY132" s="508">
        <f t="shared" ca="1" si="127"/>
        <v>-3.3743107476230452E-2</v>
      </c>
      <c r="AZ132" s="508">
        <f t="shared" ca="1" si="127"/>
        <v>-3.3743107476230452E-2</v>
      </c>
      <c r="BA132" s="508">
        <f t="shared" ca="1" si="127"/>
        <v>-3.3743107476230452E-2</v>
      </c>
      <c r="BB132" s="508">
        <f t="shared" ca="1" si="127"/>
        <v>-3.3743107476230452E-2</v>
      </c>
      <c r="BC132" s="508">
        <f t="shared" ca="1" si="127"/>
        <v>-3.3743107476230452E-2</v>
      </c>
      <c r="BD132" s="508">
        <f t="shared" ca="1" si="127"/>
        <v>-3.3743107476230452E-2</v>
      </c>
      <c r="BE132" s="508">
        <f t="shared" ca="1" si="127"/>
        <v>-3.3743107476230452E-2</v>
      </c>
      <c r="BF132" s="508">
        <f t="shared" ca="1" si="127"/>
        <v>-3.3743107476230452E-2</v>
      </c>
      <c r="BG132" s="508">
        <f t="shared" ca="1" si="127"/>
        <v>-3.3743107476230452E-2</v>
      </c>
      <c r="BH132" s="508">
        <f t="shared" ca="1" si="127"/>
        <v>-3.3000000000000002E-2</v>
      </c>
      <c r="BI132" s="508">
        <f t="shared" ca="1" si="127"/>
        <v>-3.3000000000000002E-2</v>
      </c>
      <c r="BJ132" s="508">
        <f t="shared" ca="1" si="127"/>
        <v>-3.3000000000000002E-2</v>
      </c>
      <c r="BK132" s="508">
        <f t="shared" ca="1" si="127"/>
        <v>-3.3000000000000002E-2</v>
      </c>
      <c r="BL132" s="508">
        <f t="shared" ca="1" si="127"/>
        <v>-3.3000000000000002E-2</v>
      </c>
      <c r="BM132" s="508">
        <f t="shared" ca="1" si="127"/>
        <v>-3.3000000000000002E-2</v>
      </c>
      <c r="BN132" s="508"/>
      <c r="BO132" s="508"/>
      <c r="BP132" s="508">
        <f ca="1">IF($C$4=Year1,-PMT(Lookups!$E$17,25,NPV(Lookups!$E$17,AM132:BK132),0,1),IF($C$4=Year2,-PMT(Lookups!$F$17,25,NPV(Lookups!$F$17,AN132:BL132),0,1),IF($C$4=Year3,-PMT(Lookups!$G$17,25,NPV(Lookups!$G$17,AO132:BM132),0,1),-PMT(Lookups!$G$17,27,NPV(Lookups!$G$17,AM132:BM132),0,1))))</f>
        <v>-3.3145781081114961E-2</v>
      </c>
      <c r="BS132" s="84" t="s">
        <v>237</v>
      </c>
      <c r="BT132" s="51" t="s">
        <v>17</v>
      </c>
    </row>
    <row r="133" spans="1:72" x14ac:dyDescent="0.25">
      <c r="B133" s="243" t="str">
        <f t="shared" si="119"/>
        <v>Low-Income</v>
      </c>
      <c r="C133" s="243" t="str">
        <f t="shared" si="119"/>
        <v>Rates</v>
      </c>
      <c r="D133" s="244" t="str">
        <f t="shared" si="119"/>
        <v>Rates after DSM Scenario</v>
      </c>
      <c r="E133" s="84" t="s">
        <v>197</v>
      </c>
      <c r="F133" s="84" t="s">
        <v>182</v>
      </c>
      <c r="G133" s="506">
        <f ca="1">IFERROR(G119+G125,0)</f>
        <v>0</v>
      </c>
      <c r="H133" s="506">
        <f t="shared" ref="H133:AG133" ca="1" si="128">IFERROR(H119+H125,0)</f>
        <v>0.61980165544634047</v>
      </c>
      <c r="I133" s="506">
        <f t="shared" ca="1" si="128"/>
        <v>0.61980165544634047</v>
      </c>
      <c r="J133" s="506">
        <f t="shared" ca="1" si="128"/>
        <v>0.61980165544634047</v>
      </c>
      <c r="K133" s="506">
        <f t="shared" ca="1" si="128"/>
        <v>0.61980165544634047</v>
      </c>
      <c r="L133" s="506">
        <f t="shared" ca="1" si="128"/>
        <v>0.61980165544634047</v>
      </c>
      <c r="M133" s="506">
        <f t="shared" ca="1" si="128"/>
        <v>0.61980165544634047</v>
      </c>
      <c r="N133" s="506">
        <f t="shared" ca="1" si="128"/>
        <v>0.61980165544634047</v>
      </c>
      <c r="O133" s="506">
        <f t="shared" ca="1" si="128"/>
        <v>0.61980165544634047</v>
      </c>
      <c r="P133" s="506">
        <f t="shared" ca="1" si="128"/>
        <v>0.61980165544634047</v>
      </c>
      <c r="Q133" s="506">
        <f t="shared" ca="1" si="128"/>
        <v>0.61980165544634047</v>
      </c>
      <c r="R133" s="506">
        <f t="shared" ca="1" si="128"/>
        <v>0.61980165544634047</v>
      </c>
      <c r="S133" s="506">
        <f t="shared" ca="1" si="128"/>
        <v>0.61980165544634047</v>
      </c>
      <c r="T133" s="506">
        <f t="shared" ca="1" si="128"/>
        <v>0.61980165544634047</v>
      </c>
      <c r="U133" s="506">
        <f t="shared" ca="1" si="128"/>
        <v>0.61980165544634047</v>
      </c>
      <c r="V133" s="506">
        <f t="shared" ca="1" si="128"/>
        <v>0.61980165544634047</v>
      </c>
      <c r="W133" s="506">
        <f t="shared" ca="1" si="128"/>
        <v>0.61980165544634047</v>
      </c>
      <c r="X133" s="506">
        <f t="shared" ca="1" si="128"/>
        <v>0.61980165544634047</v>
      </c>
      <c r="Y133" s="506">
        <f t="shared" ca="1" si="128"/>
        <v>0.61980165544634047</v>
      </c>
      <c r="Z133" s="506">
        <f t="shared" ca="1" si="128"/>
        <v>0.61980165544634047</v>
      </c>
      <c r="AA133" s="506">
        <f t="shared" ca="1" si="128"/>
        <v>0.61980165544634047</v>
      </c>
      <c r="AB133" s="506">
        <f t="shared" ca="1" si="128"/>
        <v>0.62029999999999996</v>
      </c>
      <c r="AC133" s="506">
        <f t="shared" ca="1" si="128"/>
        <v>0.62029999999999996</v>
      </c>
      <c r="AD133" s="506">
        <f t="shared" ca="1" si="128"/>
        <v>0.62029999999999996</v>
      </c>
      <c r="AE133" s="506">
        <f t="shared" ca="1" si="128"/>
        <v>0.62029999999999996</v>
      </c>
      <c r="AF133" s="506">
        <f t="shared" ca="1" si="128"/>
        <v>0.62029999999999996</v>
      </c>
      <c r="AG133" s="506">
        <f t="shared" ca="1" si="128"/>
        <v>0.62029999999999996</v>
      </c>
      <c r="AH133" s="509"/>
      <c r="AI133" s="506"/>
      <c r="AJ133" s="509">
        <f ca="1">IF($C$4=Year1,-PMT(Lookups!$E$17,25,NPV(Lookups!$E$17,G133:AE133),0,1),IF($C$4=Year2,-PMT(Lookups!$F$17,25,NPV(Lookups!$F$17,H133:AF133),0,1),IF($C$4=Year3,-PMT(Lookups!$G$17,25,NPV(Lookups!$G$17,I133:AG133),0,1),-PMT(Lookups!$G$17,27,NPV(Lookups!$G$17,G133:AG133),0,1))))</f>
        <v>0.61124242984608601</v>
      </c>
      <c r="AK133" s="507"/>
      <c r="AL133" s="507"/>
      <c r="AM133" s="508">
        <f ca="1">IFERROR(AM119+AM125,0)</f>
        <v>0</v>
      </c>
      <c r="AN133" s="508">
        <f t="shared" ref="AN133:BM133" ca="1" si="129">IFERROR(AN119+AN125,0)</f>
        <v>0.61972886023493645</v>
      </c>
      <c r="AO133" s="508">
        <f t="shared" ca="1" si="129"/>
        <v>0.61972886023493645</v>
      </c>
      <c r="AP133" s="508">
        <f t="shared" ca="1" si="129"/>
        <v>0.61972886023493645</v>
      </c>
      <c r="AQ133" s="508">
        <f t="shared" ca="1" si="129"/>
        <v>0.61972886023493645</v>
      </c>
      <c r="AR133" s="508">
        <f t="shared" ca="1" si="129"/>
        <v>0.61972886023493645</v>
      </c>
      <c r="AS133" s="508">
        <f t="shared" ca="1" si="129"/>
        <v>0.61972886023493645</v>
      </c>
      <c r="AT133" s="508">
        <f t="shared" ca="1" si="129"/>
        <v>0.61972886023493645</v>
      </c>
      <c r="AU133" s="508">
        <f t="shared" ca="1" si="129"/>
        <v>0.61972886023493645</v>
      </c>
      <c r="AV133" s="508">
        <f t="shared" ca="1" si="129"/>
        <v>0.61972886023493645</v>
      </c>
      <c r="AW133" s="508">
        <f t="shared" ca="1" si="129"/>
        <v>0.61972886023493645</v>
      </c>
      <c r="AX133" s="508">
        <f t="shared" ca="1" si="129"/>
        <v>0.61972886023493645</v>
      </c>
      <c r="AY133" s="508">
        <f t="shared" ca="1" si="129"/>
        <v>0.61972886023493645</v>
      </c>
      <c r="AZ133" s="508">
        <f t="shared" ca="1" si="129"/>
        <v>0.61972886023493645</v>
      </c>
      <c r="BA133" s="508">
        <f t="shared" ca="1" si="129"/>
        <v>0.61972886023493645</v>
      </c>
      <c r="BB133" s="508">
        <f t="shared" ca="1" si="129"/>
        <v>0.61972886023493645</v>
      </c>
      <c r="BC133" s="508">
        <f t="shared" ca="1" si="129"/>
        <v>0.61972886023493645</v>
      </c>
      <c r="BD133" s="508">
        <f t="shared" ca="1" si="129"/>
        <v>0.61972886023493645</v>
      </c>
      <c r="BE133" s="508">
        <f t="shared" ca="1" si="129"/>
        <v>0.61972886023493645</v>
      </c>
      <c r="BF133" s="508">
        <f t="shared" ca="1" si="129"/>
        <v>0.61972886023493645</v>
      </c>
      <c r="BG133" s="508">
        <f t="shared" ca="1" si="129"/>
        <v>0.61972886023493645</v>
      </c>
      <c r="BH133" s="508">
        <f t="shared" ca="1" si="129"/>
        <v>0.62029999999999996</v>
      </c>
      <c r="BI133" s="508">
        <f t="shared" ca="1" si="129"/>
        <v>0.62029999999999996</v>
      </c>
      <c r="BJ133" s="508">
        <f t="shared" ca="1" si="129"/>
        <v>0.62029999999999996</v>
      </c>
      <c r="BK133" s="508">
        <f t="shared" ca="1" si="129"/>
        <v>0.62029999999999996</v>
      </c>
      <c r="BL133" s="508">
        <f t="shared" ca="1" si="129"/>
        <v>0.62029999999999996</v>
      </c>
      <c r="BM133" s="508">
        <f t="shared" ca="1" si="129"/>
        <v>0.62029999999999996</v>
      </c>
      <c r="BN133" s="508"/>
      <c r="BO133" s="508"/>
      <c r="BP133" s="508">
        <f ca="1">IF($C$4=Year1,-PMT(Lookups!$E$17,25,NPV(Lookups!$E$17,AM133:BK133),0,1),IF($C$4=Year2,-PMT(Lookups!$F$17,25,NPV(Lookups!$F$17,AN133:BL133),0,1),IF($C$4=Year3,-PMT(Lookups!$G$17,25,NPV(Lookups!$G$17,AO133:BM133),0,1),-PMT(Lookups!$G$17,27,NPV(Lookups!$G$17,AM133:BM133),0,1))))</f>
        <v>0.61118306348356832</v>
      </c>
      <c r="BS133" s="86" t="s">
        <v>236</v>
      </c>
      <c r="BT133" s="51" t="s">
        <v>17</v>
      </c>
    </row>
    <row r="134" spans="1:72" x14ac:dyDescent="0.25">
      <c r="B134" s="243" t="str">
        <f t="shared" si="119"/>
        <v>Low-Income</v>
      </c>
      <c r="C134" s="243" t="str">
        <f t="shared" si="119"/>
        <v>Rates</v>
      </c>
      <c r="D134" s="244" t="str">
        <f t="shared" si="119"/>
        <v>Rates after DSM Scenario</v>
      </c>
      <c r="E134" s="84" t="s">
        <v>406</v>
      </c>
      <c r="F134" s="84" t="s">
        <v>182</v>
      </c>
      <c r="G134" s="509">
        <f ca="1">G128</f>
        <v>0</v>
      </c>
      <c r="H134" s="509">
        <f t="shared" ref="H134:AG134" ca="1" si="130">H128</f>
        <v>6.6654138295917709E-2</v>
      </c>
      <c r="I134" s="509">
        <f t="shared" ca="1" si="130"/>
        <v>0</v>
      </c>
      <c r="J134" s="509">
        <f t="shared" ca="1" si="130"/>
        <v>0</v>
      </c>
      <c r="K134" s="509">
        <f t="shared" ca="1" si="130"/>
        <v>0</v>
      </c>
      <c r="L134" s="509">
        <f t="shared" ca="1" si="130"/>
        <v>0</v>
      </c>
      <c r="M134" s="509">
        <f t="shared" ca="1" si="130"/>
        <v>0</v>
      </c>
      <c r="N134" s="509">
        <f t="shared" ca="1" si="130"/>
        <v>0</v>
      </c>
      <c r="O134" s="509">
        <f t="shared" ca="1" si="130"/>
        <v>0</v>
      </c>
      <c r="P134" s="509">
        <f t="shared" ca="1" si="130"/>
        <v>0</v>
      </c>
      <c r="Q134" s="509">
        <f t="shared" ca="1" si="130"/>
        <v>0</v>
      </c>
      <c r="R134" s="509">
        <f t="shared" ca="1" si="130"/>
        <v>0</v>
      </c>
      <c r="S134" s="509">
        <f t="shared" ca="1" si="130"/>
        <v>0</v>
      </c>
      <c r="T134" s="509">
        <f t="shared" ca="1" si="130"/>
        <v>0</v>
      </c>
      <c r="U134" s="509">
        <f t="shared" ca="1" si="130"/>
        <v>0</v>
      </c>
      <c r="V134" s="509">
        <f t="shared" ca="1" si="130"/>
        <v>0</v>
      </c>
      <c r="W134" s="509">
        <f t="shared" ca="1" si="130"/>
        <v>0</v>
      </c>
      <c r="X134" s="509">
        <f t="shared" ca="1" si="130"/>
        <v>0</v>
      </c>
      <c r="Y134" s="509">
        <f t="shared" ca="1" si="130"/>
        <v>0</v>
      </c>
      <c r="Z134" s="509">
        <f t="shared" ca="1" si="130"/>
        <v>0</v>
      </c>
      <c r="AA134" s="509">
        <f t="shared" ca="1" si="130"/>
        <v>0</v>
      </c>
      <c r="AB134" s="509">
        <f t="shared" ca="1" si="130"/>
        <v>0</v>
      </c>
      <c r="AC134" s="509">
        <f t="shared" ca="1" si="130"/>
        <v>0</v>
      </c>
      <c r="AD134" s="509">
        <f t="shared" ca="1" si="130"/>
        <v>0</v>
      </c>
      <c r="AE134" s="509">
        <f t="shared" ca="1" si="130"/>
        <v>0</v>
      </c>
      <c r="AF134" s="509">
        <f t="shared" ca="1" si="130"/>
        <v>0</v>
      </c>
      <c r="AG134" s="509">
        <f t="shared" ca="1" si="130"/>
        <v>0</v>
      </c>
      <c r="AH134" s="509"/>
      <c r="AI134" s="509"/>
      <c r="AJ134" s="509">
        <f ca="1">IF($C$4=Year1,-PMT(Lookups!$E$17,25,NPV(Lookups!$E$17,G134:AE134),0,1),IF($C$4=Year2,-PMT(Lookups!$F$17,25,NPV(Lookups!$F$17,H134:AF134),0,1),IF($C$4=Year3,-PMT(Lookups!$G$17,25,NPV(Lookups!$G$17,I134:AG134),0,1),-PMT(Lookups!$G$17,27,NPV(Lookups!$G$17,G134:AG134),0,1))))</f>
        <v>3.0956928586426007E-3</v>
      </c>
      <c r="AK134" s="507"/>
      <c r="AL134" s="507"/>
      <c r="AM134" s="508">
        <f ca="1">AM128</f>
        <v>0</v>
      </c>
      <c r="AN134" s="508">
        <f t="shared" ref="AN134:BM134" ca="1" si="131">AN128</f>
        <v>7.9984965955101253E-2</v>
      </c>
      <c r="AO134" s="508">
        <f t="shared" ca="1" si="131"/>
        <v>0</v>
      </c>
      <c r="AP134" s="508">
        <f t="shared" ca="1" si="131"/>
        <v>0</v>
      </c>
      <c r="AQ134" s="508">
        <f t="shared" ca="1" si="131"/>
        <v>0</v>
      </c>
      <c r="AR134" s="508">
        <f t="shared" ca="1" si="131"/>
        <v>0</v>
      </c>
      <c r="AS134" s="508">
        <f t="shared" ca="1" si="131"/>
        <v>0</v>
      </c>
      <c r="AT134" s="508">
        <f t="shared" ca="1" si="131"/>
        <v>0</v>
      </c>
      <c r="AU134" s="508">
        <f t="shared" ca="1" si="131"/>
        <v>0</v>
      </c>
      <c r="AV134" s="508">
        <f t="shared" ca="1" si="131"/>
        <v>0</v>
      </c>
      <c r="AW134" s="508">
        <f t="shared" ca="1" si="131"/>
        <v>0</v>
      </c>
      <c r="AX134" s="508">
        <f t="shared" ca="1" si="131"/>
        <v>0</v>
      </c>
      <c r="AY134" s="508">
        <f t="shared" ca="1" si="131"/>
        <v>0</v>
      </c>
      <c r="AZ134" s="508">
        <f t="shared" ca="1" si="131"/>
        <v>0</v>
      </c>
      <c r="BA134" s="508">
        <f t="shared" ca="1" si="131"/>
        <v>0</v>
      </c>
      <c r="BB134" s="508">
        <f t="shared" ca="1" si="131"/>
        <v>0</v>
      </c>
      <c r="BC134" s="508">
        <f t="shared" ca="1" si="131"/>
        <v>0</v>
      </c>
      <c r="BD134" s="508">
        <f t="shared" ca="1" si="131"/>
        <v>0</v>
      </c>
      <c r="BE134" s="508">
        <f t="shared" ca="1" si="131"/>
        <v>0</v>
      </c>
      <c r="BF134" s="508">
        <f t="shared" ca="1" si="131"/>
        <v>0</v>
      </c>
      <c r="BG134" s="508">
        <f t="shared" ca="1" si="131"/>
        <v>0</v>
      </c>
      <c r="BH134" s="508">
        <f t="shared" ca="1" si="131"/>
        <v>0</v>
      </c>
      <c r="BI134" s="508">
        <f t="shared" ca="1" si="131"/>
        <v>0</v>
      </c>
      <c r="BJ134" s="508">
        <f t="shared" ca="1" si="131"/>
        <v>0</v>
      </c>
      <c r="BK134" s="508">
        <f t="shared" ca="1" si="131"/>
        <v>0</v>
      </c>
      <c r="BL134" s="508">
        <f t="shared" ca="1" si="131"/>
        <v>0</v>
      </c>
      <c r="BM134" s="508">
        <f t="shared" ca="1" si="131"/>
        <v>0</v>
      </c>
      <c r="BN134" s="508"/>
      <c r="BO134" s="508"/>
      <c r="BP134" s="508">
        <f ca="1">IF($C$4=Year1,-PMT(Lookups!$E$17,25,NPV(Lookups!$E$17,AM134:BK134),0,1),IF($C$4=Year2,-PMT(Lookups!$F$17,25,NPV(Lookups!$F$17,AN134:BL134),0,1),IF($C$4=Year3,-PMT(Lookups!$G$17,25,NPV(Lookups!$G$17,AO134:BM134),0,1),-PMT(Lookups!$G$17,27,NPV(Lookups!$G$17,AM134:BM134),0,1))))</f>
        <v>3.7148314303711212E-3</v>
      </c>
      <c r="BS134" s="84" t="s">
        <v>403</v>
      </c>
      <c r="BT134" s="51" t="s">
        <v>17</v>
      </c>
    </row>
    <row r="135" spans="1:72" x14ac:dyDescent="0.25">
      <c r="B135" s="243" t="str">
        <f>B136</f>
        <v>Low-Income</v>
      </c>
      <c r="C135" s="243" t="str">
        <f>C136</f>
        <v>Rates</v>
      </c>
      <c r="D135" s="244" t="str">
        <f>D136</f>
        <v>Rates after DSM Scenario</v>
      </c>
      <c r="E135" s="86" t="s">
        <v>75</v>
      </c>
      <c r="F135" s="84" t="s">
        <v>182</v>
      </c>
      <c r="G135" s="506">
        <f>G120</f>
        <v>0</v>
      </c>
      <c r="H135" s="506">
        <f t="shared" ref="H135:AG135" si="132">H120</f>
        <v>9.0952917202036049E-2</v>
      </c>
      <c r="I135" s="506">
        <f t="shared" si="132"/>
        <v>9.0952917202036049E-2</v>
      </c>
      <c r="J135" s="506">
        <f t="shared" si="132"/>
        <v>9.0952917202036049E-2</v>
      </c>
      <c r="K135" s="506">
        <f t="shared" si="132"/>
        <v>9.0952917202036049E-2</v>
      </c>
      <c r="L135" s="506">
        <f t="shared" si="132"/>
        <v>9.0952917202036049E-2</v>
      </c>
      <c r="M135" s="506">
        <f t="shared" si="132"/>
        <v>9.0952917202036049E-2</v>
      </c>
      <c r="N135" s="506">
        <f t="shared" si="132"/>
        <v>9.0952917202036049E-2</v>
      </c>
      <c r="O135" s="506">
        <f t="shared" si="132"/>
        <v>9.0952917202036049E-2</v>
      </c>
      <c r="P135" s="506">
        <f t="shared" si="132"/>
        <v>9.0952917202036049E-2</v>
      </c>
      <c r="Q135" s="506">
        <f t="shared" si="132"/>
        <v>9.0952917202036049E-2</v>
      </c>
      <c r="R135" s="506">
        <f t="shared" si="132"/>
        <v>9.0952917202036049E-2</v>
      </c>
      <c r="S135" s="506">
        <f t="shared" si="132"/>
        <v>9.0952917202036049E-2</v>
      </c>
      <c r="T135" s="506">
        <f t="shared" si="132"/>
        <v>9.0952917202036049E-2</v>
      </c>
      <c r="U135" s="506">
        <f t="shared" si="132"/>
        <v>9.0952917202036049E-2</v>
      </c>
      <c r="V135" s="506">
        <f t="shared" si="132"/>
        <v>9.0952917202036049E-2</v>
      </c>
      <c r="W135" s="506">
        <f t="shared" si="132"/>
        <v>9.0952917202036049E-2</v>
      </c>
      <c r="X135" s="506">
        <f t="shared" si="132"/>
        <v>9.0952917202036049E-2</v>
      </c>
      <c r="Y135" s="506">
        <f t="shared" si="132"/>
        <v>9.0952917202036049E-2</v>
      </c>
      <c r="Z135" s="506">
        <f t="shared" si="132"/>
        <v>9.0952917202036049E-2</v>
      </c>
      <c r="AA135" s="506">
        <f t="shared" si="132"/>
        <v>9.0952917202036049E-2</v>
      </c>
      <c r="AB135" s="506">
        <f t="shared" si="132"/>
        <v>9.0952917202036049E-2</v>
      </c>
      <c r="AC135" s="506">
        <f t="shared" si="132"/>
        <v>9.0952917202036049E-2</v>
      </c>
      <c r="AD135" s="506">
        <f t="shared" si="132"/>
        <v>9.0952917202036049E-2</v>
      </c>
      <c r="AE135" s="506">
        <f t="shared" si="132"/>
        <v>9.0952917202036049E-2</v>
      </c>
      <c r="AF135" s="506">
        <f t="shared" si="132"/>
        <v>9.0952917202036049E-2</v>
      </c>
      <c r="AG135" s="506">
        <f t="shared" si="132"/>
        <v>9.0952917202036049E-2</v>
      </c>
      <c r="AH135" s="506"/>
      <c r="AI135" s="506"/>
      <c r="AJ135" s="506">
        <f>IF($C$4=Year1,-PMT(Lookups!$E$17,25,NPV(Lookups!$E$17,G135:AE135),0,1),IF($C$4=Year2,-PMT(Lookups!$F$17,25,NPV(Lookups!$F$17,H135:AF135),0,1),IF($C$4=Year3,-PMT(Lookups!$G$17,25,NPV(Lookups!$G$17,I135:AG135),0,1),-PMT(Lookups!$G$17,27,NPV(Lookups!$G$17,G135:AG135),0,1))))</f>
        <v>8.9684421310792128E-2</v>
      </c>
      <c r="AK135" s="507"/>
      <c r="AL135" s="507"/>
      <c r="AM135" s="508">
        <f>AM120</f>
        <v>0</v>
      </c>
      <c r="AN135" s="508">
        <f t="shared" ref="AN135:BM135" si="133">AN120</f>
        <v>9.0952917202036049E-2</v>
      </c>
      <c r="AO135" s="508">
        <f t="shared" si="133"/>
        <v>9.0952917202036049E-2</v>
      </c>
      <c r="AP135" s="508">
        <f t="shared" si="133"/>
        <v>9.0952917202036049E-2</v>
      </c>
      <c r="AQ135" s="508">
        <f t="shared" si="133"/>
        <v>9.0952917202036049E-2</v>
      </c>
      <c r="AR135" s="508">
        <f t="shared" si="133"/>
        <v>9.0952917202036049E-2</v>
      </c>
      <c r="AS135" s="508">
        <f t="shared" si="133"/>
        <v>9.0952917202036049E-2</v>
      </c>
      <c r="AT135" s="508">
        <f t="shared" si="133"/>
        <v>9.0952917202036049E-2</v>
      </c>
      <c r="AU135" s="508">
        <f t="shared" si="133"/>
        <v>9.0952917202036049E-2</v>
      </c>
      <c r="AV135" s="508">
        <f t="shared" si="133"/>
        <v>9.0952917202036049E-2</v>
      </c>
      <c r="AW135" s="508">
        <f t="shared" si="133"/>
        <v>9.0952917202036049E-2</v>
      </c>
      <c r="AX135" s="508">
        <f t="shared" si="133"/>
        <v>9.0952917202036049E-2</v>
      </c>
      <c r="AY135" s="508">
        <f t="shared" si="133"/>
        <v>9.0952917202036049E-2</v>
      </c>
      <c r="AZ135" s="508">
        <f t="shared" si="133"/>
        <v>9.0952917202036049E-2</v>
      </c>
      <c r="BA135" s="508">
        <f t="shared" si="133"/>
        <v>9.0952917202036049E-2</v>
      </c>
      <c r="BB135" s="508">
        <f t="shared" si="133"/>
        <v>9.0952917202036049E-2</v>
      </c>
      <c r="BC135" s="508">
        <f t="shared" si="133"/>
        <v>9.0952917202036049E-2</v>
      </c>
      <c r="BD135" s="508">
        <f t="shared" si="133"/>
        <v>9.0952917202036049E-2</v>
      </c>
      <c r="BE135" s="508">
        <f t="shared" si="133"/>
        <v>9.0952917202036049E-2</v>
      </c>
      <c r="BF135" s="508">
        <f t="shared" si="133"/>
        <v>9.0952917202036049E-2</v>
      </c>
      <c r="BG135" s="508">
        <f t="shared" si="133"/>
        <v>9.0952917202036049E-2</v>
      </c>
      <c r="BH135" s="508">
        <f t="shared" si="133"/>
        <v>9.0952917202036049E-2</v>
      </c>
      <c r="BI135" s="508">
        <f t="shared" si="133"/>
        <v>9.0952917202036049E-2</v>
      </c>
      <c r="BJ135" s="508">
        <f t="shared" si="133"/>
        <v>9.0952917202036049E-2</v>
      </c>
      <c r="BK135" s="508">
        <f t="shared" si="133"/>
        <v>9.0952917202036049E-2</v>
      </c>
      <c r="BL135" s="508">
        <f t="shared" si="133"/>
        <v>9.0952917202036049E-2</v>
      </c>
      <c r="BM135" s="508">
        <f t="shared" si="133"/>
        <v>9.0952917202036049E-2</v>
      </c>
      <c r="BN135" s="508"/>
      <c r="BO135" s="508"/>
      <c r="BP135" s="508">
        <f>IF($C$4=Year1,-PMT(Lookups!$E$17,25,NPV(Lookups!$E$17,AM135:BK135),0,1),IF($C$4=Year2,-PMT(Lookups!$F$17,25,NPV(Lookups!$F$17,AN135:BL135),0,1),IF($C$4=Year3,-PMT(Lookups!$G$17,25,NPV(Lookups!$G$17,AO135:BM135),0,1),-PMT(Lookups!$G$17,27,NPV(Lookups!$G$17,AM135:BM135),0,1))))</f>
        <v>8.9684421310792128E-2</v>
      </c>
      <c r="BS135" s="84" t="s">
        <v>171</v>
      </c>
      <c r="BT135" s="51" t="s">
        <v>17</v>
      </c>
    </row>
    <row r="136" spans="1:72" x14ac:dyDescent="0.25">
      <c r="B136" s="243" t="str">
        <f>B134</f>
        <v>Low-Income</v>
      </c>
      <c r="C136" s="243" t="str">
        <f>C134</f>
        <v>Rates</v>
      </c>
      <c r="D136" s="244" t="str">
        <f>D134</f>
        <v>Rates after DSM Scenario</v>
      </c>
      <c r="E136" s="84" t="s">
        <v>76</v>
      </c>
      <c r="F136" s="84" t="s">
        <v>182</v>
      </c>
      <c r="G136" s="506">
        <f ca="1">SUM(G131:G135)</f>
        <v>0</v>
      </c>
      <c r="H136" s="506">
        <f ca="1">SUM(H131:H135)</f>
        <v>0.97000655794629476</v>
      </c>
      <c r="I136" s="506">
        <f t="shared" ref="I136:AG136" ca="1" si="134">SUM(I131:I135)</f>
        <v>0.90335241965037705</v>
      </c>
      <c r="J136" s="506">
        <f t="shared" ca="1" si="134"/>
        <v>0.90335241965037705</v>
      </c>
      <c r="K136" s="506">
        <f t="shared" ca="1" si="134"/>
        <v>0.90335241965037705</v>
      </c>
      <c r="L136" s="506">
        <f t="shared" ca="1" si="134"/>
        <v>0.90335241965037705</v>
      </c>
      <c r="M136" s="506">
        <f t="shared" ca="1" si="134"/>
        <v>0.90335241965037705</v>
      </c>
      <c r="N136" s="506">
        <f t="shared" ca="1" si="134"/>
        <v>0.90335241965037705</v>
      </c>
      <c r="O136" s="506">
        <f t="shared" ca="1" si="134"/>
        <v>0.90335241965037705</v>
      </c>
      <c r="P136" s="506">
        <f t="shared" ca="1" si="134"/>
        <v>0.90335241965037705</v>
      </c>
      <c r="Q136" s="506">
        <f t="shared" ca="1" si="134"/>
        <v>0.90335241965037705</v>
      </c>
      <c r="R136" s="506">
        <f t="shared" ca="1" si="134"/>
        <v>0.90335241965037705</v>
      </c>
      <c r="S136" s="506">
        <f t="shared" ca="1" si="134"/>
        <v>0.90335241965037705</v>
      </c>
      <c r="T136" s="506">
        <f t="shared" ca="1" si="134"/>
        <v>0.90335241965037705</v>
      </c>
      <c r="U136" s="506">
        <f t="shared" ca="1" si="134"/>
        <v>0.90335241965037705</v>
      </c>
      <c r="V136" s="506">
        <f t="shared" ca="1" si="134"/>
        <v>0.90335241965037705</v>
      </c>
      <c r="W136" s="506">
        <f t="shared" ca="1" si="134"/>
        <v>0.90335241965037705</v>
      </c>
      <c r="X136" s="506">
        <f t="shared" ca="1" si="134"/>
        <v>0.90335241965037705</v>
      </c>
      <c r="Y136" s="506">
        <f t="shared" ca="1" si="134"/>
        <v>0.90335241965037705</v>
      </c>
      <c r="Z136" s="506">
        <f t="shared" ca="1" si="134"/>
        <v>0.90335241965037705</v>
      </c>
      <c r="AA136" s="506">
        <f t="shared" ca="1" si="134"/>
        <v>0.90335241965037705</v>
      </c>
      <c r="AB136" s="506">
        <f t="shared" ca="1" si="134"/>
        <v>0.90105291720203595</v>
      </c>
      <c r="AC136" s="506">
        <f t="shared" ca="1" si="134"/>
        <v>0.90105291720203595</v>
      </c>
      <c r="AD136" s="506">
        <f t="shared" ca="1" si="134"/>
        <v>0.90105291720203595</v>
      </c>
      <c r="AE136" s="506">
        <f t="shared" ca="1" si="134"/>
        <v>0.90105291720203595</v>
      </c>
      <c r="AF136" s="506">
        <f t="shared" ca="1" si="134"/>
        <v>0.90105291720203595</v>
      </c>
      <c r="AG136" s="506">
        <f t="shared" ca="1" si="134"/>
        <v>0.90105291720203595</v>
      </c>
      <c r="AH136" s="506"/>
      <c r="AI136" s="506"/>
      <c r="AJ136" s="506">
        <f ca="1">IF($C$4=Year1,-PMT(Lookups!$E$17,25,NPV(Lookups!$E$17,G136:AE136),0,1),IF($C$4=Year2,-PMT(Lookups!$F$17,25,NPV(Lookups!$F$17,H136:AF136),0,1),IF($C$4=Year3,-PMT(Lookups!$G$17,25,NPV(Lookups!$G$17,I136:AG136),0,1),-PMT(Lookups!$G$17,27,NPV(Lookups!$G$17,G136:AG136),0,1))))</f>
        <v>0.89345717043821271</v>
      </c>
      <c r="AK136" s="507"/>
      <c r="AL136" s="507"/>
      <c r="AM136" s="508">
        <f ca="1">SUM(AM131:AM135)</f>
        <v>0</v>
      </c>
      <c r="AN136" s="508">
        <f t="shared" ref="AN136:BM136" ca="1" si="135">SUM(AN131:AN135)</f>
        <v>0.98367328326026726</v>
      </c>
      <c r="AO136" s="508">
        <f t="shared" ca="1" si="135"/>
        <v>0.90368831730516597</v>
      </c>
      <c r="AP136" s="508">
        <f t="shared" ca="1" si="135"/>
        <v>0.90368831730516597</v>
      </c>
      <c r="AQ136" s="508">
        <f t="shared" ca="1" si="135"/>
        <v>0.90368831730516597</v>
      </c>
      <c r="AR136" s="508">
        <f t="shared" ca="1" si="135"/>
        <v>0.90368831730516597</v>
      </c>
      <c r="AS136" s="508">
        <f t="shared" ca="1" si="135"/>
        <v>0.90368831730516597</v>
      </c>
      <c r="AT136" s="508">
        <f t="shared" ca="1" si="135"/>
        <v>0.90368831730516597</v>
      </c>
      <c r="AU136" s="508">
        <f t="shared" ca="1" si="135"/>
        <v>0.90368831730516597</v>
      </c>
      <c r="AV136" s="508">
        <f t="shared" ca="1" si="135"/>
        <v>0.90368831730516597</v>
      </c>
      <c r="AW136" s="508">
        <f t="shared" ca="1" si="135"/>
        <v>0.90368831730516597</v>
      </c>
      <c r="AX136" s="508">
        <f t="shared" ca="1" si="135"/>
        <v>0.90368831730516597</v>
      </c>
      <c r="AY136" s="508">
        <f t="shared" ca="1" si="135"/>
        <v>0.90368831730516597</v>
      </c>
      <c r="AZ136" s="508">
        <f t="shared" ca="1" si="135"/>
        <v>0.90368831730516597</v>
      </c>
      <c r="BA136" s="508">
        <f t="shared" ca="1" si="135"/>
        <v>0.90368831730516597</v>
      </c>
      <c r="BB136" s="508">
        <f t="shared" ca="1" si="135"/>
        <v>0.90368831730516597</v>
      </c>
      <c r="BC136" s="508">
        <f t="shared" ca="1" si="135"/>
        <v>0.90368831730516597</v>
      </c>
      <c r="BD136" s="508">
        <f t="shared" ca="1" si="135"/>
        <v>0.90368831730516597</v>
      </c>
      <c r="BE136" s="508">
        <f t="shared" ca="1" si="135"/>
        <v>0.90368831730516597</v>
      </c>
      <c r="BF136" s="508">
        <f t="shared" ca="1" si="135"/>
        <v>0.90368831730516597</v>
      </c>
      <c r="BG136" s="508">
        <f t="shared" ca="1" si="135"/>
        <v>0.90368831730516597</v>
      </c>
      <c r="BH136" s="508">
        <f t="shared" ca="1" si="135"/>
        <v>0.90105291720203595</v>
      </c>
      <c r="BI136" s="508">
        <f t="shared" ca="1" si="135"/>
        <v>0.90105291720203595</v>
      </c>
      <c r="BJ136" s="508">
        <f t="shared" ca="1" si="135"/>
        <v>0.90105291720203595</v>
      </c>
      <c r="BK136" s="508">
        <f t="shared" ca="1" si="135"/>
        <v>0.90105291720203595</v>
      </c>
      <c r="BL136" s="508">
        <f t="shared" ca="1" si="135"/>
        <v>0.90105291720203595</v>
      </c>
      <c r="BM136" s="508">
        <f t="shared" ca="1" si="135"/>
        <v>0.90105291720203595</v>
      </c>
      <c r="BN136" s="508"/>
      <c r="BO136" s="508"/>
      <c r="BP136" s="508">
        <f ca="1">IF($C$4=Year1,-PMT(Lookups!$E$17,25,NPV(Lookups!$E$17,AM136:BK136),0,1),IF($C$4=Year2,-PMT(Lookups!$F$17,25,NPV(Lookups!$F$17,AN136:BL136),0,1),IF($C$4=Year3,-PMT(Lookups!$G$17,25,NPV(Lookups!$G$17,AO136:BM136),0,1),-PMT(Lookups!$G$17,27,NPV(Lookups!$G$17,AM136:BM136),0,1))))</f>
        <v>0.89435024216513681</v>
      </c>
      <c r="BS136" s="84" t="s">
        <v>235</v>
      </c>
      <c r="BT136" s="51" t="s">
        <v>17</v>
      </c>
    </row>
    <row r="137" spans="1:72" x14ac:dyDescent="0.25">
      <c r="B137" s="243" t="str">
        <f>B135</f>
        <v>Low-Income</v>
      </c>
      <c r="C137" s="243" t="str">
        <f>C135</f>
        <v>Rates</v>
      </c>
      <c r="D137" s="114" t="s">
        <v>114</v>
      </c>
      <c r="E137" s="84"/>
      <c r="F137" s="84"/>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49"/>
      <c r="AI137" s="109"/>
      <c r="AJ137" s="49"/>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S137" s="84"/>
      <c r="BT137" s="51" t="s">
        <v>17</v>
      </c>
    </row>
    <row r="138" spans="1:72" x14ac:dyDescent="0.25">
      <c r="B138" s="243" t="str">
        <f t="shared" ref="B138:D153" si="136">B137</f>
        <v>Low-Income</v>
      </c>
      <c r="C138" s="243" t="str">
        <f t="shared" si="136"/>
        <v>Rates</v>
      </c>
      <c r="D138" s="244" t="str">
        <f t="shared" si="136"/>
        <v>Change in Rates after DSM Scenario</v>
      </c>
      <c r="E138" s="84" t="s">
        <v>76</v>
      </c>
      <c r="F138" s="84" t="s">
        <v>182</v>
      </c>
      <c r="G138" s="510">
        <f ca="1">G136-G121</f>
        <v>0</v>
      </c>
      <c r="H138" s="510">
        <f t="shared" ref="H138:AG138" ca="1" si="137">H136-H121</f>
        <v>6.8953640744258804E-2</v>
      </c>
      <c r="I138" s="510">
        <f t="shared" ca="1" si="137"/>
        <v>2.2995024483410953E-3</v>
      </c>
      <c r="J138" s="510">
        <f t="shared" ca="1" si="137"/>
        <v>2.2995024483410953E-3</v>
      </c>
      <c r="K138" s="510">
        <f t="shared" ca="1" si="137"/>
        <v>2.2995024483410953E-3</v>
      </c>
      <c r="L138" s="510">
        <f t="shared" ca="1" si="137"/>
        <v>2.2995024483410953E-3</v>
      </c>
      <c r="M138" s="510">
        <f t="shared" ca="1" si="137"/>
        <v>2.2995024483410953E-3</v>
      </c>
      <c r="N138" s="510">
        <f t="shared" ca="1" si="137"/>
        <v>2.2995024483410953E-3</v>
      </c>
      <c r="O138" s="510">
        <f t="shared" ca="1" si="137"/>
        <v>2.2995024483410953E-3</v>
      </c>
      <c r="P138" s="510">
        <f t="shared" ca="1" si="137"/>
        <v>2.2995024483410953E-3</v>
      </c>
      <c r="Q138" s="510">
        <f t="shared" ca="1" si="137"/>
        <v>2.2995024483410953E-3</v>
      </c>
      <c r="R138" s="510">
        <f t="shared" ca="1" si="137"/>
        <v>2.2995024483410953E-3</v>
      </c>
      <c r="S138" s="510">
        <f t="shared" ca="1" si="137"/>
        <v>2.2995024483410953E-3</v>
      </c>
      <c r="T138" s="510">
        <f t="shared" ca="1" si="137"/>
        <v>2.2995024483410953E-3</v>
      </c>
      <c r="U138" s="510">
        <f t="shared" ca="1" si="137"/>
        <v>2.2995024483410953E-3</v>
      </c>
      <c r="V138" s="510">
        <f t="shared" ca="1" si="137"/>
        <v>2.2995024483410953E-3</v>
      </c>
      <c r="W138" s="510">
        <f t="shared" ca="1" si="137"/>
        <v>2.2995024483410953E-3</v>
      </c>
      <c r="X138" s="510">
        <f t="shared" ca="1" si="137"/>
        <v>2.2995024483410953E-3</v>
      </c>
      <c r="Y138" s="510">
        <f t="shared" ca="1" si="137"/>
        <v>2.2995024483410953E-3</v>
      </c>
      <c r="Z138" s="510">
        <f t="shared" ca="1" si="137"/>
        <v>2.2995024483410953E-3</v>
      </c>
      <c r="AA138" s="510">
        <f t="shared" ca="1" si="137"/>
        <v>2.2995024483410953E-3</v>
      </c>
      <c r="AB138" s="510">
        <f t="shared" ca="1" si="137"/>
        <v>0</v>
      </c>
      <c r="AC138" s="510">
        <f t="shared" ca="1" si="137"/>
        <v>0</v>
      </c>
      <c r="AD138" s="510">
        <f t="shared" ca="1" si="137"/>
        <v>0</v>
      </c>
      <c r="AE138" s="510">
        <f t="shared" ca="1" si="137"/>
        <v>0</v>
      </c>
      <c r="AF138" s="510">
        <f t="shared" ca="1" si="137"/>
        <v>0</v>
      </c>
      <c r="AG138" s="510">
        <f t="shared" ca="1" si="137"/>
        <v>0</v>
      </c>
      <c r="AH138" s="510"/>
      <c r="AI138" s="510"/>
      <c r="AJ138" s="510">
        <f ca="1">IF($C$4=Year1,-PMT(Lookups!$E$17,25,NPV(Lookups!$E$17,G138:AE138),0,1),IF($C$4=Year2,-PMT(Lookups!$F$17,25,NPV(Lookups!$F$17,H138:AF138),0,1),IF($C$4=Year3,-PMT(Lookups!$G$17,25,NPV(Lookups!$G$17,I138:AG138),0,1),-PMT(Lookups!$G$17,27,NPV(Lookups!$G$17,G138:AG138),0,1))))</f>
        <v>4.9709961007866291E-3</v>
      </c>
      <c r="AK138" s="507"/>
      <c r="AL138" s="507"/>
      <c r="AM138" s="508">
        <f ca="1">AM136-AM121</f>
        <v>0</v>
      </c>
      <c r="AN138" s="508">
        <f t="shared" ref="AN138:BM138" ca="1" si="138">AN136-AN121</f>
        <v>8.2620366058231309E-2</v>
      </c>
      <c r="AO138" s="508">
        <f t="shared" ca="1" si="138"/>
        <v>2.6354001031300145E-3</v>
      </c>
      <c r="AP138" s="508">
        <f t="shared" ca="1" si="138"/>
        <v>2.6354001031300145E-3</v>
      </c>
      <c r="AQ138" s="508">
        <f t="shared" ca="1" si="138"/>
        <v>2.6354001031300145E-3</v>
      </c>
      <c r="AR138" s="508">
        <f t="shared" ca="1" si="138"/>
        <v>2.6354001031300145E-3</v>
      </c>
      <c r="AS138" s="508">
        <f t="shared" ca="1" si="138"/>
        <v>2.6354001031300145E-3</v>
      </c>
      <c r="AT138" s="508">
        <f t="shared" ca="1" si="138"/>
        <v>2.6354001031300145E-3</v>
      </c>
      <c r="AU138" s="508">
        <f t="shared" ca="1" si="138"/>
        <v>2.6354001031300145E-3</v>
      </c>
      <c r="AV138" s="508">
        <f t="shared" ca="1" si="138"/>
        <v>2.6354001031300145E-3</v>
      </c>
      <c r="AW138" s="508">
        <f t="shared" ca="1" si="138"/>
        <v>2.6354001031300145E-3</v>
      </c>
      <c r="AX138" s="508">
        <f t="shared" ca="1" si="138"/>
        <v>2.6354001031300145E-3</v>
      </c>
      <c r="AY138" s="508">
        <f t="shared" ca="1" si="138"/>
        <v>2.6354001031300145E-3</v>
      </c>
      <c r="AZ138" s="508">
        <f t="shared" ca="1" si="138"/>
        <v>2.6354001031300145E-3</v>
      </c>
      <c r="BA138" s="508">
        <f t="shared" ca="1" si="138"/>
        <v>2.6354001031300145E-3</v>
      </c>
      <c r="BB138" s="508">
        <f t="shared" ca="1" si="138"/>
        <v>2.6354001031300145E-3</v>
      </c>
      <c r="BC138" s="508">
        <f t="shared" ca="1" si="138"/>
        <v>2.6354001031300145E-3</v>
      </c>
      <c r="BD138" s="508">
        <f t="shared" ca="1" si="138"/>
        <v>2.6354001031300145E-3</v>
      </c>
      <c r="BE138" s="508">
        <f t="shared" ca="1" si="138"/>
        <v>2.6354001031300145E-3</v>
      </c>
      <c r="BF138" s="508">
        <f t="shared" ca="1" si="138"/>
        <v>2.6354001031300145E-3</v>
      </c>
      <c r="BG138" s="508">
        <f t="shared" ca="1" si="138"/>
        <v>2.6354001031300145E-3</v>
      </c>
      <c r="BH138" s="508">
        <f t="shared" ca="1" si="138"/>
        <v>0</v>
      </c>
      <c r="BI138" s="508">
        <f t="shared" ca="1" si="138"/>
        <v>0</v>
      </c>
      <c r="BJ138" s="508">
        <f t="shared" ca="1" si="138"/>
        <v>0</v>
      </c>
      <c r="BK138" s="508">
        <f t="shared" ca="1" si="138"/>
        <v>0</v>
      </c>
      <c r="BL138" s="508">
        <f t="shared" ca="1" si="138"/>
        <v>0</v>
      </c>
      <c r="BM138" s="508">
        <f t="shared" ca="1" si="138"/>
        <v>0</v>
      </c>
      <c r="BN138" s="508"/>
      <c r="BO138" s="508"/>
      <c r="BP138" s="508">
        <f ca="1">IF($C$4=Year1,-PMT(Lookups!$E$17,25,NPV(Lookups!$E$17,AM138:BK138),0,1),IF($C$4=Year2,-PMT(Lookups!$F$17,25,NPV(Lookups!$F$17,AN138:BL138),0,1),IF($C$4=Year3,-PMT(Lookups!$G$17,25,NPV(Lookups!$G$17,AO138:BM138),0,1),-PMT(Lookups!$G$17,27,NPV(Lookups!$G$17,AM138:BM138),0,1))))</f>
        <v>5.8640678277108171E-3</v>
      </c>
      <c r="BS138" s="84" t="s">
        <v>233</v>
      </c>
      <c r="BT138" s="51" t="s">
        <v>17</v>
      </c>
    </row>
    <row r="139" spans="1:72" x14ac:dyDescent="0.25">
      <c r="B139" s="243" t="str">
        <f t="shared" si="136"/>
        <v>Low-Income</v>
      </c>
      <c r="C139" s="243" t="str">
        <f t="shared" si="136"/>
        <v>Rates</v>
      </c>
      <c r="D139" s="244" t="str">
        <f t="shared" si="136"/>
        <v>Change in Rates after DSM Scenario</v>
      </c>
      <c r="E139" s="84" t="s">
        <v>76</v>
      </c>
      <c r="F139" s="84" t="s">
        <v>16</v>
      </c>
      <c r="G139" s="224">
        <f ca="1">IFERROR(G136/G121-1,0)</f>
        <v>0</v>
      </c>
      <c r="H139" s="224">
        <f t="shared" ref="H139:AG139" ca="1" si="139">IFERROR(H136/H121-1,0)</f>
        <v>7.6525628437422721E-2</v>
      </c>
      <c r="I139" s="224">
        <f t="shared" ca="1" si="139"/>
        <v>2.5520170951573995E-3</v>
      </c>
      <c r="J139" s="224">
        <f t="shared" ca="1" si="139"/>
        <v>2.5520170951573995E-3</v>
      </c>
      <c r="K139" s="224">
        <f t="shared" ca="1" si="139"/>
        <v>2.5520170951573995E-3</v>
      </c>
      <c r="L139" s="224">
        <f t="shared" ca="1" si="139"/>
        <v>2.5520170951573995E-3</v>
      </c>
      <c r="M139" s="224">
        <f t="shared" ca="1" si="139"/>
        <v>2.5520170951573995E-3</v>
      </c>
      <c r="N139" s="224">
        <f t="shared" ca="1" si="139"/>
        <v>2.5520170951573995E-3</v>
      </c>
      <c r="O139" s="224">
        <f t="shared" ca="1" si="139"/>
        <v>2.5520170951573995E-3</v>
      </c>
      <c r="P139" s="224">
        <f t="shared" ca="1" si="139"/>
        <v>2.5520170951573995E-3</v>
      </c>
      <c r="Q139" s="224">
        <f t="shared" ca="1" si="139"/>
        <v>2.5520170951573995E-3</v>
      </c>
      <c r="R139" s="224">
        <f t="shared" ca="1" si="139"/>
        <v>2.5520170951573995E-3</v>
      </c>
      <c r="S139" s="224">
        <f t="shared" ca="1" si="139"/>
        <v>2.5520170951573995E-3</v>
      </c>
      <c r="T139" s="224">
        <f t="shared" ca="1" si="139"/>
        <v>2.5520170951573995E-3</v>
      </c>
      <c r="U139" s="224">
        <f t="shared" ca="1" si="139"/>
        <v>2.5520170951573995E-3</v>
      </c>
      <c r="V139" s="224">
        <f t="shared" ca="1" si="139"/>
        <v>2.5520170951573995E-3</v>
      </c>
      <c r="W139" s="224">
        <f t="shared" ca="1" si="139"/>
        <v>2.5520170951573995E-3</v>
      </c>
      <c r="X139" s="224">
        <f t="shared" ca="1" si="139"/>
        <v>2.5520170951573995E-3</v>
      </c>
      <c r="Y139" s="224">
        <f t="shared" ca="1" si="139"/>
        <v>2.5520170951573995E-3</v>
      </c>
      <c r="Z139" s="224">
        <f t="shared" ca="1" si="139"/>
        <v>2.5520170951573995E-3</v>
      </c>
      <c r="AA139" s="224">
        <f t="shared" ca="1" si="139"/>
        <v>2.5520170951573995E-3</v>
      </c>
      <c r="AB139" s="224">
        <f t="shared" ca="1" si="139"/>
        <v>0</v>
      </c>
      <c r="AC139" s="224">
        <f t="shared" ca="1" si="139"/>
        <v>0</v>
      </c>
      <c r="AD139" s="224">
        <f t="shared" ca="1" si="139"/>
        <v>0</v>
      </c>
      <c r="AE139" s="224">
        <f t="shared" ca="1" si="139"/>
        <v>0</v>
      </c>
      <c r="AF139" s="224">
        <f t="shared" ca="1" si="139"/>
        <v>0</v>
      </c>
      <c r="AG139" s="224">
        <f t="shared" ca="1" si="139"/>
        <v>0</v>
      </c>
      <c r="AH139" s="224"/>
      <c r="AI139" s="224"/>
      <c r="AJ139" s="224">
        <f ca="1">IFERROR(AJ136/AJ121-1,0)</f>
        <v>5.5949054069337478E-3</v>
      </c>
      <c r="AK139" s="212"/>
      <c r="AL139" s="212"/>
      <c r="AM139" s="504">
        <f ca="1">IFERROR(AM136/AM121-1,0)</f>
        <v>0</v>
      </c>
      <c r="AN139" s="504">
        <f t="shared" ref="AN139:BM139" ca="1" si="140">IFERROR(AN136/AN121-1,0)</f>
        <v>9.1693134199915205E-2</v>
      </c>
      <c r="AO139" s="504">
        <f t="shared" ca="1" si="140"/>
        <v>2.9248005891968631E-3</v>
      </c>
      <c r="AP139" s="504">
        <f t="shared" ca="1" si="140"/>
        <v>2.9248005891968631E-3</v>
      </c>
      <c r="AQ139" s="504">
        <f t="shared" ca="1" si="140"/>
        <v>2.9248005891968631E-3</v>
      </c>
      <c r="AR139" s="504">
        <f t="shared" ca="1" si="140"/>
        <v>2.9248005891968631E-3</v>
      </c>
      <c r="AS139" s="504">
        <f t="shared" ca="1" si="140"/>
        <v>2.9248005891968631E-3</v>
      </c>
      <c r="AT139" s="504">
        <f t="shared" ca="1" si="140"/>
        <v>2.9248005891968631E-3</v>
      </c>
      <c r="AU139" s="504">
        <f t="shared" ca="1" si="140"/>
        <v>2.9248005891968631E-3</v>
      </c>
      <c r="AV139" s="504">
        <f t="shared" ca="1" si="140"/>
        <v>2.9248005891968631E-3</v>
      </c>
      <c r="AW139" s="504">
        <f t="shared" ca="1" si="140"/>
        <v>2.9248005891968631E-3</v>
      </c>
      <c r="AX139" s="504">
        <f t="shared" ca="1" si="140"/>
        <v>2.9248005891968631E-3</v>
      </c>
      <c r="AY139" s="504">
        <f t="shared" ca="1" si="140"/>
        <v>2.9248005891968631E-3</v>
      </c>
      <c r="AZ139" s="504">
        <f t="shared" ca="1" si="140"/>
        <v>2.9248005891968631E-3</v>
      </c>
      <c r="BA139" s="504">
        <f t="shared" ca="1" si="140"/>
        <v>2.9248005891968631E-3</v>
      </c>
      <c r="BB139" s="504">
        <f t="shared" ca="1" si="140"/>
        <v>2.9248005891968631E-3</v>
      </c>
      <c r="BC139" s="504">
        <f t="shared" ca="1" si="140"/>
        <v>2.9248005891968631E-3</v>
      </c>
      <c r="BD139" s="504">
        <f t="shared" ca="1" si="140"/>
        <v>2.9248005891968631E-3</v>
      </c>
      <c r="BE139" s="504">
        <f t="shared" ca="1" si="140"/>
        <v>2.9248005891968631E-3</v>
      </c>
      <c r="BF139" s="504">
        <f t="shared" ca="1" si="140"/>
        <v>2.9248005891968631E-3</v>
      </c>
      <c r="BG139" s="504">
        <f t="shared" ca="1" si="140"/>
        <v>2.9248005891968631E-3</v>
      </c>
      <c r="BH139" s="504">
        <f t="shared" ca="1" si="140"/>
        <v>0</v>
      </c>
      <c r="BI139" s="504">
        <f t="shared" ca="1" si="140"/>
        <v>0</v>
      </c>
      <c r="BJ139" s="504">
        <f t="shared" ca="1" si="140"/>
        <v>0</v>
      </c>
      <c r="BK139" s="504">
        <f t="shared" ca="1" si="140"/>
        <v>0</v>
      </c>
      <c r="BL139" s="504">
        <f t="shared" ca="1" si="140"/>
        <v>0</v>
      </c>
      <c r="BM139" s="504">
        <f t="shared" ca="1" si="140"/>
        <v>0</v>
      </c>
      <c r="BN139" s="504"/>
      <c r="BO139" s="504"/>
      <c r="BP139" s="504">
        <f ca="1">IFERROR(BP136/BP121-1,0)</f>
        <v>6.6000664918433039E-3</v>
      </c>
      <c r="BS139" s="84" t="s">
        <v>234</v>
      </c>
      <c r="BT139" s="51" t="s">
        <v>17</v>
      </c>
    </row>
    <row r="140" spans="1:72" x14ac:dyDescent="0.25">
      <c r="B140" s="243" t="str">
        <f t="shared" si="136"/>
        <v>Low-Income</v>
      </c>
      <c r="C140" s="243" t="str">
        <f t="shared" si="136"/>
        <v>Rates</v>
      </c>
      <c r="D140" s="85"/>
      <c r="E140" s="84" t="s">
        <v>17</v>
      </c>
      <c r="F140" s="84"/>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S140" s="84"/>
      <c r="BT140" s="51" t="s">
        <v>17</v>
      </c>
    </row>
    <row r="141" spans="1:72" s="5" customFormat="1" ht="15.75" x14ac:dyDescent="0.25">
      <c r="A141" s="52"/>
      <c r="B141" s="241" t="str">
        <f t="shared" si="136"/>
        <v>Low-Income</v>
      </c>
      <c r="C141" s="63" t="s">
        <v>51</v>
      </c>
      <c r="D141" s="61"/>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2"/>
      <c r="BO141" s="62"/>
      <c r="BP141" s="62"/>
      <c r="BS141" s="62"/>
      <c r="BT141" s="51" t="s">
        <v>17</v>
      </c>
    </row>
    <row r="142" spans="1:72" x14ac:dyDescent="0.25">
      <c r="B142" s="243" t="str">
        <f t="shared" si="136"/>
        <v>Low-Income</v>
      </c>
      <c r="C142" s="243" t="str">
        <f>C141</f>
        <v>Bills</v>
      </c>
      <c r="D142" s="114" t="str">
        <f>"Bills before DSM ("&amp;Lookups!$D$22&amp;" Scenario, Non-Participant)"</f>
        <v>Bills before DSM (No EE Scenario, Non-Participant)</v>
      </c>
      <c r="E142" s="86"/>
      <c r="F142" s="84"/>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149"/>
      <c r="BS142" s="84"/>
      <c r="BT142" s="51" t="s">
        <v>17</v>
      </c>
    </row>
    <row r="143" spans="1:72" x14ac:dyDescent="0.25">
      <c r="B143" s="243" t="str">
        <f t="shared" si="136"/>
        <v>Low-Income</v>
      </c>
      <c r="C143" s="243" t="str">
        <f t="shared" si="136"/>
        <v>Bills</v>
      </c>
      <c r="D143" s="244" t="str">
        <f>D142</f>
        <v>Bills before DSM (No EE Scenario, Non-Participant)</v>
      </c>
      <c r="E143" s="86" t="s">
        <v>75</v>
      </c>
      <c r="F143" s="84" t="s">
        <v>31</v>
      </c>
      <c r="G143" s="659">
        <f>IF(G$8=0,0,INDEX('R&amp;B Inputs'!$H$45:$U$45,MATCH($B143,'R&amp;B Inputs'!$H$4:$U$4,0))*(1+INDEX('R&amp;B Inputs'!$H$46:$U$46,MATCH($B143,'R&amp;B Inputs'!$H$4:$U$4,0)))^(G$7-Year1)*12)</f>
        <v>0</v>
      </c>
      <c r="H143" s="659">
        <f>IF(H$8=0,0,INDEX('R&amp;B Inputs'!$H$45:$U$45,MATCH($B143,'R&amp;B Inputs'!$H$4:$U$4,0))*(1+INDEX('R&amp;B Inputs'!$H$46:$U$46,MATCH($B143,'R&amp;B Inputs'!$H$4:$U$4,0)))^(H$7-Year1)*12)</f>
        <v>72.960000000000008</v>
      </c>
      <c r="I143" s="659">
        <f>IF(I$8=0,0,INDEX('R&amp;B Inputs'!$H$45:$U$45,MATCH($B143,'R&amp;B Inputs'!$H$4:$U$4,0))*(1+INDEX('R&amp;B Inputs'!$H$46:$U$46,MATCH($B143,'R&amp;B Inputs'!$H$4:$U$4,0)))^(I$7-Year1)*12)</f>
        <v>72.960000000000008</v>
      </c>
      <c r="J143" s="659">
        <f>IF(J$8=0,0,INDEX('R&amp;B Inputs'!$H$45:$U$45,MATCH($B143,'R&amp;B Inputs'!$H$4:$U$4,0))*(1+INDEX('R&amp;B Inputs'!$H$46:$U$46,MATCH($B143,'R&amp;B Inputs'!$H$4:$U$4,0)))^(J$7-Year1)*12)</f>
        <v>72.960000000000008</v>
      </c>
      <c r="K143" s="659">
        <f>IF(K$8=0,0,INDEX('R&amp;B Inputs'!$H$45:$U$45,MATCH($B143,'R&amp;B Inputs'!$H$4:$U$4,0))*(1+INDEX('R&amp;B Inputs'!$H$46:$U$46,MATCH($B143,'R&amp;B Inputs'!$H$4:$U$4,0)))^(K$7-Year1)*12)</f>
        <v>72.960000000000008</v>
      </c>
      <c r="L143" s="659">
        <f>IF(L$8=0,0,INDEX('R&amp;B Inputs'!$H$45:$U$45,MATCH($B143,'R&amp;B Inputs'!$H$4:$U$4,0))*(1+INDEX('R&amp;B Inputs'!$H$46:$U$46,MATCH($B143,'R&amp;B Inputs'!$H$4:$U$4,0)))^(L$7-Year1)*12)</f>
        <v>72.960000000000008</v>
      </c>
      <c r="M143" s="659">
        <f>IF(M$8=0,0,INDEX('R&amp;B Inputs'!$H$45:$U$45,MATCH($B143,'R&amp;B Inputs'!$H$4:$U$4,0))*(1+INDEX('R&amp;B Inputs'!$H$46:$U$46,MATCH($B143,'R&amp;B Inputs'!$H$4:$U$4,0)))^(M$7-Year1)*12)</f>
        <v>72.960000000000008</v>
      </c>
      <c r="N143" s="659">
        <f>IF(N$8=0,0,INDEX('R&amp;B Inputs'!$H$45:$U$45,MATCH($B143,'R&amp;B Inputs'!$H$4:$U$4,0))*(1+INDEX('R&amp;B Inputs'!$H$46:$U$46,MATCH($B143,'R&amp;B Inputs'!$H$4:$U$4,0)))^(N$7-Year1)*12)</f>
        <v>72.960000000000008</v>
      </c>
      <c r="O143" s="659">
        <f>IF(O$8=0,0,INDEX('R&amp;B Inputs'!$H$45:$U$45,MATCH($B143,'R&amp;B Inputs'!$H$4:$U$4,0))*(1+INDEX('R&amp;B Inputs'!$H$46:$U$46,MATCH($B143,'R&amp;B Inputs'!$H$4:$U$4,0)))^(O$7-Year1)*12)</f>
        <v>72.960000000000008</v>
      </c>
      <c r="P143" s="659">
        <f>IF(P$8=0,0,INDEX('R&amp;B Inputs'!$H$45:$U$45,MATCH($B143,'R&amp;B Inputs'!$H$4:$U$4,0))*(1+INDEX('R&amp;B Inputs'!$H$46:$U$46,MATCH($B143,'R&amp;B Inputs'!$H$4:$U$4,0)))^(P$7-Year1)*12)</f>
        <v>72.960000000000008</v>
      </c>
      <c r="Q143" s="659">
        <f>IF(Q$8=0,0,INDEX('R&amp;B Inputs'!$H$45:$U$45,MATCH($B143,'R&amp;B Inputs'!$H$4:$U$4,0))*(1+INDEX('R&amp;B Inputs'!$H$46:$U$46,MATCH($B143,'R&amp;B Inputs'!$H$4:$U$4,0)))^(Q$7-Year1)*12)</f>
        <v>72.960000000000008</v>
      </c>
      <c r="R143" s="659">
        <f>IF(R$8=0,0,INDEX('R&amp;B Inputs'!$H$45:$U$45,MATCH($B143,'R&amp;B Inputs'!$H$4:$U$4,0))*(1+INDEX('R&amp;B Inputs'!$H$46:$U$46,MATCH($B143,'R&amp;B Inputs'!$H$4:$U$4,0)))^(R$7-Year1)*12)</f>
        <v>72.960000000000008</v>
      </c>
      <c r="S143" s="659">
        <f>IF(S$8=0,0,INDEX('R&amp;B Inputs'!$H$45:$U$45,MATCH($B143,'R&amp;B Inputs'!$H$4:$U$4,0))*(1+INDEX('R&amp;B Inputs'!$H$46:$U$46,MATCH($B143,'R&amp;B Inputs'!$H$4:$U$4,0)))^(S$7-Year1)*12)</f>
        <v>72.960000000000008</v>
      </c>
      <c r="T143" s="659">
        <f>IF(T$8=0,0,INDEX('R&amp;B Inputs'!$H$45:$U$45,MATCH($B143,'R&amp;B Inputs'!$H$4:$U$4,0))*(1+INDEX('R&amp;B Inputs'!$H$46:$U$46,MATCH($B143,'R&amp;B Inputs'!$H$4:$U$4,0)))^(T$7-Year1)*12)</f>
        <v>72.960000000000008</v>
      </c>
      <c r="U143" s="659">
        <f>IF(U$8=0,0,INDEX('R&amp;B Inputs'!$H$45:$U$45,MATCH($B143,'R&amp;B Inputs'!$H$4:$U$4,0))*(1+INDEX('R&amp;B Inputs'!$H$46:$U$46,MATCH($B143,'R&amp;B Inputs'!$H$4:$U$4,0)))^(U$7-Year1)*12)</f>
        <v>72.960000000000008</v>
      </c>
      <c r="V143" s="659">
        <f>IF(V$8=0,0,INDEX('R&amp;B Inputs'!$H$45:$U$45,MATCH($B143,'R&amp;B Inputs'!$H$4:$U$4,0))*(1+INDEX('R&amp;B Inputs'!$H$46:$U$46,MATCH($B143,'R&amp;B Inputs'!$H$4:$U$4,0)))^(V$7-Year1)*12)</f>
        <v>72.960000000000008</v>
      </c>
      <c r="W143" s="659">
        <f>IF(W$8=0,0,INDEX('R&amp;B Inputs'!$H$45:$U$45,MATCH($B143,'R&amp;B Inputs'!$H$4:$U$4,0))*(1+INDEX('R&amp;B Inputs'!$H$46:$U$46,MATCH($B143,'R&amp;B Inputs'!$H$4:$U$4,0)))^(W$7-Year1)*12)</f>
        <v>72.960000000000008</v>
      </c>
      <c r="X143" s="659">
        <f>IF(X$8=0,0,INDEX('R&amp;B Inputs'!$H$45:$U$45,MATCH($B143,'R&amp;B Inputs'!$H$4:$U$4,0))*(1+INDEX('R&amp;B Inputs'!$H$46:$U$46,MATCH($B143,'R&amp;B Inputs'!$H$4:$U$4,0)))^(X$7-Year1)*12)</f>
        <v>72.960000000000008</v>
      </c>
      <c r="Y143" s="659">
        <f>IF(Y$8=0,0,INDEX('R&amp;B Inputs'!$H$45:$U$45,MATCH($B143,'R&amp;B Inputs'!$H$4:$U$4,0))*(1+INDEX('R&amp;B Inputs'!$H$46:$U$46,MATCH($B143,'R&amp;B Inputs'!$H$4:$U$4,0)))^(Y$7-Year1)*12)</f>
        <v>72.960000000000008</v>
      </c>
      <c r="Z143" s="659">
        <f>IF(Z$8=0,0,INDEX('R&amp;B Inputs'!$H$45:$U$45,MATCH($B143,'R&amp;B Inputs'!$H$4:$U$4,0))*(1+INDEX('R&amp;B Inputs'!$H$46:$U$46,MATCH($B143,'R&amp;B Inputs'!$H$4:$U$4,0)))^(Z$7-Year1)*12)</f>
        <v>72.960000000000008</v>
      </c>
      <c r="AA143" s="659">
        <f>IF(AA$8=0,0,INDEX('R&amp;B Inputs'!$H$45:$U$45,MATCH($B143,'R&amp;B Inputs'!$H$4:$U$4,0))*(1+INDEX('R&amp;B Inputs'!$H$46:$U$46,MATCH($B143,'R&amp;B Inputs'!$H$4:$U$4,0)))^(AA$7-Year1)*12)</f>
        <v>72.960000000000008</v>
      </c>
      <c r="AB143" s="659">
        <f>IF(AB$8=0,0,INDEX('R&amp;B Inputs'!$H$45:$U$45,MATCH($B143,'R&amp;B Inputs'!$H$4:$U$4,0))*(1+INDEX('R&amp;B Inputs'!$H$46:$U$46,MATCH($B143,'R&amp;B Inputs'!$H$4:$U$4,0)))^(AB$7-Year1)*12)</f>
        <v>72.960000000000008</v>
      </c>
      <c r="AC143" s="659">
        <f>IF(AC$8=0,0,INDEX('R&amp;B Inputs'!$H$45:$U$45,MATCH($B143,'R&amp;B Inputs'!$H$4:$U$4,0))*(1+INDEX('R&amp;B Inputs'!$H$46:$U$46,MATCH($B143,'R&amp;B Inputs'!$H$4:$U$4,0)))^(AC$7-Year1)*12)</f>
        <v>72.960000000000008</v>
      </c>
      <c r="AD143" s="659">
        <f>IF(AD$8=0,0,INDEX('R&amp;B Inputs'!$H$45:$U$45,MATCH($B143,'R&amp;B Inputs'!$H$4:$U$4,0))*(1+INDEX('R&amp;B Inputs'!$H$46:$U$46,MATCH($B143,'R&amp;B Inputs'!$H$4:$U$4,0)))^(AD$7-Year1)*12)</f>
        <v>72.960000000000008</v>
      </c>
      <c r="AE143" s="659">
        <f>IF(AE$8=0,0,INDEX('R&amp;B Inputs'!$H$45:$U$45,MATCH($B143,'R&amp;B Inputs'!$H$4:$U$4,0))*(1+INDEX('R&amp;B Inputs'!$H$46:$U$46,MATCH($B143,'R&amp;B Inputs'!$H$4:$U$4,0)))^(AE$7-Year1)*12)</f>
        <v>72.960000000000008</v>
      </c>
      <c r="AF143" s="659">
        <f>IF(AF$8=0,0,INDEX('R&amp;B Inputs'!$H$45:$U$45,MATCH($B143,'R&amp;B Inputs'!$H$4:$U$4,0))*(1+INDEX('R&amp;B Inputs'!$H$46:$U$46,MATCH($B143,'R&amp;B Inputs'!$H$4:$U$4,0)))^(AF$7-Year1)*12)</f>
        <v>72.960000000000008</v>
      </c>
      <c r="AG143" s="659">
        <f>IF(AG$8=0,0,INDEX('R&amp;B Inputs'!$H$45:$U$45,MATCH($B143,'R&amp;B Inputs'!$H$4:$U$4,0))*(1+INDEX('R&amp;B Inputs'!$H$46:$U$46,MATCH($B143,'R&amp;B Inputs'!$H$4:$U$4,0)))^(AG$7-Year1)*12)</f>
        <v>72.960000000000008</v>
      </c>
      <c r="AH143" s="49"/>
      <c r="AI143" s="49"/>
      <c r="AJ143" s="103">
        <f>IF($C$4=Year1,-PMT(Lookups!$E$17,25,NPV(Lookups!$E$17,G143:AE143),0,1),IF($C$4=Year2,-PMT(Lookups!$F$17,25,NPV(Lookups!$F$17,H143:AF143),0,1),IF($C$4=Year3,-PMT(Lookups!$G$17,25,NPV(Lookups!$G$17,I143:AG143),0,1),-PMT(Lookups!$G$17,27,NPV(Lookups!$G$17,G143:AG143),0,1))))</f>
        <v>71.942446489104128</v>
      </c>
      <c r="AM143" s="705">
        <f>IF(AM$8=0,0,INDEX('R&amp;B Inputs'!$H$45:$U$45,MATCH($B143,'R&amp;B Inputs'!$H$4:$U$4,0))*(1+INDEX('R&amp;B Inputs'!$H$46:$U$46,MATCH($B143,'R&amp;B Inputs'!$H$4:$U$4,0)))^(AM$7-Year1)*12)</f>
        <v>0</v>
      </c>
      <c r="AN143" s="705">
        <f>IF(AN$8=0,0,INDEX('R&amp;B Inputs'!$H$45:$U$45,MATCH($B143,'R&amp;B Inputs'!$H$4:$U$4,0))*(1+INDEX('R&amp;B Inputs'!$H$46:$U$46,MATCH($B143,'R&amp;B Inputs'!$H$4:$U$4,0)))^(AN$7-Year1)*12)</f>
        <v>72.960000000000008</v>
      </c>
      <c r="AO143" s="705">
        <f>IF(AO$8=0,0,INDEX('R&amp;B Inputs'!$H$45:$U$45,MATCH($B143,'R&amp;B Inputs'!$H$4:$U$4,0))*(1+INDEX('R&amp;B Inputs'!$H$46:$U$46,MATCH($B143,'R&amp;B Inputs'!$H$4:$U$4,0)))^(AO$7-Year1)*12)</f>
        <v>72.960000000000008</v>
      </c>
      <c r="AP143" s="705">
        <f>IF(AP$8=0,0,INDEX('R&amp;B Inputs'!$H$45:$U$45,MATCH($B143,'R&amp;B Inputs'!$H$4:$U$4,0))*(1+INDEX('R&amp;B Inputs'!$H$46:$U$46,MATCH($B143,'R&amp;B Inputs'!$H$4:$U$4,0)))^(AP$7-Year1)*12)</f>
        <v>72.960000000000008</v>
      </c>
      <c r="AQ143" s="705">
        <f>IF(AQ$8=0,0,INDEX('R&amp;B Inputs'!$H$45:$U$45,MATCH($B143,'R&amp;B Inputs'!$H$4:$U$4,0))*(1+INDEX('R&amp;B Inputs'!$H$46:$U$46,MATCH($B143,'R&amp;B Inputs'!$H$4:$U$4,0)))^(AQ$7-Year1)*12)</f>
        <v>72.960000000000008</v>
      </c>
      <c r="AR143" s="705">
        <f>IF(AR$8=0,0,INDEX('R&amp;B Inputs'!$H$45:$U$45,MATCH($B143,'R&amp;B Inputs'!$H$4:$U$4,0))*(1+INDEX('R&amp;B Inputs'!$H$46:$U$46,MATCH($B143,'R&amp;B Inputs'!$H$4:$U$4,0)))^(AR$7-Year1)*12)</f>
        <v>72.960000000000008</v>
      </c>
      <c r="AS143" s="705">
        <f>IF(AS$8=0,0,INDEX('R&amp;B Inputs'!$H$45:$U$45,MATCH($B143,'R&amp;B Inputs'!$H$4:$U$4,0))*(1+INDEX('R&amp;B Inputs'!$H$46:$U$46,MATCH($B143,'R&amp;B Inputs'!$H$4:$U$4,0)))^(AS$7-Year1)*12)</f>
        <v>72.960000000000008</v>
      </c>
      <c r="AT143" s="705">
        <f>IF(AT$8=0,0,INDEX('R&amp;B Inputs'!$H$45:$U$45,MATCH($B143,'R&amp;B Inputs'!$H$4:$U$4,0))*(1+INDEX('R&amp;B Inputs'!$H$46:$U$46,MATCH($B143,'R&amp;B Inputs'!$H$4:$U$4,0)))^(AT$7-Year1)*12)</f>
        <v>72.960000000000008</v>
      </c>
      <c r="AU143" s="705">
        <f>IF(AU$8=0,0,INDEX('R&amp;B Inputs'!$H$45:$U$45,MATCH($B143,'R&amp;B Inputs'!$H$4:$U$4,0))*(1+INDEX('R&amp;B Inputs'!$H$46:$U$46,MATCH($B143,'R&amp;B Inputs'!$H$4:$U$4,0)))^(AU$7-Year1)*12)</f>
        <v>72.960000000000008</v>
      </c>
      <c r="AV143" s="705">
        <f>IF(AV$8=0,0,INDEX('R&amp;B Inputs'!$H$45:$U$45,MATCH($B143,'R&amp;B Inputs'!$H$4:$U$4,0))*(1+INDEX('R&amp;B Inputs'!$H$46:$U$46,MATCH($B143,'R&amp;B Inputs'!$H$4:$U$4,0)))^(AV$7-Year1)*12)</f>
        <v>72.960000000000008</v>
      </c>
      <c r="AW143" s="705">
        <f>IF(AW$8=0,0,INDEX('R&amp;B Inputs'!$H$45:$U$45,MATCH($B143,'R&amp;B Inputs'!$H$4:$U$4,0))*(1+INDEX('R&amp;B Inputs'!$H$46:$U$46,MATCH($B143,'R&amp;B Inputs'!$H$4:$U$4,0)))^(AW$7-Year1)*12)</f>
        <v>72.960000000000008</v>
      </c>
      <c r="AX143" s="705">
        <f>IF(AX$8=0,0,INDEX('R&amp;B Inputs'!$H$45:$U$45,MATCH($B143,'R&amp;B Inputs'!$H$4:$U$4,0))*(1+INDEX('R&amp;B Inputs'!$H$46:$U$46,MATCH($B143,'R&amp;B Inputs'!$H$4:$U$4,0)))^(AX$7-Year1)*12)</f>
        <v>72.960000000000008</v>
      </c>
      <c r="AY143" s="705">
        <f>IF(AY$8=0,0,INDEX('R&amp;B Inputs'!$H$45:$U$45,MATCH($B143,'R&amp;B Inputs'!$H$4:$U$4,0))*(1+INDEX('R&amp;B Inputs'!$H$46:$U$46,MATCH($B143,'R&amp;B Inputs'!$H$4:$U$4,0)))^(AY$7-Year1)*12)</f>
        <v>72.960000000000008</v>
      </c>
      <c r="AZ143" s="705">
        <f>IF(AZ$8=0,0,INDEX('R&amp;B Inputs'!$H$45:$U$45,MATCH($B143,'R&amp;B Inputs'!$H$4:$U$4,0))*(1+INDEX('R&amp;B Inputs'!$H$46:$U$46,MATCH($B143,'R&amp;B Inputs'!$H$4:$U$4,0)))^(AZ$7-Year1)*12)</f>
        <v>72.960000000000008</v>
      </c>
      <c r="BA143" s="705">
        <f>IF(BA$8=0,0,INDEX('R&amp;B Inputs'!$H$45:$U$45,MATCH($B143,'R&amp;B Inputs'!$H$4:$U$4,0))*(1+INDEX('R&amp;B Inputs'!$H$46:$U$46,MATCH($B143,'R&amp;B Inputs'!$H$4:$U$4,0)))^(BA$7-Year1)*12)</f>
        <v>72.960000000000008</v>
      </c>
      <c r="BB143" s="705">
        <f>IF(BB$8=0,0,INDEX('R&amp;B Inputs'!$H$45:$U$45,MATCH($B143,'R&amp;B Inputs'!$H$4:$U$4,0))*(1+INDEX('R&amp;B Inputs'!$H$46:$U$46,MATCH($B143,'R&amp;B Inputs'!$H$4:$U$4,0)))^(BB$7-Year1)*12)</f>
        <v>72.960000000000008</v>
      </c>
      <c r="BC143" s="705">
        <f>IF(BC$8=0,0,INDEX('R&amp;B Inputs'!$H$45:$U$45,MATCH($B143,'R&amp;B Inputs'!$H$4:$U$4,0))*(1+INDEX('R&amp;B Inputs'!$H$46:$U$46,MATCH($B143,'R&amp;B Inputs'!$H$4:$U$4,0)))^(BC$7-Year1)*12)</f>
        <v>72.960000000000008</v>
      </c>
      <c r="BD143" s="705">
        <f>IF(BD$8=0,0,INDEX('R&amp;B Inputs'!$H$45:$U$45,MATCH($B143,'R&amp;B Inputs'!$H$4:$U$4,0))*(1+INDEX('R&amp;B Inputs'!$H$46:$U$46,MATCH($B143,'R&amp;B Inputs'!$H$4:$U$4,0)))^(BD$7-Year1)*12)</f>
        <v>72.960000000000008</v>
      </c>
      <c r="BE143" s="705">
        <f>IF(BE$8=0,0,INDEX('R&amp;B Inputs'!$H$45:$U$45,MATCH($B143,'R&amp;B Inputs'!$H$4:$U$4,0))*(1+INDEX('R&amp;B Inputs'!$H$46:$U$46,MATCH($B143,'R&amp;B Inputs'!$H$4:$U$4,0)))^(BE$7-Year1)*12)</f>
        <v>72.960000000000008</v>
      </c>
      <c r="BF143" s="705">
        <f>IF(BF$8=0,0,INDEX('R&amp;B Inputs'!$H$45:$U$45,MATCH($B143,'R&amp;B Inputs'!$H$4:$U$4,0))*(1+INDEX('R&amp;B Inputs'!$H$46:$U$46,MATCH($B143,'R&amp;B Inputs'!$H$4:$U$4,0)))^(BF$7-Year1)*12)</f>
        <v>72.960000000000008</v>
      </c>
      <c r="BG143" s="705">
        <f>IF(BG$8=0,0,INDEX('R&amp;B Inputs'!$H$45:$U$45,MATCH($B143,'R&amp;B Inputs'!$H$4:$U$4,0))*(1+INDEX('R&amp;B Inputs'!$H$46:$U$46,MATCH($B143,'R&amp;B Inputs'!$H$4:$U$4,0)))^(BG$7-Year1)*12)</f>
        <v>72.960000000000008</v>
      </c>
      <c r="BH143" s="705">
        <f>IF(BH$8=0,0,INDEX('R&amp;B Inputs'!$H$45:$U$45,MATCH($B143,'R&amp;B Inputs'!$H$4:$U$4,0))*(1+INDEX('R&amp;B Inputs'!$H$46:$U$46,MATCH($B143,'R&amp;B Inputs'!$H$4:$U$4,0)))^(BH$7-Year1)*12)</f>
        <v>72.960000000000008</v>
      </c>
      <c r="BI143" s="705">
        <f>IF(BI$8=0,0,INDEX('R&amp;B Inputs'!$H$45:$U$45,MATCH($B143,'R&amp;B Inputs'!$H$4:$U$4,0))*(1+INDEX('R&amp;B Inputs'!$H$46:$U$46,MATCH($B143,'R&amp;B Inputs'!$H$4:$U$4,0)))^(BI$7-Year1)*12)</f>
        <v>72.960000000000008</v>
      </c>
      <c r="BJ143" s="705">
        <f>IF(BJ$8=0,0,INDEX('R&amp;B Inputs'!$H$45:$U$45,MATCH($B143,'R&amp;B Inputs'!$H$4:$U$4,0))*(1+INDEX('R&amp;B Inputs'!$H$46:$U$46,MATCH($B143,'R&amp;B Inputs'!$H$4:$U$4,0)))^(BJ$7-Year1)*12)</f>
        <v>72.960000000000008</v>
      </c>
      <c r="BK143" s="705">
        <f>IF(BK$8=0,0,INDEX('R&amp;B Inputs'!$H$45:$U$45,MATCH($B143,'R&amp;B Inputs'!$H$4:$U$4,0))*(1+INDEX('R&amp;B Inputs'!$H$46:$U$46,MATCH($B143,'R&amp;B Inputs'!$H$4:$U$4,0)))^(BK$7-Year1)*12)</f>
        <v>72.960000000000008</v>
      </c>
      <c r="BL143" s="705">
        <f>IF(BL$8=0,0,INDEX('R&amp;B Inputs'!$H$45:$U$45,MATCH($B143,'R&amp;B Inputs'!$H$4:$U$4,0))*(1+INDEX('R&amp;B Inputs'!$H$46:$U$46,MATCH($B143,'R&amp;B Inputs'!$H$4:$U$4,0)))^(BL$7-Year1)*12)</f>
        <v>72.960000000000008</v>
      </c>
      <c r="BM143" s="705">
        <f>IF(BM$8=0,0,INDEX('R&amp;B Inputs'!$H$45:$U$45,MATCH($B143,'R&amp;B Inputs'!$H$4:$U$4,0))*(1+INDEX('R&amp;B Inputs'!$H$46:$U$46,MATCH($B143,'R&amp;B Inputs'!$H$4:$U$4,0)))^(BM$7-Year1)*12)</f>
        <v>72.960000000000008</v>
      </c>
      <c r="BN143" s="74"/>
      <c r="BO143" s="74"/>
      <c r="BP143" s="149">
        <f>IF($C$4=Year1,-PMT(Lookups!$E$17,25,NPV(Lookups!$E$17,AM143:BK143),0,1),IF($C$4=Year2,-PMT(Lookups!$F$17,25,NPV(Lookups!$F$17,AN143:BL143),0,1),IF($C$4=Year3,-PMT(Lookups!$G$17,25,NPV(Lookups!$G$17,AO143:BM143),0,1),-PMT(Lookups!$G$17,27,NPV(Lookups!$G$17,AM143:BM143),0,1))))</f>
        <v>71.942446489104128</v>
      </c>
      <c r="BS143" s="84" t="str">
        <f t="shared" ref="BS143" si="141">E143&amp;" charge from the R&amp;B Inputs tab, escalated annually by the growth rate included on the R&amp;B Inputs tab."</f>
        <v>Customer Charge charge from the R&amp;B Inputs tab, escalated annually by the growth rate included on the R&amp;B Inputs tab.</v>
      </c>
      <c r="BT143" s="51" t="s">
        <v>17</v>
      </c>
    </row>
    <row r="144" spans="1:72" x14ac:dyDescent="0.25">
      <c r="B144" s="243" t="str">
        <f t="shared" si="136"/>
        <v>Low-Income</v>
      </c>
      <c r="C144" s="243" t="str">
        <f t="shared" si="136"/>
        <v>Bills</v>
      </c>
      <c r="D144" s="244" t="str">
        <f>D143</f>
        <v>Bills before DSM (No EE Scenario, Non-Participant)</v>
      </c>
      <c r="E144" s="84" t="s">
        <v>309</v>
      </c>
      <c r="F144" s="84" t="s">
        <v>195</v>
      </c>
      <c r="G144" s="64">
        <f>IF(G$8=0,0,INDEX('R&amp;B Inputs'!$I$27:$V$27,MATCH($B144,'R&amp;B Inputs'!$I$4:$V$4,0))+INDEX('R&amp;B Inputs'!$I$28:$V$28,MATCH($B144,'R&amp;B Inputs'!$I$4:$V$4,0)))</f>
        <v>0</v>
      </c>
      <c r="H144" s="64">
        <f>IF(H$8=0,0,INDEX('R&amp;B Inputs'!$I$27:$V$27,MATCH($B144,'R&amp;B Inputs'!$I$4:$V$4,0))+INDEX('R&amp;B Inputs'!$I$28:$V$28,MATCH($B144,'R&amp;B Inputs'!$I$4:$V$4,0)))</f>
        <v>666</v>
      </c>
      <c r="I144" s="64">
        <f>IF(I$8=0,0,INDEX('R&amp;B Inputs'!$I$27:$V$27,MATCH($B144,'R&amp;B Inputs'!$I$4:$V$4,0))+INDEX('R&amp;B Inputs'!$I$28:$V$28,MATCH($B144,'R&amp;B Inputs'!$I$4:$V$4,0)))</f>
        <v>666</v>
      </c>
      <c r="J144" s="64">
        <f>IF(J$8=0,0,INDEX('R&amp;B Inputs'!$I$27:$V$27,MATCH($B144,'R&amp;B Inputs'!$I$4:$V$4,0))+INDEX('R&amp;B Inputs'!$I$28:$V$28,MATCH($B144,'R&amp;B Inputs'!$I$4:$V$4,0)))</f>
        <v>666</v>
      </c>
      <c r="K144" s="64">
        <f>IF(K$8=0,0,INDEX('R&amp;B Inputs'!$I$27:$V$27,MATCH($B144,'R&amp;B Inputs'!$I$4:$V$4,0))+INDEX('R&amp;B Inputs'!$I$28:$V$28,MATCH($B144,'R&amp;B Inputs'!$I$4:$V$4,0)))</f>
        <v>666</v>
      </c>
      <c r="L144" s="64">
        <f>IF(L$8=0,0,INDEX('R&amp;B Inputs'!$I$27:$V$27,MATCH($B144,'R&amp;B Inputs'!$I$4:$V$4,0))+INDEX('R&amp;B Inputs'!$I$28:$V$28,MATCH($B144,'R&amp;B Inputs'!$I$4:$V$4,0)))</f>
        <v>666</v>
      </c>
      <c r="M144" s="64">
        <f>IF(M$8=0,0,INDEX('R&amp;B Inputs'!$I$27:$V$27,MATCH($B144,'R&amp;B Inputs'!$I$4:$V$4,0))+INDEX('R&amp;B Inputs'!$I$28:$V$28,MATCH($B144,'R&amp;B Inputs'!$I$4:$V$4,0)))</f>
        <v>666</v>
      </c>
      <c r="N144" s="64">
        <f>IF(N$8=0,0,INDEX('R&amp;B Inputs'!$I$27:$V$27,MATCH($B144,'R&amp;B Inputs'!$I$4:$V$4,0))+INDEX('R&amp;B Inputs'!$I$28:$V$28,MATCH($B144,'R&amp;B Inputs'!$I$4:$V$4,0)))</f>
        <v>666</v>
      </c>
      <c r="O144" s="64">
        <f>IF(O$8=0,0,INDEX('R&amp;B Inputs'!$I$27:$V$27,MATCH($B144,'R&amp;B Inputs'!$I$4:$V$4,0))+INDEX('R&amp;B Inputs'!$I$28:$V$28,MATCH($B144,'R&amp;B Inputs'!$I$4:$V$4,0)))</f>
        <v>666</v>
      </c>
      <c r="P144" s="64">
        <f>IF(P$8=0,0,INDEX('R&amp;B Inputs'!$I$27:$V$27,MATCH($B144,'R&amp;B Inputs'!$I$4:$V$4,0))+INDEX('R&amp;B Inputs'!$I$28:$V$28,MATCH($B144,'R&amp;B Inputs'!$I$4:$V$4,0)))</f>
        <v>666</v>
      </c>
      <c r="Q144" s="64">
        <f>IF(Q$8=0,0,INDEX('R&amp;B Inputs'!$I$27:$V$27,MATCH($B144,'R&amp;B Inputs'!$I$4:$V$4,0))+INDEX('R&amp;B Inputs'!$I$28:$V$28,MATCH($B144,'R&amp;B Inputs'!$I$4:$V$4,0)))</f>
        <v>666</v>
      </c>
      <c r="R144" s="64">
        <f>IF(R$8=0,0,INDEX('R&amp;B Inputs'!$I$27:$V$27,MATCH($B144,'R&amp;B Inputs'!$I$4:$V$4,0))+INDEX('R&amp;B Inputs'!$I$28:$V$28,MATCH($B144,'R&amp;B Inputs'!$I$4:$V$4,0)))</f>
        <v>666</v>
      </c>
      <c r="S144" s="64">
        <f>IF(S$8=0,0,INDEX('R&amp;B Inputs'!$I$27:$V$27,MATCH($B144,'R&amp;B Inputs'!$I$4:$V$4,0))+INDEX('R&amp;B Inputs'!$I$28:$V$28,MATCH($B144,'R&amp;B Inputs'!$I$4:$V$4,0)))</f>
        <v>666</v>
      </c>
      <c r="T144" s="64">
        <f>IF(T$8=0,0,INDEX('R&amp;B Inputs'!$I$27:$V$27,MATCH($B144,'R&amp;B Inputs'!$I$4:$V$4,0))+INDEX('R&amp;B Inputs'!$I$28:$V$28,MATCH($B144,'R&amp;B Inputs'!$I$4:$V$4,0)))</f>
        <v>666</v>
      </c>
      <c r="U144" s="64">
        <f>IF(U$8=0,0,INDEX('R&amp;B Inputs'!$I$27:$V$27,MATCH($B144,'R&amp;B Inputs'!$I$4:$V$4,0))+INDEX('R&amp;B Inputs'!$I$28:$V$28,MATCH($B144,'R&amp;B Inputs'!$I$4:$V$4,0)))</f>
        <v>666</v>
      </c>
      <c r="V144" s="64">
        <f>IF(V$8=0,0,INDEX('R&amp;B Inputs'!$I$27:$V$27,MATCH($B144,'R&amp;B Inputs'!$I$4:$V$4,0))+INDEX('R&amp;B Inputs'!$I$28:$V$28,MATCH($B144,'R&amp;B Inputs'!$I$4:$V$4,0)))</f>
        <v>666</v>
      </c>
      <c r="W144" s="64">
        <f>IF(W$8=0,0,INDEX('R&amp;B Inputs'!$I$27:$V$27,MATCH($B144,'R&amp;B Inputs'!$I$4:$V$4,0))+INDEX('R&amp;B Inputs'!$I$28:$V$28,MATCH($B144,'R&amp;B Inputs'!$I$4:$V$4,0)))</f>
        <v>666</v>
      </c>
      <c r="X144" s="64">
        <f>IF(X$8=0,0,INDEX('R&amp;B Inputs'!$I$27:$V$27,MATCH($B144,'R&amp;B Inputs'!$I$4:$V$4,0))+INDEX('R&amp;B Inputs'!$I$28:$V$28,MATCH($B144,'R&amp;B Inputs'!$I$4:$V$4,0)))</f>
        <v>666</v>
      </c>
      <c r="Y144" s="64">
        <f>IF(Y$8=0,0,INDEX('R&amp;B Inputs'!$I$27:$V$27,MATCH($B144,'R&amp;B Inputs'!$I$4:$V$4,0))+INDEX('R&amp;B Inputs'!$I$28:$V$28,MATCH($B144,'R&amp;B Inputs'!$I$4:$V$4,0)))</f>
        <v>666</v>
      </c>
      <c r="Z144" s="64">
        <f>IF(Z$8=0,0,INDEX('R&amp;B Inputs'!$I$27:$V$27,MATCH($B144,'R&amp;B Inputs'!$I$4:$V$4,0))+INDEX('R&amp;B Inputs'!$I$28:$V$28,MATCH($B144,'R&amp;B Inputs'!$I$4:$V$4,0)))</f>
        <v>666</v>
      </c>
      <c r="AA144" s="64">
        <f>IF(AA$8=0,0,INDEX('R&amp;B Inputs'!$I$27:$V$27,MATCH($B144,'R&amp;B Inputs'!$I$4:$V$4,0))+INDEX('R&amp;B Inputs'!$I$28:$V$28,MATCH($B144,'R&amp;B Inputs'!$I$4:$V$4,0)))</f>
        <v>666</v>
      </c>
      <c r="AB144" s="64">
        <f>IF(AB$8=0,0,INDEX('R&amp;B Inputs'!$I$27:$V$27,MATCH($B144,'R&amp;B Inputs'!$I$4:$V$4,0))+INDEX('R&amp;B Inputs'!$I$28:$V$28,MATCH($B144,'R&amp;B Inputs'!$I$4:$V$4,0)))</f>
        <v>666</v>
      </c>
      <c r="AC144" s="64">
        <f>IF(AC$8=0,0,INDEX('R&amp;B Inputs'!$I$27:$V$27,MATCH($B144,'R&amp;B Inputs'!$I$4:$V$4,0))+INDEX('R&amp;B Inputs'!$I$28:$V$28,MATCH($B144,'R&amp;B Inputs'!$I$4:$V$4,0)))</f>
        <v>666</v>
      </c>
      <c r="AD144" s="64">
        <f>IF(AD$8=0,0,INDEX('R&amp;B Inputs'!$I$27:$V$27,MATCH($B144,'R&amp;B Inputs'!$I$4:$V$4,0))+INDEX('R&amp;B Inputs'!$I$28:$V$28,MATCH($B144,'R&amp;B Inputs'!$I$4:$V$4,0)))</f>
        <v>666</v>
      </c>
      <c r="AE144" s="64">
        <f>IF(AE$8=0,0,INDEX('R&amp;B Inputs'!$I$27:$V$27,MATCH($B144,'R&amp;B Inputs'!$I$4:$V$4,0))+INDEX('R&amp;B Inputs'!$I$28:$V$28,MATCH($B144,'R&amp;B Inputs'!$I$4:$V$4,0)))</f>
        <v>666</v>
      </c>
      <c r="AF144" s="64">
        <f>IF(AF$8=0,0,INDEX('R&amp;B Inputs'!$I$27:$V$27,MATCH($B144,'R&amp;B Inputs'!$I$4:$V$4,0))+INDEX('R&amp;B Inputs'!$I$28:$V$28,MATCH($B144,'R&amp;B Inputs'!$I$4:$V$4,0)))</f>
        <v>666</v>
      </c>
      <c r="AG144" s="64">
        <f>IF(AG$8=0,0,INDEX('R&amp;B Inputs'!$I$27:$V$27,MATCH($B144,'R&amp;B Inputs'!$I$4:$V$4,0))+INDEX('R&amp;B Inputs'!$I$28:$V$28,MATCH($B144,'R&amp;B Inputs'!$I$4:$V$4,0)))</f>
        <v>666</v>
      </c>
      <c r="AH144" s="64"/>
      <c r="AI144" s="64"/>
      <c r="AJ144" s="103"/>
      <c r="AM144" s="71">
        <f>IF(AM$8=0,0,INDEX('R&amp;B Inputs'!$I$27:$V$27,MATCH($B144,'R&amp;B Inputs'!$I$4:$V$4,0))+INDEX('R&amp;B Inputs'!$I$28:$V$28,MATCH($B144,'R&amp;B Inputs'!$I$4:$V$4,0)))</f>
        <v>0</v>
      </c>
      <c r="AN144" s="71">
        <f>IF(AN$8=0,0,INDEX('R&amp;B Inputs'!$I$27:$V$27,MATCH($B144,'R&amp;B Inputs'!$I$4:$V$4,0))+INDEX('R&amp;B Inputs'!$I$28:$V$28,MATCH($B144,'R&amp;B Inputs'!$I$4:$V$4,0)))</f>
        <v>666</v>
      </c>
      <c r="AO144" s="71">
        <f>IF(AO$8=0,0,INDEX('R&amp;B Inputs'!$I$27:$V$27,MATCH($B144,'R&amp;B Inputs'!$I$4:$V$4,0))+INDEX('R&amp;B Inputs'!$I$28:$V$28,MATCH($B144,'R&amp;B Inputs'!$I$4:$V$4,0)))</f>
        <v>666</v>
      </c>
      <c r="AP144" s="71">
        <f>IF(AP$8=0,0,INDEX('R&amp;B Inputs'!$I$27:$V$27,MATCH($B144,'R&amp;B Inputs'!$I$4:$V$4,0))+INDEX('R&amp;B Inputs'!$I$28:$V$28,MATCH($B144,'R&amp;B Inputs'!$I$4:$V$4,0)))</f>
        <v>666</v>
      </c>
      <c r="AQ144" s="71">
        <f>IF(AQ$8=0,0,INDEX('R&amp;B Inputs'!$I$27:$V$27,MATCH($B144,'R&amp;B Inputs'!$I$4:$V$4,0))+INDEX('R&amp;B Inputs'!$I$28:$V$28,MATCH($B144,'R&amp;B Inputs'!$I$4:$V$4,0)))</f>
        <v>666</v>
      </c>
      <c r="AR144" s="71">
        <f>IF(AR$8=0,0,INDEX('R&amp;B Inputs'!$I$27:$V$27,MATCH($B144,'R&amp;B Inputs'!$I$4:$V$4,0))+INDEX('R&amp;B Inputs'!$I$28:$V$28,MATCH($B144,'R&amp;B Inputs'!$I$4:$V$4,0)))</f>
        <v>666</v>
      </c>
      <c r="AS144" s="71">
        <f>IF(AS$8=0,0,INDEX('R&amp;B Inputs'!$I$27:$V$27,MATCH($B144,'R&amp;B Inputs'!$I$4:$V$4,0))+INDEX('R&amp;B Inputs'!$I$28:$V$28,MATCH($B144,'R&amp;B Inputs'!$I$4:$V$4,0)))</f>
        <v>666</v>
      </c>
      <c r="AT144" s="71">
        <f>IF(AT$8=0,0,INDEX('R&amp;B Inputs'!$I$27:$V$27,MATCH($B144,'R&amp;B Inputs'!$I$4:$V$4,0))+INDEX('R&amp;B Inputs'!$I$28:$V$28,MATCH($B144,'R&amp;B Inputs'!$I$4:$V$4,0)))</f>
        <v>666</v>
      </c>
      <c r="AU144" s="71">
        <f>IF(AU$8=0,0,INDEX('R&amp;B Inputs'!$I$27:$V$27,MATCH($B144,'R&amp;B Inputs'!$I$4:$V$4,0))+INDEX('R&amp;B Inputs'!$I$28:$V$28,MATCH($B144,'R&amp;B Inputs'!$I$4:$V$4,0)))</f>
        <v>666</v>
      </c>
      <c r="AV144" s="71">
        <f>IF(AV$8=0,0,INDEX('R&amp;B Inputs'!$I$27:$V$27,MATCH($B144,'R&amp;B Inputs'!$I$4:$V$4,0))+INDEX('R&amp;B Inputs'!$I$28:$V$28,MATCH($B144,'R&amp;B Inputs'!$I$4:$V$4,0)))</f>
        <v>666</v>
      </c>
      <c r="AW144" s="71">
        <f>IF(AW$8=0,0,INDEX('R&amp;B Inputs'!$I$27:$V$27,MATCH($B144,'R&amp;B Inputs'!$I$4:$V$4,0))+INDEX('R&amp;B Inputs'!$I$28:$V$28,MATCH($B144,'R&amp;B Inputs'!$I$4:$V$4,0)))</f>
        <v>666</v>
      </c>
      <c r="AX144" s="71">
        <f>IF(AX$8=0,0,INDEX('R&amp;B Inputs'!$I$27:$V$27,MATCH($B144,'R&amp;B Inputs'!$I$4:$V$4,0))+INDEX('R&amp;B Inputs'!$I$28:$V$28,MATCH($B144,'R&amp;B Inputs'!$I$4:$V$4,0)))</f>
        <v>666</v>
      </c>
      <c r="AY144" s="71">
        <f>IF(AY$8=0,0,INDEX('R&amp;B Inputs'!$I$27:$V$27,MATCH($B144,'R&amp;B Inputs'!$I$4:$V$4,0))+INDEX('R&amp;B Inputs'!$I$28:$V$28,MATCH($B144,'R&amp;B Inputs'!$I$4:$V$4,0)))</f>
        <v>666</v>
      </c>
      <c r="AZ144" s="71">
        <f>IF(AZ$8=0,0,INDEX('R&amp;B Inputs'!$I$27:$V$27,MATCH($B144,'R&amp;B Inputs'!$I$4:$V$4,0))+INDEX('R&amp;B Inputs'!$I$28:$V$28,MATCH($B144,'R&amp;B Inputs'!$I$4:$V$4,0)))</f>
        <v>666</v>
      </c>
      <c r="BA144" s="71">
        <f>IF(BA$8=0,0,INDEX('R&amp;B Inputs'!$I$27:$V$27,MATCH($B144,'R&amp;B Inputs'!$I$4:$V$4,0))+INDEX('R&amp;B Inputs'!$I$28:$V$28,MATCH($B144,'R&amp;B Inputs'!$I$4:$V$4,0)))</f>
        <v>666</v>
      </c>
      <c r="BB144" s="71">
        <f>IF(BB$8=0,0,INDEX('R&amp;B Inputs'!$I$27:$V$27,MATCH($B144,'R&amp;B Inputs'!$I$4:$V$4,0))+INDEX('R&amp;B Inputs'!$I$28:$V$28,MATCH($B144,'R&amp;B Inputs'!$I$4:$V$4,0)))</f>
        <v>666</v>
      </c>
      <c r="BC144" s="71">
        <f>IF(BC$8=0,0,INDEX('R&amp;B Inputs'!$I$27:$V$27,MATCH($B144,'R&amp;B Inputs'!$I$4:$V$4,0))+INDEX('R&amp;B Inputs'!$I$28:$V$28,MATCH($B144,'R&amp;B Inputs'!$I$4:$V$4,0)))</f>
        <v>666</v>
      </c>
      <c r="BD144" s="71">
        <f>IF(BD$8=0,0,INDEX('R&amp;B Inputs'!$I$27:$V$27,MATCH($B144,'R&amp;B Inputs'!$I$4:$V$4,0))+INDEX('R&amp;B Inputs'!$I$28:$V$28,MATCH($B144,'R&amp;B Inputs'!$I$4:$V$4,0)))</f>
        <v>666</v>
      </c>
      <c r="BE144" s="71">
        <f>IF(BE$8=0,0,INDEX('R&amp;B Inputs'!$I$27:$V$27,MATCH($B144,'R&amp;B Inputs'!$I$4:$V$4,0))+INDEX('R&amp;B Inputs'!$I$28:$V$28,MATCH($B144,'R&amp;B Inputs'!$I$4:$V$4,0)))</f>
        <v>666</v>
      </c>
      <c r="BF144" s="71">
        <f>IF(BF$8=0,0,INDEX('R&amp;B Inputs'!$I$27:$V$27,MATCH($B144,'R&amp;B Inputs'!$I$4:$V$4,0))+INDEX('R&amp;B Inputs'!$I$28:$V$28,MATCH($B144,'R&amp;B Inputs'!$I$4:$V$4,0)))</f>
        <v>666</v>
      </c>
      <c r="BG144" s="71">
        <f>IF(BG$8=0,0,INDEX('R&amp;B Inputs'!$I$27:$V$27,MATCH($B144,'R&amp;B Inputs'!$I$4:$V$4,0))+INDEX('R&amp;B Inputs'!$I$28:$V$28,MATCH($B144,'R&amp;B Inputs'!$I$4:$V$4,0)))</f>
        <v>666</v>
      </c>
      <c r="BH144" s="71">
        <f>IF(BH$8=0,0,INDEX('R&amp;B Inputs'!$I$27:$V$27,MATCH($B144,'R&amp;B Inputs'!$I$4:$V$4,0))+INDEX('R&amp;B Inputs'!$I$28:$V$28,MATCH($B144,'R&amp;B Inputs'!$I$4:$V$4,0)))</f>
        <v>666</v>
      </c>
      <c r="BI144" s="71">
        <f>IF(BI$8=0,0,INDEX('R&amp;B Inputs'!$I$27:$V$27,MATCH($B144,'R&amp;B Inputs'!$I$4:$V$4,0))+INDEX('R&amp;B Inputs'!$I$28:$V$28,MATCH($B144,'R&amp;B Inputs'!$I$4:$V$4,0)))</f>
        <v>666</v>
      </c>
      <c r="BJ144" s="71">
        <f>IF(BJ$8=0,0,INDEX('R&amp;B Inputs'!$I$27:$V$27,MATCH($B144,'R&amp;B Inputs'!$I$4:$V$4,0))+INDEX('R&amp;B Inputs'!$I$28:$V$28,MATCH($B144,'R&amp;B Inputs'!$I$4:$V$4,0)))</f>
        <v>666</v>
      </c>
      <c r="BK144" s="71">
        <f>IF(BK$8=0,0,INDEX('R&amp;B Inputs'!$I$27:$V$27,MATCH($B144,'R&amp;B Inputs'!$I$4:$V$4,0))+INDEX('R&amp;B Inputs'!$I$28:$V$28,MATCH($B144,'R&amp;B Inputs'!$I$4:$V$4,0)))</f>
        <v>666</v>
      </c>
      <c r="BL144" s="71">
        <f>IF(BL$8=0,0,INDEX('R&amp;B Inputs'!$I$27:$V$27,MATCH($B144,'R&amp;B Inputs'!$I$4:$V$4,0))+INDEX('R&amp;B Inputs'!$I$28:$V$28,MATCH($B144,'R&amp;B Inputs'!$I$4:$V$4,0)))</f>
        <v>666</v>
      </c>
      <c r="BM144" s="71">
        <f>IF(BM$8=0,0,INDEX('R&amp;B Inputs'!$I$27:$V$27,MATCH($B144,'R&amp;B Inputs'!$I$4:$V$4,0))+INDEX('R&amp;B Inputs'!$I$28:$V$28,MATCH($B144,'R&amp;B Inputs'!$I$4:$V$4,0)))</f>
        <v>666</v>
      </c>
      <c r="BN144" s="71"/>
      <c r="BO144" s="71"/>
      <c r="BP144" s="149"/>
      <c r="BS144" s="76" t="s">
        <v>96</v>
      </c>
      <c r="BT144" s="51" t="s">
        <v>17</v>
      </c>
    </row>
    <row r="145" spans="1:72" x14ac:dyDescent="0.25">
      <c r="B145" s="243" t="str">
        <f t="shared" si="136"/>
        <v>Low-Income</v>
      </c>
      <c r="C145" s="243" t="str">
        <f t="shared" si="136"/>
        <v>Bills</v>
      </c>
      <c r="D145" s="244" t="str">
        <f>D144</f>
        <v>Bills before DSM (No EE Scenario, Non-Participant)</v>
      </c>
      <c r="E145" s="84" t="s">
        <v>77</v>
      </c>
      <c r="F145" s="84" t="s">
        <v>32</v>
      </c>
      <c r="G145" s="103">
        <f>G143+G144*(G121-G120)</f>
        <v>0</v>
      </c>
      <c r="H145" s="103">
        <f>H143+H144*(H121-H120)</f>
        <v>612.48659999999995</v>
      </c>
      <c r="I145" s="103">
        <f t="shared" ref="I145:AG145" si="142">I143+I144*(I121-I120)</f>
        <v>612.48659999999995</v>
      </c>
      <c r="J145" s="103">
        <f t="shared" si="142"/>
        <v>612.48659999999995</v>
      </c>
      <c r="K145" s="103">
        <f t="shared" si="142"/>
        <v>612.48659999999995</v>
      </c>
      <c r="L145" s="103">
        <f t="shared" si="142"/>
        <v>612.48659999999995</v>
      </c>
      <c r="M145" s="103">
        <f t="shared" si="142"/>
        <v>612.48659999999995</v>
      </c>
      <c r="N145" s="103">
        <f t="shared" si="142"/>
        <v>612.48659999999995</v>
      </c>
      <c r="O145" s="103">
        <f t="shared" si="142"/>
        <v>612.48659999999995</v>
      </c>
      <c r="P145" s="103">
        <f t="shared" si="142"/>
        <v>612.48659999999995</v>
      </c>
      <c r="Q145" s="103">
        <f t="shared" si="142"/>
        <v>612.48659999999995</v>
      </c>
      <c r="R145" s="103">
        <f t="shared" si="142"/>
        <v>612.48659999999995</v>
      </c>
      <c r="S145" s="103">
        <f t="shared" si="142"/>
        <v>612.48659999999995</v>
      </c>
      <c r="T145" s="103">
        <f t="shared" si="142"/>
        <v>612.48659999999995</v>
      </c>
      <c r="U145" s="103">
        <f t="shared" si="142"/>
        <v>612.48659999999995</v>
      </c>
      <c r="V145" s="103">
        <f t="shared" si="142"/>
        <v>612.48659999999995</v>
      </c>
      <c r="W145" s="103">
        <f t="shared" si="142"/>
        <v>612.48659999999995</v>
      </c>
      <c r="X145" s="103">
        <f t="shared" si="142"/>
        <v>612.48659999999995</v>
      </c>
      <c r="Y145" s="103">
        <f t="shared" si="142"/>
        <v>612.48659999999995</v>
      </c>
      <c r="Z145" s="103">
        <f t="shared" si="142"/>
        <v>612.48659999999995</v>
      </c>
      <c r="AA145" s="103">
        <f t="shared" si="142"/>
        <v>612.48659999999995</v>
      </c>
      <c r="AB145" s="103">
        <f t="shared" si="142"/>
        <v>612.48659999999995</v>
      </c>
      <c r="AC145" s="103">
        <f t="shared" si="142"/>
        <v>612.48659999999995</v>
      </c>
      <c r="AD145" s="103">
        <f t="shared" si="142"/>
        <v>612.48659999999995</v>
      </c>
      <c r="AE145" s="103">
        <f t="shared" si="142"/>
        <v>612.48659999999995</v>
      </c>
      <c r="AF145" s="103">
        <f t="shared" si="142"/>
        <v>612.48659999999995</v>
      </c>
      <c r="AG145" s="103">
        <f t="shared" si="142"/>
        <v>612.48659999999995</v>
      </c>
      <c r="AH145" s="103"/>
      <c r="AI145" s="103"/>
      <c r="AJ145" s="103">
        <f>IF($C$4=Year1,-PMT(Lookups!$E$17,25,NPV(Lookups!$E$17,G145:AE145),0,1),IF($C$4=Year2,-PMT(Lookups!$F$17,25,NPV(Lookups!$F$17,H145:AF145),0,1),IF($C$4=Year3,-PMT(Lookups!$G$17,25,NPV(Lookups!$G$17,I145:AG145),0,1),-PMT(Lookups!$G$17,27,NPV(Lookups!$G$17,G145:AG145),0,1))))</f>
        <v>603.94441400484254</v>
      </c>
      <c r="AM145" s="149">
        <f>AM143+AM144*(AM121-AM120)</f>
        <v>0</v>
      </c>
      <c r="AN145" s="149">
        <f t="shared" ref="AN145:BM145" si="143">AN143+AN144*(AN121-AN120)</f>
        <v>612.48659999999995</v>
      </c>
      <c r="AO145" s="149">
        <f t="shared" si="143"/>
        <v>612.48659999999995</v>
      </c>
      <c r="AP145" s="149">
        <f t="shared" si="143"/>
        <v>612.48659999999995</v>
      </c>
      <c r="AQ145" s="149">
        <f t="shared" si="143"/>
        <v>612.48659999999995</v>
      </c>
      <c r="AR145" s="149">
        <f t="shared" si="143"/>
        <v>612.48659999999995</v>
      </c>
      <c r="AS145" s="149">
        <f t="shared" si="143"/>
        <v>612.48659999999995</v>
      </c>
      <c r="AT145" s="149">
        <f t="shared" si="143"/>
        <v>612.48659999999995</v>
      </c>
      <c r="AU145" s="149">
        <f t="shared" si="143"/>
        <v>612.48659999999995</v>
      </c>
      <c r="AV145" s="149">
        <f t="shared" si="143"/>
        <v>612.48659999999995</v>
      </c>
      <c r="AW145" s="149">
        <f t="shared" si="143"/>
        <v>612.48659999999995</v>
      </c>
      <c r="AX145" s="149">
        <f t="shared" si="143"/>
        <v>612.48659999999995</v>
      </c>
      <c r="AY145" s="149">
        <f t="shared" si="143"/>
        <v>612.48659999999995</v>
      </c>
      <c r="AZ145" s="149">
        <f t="shared" si="143"/>
        <v>612.48659999999995</v>
      </c>
      <c r="BA145" s="149">
        <f t="shared" si="143"/>
        <v>612.48659999999995</v>
      </c>
      <c r="BB145" s="149">
        <f t="shared" si="143"/>
        <v>612.48659999999995</v>
      </c>
      <c r="BC145" s="149">
        <f t="shared" si="143"/>
        <v>612.48659999999995</v>
      </c>
      <c r="BD145" s="149">
        <f t="shared" si="143"/>
        <v>612.48659999999995</v>
      </c>
      <c r="BE145" s="149">
        <f t="shared" si="143"/>
        <v>612.48659999999995</v>
      </c>
      <c r="BF145" s="149">
        <f t="shared" si="143"/>
        <v>612.48659999999995</v>
      </c>
      <c r="BG145" s="149">
        <f t="shared" si="143"/>
        <v>612.48659999999995</v>
      </c>
      <c r="BH145" s="149">
        <f t="shared" si="143"/>
        <v>612.48659999999995</v>
      </c>
      <c r="BI145" s="149">
        <f t="shared" si="143"/>
        <v>612.48659999999995</v>
      </c>
      <c r="BJ145" s="149">
        <f t="shared" si="143"/>
        <v>612.48659999999995</v>
      </c>
      <c r="BK145" s="149">
        <f t="shared" si="143"/>
        <v>612.48659999999995</v>
      </c>
      <c r="BL145" s="149">
        <f t="shared" si="143"/>
        <v>612.48659999999995</v>
      </c>
      <c r="BM145" s="149">
        <f t="shared" si="143"/>
        <v>612.48659999999995</v>
      </c>
      <c r="BN145" s="149"/>
      <c r="BO145" s="149"/>
      <c r="BP145" s="149">
        <f>IF($C$4=Year1,-PMT(Lookups!$E$17,25,NPV(Lookups!$E$17,AM145:BK145),0,1),IF($C$4=Year2,-PMT(Lookups!$F$17,25,NPV(Lookups!$F$17,AN145:BL145),0,1),IF($C$4=Year3,-PMT(Lookups!$G$17,25,NPV(Lookups!$G$17,AO145:BM145),0,1),-PMT(Lookups!$G$17,27,NPV(Lookups!$G$17,AM145:BM145),0,1))))</f>
        <v>603.94441400484254</v>
      </c>
      <c r="BS145" s="84" t="s">
        <v>97</v>
      </c>
      <c r="BT145" s="51" t="s">
        <v>17</v>
      </c>
    </row>
    <row r="146" spans="1:72" x14ac:dyDescent="0.25">
      <c r="B146" s="243" t="str">
        <f t="shared" si="136"/>
        <v>Low-Income</v>
      </c>
      <c r="C146" s="243" t="str">
        <f t="shared" si="136"/>
        <v>Bills</v>
      </c>
      <c r="D146" s="114" t="s">
        <v>347</v>
      </c>
      <c r="E146" s="84"/>
      <c r="F146" s="84"/>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S146" s="84"/>
      <c r="BT146" s="51" t="s">
        <v>17</v>
      </c>
    </row>
    <row r="147" spans="1:72" x14ac:dyDescent="0.25">
      <c r="B147" s="243" t="str">
        <f t="shared" si="136"/>
        <v>Low-Income</v>
      </c>
      <c r="C147" s="243" t="str">
        <f t="shared" si="136"/>
        <v>Bills</v>
      </c>
      <c r="D147" s="244" t="str">
        <f>D146</f>
        <v>Annual Savings from DSM Scenario</v>
      </c>
      <c r="E147" s="84" t="s">
        <v>78</v>
      </c>
      <c r="F147" s="84" t="s">
        <v>195</v>
      </c>
      <c r="G147" s="65">
        <f t="shared" ref="G147:AG147" ca="1" si="144">IFERROR(G95/G90,0)</f>
        <v>0</v>
      </c>
      <c r="H147" s="65">
        <f t="shared" ca="1" si="144"/>
        <v>15.457626193950524</v>
      </c>
      <c r="I147" s="65">
        <f t="shared" ca="1" si="144"/>
        <v>15.457626193950524</v>
      </c>
      <c r="J147" s="65">
        <f t="shared" ca="1" si="144"/>
        <v>15.457626193950524</v>
      </c>
      <c r="K147" s="65">
        <f t="shared" ca="1" si="144"/>
        <v>15.457626193950524</v>
      </c>
      <c r="L147" s="65">
        <f t="shared" ca="1" si="144"/>
        <v>15.457626193950524</v>
      </c>
      <c r="M147" s="65">
        <f t="shared" ca="1" si="144"/>
        <v>15.457626193950524</v>
      </c>
      <c r="N147" s="65">
        <f t="shared" ca="1" si="144"/>
        <v>15.457626193950524</v>
      </c>
      <c r="O147" s="65">
        <f t="shared" ca="1" si="144"/>
        <v>15.457626193950524</v>
      </c>
      <c r="P147" s="65">
        <f t="shared" ca="1" si="144"/>
        <v>15.457626193950524</v>
      </c>
      <c r="Q147" s="65">
        <f t="shared" ca="1" si="144"/>
        <v>15.457626193950524</v>
      </c>
      <c r="R147" s="65">
        <f t="shared" ca="1" si="144"/>
        <v>15.457626193950524</v>
      </c>
      <c r="S147" s="65">
        <f t="shared" ca="1" si="144"/>
        <v>15.457626193950524</v>
      </c>
      <c r="T147" s="65">
        <f t="shared" ca="1" si="144"/>
        <v>15.457626193950524</v>
      </c>
      <c r="U147" s="65">
        <f t="shared" ca="1" si="144"/>
        <v>15.457626193950524</v>
      </c>
      <c r="V147" s="65">
        <f t="shared" ca="1" si="144"/>
        <v>15.457626193950524</v>
      </c>
      <c r="W147" s="65">
        <f t="shared" ca="1" si="144"/>
        <v>15.457626193950524</v>
      </c>
      <c r="X147" s="65">
        <f t="shared" ca="1" si="144"/>
        <v>15.457626193950524</v>
      </c>
      <c r="Y147" s="65">
        <f t="shared" ca="1" si="144"/>
        <v>15.457626193950524</v>
      </c>
      <c r="Z147" s="65">
        <f t="shared" ca="1" si="144"/>
        <v>15.457626193950524</v>
      </c>
      <c r="AA147" s="65">
        <f t="shared" ca="1" si="144"/>
        <v>15.457626193950524</v>
      </c>
      <c r="AB147" s="65">
        <f t="shared" ca="1" si="144"/>
        <v>0</v>
      </c>
      <c r="AC147" s="65">
        <f t="shared" ca="1" si="144"/>
        <v>0</v>
      </c>
      <c r="AD147" s="65">
        <f t="shared" ca="1" si="144"/>
        <v>0</v>
      </c>
      <c r="AE147" s="65">
        <f t="shared" ca="1" si="144"/>
        <v>0</v>
      </c>
      <c r="AF147" s="65">
        <f t="shared" ca="1" si="144"/>
        <v>0</v>
      </c>
      <c r="AG147" s="65">
        <f t="shared" ca="1" si="144"/>
        <v>0</v>
      </c>
      <c r="AH147" s="65"/>
      <c r="AI147" s="65"/>
      <c r="AJ147" s="65"/>
      <c r="AM147" s="645">
        <f ca="1">IFERROR(AM95/AM90,0)</f>
        <v>0</v>
      </c>
      <c r="AN147" s="645">
        <f t="shared" ref="AN147:BM147" ca="1" si="145">IFERROR(AN95/AN90,0)</f>
        <v>17.665858507372029</v>
      </c>
      <c r="AO147" s="645">
        <f t="shared" ca="1" si="145"/>
        <v>17.665858507372029</v>
      </c>
      <c r="AP147" s="645">
        <f t="shared" ca="1" si="145"/>
        <v>17.665858507372029</v>
      </c>
      <c r="AQ147" s="645">
        <f t="shared" ca="1" si="145"/>
        <v>17.665858507372029</v>
      </c>
      <c r="AR147" s="645">
        <f t="shared" ca="1" si="145"/>
        <v>17.665858507372029</v>
      </c>
      <c r="AS147" s="645">
        <f t="shared" ca="1" si="145"/>
        <v>17.665858507372029</v>
      </c>
      <c r="AT147" s="645">
        <f t="shared" ca="1" si="145"/>
        <v>17.665858507372029</v>
      </c>
      <c r="AU147" s="645">
        <f t="shared" ca="1" si="145"/>
        <v>17.665858507372029</v>
      </c>
      <c r="AV147" s="645">
        <f t="shared" ca="1" si="145"/>
        <v>17.665858507372029</v>
      </c>
      <c r="AW147" s="645">
        <f t="shared" ca="1" si="145"/>
        <v>17.665858507372029</v>
      </c>
      <c r="AX147" s="645">
        <f t="shared" ca="1" si="145"/>
        <v>17.665858507372029</v>
      </c>
      <c r="AY147" s="645">
        <f t="shared" ca="1" si="145"/>
        <v>17.665858507372029</v>
      </c>
      <c r="AZ147" s="645">
        <f t="shared" ca="1" si="145"/>
        <v>17.665858507372029</v>
      </c>
      <c r="BA147" s="645">
        <f t="shared" ca="1" si="145"/>
        <v>17.665858507372029</v>
      </c>
      <c r="BB147" s="645">
        <f t="shared" ca="1" si="145"/>
        <v>17.665858507372029</v>
      </c>
      <c r="BC147" s="645">
        <f t="shared" ca="1" si="145"/>
        <v>17.665858507372029</v>
      </c>
      <c r="BD147" s="645">
        <f t="shared" ca="1" si="145"/>
        <v>17.665858507372029</v>
      </c>
      <c r="BE147" s="645">
        <f t="shared" ca="1" si="145"/>
        <v>17.665858507372029</v>
      </c>
      <c r="BF147" s="645">
        <f t="shared" ca="1" si="145"/>
        <v>17.665858507372029</v>
      </c>
      <c r="BG147" s="645">
        <f t="shared" ca="1" si="145"/>
        <v>17.665858507372029</v>
      </c>
      <c r="BH147" s="645">
        <f t="shared" ca="1" si="145"/>
        <v>0</v>
      </c>
      <c r="BI147" s="645">
        <f t="shared" ca="1" si="145"/>
        <v>0</v>
      </c>
      <c r="BJ147" s="645">
        <f t="shared" ca="1" si="145"/>
        <v>0</v>
      </c>
      <c r="BK147" s="645">
        <f t="shared" ca="1" si="145"/>
        <v>0</v>
      </c>
      <c r="BL147" s="645">
        <f t="shared" ca="1" si="145"/>
        <v>0</v>
      </c>
      <c r="BM147" s="645">
        <f t="shared" ca="1" si="145"/>
        <v>0</v>
      </c>
      <c r="BN147" s="71"/>
      <c r="BO147" s="71"/>
      <c r="BP147" s="71"/>
      <c r="BS147" s="84" t="s">
        <v>104</v>
      </c>
      <c r="BT147" s="51" t="s">
        <v>17</v>
      </c>
    </row>
    <row r="148" spans="1:72" x14ac:dyDescent="0.25">
      <c r="A148" s="246"/>
      <c r="B148" s="243" t="str">
        <f t="shared" si="136"/>
        <v>Low-Income</v>
      </c>
      <c r="C148" s="243" t="str">
        <f t="shared" si="136"/>
        <v>Bills</v>
      </c>
      <c r="D148" s="244" t="str">
        <f>D147</f>
        <v>Annual Savings from DSM Scenario</v>
      </c>
      <c r="E148" s="84" t="str">
        <f>'EE Inputs'!$N$15&amp;" Participant"</f>
        <v>Low Savings Participant</v>
      </c>
      <c r="F148" s="84" t="s">
        <v>195</v>
      </c>
      <c r="G148" s="64" cm="1">
        <f t="array" aca="1" ref="G148" ca="1">IF($C$4=Lookups!$D$40,INDIRECT("'Yr1'!"&amp;ADDRESS(ROW(G148),COLUMN(G148))),
IF(G91=0,0,SUMIFS('EE Inputs'!$S$9:$S$32,'EE Inputs'!$C$9:$C$32,$G$6,'EE Inputs'!$D$9:$D$32,$C$4,'EE Inputs'!$E$9:$E$32,$B148)))</f>
        <v>0</v>
      </c>
      <c r="H148" s="64" cm="1">
        <f t="array" aca="1" ref="H148" ca="1">IF($C$4=Lookups!$D$40,INDIRECT("'Yr1'!"&amp;ADDRESS(ROW(H148),COLUMN(H148))),
IF(H91=0,0,SUMIFS('EE Inputs'!$S$9:$S$32,'EE Inputs'!$C$9:$C$32,$G$6,'EE Inputs'!$D$9:$D$32,$C$4,'EE Inputs'!$E$9:$E$32,$B148)))</f>
        <v>6.66</v>
      </c>
      <c r="I148" s="64" cm="1">
        <f t="array" aca="1" ref="I148" ca="1">IF($C$4=Lookups!$D$40,INDIRECT("'Yr1'!"&amp;ADDRESS(ROW(I148),COLUMN(I148))),
IF(I91=0,0,SUMIFS('EE Inputs'!$S$9:$S$32,'EE Inputs'!$C$9:$C$32,$G$6,'EE Inputs'!$D$9:$D$32,$C$4,'EE Inputs'!$E$9:$E$32,$B148)))</f>
        <v>6.66</v>
      </c>
      <c r="J148" s="64" cm="1">
        <f t="array" aca="1" ref="J148" ca="1">IF($C$4=Lookups!$D$40,INDIRECT("'Yr1'!"&amp;ADDRESS(ROW(J148),COLUMN(J148))),
IF(J91=0,0,SUMIFS('EE Inputs'!$S$9:$S$32,'EE Inputs'!$C$9:$C$32,$G$6,'EE Inputs'!$D$9:$D$32,$C$4,'EE Inputs'!$E$9:$E$32,$B148)))</f>
        <v>6.66</v>
      </c>
      <c r="K148" s="64" cm="1">
        <f t="array" aca="1" ref="K148" ca="1">IF($C$4=Lookups!$D$40,INDIRECT("'Yr1'!"&amp;ADDRESS(ROW(K148),COLUMN(K148))),
IF(K91=0,0,SUMIFS('EE Inputs'!$S$9:$S$32,'EE Inputs'!$C$9:$C$32,$G$6,'EE Inputs'!$D$9:$D$32,$C$4,'EE Inputs'!$E$9:$E$32,$B148)))</f>
        <v>6.66</v>
      </c>
      <c r="L148" s="64" cm="1">
        <f t="array" aca="1" ref="L148" ca="1">IF($C$4=Lookups!$D$40,INDIRECT("'Yr1'!"&amp;ADDRESS(ROW(L148),COLUMN(L148))),
IF(L91=0,0,SUMIFS('EE Inputs'!$S$9:$S$32,'EE Inputs'!$C$9:$C$32,$G$6,'EE Inputs'!$D$9:$D$32,$C$4,'EE Inputs'!$E$9:$E$32,$B148)))</f>
        <v>6.66</v>
      </c>
      <c r="M148" s="64" cm="1">
        <f t="array" aca="1" ref="M148" ca="1">IF($C$4=Lookups!$D$40,INDIRECT("'Yr1'!"&amp;ADDRESS(ROW(M148),COLUMN(M148))),
IF(M91=0,0,SUMIFS('EE Inputs'!$S$9:$S$32,'EE Inputs'!$C$9:$C$32,$G$6,'EE Inputs'!$D$9:$D$32,$C$4,'EE Inputs'!$E$9:$E$32,$B148)))</f>
        <v>6.66</v>
      </c>
      <c r="N148" s="64" cm="1">
        <f t="array" aca="1" ref="N148" ca="1">IF($C$4=Lookups!$D$40,INDIRECT("'Yr1'!"&amp;ADDRESS(ROW(N148),COLUMN(N148))),
IF(N91=0,0,SUMIFS('EE Inputs'!$S$9:$S$32,'EE Inputs'!$C$9:$C$32,$G$6,'EE Inputs'!$D$9:$D$32,$C$4,'EE Inputs'!$E$9:$E$32,$B148)))</f>
        <v>6.66</v>
      </c>
      <c r="O148" s="64" cm="1">
        <f t="array" aca="1" ref="O148" ca="1">IF($C$4=Lookups!$D$40,INDIRECT("'Yr1'!"&amp;ADDRESS(ROW(O148),COLUMN(O148))),
IF(O91=0,0,SUMIFS('EE Inputs'!$S$9:$S$32,'EE Inputs'!$C$9:$C$32,$G$6,'EE Inputs'!$D$9:$D$32,$C$4,'EE Inputs'!$E$9:$E$32,$B148)))</f>
        <v>6.66</v>
      </c>
      <c r="P148" s="64" cm="1">
        <f t="array" aca="1" ref="P148" ca="1">IF($C$4=Lookups!$D$40,INDIRECT("'Yr1'!"&amp;ADDRESS(ROW(P148),COLUMN(P148))),
IF(P91=0,0,SUMIFS('EE Inputs'!$S$9:$S$32,'EE Inputs'!$C$9:$C$32,$G$6,'EE Inputs'!$D$9:$D$32,$C$4,'EE Inputs'!$E$9:$E$32,$B148)))</f>
        <v>6.66</v>
      </c>
      <c r="Q148" s="64" cm="1">
        <f t="array" aca="1" ref="Q148" ca="1">IF($C$4=Lookups!$D$40,INDIRECT("'Yr1'!"&amp;ADDRESS(ROW(Q148),COLUMN(Q148))),
IF(Q91=0,0,SUMIFS('EE Inputs'!$S$9:$S$32,'EE Inputs'!$C$9:$C$32,$G$6,'EE Inputs'!$D$9:$D$32,$C$4,'EE Inputs'!$E$9:$E$32,$B148)))</f>
        <v>6.66</v>
      </c>
      <c r="R148" s="64" cm="1">
        <f t="array" aca="1" ref="R148" ca="1">IF($C$4=Lookups!$D$40,INDIRECT("'Yr1'!"&amp;ADDRESS(ROW(R148),COLUMN(R148))),
IF(R91=0,0,SUMIFS('EE Inputs'!$S$9:$S$32,'EE Inputs'!$C$9:$C$32,$G$6,'EE Inputs'!$D$9:$D$32,$C$4,'EE Inputs'!$E$9:$E$32,$B148)))</f>
        <v>6.66</v>
      </c>
      <c r="S148" s="64" cm="1">
        <f t="array" aca="1" ref="S148" ca="1">IF($C$4=Lookups!$D$40,INDIRECT("'Yr1'!"&amp;ADDRESS(ROW(S148),COLUMN(S148))),
IF(S91=0,0,SUMIFS('EE Inputs'!$S$9:$S$32,'EE Inputs'!$C$9:$C$32,$G$6,'EE Inputs'!$D$9:$D$32,$C$4,'EE Inputs'!$E$9:$E$32,$B148)))</f>
        <v>6.66</v>
      </c>
      <c r="T148" s="64" cm="1">
        <f t="array" aca="1" ref="T148" ca="1">IF($C$4=Lookups!$D$40,INDIRECT("'Yr1'!"&amp;ADDRESS(ROW(T148),COLUMN(T148))),
IF(T91=0,0,SUMIFS('EE Inputs'!$S$9:$S$32,'EE Inputs'!$C$9:$C$32,$G$6,'EE Inputs'!$D$9:$D$32,$C$4,'EE Inputs'!$E$9:$E$32,$B148)))</f>
        <v>6.66</v>
      </c>
      <c r="U148" s="64" cm="1">
        <f t="array" aca="1" ref="U148" ca="1">IF($C$4=Lookups!$D$40,INDIRECT("'Yr1'!"&amp;ADDRESS(ROW(U148),COLUMN(U148))),
IF(U91=0,0,SUMIFS('EE Inputs'!$S$9:$S$32,'EE Inputs'!$C$9:$C$32,$G$6,'EE Inputs'!$D$9:$D$32,$C$4,'EE Inputs'!$E$9:$E$32,$B148)))</f>
        <v>6.66</v>
      </c>
      <c r="V148" s="64" cm="1">
        <f t="array" aca="1" ref="V148" ca="1">IF($C$4=Lookups!$D$40,INDIRECT("'Yr1'!"&amp;ADDRESS(ROW(V148),COLUMN(V148))),
IF(V91=0,0,SUMIFS('EE Inputs'!$S$9:$S$32,'EE Inputs'!$C$9:$C$32,$G$6,'EE Inputs'!$D$9:$D$32,$C$4,'EE Inputs'!$E$9:$E$32,$B148)))</f>
        <v>6.66</v>
      </c>
      <c r="W148" s="64" cm="1">
        <f t="array" aca="1" ref="W148" ca="1">IF($C$4=Lookups!$D$40,INDIRECT("'Yr1'!"&amp;ADDRESS(ROW(W148),COLUMN(W148))),
IF(W91=0,0,SUMIFS('EE Inputs'!$S$9:$S$32,'EE Inputs'!$C$9:$C$32,$G$6,'EE Inputs'!$D$9:$D$32,$C$4,'EE Inputs'!$E$9:$E$32,$B148)))</f>
        <v>6.66</v>
      </c>
      <c r="X148" s="64" cm="1">
        <f t="array" aca="1" ref="X148" ca="1">IF($C$4=Lookups!$D$40,INDIRECT("'Yr1'!"&amp;ADDRESS(ROW(X148),COLUMN(X148))),
IF(X91=0,0,SUMIFS('EE Inputs'!$S$9:$S$32,'EE Inputs'!$C$9:$C$32,$G$6,'EE Inputs'!$D$9:$D$32,$C$4,'EE Inputs'!$E$9:$E$32,$B148)))</f>
        <v>6.66</v>
      </c>
      <c r="Y148" s="64" cm="1">
        <f t="array" aca="1" ref="Y148" ca="1">IF($C$4=Lookups!$D$40,INDIRECT("'Yr1'!"&amp;ADDRESS(ROW(Y148),COLUMN(Y148))),
IF(Y91=0,0,SUMIFS('EE Inputs'!$S$9:$S$32,'EE Inputs'!$C$9:$C$32,$G$6,'EE Inputs'!$D$9:$D$32,$C$4,'EE Inputs'!$E$9:$E$32,$B148)))</f>
        <v>6.66</v>
      </c>
      <c r="Z148" s="64" cm="1">
        <f t="array" aca="1" ref="Z148" ca="1">IF($C$4=Lookups!$D$40,INDIRECT("'Yr1'!"&amp;ADDRESS(ROW(Z148),COLUMN(Z148))),
IF(Z91=0,0,SUMIFS('EE Inputs'!$S$9:$S$32,'EE Inputs'!$C$9:$C$32,$G$6,'EE Inputs'!$D$9:$D$32,$C$4,'EE Inputs'!$E$9:$E$32,$B148)))</f>
        <v>6.66</v>
      </c>
      <c r="AA148" s="64" cm="1">
        <f t="array" aca="1" ref="AA148" ca="1">IF($C$4=Lookups!$D$40,INDIRECT("'Yr1'!"&amp;ADDRESS(ROW(AA148),COLUMN(AA148))),
IF(AA91=0,0,SUMIFS('EE Inputs'!$S$9:$S$32,'EE Inputs'!$C$9:$C$32,$G$6,'EE Inputs'!$D$9:$D$32,$C$4,'EE Inputs'!$E$9:$E$32,$B148)))</f>
        <v>6.66</v>
      </c>
      <c r="AB148" s="64" cm="1">
        <f t="array" aca="1" ref="AB148" ca="1">IF($C$4=Lookups!$D$40,INDIRECT("'Yr1'!"&amp;ADDRESS(ROW(AB148),COLUMN(AB148))),
IF(AB91=0,0,SUMIFS('EE Inputs'!$S$9:$S$32,'EE Inputs'!$C$9:$C$32,$G$6,'EE Inputs'!$D$9:$D$32,$C$4,'EE Inputs'!$E$9:$E$32,$B148)))</f>
        <v>0</v>
      </c>
      <c r="AC148" s="64" cm="1">
        <f t="array" aca="1" ref="AC148" ca="1">IF($C$4=Lookups!$D$40,INDIRECT("'Yr1'!"&amp;ADDRESS(ROW(AC148),COLUMN(AC148))),
IF(AC91=0,0,SUMIFS('EE Inputs'!$S$9:$S$32,'EE Inputs'!$C$9:$C$32,$G$6,'EE Inputs'!$D$9:$D$32,$C$4,'EE Inputs'!$E$9:$E$32,$B148)))</f>
        <v>0</v>
      </c>
      <c r="AD148" s="64" cm="1">
        <f t="array" aca="1" ref="AD148" ca="1">IF($C$4=Lookups!$D$40,INDIRECT("'Yr1'!"&amp;ADDRESS(ROW(AD148),COLUMN(AD148))),
IF(AD91=0,0,SUMIFS('EE Inputs'!$S$9:$S$32,'EE Inputs'!$C$9:$C$32,$G$6,'EE Inputs'!$D$9:$D$32,$C$4,'EE Inputs'!$E$9:$E$32,$B148)))</f>
        <v>0</v>
      </c>
      <c r="AE148" s="64" cm="1">
        <f t="array" aca="1" ref="AE148" ca="1">IF($C$4=Lookups!$D$40,INDIRECT("'Yr1'!"&amp;ADDRESS(ROW(AE148),COLUMN(AE148))),
IF(AE91=0,0,SUMIFS('EE Inputs'!$S$9:$S$32,'EE Inputs'!$C$9:$C$32,$G$6,'EE Inputs'!$D$9:$D$32,$C$4,'EE Inputs'!$E$9:$E$32,$B148)))</f>
        <v>0</v>
      </c>
      <c r="AF148" s="64" cm="1">
        <f t="array" aca="1" ref="AF148" ca="1">IF($C$4=Lookups!$D$40,INDIRECT("'Yr1'!"&amp;ADDRESS(ROW(AF148),COLUMN(AF148))),
IF(AF91=0,0,SUMIFS('EE Inputs'!$S$9:$S$32,'EE Inputs'!$C$9:$C$32,$G$6,'EE Inputs'!$D$9:$D$32,$C$4,'EE Inputs'!$E$9:$E$32,$B148)))</f>
        <v>0</v>
      </c>
      <c r="AG148" s="64" cm="1">
        <f t="array" aca="1" ref="AG148" ca="1">IF($C$4=Lookups!$D$40,INDIRECT("'Yr1'!"&amp;ADDRESS(ROW(AG148),COLUMN(AG148))),
IF(AG91=0,0,SUMIFS('EE Inputs'!$S$9:$S$32,'EE Inputs'!$C$9:$C$32,$G$6,'EE Inputs'!$D$9:$D$32,$C$4,'EE Inputs'!$E$9:$E$32,$B148)))</f>
        <v>0</v>
      </c>
      <c r="AH148" s="64"/>
      <c r="AI148" s="64"/>
      <c r="AJ148" s="64"/>
      <c r="AM148" s="645" cm="1">
        <f t="array" aca="1" ref="AM148" ca="1">IF($C$4=Lookups!$D$40,INDIRECT("'Yr1'!"&amp;ADDRESS(ROW(AM148),COLUMN(AM148))),
IF(AM91=0,0,SUMIFS('EE Inputs'!$S$9:$S$32,'EE Inputs'!$C$9:$C$32,$AM$6,'EE Inputs'!$D$9:$D$32,$C$4,'EE Inputs'!$E$9:$E$32,$B148)))</f>
        <v>0</v>
      </c>
      <c r="AN148" s="645" cm="1">
        <f t="array" aca="1" ref="AN148" ca="1">IF($C$4=Lookups!$D$40,INDIRECT("'Yr1'!"&amp;ADDRESS(ROW(AN148),COLUMN(AN148))),
IF(AN91=0,0,SUMIFS('EE Inputs'!$S$9:$S$32,'EE Inputs'!$C$9:$C$32,$AM$6,'EE Inputs'!$D$9:$D$32,$C$4,'EE Inputs'!$E$9:$E$32,$B148)))</f>
        <v>7.992</v>
      </c>
      <c r="AO148" s="645" cm="1">
        <f t="array" aca="1" ref="AO148" ca="1">IF($C$4=Lookups!$D$40,INDIRECT("'Yr1'!"&amp;ADDRESS(ROW(AO148),COLUMN(AO148))),
IF(AO91=0,0,SUMIFS('EE Inputs'!$S$9:$S$32,'EE Inputs'!$C$9:$C$32,$AM$6,'EE Inputs'!$D$9:$D$32,$C$4,'EE Inputs'!$E$9:$E$32,$B148)))</f>
        <v>7.992</v>
      </c>
      <c r="AP148" s="645" cm="1">
        <f t="array" aca="1" ref="AP148" ca="1">IF($C$4=Lookups!$D$40,INDIRECT("'Yr1'!"&amp;ADDRESS(ROW(AP148),COLUMN(AP148))),
IF(AP91=0,0,SUMIFS('EE Inputs'!$S$9:$S$32,'EE Inputs'!$C$9:$C$32,$AM$6,'EE Inputs'!$D$9:$D$32,$C$4,'EE Inputs'!$E$9:$E$32,$B148)))</f>
        <v>7.992</v>
      </c>
      <c r="AQ148" s="645" cm="1">
        <f t="array" aca="1" ref="AQ148" ca="1">IF($C$4=Lookups!$D$40,INDIRECT("'Yr1'!"&amp;ADDRESS(ROW(AQ148),COLUMN(AQ148))),
IF(AQ91=0,0,SUMIFS('EE Inputs'!$S$9:$S$32,'EE Inputs'!$C$9:$C$32,$AM$6,'EE Inputs'!$D$9:$D$32,$C$4,'EE Inputs'!$E$9:$E$32,$B148)))</f>
        <v>7.992</v>
      </c>
      <c r="AR148" s="645" cm="1">
        <f t="array" aca="1" ref="AR148" ca="1">IF($C$4=Lookups!$D$40,INDIRECT("'Yr1'!"&amp;ADDRESS(ROW(AR148),COLUMN(AR148))),
IF(AR91=0,0,SUMIFS('EE Inputs'!$S$9:$S$32,'EE Inputs'!$C$9:$C$32,$AM$6,'EE Inputs'!$D$9:$D$32,$C$4,'EE Inputs'!$E$9:$E$32,$B148)))</f>
        <v>7.992</v>
      </c>
      <c r="AS148" s="645" cm="1">
        <f t="array" aca="1" ref="AS148" ca="1">IF($C$4=Lookups!$D$40,INDIRECT("'Yr1'!"&amp;ADDRESS(ROW(AS148),COLUMN(AS148))),
IF(AS91=0,0,SUMIFS('EE Inputs'!$S$9:$S$32,'EE Inputs'!$C$9:$C$32,$AM$6,'EE Inputs'!$D$9:$D$32,$C$4,'EE Inputs'!$E$9:$E$32,$B148)))</f>
        <v>7.992</v>
      </c>
      <c r="AT148" s="645" cm="1">
        <f t="array" aca="1" ref="AT148" ca="1">IF($C$4=Lookups!$D$40,INDIRECT("'Yr1'!"&amp;ADDRESS(ROW(AT148),COLUMN(AT148))),
IF(AT91=0,0,SUMIFS('EE Inputs'!$S$9:$S$32,'EE Inputs'!$C$9:$C$32,$AM$6,'EE Inputs'!$D$9:$D$32,$C$4,'EE Inputs'!$E$9:$E$32,$B148)))</f>
        <v>7.992</v>
      </c>
      <c r="AU148" s="645" cm="1">
        <f t="array" aca="1" ref="AU148" ca="1">IF($C$4=Lookups!$D$40,INDIRECT("'Yr1'!"&amp;ADDRESS(ROW(AU148),COLUMN(AU148))),
IF(AU91=0,0,SUMIFS('EE Inputs'!$S$9:$S$32,'EE Inputs'!$C$9:$C$32,$AM$6,'EE Inputs'!$D$9:$D$32,$C$4,'EE Inputs'!$E$9:$E$32,$B148)))</f>
        <v>7.992</v>
      </c>
      <c r="AV148" s="645" cm="1">
        <f t="array" aca="1" ref="AV148" ca="1">IF($C$4=Lookups!$D$40,INDIRECT("'Yr1'!"&amp;ADDRESS(ROW(AV148),COLUMN(AV148))),
IF(AV91=0,0,SUMIFS('EE Inputs'!$S$9:$S$32,'EE Inputs'!$C$9:$C$32,$AM$6,'EE Inputs'!$D$9:$D$32,$C$4,'EE Inputs'!$E$9:$E$32,$B148)))</f>
        <v>7.992</v>
      </c>
      <c r="AW148" s="645" cm="1">
        <f t="array" aca="1" ref="AW148" ca="1">IF($C$4=Lookups!$D$40,INDIRECT("'Yr1'!"&amp;ADDRESS(ROW(AW148),COLUMN(AW148))),
IF(AW91=0,0,SUMIFS('EE Inputs'!$S$9:$S$32,'EE Inputs'!$C$9:$C$32,$AM$6,'EE Inputs'!$D$9:$D$32,$C$4,'EE Inputs'!$E$9:$E$32,$B148)))</f>
        <v>7.992</v>
      </c>
      <c r="AX148" s="645" cm="1">
        <f t="array" aca="1" ref="AX148" ca="1">IF($C$4=Lookups!$D$40,INDIRECT("'Yr1'!"&amp;ADDRESS(ROW(AX148),COLUMN(AX148))),
IF(AX91=0,0,SUMIFS('EE Inputs'!$S$9:$S$32,'EE Inputs'!$C$9:$C$32,$AM$6,'EE Inputs'!$D$9:$D$32,$C$4,'EE Inputs'!$E$9:$E$32,$B148)))</f>
        <v>7.992</v>
      </c>
      <c r="AY148" s="645" cm="1">
        <f t="array" aca="1" ref="AY148" ca="1">IF($C$4=Lookups!$D$40,INDIRECT("'Yr1'!"&amp;ADDRESS(ROW(AY148),COLUMN(AY148))),
IF(AY91=0,0,SUMIFS('EE Inputs'!$S$9:$S$32,'EE Inputs'!$C$9:$C$32,$AM$6,'EE Inputs'!$D$9:$D$32,$C$4,'EE Inputs'!$E$9:$E$32,$B148)))</f>
        <v>7.992</v>
      </c>
      <c r="AZ148" s="645" cm="1">
        <f t="array" aca="1" ref="AZ148" ca="1">IF($C$4=Lookups!$D$40,INDIRECT("'Yr1'!"&amp;ADDRESS(ROW(AZ148),COLUMN(AZ148))),
IF(AZ91=0,0,SUMIFS('EE Inputs'!$S$9:$S$32,'EE Inputs'!$C$9:$C$32,$AM$6,'EE Inputs'!$D$9:$D$32,$C$4,'EE Inputs'!$E$9:$E$32,$B148)))</f>
        <v>7.992</v>
      </c>
      <c r="BA148" s="645" cm="1">
        <f t="array" aca="1" ref="BA148" ca="1">IF($C$4=Lookups!$D$40,INDIRECT("'Yr1'!"&amp;ADDRESS(ROW(BA148),COLUMN(BA148))),
IF(BA91=0,0,SUMIFS('EE Inputs'!$S$9:$S$32,'EE Inputs'!$C$9:$C$32,$AM$6,'EE Inputs'!$D$9:$D$32,$C$4,'EE Inputs'!$E$9:$E$32,$B148)))</f>
        <v>7.992</v>
      </c>
      <c r="BB148" s="645" cm="1">
        <f t="array" aca="1" ref="BB148" ca="1">IF($C$4=Lookups!$D$40,INDIRECT("'Yr1'!"&amp;ADDRESS(ROW(BB148),COLUMN(BB148))),
IF(BB91=0,0,SUMIFS('EE Inputs'!$S$9:$S$32,'EE Inputs'!$C$9:$C$32,$AM$6,'EE Inputs'!$D$9:$D$32,$C$4,'EE Inputs'!$E$9:$E$32,$B148)))</f>
        <v>7.992</v>
      </c>
      <c r="BC148" s="645" cm="1">
        <f t="array" aca="1" ref="BC148" ca="1">IF($C$4=Lookups!$D$40,INDIRECT("'Yr1'!"&amp;ADDRESS(ROW(BC148),COLUMN(BC148))),
IF(BC91=0,0,SUMIFS('EE Inputs'!$S$9:$S$32,'EE Inputs'!$C$9:$C$32,$AM$6,'EE Inputs'!$D$9:$D$32,$C$4,'EE Inputs'!$E$9:$E$32,$B148)))</f>
        <v>7.992</v>
      </c>
      <c r="BD148" s="645" cm="1">
        <f t="array" aca="1" ref="BD148" ca="1">IF($C$4=Lookups!$D$40,INDIRECT("'Yr1'!"&amp;ADDRESS(ROW(BD148),COLUMN(BD148))),
IF(BD91=0,0,SUMIFS('EE Inputs'!$S$9:$S$32,'EE Inputs'!$C$9:$C$32,$AM$6,'EE Inputs'!$D$9:$D$32,$C$4,'EE Inputs'!$E$9:$E$32,$B148)))</f>
        <v>7.992</v>
      </c>
      <c r="BE148" s="645" cm="1">
        <f t="array" aca="1" ref="BE148" ca="1">IF($C$4=Lookups!$D$40,INDIRECT("'Yr1'!"&amp;ADDRESS(ROW(BE148),COLUMN(BE148))),
IF(BE91=0,0,SUMIFS('EE Inputs'!$S$9:$S$32,'EE Inputs'!$C$9:$C$32,$AM$6,'EE Inputs'!$D$9:$D$32,$C$4,'EE Inputs'!$E$9:$E$32,$B148)))</f>
        <v>7.992</v>
      </c>
      <c r="BF148" s="645" cm="1">
        <f t="array" aca="1" ref="BF148" ca="1">IF($C$4=Lookups!$D$40,INDIRECT("'Yr1'!"&amp;ADDRESS(ROW(BF148),COLUMN(BF148))),
IF(BF91=0,0,SUMIFS('EE Inputs'!$S$9:$S$32,'EE Inputs'!$C$9:$C$32,$AM$6,'EE Inputs'!$D$9:$D$32,$C$4,'EE Inputs'!$E$9:$E$32,$B148)))</f>
        <v>7.992</v>
      </c>
      <c r="BG148" s="645" cm="1">
        <f t="array" aca="1" ref="BG148" ca="1">IF($C$4=Lookups!$D$40,INDIRECT("'Yr1'!"&amp;ADDRESS(ROW(BG148),COLUMN(BG148))),
IF(BG91=0,0,SUMIFS('EE Inputs'!$S$9:$S$32,'EE Inputs'!$C$9:$C$32,$AM$6,'EE Inputs'!$D$9:$D$32,$C$4,'EE Inputs'!$E$9:$E$32,$B148)))</f>
        <v>7.992</v>
      </c>
      <c r="BH148" s="645" cm="1">
        <f t="array" aca="1" ref="BH148" ca="1">IF($C$4=Lookups!$D$40,INDIRECT("'Yr1'!"&amp;ADDRESS(ROW(BH148),COLUMN(BH148))),
IF(BH91=0,0,SUMIFS('EE Inputs'!$S$9:$S$32,'EE Inputs'!$C$9:$C$32,$AM$6,'EE Inputs'!$D$9:$D$32,$C$4,'EE Inputs'!$E$9:$E$32,$B148)))</f>
        <v>0</v>
      </c>
      <c r="BI148" s="645" cm="1">
        <f t="array" aca="1" ref="BI148" ca="1">IF($C$4=Lookups!$D$40,INDIRECT("'Yr1'!"&amp;ADDRESS(ROW(BI148),COLUMN(BI148))),
IF(BI91=0,0,SUMIFS('EE Inputs'!$S$9:$S$32,'EE Inputs'!$C$9:$C$32,$AM$6,'EE Inputs'!$D$9:$D$32,$C$4,'EE Inputs'!$E$9:$E$32,$B148)))</f>
        <v>0</v>
      </c>
      <c r="BJ148" s="645" cm="1">
        <f t="array" aca="1" ref="BJ148" ca="1">IF($C$4=Lookups!$D$40,INDIRECT("'Yr1'!"&amp;ADDRESS(ROW(BJ148),COLUMN(BJ148))),
IF(BJ91=0,0,SUMIFS('EE Inputs'!$S$9:$S$32,'EE Inputs'!$C$9:$C$32,$AM$6,'EE Inputs'!$D$9:$D$32,$C$4,'EE Inputs'!$E$9:$E$32,$B148)))</f>
        <v>0</v>
      </c>
      <c r="BK148" s="645" cm="1">
        <f t="array" aca="1" ref="BK148" ca="1">IF($C$4=Lookups!$D$40,INDIRECT("'Yr1'!"&amp;ADDRESS(ROW(BK148),COLUMN(BK148))),
IF(BK91=0,0,SUMIFS('EE Inputs'!$S$9:$S$32,'EE Inputs'!$C$9:$C$32,$AM$6,'EE Inputs'!$D$9:$D$32,$C$4,'EE Inputs'!$E$9:$E$32,$B148)))</f>
        <v>0</v>
      </c>
      <c r="BL148" s="645" cm="1">
        <f t="array" aca="1" ref="BL148" ca="1">IF($C$4=Lookups!$D$40,INDIRECT("'Yr1'!"&amp;ADDRESS(ROW(BL148),COLUMN(BL148))),
IF(BL91=0,0,SUMIFS('EE Inputs'!$S$9:$S$32,'EE Inputs'!$C$9:$C$32,$AM$6,'EE Inputs'!$D$9:$D$32,$C$4,'EE Inputs'!$E$9:$E$32,$B148)))</f>
        <v>0</v>
      </c>
      <c r="BM148" s="645" cm="1">
        <f t="array" aca="1" ref="BM148" ca="1">IF($C$4=Lookups!$D$40,INDIRECT("'Yr1'!"&amp;ADDRESS(ROW(BM148),COLUMN(BM148))),
IF(BM91=0,0,SUMIFS('EE Inputs'!$S$9:$S$32,'EE Inputs'!$C$9:$C$32,$AM$6,'EE Inputs'!$D$9:$D$32,$C$4,'EE Inputs'!$E$9:$E$32,$B148)))</f>
        <v>0</v>
      </c>
      <c r="BN148" s="71"/>
      <c r="BO148" s="71"/>
      <c r="BP148" s="71"/>
      <c r="BS148" s="76" t="s">
        <v>96</v>
      </c>
      <c r="BT148" s="51" t="s">
        <v>17</v>
      </c>
    </row>
    <row r="149" spans="1:72" x14ac:dyDescent="0.25">
      <c r="A149" s="246"/>
      <c r="B149" s="243" t="str">
        <f t="shared" si="136"/>
        <v>Low-Income</v>
      </c>
      <c r="C149" s="243" t="str">
        <f t="shared" si="136"/>
        <v>Bills</v>
      </c>
      <c r="D149" s="244" t="str">
        <f t="shared" si="136"/>
        <v>Annual Savings from DSM Scenario</v>
      </c>
      <c r="E149" s="84" t="str">
        <f>'EE Inputs'!$N$16&amp;" Participant"</f>
        <v>High Savings Participant</v>
      </c>
      <c r="F149" s="84" t="s">
        <v>195</v>
      </c>
      <c r="G149" s="704" cm="1">
        <f t="array" aca="1" ref="G149" ca="1">IF($C$4=Lookups!$D$40,INDIRECT("'Yr1'!"&amp;ADDRESS(ROW(G149),COLUMN(G149))),
IF(G91=0,0,SUMIFS('EE Inputs'!$T$9:$T$32,'EE Inputs'!$C$9:$C$32,$G$6,'EE Inputs'!$D$9:$D$32,$C$4,'EE Inputs'!$E$9:$E$32,$B149)))</f>
        <v>0</v>
      </c>
      <c r="H149" s="704" cm="1">
        <f t="array" aca="1" ref="H149" ca="1">IF($C$4=Lookups!$D$40,INDIRECT("'Yr1'!"&amp;ADDRESS(ROW(H149),COLUMN(H149))),
IF(H91=0,0,SUMIFS('EE Inputs'!$T$9:$T$32,'EE Inputs'!$C$9:$C$32,$G$6,'EE Inputs'!$D$9:$D$32,$C$4,'EE Inputs'!$E$9:$E$32,$B149)))</f>
        <v>46.620000000000005</v>
      </c>
      <c r="I149" s="704" cm="1">
        <f t="array" aca="1" ref="I149" ca="1">IF($C$4=Lookups!$D$40,INDIRECT("'Yr1'!"&amp;ADDRESS(ROW(I149),COLUMN(I149))),
IF(I91=0,0,SUMIFS('EE Inputs'!$T$9:$T$32,'EE Inputs'!$C$9:$C$32,$G$6,'EE Inputs'!$D$9:$D$32,$C$4,'EE Inputs'!$E$9:$E$32,$B149)))</f>
        <v>46.620000000000005</v>
      </c>
      <c r="J149" s="704" cm="1">
        <f t="array" aca="1" ref="J149" ca="1">IF($C$4=Lookups!$D$40,INDIRECT("'Yr1'!"&amp;ADDRESS(ROW(J149),COLUMN(J149))),
IF(J91=0,0,SUMIFS('EE Inputs'!$T$9:$T$32,'EE Inputs'!$C$9:$C$32,$G$6,'EE Inputs'!$D$9:$D$32,$C$4,'EE Inputs'!$E$9:$E$32,$B149)))</f>
        <v>46.620000000000005</v>
      </c>
      <c r="K149" s="704" cm="1">
        <f t="array" aca="1" ref="K149" ca="1">IF($C$4=Lookups!$D$40,INDIRECT("'Yr1'!"&amp;ADDRESS(ROW(K149),COLUMN(K149))),
IF(K91=0,0,SUMIFS('EE Inputs'!$T$9:$T$32,'EE Inputs'!$C$9:$C$32,$G$6,'EE Inputs'!$D$9:$D$32,$C$4,'EE Inputs'!$E$9:$E$32,$B149)))</f>
        <v>46.620000000000005</v>
      </c>
      <c r="L149" s="704" cm="1">
        <f t="array" aca="1" ref="L149" ca="1">IF($C$4=Lookups!$D$40,INDIRECT("'Yr1'!"&amp;ADDRESS(ROW(L149),COLUMN(L149))),
IF(L91=0,0,SUMIFS('EE Inputs'!$T$9:$T$32,'EE Inputs'!$C$9:$C$32,$G$6,'EE Inputs'!$D$9:$D$32,$C$4,'EE Inputs'!$E$9:$E$32,$B149)))</f>
        <v>46.620000000000005</v>
      </c>
      <c r="M149" s="704" cm="1">
        <f t="array" aca="1" ref="M149" ca="1">IF($C$4=Lookups!$D$40,INDIRECT("'Yr1'!"&amp;ADDRESS(ROW(M149),COLUMN(M149))),
IF(M91=0,0,SUMIFS('EE Inputs'!$T$9:$T$32,'EE Inputs'!$C$9:$C$32,$G$6,'EE Inputs'!$D$9:$D$32,$C$4,'EE Inputs'!$E$9:$E$32,$B149)))</f>
        <v>46.620000000000005</v>
      </c>
      <c r="N149" s="704" cm="1">
        <f t="array" aca="1" ref="N149" ca="1">IF($C$4=Lookups!$D$40,INDIRECT("'Yr1'!"&amp;ADDRESS(ROW(N149),COLUMN(N149))),
IF(N91=0,0,SUMIFS('EE Inputs'!$T$9:$T$32,'EE Inputs'!$C$9:$C$32,$G$6,'EE Inputs'!$D$9:$D$32,$C$4,'EE Inputs'!$E$9:$E$32,$B149)))</f>
        <v>46.620000000000005</v>
      </c>
      <c r="O149" s="704" cm="1">
        <f t="array" aca="1" ref="O149" ca="1">IF($C$4=Lookups!$D$40,INDIRECT("'Yr1'!"&amp;ADDRESS(ROW(O149),COLUMN(O149))),
IF(O91=0,0,SUMIFS('EE Inputs'!$T$9:$T$32,'EE Inputs'!$C$9:$C$32,$G$6,'EE Inputs'!$D$9:$D$32,$C$4,'EE Inputs'!$E$9:$E$32,$B149)))</f>
        <v>46.620000000000005</v>
      </c>
      <c r="P149" s="704" cm="1">
        <f t="array" aca="1" ref="P149" ca="1">IF($C$4=Lookups!$D$40,INDIRECT("'Yr1'!"&amp;ADDRESS(ROW(P149),COLUMN(P149))),
IF(P91=0,0,SUMIFS('EE Inputs'!$T$9:$T$32,'EE Inputs'!$C$9:$C$32,$G$6,'EE Inputs'!$D$9:$D$32,$C$4,'EE Inputs'!$E$9:$E$32,$B149)))</f>
        <v>46.620000000000005</v>
      </c>
      <c r="Q149" s="704" cm="1">
        <f t="array" aca="1" ref="Q149" ca="1">IF($C$4=Lookups!$D$40,INDIRECT("'Yr1'!"&amp;ADDRESS(ROW(Q149),COLUMN(Q149))),
IF(Q91=0,0,SUMIFS('EE Inputs'!$T$9:$T$32,'EE Inputs'!$C$9:$C$32,$G$6,'EE Inputs'!$D$9:$D$32,$C$4,'EE Inputs'!$E$9:$E$32,$B149)))</f>
        <v>46.620000000000005</v>
      </c>
      <c r="R149" s="704" cm="1">
        <f t="array" aca="1" ref="R149" ca="1">IF($C$4=Lookups!$D$40,INDIRECT("'Yr1'!"&amp;ADDRESS(ROW(R149),COLUMN(R149))),
IF(R91=0,0,SUMIFS('EE Inputs'!$T$9:$T$32,'EE Inputs'!$C$9:$C$32,$G$6,'EE Inputs'!$D$9:$D$32,$C$4,'EE Inputs'!$E$9:$E$32,$B149)))</f>
        <v>46.620000000000005</v>
      </c>
      <c r="S149" s="704" cm="1">
        <f t="array" aca="1" ref="S149" ca="1">IF($C$4=Lookups!$D$40,INDIRECT("'Yr1'!"&amp;ADDRESS(ROW(S149),COLUMN(S149))),
IF(S91=0,0,SUMIFS('EE Inputs'!$T$9:$T$32,'EE Inputs'!$C$9:$C$32,$G$6,'EE Inputs'!$D$9:$D$32,$C$4,'EE Inputs'!$E$9:$E$32,$B149)))</f>
        <v>46.620000000000005</v>
      </c>
      <c r="T149" s="704" cm="1">
        <f t="array" aca="1" ref="T149" ca="1">IF($C$4=Lookups!$D$40,INDIRECT("'Yr1'!"&amp;ADDRESS(ROW(T149),COLUMN(T149))),
IF(T91=0,0,SUMIFS('EE Inputs'!$T$9:$T$32,'EE Inputs'!$C$9:$C$32,$G$6,'EE Inputs'!$D$9:$D$32,$C$4,'EE Inputs'!$E$9:$E$32,$B149)))</f>
        <v>46.620000000000005</v>
      </c>
      <c r="U149" s="704" cm="1">
        <f t="array" aca="1" ref="U149" ca="1">IF($C$4=Lookups!$D$40,INDIRECT("'Yr1'!"&amp;ADDRESS(ROW(U149),COLUMN(U149))),
IF(U91=0,0,SUMIFS('EE Inputs'!$T$9:$T$32,'EE Inputs'!$C$9:$C$32,$G$6,'EE Inputs'!$D$9:$D$32,$C$4,'EE Inputs'!$E$9:$E$32,$B149)))</f>
        <v>46.620000000000005</v>
      </c>
      <c r="V149" s="704" cm="1">
        <f t="array" aca="1" ref="V149" ca="1">IF($C$4=Lookups!$D$40,INDIRECT("'Yr1'!"&amp;ADDRESS(ROW(V149),COLUMN(V149))),
IF(V91=0,0,SUMIFS('EE Inputs'!$T$9:$T$32,'EE Inputs'!$C$9:$C$32,$G$6,'EE Inputs'!$D$9:$D$32,$C$4,'EE Inputs'!$E$9:$E$32,$B149)))</f>
        <v>46.620000000000005</v>
      </c>
      <c r="W149" s="704" cm="1">
        <f t="array" aca="1" ref="W149" ca="1">IF($C$4=Lookups!$D$40,INDIRECT("'Yr1'!"&amp;ADDRESS(ROW(W149),COLUMN(W149))),
IF(W91=0,0,SUMIFS('EE Inputs'!$T$9:$T$32,'EE Inputs'!$C$9:$C$32,$G$6,'EE Inputs'!$D$9:$D$32,$C$4,'EE Inputs'!$E$9:$E$32,$B149)))</f>
        <v>46.620000000000005</v>
      </c>
      <c r="X149" s="704" cm="1">
        <f t="array" aca="1" ref="X149" ca="1">IF($C$4=Lookups!$D$40,INDIRECT("'Yr1'!"&amp;ADDRESS(ROW(X149),COLUMN(X149))),
IF(X91=0,0,SUMIFS('EE Inputs'!$T$9:$T$32,'EE Inputs'!$C$9:$C$32,$G$6,'EE Inputs'!$D$9:$D$32,$C$4,'EE Inputs'!$E$9:$E$32,$B149)))</f>
        <v>46.620000000000005</v>
      </c>
      <c r="Y149" s="704" cm="1">
        <f t="array" aca="1" ref="Y149" ca="1">IF($C$4=Lookups!$D$40,INDIRECT("'Yr1'!"&amp;ADDRESS(ROW(Y149),COLUMN(Y149))),
IF(Y91=0,0,SUMIFS('EE Inputs'!$T$9:$T$32,'EE Inputs'!$C$9:$C$32,$G$6,'EE Inputs'!$D$9:$D$32,$C$4,'EE Inputs'!$E$9:$E$32,$B149)))</f>
        <v>46.620000000000005</v>
      </c>
      <c r="Z149" s="704" cm="1">
        <f t="array" aca="1" ref="Z149" ca="1">IF($C$4=Lookups!$D$40,INDIRECT("'Yr1'!"&amp;ADDRESS(ROW(Z149),COLUMN(Z149))),
IF(Z91=0,0,SUMIFS('EE Inputs'!$T$9:$T$32,'EE Inputs'!$C$9:$C$32,$G$6,'EE Inputs'!$D$9:$D$32,$C$4,'EE Inputs'!$E$9:$E$32,$B149)))</f>
        <v>46.620000000000005</v>
      </c>
      <c r="AA149" s="704" cm="1">
        <f t="array" aca="1" ref="AA149" ca="1">IF($C$4=Lookups!$D$40,INDIRECT("'Yr1'!"&amp;ADDRESS(ROW(AA149),COLUMN(AA149))),
IF(AA91=0,0,SUMIFS('EE Inputs'!$T$9:$T$32,'EE Inputs'!$C$9:$C$32,$G$6,'EE Inputs'!$D$9:$D$32,$C$4,'EE Inputs'!$E$9:$E$32,$B149)))</f>
        <v>46.620000000000005</v>
      </c>
      <c r="AB149" s="704" cm="1">
        <f t="array" aca="1" ref="AB149" ca="1">IF($C$4=Lookups!$D$40,INDIRECT("'Yr1'!"&amp;ADDRESS(ROW(AB149),COLUMN(AB149))),
IF(AB91=0,0,SUMIFS('EE Inputs'!$T$9:$T$32,'EE Inputs'!$C$9:$C$32,$G$6,'EE Inputs'!$D$9:$D$32,$C$4,'EE Inputs'!$E$9:$E$32,$B149)))</f>
        <v>0</v>
      </c>
      <c r="AC149" s="704" cm="1">
        <f t="array" aca="1" ref="AC149" ca="1">IF($C$4=Lookups!$D$40,INDIRECT("'Yr1'!"&amp;ADDRESS(ROW(AC149),COLUMN(AC149))),
IF(AC91=0,0,SUMIFS('EE Inputs'!$T$9:$T$32,'EE Inputs'!$C$9:$C$32,$G$6,'EE Inputs'!$D$9:$D$32,$C$4,'EE Inputs'!$E$9:$E$32,$B149)))</f>
        <v>0</v>
      </c>
      <c r="AD149" s="704" cm="1">
        <f t="array" aca="1" ref="AD149" ca="1">IF($C$4=Lookups!$D$40,INDIRECT("'Yr1'!"&amp;ADDRESS(ROW(AD149),COLUMN(AD149))),
IF(AD91=0,0,SUMIFS('EE Inputs'!$T$9:$T$32,'EE Inputs'!$C$9:$C$32,$G$6,'EE Inputs'!$D$9:$D$32,$C$4,'EE Inputs'!$E$9:$E$32,$B149)))</f>
        <v>0</v>
      </c>
      <c r="AE149" s="704" cm="1">
        <f t="array" aca="1" ref="AE149" ca="1">IF($C$4=Lookups!$D$40,INDIRECT("'Yr1'!"&amp;ADDRESS(ROW(AE149),COLUMN(AE149))),
IF(AE91=0,0,SUMIFS('EE Inputs'!$T$9:$T$32,'EE Inputs'!$C$9:$C$32,$G$6,'EE Inputs'!$D$9:$D$32,$C$4,'EE Inputs'!$E$9:$E$32,$B149)))</f>
        <v>0</v>
      </c>
      <c r="AF149" s="704" cm="1">
        <f t="array" aca="1" ref="AF149" ca="1">IF($C$4=Lookups!$D$40,INDIRECT("'Yr1'!"&amp;ADDRESS(ROW(AF149),COLUMN(AF149))),
IF(AF91=0,0,SUMIFS('EE Inputs'!$T$9:$T$32,'EE Inputs'!$C$9:$C$32,$G$6,'EE Inputs'!$D$9:$D$32,$C$4,'EE Inputs'!$E$9:$E$32,$B149)))</f>
        <v>0</v>
      </c>
      <c r="AG149" s="704" cm="1">
        <f t="array" aca="1" ref="AG149" ca="1">IF($C$4=Lookups!$D$40,INDIRECT("'Yr1'!"&amp;ADDRESS(ROW(AG149),COLUMN(AG149))),
IF(AG91=0,0,SUMIFS('EE Inputs'!$T$9:$T$32,'EE Inputs'!$C$9:$C$32,$G$6,'EE Inputs'!$D$9:$D$32,$C$4,'EE Inputs'!$E$9:$E$32,$B149)))</f>
        <v>0</v>
      </c>
      <c r="AH149" s="64"/>
      <c r="AI149" s="64"/>
      <c r="AJ149" s="64"/>
      <c r="AM149" s="645" cm="1">
        <f t="array" aca="1" ref="AM149" ca="1">IF($C$4=Lookups!$D$40,INDIRECT("'Yr1'!"&amp;ADDRESS(ROW(AM149),COLUMN(AM149))),
IF(AM91=0,0,SUMIFS('EE Inputs'!$T$9:$T$32,'EE Inputs'!$C$9:$C$32,$AM$6,'EE Inputs'!$D$9:$D$32,$C$4,'EE Inputs'!$E$9:$E$32,$B149)))</f>
        <v>0</v>
      </c>
      <c r="AN149" s="645" cm="1">
        <f t="array" aca="1" ref="AN149" ca="1">IF($C$4=Lookups!$D$40,INDIRECT("'Yr1'!"&amp;ADDRESS(ROW(AN149),COLUMN(AN149))),
IF(AN91=0,0,SUMIFS('EE Inputs'!$T$9:$T$32,'EE Inputs'!$C$9:$C$32,$AM$6,'EE Inputs'!$D$9:$D$32,$C$4,'EE Inputs'!$E$9:$E$32,$B149)))</f>
        <v>55.944000000000003</v>
      </c>
      <c r="AO149" s="645" cm="1">
        <f t="array" aca="1" ref="AO149" ca="1">IF($C$4=Lookups!$D$40,INDIRECT("'Yr1'!"&amp;ADDRESS(ROW(AO149),COLUMN(AO149))),
IF(AO91=0,0,SUMIFS('EE Inputs'!$T$9:$T$32,'EE Inputs'!$C$9:$C$32,$AM$6,'EE Inputs'!$D$9:$D$32,$C$4,'EE Inputs'!$E$9:$E$32,$B149)))</f>
        <v>55.944000000000003</v>
      </c>
      <c r="AP149" s="645" cm="1">
        <f t="array" aca="1" ref="AP149" ca="1">IF($C$4=Lookups!$D$40,INDIRECT("'Yr1'!"&amp;ADDRESS(ROW(AP149),COLUMN(AP149))),
IF(AP91=0,0,SUMIFS('EE Inputs'!$T$9:$T$32,'EE Inputs'!$C$9:$C$32,$AM$6,'EE Inputs'!$D$9:$D$32,$C$4,'EE Inputs'!$E$9:$E$32,$B149)))</f>
        <v>55.944000000000003</v>
      </c>
      <c r="AQ149" s="645" cm="1">
        <f t="array" aca="1" ref="AQ149" ca="1">IF($C$4=Lookups!$D$40,INDIRECT("'Yr1'!"&amp;ADDRESS(ROW(AQ149),COLUMN(AQ149))),
IF(AQ91=0,0,SUMIFS('EE Inputs'!$T$9:$T$32,'EE Inputs'!$C$9:$C$32,$AM$6,'EE Inputs'!$D$9:$D$32,$C$4,'EE Inputs'!$E$9:$E$32,$B149)))</f>
        <v>55.944000000000003</v>
      </c>
      <c r="AR149" s="645" cm="1">
        <f t="array" aca="1" ref="AR149" ca="1">IF($C$4=Lookups!$D$40,INDIRECT("'Yr1'!"&amp;ADDRESS(ROW(AR149),COLUMN(AR149))),
IF(AR91=0,0,SUMIFS('EE Inputs'!$T$9:$T$32,'EE Inputs'!$C$9:$C$32,$AM$6,'EE Inputs'!$D$9:$D$32,$C$4,'EE Inputs'!$E$9:$E$32,$B149)))</f>
        <v>55.944000000000003</v>
      </c>
      <c r="AS149" s="645" cm="1">
        <f t="array" aca="1" ref="AS149" ca="1">IF($C$4=Lookups!$D$40,INDIRECT("'Yr1'!"&amp;ADDRESS(ROW(AS149),COLUMN(AS149))),
IF(AS91=0,0,SUMIFS('EE Inputs'!$T$9:$T$32,'EE Inputs'!$C$9:$C$32,$AM$6,'EE Inputs'!$D$9:$D$32,$C$4,'EE Inputs'!$E$9:$E$32,$B149)))</f>
        <v>55.944000000000003</v>
      </c>
      <c r="AT149" s="645" cm="1">
        <f t="array" aca="1" ref="AT149" ca="1">IF($C$4=Lookups!$D$40,INDIRECT("'Yr1'!"&amp;ADDRESS(ROW(AT149),COLUMN(AT149))),
IF(AT91=0,0,SUMIFS('EE Inputs'!$T$9:$T$32,'EE Inputs'!$C$9:$C$32,$AM$6,'EE Inputs'!$D$9:$D$32,$C$4,'EE Inputs'!$E$9:$E$32,$B149)))</f>
        <v>55.944000000000003</v>
      </c>
      <c r="AU149" s="645" cm="1">
        <f t="array" aca="1" ref="AU149" ca="1">IF($C$4=Lookups!$D$40,INDIRECT("'Yr1'!"&amp;ADDRESS(ROW(AU149),COLUMN(AU149))),
IF(AU91=0,0,SUMIFS('EE Inputs'!$T$9:$T$32,'EE Inputs'!$C$9:$C$32,$AM$6,'EE Inputs'!$D$9:$D$32,$C$4,'EE Inputs'!$E$9:$E$32,$B149)))</f>
        <v>55.944000000000003</v>
      </c>
      <c r="AV149" s="645" cm="1">
        <f t="array" aca="1" ref="AV149" ca="1">IF($C$4=Lookups!$D$40,INDIRECT("'Yr1'!"&amp;ADDRESS(ROW(AV149),COLUMN(AV149))),
IF(AV91=0,0,SUMIFS('EE Inputs'!$T$9:$T$32,'EE Inputs'!$C$9:$C$32,$AM$6,'EE Inputs'!$D$9:$D$32,$C$4,'EE Inputs'!$E$9:$E$32,$B149)))</f>
        <v>55.944000000000003</v>
      </c>
      <c r="AW149" s="645" cm="1">
        <f t="array" aca="1" ref="AW149" ca="1">IF($C$4=Lookups!$D$40,INDIRECT("'Yr1'!"&amp;ADDRESS(ROW(AW149),COLUMN(AW149))),
IF(AW91=0,0,SUMIFS('EE Inputs'!$T$9:$T$32,'EE Inputs'!$C$9:$C$32,$AM$6,'EE Inputs'!$D$9:$D$32,$C$4,'EE Inputs'!$E$9:$E$32,$B149)))</f>
        <v>55.944000000000003</v>
      </c>
      <c r="AX149" s="645" cm="1">
        <f t="array" aca="1" ref="AX149" ca="1">IF($C$4=Lookups!$D$40,INDIRECT("'Yr1'!"&amp;ADDRESS(ROW(AX149),COLUMN(AX149))),
IF(AX91=0,0,SUMIFS('EE Inputs'!$T$9:$T$32,'EE Inputs'!$C$9:$C$32,$AM$6,'EE Inputs'!$D$9:$D$32,$C$4,'EE Inputs'!$E$9:$E$32,$B149)))</f>
        <v>55.944000000000003</v>
      </c>
      <c r="AY149" s="645" cm="1">
        <f t="array" aca="1" ref="AY149" ca="1">IF($C$4=Lookups!$D$40,INDIRECT("'Yr1'!"&amp;ADDRESS(ROW(AY149),COLUMN(AY149))),
IF(AY91=0,0,SUMIFS('EE Inputs'!$T$9:$T$32,'EE Inputs'!$C$9:$C$32,$AM$6,'EE Inputs'!$D$9:$D$32,$C$4,'EE Inputs'!$E$9:$E$32,$B149)))</f>
        <v>55.944000000000003</v>
      </c>
      <c r="AZ149" s="645" cm="1">
        <f t="array" aca="1" ref="AZ149" ca="1">IF($C$4=Lookups!$D$40,INDIRECT("'Yr1'!"&amp;ADDRESS(ROW(AZ149),COLUMN(AZ149))),
IF(AZ91=0,0,SUMIFS('EE Inputs'!$T$9:$T$32,'EE Inputs'!$C$9:$C$32,$AM$6,'EE Inputs'!$D$9:$D$32,$C$4,'EE Inputs'!$E$9:$E$32,$B149)))</f>
        <v>55.944000000000003</v>
      </c>
      <c r="BA149" s="645" cm="1">
        <f t="array" aca="1" ref="BA149" ca="1">IF($C$4=Lookups!$D$40,INDIRECT("'Yr1'!"&amp;ADDRESS(ROW(BA149),COLUMN(BA149))),
IF(BA91=0,0,SUMIFS('EE Inputs'!$T$9:$T$32,'EE Inputs'!$C$9:$C$32,$AM$6,'EE Inputs'!$D$9:$D$32,$C$4,'EE Inputs'!$E$9:$E$32,$B149)))</f>
        <v>55.944000000000003</v>
      </c>
      <c r="BB149" s="645" cm="1">
        <f t="array" aca="1" ref="BB149" ca="1">IF($C$4=Lookups!$D$40,INDIRECT("'Yr1'!"&amp;ADDRESS(ROW(BB149),COLUMN(BB149))),
IF(BB91=0,0,SUMIFS('EE Inputs'!$T$9:$T$32,'EE Inputs'!$C$9:$C$32,$AM$6,'EE Inputs'!$D$9:$D$32,$C$4,'EE Inputs'!$E$9:$E$32,$B149)))</f>
        <v>55.944000000000003</v>
      </c>
      <c r="BC149" s="645" cm="1">
        <f t="array" aca="1" ref="BC149" ca="1">IF($C$4=Lookups!$D$40,INDIRECT("'Yr1'!"&amp;ADDRESS(ROW(BC149),COLUMN(BC149))),
IF(BC91=0,0,SUMIFS('EE Inputs'!$T$9:$T$32,'EE Inputs'!$C$9:$C$32,$AM$6,'EE Inputs'!$D$9:$D$32,$C$4,'EE Inputs'!$E$9:$E$32,$B149)))</f>
        <v>55.944000000000003</v>
      </c>
      <c r="BD149" s="645" cm="1">
        <f t="array" aca="1" ref="BD149" ca="1">IF($C$4=Lookups!$D$40,INDIRECT("'Yr1'!"&amp;ADDRESS(ROW(BD149),COLUMN(BD149))),
IF(BD91=0,0,SUMIFS('EE Inputs'!$T$9:$T$32,'EE Inputs'!$C$9:$C$32,$AM$6,'EE Inputs'!$D$9:$D$32,$C$4,'EE Inputs'!$E$9:$E$32,$B149)))</f>
        <v>55.944000000000003</v>
      </c>
      <c r="BE149" s="645" cm="1">
        <f t="array" aca="1" ref="BE149" ca="1">IF($C$4=Lookups!$D$40,INDIRECT("'Yr1'!"&amp;ADDRESS(ROW(BE149),COLUMN(BE149))),
IF(BE91=0,0,SUMIFS('EE Inputs'!$T$9:$T$32,'EE Inputs'!$C$9:$C$32,$AM$6,'EE Inputs'!$D$9:$D$32,$C$4,'EE Inputs'!$E$9:$E$32,$B149)))</f>
        <v>55.944000000000003</v>
      </c>
      <c r="BF149" s="645" cm="1">
        <f t="array" aca="1" ref="BF149" ca="1">IF($C$4=Lookups!$D$40,INDIRECT("'Yr1'!"&amp;ADDRESS(ROW(BF149),COLUMN(BF149))),
IF(BF91=0,0,SUMIFS('EE Inputs'!$T$9:$T$32,'EE Inputs'!$C$9:$C$32,$AM$6,'EE Inputs'!$D$9:$D$32,$C$4,'EE Inputs'!$E$9:$E$32,$B149)))</f>
        <v>55.944000000000003</v>
      </c>
      <c r="BG149" s="645" cm="1">
        <f t="array" aca="1" ref="BG149" ca="1">IF($C$4=Lookups!$D$40,INDIRECT("'Yr1'!"&amp;ADDRESS(ROW(BG149),COLUMN(BG149))),
IF(BG91=0,0,SUMIFS('EE Inputs'!$T$9:$T$32,'EE Inputs'!$C$9:$C$32,$AM$6,'EE Inputs'!$D$9:$D$32,$C$4,'EE Inputs'!$E$9:$E$32,$B149)))</f>
        <v>55.944000000000003</v>
      </c>
      <c r="BH149" s="645" cm="1">
        <f t="array" aca="1" ref="BH149" ca="1">IF($C$4=Lookups!$D$40,INDIRECT("'Yr1'!"&amp;ADDRESS(ROW(BH149),COLUMN(BH149))),
IF(BH91=0,0,SUMIFS('EE Inputs'!$T$9:$T$32,'EE Inputs'!$C$9:$C$32,$AM$6,'EE Inputs'!$D$9:$D$32,$C$4,'EE Inputs'!$E$9:$E$32,$B149)))</f>
        <v>0</v>
      </c>
      <c r="BI149" s="645" cm="1">
        <f t="array" aca="1" ref="BI149" ca="1">IF($C$4=Lookups!$D$40,INDIRECT("'Yr1'!"&amp;ADDRESS(ROW(BI149),COLUMN(BI149))),
IF(BI91=0,0,SUMIFS('EE Inputs'!$T$9:$T$32,'EE Inputs'!$C$9:$C$32,$AM$6,'EE Inputs'!$D$9:$D$32,$C$4,'EE Inputs'!$E$9:$E$32,$B149)))</f>
        <v>0</v>
      </c>
      <c r="BJ149" s="645" cm="1">
        <f t="array" aca="1" ref="BJ149" ca="1">IF($C$4=Lookups!$D$40,INDIRECT("'Yr1'!"&amp;ADDRESS(ROW(BJ149),COLUMN(BJ149))),
IF(BJ91=0,0,SUMIFS('EE Inputs'!$T$9:$T$32,'EE Inputs'!$C$9:$C$32,$AM$6,'EE Inputs'!$D$9:$D$32,$C$4,'EE Inputs'!$E$9:$E$32,$B149)))</f>
        <v>0</v>
      </c>
      <c r="BK149" s="645" cm="1">
        <f t="array" aca="1" ref="BK149" ca="1">IF($C$4=Lookups!$D$40,INDIRECT("'Yr1'!"&amp;ADDRESS(ROW(BK149),COLUMN(BK149))),
IF(BK91=0,0,SUMIFS('EE Inputs'!$T$9:$T$32,'EE Inputs'!$C$9:$C$32,$AM$6,'EE Inputs'!$D$9:$D$32,$C$4,'EE Inputs'!$E$9:$E$32,$B149)))</f>
        <v>0</v>
      </c>
      <c r="BL149" s="645" cm="1">
        <f t="array" aca="1" ref="BL149" ca="1">IF($C$4=Lookups!$D$40,INDIRECT("'Yr1'!"&amp;ADDRESS(ROW(BL149),COLUMN(BL149))),
IF(BL91=0,0,SUMIFS('EE Inputs'!$T$9:$T$32,'EE Inputs'!$C$9:$C$32,$AM$6,'EE Inputs'!$D$9:$D$32,$C$4,'EE Inputs'!$E$9:$E$32,$B149)))</f>
        <v>0</v>
      </c>
      <c r="BM149" s="645" cm="1">
        <f t="array" aca="1" ref="BM149" ca="1">IF($C$4=Lookups!$D$40,INDIRECT("'Yr1'!"&amp;ADDRESS(ROW(BM149),COLUMN(BM149))),
IF(BM91=0,0,SUMIFS('EE Inputs'!$T$9:$T$32,'EE Inputs'!$C$9:$C$32,$AM$6,'EE Inputs'!$D$9:$D$32,$C$4,'EE Inputs'!$E$9:$E$32,$B149)))</f>
        <v>0</v>
      </c>
      <c r="BN149" s="71"/>
      <c r="BO149" s="71"/>
      <c r="BP149" s="71"/>
      <c r="BS149" s="76" t="s">
        <v>96</v>
      </c>
      <c r="BT149" s="51" t="s">
        <v>17</v>
      </c>
    </row>
    <row r="150" spans="1:72" x14ac:dyDescent="0.25">
      <c r="B150" s="243" t="str">
        <f t="shared" si="136"/>
        <v>Low-Income</v>
      </c>
      <c r="C150" s="243" t="str">
        <f t="shared" si="136"/>
        <v>Bills</v>
      </c>
      <c r="D150" s="114" t="s">
        <v>111</v>
      </c>
      <c r="E150" s="84"/>
      <c r="F150" s="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49"/>
      <c r="AI150" s="184"/>
      <c r="AJ150" s="49"/>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S150" s="84"/>
      <c r="BT150" s="51" t="s">
        <v>17</v>
      </c>
    </row>
    <row r="151" spans="1:72" x14ac:dyDescent="0.25">
      <c r="B151" s="243" t="str">
        <f t="shared" si="136"/>
        <v>Low-Income</v>
      </c>
      <c r="C151" s="243" t="str">
        <f t="shared" si="136"/>
        <v>Bills</v>
      </c>
      <c r="D151" s="244" t="str">
        <f t="shared" si="136"/>
        <v>Bills after DSM Scenario</v>
      </c>
      <c r="E151" s="84" t="s">
        <v>348</v>
      </c>
      <c r="F151" s="84" t="s">
        <v>32</v>
      </c>
      <c r="G151" s="103">
        <f ca="1">G143+G144*(G136-G135)</f>
        <v>0</v>
      </c>
      <c r="H151" s="103">
        <f ca="1">H143+H144*(H136-H135)</f>
        <v>658.40972473567638</v>
      </c>
      <c r="I151" s="103">
        <f t="shared" ref="I151:AG151" ca="1" si="146">I143+I144*(I136-I135)</f>
        <v>614.01806863059517</v>
      </c>
      <c r="J151" s="103">
        <f t="shared" ca="1" si="146"/>
        <v>614.01806863059517</v>
      </c>
      <c r="K151" s="103">
        <f t="shared" ca="1" si="146"/>
        <v>614.01806863059517</v>
      </c>
      <c r="L151" s="103">
        <f t="shared" ca="1" si="146"/>
        <v>614.01806863059517</v>
      </c>
      <c r="M151" s="103">
        <f t="shared" ca="1" si="146"/>
        <v>614.01806863059517</v>
      </c>
      <c r="N151" s="103">
        <f t="shared" ca="1" si="146"/>
        <v>614.01806863059517</v>
      </c>
      <c r="O151" s="103">
        <f t="shared" ca="1" si="146"/>
        <v>614.01806863059517</v>
      </c>
      <c r="P151" s="103">
        <f t="shared" ca="1" si="146"/>
        <v>614.01806863059517</v>
      </c>
      <c r="Q151" s="103">
        <f t="shared" ca="1" si="146"/>
        <v>614.01806863059517</v>
      </c>
      <c r="R151" s="103">
        <f t="shared" ca="1" si="146"/>
        <v>614.01806863059517</v>
      </c>
      <c r="S151" s="103">
        <f t="shared" ca="1" si="146"/>
        <v>614.01806863059517</v>
      </c>
      <c r="T151" s="103">
        <f t="shared" ca="1" si="146"/>
        <v>614.01806863059517</v>
      </c>
      <c r="U151" s="103">
        <f t="shared" ca="1" si="146"/>
        <v>614.01806863059517</v>
      </c>
      <c r="V151" s="103">
        <f t="shared" ca="1" si="146"/>
        <v>614.01806863059517</v>
      </c>
      <c r="W151" s="103">
        <f t="shared" ca="1" si="146"/>
        <v>614.01806863059517</v>
      </c>
      <c r="X151" s="103">
        <f t="shared" ca="1" si="146"/>
        <v>614.01806863059517</v>
      </c>
      <c r="Y151" s="103">
        <f t="shared" ca="1" si="146"/>
        <v>614.01806863059517</v>
      </c>
      <c r="Z151" s="103">
        <f t="shared" ca="1" si="146"/>
        <v>614.01806863059517</v>
      </c>
      <c r="AA151" s="103">
        <f t="shared" ca="1" si="146"/>
        <v>614.01806863059517</v>
      </c>
      <c r="AB151" s="103">
        <f t="shared" ca="1" si="146"/>
        <v>612.48659999999995</v>
      </c>
      <c r="AC151" s="103">
        <f t="shared" ca="1" si="146"/>
        <v>612.48659999999995</v>
      </c>
      <c r="AD151" s="103">
        <f t="shared" ca="1" si="146"/>
        <v>612.48659999999995</v>
      </c>
      <c r="AE151" s="103">
        <f t="shared" ca="1" si="146"/>
        <v>612.48659999999995</v>
      </c>
      <c r="AF151" s="103">
        <f t="shared" ca="1" si="146"/>
        <v>612.48659999999995</v>
      </c>
      <c r="AG151" s="103">
        <f t="shared" ca="1" si="146"/>
        <v>612.48659999999995</v>
      </c>
      <c r="AH151" s="103"/>
      <c r="AI151" s="103"/>
      <c r="AJ151" s="103">
        <f ca="1">IF($C$4=Year1,-PMT(Lookups!$E$17,25,NPV(Lookups!$E$17,G151:AE151),0,1),IF($C$4=Year2,-PMT(Lookups!$F$17,25,NPV(Lookups!$F$17,H151:AF151),0,1),IF($C$4=Year3,-PMT(Lookups!$G$17,25,NPV(Lookups!$G$17,I151:AG151),0,1),-PMT(Lookups!$G$17,27,NPV(Lookups!$G$17,G151:AG151),0,1))))</f>
        <v>607.25509740796656</v>
      </c>
      <c r="AM151" s="149">
        <f ca="1">AM143+AM144*(AM136-AM135)</f>
        <v>0</v>
      </c>
      <c r="AN151" s="149">
        <f t="shared" ref="AN151:BM151" ca="1" si="147">AN143+AN144*(AN136-AN135)</f>
        <v>667.51176379478204</v>
      </c>
      <c r="AO151" s="149">
        <f t="shared" ca="1" si="147"/>
        <v>614.24177646868463</v>
      </c>
      <c r="AP151" s="149">
        <f t="shared" ca="1" si="147"/>
        <v>614.24177646868463</v>
      </c>
      <c r="AQ151" s="149">
        <f t="shared" ca="1" si="147"/>
        <v>614.24177646868463</v>
      </c>
      <c r="AR151" s="149">
        <f t="shared" ca="1" si="147"/>
        <v>614.24177646868463</v>
      </c>
      <c r="AS151" s="149">
        <f t="shared" ca="1" si="147"/>
        <v>614.24177646868463</v>
      </c>
      <c r="AT151" s="149">
        <f t="shared" ca="1" si="147"/>
        <v>614.24177646868463</v>
      </c>
      <c r="AU151" s="149">
        <f t="shared" ca="1" si="147"/>
        <v>614.24177646868463</v>
      </c>
      <c r="AV151" s="149">
        <f t="shared" ca="1" si="147"/>
        <v>614.24177646868463</v>
      </c>
      <c r="AW151" s="149">
        <f t="shared" ca="1" si="147"/>
        <v>614.24177646868463</v>
      </c>
      <c r="AX151" s="149">
        <f t="shared" ca="1" si="147"/>
        <v>614.24177646868463</v>
      </c>
      <c r="AY151" s="149">
        <f t="shared" ca="1" si="147"/>
        <v>614.24177646868463</v>
      </c>
      <c r="AZ151" s="149">
        <f t="shared" ca="1" si="147"/>
        <v>614.24177646868463</v>
      </c>
      <c r="BA151" s="149">
        <f t="shared" ca="1" si="147"/>
        <v>614.24177646868463</v>
      </c>
      <c r="BB151" s="149">
        <f t="shared" ca="1" si="147"/>
        <v>614.24177646868463</v>
      </c>
      <c r="BC151" s="149">
        <f t="shared" ca="1" si="147"/>
        <v>614.24177646868463</v>
      </c>
      <c r="BD151" s="149">
        <f t="shared" ca="1" si="147"/>
        <v>614.24177646868463</v>
      </c>
      <c r="BE151" s="149">
        <f t="shared" ca="1" si="147"/>
        <v>614.24177646868463</v>
      </c>
      <c r="BF151" s="149">
        <f t="shared" ca="1" si="147"/>
        <v>614.24177646868463</v>
      </c>
      <c r="BG151" s="149">
        <f t="shared" ca="1" si="147"/>
        <v>614.24177646868463</v>
      </c>
      <c r="BH151" s="149">
        <f t="shared" ca="1" si="147"/>
        <v>612.48659999999995</v>
      </c>
      <c r="BI151" s="149">
        <f t="shared" ca="1" si="147"/>
        <v>612.48659999999995</v>
      </c>
      <c r="BJ151" s="149">
        <f t="shared" ca="1" si="147"/>
        <v>612.48659999999995</v>
      </c>
      <c r="BK151" s="149">
        <f t="shared" ca="1" si="147"/>
        <v>612.48659999999995</v>
      </c>
      <c r="BL151" s="149">
        <f t="shared" ca="1" si="147"/>
        <v>612.48659999999995</v>
      </c>
      <c r="BM151" s="149">
        <f t="shared" ca="1" si="147"/>
        <v>612.48659999999995</v>
      </c>
      <c r="BN151" s="149"/>
      <c r="BO151" s="149"/>
      <c r="BP151" s="149">
        <f ca="1">IF($C$4=Year1,-PMT(Lookups!$E$17,25,NPV(Lookups!$E$17,AM151:BK151),0,1),IF($C$4=Year2,-PMT(Lookups!$F$17,25,NPV(Lookups!$F$17,AN151:BL151),0,1),IF($C$4=Year3,-PMT(Lookups!$G$17,25,NPV(Lookups!$G$17,AO151:BM151),0,1),-PMT(Lookups!$G$17,27,NPV(Lookups!$G$17,AM151:BM151),0,1))))</f>
        <v>607.84988317809803</v>
      </c>
      <c r="BS151" s="84" t="s">
        <v>239</v>
      </c>
      <c r="BT151" s="51" t="s">
        <v>17</v>
      </c>
    </row>
    <row r="152" spans="1:72" x14ac:dyDescent="0.25">
      <c r="B152" s="243" t="str">
        <f t="shared" si="136"/>
        <v>Low-Income</v>
      </c>
      <c r="C152" s="243" t="str">
        <f t="shared" si="136"/>
        <v>Bills</v>
      </c>
      <c r="D152" s="244" t="str">
        <f t="shared" si="136"/>
        <v>Bills after DSM Scenario</v>
      </c>
      <c r="E152" s="84" t="s">
        <v>349</v>
      </c>
      <c r="F152" s="84" t="s">
        <v>32</v>
      </c>
      <c r="G152" s="103">
        <f ca="1">G143+(G144-G147)*(G136-G135)</f>
        <v>0</v>
      </c>
      <c r="H152" s="103">
        <f ca="1">H143+(H144-H147)*(H136-H135)</f>
        <v>644.82164215262026</v>
      </c>
      <c r="I152" s="103">
        <f t="shared" ref="I152:AG152" ca="1" si="148">I143+(I144-I147)*(I136-I135)</f>
        <v>601.46030080159733</v>
      </c>
      <c r="J152" s="103">
        <f t="shared" ca="1" si="148"/>
        <v>601.46030080159733</v>
      </c>
      <c r="K152" s="103">
        <f t="shared" ca="1" si="148"/>
        <v>601.46030080159733</v>
      </c>
      <c r="L152" s="103">
        <f t="shared" ca="1" si="148"/>
        <v>601.46030080159733</v>
      </c>
      <c r="M152" s="103">
        <f t="shared" ca="1" si="148"/>
        <v>601.46030080159733</v>
      </c>
      <c r="N152" s="103">
        <f t="shared" ca="1" si="148"/>
        <v>601.46030080159733</v>
      </c>
      <c r="O152" s="103">
        <f t="shared" ca="1" si="148"/>
        <v>601.46030080159733</v>
      </c>
      <c r="P152" s="103">
        <f t="shared" ca="1" si="148"/>
        <v>601.46030080159733</v>
      </c>
      <c r="Q152" s="103">
        <f t="shared" ca="1" si="148"/>
        <v>601.46030080159733</v>
      </c>
      <c r="R152" s="103">
        <f t="shared" ca="1" si="148"/>
        <v>601.46030080159733</v>
      </c>
      <c r="S152" s="103">
        <f t="shared" ca="1" si="148"/>
        <v>601.46030080159733</v>
      </c>
      <c r="T152" s="103">
        <f t="shared" ca="1" si="148"/>
        <v>601.46030080159733</v>
      </c>
      <c r="U152" s="103">
        <f t="shared" ca="1" si="148"/>
        <v>601.46030080159733</v>
      </c>
      <c r="V152" s="103">
        <f t="shared" ca="1" si="148"/>
        <v>601.46030080159733</v>
      </c>
      <c r="W152" s="103">
        <f t="shared" ca="1" si="148"/>
        <v>601.46030080159733</v>
      </c>
      <c r="X152" s="103">
        <f t="shared" ca="1" si="148"/>
        <v>601.46030080159733</v>
      </c>
      <c r="Y152" s="103">
        <f t="shared" ca="1" si="148"/>
        <v>601.46030080159733</v>
      </c>
      <c r="Z152" s="103">
        <f t="shared" ca="1" si="148"/>
        <v>601.46030080159733</v>
      </c>
      <c r="AA152" s="103">
        <f t="shared" ca="1" si="148"/>
        <v>601.46030080159733</v>
      </c>
      <c r="AB152" s="103">
        <f t="shared" ca="1" si="148"/>
        <v>612.48659999999995</v>
      </c>
      <c r="AC152" s="103">
        <f t="shared" ca="1" si="148"/>
        <v>612.48659999999995</v>
      </c>
      <c r="AD152" s="103">
        <f t="shared" ca="1" si="148"/>
        <v>612.48659999999995</v>
      </c>
      <c r="AE152" s="103">
        <f t="shared" ca="1" si="148"/>
        <v>612.48659999999995</v>
      </c>
      <c r="AF152" s="103">
        <f t="shared" ca="1" si="148"/>
        <v>612.48659999999995</v>
      </c>
      <c r="AG152" s="103">
        <f t="shared" ca="1" si="148"/>
        <v>612.48659999999995</v>
      </c>
      <c r="AH152" s="103"/>
      <c r="AI152" s="103"/>
      <c r="AJ152" s="103">
        <f ca="1">IF($C$4=Year1,-PMT(Lookups!$E$17,25,NPV(Lookups!$E$17,G152:AE152),0,1),IF($C$4=Year2,-PMT(Lookups!$F$17,25,NPV(Lookups!$F$17,H152:AF152),0,1),IF($C$4=Year3,-PMT(Lookups!$G$17,25,NPV(Lookups!$G$17,I152:AG152),0,1),-PMT(Lookups!$G$17,27,NPV(Lookups!$G$17,G152:AG152),0,1))))</f>
        <v>596.96606350110847</v>
      </c>
      <c r="AM152" s="149">
        <f ca="1">AM143+(AM144-AM147)*(AM136-AM135)</f>
        <v>0</v>
      </c>
      <c r="AN152" s="149">
        <f t="shared" ref="AN152:BM152" ca="1" si="149">AN143+(AN144-AN147)*(AN136-AN135)</f>
        <v>651.74109212134795</v>
      </c>
      <c r="AO152" s="149">
        <f t="shared" ca="1" si="149"/>
        <v>599.88410788653027</v>
      </c>
      <c r="AP152" s="149">
        <f t="shared" ca="1" si="149"/>
        <v>599.88410788653027</v>
      </c>
      <c r="AQ152" s="149">
        <f t="shared" ca="1" si="149"/>
        <v>599.88410788653027</v>
      </c>
      <c r="AR152" s="149">
        <f t="shared" ca="1" si="149"/>
        <v>599.88410788653027</v>
      </c>
      <c r="AS152" s="149">
        <f t="shared" ca="1" si="149"/>
        <v>599.88410788653027</v>
      </c>
      <c r="AT152" s="149">
        <f t="shared" ca="1" si="149"/>
        <v>599.88410788653027</v>
      </c>
      <c r="AU152" s="149">
        <f t="shared" ca="1" si="149"/>
        <v>599.88410788653027</v>
      </c>
      <c r="AV152" s="149">
        <f t="shared" ca="1" si="149"/>
        <v>599.88410788653027</v>
      </c>
      <c r="AW152" s="149">
        <f t="shared" ca="1" si="149"/>
        <v>599.88410788653027</v>
      </c>
      <c r="AX152" s="149">
        <f t="shared" ca="1" si="149"/>
        <v>599.88410788653027</v>
      </c>
      <c r="AY152" s="149">
        <f t="shared" ca="1" si="149"/>
        <v>599.88410788653027</v>
      </c>
      <c r="AZ152" s="149">
        <f t="shared" ca="1" si="149"/>
        <v>599.88410788653027</v>
      </c>
      <c r="BA152" s="149">
        <f t="shared" ca="1" si="149"/>
        <v>599.88410788653027</v>
      </c>
      <c r="BB152" s="149">
        <f t="shared" ca="1" si="149"/>
        <v>599.88410788653027</v>
      </c>
      <c r="BC152" s="149">
        <f t="shared" ca="1" si="149"/>
        <v>599.88410788653027</v>
      </c>
      <c r="BD152" s="149">
        <f t="shared" ca="1" si="149"/>
        <v>599.88410788653027</v>
      </c>
      <c r="BE152" s="149">
        <f t="shared" ca="1" si="149"/>
        <v>599.88410788653027</v>
      </c>
      <c r="BF152" s="149">
        <f t="shared" ca="1" si="149"/>
        <v>599.88410788653027</v>
      </c>
      <c r="BG152" s="149">
        <f t="shared" ca="1" si="149"/>
        <v>599.88410788653027</v>
      </c>
      <c r="BH152" s="149">
        <f t="shared" ca="1" si="149"/>
        <v>612.48659999999995</v>
      </c>
      <c r="BI152" s="149">
        <f t="shared" ca="1" si="149"/>
        <v>612.48659999999995</v>
      </c>
      <c r="BJ152" s="149">
        <f t="shared" ca="1" si="149"/>
        <v>612.48659999999995</v>
      </c>
      <c r="BK152" s="149">
        <f t="shared" ca="1" si="149"/>
        <v>612.48659999999995</v>
      </c>
      <c r="BL152" s="149">
        <f t="shared" ca="1" si="149"/>
        <v>612.48659999999995</v>
      </c>
      <c r="BM152" s="149">
        <f t="shared" ca="1" si="149"/>
        <v>612.48659999999995</v>
      </c>
      <c r="BN152" s="149"/>
      <c r="BO152" s="149"/>
      <c r="BP152" s="149">
        <f ca="1">IF($C$4=Year1,-PMT(Lookups!$E$17,25,NPV(Lookups!$E$17,AM152:BK152),0,1),IF($C$4=Year2,-PMT(Lookups!$F$17,25,NPV(Lookups!$F$17,AN152:BL152),0,1),IF($C$4=Year3,-PMT(Lookups!$G$17,25,NPV(Lookups!$G$17,AO152:BM152),0,1),-PMT(Lookups!$G$17,27,NPV(Lookups!$G$17,AM152:BM152),0,1))))</f>
        <v>596.07521040578104</v>
      </c>
      <c r="BS152" s="84" t="s">
        <v>240</v>
      </c>
      <c r="BT152" s="51" t="s">
        <v>17</v>
      </c>
    </row>
    <row r="153" spans="1:72" x14ac:dyDescent="0.25">
      <c r="B153" s="243" t="str">
        <f t="shared" si="136"/>
        <v>Low-Income</v>
      </c>
      <c r="C153" s="243" t="str">
        <f t="shared" si="136"/>
        <v>Bills</v>
      </c>
      <c r="D153" s="244" t="str">
        <f t="shared" si="136"/>
        <v>Bills after DSM Scenario</v>
      </c>
      <c r="E153" s="84" t="str">
        <f>'EE Inputs'!$N$15&amp;" Participant Annual Bill"</f>
        <v>Low Savings Participant Annual Bill</v>
      </c>
      <c r="F153" s="84" t="s">
        <v>32</v>
      </c>
      <c r="G153" s="103">
        <f ca="1">G143+(G144-G148)*(G136-G135)</f>
        <v>0</v>
      </c>
      <c r="H153" s="103">
        <f ca="1">H143+(H144-H148)*(H136-H135)</f>
        <v>652.55522748831959</v>
      </c>
      <c r="I153" s="103">
        <f t="shared" ref="I153:AG153" ca="1" si="150">I143+(I144-I148)*(I136-I135)</f>
        <v>608.60748794428923</v>
      </c>
      <c r="J153" s="103">
        <f t="shared" ca="1" si="150"/>
        <v>608.60748794428923</v>
      </c>
      <c r="K153" s="103">
        <f t="shared" ca="1" si="150"/>
        <v>608.60748794428923</v>
      </c>
      <c r="L153" s="103">
        <f t="shared" ca="1" si="150"/>
        <v>608.60748794428923</v>
      </c>
      <c r="M153" s="103">
        <f t="shared" ca="1" si="150"/>
        <v>608.60748794428923</v>
      </c>
      <c r="N153" s="103">
        <f t="shared" ca="1" si="150"/>
        <v>608.60748794428923</v>
      </c>
      <c r="O153" s="103">
        <f t="shared" ca="1" si="150"/>
        <v>608.60748794428923</v>
      </c>
      <c r="P153" s="103">
        <f t="shared" ca="1" si="150"/>
        <v>608.60748794428923</v>
      </c>
      <c r="Q153" s="103">
        <f t="shared" ca="1" si="150"/>
        <v>608.60748794428923</v>
      </c>
      <c r="R153" s="103">
        <f t="shared" ca="1" si="150"/>
        <v>608.60748794428923</v>
      </c>
      <c r="S153" s="103">
        <f t="shared" ca="1" si="150"/>
        <v>608.60748794428923</v>
      </c>
      <c r="T153" s="103">
        <f t="shared" ca="1" si="150"/>
        <v>608.60748794428923</v>
      </c>
      <c r="U153" s="103">
        <f t="shared" ca="1" si="150"/>
        <v>608.60748794428923</v>
      </c>
      <c r="V153" s="103">
        <f t="shared" ca="1" si="150"/>
        <v>608.60748794428923</v>
      </c>
      <c r="W153" s="103">
        <f t="shared" ca="1" si="150"/>
        <v>608.60748794428923</v>
      </c>
      <c r="X153" s="103">
        <f t="shared" ca="1" si="150"/>
        <v>608.60748794428923</v>
      </c>
      <c r="Y153" s="103">
        <f t="shared" ca="1" si="150"/>
        <v>608.60748794428923</v>
      </c>
      <c r="Z153" s="103">
        <f t="shared" ca="1" si="150"/>
        <v>608.60748794428923</v>
      </c>
      <c r="AA153" s="103">
        <f t="shared" ca="1" si="150"/>
        <v>608.60748794428923</v>
      </c>
      <c r="AB153" s="103">
        <f t="shared" ca="1" si="150"/>
        <v>612.48659999999995</v>
      </c>
      <c r="AC153" s="103">
        <f t="shared" ca="1" si="150"/>
        <v>612.48659999999995</v>
      </c>
      <c r="AD153" s="103">
        <f t="shared" ca="1" si="150"/>
        <v>612.48659999999995</v>
      </c>
      <c r="AE153" s="103">
        <f t="shared" ca="1" si="150"/>
        <v>612.48659999999995</v>
      </c>
      <c r="AF153" s="103">
        <f t="shared" ca="1" si="150"/>
        <v>612.48659999999995</v>
      </c>
      <c r="AG153" s="103">
        <f t="shared" ca="1" si="150"/>
        <v>612.48659999999995</v>
      </c>
      <c r="AH153" s="103"/>
      <c r="AI153" s="103"/>
      <c r="AJ153" s="103">
        <f ca="1">IF($C$4=Year1,-PMT(Lookups!$E$17,25,NPV(Lookups!$E$17,G153:AE153),0,1),IF($C$4=Year2,-PMT(Lookups!$F$17,25,NPV(Lookups!$F$17,H153:AF153),0,1),IF($C$4=Year3,-PMT(Lookups!$G$17,25,NPV(Lookups!$G$17,I153:AG153),0,1),-PMT(Lookups!$G$17,27,NPV(Lookups!$G$17,G153:AG153),0,1))))</f>
        <v>602.82201273119426</v>
      </c>
      <c r="AM153" s="149">
        <f ca="1">AM143+(AM144-AM148)*(AM136-AM135)</f>
        <v>0</v>
      </c>
      <c r="AN153" s="149">
        <f t="shared" ref="AN153:BM153" ca="1" si="151">AN143+(AN144-AN148)*(AN136-AN135)</f>
        <v>660.37714262924464</v>
      </c>
      <c r="AO153" s="149">
        <f t="shared" ca="1" si="151"/>
        <v>607.74639515106037</v>
      </c>
      <c r="AP153" s="149">
        <f t="shared" ca="1" si="151"/>
        <v>607.74639515106037</v>
      </c>
      <c r="AQ153" s="149">
        <f t="shared" ca="1" si="151"/>
        <v>607.74639515106037</v>
      </c>
      <c r="AR153" s="149">
        <f t="shared" ca="1" si="151"/>
        <v>607.74639515106037</v>
      </c>
      <c r="AS153" s="149">
        <f t="shared" ca="1" si="151"/>
        <v>607.74639515106037</v>
      </c>
      <c r="AT153" s="149">
        <f t="shared" ca="1" si="151"/>
        <v>607.74639515106037</v>
      </c>
      <c r="AU153" s="149">
        <f t="shared" ca="1" si="151"/>
        <v>607.74639515106037</v>
      </c>
      <c r="AV153" s="149">
        <f t="shared" ca="1" si="151"/>
        <v>607.74639515106037</v>
      </c>
      <c r="AW153" s="149">
        <f t="shared" ca="1" si="151"/>
        <v>607.74639515106037</v>
      </c>
      <c r="AX153" s="149">
        <f t="shared" ca="1" si="151"/>
        <v>607.74639515106037</v>
      </c>
      <c r="AY153" s="149">
        <f t="shared" ca="1" si="151"/>
        <v>607.74639515106037</v>
      </c>
      <c r="AZ153" s="149">
        <f t="shared" ca="1" si="151"/>
        <v>607.74639515106037</v>
      </c>
      <c r="BA153" s="149">
        <f t="shared" ca="1" si="151"/>
        <v>607.74639515106037</v>
      </c>
      <c r="BB153" s="149">
        <f t="shared" ca="1" si="151"/>
        <v>607.74639515106037</v>
      </c>
      <c r="BC153" s="149">
        <f t="shared" ca="1" si="151"/>
        <v>607.74639515106037</v>
      </c>
      <c r="BD153" s="149">
        <f t="shared" ca="1" si="151"/>
        <v>607.74639515106037</v>
      </c>
      <c r="BE153" s="149">
        <f t="shared" ca="1" si="151"/>
        <v>607.74639515106037</v>
      </c>
      <c r="BF153" s="149">
        <f t="shared" ca="1" si="151"/>
        <v>607.74639515106037</v>
      </c>
      <c r="BG153" s="149">
        <f t="shared" ca="1" si="151"/>
        <v>607.74639515106037</v>
      </c>
      <c r="BH153" s="149">
        <f t="shared" ca="1" si="151"/>
        <v>612.48659999999995</v>
      </c>
      <c r="BI153" s="149">
        <f t="shared" ca="1" si="151"/>
        <v>612.48659999999995</v>
      </c>
      <c r="BJ153" s="149">
        <f t="shared" ca="1" si="151"/>
        <v>612.48659999999995</v>
      </c>
      <c r="BK153" s="149">
        <f t="shared" ca="1" si="151"/>
        <v>612.48659999999995</v>
      </c>
      <c r="BL153" s="149">
        <f t="shared" ca="1" si="151"/>
        <v>612.48659999999995</v>
      </c>
      <c r="BM153" s="149">
        <f t="shared" ca="1" si="151"/>
        <v>612.48659999999995</v>
      </c>
      <c r="BN153" s="149"/>
      <c r="BO153" s="149"/>
      <c r="BP153" s="149">
        <f ca="1">IF($C$4=Year1,-PMT(Lookups!$E$17,25,NPV(Lookups!$E$17,AM153:BK153),0,1),IF($C$4=Year2,-PMT(Lookups!$F$17,25,NPV(Lookups!$F$17,AN153:BL153),0,1),IF($C$4=Year3,-PMT(Lookups!$G$17,25,NPV(Lookups!$G$17,AO153:BM153),0,1),-PMT(Lookups!$G$17,27,NPV(Lookups!$G$17,AM153:BM153),0,1))))</f>
        <v>602.52304413672971</v>
      </c>
      <c r="BS153" s="84" t="s">
        <v>240</v>
      </c>
      <c r="BT153" s="51" t="s">
        <v>17</v>
      </c>
    </row>
    <row r="154" spans="1:72" x14ac:dyDescent="0.25">
      <c r="B154" s="243" t="str">
        <f t="shared" ref="B154:D164" si="152">B153</f>
        <v>Low-Income</v>
      </c>
      <c r="C154" s="243" t="str">
        <f t="shared" si="152"/>
        <v>Bills</v>
      </c>
      <c r="D154" s="244" t="str">
        <f t="shared" si="152"/>
        <v>Bills after DSM Scenario</v>
      </c>
      <c r="E154" s="84" t="str">
        <f>'EE Inputs'!$N$16&amp;" Participant Annual Bill"</f>
        <v>High Savings Participant Annual Bill</v>
      </c>
      <c r="F154" s="84" t="s">
        <v>32</v>
      </c>
      <c r="G154" s="103">
        <f ca="1">G143+(G144-G149)*(G136-G135)</f>
        <v>0</v>
      </c>
      <c r="H154" s="103">
        <f ca="1">H143+(H144-H149)*(H136-H135)</f>
        <v>617.42824400417896</v>
      </c>
      <c r="I154" s="103">
        <f t="shared" ref="I154:AG154" ca="1" si="153">I143+(I144-I149)*(I136-I135)</f>
        <v>576.14400382645351</v>
      </c>
      <c r="J154" s="103">
        <f t="shared" ca="1" si="153"/>
        <v>576.14400382645351</v>
      </c>
      <c r="K154" s="103">
        <f t="shared" ca="1" si="153"/>
        <v>576.14400382645351</v>
      </c>
      <c r="L154" s="103">
        <f t="shared" ca="1" si="153"/>
        <v>576.14400382645351</v>
      </c>
      <c r="M154" s="103">
        <f t="shared" ca="1" si="153"/>
        <v>576.14400382645351</v>
      </c>
      <c r="N154" s="103">
        <f t="shared" ca="1" si="153"/>
        <v>576.14400382645351</v>
      </c>
      <c r="O154" s="103">
        <f t="shared" ca="1" si="153"/>
        <v>576.14400382645351</v>
      </c>
      <c r="P154" s="103">
        <f t="shared" ca="1" si="153"/>
        <v>576.14400382645351</v>
      </c>
      <c r="Q154" s="103">
        <f t="shared" ca="1" si="153"/>
        <v>576.14400382645351</v>
      </c>
      <c r="R154" s="103">
        <f t="shared" ca="1" si="153"/>
        <v>576.14400382645351</v>
      </c>
      <c r="S154" s="103">
        <f t="shared" ca="1" si="153"/>
        <v>576.14400382645351</v>
      </c>
      <c r="T154" s="103">
        <f t="shared" ca="1" si="153"/>
        <v>576.14400382645351</v>
      </c>
      <c r="U154" s="103">
        <f t="shared" ca="1" si="153"/>
        <v>576.14400382645351</v>
      </c>
      <c r="V154" s="103">
        <f t="shared" ca="1" si="153"/>
        <v>576.14400382645351</v>
      </c>
      <c r="W154" s="103">
        <f t="shared" ca="1" si="153"/>
        <v>576.14400382645351</v>
      </c>
      <c r="X154" s="103">
        <f t="shared" ca="1" si="153"/>
        <v>576.14400382645351</v>
      </c>
      <c r="Y154" s="103">
        <f t="shared" ca="1" si="153"/>
        <v>576.14400382645351</v>
      </c>
      <c r="Z154" s="103">
        <f t="shared" ca="1" si="153"/>
        <v>576.14400382645351</v>
      </c>
      <c r="AA154" s="103">
        <f t="shared" ca="1" si="153"/>
        <v>576.14400382645351</v>
      </c>
      <c r="AB154" s="103">
        <f t="shared" ca="1" si="153"/>
        <v>612.48659999999995</v>
      </c>
      <c r="AC154" s="103">
        <f t="shared" ca="1" si="153"/>
        <v>612.48659999999995</v>
      </c>
      <c r="AD154" s="103">
        <f t="shared" ca="1" si="153"/>
        <v>612.48659999999995</v>
      </c>
      <c r="AE154" s="103">
        <f t="shared" ca="1" si="153"/>
        <v>612.48659999999995</v>
      </c>
      <c r="AF154" s="103">
        <f t="shared" ca="1" si="153"/>
        <v>612.48659999999995</v>
      </c>
      <c r="AG154" s="103">
        <f t="shared" ca="1" si="153"/>
        <v>612.48659999999995</v>
      </c>
      <c r="AH154" s="103"/>
      <c r="AI154" s="103"/>
      <c r="AJ154" s="103">
        <f ca="1">IF($C$4=Year1,-PMT(Lookups!$E$17,25,NPV(Lookups!$E$17,G154:AE154),0,1),IF($C$4=Year2,-PMT(Lookups!$F$17,25,NPV(Lookups!$F$17,H154:AF154),0,1),IF($C$4=Year3,-PMT(Lookups!$G$17,25,NPV(Lookups!$G$17,I154:AG154),0,1),-PMT(Lookups!$G$17,27,NPV(Lookups!$G$17,G154:AG154),0,1))))</f>
        <v>576.22350467056094</v>
      </c>
      <c r="AM154" s="149">
        <f ca="1">AM143+(AM144-AM149)*(AM136-AM135)</f>
        <v>0</v>
      </c>
      <c r="AN154" s="149">
        <f t="shared" ref="AN154:BM154" ca="1" si="154">AN143+(AN144-AN149)*(AN136-AN135)</f>
        <v>617.56941563602038</v>
      </c>
      <c r="AO154" s="149">
        <f t="shared" ca="1" si="154"/>
        <v>568.77410724531512</v>
      </c>
      <c r="AP154" s="149">
        <f t="shared" ca="1" si="154"/>
        <v>568.77410724531512</v>
      </c>
      <c r="AQ154" s="149">
        <f t="shared" ca="1" si="154"/>
        <v>568.77410724531512</v>
      </c>
      <c r="AR154" s="149">
        <f t="shared" ca="1" si="154"/>
        <v>568.77410724531512</v>
      </c>
      <c r="AS154" s="149">
        <f t="shared" ca="1" si="154"/>
        <v>568.77410724531512</v>
      </c>
      <c r="AT154" s="149">
        <f t="shared" ca="1" si="154"/>
        <v>568.77410724531512</v>
      </c>
      <c r="AU154" s="149">
        <f t="shared" ca="1" si="154"/>
        <v>568.77410724531512</v>
      </c>
      <c r="AV154" s="149">
        <f t="shared" ca="1" si="154"/>
        <v>568.77410724531512</v>
      </c>
      <c r="AW154" s="149">
        <f t="shared" ca="1" si="154"/>
        <v>568.77410724531512</v>
      </c>
      <c r="AX154" s="149">
        <f t="shared" ca="1" si="154"/>
        <v>568.77410724531512</v>
      </c>
      <c r="AY154" s="149">
        <f t="shared" ca="1" si="154"/>
        <v>568.77410724531512</v>
      </c>
      <c r="AZ154" s="149">
        <f t="shared" ca="1" si="154"/>
        <v>568.77410724531512</v>
      </c>
      <c r="BA154" s="149">
        <f t="shared" ca="1" si="154"/>
        <v>568.77410724531512</v>
      </c>
      <c r="BB154" s="149">
        <f t="shared" ca="1" si="154"/>
        <v>568.77410724531512</v>
      </c>
      <c r="BC154" s="149">
        <f t="shared" ca="1" si="154"/>
        <v>568.77410724531512</v>
      </c>
      <c r="BD154" s="149">
        <f t="shared" ca="1" si="154"/>
        <v>568.77410724531512</v>
      </c>
      <c r="BE154" s="149">
        <f t="shared" ca="1" si="154"/>
        <v>568.77410724531512</v>
      </c>
      <c r="BF154" s="149">
        <f t="shared" ca="1" si="154"/>
        <v>568.77410724531512</v>
      </c>
      <c r="BG154" s="149">
        <f t="shared" ca="1" si="154"/>
        <v>568.77410724531512</v>
      </c>
      <c r="BH154" s="149">
        <f t="shared" ca="1" si="154"/>
        <v>612.48659999999995</v>
      </c>
      <c r="BI154" s="149">
        <f t="shared" ca="1" si="154"/>
        <v>612.48659999999995</v>
      </c>
      <c r="BJ154" s="149">
        <f t="shared" ca="1" si="154"/>
        <v>612.48659999999995</v>
      </c>
      <c r="BK154" s="149">
        <f t="shared" ca="1" si="154"/>
        <v>612.48659999999995</v>
      </c>
      <c r="BL154" s="149">
        <f t="shared" ca="1" si="154"/>
        <v>612.48659999999995</v>
      </c>
      <c r="BM154" s="149">
        <f t="shared" ca="1" si="154"/>
        <v>612.48659999999995</v>
      </c>
      <c r="BN154" s="149"/>
      <c r="BO154" s="149"/>
      <c r="BP154" s="149">
        <f ca="1">IF($C$4=Year1,-PMT(Lookups!$E$17,25,NPV(Lookups!$E$17,AM154:BK154),0,1),IF($C$4=Year2,-PMT(Lookups!$F$17,25,NPV(Lookups!$F$17,AN154:BL154),0,1),IF($C$4=Year3,-PMT(Lookups!$G$17,25,NPV(Lookups!$G$17,AO154:BM154),0,1),-PMT(Lookups!$G$17,27,NPV(Lookups!$G$17,AM154:BM154),0,1))))</f>
        <v>570.56200988852027</v>
      </c>
      <c r="BS154" s="84" t="s">
        <v>240</v>
      </c>
      <c r="BT154" s="51" t="s">
        <v>17</v>
      </c>
    </row>
    <row r="155" spans="1:72" x14ac:dyDescent="0.25">
      <c r="B155" s="243" t="str">
        <f t="shared" si="152"/>
        <v>Low-Income</v>
      </c>
      <c r="C155" s="243" t="str">
        <f t="shared" si="152"/>
        <v>Bills</v>
      </c>
      <c r="D155" s="114" t="s">
        <v>115</v>
      </c>
      <c r="E155" s="84"/>
      <c r="F155" s="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49"/>
      <c r="AI155" s="184"/>
      <c r="AJ155" s="49"/>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S155" s="84"/>
      <c r="BT155" s="51" t="s">
        <v>17</v>
      </c>
    </row>
    <row r="156" spans="1:72" x14ac:dyDescent="0.25">
      <c r="B156" s="243" t="str">
        <f t="shared" si="152"/>
        <v>Low-Income</v>
      </c>
      <c r="C156" s="243" t="str">
        <f t="shared" si="152"/>
        <v>Bills</v>
      </c>
      <c r="D156" s="244" t="str">
        <f t="shared" si="152"/>
        <v>Change in Bills</v>
      </c>
      <c r="E156" s="84" t="s">
        <v>348</v>
      </c>
      <c r="F156" s="84" t="s">
        <v>32</v>
      </c>
      <c r="G156" s="103">
        <f ca="1">G151-G145</f>
        <v>0</v>
      </c>
      <c r="H156" s="103">
        <f t="shared" ref="H156:AG156" ca="1" si="155">H151-H145</f>
        <v>45.923124735676424</v>
      </c>
      <c r="I156" s="103">
        <f t="shared" ca="1" si="155"/>
        <v>1.5314686305952137</v>
      </c>
      <c r="J156" s="103">
        <f t="shared" ca="1" si="155"/>
        <v>1.5314686305952137</v>
      </c>
      <c r="K156" s="103">
        <f t="shared" ca="1" si="155"/>
        <v>1.5314686305952137</v>
      </c>
      <c r="L156" s="103">
        <f t="shared" ca="1" si="155"/>
        <v>1.5314686305952137</v>
      </c>
      <c r="M156" s="103">
        <f t="shared" ca="1" si="155"/>
        <v>1.5314686305952137</v>
      </c>
      <c r="N156" s="103">
        <f t="shared" ca="1" si="155"/>
        <v>1.5314686305952137</v>
      </c>
      <c r="O156" s="103">
        <f t="shared" ca="1" si="155"/>
        <v>1.5314686305952137</v>
      </c>
      <c r="P156" s="103">
        <f t="shared" ca="1" si="155"/>
        <v>1.5314686305952137</v>
      </c>
      <c r="Q156" s="103">
        <f t="shared" ca="1" si="155"/>
        <v>1.5314686305952137</v>
      </c>
      <c r="R156" s="103">
        <f t="shared" ca="1" si="155"/>
        <v>1.5314686305952137</v>
      </c>
      <c r="S156" s="103">
        <f t="shared" ca="1" si="155"/>
        <v>1.5314686305952137</v>
      </c>
      <c r="T156" s="103">
        <f t="shared" ca="1" si="155"/>
        <v>1.5314686305952137</v>
      </c>
      <c r="U156" s="103">
        <f t="shared" ca="1" si="155"/>
        <v>1.5314686305952137</v>
      </c>
      <c r="V156" s="103">
        <f t="shared" ca="1" si="155"/>
        <v>1.5314686305952137</v>
      </c>
      <c r="W156" s="103">
        <f t="shared" ca="1" si="155"/>
        <v>1.5314686305952137</v>
      </c>
      <c r="X156" s="103">
        <f t="shared" ca="1" si="155"/>
        <v>1.5314686305952137</v>
      </c>
      <c r="Y156" s="103">
        <f t="shared" ca="1" si="155"/>
        <v>1.5314686305952137</v>
      </c>
      <c r="Z156" s="103">
        <f t="shared" ca="1" si="155"/>
        <v>1.5314686305952137</v>
      </c>
      <c r="AA156" s="103">
        <f t="shared" ca="1" si="155"/>
        <v>1.5314686305952137</v>
      </c>
      <c r="AB156" s="103">
        <f t="shared" ca="1" si="155"/>
        <v>0</v>
      </c>
      <c r="AC156" s="103">
        <f t="shared" ca="1" si="155"/>
        <v>0</v>
      </c>
      <c r="AD156" s="103">
        <f t="shared" ca="1" si="155"/>
        <v>0</v>
      </c>
      <c r="AE156" s="103">
        <f t="shared" ca="1" si="155"/>
        <v>0</v>
      </c>
      <c r="AF156" s="103">
        <f t="shared" ca="1" si="155"/>
        <v>0</v>
      </c>
      <c r="AG156" s="103">
        <f t="shared" ca="1" si="155"/>
        <v>0</v>
      </c>
      <c r="AH156" s="103"/>
      <c r="AI156" s="103">
        <f ca="1">NPV(Lookups!$E$17,G156:AG156)</f>
        <v>69.308684967603511</v>
      </c>
      <c r="AJ156" s="103">
        <f ca="1">IF($C$4=Year1,-PMT(Lookups!$E$17,25,NPV(Lookups!$E$17,G156:AE156),0,1),IF($C$4=Year2,-PMT(Lookups!$F$17,25,NPV(Lookups!$F$17,H156:AF156),0,1),IF($C$4=Year3,-PMT(Lookups!$G$17,25,NPV(Lookups!$G$17,I156:AG156),0,1),-PMT(Lookups!$G$17,27,NPV(Lookups!$G$17,G156:AG156),0,1))))</f>
        <v>3.3106834031239316</v>
      </c>
      <c r="AM156" s="149">
        <f ca="1">AM151-AM145</f>
        <v>0</v>
      </c>
      <c r="AN156" s="149">
        <f t="shared" ref="AN156:BM156" ca="1" si="156">AN151-AN145</f>
        <v>55.025163794782088</v>
      </c>
      <c r="AO156" s="149">
        <f t="shared" ca="1" si="156"/>
        <v>1.7551764686846809</v>
      </c>
      <c r="AP156" s="149">
        <f t="shared" ca="1" si="156"/>
        <v>1.7551764686846809</v>
      </c>
      <c r="AQ156" s="149">
        <f t="shared" ca="1" si="156"/>
        <v>1.7551764686846809</v>
      </c>
      <c r="AR156" s="149">
        <f t="shared" ca="1" si="156"/>
        <v>1.7551764686846809</v>
      </c>
      <c r="AS156" s="149">
        <f t="shared" ca="1" si="156"/>
        <v>1.7551764686846809</v>
      </c>
      <c r="AT156" s="149">
        <f t="shared" ca="1" si="156"/>
        <v>1.7551764686846809</v>
      </c>
      <c r="AU156" s="149">
        <f t="shared" ca="1" si="156"/>
        <v>1.7551764686846809</v>
      </c>
      <c r="AV156" s="149">
        <f t="shared" ca="1" si="156"/>
        <v>1.7551764686846809</v>
      </c>
      <c r="AW156" s="149">
        <f t="shared" ca="1" si="156"/>
        <v>1.7551764686846809</v>
      </c>
      <c r="AX156" s="149">
        <f t="shared" ca="1" si="156"/>
        <v>1.7551764686846809</v>
      </c>
      <c r="AY156" s="149">
        <f t="shared" ca="1" si="156"/>
        <v>1.7551764686846809</v>
      </c>
      <c r="AZ156" s="149">
        <f t="shared" ca="1" si="156"/>
        <v>1.7551764686846809</v>
      </c>
      <c r="BA156" s="149">
        <f t="shared" ca="1" si="156"/>
        <v>1.7551764686846809</v>
      </c>
      <c r="BB156" s="149">
        <f t="shared" ca="1" si="156"/>
        <v>1.7551764686846809</v>
      </c>
      <c r="BC156" s="149">
        <f t="shared" ca="1" si="156"/>
        <v>1.7551764686846809</v>
      </c>
      <c r="BD156" s="149">
        <f t="shared" ca="1" si="156"/>
        <v>1.7551764686846809</v>
      </c>
      <c r="BE156" s="149">
        <f t="shared" ca="1" si="156"/>
        <v>1.7551764686846809</v>
      </c>
      <c r="BF156" s="149">
        <f t="shared" ca="1" si="156"/>
        <v>1.7551764686846809</v>
      </c>
      <c r="BG156" s="149">
        <f t="shared" ca="1" si="156"/>
        <v>1.7551764686846809</v>
      </c>
      <c r="BH156" s="149">
        <f t="shared" ca="1" si="156"/>
        <v>0</v>
      </c>
      <c r="BI156" s="149">
        <f t="shared" ca="1" si="156"/>
        <v>0</v>
      </c>
      <c r="BJ156" s="149">
        <f t="shared" ca="1" si="156"/>
        <v>0</v>
      </c>
      <c r="BK156" s="149">
        <f t="shared" ca="1" si="156"/>
        <v>0</v>
      </c>
      <c r="BL156" s="149">
        <f t="shared" ca="1" si="156"/>
        <v>0</v>
      </c>
      <c r="BM156" s="149">
        <f t="shared" ca="1" si="156"/>
        <v>0</v>
      </c>
      <c r="BN156" s="149"/>
      <c r="BO156" s="149">
        <f ca="1">NPV(Lookups!$E$17,AM156:BM156)</f>
        <v>81.760440253645754</v>
      </c>
      <c r="BP156" s="149">
        <f ca="1">IF($C$4=Year1,-PMT(Lookups!$E$17,25,NPV(Lookups!$E$17,AM156:BK156),0,1),IF($C$4=Year2,-PMT(Lookups!$F$17,25,NPV(Lookups!$F$17,AN156:BL156),0,1),IF($C$4=Year3,-PMT(Lookups!$G$17,25,NPV(Lookups!$G$17,AO156:BM156),0,1),-PMT(Lookups!$G$17,27,NPV(Lookups!$G$17,AM156:BM156),0,1))))</f>
        <v>3.9054691732554772</v>
      </c>
      <c r="BS156" s="84" t="s">
        <v>241</v>
      </c>
      <c r="BT156" s="51" t="s">
        <v>17</v>
      </c>
    </row>
    <row r="157" spans="1:72" x14ac:dyDescent="0.25">
      <c r="B157" s="243" t="str">
        <f t="shared" si="152"/>
        <v>Low-Income</v>
      </c>
      <c r="C157" s="243" t="str">
        <f t="shared" si="152"/>
        <v>Bills</v>
      </c>
      <c r="D157" s="244" t="str">
        <f t="shared" si="152"/>
        <v>Change in Bills</v>
      </c>
      <c r="E157" s="84" t="s">
        <v>348</v>
      </c>
      <c r="F157" s="84" t="s">
        <v>16</v>
      </c>
      <c r="G157" s="223">
        <f ca="1">IFERROR(G151/G145-1,0)</f>
        <v>0</v>
      </c>
      <c r="H157" s="223">
        <f t="shared" ref="H157:AG157" ca="1" si="157">IFERROR(H151/H145-1,0)</f>
        <v>7.4978170519447218E-2</v>
      </c>
      <c r="I157" s="223">
        <f t="shared" ca="1" si="157"/>
        <v>2.5004116507940655E-3</v>
      </c>
      <c r="J157" s="223">
        <f t="shared" ca="1" si="157"/>
        <v>2.5004116507940655E-3</v>
      </c>
      <c r="K157" s="223">
        <f t="shared" ca="1" si="157"/>
        <v>2.5004116507940655E-3</v>
      </c>
      <c r="L157" s="223">
        <f t="shared" ca="1" si="157"/>
        <v>2.5004116507940655E-3</v>
      </c>
      <c r="M157" s="223">
        <f t="shared" ca="1" si="157"/>
        <v>2.5004116507940655E-3</v>
      </c>
      <c r="N157" s="223">
        <f t="shared" ca="1" si="157"/>
        <v>2.5004116507940655E-3</v>
      </c>
      <c r="O157" s="223">
        <f t="shared" ca="1" si="157"/>
        <v>2.5004116507940655E-3</v>
      </c>
      <c r="P157" s="223">
        <f t="shared" ca="1" si="157"/>
        <v>2.5004116507940655E-3</v>
      </c>
      <c r="Q157" s="223">
        <f t="shared" ca="1" si="157"/>
        <v>2.5004116507940655E-3</v>
      </c>
      <c r="R157" s="223">
        <f t="shared" ca="1" si="157"/>
        <v>2.5004116507940655E-3</v>
      </c>
      <c r="S157" s="224">
        <f t="shared" ca="1" si="157"/>
        <v>2.5004116507940655E-3</v>
      </c>
      <c r="T157" s="224">
        <f t="shared" ca="1" si="157"/>
        <v>2.5004116507940655E-3</v>
      </c>
      <c r="U157" s="224">
        <f t="shared" ca="1" si="157"/>
        <v>2.5004116507940655E-3</v>
      </c>
      <c r="V157" s="224">
        <f t="shared" ca="1" si="157"/>
        <v>2.5004116507940655E-3</v>
      </c>
      <c r="W157" s="224">
        <f t="shared" ca="1" si="157"/>
        <v>2.5004116507940655E-3</v>
      </c>
      <c r="X157" s="224">
        <f t="shared" ca="1" si="157"/>
        <v>2.5004116507940655E-3</v>
      </c>
      <c r="Y157" s="224">
        <f t="shared" ca="1" si="157"/>
        <v>2.5004116507940655E-3</v>
      </c>
      <c r="Z157" s="224">
        <f t="shared" ca="1" si="157"/>
        <v>2.5004116507940655E-3</v>
      </c>
      <c r="AA157" s="224">
        <f t="shared" ca="1" si="157"/>
        <v>2.5004116507940655E-3</v>
      </c>
      <c r="AB157" s="224">
        <f t="shared" ca="1" si="157"/>
        <v>0</v>
      </c>
      <c r="AC157" s="224">
        <f t="shared" ca="1" si="157"/>
        <v>0</v>
      </c>
      <c r="AD157" s="224">
        <f t="shared" ca="1" si="157"/>
        <v>0</v>
      </c>
      <c r="AE157" s="224">
        <f t="shared" ca="1" si="157"/>
        <v>0</v>
      </c>
      <c r="AF157" s="224">
        <f t="shared" ca="1" si="157"/>
        <v>0</v>
      </c>
      <c r="AG157" s="224">
        <f t="shared" ca="1" si="157"/>
        <v>0</v>
      </c>
      <c r="AH157" s="224"/>
      <c r="AI157" s="224"/>
      <c r="AJ157" s="224">
        <f t="shared" ref="AJ157" ca="1" si="158">IFERROR(AJ151/AJ145-1,0)</f>
        <v>5.4817683984695886E-3</v>
      </c>
      <c r="AK157" s="212"/>
      <c r="AL157" s="212"/>
      <c r="AM157" s="504">
        <f ca="1">IFERROR(AM151/AM145-1,0)</f>
        <v>0</v>
      </c>
      <c r="AN157" s="504">
        <f t="shared" ref="AN157:BM157" ca="1" si="159">IFERROR(AN151/AN145-1,0)</f>
        <v>8.9838967570526673E-2</v>
      </c>
      <c r="AO157" s="504">
        <f t="shared" ca="1" si="159"/>
        <v>2.8656569281428901E-3</v>
      </c>
      <c r="AP157" s="504">
        <f t="shared" ca="1" si="159"/>
        <v>2.8656569281428901E-3</v>
      </c>
      <c r="AQ157" s="504">
        <f t="shared" ca="1" si="159"/>
        <v>2.8656569281428901E-3</v>
      </c>
      <c r="AR157" s="504">
        <f t="shared" ca="1" si="159"/>
        <v>2.8656569281428901E-3</v>
      </c>
      <c r="AS157" s="504">
        <f t="shared" ca="1" si="159"/>
        <v>2.8656569281428901E-3</v>
      </c>
      <c r="AT157" s="504">
        <f t="shared" ca="1" si="159"/>
        <v>2.8656569281428901E-3</v>
      </c>
      <c r="AU157" s="504">
        <f t="shared" ca="1" si="159"/>
        <v>2.8656569281428901E-3</v>
      </c>
      <c r="AV157" s="504">
        <f t="shared" ca="1" si="159"/>
        <v>2.8656569281428901E-3</v>
      </c>
      <c r="AW157" s="504">
        <f t="shared" ca="1" si="159"/>
        <v>2.8656569281428901E-3</v>
      </c>
      <c r="AX157" s="504">
        <f t="shared" ca="1" si="159"/>
        <v>2.8656569281428901E-3</v>
      </c>
      <c r="AY157" s="504">
        <f t="shared" ca="1" si="159"/>
        <v>2.8656569281428901E-3</v>
      </c>
      <c r="AZ157" s="504">
        <f t="shared" ca="1" si="159"/>
        <v>2.8656569281428901E-3</v>
      </c>
      <c r="BA157" s="504">
        <f t="shared" ca="1" si="159"/>
        <v>2.8656569281428901E-3</v>
      </c>
      <c r="BB157" s="504">
        <f t="shared" ca="1" si="159"/>
        <v>2.8656569281428901E-3</v>
      </c>
      <c r="BC157" s="504">
        <f t="shared" ca="1" si="159"/>
        <v>2.8656569281428901E-3</v>
      </c>
      <c r="BD157" s="504">
        <f t="shared" ca="1" si="159"/>
        <v>2.8656569281428901E-3</v>
      </c>
      <c r="BE157" s="504">
        <f t="shared" ca="1" si="159"/>
        <v>2.8656569281428901E-3</v>
      </c>
      <c r="BF157" s="504">
        <f t="shared" ca="1" si="159"/>
        <v>2.8656569281428901E-3</v>
      </c>
      <c r="BG157" s="504">
        <f t="shared" ca="1" si="159"/>
        <v>2.8656569281428901E-3</v>
      </c>
      <c r="BH157" s="504">
        <f t="shared" ca="1" si="159"/>
        <v>0</v>
      </c>
      <c r="BI157" s="504">
        <f t="shared" ca="1" si="159"/>
        <v>0</v>
      </c>
      <c r="BJ157" s="504">
        <f t="shared" ca="1" si="159"/>
        <v>0</v>
      </c>
      <c r="BK157" s="504">
        <f t="shared" ca="1" si="159"/>
        <v>0</v>
      </c>
      <c r="BL157" s="504">
        <f t="shared" ca="1" si="159"/>
        <v>0</v>
      </c>
      <c r="BM157" s="504">
        <f t="shared" ca="1" si="159"/>
        <v>0</v>
      </c>
      <c r="BN157" s="504"/>
      <c r="BO157" s="504"/>
      <c r="BP157" s="504">
        <f t="shared" ref="BP157" ca="1" si="160">IFERROR(BP151/BP145-1,0)</f>
        <v>6.4666036851930286E-3</v>
      </c>
      <c r="BS157" s="84" t="s">
        <v>242</v>
      </c>
      <c r="BT157" s="51" t="s">
        <v>17</v>
      </c>
    </row>
    <row r="158" spans="1:72" x14ac:dyDescent="0.25">
      <c r="B158" s="243" t="str">
        <f t="shared" si="152"/>
        <v>Low-Income</v>
      </c>
      <c r="C158" s="243" t="str">
        <f t="shared" si="152"/>
        <v>Bills</v>
      </c>
      <c r="D158" s="244" t="str">
        <f t="shared" si="152"/>
        <v>Change in Bills</v>
      </c>
      <c r="E158" s="84" t="s">
        <v>349</v>
      </c>
      <c r="F158" s="84" t="s">
        <v>32</v>
      </c>
      <c r="G158" s="103">
        <f ca="1">G152-G145</f>
        <v>0</v>
      </c>
      <c r="H158" s="103">
        <f t="shared" ref="H158:AG158" ca="1" si="161">H152-H145</f>
        <v>32.335042152620304</v>
      </c>
      <c r="I158" s="103">
        <f t="shared" ca="1" si="161"/>
        <v>-11.026299198402626</v>
      </c>
      <c r="J158" s="103">
        <f t="shared" ca="1" si="161"/>
        <v>-11.026299198402626</v>
      </c>
      <c r="K158" s="103">
        <f t="shared" ca="1" si="161"/>
        <v>-11.026299198402626</v>
      </c>
      <c r="L158" s="103">
        <f t="shared" ca="1" si="161"/>
        <v>-11.026299198402626</v>
      </c>
      <c r="M158" s="103">
        <f t="shared" ca="1" si="161"/>
        <v>-11.026299198402626</v>
      </c>
      <c r="N158" s="103">
        <f t="shared" ca="1" si="161"/>
        <v>-11.026299198402626</v>
      </c>
      <c r="O158" s="103">
        <f t="shared" ca="1" si="161"/>
        <v>-11.026299198402626</v>
      </c>
      <c r="P158" s="103">
        <f t="shared" ca="1" si="161"/>
        <v>-11.026299198402626</v>
      </c>
      <c r="Q158" s="103">
        <f t="shared" ca="1" si="161"/>
        <v>-11.026299198402626</v>
      </c>
      <c r="R158" s="103">
        <f t="shared" ca="1" si="161"/>
        <v>-11.026299198402626</v>
      </c>
      <c r="S158" s="103">
        <f t="shared" ca="1" si="161"/>
        <v>-11.026299198402626</v>
      </c>
      <c r="T158" s="103">
        <f t="shared" ca="1" si="161"/>
        <v>-11.026299198402626</v>
      </c>
      <c r="U158" s="103">
        <f t="shared" ca="1" si="161"/>
        <v>-11.026299198402626</v>
      </c>
      <c r="V158" s="103">
        <f t="shared" ca="1" si="161"/>
        <v>-11.026299198402626</v>
      </c>
      <c r="W158" s="103">
        <f t="shared" ca="1" si="161"/>
        <v>-11.026299198402626</v>
      </c>
      <c r="X158" s="103">
        <f t="shared" ca="1" si="161"/>
        <v>-11.026299198402626</v>
      </c>
      <c r="Y158" s="103">
        <f t="shared" ca="1" si="161"/>
        <v>-11.026299198402626</v>
      </c>
      <c r="Z158" s="103">
        <f t="shared" ca="1" si="161"/>
        <v>-11.026299198402626</v>
      </c>
      <c r="AA158" s="103">
        <f t="shared" ca="1" si="161"/>
        <v>-11.026299198402626</v>
      </c>
      <c r="AB158" s="103">
        <f t="shared" ca="1" si="161"/>
        <v>0</v>
      </c>
      <c r="AC158" s="103">
        <f t="shared" ca="1" si="161"/>
        <v>0</v>
      </c>
      <c r="AD158" s="103">
        <f t="shared" ca="1" si="161"/>
        <v>0</v>
      </c>
      <c r="AE158" s="103">
        <f t="shared" ca="1" si="161"/>
        <v>0</v>
      </c>
      <c r="AF158" s="103">
        <f t="shared" ca="1" si="161"/>
        <v>0</v>
      </c>
      <c r="AG158" s="103">
        <f t="shared" ca="1" si="161"/>
        <v>0</v>
      </c>
      <c r="AH158" s="103"/>
      <c r="AI158" s="103">
        <f ca="1">NPV(Lookups!$E$17,G158:AG158)</f>
        <v>-146.09077273908167</v>
      </c>
      <c r="AJ158" s="103">
        <f ca="1">IF($C$4=Year1,-PMT(Lookups!$E$17,25,NPV(Lookups!$E$17,G158:AE158),0,1),IF($C$4=Year2,-PMT(Lookups!$F$17,25,NPV(Lookups!$F$17,H158:AF158),0,1),IF($C$4=Year3,-PMT(Lookups!$G$17,25,NPV(Lookups!$G$17,I158:AG158),0,1),-PMT(Lookups!$G$17,27,NPV(Lookups!$G$17,G158:AG158),0,1))))</f>
        <v>-6.978350503734152</v>
      </c>
      <c r="AM158" s="149">
        <f ca="1">AM152-AM145</f>
        <v>0</v>
      </c>
      <c r="AN158" s="149">
        <f t="shared" ref="AN158:BM158" ca="1" si="162">AN152-AN145</f>
        <v>39.254492121347994</v>
      </c>
      <c r="AO158" s="149">
        <f t="shared" ca="1" si="162"/>
        <v>-12.60249211346968</v>
      </c>
      <c r="AP158" s="149">
        <f t="shared" ca="1" si="162"/>
        <v>-12.60249211346968</v>
      </c>
      <c r="AQ158" s="149">
        <f t="shared" ca="1" si="162"/>
        <v>-12.60249211346968</v>
      </c>
      <c r="AR158" s="149">
        <f t="shared" ca="1" si="162"/>
        <v>-12.60249211346968</v>
      </c>
      <c r="AS158" s="149">
        <f t="shared" ca="1" si="162"/>
        <v>-12.60249211346968</v>
      </c>
      <c r="AT158" s="149">
        <f t="shared" ca="1" si="162"/>
        <v>-12.60249211346968</v>
      </c>
      <c r="AU158" s="149">
        <f t="shared" ca="1" si="162"/>
        <v>-12.60249211346968</v>
      </c>
      <c r="AV158" s="149">
        <f t="shared" ca="1" si="162"/>
        <v>-12.60249211346968</v>
      </c>
      <c r="AW158" s="149">
        <f t="shared" ca="1" si="162"/>
        <v>-12.60249211346968</v>
      </c>
      <c r="AX158" s="149">
        <f t="shared" ca="1" si="162"/>
        <v>-12.60249211346968</v>
      </c>
      <c r="AY158" s="149">
        <f t="shared" ca="1" si="162"/>
        <v>-12.60249211346968</v>
      </c>
      <c r="AZ158" s="149">
        <f t="shared" ca="1" si="162"/>
        <v>-12.60249211346968</v>
      </c>
      <c r="BA158" s="149">
        <f t="shared" ca="1" si="162"/>
        <v>-12.60249211346968</v>
      </c>
      <c r="BB158" s="149">
        <f t="shared" ca="1" si="162"/>
        <v>-12.60249211346968</v>
      </c>
      <c r="BC158" s="149">
        <f t="shared" ca="1" si="162"/>
        <v>-12.60249211346968</v>
      </c>
      <c r="BD158" s="149">
        <f t="shared" ca="1" si="162"/>
        <v>-12.60249211346968</v>
      </c>
      <c r="BE158" s="149">
        <f t="shared" ca="1" si="162"/>
        <v>-12.60249211346968</v>
      </c>
      <c r="BF158" s="149">
        <f t="shared" ca="1" si="162"/>
        <v>-12.60249211346968</v>
      </c>
      <c r="BG158" s="149">
        <f t="shared" ca="1" si="162"/>
        <v>-12.60249211346968</v>
      </c>
      <c r="BH158" s="149">
        <f t="shared" ca="1" si="162"/>
        <v>0</v>
      </c>
      <c r="BI158" s="149">
        <f t="shared" ca="1" si="162"/>
        <v>0</v>
      </c>
      <c r="BJ158" s="149">
        <f t="shared" ca="1" si="162"/>
        <v>0</v>
      </c>
      <c r="BK158" s="149">
        <f t="shared" ca="1" si="162"/>
        <v>0</v>
      </c>
      <c r="BL158" s="149">
        <f t="shared" ca="1" si="162"/>
        <v>0</v>
      </c>
      <c r="BM158" s="149">
        <f t="shared" ca="1" si="162"/>
        <v>0</v>
      </c>
      <c r="BN158" s="149"/>
      <c r="BO158" s="149">
        <f ca="1">NPV(Lookups!$E$17,AM158:BM158)</f>
        <v>-164.74065526128047</v>
      </c>
      <c r="BP158" s="149">
        <f ca="1">IF($C$4=Year1,-PMT(Lookups!$E$17,25,NPV(Lookups!$E$17,AM158:BK158),0,1),IF($C$4=Year2,-PMT(Lookups!$F$17,25,NPV(Lookups!$F$17,AN158:BL158),0,1),IF($C$4=Year3,-PMT(Lookups!$G$17,25,NPV(Lookups!$G$17,AO158:BM158),0,1),-PMT(Lookups!$G$17,27,NPV(Lookups!$G$17,AM158:BM158),0,1))))</f>
        <v>-7.8692035990614579</v>
      </c>
      <c r="BS158" s="84" t="s">
        <v>241</v>
      </c>
      <c r="BT158" s="51" t="s">
        <v>17</v>
      </c>
    </row>
    <row r="159" spans="1:72" x14ac:dyDescent="0.25">
      <c r="B159" s="243" t="str">
        <f t="shared" si="152"/>
        <v>Low-Income</v>
      </c>
      <c r="C159" s="243" t="str">
        <f t="shared" si="152"/>
        <v>Bills</v>
      </c>
      <c r="D159" s="244" t="str">
        <f t="shared" si="152"/>
        <v>Change in Bills</v>
      </c>
      <c r="E159" s="84" t="s">
        <v>349</v>
      </c>
      <c r="F159" s="84" t="s">
        <v>16</v>
      </c>
      <c r="G159" s="223">
        <f ca="1">IFERROR(G152/G145-1,0)</f>
        <v>0</v>
      </c>
      <c r="H159" s="223">
        <f t="shared" ref="H159:AG159" ca="1" si="163">IFERROR(H152/H145-1,0)</f>
        <v>5.2793060538173897E-2</v>
      </c>
      <c r="I159" s="223">
        <f t="shared" ca="1" si="163"/>
        <v>-1.8002514991189433E-2</v>
      </c>
      <c r="J159" s="223">
        <f t="shared" ca="1" si="163"/>
        <v>-1.8002514991189433E-2</v>
      </c>
      <c r="K159" s="223">
        <f t="shared" ca="1" si="163"/>
        <v>-1.8002514991189433E-2</v>
      </c>
      <c r="L159" s="223">
        <f t="shared" ca="1" si="163"/>
        <v>-1.8002514991189433E-2</v>
      </c>
      <c r="M159" s="223">
        <f t="shared" ca="1" si="163"/>
        <v>-1.8002514991189433E-2</v>
      </c>
      <c r="N159" s="223">
        <f t="shared" ca="1" si="163"/>
        <v>-1.8002514991189433E-2</v>
      </c>
      <c r="O159" s="223">
        <f t="shared" ca="1" si="163"/>
        <v>-1.8002514991189433E-2</v>
      </c>
      <c r="P159" s="223">
        <f t="shared" ca="1" si="163"/>
        <v>-1.8002514991189433E-2</v>
      </c>
      <c r="Q159" s="223">
        <f t="shared" ca="1" si="163"/>
        <v>-1.8002514991189433E-2</v>
      </c>
      <c r="R159" s="223">
        <f t="shared" ca="1" si="163"/>
        <v>-1.8002514991189433E-2</v>
      </c>
      <c r="S159" s="224">
        <f t="shared" ca="1" si="163"/>
        <v>-1.8002514991189433E-2</v>
      </c>
      <c r="T159" s="224">
        <f t="shared" ca="1" si="163"/>
        <v>-1.8002514991189433E-2</v>
      </c>
      <c r="U159" s="224">
        <f t="shared" ca="1" si="163"/>
        <v>-1.8002514991189433E-2</v>
      </c>
      <c r="V159" s="224">
        <f t="shared" ca="1" si="163"/>
        <v>-1.8002514991189433E-2</v>
      </c>
      <c r="W159" s="224">
        <f t="shared" ca="1" si="163"/>
        <v>-1.8002514991189433E-2</v>
      </c>
      <c r="X159" s="224">
        <f t="shared" ca="1" si="163"/>
        <v>-1.8002514991189433E-2</v>
      </c>
      <c r="Y159" s="224">
        <f t="shared" ca="1" si="163"/>
        <v>-1.8002514991189433E-2</v>
      </c>
      <c r="Z159" s="224">
        <f t="shared" ca="1" si="163"/>
        <v>-1.8002514991189433E-2</v>
      </c>
      <c r="AA159" s="224">
        <f t="shared" ca="1" si="163"/>
        <v>-1.8002514991189433E-2</v>
      </c>
      <c r="AB159" s="224">
        <f t="shared" ca="1" si="163"/>
        <v>0</v>
      </c>
      <c r="AC159" s="224">
        <f t="shared" ca="1" si="163"/>
        <v>0</v>
      </c>
      <c r="AD159" s="224">
        <f t="shared" ca="1" si="163"/>
        <v>0</v>
      </c>
      <c r="AE159" s="224">
        <f t="shared" ca="1" si="163"/>
        <v>0</v>
      </c>
      <c r="AF159" s="224">
        <f t="shared" ca="1" si="163"/>
        <v>0</v>
      </c>
      <c r="AG159" s="224">
        <f t="shared" ca="1" si="163"/>
        <v>0</v>
      </c>
      <c r="AH159" s="224"/>
      <c r="AI159" s="224"/>
      <c r="AJ159" s="224">
        <f t="shared" ref="AJ159" ca="1" si="164">IFERROR(AJ152/AJ145-1,0)</f>
        <v>-1.1554623806286468E-2</v>
      </c>
      <c r="AK159" s="212"/>
      <c r="AL159" s="212"/>
      <c r="AM159" s="504">
        <f ca="1">IFERROR(AM152/AM145-1,0)</f>
        <v>0</v>
      </c>
      <c r="AN159" s="504">
        <f t="shared" ref="AN159:BM159" ca="1" si="165">IFERROR(AN152/AN145-1,0)</f>
        <v>6.4090368869046177E-2</v>
      </c>
      <c r="AO159" s="504">
        <f t="shared" ca="1" si="165"/>
        <v>-2.057594747945457E-2</v>
      </c>
      <c r="AP159" s="504">
        <f t="shared" ca="1" si="165"/>
        <v>-2.057594747945457E-2</v>
      </c>
      <c r="AQ159" s="504">
        <f t="shared" ca="1" si="165"/>
        <v>-2.057594747945457E-2</v>
      </c>
      <c r="AR159" s="504">
        <f t="shared" ca="1" si="165"/>
        <v>-2.057594747945457E-2</v>
      </c>
      <c r="AS159" s="504">
        <f t="shared" ca="1" si="165"/>
        <v>-2.057594747945457E-2</v>
      </c>
      <c r="AT159" s="504">
        <f t="shared" ca="1" si="165"/>
        <v>-2.057594747945457E-2</v>
      </c>
      <c r="AU159" s="504">
        <f t="shared" ca="1" si="165"/>
        <v>-2.057594747945457E-2</v>
      </c>
      <c r="AV159" s="504">
        <f t="shared" ca="1" si="165"/>
        <v>-2.057594747945457E-2</v>
      </c>
      <c r="AW159" s="504">
        <f t="shared" ca="1" si="165"/>
        <v>-2.057594747945457E-2</v>
      </c>
      <c r="AX159" s="504">
        <f t="shared" ca="1" si="165"/>
        <v>-2.057594747945457E-2</v>
      </c>
      <c r="AY159" s="504">
        <f t="shared" ca="1" si="165"/>
        <v>-2.057594747945457E-2</v>
      </c>
      <c r="AZ159" s="504">
        <f t="shared" ca="1" si="165"/>
        <v>-2.057594747945457E-2</v>
      </c>
      <c r="BA159" s="504">
        <f t="shared" ca="1" si="165"/>
        <v>-2.057594747945457E-2</v>
      </c>
      <c r="BB159" s="504">
        <f t="shared" ca="1" si="165"/>
        <v>-2.057594747945457E-2</v>
      </c>
      <c r="BC159" s="504">
        <f t="shared" ca="1" si="165"/>
        <v>-2.057594747945457E-2</v>
      </c>
      <c r="BD159" s="504">
        <f t="shared" ca="1" si="165"/>
        <v>-2.057594747945457E-2</v>
      </c>
      <c r="BE159" s="504">
        <f t="shared" ca="1" si="165"/>
        <v>-2.057594747945457E-2</v>
      </c>
      <c r="BF159" s="504">
        <f t="shared" ca="1" si="165"/>
        <v>-2.057594747945457E-2</v>
      </c>
      <c r="BG159" s="504">
        <f t="shared" ca="1" si="165"/>
        <v>-2.057594747945457E-2</v>
      </c>
      <c r="BH159" s="504">
        <f t="shared" ca="1" si="165"/>
        <v>0</v>
      </c>
      <c r="BI159" s="504">
        <f t="shared" ca="1" si="165"/>
        <v>0</v>
      </c>
      <c r="BJ159" s="504">
        <f t="shared" ca="1" si="165"/>
        <v>0</v>
      </c>
      <c r="BK159" s="504">
        <f t="shared" ca="1" si="165"/>
        <v>0</v>
      </c>
      <c r="BL159" s="504">
        <f t="shared" ca="1" si="165"/>
        <v>0</v>
      </c>
      <c r="BM159" s="504">
        <f t="shared" ca="1" si="165"/>
        <v>0</v>
      </c>
      <c r="BN159" s="504"/>
      <c r="BO159" s="504"/>
      <c r="BP159" s="504">
        <f t="shared" ref="BP159" ca="1" si="166">IFERROR(BP152/BP145-1,0)</f>
        <v>-1.3029681898835133E-2</v>
      </c>
      <c r="BS159" s="84" t="s">
        <v>242</v>
      </c>
      <c r="BT159" s="51" t="s">
        <v>17</v>
      </c>
    </row>
    <row r="160" spans="1:72" x14ac:dyDescent="0.25">
      <c r="B160" s="243" t="str">
        <f t="shared" si="152"/>
        <v>Low-Income</v>
      </c>
      <c r="C160" s="243" t="str">
        <f t="shared" si="152"/>
        <v>Bills</v>
      </c>
      <c r="D160" s="244" t="str">
        <f t="shared" si="152"/>
        <v>Change in Bills</v>
      </c>
      <c r="E160" s="84" t="str">
        <f>'EE Inputs'!$N$15&amp;" Participant Annual Bill"</f>
        <v>Low Savings Participant Annual Bill</v>
      </c>
      <c r="F160" s="84" t="s">
        <v>32</v>
      </c>
      <c r="G160" s="103">
        <f ca="1">G153-G145</f>
        <v>0</v>
      </c>
      <c r="H160" s="103">
        <f t="shared" ref="H160:AG160" ca="1" si="167">H153-H145</f>
        <v>40.068627488319635</v>
      </c>
      <c r="I160" s="103">
        <f t="shared" ca="1" si="167"/>
        <v>-3.8791120557107206</v>
      </c>
      <c r="J160" s="103">
        <f t="shared" ca="1" si="167"/>
        <v>-3.8791120557107206</v>
      </c>
      <c r="K160" s="103">
        <f t="shared" ca="1" si="167"/>
        <v>-3.8791120557107206</v>
      </c>
      <c r="L160" s="103">
        <f t="shared" ca="1" si="167"/>
        <v>-3.8791120557107206</v>
      </c>
      <c r="M160" s="103">
        <f t="shared" ca="1" si="167"/>
        <v>-3.8791120557107206</v>
      </c>
      <c r="N160" s="103">
        <f t="shared" ca="1" si="167"/>
        <v>-3.8791120557107206</v>
      </c>
      <c r="O160" s="103">
        <f t="shared" ca="1" si="167"/>
        <v>-3.8791120557107206</v>
      </c>
      <c r="P160" s="103">
        <f t="shared" ca="1" si="167"/>
        <v>-3.8791120557107206</v>
      </c>
      <c r="Q160" s="103">
        <f t="shared" ca="1" si="167"/>
        <v>-3.8791120557107206</v>
      </c>
      <c r="R160" s="103">
        <f t="shared" ca="1" si="167"/>
        <v>-3.8791120557107206</v>
      </c>
      <c r="S160" s="103">
        <f t="shared" ca="1" si="167"/>
        <v>-3.8791120557107206</v>
      </c>
      <c r="T160" s="103">
        <f t="shared" ca="1" si="167"/>
        <v>-3.8791120557107206</v>
      </c>
      <c r="U160" s="103">
        <f t="shared" ca="1" si="167"/>
        <v>-3.8791120557107206</v>
      </c>
      <c r="V160" s="103">
        <f t="shared" ca="1" si="167"/>
        <v>-3.8791120557107206</v>
      </c>
      <c r="W160" s="103">
        <f t="shared" ca="1" si="167"/>
        <v>-3.8791120557107206</v>
      </c>
      <c r="X160" s="103">
        <f t="shared" ca="1" si="167"/>
        <v>-3.8791120557107206</v>
      </c>
      <c r="Y160" s="103">
        <f t="shared" ca="1" si="167"/>
        <v>-3.8791120557107206</v>
      </c>
      <c r="Z160" s="103">
        <f t="shared" ca="1" si="167"/>
        <v>-3.8791120557107206</v>
      </c>
      <c r="AA160" s="103">
        <f t="shared" ca="1" si="167"/>
        <v>-3.8791120557107206</v>
      </c>
      <c r="AB160" s="103">
        <f t="shared" ca="1" si="167"/>
        <v>0</v>
      </c>
      <c r="AC160" s="103">
        <f t="shared" ca="1" si="167"/>
        <v>0</v>
      </c>
      <c r="AD160" s="103">
        <f t="shared" ca="1" si="167"/>
        <v>0</v>
      </c>
      <c r="AE160" s="103">
        <f t="shared" ca="1" si="167"/>
        <v>0</v>
      </c>
      <c r="AF160" s="103">
        <f t="shared" ca="1" si="167"/>
        <v>0</v>
      </c>
      <c r="AG160" s="103">
        <f t="shared" ca="1" si="167"/>
        <v>0</v>
      </c>
      <c r="AH160" s="103"/>
      <c r="AI160" s="103">
        <f ca="1">NPV(Lookups!$E$17,G160:AG160)</f>
        <v>-23.497310618442377</v>
      </c>
      <c r="AJ160" s="103">
        <f ca="1">IF($C$4=Year1,-PMT(Lookups!$E$17,25,NPV(Lookups!$E$17,G160:AE160),0,1),IF($C$4=Year2,-PMT(Lookups!$F$17,25,NPV(Lookups!$F$17,H160:AF160),0,1),IF($C$4=Year3,-PMT(Lookups!$G$17,25,NPV(Lookups!$G$17,I160:AG160),0,1),-PMT(Lookups!$G$17,27,NPV(Lookups!$G$17,G160:AG160),0,1))))</f>
        <v>-1.1224012736482698</v>
      </c>
      <c r="AM160" s="149">
        <f ca="1">AM153-AM145</f>
        <v>0</v>
      </c>
      <c r="AN160" s="149">
        <f t="shared" ref="AN160:BM160" ca="1" si="168">AN153-AN145</f>
        <v>47.890542629244692</v>
      </c>
      <c r="AO160" s="149">
        <f t="shared" ca="1" si="168"/>
        <v>-4.7402048489395838</v>
      </c>
      <c r="AP160" s="149">
        <f t="shared" ca="1" si="168"/>
        <v>-4.7402048489395838</v>
      </c>
      <c r="AQ160" s="149">
        <f t="shared" ca="1" si="168"/>
        <v>-4.7402048489395838</v>
      </c>
      <c r="AR160" s="149">
        <f t="shared" ca="1" si="168"/>
        <v>-4.7402048489395838</v>
      </c>
      <c r="AS160" s="149">
        <f t="shared" ca="1" si="168"/>
        <v>-4.7402048489395838</v>
      </c>
      <c r="AT160" s="149">
        <f t="shared" ca="1" si="168"/>
        <v>-4.7402048489395838</v>
      </c>
      <c r="AU160" s="149">
        <f t="shared" ca="1" si="168"/>
        <v>-4.7402048489395838</v>
      </c>
      <c r="AV160" s="149">
        <f t="shared" ca="1" si="168"/>
        <v>-4.7402048489395838</v>
      </c>
      <c r="AW160" s="149">
        <f t="shared" ca="1" si="168"/>
        <v>-4.7402048489395838</v>
      </c>
      <c r="AX160" s="149">
        <f t="shared" ca="1" si="168"/>
        <v>-4.7402048489395838</v>
      </c>
      <c r="AY160" s="149">
        <f t="shared" ca="1" si="168"/>
        <v>-4.7402048489395838</v>
      </c>
      <c r="AZ160" s="149">
        <f t="shared" ca="1" si="168"/>
        <v>-4.7402048489395838</v>
      </c>
      <c r="BA160" s="149">
        <f t="shared" ca="1" si="168"/>
        <v>-4.7402048489395838</v>
      </c>
      <c r="BB160" s="149">
        <f t="shared" ca="1" si="168"/>
        <v>-4.7402048489395838</v>
      </c>
      <c r="BC160" s="149">
        <f t="shared" ca="1" si="168"/>
        <v>-4.7402048489395838</v>
      </c>
      <c r="BD160" s="149">
        <f t="shared" ca="1" si="168"/>
        <v>-4.7402048489395838</v>
      </c>
      <c r="BE160" s="149">
        <f t="shared" ca="1" si="168"/>
        <v>-4.7402048489395838</v>
      </c>
      <c r="BF160" s="149">
        <f t="shared" ca="1" si="168"/>
        <v>-4.7402048489395838</v>
      </c>
      <c r="BG160" s="149">
        <f t="shared" ca="1" si="168"/>
        <v>-4.7402048489395838</v>
      </c>
      <c r="BH160" s="149">
        <f t="shared" ca="1" si="168"/>
        <v>0</v>
      </c>
      <c r="BI160" s="149">
        <f t="shared" ca="1" si="168"/>
        <v>0</v>
      </c>
      <c r="BJ160" s="149">
        <f t="shared" ca="1" si="168"/>
        <v>0</v>
      </c>
      <c r="BK160" s="149">
        <f t="shared" ca="1" si="168"/>
        <v>0</v>
      </c>
      <c r="BL160" s="149">
        <f t="shared" ca="1" si="168"/>
        <v>0</v>
      </c>
      <c r="BM160" s="149">
        <f t="shared" ca="1" si="168"/>
        <v>0</v>
      </c>
      <c r="BN160" s="149"/>
      <c r="BO160" s="149">
        <f ca="1">NPV(Lookups!$E$17,AM160:BM160)</f>
        <v>-29.756175513042951</v>
      </c>
      <c r="BP160" s="149">
        <f ca="1">IF($C$4=Year1,-PMT(Lookups!$E$17,25,NPV(Lookups!$E$17,AM160:BK160),0,1),IF($C$4=Year2,-PMT(Lookups!$F$17,25,NPV(Lookups!$F$17,AN160:BL160),0,1),IF($C$4=Year3,-PMT(Lookups!$G$17,25,NPV(Lookups!$G$17,AO160:BM160),0,1),-PMT(Lookups!$G$17,27,NPV(Lookups!$G$17,AM160:BM160),0,1))))</f>
        <v>-1.4213698681127973</v>
      </c>
      <c r="BS160" s="84" t="s">
        <v>241</v>
      </c>
      <c r="BT160" s="51" t="s">
        <v>17</v>
      </c>
    </row>
    <row r="161" spans="1:72" x14ac:dyDescent="0.25">
      <c r="B161" s="243" t="str">
        <f t="shared" si="152"/>
        <v>Low-Income</v>
      </c>
      <c r="C161" s="243" t="str">
        <f t="shared" si="152"/>
        <v>Bills</v>
      </c>
      <c r="D161" s="244" t="str">
        <f t="shared" si="152"/>
        <v>Change in Bills</v>
      </c>
      <c r="E161" s="84" t="str">
        <f>'EE Inputs'!$N$15&amp;" Participant Annual Bill"</f>
        <v>Low Savings Participant Annual Bill</v>
      </c>
      <c r="F161" s="84" t="s">
        <v>16</v>
      </c>
      <c r="G161" s="223">
        <f ca="1">IFERROR(G153/G145-1,0)</f>
        <v>0</v>
      </c>
      <c r="H161" s="223">
        <f t="shared" ref="H161:AG161" ca="1" si="169">IFERROR(H153/H145-1,0)</f>
        <v>6.541959854847379E-2</v>
      </c>
      <c r="I161" s="223">
        <f t="shared" ca="1" si="169"/>
        <v>-6.3333827314927538E-3</v>
      </c>
      <c r="J161" s="223">
        <f t="shared" ca="1" si="169"/>
        <v>-6.3333827314927538E-3</v>
      </c>
      <c r="K161" s="223">
        <f t="shared" ca="1" si="169"/>
        <v>-6.3333827314927538E-3</v>
      </c>
      <c r="L161" s="223">
        <f t="shared" ca="1" si="169"/>
        <v>-6.3333827314927538E-3</v>
      </c>
      <c r="M161" s="223">
        <f t="shared" ca="1" si="169"/>
        <v>-6.3333827314927538E-3</v>
      </c>
      <c r="N161" s="223">
        <f t="shared" ca="1" si="169"/>
        <v>-6.3333827314927538E-3</v>
      </c>
      <c r="O161" s="223">
        <f t="shared" ca="1" si="169"/>
        <v>-6.3333827314927538E-3</v>
      </c>
      <c r="P161" s="223">
        <f t="shared" ca="1" si="169"/>
        <v>-6.3333827314927538E-3</v>
      </c>
      <c r="Q161" s="223">
        <f t="shared" ca="1" si="169"/>
        <v>-6.3333827314927538E-3</v>
      </c>
      <c r="R161" s="223">
        <f t="shared" ca="1" si="169"/>
        <v>-6.3333827314927538E-3</v>
      </c>
      <c r="S161" s="224">
        <f t="shared" ca="1" si="169"/>
        <v>-6.3333827314927538E-3</v>
      </c>
      <c r="T161" s="224">
        <f t="shared" ca="1" si="169"/>
        <v>-6.3333827314927538E-3</v>
      </c>
      <c r="U161" s="224">
        <f t="shared" ca="1" si="169"/>
        <v>-6.3333827314927538E-3</v>
      </c>
      <c r="V161" s="224">
        <f t="shared" ca="1" si="169"/>
        <v>-6.3333827314927538E-3</v>
      </c>
      <c r="W161" s="224">
        <f t="shared" ca="1" si="169"/>
        <v>-6.3333827314927538E-3</v>
      </c>
      <c r="X161" s="224">
        <f t="shared" ca="1" si="169"/>
        <v>-6.3333827314927538E-3</v>
      </c>
      <c r="Y161" s="224">
        <f t="shared" ca="1" si="169"/>
        <v>-6.3333827314927538E-3</v>
      </c>
      <c r="Z161" s="224">
        <f t="shared" ca="1" si="169"/>
        <v>-6.3333827314927538E-3</v>
      </c>
      <c r="AA161" s="224">
        <f t="shared" ca="1" si="169"/>
        <v>-6.3333827314927538E-3</v>
      </c>
      <c r="AB161" s="224">
        <f t="shared" ca="1" si="169"/>
        <v>0</v>
      </c>
      <c r="AC161" s="224">
        <f t="shared" ca="1" si="169"/>
        <v>0</v>
      </c>
      <c r="AD161" s="224">
        <f t="shared" ca="1" si="169"/>
        <v>0</v>
      </c>
      <c r="AE161" s="224">
        <f t="shared" ca="1" si="169"/>
        <v>0</v>
      </c>
      <c r="AF161" s="224">
        <f t="shared" ca="1" si="169"/>
        <v>0</v>
      </c>
      <c r="AG161" s="224">
        <f t="shared" ca="1" si="169"/>
        <v>0</v>
      </c>
      <c r="AH161" s="224"/>
      <c r="AI161" s="224"/>
      <c r="AJ161" s="224">
        <f t="shared" ref="AJ161" ca="1" si="170">IFERROR(AJ153/AJ145-1,0)</f>
        <v>-1.8584512872723558E-3</v>
      </c>
      <c r="AK161" s="212"/>
      <c r="AL161" s="212"/>
      <c r="AM161" s="504">
        <f ca="1">IFERROR(AM153/AM145-1,0)</f>
        <v>0</v>
      </c>
      <c r="AN161" s="504">
        <f t="shared" ref="AN161:BM161" ca="1" si="171">IFERROR(AN153/AN145-1,0)</f>
        <v>7.8190351640745615E-2</v>
      </c>
      <c r="AO161" s="504">
        <f t="shared" ca="1" si="171"/>
        <v>-7.739279273929589E-3</v>
      </c>
      <c r="AP161" s="504">
        <f t="shared" ca="1" si="171"/>
        <v>-7.739279273929589E-3</v>
      </c>
      <c r="AQ161" s="504">
        <f t="shared" ca="1" si="171"/>
        <v>-7.739279273929589E-3</v>
      </c>
      <c r="AR161" s="504">
        <f t="shared" ca="1" si="171"/>
        <v>-7.739279273929589E-3</v>
      </c>
      <c r="AS161" s="504">
        <f t="shared" ca="1" si="171"/>
        <v>-7.739279273929589E-3</v>
      </c>
      <c r="AT161" s="504">
        <f t="shared" ca="1" si="171"/>
        <v>-7.739279273929589E-3</v>
      </c>
      <c r="AU161" s="504">
        <f t="shared" ca="1" si="171"/>
        <v>-7.739279273929589E-3</v>
      </c>
      <c r="AV161" s="504">
        <f t="shared" ca="1" si="171"/>
        <v>-7.739279273929589E-3</v>
      </c>
      <c r="AW161" s="504">
        <f t="shared" ca="1" si="171"/>
        <v>-7.739279273929589E-3</v>
      </c>
      <c r="AX161" s="504">
        <f t="shared" ca="1" si="171"/>
        <v>-7.739279273929589E-3</v>
      </c>
      <c r="AY161" s="504">
        <f t="shared" ca="1" si="171"/>
        <v>-7.739279273929589E-3</v>
      </c>
      <c r="AZ161" s="504">
        <f t="shared" ca="1" si="171"/>
        <v>-7.739279273929589E-3</v>
      </c>
      <c r="BA161" s="504">
        <f t="shared" ca="1" si="171"/>
        <v>-7.739279273929589E-3</v>
      </c>
      <c r="BB161" s="504">
        <f t="shared" ca="1" si="171"/>
        <v>-7.739279273929589E-3</v>
      </c>
      <c r="BC161" s="504">
        <f t="shared" ca="1" si="171"/>
        <v>-7.739279273929589E-3</v>
      </c>
      <c r="BD161" s="504">
        <f t="shared" ca="1" si="171"/>
        <v>-7.739279273929589E-3</v>
      </c>
      <c r="BE161" s="504">
        <f t="shared" ca="1" si="171"/>
        <v>-7.739279273929589E-3</v>
      </c>
      <c r="BF161" s="504">
        <f t="shared" ca="1" si="171"/>
        <v>-7.739279273929589E-3</v>
      </c>
      <c r="BG161" s="504">
        <f t="shared" ca="1" si="171"/>
        <v>-7.739279273929589E-3</v>
      </c>
      <c r="BH161" s="504">
        <f t="shared" ca="1" si="171"/>
        <v>0</v>
      </c>
      <c r="BI161" s="504">
        <f t="shared" ca="1" si="171"/>
        <v>0</v>
      </c>
      <c r="BJ161" s="504">
        <f t="shared" ca="1" si="171"/>
        <v>0</v>
      </c>
      <c r="BK161" s="504">
        <f t="shared" ca="1" si="171"/>
        <v>0</v>
      </c>
      <c r="BL161" s="504">
        <f t="shared" ca="1" si="171"/>
        <v>0</v>
      </c>
      <c r="BM161" s="504">
        <f t="shared" ca="1" si="171"/>
        <v>0</v>
      </c>
      <c r="BN161" s="504"/>
      <c r="BO161" s="504"/>
      <c r="BP161" s="504">
        <f t="shared" ref="BP161" ca="1" si="172">IFERROR(BP153/BP145-1,0)</f>
        <v>-2.3534779611380507E-3</v>
      </c>
      <c r="BS161" s="84" t="s">
        <v>242</v>
      </c>
      <c r="BT161" s="51" t="s">
        <v>17</v>
      </c>
    </row>
    <row r="162" spans="1:72" x14ac:dyDescent="0.25">
      <c r="B162" s="243" t="str">
        <f t="shared" si="152"/>
        <v>Low-Income</v>
      </c>
      <c r="C162" s="243" t="str">
        <f t="shared" si="152"/>
        <v>Bills</v>
      </c>
      <c r="D162" s="244" t="str">
        <f t="shared" si="152"/>
        <v>Change in Bills</v>
      </c>
      <c r="E162" s="84" t="str">
        <f>'EE Inputs'!$N$16&amp;" Participant Annual Bill"</f>
        <v>High Savings Participant Annual Bill</v>
      </c>
      <c r="F162" s="84" t="s">
        <v>32</v>
      </c>
      <c r="G162" s="103">
        <f ca="1">G154-G145</f>
        <v>0</v>
      </c>
      <c r="H162" s="103">
        <f t="shared" ref="H162:AG162" ca="1" si="173">H154-H145</f>
        <v>4.9416440041790111</v>
      </c>
      <c r="I162" s="103">
        <f t="shared" ca="1" si="173"/>
        <v>-36.34259617354644</v>
      </c>
      <c r="J162" s="103">
        <f t="shared" ca="1" si="173"/>
        <v>-36.34259617354644</v>
      </c>
      <c r="K162" s="103">
        <f t="shared" ca="1" si="173"/>
        <v>-36.34259617354644</v>
      </c>
      <c r="L162" s="103">
        <f t="shared" ca="1" si="173"/>
        <v>-36.34259617354644</v>
      </c>
      <c r="M162" s="103">
        <f t="shared" ca="1" si="173"/>
        <v>-36.34259617354644</v>
      </c>
      <c r="N162" s="103">
        <f t="shared" ca="1" si="173"/>
        <v>-36.34259617354644</v>
      </c>
      <c r="O162" s="103">
        <f t="shared" ca="1" si="173"/>
        <v>-36.34259617354644</v>
      </c>
      <c r="P162" s="103">
        <f t="shared" ca="1" si="173"/>
        <v>-36.34259617354644</v>
      </c>
      <c r="Q162" s="103">
        <f t="shared" ca="1" si="173"/>
        <v>-36.34259617354644</v>
      </c>
      <c r="R162" s="103">
        <f t="shared" ca="1" si="173"/>
        <v>-36.34259617354644</v>
      </c>
      <c r="S162" s="103">
        <f t="shared" ca="1" si="173"/>
        <v>-36.34259617354644</v>
      </c>
      <c r="T162" s="103">
        <f t="shared" ca="1" si="173"/>
        <v>-36.34259617354644</v>
      </c>
      <c r="U162" s="103">
        <f t="shared" ca="1" si="173"/>
        <v>-36.34259617354644</v>
      </c>
      <c r="V162" s="103">
        <f t="shared" ca="1" si="173"/>
        <v>-36.34259617354644</v>
      </c>
      <c r="W162" s="103">
        <f t="shared" ca="1" si="173"/>
        <v>-36.34259617354644</v>
      </c>
      <c r="X162" s="103">
        <f t="shared" ca="1" si="173"/>
        <v>-36.34259617354644</v>
      </c>
      <c r="Y162" s="103">
        <f t="shared" ca="1" si="173"/>
        <v>-36.34259617354644</v>
      </c>
      <c r="Z162" s="103">
        <f t="shared" ca="1" si="173"/>
        <v>-36.34259617354644</v>
      </c>
      <c r="AA162" s="103">
        <f t="shared" ca="1" si="173"/>
        <v>-36.34259617354644</v>
      </c>
      <c r="AB162" s="103">
        <f t="shared" ca="1" si="173"/>
        <v>0</v>
      </c>
      <c r="AC162" s="103">
        <f t="shared" ca="1" si="173"/>
        <v>0</v>
      </c>
      <c r="AD162" s="103">
        <f t="shared" ca="1" si="173"/>
        <v>0</v>
      </c>
      <c r="AE162" s="103">
        <f t="shared" ca="1" si="173"/>
        <v>0</v>
      </c>
      <c r="AF162" s="103">
        <f t="shared" ca="1" si="173"/>
        <v>0</v>
      </c>
      <c r="AG162" s="103">
        <f t="shared" ca="1" si="173"/>
        <v>0</v>
      </c>
      <c r="AH162" s="103"/>
      <c r="AI162" s="103">
        <f ca="1">NPV(Lookups!$E$17,G162:AG162)</f>
        <v>-580.33328413471963</v>
      </c>
      <c r="AJ162" s="103">
        <f ca="1">IF($C$4=Year1,-PMT(Lookups!$E$17,25,NPV(Lookups!$E$17,G162:AE162),0,1),IF($C$4=Year2,-PMT(Lookups!$F$17,25,NPV(Lookups!$F$17,H162:AF162),0,1),IF($C$4=Year3,-PMT(Lookups!$G$17,25,NPV(Lookups!$G$17,I162:AG162),0,1),-PMT(Lookups!$G$17,27,NPV(Lookups!$G$17,G162:AG162),0,1))))</f>
        <v>-27.720909334281568</v>
      </c>
      <c r="AM162" s="149">
        <f ca="1">AM154-AM145</f>
        <v>0</v>
      </c>
      <c r="AN162" s="149">
        <f t="shared" ref="AN162:BM162" ca="1" si="174">AN154-AN145</f>
        <v>5.0828156360204275</v>
      </c>
      <c r="AO162" s="149">
        <f t="shared" ca="1" si="174"/>
        <v>-43.712492754684831</v>
      </c>
      <c r="AP162" s="149">
        <f t="shared" ca="1" si="174"/>
        <v>-43.712492754684831</v>
      </c>
      <c r="AQ162" s="149">
        <f t="shared" ca="1" si="174"/>
        <v>-43.712492754684831</v>
      </c>
      <c r="AR162" s="149">
        <f t="shared" ca="1" si="174"/>
        <v>-43.712492754684831</v>
      </c>
      <c r="AS162" s="149">
        <f t="shared" ca="1" si="174"/>
        <v>-43.712492754684831</v>
      </c>
      <c r="AT162" s="149">
        <f t="shared" ca="1" si="174"/>
        <v>-43.712492754684831</v>
      </c>
      <c r="AU162" s="149">
        <f t="shared" ca="1" si="174"/>
        <v>-43.712492754684831</v>
      </c>
      <c r="AV162" s="149">
        <f t="shared" ca="1" si="174"/>
        <v>-43.712492754684831</v>
      </c>
      <c r="AW162" s="149">
        <f t="shared" ca="1" si="174"/>
        <v>-43.712492754684831</v>
      </c>
      <c r="AX162" s="149">
        <f t="shared" ca="1" si="174"/>
        <v>-43.712492754684831</v>
      </c>
      <c r="AY162" s="149">
        <f t="shared" ca="1" si="174"/>
        <v>-43.712492754684831</v>
      </c>
      <c r="AZ162" s="149">
        <f t="shared" ca="1" si="174"/>
        <v>-43.712492754684831</v>
      </c>
      <c r="BA162" s="149">
        <f t="shared" ca="1" si="174"/>
        <v>-43.712492754684831</v>
      </c>
      <c r="BB162" s="149">
        <f t="shared" ca="1" si="174"/>
        <v>-43.712492754684831</v>
      </c>
      <c r="BC162" s="149">
        <f t="shared" ca="1" si="174"/>
        <v>-43.712492754684831</v>
      </c>
      <c r="BD162" s="149">
        <f t="shared" ca="1" si="174"/>
        <v>-43.712492754684831</v>
      </c>
      <c r="BE162" s="149">
        <f t="shared" ca="1" si="174"/>
        <v>-43.712492754684831</v>
      </c>
      <c r="BF162" s="149">
        <f t="shared" ca="1" si="174"/>
        <v>-43.712492754684831</v>
      </c>
      <c r="BG162" s="149">
        <f t="shared" ca="1" si="174"/>
        <v>-43.712492754684831</v>
      </c>
      <c r="BH162" s="149">
        <f t="shared" ca="1" si="174"/>
        <v>0</v>
      </c>
      <c r="BI162" s="149">
        <f t="shared" ca="1" si="174"/>
        <v>0</v>
      </c>
      <c r="BJ162" s="149">
        <f t="shared" ca="1" si="174"/>
        <v>0</v>
      </c>
      <c r="BK162" s="149">
        <f t="shared" ca="1" si="174"/>
        <v>0</v>
      </c>
      <c r="BL162" s="149">
        <f t="shared" ca="1" si="174"/>
        <v>0</v>
      </c>
      <c r="BM162" s="149">
        <f t="shared" ca="1" si="174"/>
        <v>0</v>
      </c>
      <c r="BN162" s="149"/>
      <c r="BO162" s="149">
        <f ca="1">NPV(Lookups!$E$17,AM162:BM162)</f>
        <v>-698.85587011316977</v>
      </c>
      <c r="BP162" s="149">
        <f ca="1">IF($C$4=Year1,-PMT(Lookups!$E$17,25,NPV(Lookups!$E$17,AM162:BK162),0,1),IF($C$4=Year2,-PMT(Lookups!$F$17,25,NPV(Lookups!$F$17,AN162:BL162),0,1),IF($C$4=Year3,-PMT(Lookups!$G$17,25,NPV(Lookups!$G$17,AO162:BM162),0,1),-PMT(Lookups!$G$17,27,NPV(Lookups!$G$17,AM162:BM162),0,1))))</f>
        <v>-33.382404116322185</v>
      </c>
      <c r="BS162" s="84" t="s">
        <v>241</v>
      </c>
      <c r="BT162" s="51" t="s">
        <v>17</v>
      </c>
    </row>
    <row r="163" spans="1:72" x14ac:dyDescent="0.25">
      <c r="B163" s="243" t="str">
        <f t="shared" si="152"/>
        <v>Low-Income</v>
      </c>
      <c r="C163" s="243" t="str">
        <f t="shared" si="152"/>
        <v>Bills</v>
      </c>
      <c r="D163" s="244" t="str">
        <f t="shared" si="152"/>
        <v>Change in Bills</v>
      </c>
      <c r="E163" s="84" t="str">
        <f>'EE Inputs'!$N$16&amp;" Participant Annual Bill"</f>
        <v>High Savings Participant Annual Bill</v>
      </c>
      <c r="F163" s="84" t="s">
        <v>16</v>
      </c>
      <c r="G163" s="223">
        <f ca="1">IFERROR(G154/G145-1,0)</f>
        <v>0</v>
      </c>
      <c r="H163" s="223">
        <f t="shared" ref="H163:AG163" ca="1" si="175">IFERROR(H154/H145-1,0)</f>
        <v>8.0681667226336629E-3</v>
      </c>
      <c r="I163" s="223">
        <f t="shared" ca="1" si="175"/>
        <v>-5.9336149025213669E-2</v>
      </c>
      <c r="J163" s="223">
        <f t="shared" ca="1" si="175"/>
        <v>-5.9336149025213669E-2</v>
      </c>
      <c r="K163" s="223">
        <f t="shared" ca="1" si="175"/>
        <v>-5.9336149025213669E-2</v>
      </c>
      <c r="L163" s="223">
        <f t="shared" ca="1" si="175"/>
        <v>-5.9336149025213669E-2</v>
      </c>
      <c r="M163" s="223">
        <f t="shared" ca="1" si="175"/>
        <v>-5.9336149025213669E-2</v>
      </c>
      <c r="N163" s="223">
        <f t="shared" ca="1" si="175"/>
        <v>-5.9336149025213669E-2</v>
      </c>
      <c r="O163" s="223">
        <f t="shared" ca="1" si="175"/>
        <v>-5.9336149025213669E-2</v>
      </c>
      <c r="P163" s="223">
        <f t="shared" ca="1" si="175"/>
        <v>-5.9336149025213669E-2</v>
      </c>
      <c r="Q163" s="223">
        <f t="shared" ca="1" si="175"/>
        <v>-5.9336149025213669E-2</v>
      </c>
      <c r="R163" s="223">
        <f t="shared" ca="1" si="175"/>
        <v>-5.9336149025213669E-2</v>
      </c>
      <c r="S163" s="224">
        <f t="shared" ca="1" si="175"/>
        <v>-5.9336149025213669E-2</v>
      </c>
      <c r="T163" s="224">
        <f t="shared" ca="1" si="175"/>
        <v>-5.9336149025213669E-2</v>
      </c>
      <c r="U163" s="224">
        <f t="shared" ca="1" si="175"/>
        <v>-5.9336149025213669E-2</v>
      </c>
      <c r="V163" s="224">
        <f t="shared" ca="1" si="175"/>
        <v>-5.9336149025213669E-2</v>
      </c>
      <c r="W163" s="224">
        <f t="shared" ca="1" si="175"/>
        <v>-5.9336149025213669E-2</v>
      </c>
      <c r="X163" s="224">
        <f t="shared" ca="1" si="175"/>
        <v>-5.9336149025213669E-2</v>
      </c>
      <c r="Y163" s="224">
        <f t="shared" ca="1" si="175"/>
        <v>-5.9336149025213669E-2</v>
      </c>
      <c r="Z163" s="224">
        <f t="shared" ca="1" si="175"/>
        <v>-5.9336149025213669E-2</v>
      </c>
      <c r="AA163" s="224">
        <f t="shared" ca="1" si="175"/>
        <v>-5.9336149025213669E-2</v>
      </c>
      <c r="AB163" s="224">
        <f t="shared" ca="1" si="175"/>
        <v>0</v>
      </c>
      <c r="AC163" s="224">
        <f t="shared" ca="1" si="175"/>
        <v>0</v>
      </c>
      <c r="AD163" s="224">
        <f t="shared" ca="1" si="175"/>
        <v>0</v>
      </c>
      <c r="AE163" s="224">
        <f t="shared" ca="1" si="175"/>
        <v>0</v>
      </c>
      <c r="AF163" s="224">
        <f t="shared" ca="1" si="175"/>
        <v>0</v>
      </c>
      <c r="AG163" s="224">
        <f t="shared" ca="1" si="175"/>
        <v>0</v>
      </c>
      <c r="AH163" s="224"/>
      <c r="AI163" s="224"/>
      <c r="AJ163" s="224">
        <f t="shared" ref="AJ163" ca="1" si="176">IFERROR(AJ154/AJ145-1,0)</f>
        <v>-4.5899769401724022E-2</v>
      </c>
      <c r="AK163" s="212"/>
      <c r="AL163" s="212"/>
      <c r="AM163" s="504">
        <f ca="1">IFERROR(AM154/AM145-1,0)</f>
        <v>0</v>
      </c>
      <c r="AN163" s="504">
        <f t="shared" ref="AN163:BM163" ca="1" si="177">IFERROR(AN154/AN145-1,0)</f>
        <v>8.2986560620599281E-3</v>
      </c>
      <c r="AO163" s="504">
        <f t="shared" ca="1" si="177"/>
        <v>-7.1368896486363687E-2</v>
      </c>
      <c r="AP163" s="504">
        <f t="shared" ca="1" si="177"/>
        <v>-7.1368896486363687E-2</v>
      </c>
      <c r="AQ163" s="504">
        <f t="shared" ca="1" si="177"/>
        <v>-7.1368896486363687E-2</v>
      </c>
      <c r="AR163" s="504">
        <f t="shared" ca="1" si="177"/>
        <v>-7.1368896486363687E-2</v>
      </c>
      <c r="AS163" s="504">
        <f t="shared" ca="1" si="177"/>
        <v>-7.1368896486363687E-2</v>
      </c>
      <c r="AT163" s="504">
        <f t="shared" ca="1" si="177"/>
        <v>-7.1368896486363687E-2</v>
      </c>
      <c r="AU163" s="504">
        <f t="shared" ca="1" si="177"/>
        <v>-7.1368896486363687E-2</v>
      </c>
      <c r="AV163" s="504">
        <f t="shared" ca="1" si="177"/>
        <v>-7.1368896486363687E-2</v>
      </c>
      <c r="AW163" s="504">
        <f t="shared" ca="1" si="177"/>
        <v>-7.1368896486363687E-2</v>
      </c>
      <c r="AX163" s="504">
        <f t="shared" ca="1" si="177"/>
        <v>-7.1368896486363687E-2</v>
      </c>
      <c r="AY163" s="504">
        <f t="shared" ca="1" si="177"/>
        <v>-7.1368896486363687E-2</v>
      </c>
      <c r="AZ163" s="504">
        <f t="shared" ca="1" si="177"/>
        <v>-7.1368896486363687E-2</v>
      </c>
      <c r="BA163" s="504">
        <f t="shared" ca="1" si="177"/>
        <v>-7.1368896486363687E-2</v>
      </c>
      <c r="BB163" s="504">
        <f t="shared" ca="1" si="177"/>
        <v>-7.1368896486363687E-2</v>
      </c>
      <c r="BC163" s="504">
        <f t="shared" ca="1" si="177"/>
        <v>-7.1368896486363687E-2</v>
      </c>
      <c r="BD163" s="504">
        <f t="shared" ca="1" si="177"/>
        <v>-7.1368896486363687E-2</v>
      </c>
      <c r="BE163" s="504">
        <f t="shared" ca="1" si="177"/>
        <v>-7.1368896486363687E-2</v>
      </c>
      <c r="BF163" s="504">
        <f t="shared" ca="1" si="177"/>
        <v>-7.1368896486363687E-2</v>
      </c>
      <c r="BG163" s="504">
        <f t="shared" ca="1" si="177"/>
        <v>-7.1368896486363687E-2</v>
      </c>
      <c r="BH163" s="504">
        <f t="shared" ca="1" si="177"/>
        <v>0</v>
      </c>
      <c r="BI163" s="504">
        <f t="shared" ca="1" si="177"/>
        <v>0</v>
      </c>
      <c r="BJ163" s="504">
        <f t="shared" ca="1" si="177"/>
        <v>0</v>
      </c>
      <c r="BK163" s="504">
        <f t="shared" ca="1" si="177"/>
        <v>0</v>
      </c>
      <c r="BL163" s="504">
        <f t="shared" ca="1" si="177"/>
        <v>0</v>
      </c>
      <c r="BM163" s="504">
        <f t="shared" ca="1" si="177"/>
        <v>0</v>
      </c>
      <c r="BN163" s="504"/>
      <c r="BO163" s="504"/>
      <c r="BP163" s="504">
        <f t="shared" ref="BP163" ca="1" si="178">IFERROR(BP154/BP145-1,0)</f>
        <v>-5.5273967839124083E-2</v>
      </c>
      <c r="BS163" s="84" t="s">
        <v>242</v>
      </c>
      <c r="BT163" s="51" t="s">
        <v>17</v>
      </c>
    </row>
    <row r="164" spans="1:72" x14ac:dyDescent="0.25">
      <c r="B164" s="243" t="str">
        <f t="shared" si="152"/>
        <v>Low-Income</v>
      </c>
      <c r="C164" s="243" t="str">
        <f t="shared" si="152"/>
        <v>Bills</v>
      </c>
      <c r="D164" s="244" t="str">
        <f t="shared" si="152"/>
        <v>Change in Bills</v>
      </c>
      <c r="E164" s="84" t="s">
        <v>17</v>
      </c>
      <c r="F164" s="84"/>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S164" s="84"/>
      <c r="BT164" s="51" t="s">
        <v>17</v>
      </c>
    </row>
    <row r="165" spans="1:72" x14ac:dyDescent="0.25">
      <c r="B165" t="s">
        <v>17</v>
      </c>
      <c r="AM165" s="725"/>
      <c r="AN165" s="725"/>
      <c r="BT165" s="51" t="s">
        <v>17</v>
      </c>
    </row>
    <row r="166" spans="1:72" x14ac:dyDescent="0.25">
      <c r="B166" t="s">
        <v>17</v>
      </c>
      <c r="AM166" s="725"/>
      <c r="AN166" s="725"/>
      <c r="BT166" s="51" t="s">
        <v>17</v>
      </c>
    </row>
    <row r="167" spans="1:72" s="51" customFormat="1" ht="23.25" x14ac:dyDescent="0.25">
      <c r="A167" s="52"/>
      <c r="B167" s="195" t="str">
        <f>Lookups!$D$28</f>
        <v>Small C&amp;I</v>
      </c>
      <c r="C167" s="196"/>
      <c r="D167" s="196"/>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51" t="s">
        <v>17</v>
      </c>
    </row>
    <row r="168" spans="1:72" s="5" customFormat="1" ht="15.75" x14ac:dyDescent="0.25">
      <c r="A168" s="52"/>
      <c r="B168" s="241" t="str">
        <f>B167</f>
        <v>Small C&amp;I</v>
      </c>
      <c r="C168" s="63" t="s">
        <v>3</v>
      </c>
      <c r="D168" s="61"/>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M168" s="63"/>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S168" s="62"/>
      <c r="BT168" s="51" t="s">
        <v>17</v>
      </c>
    </row>
    <row r="169" spans="1:72" s="5" customFormat="1" x14ac:dyDescent="0.25">
      <c r="A169" s="52"/>
      <c r="B169" s="242" t="str">
        <f t="shared" ref="B169:C180" si="179">B168</f>
        <v>Small C&amp;I</v>
      </c>
      <c r="C169" s="242" t="str">
        <f>C168</f>
        <v>Customers</v>
      </c>
      <c r="D169" s="244" t="s">
        <v>3</v>
      </c>
      <c r="E169" s="77" t="s">
        <v>3</v>
      </c>
      <c r="F169" s="76" t="s">
        <v>48</v>
      </c>
      <c r="G169" s="64">
        <f>IF(G$8=0,0,INDEX('Multi-Year Inputs'!$E$12:$AE$15,MATCH($B169,'Multi-Year Inputs'!$D$12:$D$15,0),MATCH(G$7,'Multi-Year Inputs'!$E$4:$AE$4,0)))</f>
        <v>0</v>
      </c>
      <c r="H169" s="64">
        <f>IF(H$8=0,0,INDEX('Multi-Year Inputs'!$E$12:$AE$15,MATCH($B169,'Multi-Year Inputs'!$D$12:$D$15,0),MATCH(H$7,'Multi-Year Inputs'!$E$4:$AE$4,0)))</f>
        <v>8983.683460097729</v>
      </c>
      <c r="I169" s="64">
        <f>IF(I$8=0,0,INDEX('Multi-Year Inputs'!$E$12:$AE$15,MATCH($B169,'Multi-Year Inputs'!$D$12:$D$15,0),MATCH(I$7,'Multi-Year Inputs'!$E$4:$AE$4,0)))</f>
        <v>8983.683460097729</v>
      </c>
      <c r="J169" s="64">
        <f>IF(J$8=0,0,INDEX('Multi-Year Inputs'!$E$12:$AE$15,MATCH($B169,'Multi-Year Inputs'!$D$12:$D$15,0),MATCH(J$7,'Multi-Year Inputs'!$E$4:$AE$4,0)))</f>
        <v>8983.683460097729</v>
      </c>
      <c r="K169" s="64">
        <f>IF(K$8=0,0,INDEX('Multi-Year Inputs'!$E$12:$AE$15,MATCH($B169,'Multi-Year Inputs'!$D$12:$D$15,0),MATCH(K$7,'Multi-Year Inputs'!$E$4:$AE$4,0)))</f>
        <v>8983.683460097729</v>
      </c>
      <c r="L169" s="64">
        <f>IF(L$8=0,0,INDEX('Multi-Year Inputs'!$E$12:$AE$15,MATCH($B169,'Multi-Year Inputs'!$D$12:$D$15,0),MATCH(L$7,'Multi-Year Inputs'!$E$4:$AE$4,0)))</f>
        <v>8983.683460097729</v>
      </c>
      <c r="M169" s="64">
        <f>IF(M$8=0,0,INDEX('Multi-Year Inputs'!$E$12:$AE$15,MATCH($B169,'Multi-Year Inputs'!$D$12:$D$15,0),MATCH(M$7,'Multi-Year Inputs'!$E$4:$AE$4,0)))</f>
        <v>8983.683460097729</v>
      </c>
      <c r="N169" s="64">
        <f>IF(N$8=0,0,INDEX('Multi-Year Inputs'!$E$12:$AE$15,MATCH($B169,'Multi-Year Inputs'!$D$12:$D$15,0),MATCH(N$7,'Multi-Year Inputs'!$E$4:$AE$4,0)))</f>
        <v>8983.683460097729</v>
      </c>
      <c r="O169" s="64">
        <f>IF(O$8=0,0,INDEX('Multi-Year Inputs'!$E$12:$AE$15,MATCH($B169,'Multi-Year Inputs'!$D$12:$D$15,0),MATCH(O$7,'Multi-Year Inputs'!$E$4:$AE$4,0)))</f>
        <v>8983.683460097729</v>
      </c>
      <c r="P169" s="64">
        <f>IF(P$8=0,0,INDEX('Multi-Year Inputs'!$E$12:$AE$15,MATCH($B169,'Multi-Year Inputs'!$D$12:$D$15,0),MATCH(P$7,'Multi-Year Inputs'!$E$4:$AE$4,0)))</f>
        <v>8983.683460097729</v>
      </c>
      <c r="Q169" s="64">
        <f>IF(Q$8=0,0,INDEX('Multi-Year Inputs'!$E$12:$AE$15,MATCH($B169,'Multi-Year Inputs'!$D$12:$D$15,0),MATCH(Q$7,'Multi-Year Inputs'!$E$4:$AE$4,0)))</f>
        <v>8983.683460097729</v>
      </c>
      <c r="R169" s="64">
        <f>IF(R$8=0,0,INDEX('Multi-Year Inputs'!$E$12:$AE$15,MATCH($B169,'Multi-Year Inputs'!$D$12:$D$15,0),MATCH(R$7,'Multi-Year Inputs'!$E$4:$AE$4,0)))</f>
        <v>8983.683460097729</v>
      </c>
      <c r="S169" s="64">
        <f>IF(S$8=0,0,INDEX('Multi-Year Inputs'!$E$12:$AE$15,MATCH($B169,'Multi-Year Inputs'!$D$12:$D$15,0),MATCH(S$7,'Multi-Year Inputs'!$E$4:$AE$4,0)))</f>
        <v>8983.683460097729</v>
      </c>
      <c r="T169" s="64">
        <f>IF(T$8=0,0,INDEX('Multi-Year Inputs'!$E$12:$AE$15,MATCH($B169,'Multi-Year Inputs'!$D$12:$D$15,0),MATCH(T$7,'Multi-Year Inputs'!$E$4:$AE$4,0)))</f>
        <v>8983.683460097729</v>
      </c>
      <c r="U169" s="64">
        <f>IF(U$8=0,0,INDEX('Multi-Year Inputs'!$E$12:$AE$15,MATCH($B169,'Multi-Year Inputs'!$D$12:$D$15,0),MATCH(U$7,'Multi-Year Inputs'!$E$4:$AE$4,0)))</f>
        <v>8983.683460097729</v>
      </c>
      <c r="V169" s="64">
        <f>IF(V$8=0,0,INDEX('Multi-Year Inputs'!$E$12:$AE$15,MATCH($B169,'Multi-Year Inputs'!$D$12:$D$15,0),MATCH(V$7,'Multi-Year Inputs'!$E$4:$AE$4,0)))</f>
        <v>8983.683460097729</v>
      </c>
      <c r="W169" s="64">
        <f>IF(W$8=0,0,INDEX('Multi-Year Inputs'!$E$12:$AE$15,MATCH($B169,'Multi-Year Inputs'!$D$12:$D$15,0),MATCH(W$7,'Multi-Year Inputs'!$E$4:$AE$4,0)))</f>
        <v>8983.683460097729</v>
      </c>
      <c r="X169" s="64">
        <f>IF(X$8=0,0,INDEX('Multi-Year Inputs'!$E$12:$AE$15,MATCH($B169,'Multi-Year Inputs'!$D$12:$D$15,0),MATCH(X$7,'Multi-Year Inputs'!$E$4:$AE$4,0)))</f>
        <v>8983.683460097729</v>
      </c>
      <c r="Y169" s="64">
        <f>IF(Y$8=0,0,INDEX('Multi-Year Inputs'!$E$12:$AE$15,MATCH($B169,'Multi-Year Inputs'!$D$12:$D$15,0),MATCH(Y$7,'Multi-Year Inputs'!$E$4:$AE$4,0)))</f>
        <v>8983.683460097729</v>
      </c>
      <c r="Z169" s="64">
        <f>IF(Z$8=0,0,INDEX('Multi-Year Inputs'!$E$12:$AE$15,MATCH($B169,'Multi-Year Inputs'!$D$12:$D$15,0),MATCH(Z$7,'Multi-Year Inputs'!$E$4:$AE$4,0)))</f>
        <v>8983.683460097729</v>
      </c>
      <c r="AA169" s="64">
        <f>IF(AA$8=0,0,INDEX('Multi-Year Inputs'!$E$12:$AE$15,MATCH($B169,'Multi-Year Inputs'!$D$12:$D$15,0),MATCH(AA$7,'Multi-Year Inputs'!$E$4:$AE$4,0)))</f>
        <v>8983.683460097729</v>
      </c>
      <c r="AB169" s="64">
        <f>IF(AB$8=0,0,INDEX('Multi-Year Inputs'!$E$12:$AE$15,MATCH($B169,'Multi-Year Inputs'!$D$12:$D$15,0),MATCH(AB$7,'Multi-Year Inputs'!$E$4:$AE$4,0)))</f>
        <v>8983.683460097729</v>
      </c>
      <c r="AC169" s="64">
        <f>IF(AC$8=0,0,INDEX('Multi-Year Inputs'!$E$12:$AE$15,MATCH($B169,'Multi-Year Inputs'!$D$12:$D$15,0),MATCH(AC$7,'Multi-Year Inputs'!$E$4:$AE$4,0)))</f>
        <v>8983.683460097729</v>
      </c>
      <c r="AD169" s="64">
        <f>IF(AD$8=0,0,INDEX('Multi-Year Inputs'!$E$12:$AE$15,MATCH($B169,'Multi-Year Inputs'!$D$12:$D$15,0),MATCH(AD$7,'Multi-Year Inputs'!$E$4:$AE$4,0)))</f>
        <v>8983.683460097729</v>
      </c>
      <c r="AE169" s="64">
        <f>IF(AE$8=0,0,INDEX('Multi-Year Inputs'!$E$12:$AE$15,MATCH($B169,'Multi-Year Inputs'!$D$12:$D$15,0),MATCH(AE$7,'Multi-Year Inputs'!$E$4:$AE$4,0)))</f>
        <v>8983.683460097729</v>
      </c>
      <c r="AF169" s="64">
        <f>IF(AF$8=0,0,INDEX('Multi-Year Inputs'!$E$12:$AE$15,MATCH($B169,'Multi-Year Inputs'!$D$12:$D$15,0),MATCH(AF$7,'Multi-Year Inputs'!$E$4:$AE$4,0)))</f>
        <v>8983.683460097729</v>
      </c>
      <c r="AG169" s="64">
        <f>IF(AG$8=0,0,INDEX('Multi-Year Inputs'!$E$12:$AE$15,MATCH($B169,'Multi-Year Inputs'!$D$12:$D$15,0),MATCH(AG$7,'Multi-Year Inputs'!$E$4:$AE$4,0)))</f>
        <v>8983.683460097729</v>
      </c>
      <c r="AH169" s="64"/>
      <c r="AI169" s="64"/>
      <c r="AJ169" s="64"/>
      <c r="AM169" s="71">
        <f>IF(AM$8=0,0,INDEX('Multi-Year Inputs'!$E$12:$AE$15,MATCH($B169,'Multi-Year Inputs'!$D$12:$D$15,0),MATCH(AM$7,'Multi-Year Inputs'!$E$4:$AE$4,0)))</f>
        <v>0</v>
      </c>
      <c r="AN169" s="71">
        <f>IF(AN$8=0,0,INDEX('Multi-Year Inputs'!$E$12:$AE$15,MATCH($B169,'Multi-Year Inputs'!$D$12:$D$15,0),MATCH(AN$7,'Multi-Year Inputs'!$E$4:$AE$4,0)))</f>
        <v>8983.683460097729</v>
      </c>
      <c r="AO169" s="71">
        <f>IF(AO$8=0,0,INDEX('Multi-Year Inputs'!$E$12:$AE$15,MATCH($B169,'Multi-Year Inputs'!$D$12:$D$15,0),MATCH(AO$7,'Multi-Year Inputs'!$E$4:$AE$4,0)))</f>
        <v>8983.683460097729</v>
      </c>
      <c r="AP169" s="71">
        <f>IF(AP$8=0,0,INDEX('Multi-Year Inputs'!$E$12:$AE$15,MATCH($B169,'Multi-Year Inputs'!$D$12:$D$15,0),MATCH(AP$7,'Multi-Year Inputs'!$E$4:$AE$4,0)))</f>
        <v>8983.683460097729</v>
      </c>
      <c r="AQ169" s="71">
        <f>IF(AQ$8=0,0,INDEX('Multi-Year Inputs'!$E$12:$AE$15,MATCH($B169,'Multi-Year Inputs'!$D$12:$D$15,0),MATCH(AQ$7,'Multi-Year Inputs'!$E$4:$AE$4,0)))</f>
        <v>8983.683460097729</v>
      </c>
      <c r="AR169" s="71">
        <f>IF(AR$8=0,0,INDEX('Multi-Year Inputs'!$E$12:$AE$15,MATCH($B169,'Multi-Year Inputs'!$D$12:$D$15,0),MATCH(AR$7,'Multi-Year Inputs'!$E$4:$AE$4,0)))</f>
        <v>8983.683460097729</v>
      </c>
      <c r="AS169" s="71">
        <f>IF(AS$8=0,0,INDEX('Multi-Year Inputs'!$E$12:$AE$15,MATCH($B169,'Multi-Year Inputs'!$D$12:$D$15,0),MATCH(AS$7,'Multi-Year Inputs'!$E$4:$AE$4,0)))</f>
        <v>8983.683460097729</v>
      </c>
      <c r="AT169" s="71">
        <f>IF(AT$8=0,0,INDEX('Multi-Year Inputs'!$E$12:$AE$15,MATCH($B169,'Multi-Year Inputs'!$D$12:$D$15,0),MATCH(AT$7,'Multi-Year Inputs'!$E$4:$AE$4,0)))</f>
        <v>8983.683460097729</v>
      </c>
      <c r="AU169" s="71">
        <f>IF(AU$8=0,0,INDEX('Multi-Year Inputs'!$E$12:$AE$15,MATCH($B169,'Multi-Year Inputs'!$D$12:$D$15,0),MATCH(AU$7,'Multi-Year Inputs'!$E$4:$AE$4,0)))</f>
        <v>8983.683460097729</v>
      </c>
      <c r="AV169" s="71">
        <f>IF(AV$8=0,0,INDEX('Multi-Year Inputs'!$E$12:$AE$15,MATCH($B169,'Multi-Year Inputs'!$D$12:$D$15,0),MATCH(AV$7,'Multi-Year Inputs'!$E$4:$AE$4,0)))</f>
        <v>8983.683460097729</v>
      </c>
      <c r="AW169" s="71">
        <f>IF(AW$8=0,0,INDEX('Multi-Year Inputs'!$E$12:$AE$15,MATCH($B169,'Multi-Year Inputs'!$D$12:$D$15,0),MATCH(AW$7,'Multi-Year Inputs'!$E$4:$AE$4,0)))</f>
        <v>8983.683460097729</v>
      </c>
      <c r="AX169" s="71">
        <f>IF(AX$8=0,0,INDEX('Multi-Year Inputs'!$E$12:$AE$15,MATCH($B169,'Multi-Year Inputs'!$D$12:$D$15,0),MATCH(AX$7,'Multi-Year Inputs'!$E$4:$AE$4,0)))</f>
        <v>8983.683460097729</v>
      </c>
      <c r="AY169" s="71">
        <f>IF(AY$8=0,0,INDEX('Multi-Year Inputs'!$E$12:$AE$15,MATCH($B169,'Multi-Year Inputs'!$D$12:$D$15,0),MATCH(AY$7,'Multi-Year Inputs'!$E$4:$AE$4,0)))</f>
        <v>8983.683460097729</v>
      </c>
      <c r="AZ169" s="71">
        <f>IF(AZ$8=0,0,INDEX('Multi-Year Inputs'!$E$12:$AE$15,MATCH($B169,'Multi-Year Inputs'!$D$12:$D$15,0),MATCH(AZ$7,'Multi-Year Inputs'!$E$4:$AE$4,0)))</f>
        <v>8983.683460097729</v>
      </c>
      <c r="BA169" s="71">
        <f>IF(BA$8=0,0,INDEX('Multi-Year Inputs'!$E$12:$AE$15,MATCH($B169,'Multi-Year Inputs'!$D$12:$D$15,0),MATCH(BA$7,'Multi-Year Inputs'!$E$4:$AE$4,0)))</f>
        <v>8983.683460097729</v>
      </c>
      <c r="BB169" s="71">
        <f>IF(BB$8=0,0,INDEX('Multi-Year Inputs'!$E$12:$AE$15,MATCH($B169,'Multi-Year Inputs'!$D$12:$D$15,0),MATCH(BB$7,'Multi-Year Inputs'!$E$4:$AE$4,0)))</f>
        <v>8983.683460097729</v>
      </c>
      <c r="BC169" s="71">
        <f>IF(BC$8=0,0,INDEX('Multi-Year Inputs'!$E$12:$AE$15,MATCH($B169,'Multi-Year Inputs'!$D$12:$D$15,0),MATCH(BC$7,'Multi-Year Inputs'!$E$4:$AE$4,0)))</f>
        <v>8983.683460097729</v>
      </c>
      <c r="BD169" s="71">
        <f>IF(BD$8=0,0,INDEX('Multi-Year Inputs'!$E$12:$AE$15,MATCH($B169,'Multi-Year Inputs'!$D$12:$D$15,0),MATCH(BD$7,'Multi-Year Inputs'!$E$4:$AE$4,0)))</f>
        <v>8983.683460097729</v>
      </c>
      <c r="BE169" s="71">
        <f>IF(BE$8=0,0,INDEX('Multi-Year Inputs'!$E$12:$AE$15,MATCH($B169,'Multi-Year Inputs'!$D$12:$D$15,0),MATCH(BE$7,'Multi-Year Inputs'!$E$4:$AE$4,0)))</f>
        <v>8983.683460097729</v>
      </c>
      <c r="BF169" s="71">
        <f>IF(BF$8=0,0,INDEX('Multi-Year Inputs'!$E$12:$AE$15,MATCH($B169,'Multi-Year Inputs'!$D$12:$D$15,0),MATCH(BF$7,'Multi-Year Inputs'!$E$4:$AE$4,0)))</f>
        <v>8983.683460097729</v>
      </c>
      <c r="BG169" s="71">
        <f>IF(BG$8=0,0,INDEX('Multi-Year Inputs'!$E$12:$AE$15,MATCH($B169,'Multi-Year Inputs'!$D$12:$D$15,0),MATCH(BG$7,'Multi-Year Inputs'!$E$4:$AE$4,0)))</f>
        <v>8983.683460097729</v>
      </c>
      <c r="BH169" s="71">
        <f>IF(BH$8=0,0,INDEX('Multi-Year Inputs'!$E$12:$AE$15,MATCH($B169,'Multi-Year Inputs'!$D$12:$D$15,0),MATCH(BH$7,'Multi-Year Inputs'!$E$4:$AE$4,0)))</f>
        <v>8983.683460097729</v>
      </c>
      <c r="BI169" s="71">
        <f>IF(BI$8=0,0,INDEX('Multi-Year Inputs'!$E$12:$AE$15,MATCH($B169,'Multi-Year Inputs'!$D$12:$D$15,0),MATCH(BI$7,'Multi-Year Inputs'!$E$4:$AE$4,0)))</f>
        <v>8983.683460097729</v>
      </c>
      <c r="BJ169" s="71">
        <f>IF(BJ$8=0,0,INDEX('Multi-Year Inputs'!$E$12:$AE$15,MATCH($B169,'Multi-Year Inputs'!$D$12:$D$15,0),MATCH(BJ$7,'Multi-Year Inputs'!$E$4:$AE$4,0)))</f>
        <v>8983.683460097729</v>
      </c>
      <c r="BK169" s="71">
        <f>IF(BK$8=0,0,INDEX('Multi-Year Inputs'!$E$12:$AE$15,MATCH($B169,'Multi-Year Inputs'!$D$12:$D$15,0),MATCH(BK$7,'Multi-Year Inputs'!$E$4:$AE$4,0)))</f>
        <v>8983.683460097729</v>
      </c>
      <c r="BL169" s="71">
        <f>IF(BL$8=0,0,INDEX('Multi-Year Inputs'!$E$12:$AE$15,MATCH($B169,'Multi-Year Inputs'!$D$12:$D$15,0),MATCH(BL$7,'Multi-Year Inputs'!$E$4:$AE$4,0)))</f>
        <v>8983.683460097729</v>
      </c>
      <c r="BM169" s="71">
        <f>IF(BM$8=0,0,INDEX('Multi-Year Inputs'!$E$12:$AE$15,MATCH($B169,'Multi-Year Inputs'!$D$12:$D$15,0),MATCH(BM$7,'Multi-Year Inputs'!$E$4:$AE$4,0)))</f>
        <v>8983.683460097729</v>
      </c>
      <c r="BN169" s="72"/>
      <c r="BO169" s="72"/>
      <c r="BP169" s="72"/>
      <c r="BS169" s="76" t="s">
        <v>89</v>
      </c>
      <c r="BT169" s="51" t="s">
        <v>17</v>
      </c>
    </row>
    <row r="170" spans="1:72" s="5" customFormat="1" x14ac:dyDescent="0.25">
      <c r="A170" s="52"/>
      <c r="B170" s="242" t="str">
        <f t="shared" si="179"/>
        <v>Small C&amp;I</v>
      </c>
      <c r="C170" s="242" t="str">
        <f>C169</f>
        <v>Customers</v>
      </c>
      <c r="D170" s="244" t="s">
        <v>40</v>
      </c>
      <c r="E170" s="77" t="s">
        <v>40</v>
      </c>
      <c r="F170" s="76" t="s">
        <v>2</v>
      </c>
      <c r="G170" s="65">
        <f ca="1">IF($C$4=Lookups!$D$40,IF(SUM(INDIRECT("'Yr1'!"&amp;ADDRESS(ROW(G170),COLUMN(G170))),INDIRECT("'Yr2'!"&amp;ADDRESS(ROW(G170),COLUMN(G170))),INDIRECT("'Yr3'!"&amp;ADDRESS(ROW(G170),COLUMN(G170))))&gt;0,"3 Yr. total",0),
IF(G$7&lt;$C$4,0,IF(G$8&lt;=SUMIFS('EE Inputs'!$V$9:$V$32,'EE Inputs'!$C$9:$C$32,$G$6,'EE Inputs'!$D$9:$D$32,$C$4,'EE Inputs'!$E$9:$E$32,$B170),SUMIFS('EE Inputs'!$V$9:$V$32,'EE Inputs'!$C$9:$C$32,$G$6,'EE Inputs'!$D$9:$D$32,$C$4,'EE Inputs'!$E$9:$E$32,$B170),0)))</f>
        <v>0</v>
      </c>
      <c r="H170" s="65">
        <f ca="1">IF($C$4=Lookups!$D$40,IF(SUM(INDIRECT("'Yr1'!"&amp;ADDRESS(ROW(H170),COLUMN(H170))),INDIRECT("'Yr2'!"&amp;ADDRESS(ROW(H170),COLUMN(H170))),INDIRECT("'Yr3'!"&amp;ADDRESS(ROW(H170),COLUMN(H170))))&gt;0,"3 Yr. total",0),
IF(H$7&lt;$C$4,0,IF(H$8&lt;=SUMIFS('EE Inputs'!$V$9:$V$32,'EE Inputs'!$C$9:$C$32,$G$6,'EE Inputs'!$D$9:$D$32,$C$4,'EE Inputs'!$E$9:$E$32,$B170),SUMIFS('EE Inputs'!$V$9:$V$32,'EE Inputs'!$C$9:$C$32,$G$6,'EE Inputs'!$D$9:$D$32,$C$4,'EE Inputs'!$E$9:$E$32,$B170),0)))</f>
        <v>16</v>
      </c>
      <c r="I170" s="65">
        <f ca="1">IF($C$4=Lookups!$D$40,IF(SUM(INDIRECT("'Yr1'!"&amp;ADDRESS(ROW(I170),COLUMN(I170))),INDIRECT("'Yr2'!"&amp;ADDRESS(ROW(I170),COLUMN(I170))),INDIRECT("'Yr3'!"&amp;ADDRESS(ROW(I170),COLUMN(I170))))&gt;0,"3 Yr. total",0),
IF(I$7&lt;$C$4,0,IF(I$8&lt;=SUMIFS('EE Inputs'!$V$9:$V$32,'EE Inputs'!$C$9:$C$32,$G$6,'EE Inputs'!$D$9:$D$32,$C$4,'EE Inputs'!$E$9:$E$32,$B170),SUMIFS('EE Inputs'!$V$9:$V$32,'EE Inputs'!$C$9:$C$32,$G$6,'EE Inputs'!$D$9:$D$32,$C$4,'EE Inputs'!$E$9:$E$32,$B170),0)))</f>
        <v>16</v>
      </c>
      <c r="J170" s="65">
        <f ca="1">IF($C$4=Lookups!$D$40,IF(SUM(INDIRECT("'Yr1'!"&amp;ADDRESS(ROW(J170),COLUMN(J170))),INDIRECT("'Yr2'!"&amp;ADDRESS(ROW(J170),COLUMN(J170))),INDIRECT("'Yr3'!"&amp;ADDRESS(ROW(J170),COLUMN(J170))))&gt;0,"3 Yr. total",0),
IF(J$7&lt;$C$4,0,IF(J$8&lt;=SUMIFS('EE Inputs'!$V$9:$V$32,'EE Inputs'!$C$9:$C$32,$G$6,'EE Inputs'!$D$9:$D$32,$C$4,'EE Inputs'!$E$9:$E$32,$B170),SUMIFS('EE Inputs'!$V$9:$V$32,'EE Inputs'!$C$9:$C$32,$G$6,'EE Inputs'!$D$9:$D$32,$C$4,'EE Inputs'!$E$9:$E$32,$B170),0)))</f>
        <v>16</v>
      </c>
      <c r="K170" s="65">
        <f ca="1">IF($C$4=Lookups!$D$40,IF(SUM(INDIRECT("'Yr1'!"&amp;ADDRESS(ROW(K170),COLUMN(K170))),INDIRECT("'Yr2'!"&amp;ADDRESS(ROW(K170),COLUMN(K170))),INDIRECT("'Yr3'!"&amp;ADDRESS(ROW(K170),COLUMN(K170))))&gt;0,"3 Yr. total",0),
IF(K$7&lt;$C$4,0,IF(K$8&lt;=SUMIFS('EE Inputs'!$V$9:$V$32,'EE Inputs'!$C$9:$C$32,$G$6,'EE Inputs'!$D$9:$D$32,$C$4,'EE Inputs'!$E$9:$E$32,$B170),SUMIFS('EE Inputs'!$V$9:$V$32,'EE Inputs'!$C$9:$C$32,$G$6,'EE Inputs'!$D$9:$D$32,$C$4,'EE Inputs'!$E$9:$E$32,$B170),0)))</f>
        <v>16</v>
      </c>
      <c r="L170" s="65">
        <f ca="1">IF($C$4=Lookups!$D$40,IF(SUM(INDIRECT("'Yr1'!"&amp;ADDRESS(ROW(L170),COLUMN(L170))),INDIRECT("'Yr2'!"&amp;ADDRESS(ROW(L170),COLUMN(L170))),INDIRECT("'Yr3'!"&amp;ADDRESS(ROW(L170),COLUMN(L170))))&gt;0,"3 Yr. total",0),
IF(L$7&lt;$C$4,0,IF(L$8&lt;=SUMIFS('EE Inputs'!$V$9:$V$32,'EE Inputs'!$C$9:$C$32,$G$6,'EE Inputs'!$D$9:$D$32,$C$4,'EE Inputs'!$E$9:$E$32,$B170),SUMIFS('EE Inputs'!$V$9:$V$32,'EE Inputs'!$C$9:$C$32,$G$6,'EE Inputs'!$D$9:$D$32,$C$4,'EE Inputs'!$E$9:$E$32,$B170),0)))</f>
        <v>16</v>
      </c>
      <c r="M170" s="65">
        <f ca="1">IF($C$4=Lookups!$D$40,IF(SUM(INDIRECT("'Yr1'!"&amp;ADDRESS(ROW(M170),COLUMN(M170))),INDIRECT("'Yr2'!"&amp;ADDRESS(ROW(M170),COLUMN(M170))),INDIRECT("'Yr3'!"&amp;ADDRESS(ROW(M170),COLUMN(M170))))&gt;0,"3 Yr. total",0),
IF(M$7&lt;$C$4,0,IF(M$8&lt;=SUMIFS('EE Inputs'!$V$9:$V$32,'EE Inputs'!$C$9:$C$32,$G$6,'EE Inputs'!$D$9:$D$32,$C$4,'EE Inputs'!$E$9:$E$32,$B170),SUMIFS('EE Inputs'!$V$9:$V$32,'EE Inputs'!$C$9:$C$32,$G$6,'EE Inputs'!$D$9:$D$32,$C$4,'EE Inputs'!$E$9:$E$32,$B170),0)))</f>
        <v>16</v>
      </c>
      <c r="N170" s="65">
        <f ca="1">IF($C$4=Lookups!$D$40,IF(SUM(INDIRECT("'Yr1'!"&amp;ADDRESS(ROW(N170),COLUMN(N170))),INDIRECT("'Yr2'!"&amp;ADDRESS(ROW(N170),COLUMN(N170))),INDIRECT("'Yr3'!"&amp;ADDRESS(ROW(N170),COLUMN(N170))))&gt;0,"3 Yr. total",0),
IF(N$7&lt;$C$4,0,IF(N$8&lt;=SUMIFS('EE Inputs'!$V$9:$V$32,'EE Inputs'!$C$9:$C$32,$G$6,'EE Inputs'!$D$9:$D$32,$C$4,'EE Inputs'!$E$9:$E$32,$B170),SUMIFS('EE Inputs'!$V$9:$V$32,'EE Inputs'!$C$9:$C$32,$G$6,'EE Inputs'!$D$9:$D$32,$C$4,'EE Inputs'!$E$9:$E$32,$B170),0)))</f>
        <v>16</v>
      </c>
      <c r="O170" s="65">
        <f ca="1">IF($C$4=Lookups!$D$40,IF(SUM(INDIRECT("'Yr1'!"&amp;ADDRESS(ROW(O170),COLUMN(O170))),INDIRECT("'Yr2'!"&amp;ADDRESS(ROW(O170),COLUMN(O170))),INDIRECT("'Yr3'!"&amp;ADDRESS(ROW(O170),COLUMN(O170))))&gt;0,"3 Yr. total",0),
IF(O$7&lt;$C$4,0,IF(O$8&lt;=SUMIFS('EE Inputs'!$V$9:$V$32,'EE Inputs'!$C$9:$C$32,$G$6,'EE Inputs'!$D$9:$D$32,$C$4,'EE Inputs'!$E$9:$E$32,$B170),SUMIFS('EE Inputs'!$V$9:$V$32,'EE Inputs'!$C$9:$C$32,$G$6,'EE Inputs'!$D$9:$D$32,$C$4,'EE Inputs'!$E$9:$E$32,$B170),0)))</f>
        <v>16</v>
      </c>
      <c r="P170" s="65">
        <f ca="1">IF($C$4=Lookups!$D$40,IF(SUM(INDIRECT("'Yr1'!"&amp;ADDRESS(ROW(P170),COLUMN(P170))),INDIRECT("'Yr2'!"&amp;ADDRESS(ROW(P170),COLUMN(P170))),INDIRECT("'Yr3'!"&amp;ADDRESS(ROW(P170),COLUMN(P170))))&gt;0,"3 Yr. total",0),
IF(P$7&lt;$C$4,0,IF(P$8&lt;=SUMIFS('EE Inputs'!$V$9:$V$32,'EE Inputs'!$C$9:$C$32,$G$6,'EE Inputs'!$D$9:$D$32,$C$4,'EE Inputs'!$E$9:$E$32,$B170),SUMIFS('EE Inputs'!$V$9:$V$32,'EE Inputs'!$C$9:$C$32,$G$6,'EE Inputs'!$D$9:$D$32,$C$4,'EE Inputs'!$E$9:$E$32,$B170),0)))</f>
        <v>16</v>
      </c>
      <c r="Q170" s="65">
        <f ca="1">IF($C$4=Lookups!$D$40,IF(SUM(INDIRECT("'Yr1'!"&amp;ADDRESS(ROW(Q170),COLUMN(Q170))),INDIRECT("'Yr2'!"&amp;ADDRESS(ROW(Q170),COLUMN(Q170))),INDIRECT("'Yr3'!"&amp;ADDRESS(ROW(Q170),COLUMN(Q170))))&gt;0,"3 Yr. total",0),
IF(Q$7&lt;$C$4,0,IF(Q$8&lt;=SUMIFS('EE Inputs'!$V$9:$V$32,'EE Inputs'!$C$9:$C$32,$G$6,'EE Inputs'!$D$9:$D$32,$C$4,'EE Inputs'!$E$9:$E$32,$B170),SUMIFS('EE Inputs'!$V$9:$V$32,'EE Inputs'!$C$9:$C$32,$G$6,'EE Inputs'!$D$9:$D$32,$C$4,'EE Inputs'!$E$9:$E$32,$B170),0)))</f>
        <v>16</v>
      </c>
      <c r="R170" s="65">
        <f ca="1">IF($C$4=Lookups!$D$40,IF(SUM(INDIRECT("'Yr1'!"&amp;ADDRESS(ROW(R170),COLUMN(R170))),INDIRECT("'Yr2'!"&amp;ADDRESS(ROW(R170),COLUMN(R170))),INDIRECT("'Yr3'!"&amp;ADDRESS(ROW(R170),COLUMN(R170))))&gt;0,"3 Yr. total",0),
IF(R$7&lt;$C$4,0,IF(R$8&lt;=SUMIFS('EE Inputs'!$V$9:$V$32,'EE Inputs'!$C$9:$C$32,$G$6,'EE Inputs'!$D$9:$D$32,$C$4,'EE Inputs'!$E$9:$E$32,$B170),SUMIFS('EE Inputs'!$V$9:$V$32,'EE Inputs'!$C$9:$C$32,$G$6,'EE Inputs'!$D$9:$D$32,$C$4,'EE Inputs'!$E$9:$E$32,$B170),0)))</f>
        <v>16</v>
      </c>
      <c r="S170" s="65">
        <f ca="1">IF($C$4=Lookups!$D$40,IF(SUM(INDIRECT("'Yr1'!"&amp;ADDRESS(ROW(S170),COLUMN(S170))),INDIRECT("'Yr2'!"&amp;ADDRESS(ROW(S170),COLUMN(S170))),INDIRECT("'Yr3'!"&amp;ADDRESS(ROW(S170),COLUMN(S170))))&gt;0,"3 Yr. total",0),
IF(S$7&lt;$C$4,0,IF(S$8&lt;=SUMIFS('EE Inputs'!$V$9:$V$32,'EE Inputs'!$C$9:$C$32,$G$6,'EE Inputs'!$D$9:$D$32,$C$4,'EE Inputs'!$E$9:$E$32,$B170),SUMIFS('EE Inputs'!$V$9:$V$32,'EE Inputs'!$C$9:$C$32,$G$6,'EE Inputs'!$D$9:$D$32,$C$4,'EE Inputs'!$E$9:$E$32,$B170),0)))</f>
        <v>16</v>
      </c>
      <c r="T170" s="65">
        <f ca="1">IF($C$4=Lookups!$D$40,IF(SUM(INDIRECT("'Yr1'!"&amp;ADDRESS(ROW(T170),COLUMN(T170))),INDIRECT("'Yr2'!"&amp;ADDRESS(ROW(T170),COLUMN(T170))),INDIRECT("'Yr3'!"&amp;ADDRESS(ROW(T170),COLUMN(T170))))&gt;0,"3 Yr. total",0),
IF(T$7&lt;$C$4,0,IF(T$8&lt;=SUMIFS('EE Inputs'!$V$9:$V$32,'EE Inputs'!$C$9:$C$32,$G$6,'EE Inputs'!$D$9:$D$32,$C$4,'EE Inputs'!$E$9:$E$32,$B170),SUMIFS('EE Inputs'!$V$9:$V$32,'EE Inputs'!$C$9:$C$32,$G$6,'EE Inputs'!$D$9:$D$32,$C$4,'EE Inputs'!$E$9:$E$32,$B170),0)))</f>
        <v>16</v>
      </c>
      <c r="U170" s="65">
        <f ca="1">IF($C$4=Lookups!$D$40,IF(SUM(INDIRECT("'Yr1'!"&amp;ADDRESS(ROW(U170),COLUMN(U170))),INDIRECT("'Yr2'!"&amp;ADDRESS(ROW(U170),COLUMN(U170))),INDIRECT("'Yr3'!"&amp;ADDRESS(ROW(U170),COLUMN(U170))))&gt;0,"3 Yr. total",0),
IF(U$7&lt;$C$4,0,IF(U$8&lt;=SUMIFS('EE Inputs'!$V$9:$V$32,'EE Inputs'!$C$9:$C$32,$G$6,'EE Inputs'!$D$9:$D$32,$C$4,'EE Inputs'!$E$9:$E$32,$B170),SUMIFS('EE Inputs'!$V$9:$V$32,'EE Inputs'!$C$9:$C$32,$G$6,'EE Inputs'!$D$9:$D$32,$C$4,'EE Inputs'!$E$9:$E$32,$B170),0)))</f>
        <v>16</v>
      </c>
      <c r="V170" s="65">
        <f ca="1">IF($C$4=Lookups!$D$40,IF(SUM(INDIRECT("'Yr1'!"&amp;ADDRESS(ROW(V170),COLUMN(V170))),INDIRECT("'Yr2'!"&amp;ADDRESS(ROW(V170),COLUMN(V170))),INDIRECT("'Yr3'!"&amp;ADDRESS(ROW(V170),COLUMN(V170))))&gt;0,"3 Yr. total",0),
IF(V$7&lt;$C$4,0,IF(V$8&lt;=SUMIFS('EE Inputs'!$V$9:$V$32,'EE Inputs'!$C$9:$C$32,$G$6,'EE Inputs'!$D$9:$D$32,$C$4,'EE Inputs'!$E$9:$E$32,$B170),SUMIFS('EE Inputs'!$V$9:$V$32,'EE Inputs'!$C$9:$C$32,$G$6,'EE Inputs'!$D$9:$D$32,$C$4,'EE Inputs'!$E$9:$E$32,$B170),0)))</f>
        <v>16</v>
      </c>
      <c r="W170" s="65">
        <f ca="1">IF($C$4=Lookups!$D$40,IF(SUM(INDIRECT("'Yr1'!"&amp;ADDRESS(ROW(W170),COLUMN(W170))),INDIRECT("'Yr2'!"&amp;ADDRESS(ROW(W170),COLUMN(W170))),INDIRECT("'Yr3'!"&amp;ADDRESS(ROW(W170),COLUMN(W170))))&gt;0,"3 Yr. total",0),
IF(W$7&lt;$C$4,0,IF(W$8&lt;=SUMIFS('EE Inputs'!$V$9:$V$32,'EE Inputs'!$C$9:$C$32,$G$6,'EE Inputs'!$D$9:$D$32,$C$4,'EE Inputs'!$E$9:$E$32,$B170),SUMIFS('EE Inputs'!$V$9:$V$32,'EE Inputs'!$C$9:$C$32,$G$6,'EE Inputs'!$D$9:$D$32,$C$4,'EE Inputs'!$E$9:$E$32,$B170),0)))</f>
        <v>16</v>
      </c>
      <c r="X170" s="65">
        <f ca="1">IF($C$4=Lookups!$D$40,IF(SUM(INDIRECT("'Yr1'!"&amp;ADDRESS(ROW(X170),COLUMN(X170))),INDIRECT("'Yr2'!"&amp;ADDRESS(ROW(X170),COLUMN(X170))),INDIRECT("'Yr3'!"&amp;ADDRESS(ROW(X170),COLUMN(X170))))&gt;0,"3 Yr. total",0),
IF(X$7&lt;$C$4,0,IF(X$8&lt;=SUMIFS('EE Inputs'!$V$9:$V$32,'EE Inputs'!$C$9:$C$32,$G$6,'EE Inputs'!$D$9:$D$32,$C$4,'EE Inputs'!$E$9:$E$32,$B170),SUMIFS('EE Inputs'!$V$9:$V$32,'EE Inputs'!$C$9:$C$32,$G$6,'EE Inputs'!$D$9:$D$32,$C$4,'EE Inputs'!$E$9:$E$32,$B170),0)))</f>
        <v>0</v>
      </c>
      <c r="Y170" s="65">
        <f ca="1">IF($C$4=Lookups!$D$40,IF(SUM(INDIRECT("'Yr1'!"&amp;ADDRESS(ROW(Y170),COLUMN(Y170))),INDIRECT("'Yr2'!"&amp;ADDRESS(ROW(Y170),COLUMN(Y170))),INDIRECT("'Yr3'!"&amp;ADDRESS(ROW(Y170),COLUMN(Y170))))&gt;0,"3 Yr. total",0),
IF(Y$7&lt;$C$4,0,IF(Y$8&lt;=SUMIFS('EE Inputs'!$V$9:$V$32,'EE Inputs'!$C$9:$C$32,$G$6,'EE Inputs'!$D$9:$D$32,$C$4,'EE Inputs'!$E$9:$E$32,$B170),SUMIFS('EE Inputs'!$V$9:$V$32,'EE Inputs'!$C$9:$C$32,$G$6,'EE Inputs'!$D$9:$D$32,$C$4,'EE Inputs'!$E$9:$E$32,$B170),0)))</f>
        <v>0</v>
      </c>
      <c r="Z170" s="65">
        <f ca="1">IF($C$4=Lookups!$D$40,IF(SUM(INDIRECT("'Yr1'!"&amp;ADDRESS(ROW(Z170),COLUMN(Z170))),INDIRECT("'Yr2'!"&amp;ADDRESS(ROW(Z170),COLUMN(Z170))),INDIRECT("'Yr3'!"&amp;ADDRESS(ROW(Z170),COLUMN(Z170))))&gt;0,"3 Yr. total",0),
IF(Z$7&lt;$C$4,0,IF(Z$8&lt;=SUMIFS('EE Inputs'!$V$9:$V$32,'EE Inputs'!$C$9:$C$32,$G$6,'EE Inputs'!$D$9:$D$32,$C$4,'EE Inputs'!$E$9:$E$32,$B170),SUMIFS('EE Inputs'!$V$9:$V$32,'EE Inputs'!$C$9:$C$32,$G$6,'EE Inputs'!$D$9:$D$32,$C$4,'EE Inputs'!$E$9:$E$32,$B170),0)))</f>
        <v>0</v>
      </c>
      <c r="AA170" s="65">
        <f ca="1">IF($C$4=Lookups!$D$40,IF(SUM(INDIRECT("'Yr1'!"&amp;ADDRESS(ROW(AA170),COLUMN(AA170))),INDIRECT("'Yr2'!"&amp;ADDRESS(ROW(AA170),COLUMN(AA170))),INDIRECT("'Yr3'!"&amp;ADDRESS(ROW(AA170),COLUMN(AA170))))&gt;0,"3 Yr. total",0),
IF(AA$7&lt;$C$4,0,IF(AA$8&lt;=SUMIFS('EE Inputs'!$V$9:$V$32,'EE Inputs'!$C$9:$C$32,$G$6,'EE Inputs'!$D$9:$D$32,$C$4,'EE Inputs'!$E$9:$E$32,$B170),SUMIFS('EE Inputs'!$V$9:$V$32,'EE Inputs'!$C$9:$C$32,$G$6,'EE Inputs'!$D$9:$D$32,$C$4,'EE Inputs'!$E$9:$E$32,$B170),0)))</f>
        <v>0</v>
      </c>
      <c r="AB170" s="65">
        <f ca="1">IF($C$4=Lookups!$D$40,IF(SUM(INDIRECT("'Yr1'!"&amp;ADDRESS(ROW(AB170),COLUMN(AB170))),INDIRECT("'Yr2'!"&amp;ADDRESS(ROW(AB170),COLUMN(AB170))),INDIRECT("'Yr3'!"&amp;ADDRESS(ROW(AB170),COLUMN(AB170))))&gt;0,"3 Yr. total",0),
IF(AB$7&lt;$C$4,0,IF(AB$8&lt;=SUMIFS('EE Inputs'!$V$9:$V$32,'EE Inputs'!$C$9:$C$32,$G$6,'EE Inputs'!$D$9:$D$32,$C$4,'EE Inputs'!$E$9:$E$32,$B170),SUMIFS('EE Inputs'!$V$9:$V$32,'EE Inputs'!$C$9:$C$32,$G$6,'EE Inputs'!$D$9:$D$32,$C$4,'EE Inputs'!$E$9:$E$32,$B170),0)))</f>
        <v>0</v>
      </c>
      <c r="AC170" s="65">
        <f ca="1">IF($C$4=Lookups!$D$40,IF(SUM(INDIRECT("'Yr1'!"&amp;ADDRESS(ROW(AC170),COLUMN(AC170))),INDIRECT("'Yr2'!"&amp;ADDRESS(ROW(AC170),COLUMN(AC170))),INDIRECT("'Yr3'!"&amp;ADDRESS(ROW(AC170),COLUMN(AC170))))&gt;0,"3 Yr. total",0),
IF(AC$7&lt;$C$4,0,IF(AC$8&lt;=SUMIFS('EE Inputs'!$V$9:$V$32,'EE Inputs'!$C$9:$C$32,$G$6,'EE Inputs'!$D$9:$D$32,$C$4,'EE Inputs'!$E$9:$E$32,$B170),SUMIFS('EE Inputs'!$V$9:$V$32,'EE Inputs'!$C$9:$C$32,$G$6,'EE Inputs'!$D$9:$D$32,$C$4,'EE Inputs'!$E$9:$E$32,$B170),0)))</f>
        <v>0</v>
      </c>
      <c r="AD170" s="65">
        <f ca="1">IF($C$4=Lookups!$D$40,IF(SUM(INDIRECT("'Yr1'!"&amp;ADDRESS(ROW(AD170),COLUMN(AD170))),INDIRECT("'Yr2'!"&amp;ADDRESS(ROW(AD170),COLUMN(AD170))),INDIRECT("'Yr3'!"&amp;ADDRESS(ROW(AD170),COLUMN(AD170))))&gt;0,"3 Yr. total",0),
IF(AD$7&lt;$C$4,0,IF(AD$8&lt;=SUMIFS('EE Inputs'!$V$9:$V$32,'EE Inputs'!$C$9:$C$32,$G$6,'EE Inputs'!$D$9:$D$32,$C$4,'EE Inputs'!$E$9:$E$32,$B170),SUMIFS('EE Inputs'!$V$9:$V$32,'EE Inputs'!$C$9:$C$32,$G$6,'EE Inputs'!$D$9:$D$32,$C$4,'EE Inputs'!$E$9:$E$32,$B170),0)))</f>
        <v>0</v>
      </c>
      <c r="AE170" s="65">
        <f ca="1">IF($C$4=Lookups!$D$40,IF(SUM(INDIRECT("'Yr1'!"&amp;ADDRESS(ROW(AE170),COLUMN(AE170))),INDIRECT("'Yr2'!"&amp;ADDRESS(ROW(AE170),COLUMN(AE170))),INDIRECT("'Yr3'!"&amp;ADDRESS(ROW(AE170),COLUMN(AE170))))&gt;0,"3 Yr. total",0),
IF(AE$7&lt;$C$4,0,IF(AE$8&lt;=SUMIFS('EE Inputs'!$V$9:$V$32,'EE Inputs'!$C$9:$C$32,$G$6,'EE Inputs'!$D$9:$D$32,$C$4,'EE Inputs'!$E$9:$E$32,$B170),SUMIFS('EE Inputs'!$V$9:$V$32,'EE Inputs'!$C$9:$C$32,$G$6,'EE Inputs'!$D$9:$D$32,$C$4,'EE Inputs'!$E$9:$E$32,$B170),0)))</f>
        <v>0</v>
      </c>
      <c r="AF170" s="65">
        <f ca="1">IF($C$4=Lookups!$D$40,IF(SUM(INDIRECT("'Yr1'!"&amp;ADDRESS(ROW(AF170),COLUMN(AF170))),INDIRECT("'Yr2'!"&amp;ADDRESS(ROW(AF170),COLUMN(AF170))),INDIRECT("'Yr3'!"&amp;ADDRESS(ROW(AF170),COLUMN(AF170))))&gt;0,"3 Yr. total",0),
IF(AF$7&lt;$C$4,0,IF(AF$8&lt;=SUMIFS('EE Inputs'!$V$9:$V$32,'EE Inputs'!$C$9:$C$32,$G$6,'EE Inputs'!$D$9:$D$32,$C$4,'EE Inputs'!$E$9:$E$32,$B170),SUMIFS('EE Inputs'!$V$9:$V$32,'EE Inputs'!$C$9:$C$32,$G$6,'EE Inputs'!$D$9:$D$32,$C$4,'EE Inputs'!$E$9:$E$32,$B170),0)))</f>
        <v>0</v>
      </c>
      <c r="AG170" s="65">
        <f ca="1">IF($C$4=Lookups!$D$40,IF(SUM(INDIRECT("'Yr1'!"&amp;ADDRESS(ROW(AG170),COLUMN(AG170))),INDIRECT("'Yr2'!"&amp;ADDRESS(ROW(AG170),COLUMN(AG170))),INDIRECT("'Yr3'!"&amp;ADDRESS(ROW(AG170),COLUMN(AG170))))&gt;0,"3 Yr. total",0),
IF(AG$7&lt;$C$4,0,IF(AG$8&lt;=SUMIFS('EE Inputs'!$V$9:$V$32,'EE Inputs'!$C$9:$C$32,$G$6,'EE Inputs'!$D$9:$D$32,$C$4,'EE Inputs'!$E$9:$E$32,$B170),SUMIFS('EE Inputs'!$V$9:$V$32,'EE Inputs'!$C$9:$C$32,$G$6,'EE Inputs'!$D$9:$D$32,$C$4,'EE Inputs'!$E$9:$E$32,$B170),0)))</f>
        <v>0</v>
      </c>
      <c r="AH170" s="65"/>
      <c r="AI170" s="65"/>
      <c r="AJ170" s="65"/>
      <c r="AM170" s="72">
        <f ca="1">IF($C$4=Lookups!$D$40,IF(SUM(INDIRECT("'Yr1'!"&amp;ADDRESS(ROW(AM170),COLUMN(AM170))),INDIRECT("'Yr2'!"&amp;ADDRESS(ROW(AM170),COLUMN(AM170))),INDIRECT("'Yr3'!"&amp;ADDRESS(ROW(AM170),COLUMN(AM170))))&gt;0,"3 Yr. total",0),
IF(AM$7&lt;$C$4,0,IF(AM$8&lt;=SUMIFS('EE Inputs'!$V$9:$V$32,'EE Inputs'!$C$9:$C$32,$AM$6,'EE Inputs'!$D$9:$D$32,$C$4,'EE Inputs'!$E$9:$E$32,$B170),SUMIFS('EE Inputs'!$V$9:$V$32,'EE Inputs'!$C$9:$C$32,$AM$6,'EE Inputs'!$D$9:$D$32,$C$4,'EE Inputs'!$E$9:$E$32,$B170),0)))</f>
        <v>0</v>
      </c>
      <c r="AN170" s="72">
        <f ca="1">IF($C$4=Lookups!$D$40,IF(SUM(INDIRECT("'Yr1'!"&amp;ADDRESS(ROW(AN170),COLUMN(AN170))),INDIRECT("'Yr2'!"&amp;ADDRESS(ROW(AN170),COLUMN(AN170))),INDIRECT("'Yr3'!"&amp;ADDRESS(ROW(AN170),COLUMN(AN170))))&gt;0,"3 Yr. total",0),
IF(AN$7&lt;$C$4,0,IF(AN$8&lt;=SUMIFS('EE Inputs'!$V$9:$V$32,'EE Inputs'!$C$9:$C$32,$AM$6,'EE Inputs'!$D$9:$D$32,$C$4,'EE Inputs'!$E$9:$E$32,$B170),SUMIFS('EE Inputs'!$V$9:$V$32,'EE Inputs'!$C$9:$C$32,$AM$6,'EE Inputs'!$D$9:$D$32,$C$4,'EE Inputs'!$E$9:$E$32,$B170),0)))</f>
        <v>16</v>
      </c>
      <c r="AO170" s="72">
        <f ca="1">IF($C$4=Lookups!$D$40,IF(SUM(INDIRECT("'Yr1'!"&amp;ADDRESS(ROW(AO170),COLUMN(AO170))),INDIRECT("'Yr2'!"&amp;ADDRESS(ROW(AO170),COLUMN(AO170))),INDIRECT("'Yr3'!"&amp;ADDRESS(ROW(AO170),COLUMN(AO170))))&gt;0,"3 Yr. total",0),
IF(AO$7&lt;$C$4,0,IF(AO$8&lt;=SUMIFS('EE Inputs'!$V$9:$V$32,'EE Inputs'!$C$9:$C$32,$AM$6,'EE Inputs'!$D$9:$D$32,$C$4,'EE Inputs'!$E$9:$E$32,$B170),SUMIFS('EE Inputs'!$V$9:$V$32,'EE Inputs'!$C$9:$C$32,$AM$6,'EE Inputs'!$D$9:$D$32,$C$4,'EE Inputs'!$E$9:$E$32,$B170),0)))</f>
        <v>16</v>
      </c>
      <c r="AP170" s="72">
        <f ca="1">IF($C$4=Lookups!$D$40,IF(SUM(INDIRECT("'Yr1'!"&amp;ADDRESS(ROW(AP170),COLUMN(AP170))),INDIRECT("'Yr2'!"&amp;ADDRESS(ROW(AP170),COLUMN(AP170))),INDIRECT("'Yr3'!"&amp;ADDRESS(ROW(AP170),COLUMN(AP170))))&gt;0,"3 Yr. total",0),
IF(AP$7&lt;$C$4,0,IF(AP$8&lt;=SUMIFS('EE Inputs'!$V$9:$V$32,'EE Inputs'!$C$9:$C$32,$AM$6,'EE Inputs'!$D$9:$D$32,$C$4,'EE Inputs'!$E$9:$E$32,$B170),SUMIFS('EE Inputs'!$V$9:$V$32,'EE Inputs'!$C$9:$C$32,$AM$6,'EE Inputs'!$D$9:$D$32,$C$4,'EE Inputs'!$E$9:$E$32,$B170),0)))</f>
        <v>16</v>
      </c>
      <c r="AQ170" s="72">
        <f ca="1">IF($C$4=Lookups!$D$40,IF(SUM(INDIRECT("'Yr1'!"&amp;ADDRESS(ROW(AQ170),COLUMN(AQ170))),INDIRECT("'Yr2'!"&amp;ADDRESS(ROW(AQ170),COLUMN(AQ170))),INDIRECT("'Yr3'!"&amp;ADDRESS(ROW(AQ170),COLUMN(AQ170))))&gt;0,"3 Yr. total",0),
IF(AQ$7&lt;$C$4,0,IF(AQ$8&lt;=SUMIFS('EE Inputs'!$V$9:$V$32,'EE Inputs'!$C$9:$C$32,$AM$6,'EE Inputs'!$D$9:$D$32,$C$4,'EE Inputs'!$E$9:$E$32,$B170),SUMIFS('EE Inputs'!$V$9:$V$32,'EE Inputs'!$C$9:$C$32,$AM$6,'EE Inputs'!$D$9:$D$32,$C$4,'EE Inputs'!$E$9:$E$32,$B170),0)))</f>
        <v>16</v>
      </c>
      <c r="AR170" s="72">
        <f ca="1">IF($C$4=Lookups!$D$40,IF(SUM(INDIRECT("'Yr1'!"&amp;ADDRESS(ROW(AR170),COLUMN(AR170))),INDIRECT("'Yr2'!"&amp;ADDRESS(ROW(AR170),COLUMN(AR170))),INDIRECT("'Yr3'!"&amp;ADDRESS(ROW(AR170),COLUMN(AR170))))&gt;0,"3 Yr. total",0),
IF(AR$7&lt;$C$4,0,IF(AR$8&lt;=SUMIFS('EE Inputs'!$V$9:$V$32,'EE Inputs'!$C$9:$C$32,$AM$6,'EE Inputs'!$D$9:$D$32,$C$4,'EE Inputs'!$E$9:$E$32,$B170),SUMIFS('EE Inputs'!$V$9:$V$32,'EE Inputs'!$C$9:$C$32,$AM$6,'EE Inputs'!$D$9:$D$32,$C$4,'EE Inputs'!$E$9:$E$32,$B170),0)))</f>
        <v>16</v>
      </c>
      <c r="AS170" s="72">
        <f ca="1">IF($C$4=Lookups!$D$40,IF(SUM(INDIRECT("'Yr1'!"&amp;ADDRESS(ROW(AS170),COLUMN(AS170))),INDIRECT("'Yr2'!"&amp;ADDRESS(ROW(AS170),COLUMN(AS170))),INDIRECT("'Yr3'!"&amp;ADDRESS(ROW(AS170),COLUMN(AS170))))&gt;0,"3 Yr. total",0),
IF(AS$7&lt;$C$4,0,IF(AS$8&lt;=SUMIFS('EE Inputs'!$V$9:$V$32,'EE Inputs'!$C$9:$C$32,$AM$6,'EE Inputs'!$D$9:$D$32,$C$4,'EE Inputs'!$E$9:$E$32,$B170),SUMIFS('EE Inputs'!$V$9:$V$32,'EE Inputs'!$C$9:$C$32,$AM$6,'EE Inputs'!$D$9:$D$32,$C$4,'EE Inputs'!$E$9:$E$32,$B170),0)))</f>
        <v>16</v>
      </c>
      <c r="AT170" s="72">
        <f ca="1">IF($C$4=Lookups!$D$40,IF(SUM(INDIRECT("'Yr1'!"&amp;ADDRESS(ROW(AT170),COLUMN(AT170))),INDIRECT("'Yr2'!"&amp;ADDRESS(ROW(AT170),COLUMN(AT170))),INDIRECT("'Yr3'!"&amp;ADDRESS(ROW(AT170),COLUMN(AT170))))&gt;0,"3 Yr. total",0),
IF(AT$7&lt;$C$4,0,IF(AT$8&lt;=SUMIFS('EE Inputs'!$V$9:$V$32,'EE Inputs'!$C$9:$C$32,$AM$6,'EE Inputs'!$D$9:$D$32,$C$4,'EE Inputs'!$E$9:$E$32,$B170),SUMIFS('EE Inputs'!$V$9:$V$32,'EE Inputs'!$C$9:$C$32,$AM$6,'EE Inputs'!$D$9:$D$32,$C$4,'EE Inputs'!$E$9:$E$32,$B170),0)))</f>
        <v>16</v>
      </c>
      <c r="AU170" s="72">
        <f ca="1">IF($C$4=Lookups!$D$40,IF(SUM(INDIRECT("'Yr1'!"&amp;ADDRESS(ROW(AU170),COLUMN(AU170))),INDIRECT("'Yr2'!"&amp;ADDRESS(ROW(AU170),COLUMN(AU170))),INDIRECT("'Yr3'!"&amp;ADDRESS(ROW(AU170),COLUMN(AU170))))&gt;0,"3 Yr. total",0),
IF(AU$7&lt;$C$4,0,IF(AU$8&lt;=SUMIFS('EE Inputs'!$V$9:$V$32,'EE Inputs'!$C$9:$C$32,$AM$6,'EE Inputs'!$D$9:$D$32,$C$4,'EE Inputs'!$E$9:$E$32,$B170),SUMIFS('EE Inputs'!$V$9:$V$32,'EE Inputs'!$C$9:$C$32,$AM$6,'EE Inputs'!$D$9:$D$32,$C$4,'EE Inputs'!$E$9:$E$32,$B170),0)))</f>
        <v>16</v>
      </c>
      <c r="AV170" s="72">
        <f ca="1">IF($C$4=Lookups!$D$40,IF(SUM(INDIRECT("'Yr1'!"&amp;ADDRESS(ROW(AV170),COLUMN(AV170))),INDIRECT("'Yr2'!"&amp;ADDRESS(ROW(AV170),COLUMN(AV170))),INDIRECT("'Yr3'!"&amp;ADDRESS(ROW(AV170),COLUMN(AV170))))&gt;0,"3 Yr. total",0),
IF(AV$7&lt;$C$4,0,IF(AV$8&lt;=SUMIFS('EE Inputs'!$V$9:$V$32,'EE Inputs'!$C$9:$C$32,$AM$6,'EE Inputs'!$D$9:$D$32,$C$4,'EE Inputs'!$E$9:$E$32,$B170),SUMIFS('EE Inputs'!$V$9:$V$32,'EE Inputs'!$C$9:$C$32,$AM$6,'EE Inputs'!$D$9:$D$32,$C$4,'EE Inputs'!$E$9:$E$32,$B170),0)))</f>
        <v>16</v>
      </c>
      <c r="AW170" s="72">
        <f ca="1">IF($C$4=Lookups!$D$40,IF(SUM(INDIRECT("'Yr1'!"&amp;ADDRESS(ROW(AW170),COLUMN(AW170))),INDIRECT("'Yr2'!"&amp;ADDRESS(ROW(AW170),COLUMN(AW170))),INDIRECT("'Yr3'!"&amp;ADDRESS(ROW(AW170),COLUMN(AW170))))&gt;0,"3 Yr. total",0),
IF(AW$7&lt;$C$4,0,IF(AW$8&lt;=SUMIFS('EE Inputs'!$V$9:$V$32,'EE Inputs'!$C$9:$C$32,$AM$6,'EE Inputs'!$D$9:$D$32,$C$4,'EE Inputs'!$E$9:$E$32,$B170),SUMIFS('EE Inputs'!$V$9:$V$32,'EE Inputs'!$C$9:$C$32,$AM$6,'EE Inputs'!$D$9:$D$32,$C$4,'EE Inputs'!$E$9:$E$32,$B170),0)))</f>
        <v>16</v>
      </c>
      <c r="AX170" s="72">
        <f ca="1">IF($C$4=Lookups!$D$40,IF(SUM(INDIRECT("'Yr1'!"&amp;ADDRESS(ROW(AX170),COLUMN(AX170))),INDIRECT("'Yr2'!"&amp;ADDRESS(ROW(AX170),COLUMN(AX170))),INDIRECT("'Yr3'!"&amp;ADDRESS(ROW(AX170),COLUMN(AX170))))&gt;0,"3 Yr. total",0),
IF(AX$7&lt;$C$4,0,IF(AX$8&lt;=SUMIFS('EE Inputs'!$V$9:$V$32,'EE Inputs'!$C$9:$C$32,$AM$6,'EE Inputs'!$D$9:$D$32,$C$4,'EE Inputs'!$E$9:$E$32,$B170),SUMIFS('EE Inputs'!$V$9:$V$32,'EE Inputs'!$C$9:$C$32,$AM$6,'EE Inputs'!$D$9:$D$32,$C$4,'EE Inputs'!$E$9:$E$32,$B170),0)))</f>
        <v>16</v>
      </c>
      <c r="AY170" s="72">
        <f ca="1">IF($C$4=Lookups!$D$40,IF(SUM(INDIRECT("'Yr1'!"&amp;ADDRESS(ROW(AY170),COLUMN(AY170))),INDIRECT("'Yr2'!"&amp;ADDRESS(ROW(AY170),COLUMN(AY170))),INDIRECT("'Yr3'!"&amp;ADDRESS(ROW(AY170),COLUMN(AY170))))&gt;0,"3 Yr. total",0),
IF(AY$7&lt;$C$4,0,IF(AY$8&lt;=SUMIFS('EE Inputs'!$V$9:$V$32,'EE Inputs'!$C$9:$C$32,$AM$6,'EE Inputs'!$D$9:$D$32,$C$4,'EE Inputs'!$E$9:$E$32,$B170),SUMIFS('EE Inputs'!$V$9:$V$32,'EE Inputs'!$C$9:$C$32,$AM$6,'EE Inputs'!$D$9:$D$32,$C$4,'EE Inputs'!$E$9:$E$32,$B170),0)))</f>
        <v>16</v>
      </c>
      <c r="AZ170" s="72">
        <f ca="1">IF($C$4=Lookups!$D$40,IF(SUM(INDIRECT("'Yr1'!"&amp;ADDRESS(ROW(AZ170),COLUMN(AZ170))),INDIRECT("'Yr2'!"&amp;ADDRESS(ROW(AZ170),COLUMN(AZ170))),INDIRECT("'Yr3'!"&amp;ADDRESS(ROW(AZ170),COLUMN(AZ170))))&gt;0,"3 Yr. total",0),
IF(AZ$7&lt;$C$4,0,IF(AZ$8&lt;=SUMIFS('EE Inputs'!$V$9:$V$32,'EE Inputs'!$C$9:$C$32,$AM$6,'EE Inputs'!$D$9:$D$32,$C$4,'EE Inputs'!$E$9:$E$32,$B170),SUMIFS('EE Inputs'!$V$9:$V$32,'EE Inputs'!$C$9:$C$32,$AM$6,'EE Inputs'!$D$9:$D$32,$C$4,'EE Inputs'!$E$9:$E$32,$B170),0)))</f>
        <v>16</v>
      </c>
      <c r="BA170" s="72">
        <f ca="1">IF($C$4=Lookups!$D$40,IF(SUM(INDIRECT("'Yr1'!"&amp;ADDRESS(ROW(BA170),COLUMN(BA170))),INDIRECT("'Yr2'!"&amp;ADDRESS(ROW(BA170),COLUMN(BA170))),INDIRECT("'Yr3'!"&amp;ADDRESS(ROW(BA170),COLUMN(BA170))))&gt;0,"3 Yr. total",0),
IF(BA$7&lt;$C$4,0,IF(BA$8&lt;=SUMIFS('EE Inputs'!$V$9:$V$32,'EE Inputs'!$C$9:$C$32,$AM$6,'EE Inputs'!$D$9:$D$32,$C$4,'EE Inputs'!$E$9:$E$32,$B170),SUMIFS('EE Inputs'!$V$9:$V$32,'EE Inputs'!$C$9:$C$32,$AM$6,'EE Inputs'!$D$9:$D$32,$C$4,'EE Inputs'!$E$9:$E$32,$B170),0)))</f>
        <v>16</v>
      </c>
      <c r="BB170" s="72">
        <f ca="1">IF($C$4=Lookups!$D$40,IF(SUM(INDIRECT("'Yr1'!"&amp;ADDRESS(ROW(BB170),COLUMN(BB170))),INDIRECT("'Yr2'!"&amp;ADDRESS(ROW(BB170),COLUMN(BB170))),INDIRECT("'Yr3'!"&amp;ADDRESS(ROW(BB170),COLUMN(BB170))))&gt;0,"3 Yr. total",0),
IF(BB$7&lt;$C$4,0,IF(BB$8&lt;=SUMIFS('EE Inputs'!$V$9:$V$32,'EE Inputs'!$C$9:$C$32,$AM$6,'EE Inputs'!$D$9:$D$32,$C$4,'EE Inputs'!$E$9:$E$32,$B170),SUMIFS('EE Inputs'!$V$9:$V$32,'EE Inputs'!$C$9:$C$32,$AM$6,'EE Inputs'!$D$9:$D$32,$C$4,'EE Inputs'!$E$9:$E$32,$B170),0)))</f>
        <v>16</v>
      </c>
      <c r="BC170" s="72">
        <f ca="1">IF($C$4=Lookups!$D$40,IF(SUM(INDIRECT("'Yr1'!"&amp;ADDRESS(ROW(BC170),COLUMN(BC170))),INDIRECT("'Yr2'!"&amp;ADDRESS(ROW(BC170),COLUMN(BC170))),INDIRECT("'Yr3'!"&amp;ADDRESS(ROW(BC170),COLUMN(BC170))))&gt;0,"3 Yr. total",0),
IF(BC$7&lt;$C$4,0,IF(BC$8&lt;=SUMIFS('EE Inputs'!$V$9:$V$32,'EE Inputs'!$C$9:$C$32,$AM$6,'EE Inputs'!$D$9:$D$32,$C$4,'EE Inputs'!$E$9:$E$32,$B170),SUMIFS('EE Inputs'!$V$9:$V$32,'EE Inputs'!$C$9:$C$32,$AM$6,'EE Inputs'!$D$9:$D$32,$C$4,'EE Inputs'!$E$9:$E$32,$B170),0)))</f>
        <v>16</v>
      </c>
      <c r="BD170" s="72">
        <f ca="1">IF($C$4=Lookups!$D$40,IF(SUM(INDIRECT("'Yr1'!"&amp;ADDRESS(ROW(BD170),COLUMN(BD170))),INDIRECT("'Yr2'!"&amp;ADDRESS(ROW(BD170),COLUMN(BD170))),INDIRECT("'Yr3'!"&amp;ADDRESS(ROW(BD170),COLUMN(BD170))))&gt;0,"3 Yr. total",0),
IF(BD$7&lt;$C$4,0,IF(BD$8&lt;=SUMIFS('EE Inputs'!$V$9:$V$32,'EE Inputs'!$C$9:$C$32,$AM$6,'EE Inputs'!$D$9:$D$32,$C$4,'EE Inputs'!$E$9:$E$32,$B170),SUMIFS('EE Inputs'!$V$9:$V$32,'EE Inputs'!$C$9:$C$32,$AM$6,'EE Inputs'!$D$9:$D$32,$C$4,'EE Inputs'!$E$9:$E$32,$B170),0)))</f>
        <v>0</v>
      </c>
      <c r="BE170" s="72">
        <f ca="1">IF($C$4=Lookups!$D$40,IF(SUM(INDIRECT("'Yr1'!"&amp;ADDRESS(ROW(BE170),COLUMN(BE170))),INDIRECT("'Yr2'!"&amp;ADDRESS(ROW(BE170),COLUMN(BE170))),INDIRECT("'Yr3'!"&amp;ADDRESS(ROW(BE170),COLUMN(BE170))))&gt;0,"3 Yr. total",0),
IF(BE$7&lt;$C$4,0,IF(BE$8&lt;=SUMIFS('EE Inputs'!$V$9:$V$32,'EE Inputs'!$C$9:$C$32,$AM$6,'EE Inputs'!$D$9:$D$32,$C$4,'EE Inputs'!$E$9:$E$32,$B170),SUMIFS('EE Inputs'!$V$9:$V$32,'EE Inputs'!$C$9:$C$32,$AM$6,'EE Inputs'!$D$9:$D$32,$C$4,'EE Inputs'!$E$9:$E$32,$B170),0)))</f>
        <v>0</v>
      </c>
      <c r="BF170" s="72">
        <f ca="1">IF($C$4=Lookups!$D$40,IF(SUM(INDIRECT("'Yr1'!"&amp;ADDRESS(ROW(BF170),COLUMN(BF170))),INDIRECT("'Yr2'!"&amp;ADDRESS(ROW(BF170),COLUMN(BF170))),INDIRECT("'Yr3'!"&amp;ADDRESS(ROW(BF170),COLUMN(BF170))))&gt;0,"3 Yr. total",0),
IF(BF$7&lt;$C$4,0,IF(BF$8&lt;=SUMIFS('EE Inputs'!$V$9:$V$32,'EE Inputs'!$C$9:$C$32,$AM$6,'EE Inputs'!$D$9:$D$32,$C$4,'EE Inputs'!$E$9:$E$32,$B170),SUMIFS('EE Inputs'!$V$9:$V$32,'EE Inputs'!$C$9:$C$32,$AM$6,'EE Inputs'!$D$9:$D$32,$C$4,'EE Inputs'!$E$9:$E$32,$B170),0)))</f>
        <v>0</v>
      </c>
      <c r="BG170" s="72">
        <f ca="1">IF($C$4=Lookups!$D$40,IF(SUM(INDIRECT("'Yr1'!"&amp;ADDRESS(ROW(BG170),COLUMN(BG170))),INDIRECT("'Yr2'!"&amp;ADDRESS(ROW(BG170),COLUMN(BG170))),INDIRECT("'Yr3'!"&amp;ADDRESS(ROW(BG170),COLUMN(BG170))))&gt;0,"3 Yr. total",0),
IF(BG$7&lt;$C$4,0,IF(BG$8&lt;=SUMIFS('EE Inputs'!$V$9:$V$32,'EE Inputs'!$C$9:$C$32,$AM$6,'EE Inputs'!$D$9:$D$32,$C$4,'EE Inputs'!$E$9:$E$32,$B170),SUMIFS('EE Inputs'!$V$9:$V$32,'EE Inputs'!$C$9:$C$32,$AM$6,'EE Inputs'!$D$9:$D$32,$C$4,'EE Inputs'!$E$9:$E$32,$B170),0)))</f>
        <v>0</v>
      </c>
      <c r="BH170" s="72">
        <f ca="1">IF($C$4=Lookups!$D$40,IF(SUM(INDIRECT("'Yr1'!"&amp;ADDRESS(ROW(BH170),COLUMN(BH170))),INDIRECT("'Yr2'!"&amp;ADDRESS(ROW(BH170),COLUMN(BH170))),INDIRECT("'Yr3'!"&amp;ADDRESS(ROW(BH170),COLUMN(BH170))))&gt;0,"3 Yr. total",0),
IF(BH$7&lt;$C$4,0,IF(BH$8&lt;=SUMIFS('EE Inputs'!$V$9:$V$32,'EE Inputs'!$C$9:$C$32,$AM$6,'EE Inputs'!$D$9:$D$32,$C$4,'EE Inputs'!$E$9:$E$32,$B170),SUMIFS('EE Inputs'!$V$9:$V$32,'EE Inputs'!$C$9:$C$32,$AM$6,'EE Inputs'!$D$9:$D$32,$C$4,'EE Inputs'!$E$9:$E$32,$B170),0)))</f>
        <v>0</v>
      </c>
      <c r="BI170" s="72">
        <f ca="1">IF($C$4=Lookups!$D$40,IF(SUM(INDIRECT("'Yr1'!"&amp;ADDRESS(ROW(BI170),COLUMN(BI170))),INDIRECT("'Yr2'!"&amp;ADDRESS(ROW(BI170),COLUMN(BI170))),INDIRECT("'Yr3'!"&amp;ADDRESS(ROW(BI170),COLUMN(BI170))))&gt;0,"3 Yr. total",0),
IF(BI$7&lt;$C$4,0,IF(BI$8&lt;=SUMIFS('EE Inputs'!$V$9:$V$32,'EE Inputs'!$C$9:$C$32,$AM$6,'EE Inputs'!$D$9:$D$32,$C$4,'EE Inputs'!$E$9:$E$32,$B170),SUMIFS('EE Inputs'!$V$9:$V$32,'EE Inputs'!$C$9:$C$32,$AM$6,'EE Inputs'!$D$9:$D$32,$C$4,'EE Inputs'!$E$9:$E$32,$B170),0)))</f>
        <v>0</v>
      </c>
      <c r="BJ170" s="72">
        <f ca="1">IF($C$4=Lookups!$D$40,IF(SUM(INDIRECT("'Yr1'!"&amp;ADDRESS(ROW(BJ170),COLUMN(BJ170))),INDIRECT("'Yr2'!"&amp;ADDRESS(ROW(BJ170),COLUMN(BJ170))),INDIRECT("'Yr3'!"&amp;ADDRESS(ROW(BJ170),COLUMN(BJ170))))&gt;0,"3 Yr. total",0),
IF(BJ$7&lt;$C$4,0,IF(BJ$8&lt;=SUMIFS('EE Inputs'!$V$9:$V$32,'EE Inputs'!$C$9:$C$32,$AM$6,'EE Inputs'!$D$9:$D$32,$C$4,'EE Inputs'!$E$9:$E$32,$B170),SUMIFS('EE Inputs'!$V$9:$V$32,'EE Inputs'!$C$9:$C$32,$AM$6,'EE Inputs'!$D$9:$D$32,$C$4,'EE Inputs'!$E$9:$E$32,$B170),0)))</f>
        <v>0</v>
      </c>
      <c r="BK170" s="72">
        <f ca="1">IF($C$4=Lookups!$D$40,IF(SUM(INDIRECT("'Yr1'!"&amp;ADDRESS(ROW(BK170),COLUMN(BK170))),INDIRECT("'Yr2'!"&amp;ADDRESS(ROW(BK170),COLUMN(BK170))),INDIRECT("'Yr3'!"&amp;ADDRESS(ROW(BK170),COLUMN(BK170))))&gt;0,"3 Yr. total",0),
IF(BK$7&lt;$C$4,0,IF(BK$8&lt;=SUMIFS('EE Inputs'!$V$9:$V$32,'EE Inputs'!$C$9:$C$32,$AM$6,'EE Inputs'!$D$9:$D$32,$C$4,'EE Inputs'!$E$9:$E$32,$B170),SUMIFS('EE Inputs'!$V$9:$V$32,'EE Inputs'!$C$9:$C$32,$AM$6,'EE Inputs'!$D$9:$D$32,$C$4,'EE Inputs'!$E$9:$E$32,$B170),0)))</f>
        <v>0</v>
      </c>
      <c r="BL170" s="72">
        <f ca="1">IF($C$4=Lookups!$D$40,IF(SUM(INDIRECT("'Yr1'!"&amp;ADDRESS(ROW(BL170),COLUMN(BL170))),INDIRECT("'Yr2'!"&amp;ADDRESS(ROW(BL170),COLUMN(BL170))),INDIRECT("'Yr3'!"&amp;ADDRESS(ROW(BL170),COLUMN(BL170))))&gt;0,"3 Yr. total",0),
IF(BL$7&lt;$C$4,0,IF(BL$8&lt;=SUMIFS('EE Inputs'!$V$9:$V$32,'EE Inputs'!$C$9:$C$32,$AM$6,'EE Inputs'!$D$9:$D$32,$C$4,'EE Inputs'!$E$9:$E$32,$B170),SUMIFS('EE Inputs'!$V$9:$V$32,'EE Inputs'!$C$9:$C$32,$AM$6,'EE Inputs'!$D$9:$D$32,$C$4,'EE Inputs'!$E$9:$E$32,$B170),0)))</f>
        <v>0</v>
      </c>
      <c r="BM170" s="72">
        <f ca="1">IF($C$4=Lookups!$D$40,IF(SUM(INDIRECT("'Yr1'!"&amp;ADDRESS(ROW(BM170),COLUMN(BM170))),INDIRECT("'Yr2'!"&amp;ADDRESS(ROW(BM170),COLUMN(BM170))),INDIRECT("'Yr3'!"&amp;ADDRESS(ROW(BM170),COLUMN(BM170))))&gt;0,"3 Yr. total",0),
IF(BM$7&lt;$C$4,0,IF(BM$8&lt;=SUMIFS('EE Inputs'!$V$9:$V$32,'EE Inputs'!$C$9:$C$32,$AM$6,'EE Inputs'!$D$9:$D$32,$C$4,'EE Inputs'!$E$9:$E$32,$B170),SUMIFS('EE Inputs'!$V$9:$V$32,'EE Inputs'!$C$9:$C$32,$AM$6,'EE Inputs'!$D$9:$D$32,$C$4,'EE Inputs'!$E$9:$E$32,$B170),0)))</f>
        <v>0</v>
      </c>
      <c r="BN170" s="72"/>
      <c r="BO170" s="72"/>
      <c r="BP170" s="72"/>
      <c r="BS170" s="76" t="s">
        <v>90</v>
      </c>
      <c r="BT170" s="51" t="s">
        <v>17</v>
      </c>
    </row>
    <row r="171" spans="1:72" s="5" customFormat="1" x14ac:dyDescent="0.25">
      <c r="A171" s="52"/>
      <c r="B171" s="242" t="str">
        <f t="shared" si="179"/>
        <v>Small C&amp;I</v>
      </c>
      <c r="C171" s="242" t="str">
        <f>C170</f>
        <v>Customers</v>
      </c>
      <c r="D171" s="77" t="s">
        <v>17</v>
      </c>
      <c r="E171" s="76"/>
      <c r="F171" s="76"/>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S171" s="76"/>
      <c r="BT171" s="51" t="s">
        <v>17</v>
      </c>
    </row>
    <row r="172" spans="1:72" s="5" customFormat="1" ht="15.75" x14ac:dyDescent="0.25">
      <c r="A172" s="52"/>
      <c r="B172" s="241" t="str">
        <f t="shared" si="179"/>
        <v>Small C&amp;I</v>
      </c>
      <c r="C172" s="63" t="s">
        <v>4</v>
      </c>
      <c r="D172" s="61"/>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2"/>
      <c r="BO172" s="62"/>
      <c r="BP172" s="62"/>
      <c r="BS172" s="62"/>
      <c r="BT172" s="51" t="s">
        <v>17</v>
      </c>
    </row>
    <row r="173" spans="1:72" x14ac:dyDescent="0.25">
      <c r="B173" s="243" t="str">
        <f t="shared" si="179"/>
        <v>Small C&amp;I</v>
      </c>
      <c r="C173" s="243" t="str">
        <f>C172</f>
        <v>Sales</v>
      </c>
      <c r="D173" s="244" t="str">
        <f>"Sales before DSM ("&amp;Lookups!$D$22&amp;" Scenario)"</f>
        <v>Sales before DSM (No EE Scenario)</v>
      </c>
      <c r="E173" s="85" t="str">
        <f>"Sales before DSM ("&amp;Lookups!$D$22&amp;" Scenario)"</f>
        <v>Sales before DSM (No EE Scenario)</v>
      </c>
      <c r="F173" s="84" t="s">
        <v>195</v>
      </c>
      <c r="G173" s="64">
        <f>IF(G$8=0,0,INDEX('Multi-Year Inputs'!$E$41:$AE$44,MATCH($B173,'Multi-Year Inputs'!$D$41:$D$44,0),MATCH(G$7,'Multi-Year Inputs'!$E$4:$AE$4,0)))</f>
        <v>0</v>
      </c>
      <c r="H173" s="64">
        <f>IF(H$8=0,0,INDEX('Multi-Year Inputs'!$E$41:$AE$44,MATCH($B173,'Multi-Year Inputs'!$D$41:$D$44,0),MATCH(H$7,'Multi-Year Inputs'!$E$4:$AE$4,0)))</f>
        <v>21353625.848446414</v>
      </c>
      <c r="I173" s="64">
        <f>IF(I$8=0,0,INDEX('Multi-Year Inputs'!$E$41:$AE$44,MATCH($B173,'Multi-Year Inputs'!$D$41:$D$44,0),MATCH(I$7,'Multi-Year Inputs'!$E$4:$AE$4,0)))</f>
        <v>21353625.848446414</v>
      </c>
      <c r="J173" s="64">
        <f>IF(J$8=0,0,INDEX('Multi-Year Inputs'!$E$41:$AE$44,MATCH($B173,'Multi-Year Inputs'!$D$41:$D$44,0),MATCH(J$7,'Multi-Year Inputs'!$E$4:$AE$4,0)))</f>
        <v>21353625.848446414</v>
      </c>
      <c r="K173" s="64">
        <f>IF(K$8=0,0,INDEX('Multi-Year Inputs'!$E$41:$AE$44,MATCH($B173,'Multi-Year Inputs'!$D$41:$D$44,0),MATCH(K$7,'Multi-Year Inputs'!$E$4:$AE$4,0)))</f>
        <v>21353625.848446414</v>
      </c>
      <c r="L173" s="64">
        <f>IF(L$8=0,0,INDEX('Multi-Year Inputs'!$E$41:$AE$44,MATCH($B173,'Multi-Year Inputs'!$D$41:$D$44,0),MATCH(L$7,'Multi-Year Inputs'!$E$4:$AE$4,0)))</f>
        <v>21353625.848446414</v>
      </c>
      <c r="M173" s="64">
        <f>IF(M$8=0,0,INDEX('Multi-Year Inputs'!$E$41:$AE$44,MATCH($B173,'Multi-Year Inputs'!$D$41:$D$44,0),MATCH(M$7,'Multi-Year Inputs'!$E$4:$AE$4,0)))</f>
        <v>21353625.848446414</v>
      </c>
      <c r="N173" s="64">
        <f>IF(N$8=0,0,INDEX('Multi-Year Inputs'!$E$41:$AE$44,MATCH($B173,'Multi-Year Inputs'!$D$41:$D$44,0),MATCH(N$7,'Multi-Year Inputs'!$E$4:$AE$4,0)))</f>
        <v>21353625.848446414</v>
      </c>
      <c r="O173" s="64">
        <f>IF(O$8=0,0,INDEX('Multi-Year Inputs'!$E$41:$AE$44,MATCH($B173,'Multi-Year Inputs'!$D$41:$D$44,0),MATCH(O$7,'Multi-Year Inputs'!$E$4:$AE$4,0)))</f>
        <v>21353625.848446414</v>
      </c>
      <c r="P173" s="64">
        <f>IF(P$8=0,0,INDEX('Multi-Year Inputs'!$E$41:$AE$44,MATCH($B173,'Multi-Year Inputs'!$D$41:$D$44,0),MATCH(P$7,'Multi-Year Inputs'!$E$4:$AE$4,0)))</f>
        <v>21353625.848446414</v>
      </c>
      <c r="Q173" s="64">
        <f>IF(Q$8=0,0,INDEX('Multi-Year Inputs'!$E$41:$AE$44,MATCH($B173,'Multi-Year Inputs'!$D$41:$D$44,0),MATCH(Q$7,'Multi-Year Inputs'!$E$4:$AE$4,0)))</f>
        <v>21353625.848446414</v>
      </c>
      <c r="R173" s="64">
        <f>IF(R$8=0,0,INDEX('Multi-Year Inputs'!$E$41:$AE$44,MATCH($B173,'Multi-Year Inputs'!$D$41:$D$44,0),MATCH(R$7,'Multi-Year Inputs'!$E$4:$AE$4,0)))</f>
        <v>21353625.848446414</v>
      </c>
      <c r="S173" s="64">
        <f>IF(S$8=0,0,INDEX('Multi-Year Inputs'!$E$41:$AE$44,MATCH($B173,'Multi-Year Inputs'!$D$41:$D$44,0),MATCH(S$7,'Multi-Year Inputs'!$E$4:$AE$4,0)))</f>
        <v>21353625.848446414</v>
      </c>
      <c r="T173" s="64">
        <f>IF(T$8=0,0,INDEX('Multi-Year Inputs'!$E$41:$AE$44,MATCH($B173,'Multi-Year Inputs'!$D$41:$D$44,0),MATCH(T$7,'Multi-Year Inputs'!$E$4:$AE$4,0)))</f>
        <v>21353625.848446414</v>
      </c>
      <c r="U173" s="64">
        <f>IF(U$8=0,0,INDEX('Multi-Year Inputs'!$E$41:$AE$44,MATCH($B173,'Multi-Year Inputs'!$D$41:$D$44,0),MATCH(U$7,'Multi-Year Inputs'!$E$4:$AE$4,0)))</f>
        <v>21353625.848446414</v>
      </c>
      <c r="V173" s="64">
        <f>IF(V$8=0,0,INDEX('Multi-Year Inputs'!$E$41:$AE$44,MATCH($B173,'Multi-Year Inputs'!$D$41:$D$44,0),MATCH(V$7,'Multi-Year Inputs'!$E$4:$AE$4,0)))</f>
        <v>21353625.848446414</v>
      </c>
      <c r="W173" s="64">
        <f>IF(W$8=0,0,INDEX('Multi-Year Inputs'!$E$41:$AE$44,MATCH($B173,'Multi-Year Inputs'!$D$41:$D$44,0),MATCH(W$7,'Multi-Year Inputs'!$E$4:$AE$4,0)))</f>
        <v>21353625.848446414</v>
      </c>
      <c r="X173" s="64">
        <f>IF(X$8=0,0,INDEX('Multi-Year Inputs'!$E$41:$AE$44,MATCH($B173,'Multi-Year Inputs'!$D$41:$D$44,0),MATCH(X$7,'Multi-Year Inputs'!$E$4:$AE$4,0)))</f>
        <v>21353625.848446414</v>
      </c>
      <c r="Y173" s="64">
        <f>IF(Y$8=0,0,INDEX('Multi-Year Inputs'!$E$41:$AE$44,MATCH($B173,'Multi-Year Inputs'!$D$41:$D$44,0),MATCH(Y$7,'Multi-Year Inputs'!$E$4:$AE$4,0)))</f>
        <v>21353625.848446414</v>
      </c>
      <c r="Z173" s="64">
        <f>IF(Z$8=0,0,INDEX('Multi-Year Inputs'!$E$41:$AE$44,MATCH($B173,'Multi-Year Inputs'!$D$41:$D$44,0),MATCH(Z$7,'Multi-Year Inputs'!$E$4:$AE$4,0)))</f>
        <v>21353625.848446414</v>
      </c>
      <c r="AA173" s="64">
        <f>IF(AA$8=0,0,INDEX('Multi-Year Inputs'!$E$41:$AE$44,MATCH($B173,'Multi-Year Inputs'!$D$41:$D$44,0),MATCH(AA$7,'Multi-Year Inputs'!$E$4:$AE$4,0)))</f>
        <v>21353625.848446414</v>
      </c>
      <c r="AB173" s="64">
        <f>IF(AB$8=0,0,INDEX('Multi-Year Inputs'!$E$41:$AE$44,MATCH($B173,'Multi-Year Inputs'!$D$41:$D$44,0),MATCH(AB$7,'Multi-Year Inputs'!$E$4:$AE$4,0)))</f>
        <v>21353625.848446414</v>
      </c>
      <c r="AC173" s="64">
        <f>IF(AC$8=0,0,INDEX('Multi-Year Inputs'!$E$41:$AE$44,MATCH($B173,'Multi-Year Inputs'!$D$41:$D$44,0),MATCH(AC$7,'Multi-Year Inputs'!$E$4:$AE$4,0)))</f>
        <v>21353625.848446414</v>
      </c>
      <c r="AD173" s="64">
        <f>IF(AD$8=0,0,INDEX('Multi-Year Inputs'!$E$41:$AE$44,MATCH($B173,'Multi-Year Inputs'!$D$41:$D$44,0),MATCH(AD$7,'Multi-Year Inputs'!$E$4:$AE$4,0)))</f>
        <v>21353625.848446414</v>
      </c>
      <c r="AE173" s="64">
        <f>IF(AE$8=0,0,INDEX('Multi-Year Inputs'!$E$41:$AE$44,MATCH($B173,'Multi-Year Inputs'!$D$41:$D$44,0),MATCH(AE$7,'Multi-Year Inputs'!$E$4:$AE$4,0)))</f>
        <v>21353625.848446414</v>
      </c>
      <c r="AF173" s="64">
        <f>IF(AF$8=0,0,INDEX('Multi-Year Inputs'!$E$41:$AE$44,MATCH($B173,'Multi-Year Inputs'!$D$41:$D$44,0),MATCH(AF$7,'Multi-Year Inputs'!$E$4:$AE$4,0)))</f>
        <v>21353625.848446414</v>
      </c>
      <c r="AG173" s="64">
        <f>IF(AG$8=0,0,INDEX('Multi-Year Inputs'!$E$41:$AE$44,MATCH($B173,'Multi-Year Inputs'!$D$41:$D$44,0),MATCH(AG$7,'Multi-Year Inputs'!$E$4:$AE$4,0)))</f>
        <v>21353625.848446414</v>
      </c>
      <c r="AH173" s="64"/>
      <c r="AI173" s="64">
        <f t="shared" ref="AI173:AI175" si="180">SUM(G173:AG173)</f>
        <v>555194272.05960703</v>
      </c>
      <c r="AJ173" s="64"/>
      <c r="AM173" s="71">
        <f>IF(AM$8=0,0,INDEX('Multi-Year Inputs'!$E$41:$AE$44,MATCH($B173,'Multi-Year Inputs'!$D$41:$D$44,0),MATCH(AM$7,'Multi-Year Inputs'!$E$4:$AE$4,0)))</f>
        <v>0</v>
      </c>
      <c r="AN173" s="71">
        <f>IF(AN$8=0,0,INDEX('Multi-Year Inputs'!$E$41:$AE$44,MATCH($B173,'Multi-Year Inputs'!$D$41:$D$44,0),MATCH(AN$7,'Multi-Year Inputs'!$E$4:$AE$4,0)))</f>
        <v>21353625.848446414</v>
      </c>
      <c r="AO173" s="71">
        <f>IF(AO$8=0,0,INDEX('Multi-Year Inputs'!$E$41:$AE$44,MATCH($B173,'Multi-Year Inputs'!$D$41:$D$44,0),MATCH(AO$7,'Multi-Year Inputs'!$E$4:$AE$4,0)))</f>
        <v>21353625.848446414</v>
      </c>
      <c r="AP173" s="71">
        <f>IF(AP$8=0,0,INDEX('Multi-Year Inputs'!$E$41:$AE$44,MATCH($B173,'Multi-Year Inputs'!$D$41:$D$44,0),MATCH(AP$7,'Multi-Year Inputs'!$E$4:$AE$4,0)))</f>
        <v>21353625.848446414</v>
      </c>
      <c r="AQ173" s="71">
        <f>IF(AQ$8=0,0,INDEX('Multi-Year Inputs'!$E$41:$AE$44,MATCH($B173,'Multi-Year Inputs'!$D$41:$D$44,0),MATCH(AQ$7,'Multi-Year Inputs'!$E$4:$AE$4,0)))</f>
        <v>21353625.848446414</v>
      </c>
      <c r="AR173" s="71">
        <f>IF(AR$8=0,0,INDEX('Multi-Year Inputs'!$E$41:$AE$44,MATCH($B173,'Multi-Year Inputs'!$D$41:$D$44,0),MATCH(AR$7,'Multi-Year Inputs'!$E$4:$AE$4,0)))</f>
        <v>21353625.848446414</v>
      </c>
      <c r="AS173" s="71">
        <f>IF(AS$8=0,0,INDEX('Multi-Year Inputs'!$E$41:$AE$44,MATCH($B173,'Multi-Year Inputs'!$D$41:$D$44,0),MATCH(AS$7,'Multi-Year Inputs'!$E$4:$AE$4,0)))</f>
        <v>21353625.848446414</v>
      </c>
      <c r="AT173" s="71">
        <f>IF(AT$8=0,0,INDEX('Multi-Year Inputs'!$E$41:$AE$44,MATCH($B173,'Multi-Year Inputs'!$D$41:$D$44,0),MATCH(AT$7,'Multi-Year Inputs'!$E$4:$AE$4,0)))</f>
        <v>21353625.848446414</v>
      </c>
      <c r="AU173" s="71">
        <f>IF(AU$8=0,0,INDEX('Multi-Year Inputs'!$E$41:$AE$44,MATCH($B173,'Multi-Year Inputs'!$D$41:$D$44,0),MATCH(AU$7,'Multi-Year Inputs'!$E$4:$AE$4,0)))</f>
        <v>21353625.848446414</v>
      </c>
      <c r="AV173" s="71">
        <f>IF(AV$8=0,0,INDEX('Multi-Year Inputs'!$E$41:$AE$44,MATCH($B173,'Multi-Year Inputs'!$D$41:$D$44,0),MATCH(AV$7,'Multi-Year Inputs'!$E$4:$AE$4,0)))</f>
        <v>21353625.848446414</v>
      </c>
      <c r="AW173" s="71">
        <f>IF(AW$8=0,0,INDEX('Multi-Year Inputs'!$E$41:$AE$44,MATCH($B173,'Multi-Year Inputs'!$D$41:$D$44,0),MATCH(AW$7,'Multi-Year Inputs'!$E$4:$AE$4,0)))</f>
        <v>21353625.848446414</v>
      </c>
      <c r="AX173" s="71">
        <f>IF(AX$8=0,0,INDEX('Multi-Year Inputs'!$E$41:$AE$44,MATCH($B173,'Multi-Year Inputs'!$D$41:$D$44,0),MATCH(AX$7,'Multi-Year Inputs'!$E$4:$AE$4,0)))</f>
        <v>21353625.848446414</v>
      </c>
      <c r="AY173" s="71">
        <f>IF(AY$8=0,0,INDEX('Multi-Year Inputs'!$E$41:$AE$44,MATCH($B173,'Multi-Year Inputs'!$D$41:$D$44,0),MATCH(AY$7,'Multi-Year Inputs'!$E$4:$AE$4,0)))</f>
        <v>21353625.848446414</v>
      </c>
      <c r="AZ173" s="71">
        <f>IF(AZ$8=0,0,INDEX('Multi-Year Inputs'!$E$41:$AE$44,MATCH($B173,'Multi-Year Inputs'!$D$41:$D$44,0),MATCH(AZ$7,'Multi-Year Inputs'!$E$4:$AE$4,0)))</f>
        <v>21353625.848446414</v>
      </c>
      <c r="BA173" s="71">
        <f>IF(BA$8=0,0,INDEX('Multi-Year Inputs'!$E$41:$AE$44,MATCH($B173,'Multi-Year Inputs'!$D$41:$D$44,0),MATCH(BA$7,'Multi-Year Inputs'!$E$4:$AE$4,0)))</f>
        <v>21353625.848446414</v>
      </c>
      <c r="BB173" s="71">
        <f>IF(BB$8=0,0,INDEX('Multi-Year Inputs'!$E$41:$AE$44,MATCH($B173,'Multi-Year Inputs'!$D$41:$D$44,0),MATCH(BB$7,'Multi-Year Inputs'!$E$4:$AE$4,0)))</f>
        <v>21353625.848446414</v>
      </c>
      <c r="BC173" s="71">
        <f>IF(BC$8=0,0,INDEX('Multi-Year Inputs'!$E$41:$AE$44,MATCH($B173,'Multi-Year Inputs'!$D$41:$D$44,0),MATCH(BC$7,'Multi-Year Inputs'!$E$4:$AE$4,0)))</f>
        <v>21353625.848446414</v>
      </c>
      <c r="BD173" s="71">
        <f>IF(BD$8=0,0,INDEX('Multi-Year Inputs'!$E$41:$AE$44,MATCH($B173,'Multi-Year Inputs'!$D$41:$D$44,0),MATCH(BD$7,'Multi-Year Inputs'!$E$4:$AE$4,0)))</f>
        <v>21353625.848446414</v>
      </c>
      <c r="BE173" s="71">
        <f>IF(BE$8=0,0,INDEX('Multi-Year Inputs'!$E$41:$AE$44,MATCH($B173,'Multi-Year Inputs'!$D$41:$D$44,0),MATCH(BE$7,'Multi-Year Inputs'!$E$4:$AE$4,0)))</f>
        <v>21353625.848446414</v>
      </c>
      <c r="BF173" s="71">
        <f>IF(BF$8=0,0,INDEX('Multi-Year Inputs'!$E$41:$AE$44,MATCH($B173,'Multi-Year Inputs'!$D$41:$D$44,0),MATCH(BF$7,'Multi-Year Inputs'!$E$4:$AE$4,0)))</f>
        <v>21353625.848446414</v>
      </c>
      <c r="BG173" s="71">
        <f>IF(BG$8=0,0,INDEX('Multi-Year Inputs'!$E$41:$AE$44,MATCH($B173,'Multi-Year Inputs'!$D$41:$D$44,0),MATCH(BG$7,'Multi-Year Inputs'!$E$4:$AE$4,0)))</f>
        <v>21353625.848446414</v>
      </c>
      <c r="BH173" s="71">
        <f>IF(BH$8=0,0,INDEX('Multi-Year Inputs'!$E$41:$AE$44,MATCH($B173,'Multi-Year Inputs'!$D$41:$D$44,0),MATCH(BH$7,'Multi-Year Inputs'!$E$4:$AE$4,0)))</f>
        <v>21353625.848446414</v>
      </c>
      <c r="BI173" s="71">
        <f>IF(BI$8=0,0,INDEX('Multi-Year Inputs'!$E$41:$AE$44,MATCH($B173,'Multi-Year Inputs'!$D$41:$D$44,0),MATCH(BI$7,'Multi-Year Inputs'!$E$4:$AE$4,0)))</f>
        <v>21353625.848446414</v>
      </c>
      <c r="BJ173" s="71">
        <f>IF(BJ$8=0,0,INDEX('Multi-Year Inputs'!$E$41:$AE$44,MATCH($B173,'Multi-Year Inputs'!$D$41:$D$44,0),MATCH(BJ$7,'Multi-Year Inputs'!$E$4:$AE$4,0)))</f>
        <v>21353625.848446414</v>
      </c>
      <c r="BK173" s="71">
        <f>IF(BK$8=0,0,INDEX('Multi-Year Inputs'!$E$41:$AE$44,MATCH($B173,'Multi-Year Inputs'!$D$41:$D$44,0),MATCH(BK$7,'Multi-Year Inputs'!$E$4:$AE$4,0)))</f>
        <v>21353625.848446414</v>
      </c>
      <c r="BL173" s="71">
        <f>IF(BL$8=0,0,INDEX('Multi-Year Inputs'!$E$41:$AE$44,MATCH($B173,'Multi-Year Inputs'!$D$41:$D$44,0),MATCH(BL$7,'Multi-Year Inputs'!$E$4:$AE$4,0)))</f>
        <v>21353625.848446414</v>
      </c>
      <c r="BM173" s="71">
        <f>IF(BM$8=0,0,INDEX('Multi-Year Inputs'!$E$41:$AE$44,MATCH($B173,'Multi-Year Inputs'!$D$41:$D$44,0),MATCH(BM$7,'Multi-Year Inputs'!$E$4:$AE$4,0)))</f>
        <v>21353625.848446414</v>
      </c>
      <c r="BN173" s="72"/>
      <c r="BO173" s="72">
        <f t="shared" ref="BO173:BO175" si="181">SUM(AM173:BM173)</f>
        <v>555194272.05960703</v>
      </c>
      <c r="BP173" s="72"/>
      <c r="BS173" s="76" t="s">
        <v>91</v>
      </c>
      <c r="BT173" s="51" t="s">
        <v>17</v>
      </c>
    </row>
    <row r="174" spans="1:72" x14ac:dyDescent="0.25">
      <c r="A174" s="246"/>
      <c r="B174" s="243" t="str">
        <f t="shared" si="179"/>
        <v>Small C&amp;I</v>
      </c>
      <c r="C174" s="243" t="str">
        <f>C173</f>
        <v>Sales</v>
      </c>
      <c r="D174" s="244" t="s">
        <v>108</v>
      </c>
      <c r="E174" s="85" t="s">
        <v>108</v>
      </c>
      <c r="F174" s="84" t="s">
        <v>195</v>
      </c>
      <c r="G174" s="64">
        <f ca="1">IF($C$4=Lookups!$D$40,SUM(INDIRECT("'Yr1'!"&amp;ADDRESS(ROW(G174),COLUMN(G174))),INDIRECT("'Yr2'!"&amp;ADDRESS(ROW(G174),COLUMN(G174))),INDIRECT("'Yr3'!"&amp;ADDRESS(ROW(G174),COLUMN(G174)))),
IF(G170&gt;0,SUMIFS('EE Inputs'!$I$9:$I$32,'EE Inputs'!$C$9:$C$32,$G$6,'EE Inputs'!$D$9:$D$32,$C$4,'EE Inputs'!$E$9:$E$32,$B174)/SUMIFS('EE Inputs'!$V$9:$V$32,'EE Inputs'!$C$9:$C$32,$G$6,'EE Inputs'!$D$9:$D$32,$C$4,'EE Inputs'!$E$9:$E$32,$B174)*10,0))</f>
        <v>0</v>
      </c>
      <c r="H174" s="64">
        <f ca="1">IF($C$4=Lookups!$D$40,SUM(INDIRECT("'Yr1'!"&amp;ADDRESS(ROW(H174),COLUMN(H174))),INDIRECT("'Yr2'!"&amp;ADDRESS(ROW(H174),COLUMN(H174))),INDIRECT("'Yr3'!"&amp;ADDRESS(ROW(H174),COLUMN(H174)))),
IF(H170&gt;0,SUMIFS('EE Inputs'!$I$9:$I$32,'EE Inputs'!$C$9:$C$32,$G$6,'EE Inputs'!$D$9:$D$32,$C$4,'EE Inputs'!$E$9:$E$32,$B174)/SUMIFS('EE Inputs'!$V$9:$V$32,'EE Inputs'!$C$9:$C$32,$G$6,'EE Inputs'!$D$9:$D$32,$C$4,'EE Inputs'!$E$9:$E$32,$B174)*10,0))</f>
        <v>362001.52672733425</v>
      </c>
      <c r="I174" s="64">
        <f ca="1">IF($C$4=Lookups!$D$40,SUM(INDIRECT("'Yr1'!"&amp;ADDRESS(ROW(I174),COLUMN(I174))),INDIRECT("'Yr2'!"&amp;ADDRESS(ROW(I174),COLUMN(I174))),INDIRECT("'Yr3'!"&amp;ADDRESS(ROW(I174),COLUMN(I174)))),
IF(I170&gt;0,SUMIFS('EE Inputs'!$I$9:$I$32,'EE Inputs'!$C$9:$C$32,$G$6,'EE Inputs'!$D$9:$D$32,$C$4,'EE Inputs'!$E$9:$E$32,$B174)/SUMIFS('EE Inputs'!$V$9:$V$32,'EE Inputs'!$C$9:$C$32,$G$6,'EE Inputs'!$D$9:$D$32,$C$4,'EE Inputs'!$E$9:$E$32,$B174)*10,0))</f>
        <v>362001.52672733425</v>
      </c>
      <c r="J174" s="64">
        <f ca="1">IF($C$4=Lookups!$D$40,SUM(INDIRECT("'Yr1'!"&amp;ADDRESS(ROW(J174),COLUMN(J174))),INDIRECT("'Yr2'!"&amp;ADDRESS(ROW(J174),COLUMN(J174))),INDIRECT("'Yr3'!"&amp;ADDRESS(ROW(J174),COLUMN(J174)))),
IF(J170&gt;0,SUMIFS('EE Inputs'!$I$9:$I$32,'EE Inputs'!$C$9:$C$32,$G$6,'EE Inputs'!$D$9:$D$32,$C$4,'EE Inputs'!$E$9:$E$32,$B174)/SUMIFS('EE Inputs'!$V$9:$V$32,'EE Inputs'!$C$9:$C$32,$G$6,'EE Inputs'!$D$9:$D$32,$C$4,'EE Inputs'!$E$9:$E$32,$B174)*10,0))</f>
        <v>362001.52672733425</v>
      </c>
      <c r="K174" s="64">
        <f ca="1">IF($C$4=Lookups!$D$40,SUM(INDIRECT("'Yr1'!"&amp;ADDRESS(ROW(K174),COLUMN(K174))),INDIRECT("'Yr2'!"&amp;ADDRESS(ROW(K174),COLUMN(K174))),INDIRECT("'Yr3'!"&amp;ADDRESS(ROW(K174),COLUMN(K174)))),
IF(K170&gt;0,SUMIFS('EE Inputs'!$I$9:$I$32,'EE Inputs'!$C$9:$C$32,$G$6,'EE Inputs'!$D$9:$D$32,$C$4,'EE Inputs'!$E$9:$E$32,$B174)/SUMIFS('EE Inputs'!$V$9:$V$32,'EE Inputs'!$C$9:$C$32,$G$6,'EE Inputs'!$D$9:$D$32,$C$4,'EE Inputs'!$E$9:$E$32,$B174)*10,0))</f>
        <v>362001.52672733425</v>
      </c>
      <c r="L174" s="64">
        <f ca="1">IF($C$4=Lookups!$D$40,SUM(INDIRECT("'Yr1'!"&amp;ADDRESS(ROW(L174),COLUMN(L174))),INDIRECT("'Yr2'!"&amp;ADDRESS(ROW(L174),COLUMN(L174))),INDIRECT("'Yr3'!"&amp;ADDRESS(ROW(L174),COLUMN(L174)))),
IF(L170&gt;0,SUMIFS('EE Inputs'!$I$9:$I$32,'EE Inputs'!$C$9:$C$32,$G$6,'EE Inputs'!$D$9:$D$32,$C$4,'EE Inputs'!$E$9:$E$32,$B174)/SUMIFS('EE Inputs'!$V$9:$V$32,'EE Inputs'!$C$9:$C$32,$G$6,'EE Inputs'!$D$9:$D$32,$C$4,'EE Inputs'!$E$9:$E$32,$B174)*10,0))</f>
        <v>362001.52672733425</v>
      </c>
      <c r="M174" s="64">
        <f ca="1">IF($C$4=Lookups!$D$40,SUM(INDIRECT("'Yr1'!"&amp;ADDRESS(ROW(M174),COLUMN(M174))),INDIRECT("'Yr2'!"&amp;ADDRESS(ROW(M174),COLUMN(M174))),INDIRECT("'Yr3'!"&amp;ADDRESS(ROW(M174),COLUMN(M174)))),
IF(M170&gt;0,SUMIFS('EE Inputs'!$I$9:$I$32,'EE Inputs'!$C$9:$C$32,$G$6,'EE Inputs'!$D$9:$D$32,$C$4,'EE Inputs'!$E$9:$E$32,$B174)/SUMIFS('EE Inputs'!$V$9:$V$32,'EE Inputs'!$C$9:$C$32,$G$6,'EE Inputs'!$D$9:$D$32,$C$4,'EE Inputs'!$E$9:$E$32,$B174)*10,0))</f>
        <v>362001.52672733425</v>
      </c>
      <c r="N174" s="64">
        <f ca="1">IF($C$4=Lookups!$D$40,SUM(INDIRECT("'Yr1'!"&amp;ADDRESS(ROW(N174),COLUMN(N174))),INDIRECT("'Yr2'!"&amp;ADDRESS(ROW(N174),COLUMN(N174))),INDIRECT("'Yr3'!"&amp;ADDRESS(ROW(N174),COLUMN(N174)))),
IF(N170&gt;0,SUMIFS('EE Inputs'!$I$9:$I$32,'EE Inputs'!$C$9:$C$32,$G$6,'EE Inputs'!$D$9:$D$32,$C$4,'EE Inputs'!$E$9:$E$32,$B174)/SUMIFS('EE Inputs'!$V$9:$V$32,'EE Inputs'!$C$9:$C$32,$G$6,'EE Inputs'!$D$9:$D$32,$C$4,'EE Inputs'!$E$9:$E$32,$B174)*10,0))</f>
        <v>362001.52672733425</v>
      </c>
      <c r="O174" s="64">
        <f ca="1">IF($C$4=Lookups!$D$40,SUM(INDIRECT("'Yr1'!"&amp;ADDRESS(ROW(O174),COLUMN(O174))),INDIRECT("'Yr2'!"&amp;ADDRESS(ROW(O174),COLUMN(O174))),INDIRECT("'Yr3'!"&amp;ADDRESS(ROW(O174),COLUMN(O174)))),
IF(O170&gt;0,SUMIFS('EE Inputs'!$I$9:$I$32,'EE Inputs'!$C$9:$C$32,$G$6,'EE Inputs'!$D$9:$D$32,$C$4,'EE Inputs'!$E$9:$E$32,$B174)/SUMIFS('EE Inputs'!$V$9:$V$32,'EE Inputs'!$C$9:$C$32,$G$6,'EE Inputs'!$D$9:$D$32,$C$4,'EE Inputs'!$E$9:$E$32,$B174)*10,0))</f>
        <v>362001.52672733425</v>
      </c>
      <c r="P174" s="64">
        <f ca="1">IF($C$4=Lookups!$D$40,SUM(INDIRECT("'Yr1'!"&amp;ADDRESS(ROW(P174),COLUMN(P174))),INDIRECT("'Yr2'!"&amp;ADDRESS(ROW(P174),COLUMN(P174))),INDIRECT("'Yr3'!"&amp;ADDRESS(ROW(P174),COLUMN(P174)))),
IF(P170&gt;0,SUMIFS('EE Inputs'!$I$9:$I$32,'EE Inputs'!$C$9:$C$32,$G$6,'EE Inputs'!$D$9:$D$32,$C$4,'EE Inputs'!$E$9:$E$32,$B174)/SUMIFS('EE Inputs'!$V$9:$V$32,'EE Inputs'!$C$9:$C$32,$G$6,'EE Inputs'!$D$9:$D$32,$C$4,'EE Inputs'!$E$9:$E$32,$B174)*10,0))</f>
        <v>362001.52672733425</v>
      </c>
      <c r="Q174" s="64">
        <f ca="1">IF($C$4=Lookups!$D$40,SUM(INDIRECT("'Yr1'!"&amp;ADDRESS(ROW(Q174),COLUMN(Q174))),INDIRECT("'Yr2'!"&amp;ADDRESS(ROW(Q174),COLUMN(Q174))),INDIRECT("'Yr3'!"&amp;ADDRESS(ROW(Q174),COLUMN(Q174)))),
IF(Q170&gt;0,SUMIFS('EE Inputs'!$I$9:$I$32,'EE Inputs'!$C$9:$C$32,$G$6,'EE Inputs'!$D$9:$D$32,$C$4,'EE Inputs'!$E$9:$E$32,$B174)/SUMIFS('EE Inputs'!$V$9:$V$32,'EE Inputs'!$C$9:$C$32,$G$6,'EE Inputs'!$D$9:$D$32,$C$4,'EE Inputs'!$E$9:$E$32,$B174)*10,0))</f>
        <v>362001.52672733425</v>
      </c>
      <c r="R174" s="64">
        <f ca="1">IF($C$4=Lookups!$D$40,SUM(INDIRECT("'Yr1'!"&amp;ADDRESS(ROW(R174),COLUMN(R174))),INDIRECT("'Yr2'!"&amp;ADDRESS(ROW(R174),COLUMN(R174))),INDIRECT("'Yr3'!"&amp;ADDRESS(ROW(R174),COLUMN(R174)))),
IF(R170&gt;0,SUMIFS('EE Inputs'!$I$9:$I$32,'EE Inputs'!$C$9:$C$32,$G$6,'EE Inputs'!$D$9:$D$32,$C$4,'EE Inputs'!$E$9:$E$32,$B174)/SUMIFS('EE Inputs'!$V$9:$V$32,'EE Inputs'!$C$9:$C$32,$G$6,'EE Inputs'!$D$9:$D$32,$C$4,'EE Inputs'!$E$9:$E$32,$B174)*10,0))</f>
        <v>362001.52672733425</v>
      </c>
      <c r="S174" s="64">
        <f ca="1">IF($C$4=Lookups!$D$40,SUM(INDIRECT("'Yr1'!"&amp;ADDRESS(ROW(S174),COLUMN(S174))),INDIRECT("'Yr2'!"&amp;ADDRESS(ROW(S174),COLUMN(S174))),INDIRECT("'Yr3'!"&amp;ADDRESS(ROW(S174),COLUMN(S174)))),
IF(S170&gt;0,SUMIFS('EE Inputs'!$I$9:$I$32,'EE Inputs'!$C$9:$C$32,$G$6,'EE Inputs'!$D$9:$D$32,$C$4,'EE Inputs'!$E$9:$E$32,$B174)/SUMIFS('EE Inputs'!$V$9:$V$32,'EE Inputs'!$C$9:$C$32,$G$6,'EE Inputs'!$D$9:$D$32,$C$4,'EE Inputs'!$E$9:$E$32,$B174)*10,0))</f>
        <v>362001.52672733425</v>
      </c>
      <c r="T174" s="64">
        <f ca="1">IF($C$4=Lookups!$D$40,SUM(INDIRECT("'Yr1'!"&amp;ADDRESS(ROW(T174),COLUMN(T174))),INDIRECT("'Yr2'!"&amp;ADDRESS(ROW(T174),COLUMN(T174))),INDIRECT("'Yr3'!"&amp;ADDRESS(ROW(T174),COLUMN(T174)))),
IF(T170&gt;0,SUMIFS('EE Inputs'!$I$9:$I$32,'EE Inputs'!$C$9:$C$32,$G$6,'EE Inputs'!$D$9:$D$32,$C$4,'EE Inputs'!$E$9:$E$32,$B174)/SUMIFS('EE Inputs'!$V$9:$V$32,'EE Inputs'!$C$9:$C$32,$G$6,'EE Inputs'!$D$9:$D$32,$C$4,'EE Inputs'!$E$9:$E$32,$B174)*10,0))</f>
        <v>362001.52672733425</v>
      </c>
      <c r="U174" s="64">
        <f ca="1">IF($C$4=Lookups!$D$40,SUM(INDIRECT("'Yr1'!"&amp;ADDRESS(ROW(U174),COLUMN(U174))),INDIRECT("'Yr2'!"&amp;ADDRESS(ROW(U174),COLUMN(U174))),INDIRECT("'Yr3'!"&amp;ADDRESS(ROW(U174),COLUMN(U174)))),
IF(U170&gt;0,SUMIFS('EE Inputs'!$I$9:$I$32,'EE Inputs'!$C$9:$C$32,$G$6,'EE Inputs'!$D$9:$D$32,$C$4,'EE Inputs'!$E$9:$E$32,$B174)/SUMIFS('EE Inputs'!$V$9:$V$32,'EE Inputs'!$C$9:$C$32,$G$6,'EE Inputs'!$D$9:$D$32,$C$4,'EE Inputs'!$E$9:$E$32,$B174)*10,0))</f>
        <v>362001.52672733425</v>
      </c>
      <c r="V174" s="64">
        <f ca="1">IF($C$4=Lookups!$D$40,SUM(INDIRECT("'Yr1'!"&amp;ADDRESS(ROW(V174),COLUMN(V174))),INDIRECT("'Yr2'!"&amp;ADDRESS(ROW(V174),COLUMN(V174))),INDIRECT("'Yr3'!"&amp;ADDRESS(ROW(V174),COLUMN(V174)))),
IF(V170&gt;0,SUMIFS('EE Inputs'!$I$9:$I$32,'EE Inputs'!$C$9:$C$32,$G$6,'EE Inputs'!$D$9:$D$32,$C$4,'EE Inputs'!$E$9:$E$32,$B174)/SUMIFS('EE Inputs'!$V$9:$V$32,'EE Inputs'!$C$9:$C$32,$G$6,'EE Inputs'!$D$9:$D$32,$C$4,'EE Inputs'!$E$9:$E$32,$B174)*10,0))</f>
        <v>362001.52672733425</v>
      </c>
      <c r="W174" s="64">
        <f ca="1">IF($C$4=Lookups!$D$40,SUM(INDIRECT("'Yr1'!"&amp;ADDRESS(ROW(W174),COLUMN(W174))),INDIRECT("'Yr2'!"&amp;ADDRESS(ROW(W174),COLUMN(W174))),INDIRECT("'Yr3'!"&amp;ADDRESS(ROW(W174),COLUMN(W174)))),
IF(W170&gt;0,SUMIFS('EE Inputs'!$I$9:$I$32,'EE Inputs'!$C$9:$C$32,$G$6,'EE Inputs'!$D$9:$D$32,$C$4,'EE Inputs'!$E$9:$E$32,$B174)/SUMIFS('EE Inputs'!$V$9:$V$32,'EE Inputs'!$C$9:$C$32,$G$6,'EE Inputs'!$D$9:$D$32,$C$4,'EE Inputs'!$E$9:$E$32,$B174)*10,0))</f>
        <v>362001.52672733425</v>
      </c>
      <c r="X174" s="64">
        <f ca="1">IF($C$4=Lookups!$D$40,SUM(INDIRECT("'Yr1'!"&amp;ADDRESS(ROW(X174),COLUMN(X174))),INDIRECT("'Yr2'!"&amp;ADDRESS(ROW(X174),COLUMN(X174))),INDIRECT("'Yr3'!"&amp;ADDRESS(ROW(X174),COLUMN(X174)))),
IF(X170&gt;0,SUMIFS('EE Inputs'!$I$9:$I$32,'EE Inputs'!$C$9:$C$32,$G$6,'EE Inputs'!$D$9:$D$32,$C$4,'EE Inputs'!$E$9:$E$32,$B174)/SUMIFS('EE Inputs'!$V$9:$V$32,'EE Inputs'!$C$9:$C$32,$G$6,'EE Inputs'!$D$9:$D$32,$C$4,'EE Inputs'!$E$9:$E$32,$B174)*10,0))</f>
        <v>0</v>
      </c>
      <c r="Y174" s="64">
        <f ca="1">IF($C$4=Lookups!$D$40,SUM(INDIRECT("'Yr1'!"&amp;ADDRESS(ROW(Y174),COLUMN(Y174))),INDIRECT("'Yr2'!"&amp;ADDRESS(ROW(Y174),COLUMN(Y174))),INDIRECT("'Yr3'!"&amp;ADDRESS(ROW(Y174),COLUMN(Y174)))),
IF(Y170&gt;0,SUMIFS('EE Inputs'!$I$9:$I$32,'EE Inputs'!$C$9:$C$32,$G$6,'EE Inputs'!$D$9:$D$32,$C$4,'EE Inputs'!$E$9:$E$32,$B174)/SUMIFS('EE Inputs'!$V$9:$V$32,'EE Inputs'!$C$9:$C$32,$G$6,'EE Inputs'!$D$9:$D$32,$C$4,'EE Inputs'!$E$9:$E$32,$B174)*10,0))</f>
        <v>0</v>
      </c>
      <c r="Z174" s="64">
        <f ca="1">IF($C$4=Lookups!$D$40,SUM(INDIRECT("'Yr1'!"&amp;ADDRESS(ROW(Z174),COLUMN(Z174))),INDIRECT("'Yr2'!"&amp;ADDRESS(ROW(Z174),COLUMN(Z174))),INDIRECT("'Yr3'!"&amp;ADDRESS(ROW(Z174),COLUMN(Z174)))),
IF(Z170&gt;0,SUMIFS('EE Inputs'!$I$9:$I$32,'EE Inputs'!$C$9:$C$32,$G$6,'EE Inputs'!$D$9:$D$32,$C$4,'EE Inputs'!$E$9:$E$32,$B174)/SUMIFS('EE Inputs'!$V$9:$V$32,'EE Inputs'!$C$9:$C$32,$G$6,'EE Inputs'!$D$9:$D$32,$C$4,'EE Inputs'!$E$9:$E$32,$B174)*10,0))</f>
        <v>0</v>
      </c>
      <c r="AA174" s="64">
        <f ca="1">IF($C$4=Lookups!$D$40,SUM(INDIRECT("'Yr1'!"&amp;ADDRESS(ROW(AA174),COLUMN(AA174))),INDIRECT("'Yr2'!"&amp;ADDRESS(ROW(AA174),COLUMN(AA174))),INDIRECT("'Yr3'!"&amp;ADDRESS(ROW(AA174),COLUMN(AA174)))),
IF(AA170&gt;0,SUMIFS('EE Inputs'!$I$9:$I$32,'EE Inputs'!$C$9:$C$32,$G$6,'EE Inputs'!$D$9:$D$32,$C$4,'EE Inputs'!$E$9:$E$32,$B174)/SUMIFS('EE Inputs'!$V$9:$V$32,'EE Inputs'!$C$9:$C$32,$G$6,'EE Inputs'!$D$9:$D$32,$C$4,'EE Inputs'!$E$9:$E$32,$B174)*10,0))</f>
        <v>0</v>
      </c>
      <c r="AB174" s="64">
        <f ca="1">IF($C$4=Lookups!$D$40,SUM(INDIRECT("'Yr1'!"&amp;ADDRESS(ROW(AB174),COLUMN(AB174))),INDIRECT("'Yr2'!"&amp;ADDRESS(ROW(AB174),COLUMN(AB174))),INDIRECT("'Yr3'!"&amp;ADDRESS(ROW(AB174),COLUMN(AB174)))),
IF(AB170&gt;0,SUMIFS('EE Inputs'!$I$9:$I$32,'EE Inputs'!$C$9:$C$32,$G$6,'EE Inputs'!$D$9:$D$32,$C$4,'EE Inputs'!$E$9:$E$32,$B174)/SUMIFS('EE Inputs'!$V$9:$V$32,'EE Inputs'!$C$9:$C$32,$G$6,'EE Inputs'!$D$9:$D$32,$C$4,'EE Inputs'!$E$9:$E$32,$B174)*10,0))</f>
        <v>0</v>
      </c>
      <c r="AC174" s="64">
        <f ca="1">IF($C$4=Lookups!$D$40,SUM(INDIRECT("'Yr1'!"&amp;ADDRESS(ROW(AC174),COLUMN(AC174))),INDIRECT("'Yr2'!"&amp;ADDRESS(ROW(AC174),COLUMN(AC174))),INDIRECT("'Yr3'!"&amp;ADDRESS(ROW(AC174),COLUMN(AC174)))),
IF(AC170&gt;0,SUMIFS('EE Inputs'!$I$9:$I$32,'EE Inputs'!$C$9:$C$32,$G$6,'EE Inputs'!$D$9:$D$32,$C$4,'EE Inputs'!$E$9:$E$32,$B174)/SUMIFS('EE Inputs'!$V$9:$V$32,'EE Inputs'!$C$9:$C$32,$G$6,'EE Inputs'!$D$9:$D$32,$C$4,'EE Inputs'!$E$9:$E$32,$B174)*10,0))</f>
        <v>0</v>
      </c>
      <c r="AD174" s="64">
        <f ca="1">IF($C$4=Lookups!$D$40,SUM(INDIRECT("'Yr1'!"&amp;ADDRESS(ROW(AD174),COLUMN(AD174))),INDIRECT("'Yr2'!"&amp;ADDRESS(ROW(AD174),COLUMN(AD174))),INDIRECT("'Yr3'!"&amp;ADDRESS(ROW(AD174),COLUMN(AD174)))),
IF(AD170&gt;0,SUMIFS('EE Inputs'!$I$9:$I$32,'EE Inputs'!$C$9:$C$32,$G$6,'EE Inputs'!$D$9:$D$32,$C$4,'EE Inputs'!$E$9:$E$32,$B174)/SUMIFS('EE Inputs'!$V$9:$V$32,'EE Inputs'!$C$9:$C$32,$G$6,'EE Inputs'!$D$9:$D$32,$C$4,'EE Inputs'!$E$9:$E$32,$B174)*10,0))</f>
        <v>0</v>
      </c>
      <c r="AE174" s="64">
        <f ca="1">IF($C$4=Lookups!$D$40,SUM(INDIRECT("'Yr1'!"&amp;ADDRESS(ROW(AE174),COLUMN(AE174))),INDIRECT("'Yr2'!"&amp;ADDRESS(ROW(AE174),COLUMN(AE174))),INDIRECT("'Yr3'!"&amp;ADDRESS(ROW(AE174),COLUMN(AE174)))),
IF(AE170&gt;0,SUMIFS('EE Inputs'!$I$9:$I$32,'EE Inputs'!$C$9:$C$32,$G$6,'EE Inputs'!$D$9:$D$32,$C$4,'EE Inputs'!$E$9:$E$32,$B174)/SUMIFS('EE Inputs'!$V$9:$V$32,'EE Inputs'!$C$9:$C$32,$G$6,'EE Inputs'!$D$9:$D$32,$C$4,'EE Inputs'!$E$9:$E$32,$B174)*10,0))</f>
        <v>0</v>
      </c>
      <c r="AF174" s="64">
        <f ca="1">IF($C$4=Lookups!$D$40,SUM(INDIRECT("'Yr1'!"&amp;ADDRESS(ROW(AF174),COLUMN(AF174))),INDIRECT("'Yr2'!"&amp;ADDRESS(ROW(AF174),COLUMN(AF174))),INDIRECT("'Yr3'!"&amp;ADDRESS(ROW(AF174),COLUMN(AF174)))),
IF(AF170&gt;0,SUMIFS('EE Inputs'!$I$9:$I$32,'EE Inputs'!$C$9:$C$32,$G$6,'EE Inputs'!$D$9:$D$32,$C$4,'EE Inputs'!$E$9:$E$32,$B174)/SUMIFS('EE Inputs'!$V$9:$V$32,'EE Inputs'!$C$9:$C$32,$G$6,'EE Inputs'!$D$9:$D$32,$C$4,'EE Inputs'!$E$9:$E$32,$B174)*10,0))</f>
        <v>0</v>
      </c>
      <c r="AG174" s="64">
        <f ca="1">IF($C$4=Lookups!$D$40,SUM(INDIRECT("'Yr1'!"&amp;ADDRESS(ROW(AG174),COLUMN(AG174))),INDIRECT("'Yr2'!"&amp;ADDRESS(ROW(AG174),COLUMN(AG174))),INDIRECT("'Yr3'!"&amp;ADDRESS(ROW(AG174),COLUMN(AG174)))),
IF(AG170&gt;0,SUMIFS('EE Inputs'!$I$9:$I$32,'EE Inputs'!$C$9:$C$32,$G$6,'EE Inputs'!$D$9:$D$32,$C$4,'EE Inputs'!$E$9:$E$32,$B174)/SUMIFS('EE Inputs'!$V$9:$V$32,'EE Inputs'!$C$9:$C$32,$G$6,'EE Inputs'!$D$9:$D$32,$C$4,'EE Inputs'!$E$9:$E$32,$B174)*10,0))</f>
        <v>0</v>
      </c>
      <c r="AH174" s="64"/>
      <c r="AI174" s="64">
        <f t="shared" ca="1" si="180"/>
        <v>5792024.4276373489</v>
      </c>
      <c r="AJ174" s="64"/>
      <c r="AM174" s="71">
        <f ca="1">IF($C$4=Lookups!$D$40,SUM(INDIRECT("'Yr1'!"&amp;ADDRESS(ROW(AM174),COLUMN(AM174))),INDIRECT("'Yr2'!"&amp;ADDRESS(ROW(AM174),COLUMN(AM174))),INDIRECT("'Yr3'!"&amp;ADDRESS(ROW(AM174),COLUMN(AM174)))),
IF(AM170&gt;0,SUMIFS('EE Inputs'!$I$9:$I$32,'EE Inputs'!$C$9:$C$32,$AM$6,'EE Inputs'!$D$9:$D$32,$C$4,'EE Inputs'!$E$9:$E$32,$B174)/SUMIFS('EE Inputs'!$V$9:$V$32,'EE Inputs'!$C$9:$C$32,$AM$6,'EE Inputs'!$D$9:$D$32,$C$4,'EE Inputs'!$E$9:$E$32,$B174)*10,0))</f>
        <v>0</v>
      </c>
      <c r="AN174" s="71">
        <f ca="1">IF($C$4=Lookups!$D$40,SUM(INDIRECT("'Yr1'!"&amp;ADDRESS(ROW(AN174),COLUMN(AN174))),INDIRECT("'Yr2'!"&amp;ADDRESS(ROW(AN174),COLUMN(AN174))),INDIRECT("'Yr3'!"&amp;ADDRESS(ROW(AN174),COLUMN(AN174)))),
IF(AN170&gt;0,SUMIFS('EE Inputs'!$I$9:$I$32,'EE Inputs'!$C$9:$C$32,$AM$6,'EE Inputs'!$D$9:$D$32,$C$4,'EE Inputs'!$E$9:$E$32,$B174)/SUMIFS('EE Inputs'!$V$9:$V$32,'EE Inputs'!$C$9:$C$32,$AM$6,'EE Inputs'!$D$9:$D$32,$C$4,'EE Inputs'!$E$9:$E$32,$B174)*10,0))</f>
        <v>413716.03054552485</v>
      </c>
      <c r="AO174" s="71">
        <f ca="1">IF($C$4=Lookups!$D$40,SUM(INDIRECT("'Yr1'!"&amp;ADDRESS(ROW(AO174),COLUMN(AO174))),INDIRECT("'Yr2'!"&amp;ADDRESS(ROW(AO174),COLUMN(AO174))),INDIRECT("'Yr3'!"&amp;ADDRESS(ROW(AO174),COLUMN(AO174)))),
IF(AO170&gt;0,SUMIFS('EE Inputs'!$I$9:$I$32,'EE Inputs'!$C$9:$C$32,$AM$6,'EE Inputs'!$D$9:$D$32,$C$4,'EE Inputs'!$E$9:$E$32,$B174)/SUMIFS('EE Inputs'!$V$9:$V$32,'EE Inputs'!$C$9:$C$32,$AM$6,'EE Inputs'!$D$9:$D$32,$C$4,'EE Inputs'!$E$9:$E$32,$B174)*10,0))</f>
        <v>413716.03054552485</v>
      </c>
      <c r="AP174" s="71">
        <f ca="1">IF($C$4=Lookups!$D$40,SUM(INDIRECT("'Yr1'!"&amp;ADDRESS(ROW(AP174),COLUMN(AP174))),INDIRECT("'Yr2'!"&amp;ADDRESS(ROW(AP174),COLUMN(AP174))),INDIRECT("'Yr3'!"&amp;ADDRESS(ROW(AP174),COLUMN(AP174)))),
IF(AP170&gt;0,SUMIFS('EE Inputs'!$I$9:$I$32,'EE Inputs'!$C$9:$C$32,$AM$6,'EE Inputs'!$D$9:$D$32,$C$4,'EE Inputs'!$E$9:$E$32,$B174)/SUMIFS('EE Inputs'!$V$9:$V$32,'EE Inputs'!$C$9:$C$32,$AM$6,'EE Inputs'!$D$9:$D$32,$C$4,'EE Inputs'!$E$9:$E$32,$B174)*10,0))</f>
        <v>413716.03054552485</v>
      </c>
      <c r="AQ174" s="71">
        <f ca="1">IF($C$4=Lookups!$D$40,SUM(INDIRECT("'Yr1'!"&amp;ADDRESS(ROW(AQ174),COLUMN(AQ174))),INDIRECT("'Yr2'!"&amp;ADDRESS(ROW(AQ174),COLUMN(AQ174))),INDIRECT("'Yr3'!"&amp;ADDRESS(ROW(AQ174),COLUMN(AQ174)))),
IF(AQ170&gt;0,SUMIFS('EE Inputs'!$I$9:$I$32,'EE Inputs'!$C$9:$C$32,$AM$6,'EE Inputs'!$D$9:$D$32,$C$4,'EE Inputs'!$E$9:$E$32,$B174)/SUMIFS('EE Inputs'!$V$9:$V$32,'EE Inputs'!$C$9:$C$32,$AM$6,'EE Inputs'!$D$9:$D$32,$C$4,'EE Inputs'!$E$9:$E$32,$B174)*10,0))</f>
        <v>413716.03054552485</v>
      </c>
      <c r="AR174" s="71">
        <f ca="1">IF($C$4=Lookups!$D$40,SUM(INDIRECT("'Yr1'!"&amp;ADDRESS(ROW(AR174),COLUMN(AR174))),INDIRECT("'Yr2'!"&amp;ADDRESS(ROW(AR174),COLUMN(AR174))),INDIRECT("'Yr3'!"&amp;ADDRESS(ROW(AR174),COLUMN(AR174)))),
IF(AR170&gt;0,SUMIFS('EE Inputs'!$I$9:$I$32,'EE Inputs'!$C$9:$C$32,$AM$6,'EE Inputs'!$D$9:$D$32,$C$4,'EE Inputs'!$E$9:$E$32,$B174)/SUMIFS('EE Inputs'!$V$9:$V$32,'EE Inputs'!$C$9:$C$32,$AM$6,'EE Inputs'!$D$9:$D$32,$C$4,'EE Inputs'!$E$9:$E$32,$B174)*10,0))</f>
        <v>413716.03054552485</v>
      </c>
      <c r="AS174" s="71">
        <f ca="1">IF($C$4=Lookups!$D$40,SUM(INDIRECT("'Yr1'!"&amp;ADDRESS(ROW(AS174),COLUMN(AS174))),INDIRECT("'Yr2'!"&amp;ADDRESS(ROW(AS174),COLUMN(AS174))),INDIRECT("'Yr3'!"&amp;ADDRESS(ROW(AS174),COLUMN(AS174)))),
IF(AS170&gt;0,SUMIFS('EE Inputs'!$I$9:$I$32,'EE Inputs'!$C$9:$C$32,$AM$6,'EE Inputs'!$D$9:$D$32,$C$4,'EE Inputs'!$E$9:$E$32,$B174)/SUMIFS('EE Inputs'!$V$9:$V$32,'EE Inputs'!$C$9:$C$32,$AM$6,'EE Inputs'!$D$9:$D$32,$C$4,'EE Inputs'!$E$9:$E$32,$B174)*10,0))</f>
        <v>413716.03054552485</v>
      </c>
      <c r="AT174" s="71">
        <f ca="1">IF($C$4=Lookups!$D$40,SUM(INDIRECT("'Yr1'!"&amp;ADDRESS(ROW(AT174),COLUMN(AT174))),INDIRECT("'Yr2'!"&amp;ADDRESS(ROW(AT174),COLUMN(AT174))),INDIRECT("'Yr3'!"&amp;ADDRESS(ROW(AT174),COLUMN(AT174)))),
IF(AT170&gt;0,SUMIFS('EE Inputs'!$I$9:$I$32,'EE Inputs'!$C$9:$C$32,$AM$6,'EE Inputs'!$D$9:$D$32,$C$4,'EE Inputs'!$E$9:$E$32,$B174)/SUMIFS('EE Inputs'!$V$9:$V$32,'EE Inputs'!$C$9:$C$32,$AM$6,'EE Inputs'!$D$9:$D$32,$C$4,'EE Inputs'!$E$9:$E$32,$B174)*10,0))</f>
        <v>413716.03054552485</v>
      </c>
      <c r="AU174" s="71">
        <f ca="1">IF($C$4=Lookups!$D$40,SUM(INDIRECT("'Yr1'!"&amp;ADDRESS(ROW(AU174),COLUMN(AU174))),INDIRECT("'Yr2'!"&amp;ADDRESS(ROW(AU174),COLUMN(AU174))),INDIRECT("'Yr3'!"&amp;ADDRESS(ROW(AU174),COLUMN(AU174)))),
IF(AU170&gt;0,SUMIFS('EE Inputs'!$I$9:$I$32,'EE Inputs'!$C$9:$C$32,$AM$6,'EE Inputs'!$D$9:$D$32,$C$4,'EE Inputs'!$E$9:$E$32,$B174)/SUMIFS('EE Inputs'!$V$9:$V$32,'EE Inputs'!$C$9:$C$32,$AM$6,'EE Inputs'!$D$9:$D$32,$C$4,'EE Inputs'!$E$9:$E$32,$B174)*10,0))</f>
        <v>413716.03054552485</v>
      </c>
      <c r="AV174" s="71">
        <f ca="1">IF($C$4=Lookups!$D$40,SUM(INDIRECT("'Yr1'!"&amp;ADDRESS(ROW(AV174),COLUMN(AV174))),INDIRECT("'Yr2'!"&amp;ADDRESS(ROW(AV174),COLUMN(AV174))),INDIRECT("'Yr3'!"&amp;ADDRESS(ROW(AV174),COLUMN(AV174)))),
IF(AV170&gt;0,SUMIFS('EE Inputs'!$I$9:$I$32,'EE Inputs'!$C$9:$C$32,$AM$6,'EE Inputs'!$D$9:$D$32,$C$4,'EE Inputs'!$E$9:$E$32,$B174)/SUMIFS('EE Inputs'!$V$9:$V$32,'EE Inputs'!$C$9:$C$32,$AM$6,'EE Inputs'!$D$9:$D$32,$C$4,'EE Inputs'!$E$9:$E$32,$B174)*10,0))</f>
        <v>413716.03054552485</v>
      </c>
      <c r="AW174" s="71">
        <f ca="1">IF($C$4=Lookups!$D$40,SUM(INDIRECT("'Yr1'!"&amp;ADDRESS(ROW(AW174),COLUMN(AW174))),INDIRECT("'Yr2'!"&amp;ADDRESS(ROW(AW174),COLUMN(AW174))),INDIRECT("'Yr3'!"&amp;ADDRESS(ROW(AW174),COLUMN(AW174)))),
IF(AW170&gt;0,SUMIFS('EE Inputs'!$I$9:$I$32,'EE Inputs'!$C$9:$C$32,$AM$6,'EE Inputs'!$D$9:$D$32,$C$4,'EE Inputs'!$E$9:$E$32,$B174)/SUMIFS('EE Inputs'!$V$9:$V$32,'EE Inputs'!$C$9:$C$32,$AM$6,'EE Inputs'!$D$9:$D$32,$C$4,'EE Inputs'!$E$9:$E$32,$B174)*10,0))</f>
        <v>413716.03054552485</v>
      </c>
      <c r="AX174" s="71">
        <f ca="1">IF($C$4=Lookups!$D$40,SUM(INDIRECT("'Yr1'!"&amp;ADDRESS(ROW(AX174),COLUMN(AX174))),INDIRECT("'Yr2'!"&amp;ADDRESS(ROW(AX174),COLUMN(AX174))),INDIRECT("'Yr3'!"&amp;ADDRESS(ROW(AX174),COLUMN(AX174)))),
IF(AX170&gt;0,SUMIFS('EE Inputs'!$I$9:$I$32,'EE Inputs'!$C$9:$C$32,$AM$6,'EE Inputs'!$D$9:$D$32,$C$4,'EE Inputs'!$E$9:$E$32,$B174)/SUMIFS('EE Inputs'!$V$9:$V$32,'EE Inputs'!$C$9:$C$32,$AM$6,'EE Inputs'!$D$9:$D$32,$C$4,'EE Inputs'!$E$9:$E$32,$B174)*10,0))</f>
        <v>413716.03054552485</v>
      </c>
      <c r="AY174" s="71">
        <f ca="1">IF($C$4=Lookups!$D$40,SUM(INDIRECT("'Yr1'!"&amp;ADDRESS(ROW(AY174),COLUMN(AY174))),INDIRECT("'Yr2'!"&amp;ADDRESS(ROW(AY174),COLUMN(AY174))),INDIRECT("'Yr3'!"&amp;ADDRESS(ROW(AY174),COLUMN(AY174)))),
IF(AY170&gt;0,SUMIFS('EE Inputs'!$I$9:$I$32,'EE Inputs'!$C$9:$C$32,$AM$6,'EE Inputs'!$D$9:$D$32,$C$4,'EE Inputs'!$E$9:$E$32,$B174)/SUMIFS('EE Inputs'!$V$9:$V$32,'EE Inputs'!$C$9:$C$32,$AM$6,'EE Inputs'!$D$9:$D$32,$C$4,'EE Inputs'!$E$9:$E$32,$B174)*10,0))</f>
        <v>413716.03054552485</v>
      </c>
      <c r="AZ174" s="71">
        <f ca="1">IF($C$4=Lookups!$D$40,SUM(INDIRECT("'Yr1'!"&amp;ADDRESS(ROW(AZ174),COLUMN(AZ174))),INDIRECT("'Yr2'!"&amp;ADDRESS(ROW(AZ174),COLUMN(AZ174))),INDIRECT("'Yr3'!"&amp;ADDRESS(ROW(AZ174),COLUMN(AZ174)))),
IF(AZ170&gt;0,SUMIFS('EE Inputs'!$I$9:$I$32,'EE Inputs'!$C$9:$C$32,$AM$6,'EE Inputs'!$D$9:$D$32,$C$4,'EE Inputs'!$E$9:$E$32,$B174)/SUMIFS('EE Inputs'!$V$9:$V$32,'EE Inputs'!$C$9:$C$32,$AM$6,'EE Inputs'!$D$9:$D$32,$C$4,'EE Inputs'!$E$9:$E$32,$B174)*10,0))</f>
        <v>413716.03054552485</v>
      </c>
      <c r="BA174" s="71">
        <f ca="1">IF($C$4=Lookups!$D$40,SUM(INDIRECT("'Yr1'!"&amp;ADDRESS(ROW(BA174),COLUMN(BA174))),INDIRECT("'Yr2'!"&amp;ADDRESS(ROW(BA174),COLUMN(BA174))),INDIRECT("'Yr3'!"&amp;ADDRESS(ROW(BA174),COLUMN(BA174)))),
IF(BA170&gt;0,SUMIFS('EE Inputs'!$I$9:$I$32,'EE Inputs'!$C$9:$C$32,$AM$6,'EE Inputs'!$D$9:$D$32,$C$4,'EE Inputs'!$E$9:$E$32,$B174)/SUMIFS('EE Inputs'!$V$9:$V$32,'EE Inputs'!$C$9:$C$32,$AM$6,'EE Inputs'!$D$9:$D$32,$C$4,'EE Inputs'!$E$9:$E$32,$B174)*10,0))</f>
        <v>413716.03054552485</v>
      </c>
      <c r="BB174" s="71">
        <f ca="1">IF($C$4=Lookups!$D$40,SUM(INDIRECT("'Yr1'!"&amp;ADDRESS(ROW(BB174),COLUMN(BB174))),INDIRECT("'Yr2'!"&amp;ADDRESS(ROW(BB174),COLUMN(BB174))),INDIRECT("'Yr3'!"&amp;ADDRESS(ROW(BB174),COLUMN(BB174)))),
IF(BB170&gt;0,SUMIFS('EE Inputs'!$I$9:$I$32,'EE Inputs'!$C$9:$C$32,$AM$6,'EE Inputs'!$D$9:$D$32,$C$4,'EE Inputs'!$E$9:$E$32,$B174)/SUMIFS('EE Inputs'!$V$9:$V$32,'EE Inputs'!$C$9:$C$32,$AM$6,'EE Inputs'!$D$9:$D$32,$C$4,'EE Inputs'!$E$9:$E$32,$B174)*10,0))</f>
        <v>413716.03054552485</v>
      </c>
      <c r="BC174" s="71">
        <f ca="1">IF($C$4=Lookups!$D$40,SUM(INDIRECT("'Yr1'!"&amp;ADDRESS(ROW(BC174),COLUMN(BC174))),INDIRECT("'Yr2'!"&amp;ADDRESS(ROW(BC174),COLUMN(BC174))),INDIRECT("'Yr3'!"&amp;ADDRESS(ROW(BC174),COLUMN(BC174)))),
IF(BC170&gt;0,SUMIFS('EE Inputs'!$I$9:$I$32,'EE Inputs'!$C$9:$C$32,$AM$6,'EE Inputs'!$D$9:$D$32,$C$4,'EE Inputs'!$E$9:$E$32,$B174)/SUMIFS('EE Inputs'!$V$9:$V$32,'EE Inputs'!$C$9:$C$32,$AM$6,'EE Inputs'!$D$9:$D$32,$C$4,'EE Inputs'!$E$9:$E$32,$B174)*10,0))</f>
        <v>413716.03054552485</v>
      </c>
      <c r="BD174" s="71">
        <f ca="1">IF($C$4=Lookups!$D$40,SUM(INDIRECT("'Yr1'!"&amp;ADDRESS(ROW(BD174),COLUMN(BD174))),INDIRECT("'Yr2'!"&amp;ADDRESS(ROW(BD174),COLUMN(BD174))),INDIRECT("'Yr3'!"&amp;ADDRESS(ROW(BD174),COLUMN(BD174)))),
IF(BD170&gt;0,SUMIFS('EE Inputs'!$I$9:$I$32,'EE Inputs'!$C$9:$C$32,$AM$6,'EE Inputs'!$D$9:$D$32,$C$4,'EE Inputs'!$E$9:$E$32,$B174)/SUMIFS('EE Inputs'!$V$9:$V$32,'EE Inputs'!$C$9:$C$32,$AM$6,'EE Inputs'!$D$9:$D$32,$C$4,'EE Inputs'!$E$9:$E$32,$B174)*10,0))</f>
        <v>0</v>
      </c>
      <c r="BE174" s="71">
        <f ca="1">IF($C$4=Lookups!$D$40,SUM(INDIRECT("'Yr1'!"&amp;ADDRESS(ROW(BE174),COLUMN(BE174))),INDIRECT("'Yr2'!"&amp;ADDRESS(ROW(BE174),COLUMN(BE174))),INDIRECT("'Yr3'!"&amp;ADDRESS(ROW(BE174),COLUMN(BE174)))),
IF(BE170&gt;0,SUMIFS('EE Inputs'!$I$9:$I$32,'EE Inputs'!$C$9:$C$32,$AM$6,'EE Inputs'!$D$9:$D$32,$C$4,'EE Inputs'!$E$9:$E$32,$B174)/SUMIFS('EE Inputs'!$V$9:$V$32,'EE Inputs'!$C$9:$C$32,$AM$6,'EE Inputs'!$D$9:$D$32,$C$4,'EE Inputs'!$E$9:$E$32,$B174)*10,0))</f>
        <v>0</v>
      </c>
      <c r="BF174" s="71">
        <f ca="1">IF($C$4=Lookups!$D$40,SUM(INDIRECT("'Yr1'!"&amp;ADDRESS(ROW(BF174),COLUMN(BF174))),INDIRECT("'Yr2'!"&amp;ADDRESS(ROW(BF174),COLUMN(BF174))),INDIRECT("'Yr3'!"&amp;ADDRESS(ROW(BF174),COLUMN(BF174)))),
IF(BF170&gt;0,SUMIFS('EE Inputs'!$I$9:$I$32,'EE Inputs'!$C$9:$C$32,$AM$6,'EE Inputs'!$D$9:$D$32,$C$4,'EE Inputs'!$E$9:$E$32,$B174)/SUMIFS('EE Inputs'!$V$9:$V$32,'EE Inputs'!$C$9:$C$32,$AM$6,'EE Inputs'!$D$9:$D$32,$C$4,'EE Inputs'!$E$9:$E$32,$B174)*10,0))</f>
        <v>0</v>
      </c>
      <c r="BG174" s="71">
        <f ca="1">IF($C$4=Lookups!$D$40,SUM(INDIRECT("'Yr1'!"&amp;ADDRESS(ROW(BG174),COLUMN(BG174))),INDIRECT("'Yr2'!"&amp;ADDRESS(ROW(BG174),COLUMN(BG174))),INDIRECT("'Yr3'!"&amp;ADDRESS(ROW(BG174),COLUMN(BG174)))),
IF(BG170&gt;0,SUMIFS('EE Inputs'!$I$9:$I$32,'EE Inputs'!$C$9:$C$32,$AM$6,'EE Inputs'!$D$9:$D$32,$C$4,'EE Inputs'!$E$9:$E$32,$B174)/SUMIFS('EE Inputs'!$V$9:$V$32,'EE Inputs'!$C$9:$C$32,$AM$6,'EE Inputs'!$D$9:$D$32,$C$4,'EE Inputs'!$E$9:$E$32,$B174)*10,0))</f>
        <v>0</v>
      </c>
      <c r="BH174" s="71">
        <f ca="1">IF($C$4=Lookups!$D$40,SUM(INDIRECT("'Yr1'!"&amp;ADDRESS(ROW(BH174),COLUMN(BH174))),INDIRECT("'Yr2'!"&amp;ADDRESS(ROW(BH174),COLUMN(BH174))),INDIRECT("'Yr3'!"&amp;ADDRESS(ROW(BH174),COLUMN(BH174)))),
IF(BH170&gt;0,SUMIFS('EE Inputs'!$I$9:$I$32,'EE Inputs'!$C$9:$C$32,$AM$6,'EE Inputs'!$D$9:$D$32,$C$4,'EE Inputs'!$E$9:$E$32,$B174)/SUMIFS('EE Inputs'!$V$9:$V$32,'EE Inputs'!$C$9:$C$32,$AM$6,'EE Inputs'!$D$9:$D$32,$C$4,'EE Inputs'!$E$9:$E$32,$B174)*10,0))</f>
        <v>0</v>
      </c>
      <c r="BI174" s="71">
        <f ca="1">IF($C$4=Lookups!$D$40,SUM(INDIRECT("'Yr1'!"&amp;ADDRESS(ROW(BI174),COLUMN(BI174))),INDIRECT("'Yr2'!"&amp;ADDRESS(ROW(BI174),COLUMN(BI174))),INDIRECT("'Yr3'!"&amp;ADDRESS(ROW(BI174),COLUMN(BI174)))),
IF(BI170&gt;0,SUMIFS('EE Inputs'!$I$9:$I$32,'EE Inputs'!$C$9:$C$32,$AM$6,'EE Inputs'!$D$9:$D$32,$C$4,'EE Inputs'!$E$9:$E$32,$B174)/SUMIFS('EE Inputs'!$V$9:$V$32,'EE Inputs'!$C$9:$C$32,$AM$6,'EE Inputs'!$D$9:$D$32,$C$4,'EE Inputs'!$E$9:$E$32,$B174)*10,0))</f>
        <v>0</v>
      </c>
      <c r="BJ174" s="71">
        <f ca="1">IF($C$4=Lookups!$D$40,SUM(INDIRECT("'Yr1'!"&amp;ADDRESS(ROW(BJ174),COLUMN(BJ174))),INDIRECT("'Yr2'!"&amp;ADDRESS(ROW(BJ174),COLUMN(BJ174))),INDIRECT("'Yr3'!"&amp;ADDRESS(ROW(BJ174),COLUMN(BJ174)))),
IF(BJ170&gt;0,SUMIFS('EE Inputs'!$I$9:$I$32,'EE Inputs'!$C$9:$C$32,$AM$6,'EE Inputs'!$D$9:$D$32,$C$4,'EE Inputs'!$E$9:$E$32,$B174)/SUMIFS('EE Inputs'!$V$9:$V$32,'EE Inputs'!$C$9:$C$32,$AM$6,'EE Inputs'!$D$9:$D$32,$C$4,'EE Inputs'!$E$9:$E$32,$B174)*10,0))</f>
        <v>0</v>
      </c>
      <c r="BK174" s="71">
        <f ca="1">IF($C$4=Lookups!$D$40,SUM(INDIRECT("'Yr1'!"&amp;ADDRESS(ROW(BK174),COLUMN(BK174))),INDIRECT("'Yr2'!"&amp;ADDRESS(ROW(BK174),COLUMN(BK174))),INDIRECT("'Yr3'!"&amp;ADDRESS(ROW(BK174),COLUMN(BK174)))),
IF(BK170&gt;0,SUMIFS('EE Inputs'!$I$9:$I$32,'EE Inputs'!$C$9:$C$32,$AM$6,'EE Inputs'!$D$9:$D$32,$C$4,'EE Inputs'!$E$9:$E$32,$B174)/SUMIFS('EE Inputs'!$V$9:$V$32,'EE Inputs'!$C$9:$C$32,$AM$6,'EE Inputs'!$D$9:$D$32,$C$4,'EE Inputs'!$E$9:$E$32,$B174)*10,0))</f>
        <v>0</v>
      </c>
      <c r="BL174" s="71">
        <f ca="1">IF($C$4=Lookups!$D$40,SUM(INDIRECT("'Yr1'!"&amp;ADDRESS(ROW(BL174),COLUMN(BL174))),INDIRECT("'Yr2'!"&amp;ADDRESS(ROW(BL174),COLUMN(BL174))),INDIRECT("'Yr3'!"&amp;ADDRESS(ROW(BL174),COLUMN(BL174)))),
IF(BL170&gt;0,SUMIFS('EE Inputs'!$I$9:$I$32,'EE Inputs'!$C$9:$C$32,$AM$6,'EE Inputs'!$D$9:$D$32,$C$4,'EE Inputs'!$E$9:$E$32,$B174)/SUMIFS('EE Inputs'!$V$9:$V$32,'EE Inputs'!$C$9:$C$32,$AM$6,'EE Inputs'!$D$9:$D$32,$C$4,'EE Inputs'!$E$9:$E$32,$B174)*10,0))</f>
        <v>0</v>
      </c>
      <c r="BM174" s="71">
        <f ca="1">IF($C$4=Lookups!$D$40,SUM(INDIRECT("'Yr1'!"&amp;ADDRESS(ROW(BM174),COLUMN(BM174))),INDIRECT("'Yr2'!"&amp;ADDRESS(ROW(BM174),COLUMN(BM174))),INDIRECT("'Yr3'!"&amp;ADDRESS(ROW(BM174),COLUMN(BM174)))),
IF(BM170&gt;0,SUMIFS('EE Inputs'!$I$9:$I$32,'EE Inputs'!$C$9:$C$32,$AM$6,'EE Inputs'!$D$9:$D$32,$C$4,'EE Inputs'!$E$9:$E$32,$B174)/SUMIFS('EE Inputs'!$V$9:$V$32,'EE Inputs'!$C$9:$C$32,$AM$6,'EE Inputs'!$D$9:$D$32,$C$4,'EE Inputs'!$E$9:$E$32,$B174)*10,0))</f>
        <v>0</v>
      </c>
      <c r="BN174" s="71"/>
      <c r="BO174" s="71">
        <f t="shared" ca="1" si="181"/>
        <v>6619456.4887283994</v>
      </c>
      <c r="BP174" s="71"/>
      <c r="BS174" s="84" t="s">
        <v>92</v>
      </c>
      <c r="BT174" s="51" t="s">
        <v>17</v>
      </c>
    </row>
    <row r="175" spans="1:72" x14ac:dyDescent="0.25">
      <c r="B175" s="243" t="str">
        <f t="shared" si="179"/>
        <v>Small C&amp;I</v>
      </c>
      <c r="C175" s="243" t="str">
        <f>C174</f>
        <v>Sales</v>
      </c>
      <c r="D175" s="244" t="s">
        <v>109</v>
      </c>
      <c r="E175" s="85" t="s">
        <v>109</v>
      </c>
      <c r="F175" s="84" t="s">
        <v>195</v>
      </c>
      <c r="G175" s="65">
        <f ca="1">G173-G174</f>
        <v>0</v>
      </c>
      <c r="H175" s="65">
        <f t="shared" ref="H175:AG175" ca="1" si="182">H173-H174</f>
        <v>20991624.32171908</v>
      </c>
      <c r="I175" s="65">
        <f t="shared" ca="1" si="182"/>
        <v>20991624.32171908</v>
      </c>
      <c r="J175" s="65">
        <f t="shared" ca="1" si="182"/>
        <v>20991624.32171908</v>
      </c>
      <c r="K175" s="65">
        <f t="shared" ca="1" si="182"/>
        <v>20991624.32171908</v>
      </c>
      <c r="L175" s="65">
        <f t="shared" ca="1" si="182"/>
        <v>20991624.32171908</v>
      </c>
      <c r="M175" s="65">
        <f t="shared" ca="1" si="182"/>
        <v>20991624.32171908</v>
      </c>
      <c r="N175" s="65">
        <f t="shared" ca="1" si="182"/>
        <v>20991624.32171908</v>
      </c>
      <c r="O175" s="65">
        <f t="shared" ca="1" si="182"/>
        <v>20991624.32171908</v>
      </c>
      <c r="P175" s="65">
        <f t="shared" ca="1" si="182"/>
        <v>20991624.32171908</v>
      </c>
      <c r="Q175" s="65">
        <f t="shared" ca="1" si="182"/>
        <v>20991624.32171908</v>
      </c>
      <c r="R175" s="65">
        <f t="shared" ca="1" si="182"/>
        <v>20991624.32171908</v>
      </c>
      <c r="S175" s="65">
        <f t="shared" ca="1" si="182"/>
        <v>20991624.32171908</v>
      </c>
      <c r="T175" s="65">
        <f t="shared" ca="1" si="182"/>
        <v>20991624.32171908</v>
      </c>
      <c r="U175" s="65">
        <f t="shared" ca="1" si="182"/>
        <v>20991624.32171908</v>
      </c>
      <c r="V175" s="65">
        <f t="shared" ca="1" si="182"/>
        <v>20991624.32171908</v>
      </c>
      <c r="W175" s="65">
        <f t="shared" ca="1" si="182"/>
        <v>20991624.32171908</v>
      </c>
      <c r="X175" s="65">
        <f t="shared" ca="1" si="182"/>
        <v>21353625.848446414</v>
      </c>
      <c r="Y175" s="65">
        <f t="shared" ca="1" si="182"/>
        <v>21353625.848446414</v>
      </c>
      <c r="Z175" s="65">
        <f t="shared" ca="1" si="182"/>
        <v>21353625.848446414</v>
      </c>
      <c r="AA175" s="65">
        <f t="shared" ca="1" si="182"/>
        <v>21353625.848446414</v>
      </c>
      <c r="AB175" s="65">
        <f t="shared" ca="1" si="182"/>
        <v>21353625.848446414</v>
      </c>
      <c r="AC175" s="65">
        <f t="shared" ca="1" si="182"/>
        <v>21353625.848446414</v>
      </c>
      <c r="AD175" s="65">
        <f t="shared" ca="1" si="182"/>
        <v>21353625.848446414</v>
      </c>
      <c r="AE175" s="65">
        <f t="shared" ca="1" si="182"/>
        <v>21353625.848446414</v>
      </c>
      <c r="AF175" s="65">
        <f t="shared" ca="1" si="182"/>
        <v>21353625.848446414</v>
      </c>
      <c r="AG175" s="65">
        <f t="shared" ca="1" si="182"/>
        <v>21353625.848446414</v>
      </c>
      <c r="AH175" s="65"/>
      <c r="AI175" s="65">
        <f t="shared" ca="1" si="180"/>
        <v>549402247.63196945</v>
      </c>
      <c r="AJ175" s="65"/>
      <c r="AM175" s="72">
        <f ca="1">AM173-AM174</f>
        <v>0</v>
      </c>
      <c r="AN175" s="72">
        <f t="shared" ref="AN175:BM175" ca="1" si="183">AN173-AN174</f>
        <v>20939909.817900889</v>
      </c>
      <c r="AO175" s="72">
        <f t="shared" ca="1" si="183"/>
        <v>20939909.817900889</v>
      </c>
      <c r="AP175" s="72">
        <f t="shared" ca="1" si="183"/>
        <v>20939909.817900889</v>
      </c>
      <c r="AQ175" s="72">
        <f t="shared" ca="1" si="183"/>
        <v>20939909.817900889</v>
      </c>
      <c r="AR175" s="72">
        <f t="shared" ca="1" si="183"/>
        <v>20939909.817900889</v>
      </c>
      <c r="AS175" s="72">
        <f t="shared" ca="1" si="183"/>
        <v>20939909.817900889</v>
      </c>
      <c r="AT175" s="72">
        <f t="shared" ca="1" si="183"/>
        <v>20939909.817900889</v>
      </c>
      <c r="AU175" s="72">
        <f t="shared" ca="1" si="183"/>
        <v>20939909.817900889</v>
      </c>
      <c r="AV175" s="72">
        <f t="shared" ca="1" si="183"/>
        <v>20939909.817900889</v>
      </c>
      <c r="AW175" s="72">
        <f t="shared" ca="1" si="183"/>
        <v>20939909.817900889</v>
      </c>
      <c r="AX175" s="72">
        <f t="shared" ca="1" si="183"/>
        <v>20939909.817900889</v>
      </c>
      <c r="AY175" s="72">
        <f t="shared" ca="1" si="183"/>
        <v>20939909.817900889</v>
      </c>
      <c r="AZ175" s="72">
        <f t="shared" ca="1" si="183"/>
        <v>20939909.817900889</v>
      </c>
      <c r="BA175" s="72">
        <f t="shared" ca="1" si="183"/>
        <v>20939909.817900889</v>
      </c>
      <c r="BB175" s="72">
        <f t="shared" ca="1" si="183"/>
        <v>20939909.817900889</v>
      </c>
      <c r="BC175" s="72">
        <f t="shared" ca="1" si="183"/>
        <v>20939909.817900889</v>
      </c>
      <c r="BD175" s="72">
        <f t="shared" ca="1" si="183"/>
        <v>21353625.848446414</v>
      </c>
      <c r="BE175" s="72">
        <f t="shared" ca="1" si="183"/>
        <v>21353625.848446414</v>
      </c>
      <c r="BF175" s="72">
        <f t="shared" ca="1" si="183"/>
        <v>21353625.848446414</v>
      </c>
      <c r="BG175" s="72">
        <f t="shared" ca="1" si="183"/>
        <v>21353625.848446414</v>
      </c>
      <c r="BH175" s="72">
        <f t="shared" ca="1" si="183"/>
        <v>21353625.848446414</v>
      </c>
      <c r="BI175" s="72">
        <f t="shared" ca="1" si="183"/>
        <v>21353625.848446414</v>
      </c>
      <c r="BJ175" s="72">
        <f t="shared" ca="1" si="183"/>
        <v>21353625.848446414</v>
      </c>
      <c r="BK175" s="72">
        <f t="shared" ca="1" si="183"/>
        <v>21353625.848446414</v>
      </c>
      <c r="BL175" s="72">
        <f t="shared" ca="1" si="183"/>
        <v>21353625.848446414</v>
      </c>
      <c r="BM175" s="72">
        <f t="shared" ca="1" si="183"/>
        <v>21353625.848446414</v>
      </c>
      <c r="BN175" s="72"/>
      <c r="BO175" s="72">
        <f t="shared" ca="1" si="181"/>
        <v>548574815.57087851</v>
      </c>
      <c r="BP175" s="72"/>
      <c r="BS175" s="84" t="s">
        <v>93</v>
      </c>
      <c r="BT175" s="51" t="s">
        <v>17</v>
      </c>
    </row>
    <row r="176" spans="1:72" s="5" customFormat="1" x14ac:dyDescent="0.25">
      <c r="A176" s="52"/>
      <c r="B176" s="242" t="str">
        <f t="shared" si="179"/>
        <v>Small C&amp;I</v>
      </c>
      <c r="C176" s="243" t="str">
        <f>C175</f>
        <v>Sales</v>
      </c>
      <c r="D176" s="77" t="s">
        <v>17</v>
      </c>
      <c r="E176" s="76"/>
      <c r="F176" s="76"/>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c r="AG176" s="468"/>
      <c r="AH176" s="48"/>
      <c r="AI176" s="235"/>
      <c r="AJ176" s="48"/>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S176" s="76"/>
      <c r="BT176" s="51" t="s">
        <v>17</v>
      </c>
    </row>
    <row r="177" spans="1:72" s="5" customFormat="1" ht="15.75" x14ac:dyDescent="0.25">
      <c r="A177" s="52"/>
      <c r="B177" s="241" t="str">
        <f t="shared" si="179"/>
        <v>Small C&amp;I</v>
      </c>
      <c r="C177" s="63" t="s">
        <v>124</v>
      </c>
      <c r="D177" s="61"/>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2"/>
      <c r="BO177" s="62"/>
      <c r="BP177" s="62"/>
      <c r="BS177" s="62"/>
      <c r="BT177" s="51" t="s">
        <v>17</v>
      </c>
    </row>
    <row r="178" spans="1:72" x14ac:dyDescent="0.25">
      <c r="B178" s="243" t="str">
        <f t="shared" si="179"/>
        <v>Small C&amp;I</v>
      </c>
      <c r="C178" s="243" t="str">
        <f t="shared" si="179"/>
        <v>Revenue Requirements</v>
      </c>
      <c r="D178" s="114" t="str">
        <f>"Revenue Requirement before DSM ("&amp;Lookups!$D$22&amp;" Scenario)"</f>
        <v>Revenue Requirement before DSM (No EE Scenario)</v>
      </c>
      <c r="E178" s="84"/>
      <c r="F178" s="84"/>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S178" s="84"/>
      <c r="BT178" s="51" t="s">
        <v>17</v>
      </c>
    </row>
    <row r="179" spans="1:72" x14ac:dyDescent="0.25">
      <c r="B179" s="243" t="str">
        <f t="shared" si="179"/>
        <v>Small C&amp;I</v>
      </c>
      <c r="C179" s="243" t="str">
        <f t="shared" si="179"/>
        <v>Revenue Requirements</v>
      </c>
      <c r="D179" s="244" t="str">
        <f>D178</f>
        <v>Revenue Requirement before DSM (No EE Scenario)</v>
      </c>
      <c r="E179" s="84" t="s">
        <v>26</v>
      </c>
      <c r="F179" s="84" t="s">
        <v>32</v>
      </c>
      <c r="G179" s="65">
        <f>G196*G173</f>
        <v>0</v>
      </c>
      <c r="H179" s="65">
        <f t="shared" ref="H179:AG179" si="184">H196*H173</f>
        <v>8373024.9487512652</v>
      </c>
      <c r="I179" s="65">
        <f t="shared" si="184"/>
        <v>8373024.9487512652</v>
      </c>
      <c r="J179" s="65">
        <f t="shared" si="184"/>
        <v>8373024.9487512652</v>
      </c>
      <c r="K179" s="65">
        <f t="shared" si="184"/>
        <v>8373024.9487512652</v>
      </c>
      <c r="L179" s="65">
        <f t="shared" si="184"/>
        <v>8373024.9487512652</v>
      </c>
      <c r="M179" s="65">
        <f t="shared" si="184"/>
        <v>8373024.9487512652</v>
      </c>
      <c r="N179" s="65">
        <f t="shared" si="184"/>
        <v>8373024.9487512652</v>
      </c>
      <c r="O179" s="65">
        <f t="shared" si="184"/>
        <v>8373024.9487512652</v>
      </c>
      <c r="P179" s="65">
        <f t="shared" si="184"/>
        <v>8373024.9487512652</v>
      </c>
      <c r="Q179" s="65">
        <f t="shared" si="184"/>
        <v>8373024.9487512652</v>
      </c>
      <c r="R179" s="65">
        <f t="shared" si="184"/>
        <v>8373024.9487512652</v>
      </c>
      <c r="S179" s="65">
        <f t="shared" si="184"/>
        <v>8373024.9487512652</v>
      </c>
      <c r="T179" s="65">
        <f t="shared" si="184"/>
        <v>8373024.9487512652</v>
      </c>
      <c r="U179" s="65">
        <f t="shared" si="184"/>
        <v>8373024.9487512652</v>
      </c>
      <c r="V179" s="65">
        <f t="shared" si="184"/>
        <v>8373024.9487512652</v>
      </c>
      <c r="W179" s="65">
        <f t="shared" si="184"/>
        <v>8373024.9487512652</v>
      </c>
      <c r="X179" s="65">
        <f t="shared" si="184"/>
        <v>8373024.9487512652</v>
      </c>
      <c r="Y179" s="65">
        <f t="shared" si="184"/>
        <v>8373024.9487512652</v>
      </c>
      <c r="Z179" s="65">
        <f t="shared" si="184"/>
        <v>8373024.9487512652</v>
      </c>
      <c r="AA179" s="65">
        <f t="shared" si="184"/>
        <v>8373024.9487512652</v>
      </c>
      <c r="AB179" s="65">
        <f t="shared" si="184"/>
        <v>8373024.9487512652</v>
      </c>
      <c r="AC179" s="65">
        <f t="shared" si="184"/>
        <v>8373024.9487512652</v>
      </c>
      <c r="AD179" s="65">
        <f t="shared" si="184"/>
        <v>8373024.9487512652</v>
      </c>
      <c r="AE179" s="65">
        <f t="shared" si="184"/>
        <v>8373024.9487512652</v>
      </c>
      <c r="AF179" s="65">
        <f t="shared" si="184"/>
        <v>8373024.9487512652</v>
      </c>
      <c r="AG179" s="65">
        <f t="shared" si="184"/>
        <v>8373024.9487512652</v>
      </c>
      <c r="AH179" s="65"/>
      <c r="AI179" s="65">
        <f>NPV(Lookups!$E$17,G179:AG179)</f>
        <v>178573888.25587818</v>
      </c>
      <c r="AJ179" s="65"/>
      <c r="AM179" s="72">
        <f>AM196*AM173</f>
        <v>0</v>
      </c>
      <c r="AN179" s="72">
        <f t="shared" ref="AN179:BM179" si="185">AN196*AN173</f>
        <v>8373024.9487512652</v>
      </c>
      <c r="AO179" s="72">
        <f t="shared" si="185"/>
        <v>8373024.9487512652</v>
      </c>
      <c r="AP179" s="72">
        <f t="shared" si="185"/>
        <v>8373024.9487512652</v>
      </c>
      <c r="AQ179" s="72">
        <f t="shared" si="185"/>
        <v>8373024.9487512652</v>
      </c>
      <c r="AR179" s="72">
        <f t="shared" si="185"/>
        <v>8373024.9487512652</v>
      </c>
      <c r="AS179" s="72">
        <f t="shared" si="185"/>
        <v>8373024.9487512652</v>
      </c>
      <c r="AT179" s="72">
        <f t="shared" si="185"/>
        <v>8373024.9487512652</v>
      </c>
      <c r="AU179" s="72">
        <f t="shared" si="185"/>
        <v>8373024.9487512652</v>
      </c>
      <c r="AV179" s="72">
        <f t="shared" si="185"/>
        <v>8373024.9487512652</v>
      </c>
      <c r="AW179" s="72">
        <f t="shared" si="185"/>
        <v>8373024.9487512652</v>
      </c>
      <c r="AX179" s="72">
        <f t="shared" si="185"/>
        <v>8373024.9487512652</v>
      </c>
      <c r="AY179" s="72">
        <f t="shared" si="185"/>
        <v>8373024.9487512652</v>
      </c>
      <c r="AZ179" s="72">
        <f t="shared" si="185"/>
        <v>8373024.9487512652</v>
      </c>
      <c r="BA179" s="72">
        <f t="shared" si="185"/>
        <v>8373024.9487512652</v>
      </c>
      <c r="BB179" s="72">
        <f t="shared" si="185"/>
        <v>8373024.9487512652</v>
      </c>
      <c r="BC179" s="72">
        <f t="shared" si="185"/>
        <v>8373024.9487512652</v>
      </c>
      <c r="BD179" s="72">
        <f t="shared" si="185"/>
        <v>8373024.9487512652</v>
      </c>
      <c r="BE179" s="72">
        <f t="shared" si="185"/>
        <v>8373024.9487512652</v>
      </c>
      <c r="BF179" s="72">
        <f t="shared" si="185"/>
        <v>8373024.9487512652</v>
      </c>
      <c r="BG179" s="72">
        <f t="shared" si="185"/>
        <v>8373024.9487512652</v>
      </c>
      <c r="BH179" s="72">
        <f t="shared" si="185"/>
        <v>8373024.9487512652</v>
      </c>
      <c r="BI179" s="72">
        <f t="shared" si="185"/>
        <v>8373024.9487512652</v>
      </c>
      <c r="BJ179" s="72">
        <f t="shared" si="185"/>
        <v>8373024.9487512652</v>
      </c>
      <c r="BK179" s="72">
        <f t="shared" si="185"/>
        <v>8373024.9487512652</v>
      </c>
      <c r="BL179" s="72">
        <f t="shared" si="185"/>
        <v>8373024.9487512652</v>
      </c>
      <c r="BM179" s="72">
        <f t="shared" si="185"/>
        <v>8373024.9487512652</v>
      </c>
      <c r="BN179" s="72"/>
      <c r="BO179" s="72">
        <f>NPV(Lookups!$E$17,AM179:BM179)</f>
        <v>178573888.25587818</v>
      </c>
      <c r="BP179" s="72"/>
      <c r="BS179" s="84" t="str">
        <f>"No EE Scenario "&amp;E179&amp;" rate multiplied by No EE Scenario sales."</f>
        <v>No EE Scenario Distribution rate multiplied by No EE Scenario sales.</v>
      </c>
      <c r="BT179" s="51" t="s">
        <v>17</v>
      </c>
    </row>
    <row r="180" spans="1:72" x14ac:dyDescent="0.25">
      <c r="B180" s="243" t="str">
        <f t="shared" si="179"/>
        <v>Small C&amp;I</v>
      </c>
      <c r="C180" s="243" t="str">
        <f t="shared" si="179"/>
        <v>Revenue Requirements</v>
      </c>
      <c r="D180" s="244" t="str">
        <f>D179</f>
        <v>Revenue Requirement before DSM (No EE Scenario)</v>
      </c>
      <c r="E180" s="84" t="s">
        <v>407</v>
      </c>
      <c r="F180" s="84" t="s">
        <v>32</v>
      </c>
      <c r="G180" s="65">
        <f>G197*G173</f>
        <v>0</v>
      </c>
      <c r="H180" s="65">
        <f t="shared" ref="H180:AG180" si="186">H197*H173</f>
        <v>111038.85441192142</v>
      </c>
      <c r="I180" s="65">
        <f t="shared" si="186"/>
        <v>111038.85441192142</v>
      </c>
      <c r="J180" s="65">
        <f t="shared" si="186"/>
        <v>111038.85441192142</v>
      </c>
      <c r="K180" s="65">
        <f t="shared" si="186"/>
        <v>111038.85441192142</v>
      </c>
      <c r="L180" s="65">
        <f t="shared" si="186"/>
        <v>111038.85441192142</v>
      </c>
      <c r="M180" s="65">
        <f t="shared" si="186"/>
        <v>111038.85441192142</v>
      </c>
      <c r="N180" s="65">
        <f t="shared" si="186"/>
        <v>111038.85441192142</v>
      </c>
      <c r="O180" s="65">
        <f t="shared" si="186"/>
        <v>111038.85441192142</v>
      </c>
      <c r="P180" s="65">
        <f t="shared" si="186"/>
        <v>111038.85441192142</v>
      </c>
      <c r="Q180" s="65">
        <f t="shared" si="186"/>
        <v>111038.85441192142</v>
      </c>
      <c r="R180" s="65">
        <f t="shared" si="186"/>
        <v>111038.85441192142</v>
      </c>
      <c r="S180" s="65">
        <f t="shared" si="186"/>
        <v>111038.85441192142</v>
      </c>
      <c r="T180" s="65">
        <f t="shared" si="186"/>
        <v>111038.85441192142</v>
      </c>
      <c r="U180" s="65">
        <f t="shared" si="186"/>
        <v>111038.85441192142</v>
      </c>
      <c r="V180" s="65">
        <f t="shared" si="186"/>
        <v>111038.85441192142</v>
      </c>
      <c r="W180" s="65">
        <f t="shared" si="186"/>
        <v>111038.85441192142</v>
      </c>
      <c r="X180" s="65">
        <f t="shared" si="186"/>
        <v>111038.85441192142</v>
      </c>
      <c r="Y180" s="65">
        <f t="shared" si="186"/>
        <v>111038.85441192142</v>
      </c>
      <c r="Z180" s="65">
        <f t="shared" si="186"/>
        <v>111038.85441192142</v>
      </c>
      <c r="AA180" s="65">
        <f t="shared" si="186"/>
        <v>111038.85441192142</v>
      </c>
      <c r="AB180" s="65">
        <f t="shared" si="186"/>
        <v>111038.85441192142</v>
      </c>
      <c r="AC180" s="65">
        <f t="shared" si="186"/>
        <v>111038.85441192142</v>
      </c>
      <c r="AD180" s="65">
        <f t="shared" si="186"/>
        <v>111038.85441192142</v>
      </c>
      <c r="AE180" s="65">
        <f t="shared" si="186"/>
        <v>111038.85441192142</v>
      </c>
      <c r="AF180" s="65">
        <f t="shared" si="186"/>
        <v>111038.85441192142</v>
      </c>
      <c r="AG180" s="65">
        <f t="shared" si="186"/>
        <v>111038.85441192142</v>
      </c>
      <c r="AH180" s="65"/>
      <c r="AI180" s="65">
        <f>NPV(Lookups!$E$17,G180:AG180)</f>
        <v>2368157.2790216487</v>
      </c>
      <c r="AJ180" s="65"/>
      <c r="AM180" s="72">
        <f>AM197*AM173</f>
        <v>0</v>
      </c>
      <c r="AN180" s="72">
        <f t="shared" ref="AN180:BM180" si="187">AN197*AN173</f>
        <v>111038.85441192142</v>
      </c>
      <c r="AO180" s="72">
        <f t="shared" si="187"/>
        <v>111038.85441192142</v>
      </c>
      <c r="AP180" s="72">
        <f t="shared" si="187"/>
        <v>111038.85441192142</v>
      </c>
      <c r="AQ180" s="72">
        <f t="shared" si="187"/>
        <v>111038.85441192142</v>
      </c>
      <c r="AR180" s="72">
        <f t="shared" si="187"/>
        <v>111038.85441192142</v>
      </c>
      <c r="AS180" s="72">
        <f t="shared" si="187"/>
        <v>111038.85441192142</v>
      </c>
      <c r="AT180" s="72">
        <f t="shared" si="187"/>
        <v>111038.85441192142</v>
      </c>
      <c r="AU180" s="72">
        <f t="shared" si="187"/>
        <v>111038.85441192142</v>
      </c>
      <c r="AV180" s="72">
        <f t="shared" si="187"/>
        <v>111038.85441192142</v>
      </c>
      <c r="AW180" s="72">
        <f t="shared" si="187"/>
        <v>111038.85441192142</v>
      </c>
      <c r="AX180" s="72">
        <f t="shared" si="187"/>
        <v>111038.85441192142</v>
      </c>
      <c r="AY180" s="72">
        <f t="shared" si="187"/>
        <v>111038.85441192142</v>
      </c>
      <c r="AZ180" s="72">
        <f t="shared" si="187"/>
        <v>111038.85441192142</v>
      </c>
      <c r="BA180" s="72">
        <f t="shared" si="187"/>
        <v>111038.85441192142</v>
      </c>
      <c r="BB180" s="72">
        <f t="shared" si="187"/>
        <v>111038.85441192142</v>
      </c>
      <c r="BC180" s="72">
        <f t="shared" si="187"/>
        <v>111038.85441192142</v>
      </c>
      <c r="BD180" s="72">
        <f t="shared" si="187"/>
        <v>111038.85441192142</v>
      </c>
      <c r="BE180" s="72">
        <f t="shared" si="187"/>
        <v>111038.85441192142</v>
      </c>
      <c r="BF180" s="72">
        <f t="shared" si="187"/>
        <v>111038.85441192142</v>
      </c>
      <c r="BG180" s="72">
        <f t="shared" si="187"/>
        <v>111038.85441192142</v>
      </c>
      <c r="BH180" s="72">
        <f t="shared" si="187"/>
        <v>111038.85441192142</v>
      </c>
      <c r="BI180" s="72">
        <f t="shared" si="187"/>
        <v>111038.85441192142</v>
      </c>
      <c r="BJ180" s="72">
        <f t="shared" si="187"/>
        <v>111038.85441192142</v>
      </c>
      <c r="BK180" s="72">
        <f t="shared" si="187"/>
        <v>111038.85441192142</v>
      </c>
      <c r="BL180" s="72">
        <f t="shared" si="187"/>
        <v>111038.85441192142</v>
      </c>
      <c r="BM180" s="72">
        <f t="shared" si="187"/>
        <v>111038.85441192142</v>
      </c>
      <c r="BN180" s="72"/>
      <c r="BO180" s="72">
        <f>NPV(Lookups!$E$17,AM180:BM180)</f>
        <v>2368157.2790216487</v>
      </c>
      <c r="BP180" s="72"/>
      <c r="BS180" s="84" t="str">
        <f>"No EE Scenario "&amp;E180&amp;" rate multiplied by No EE Scenario sales."</f>
        <v>No EE Scenario LDAC, Non-EE rate multiplied by No EE Scenario sales.</v>
      </c>
      <c r="BT180" s="51" t="s">
        <v>17</v>
      </c>
    </row>
    <row r="181" spans="1:72" x14ac:dyDescent="0.25">
      <c r="A181" s="1"/>
      <c r="B181" s="243" t="str">
        <f>B179</f>
        <v>Small C&amp;I</v>
      </c>
      <c r="C181" s="243" t="str">
        <f>C179</f>
        <v>Revenue Requirements</v>
      </c>
      <c r="D181" s="244" t="str">
        <f>D179</f>
        <v>Revenue Requirement before DSM (No EE Scenario)</v>
      </c>
      <c r="E181" s="84" t="s">
        <v>197</v>
      </c>
      <c r="F181" s="84" t="s">
        <v>32</v>
      </c>
      <c r="G181" s="65">
        <f>G198*G173</f>
        <v>0</v>
      </c>
      <c r="H181" s="65">
        <f t="shared" ref="H181:AG181" si="188">H198*H173</f>
        <v>13217894.400188331</v>
      </c>
      <c r="I181" s="65">
        <f t="shared" si="188"/>
        <v>13217894.400188331</v>
      </c>
      <c r="J181" s="65">
        <f t="shared" si="188"/>
        <v>13217894.400188331</v>
      </c>
      <c r="K181" s="65">
        <f t="shared" si="188"/>
        <v>13217894.400188331</v>
      </c>
      <c r="L181" s="65">
        <f t="shared" si="188"/>
        <v>13217894.400188331</v>
      </c>
      <c r="M181" s="65">
        <f t="shared" si="188"/>
        <v>13217894.400188331</v>
      </c>
      <c r="N181" s="65">
        <f t="shared" si="188"/>
        <v>13217894.400188331</v>
      </c>
      <c r="O181" s="65">
        <f t="shared" si="188"/>
        <v>13217894.400188331</v>
      </c>
      <c r="P181" s="65">
        <f t="shared" si="188"/>
        <v>13217894.400188331</v>
      </c>
      <c r="Q181" s="65">
        <f t="shared" si="188"/>
        <v>13217894.400188331</v>
      </c>
      <c r="R181" s="65">
        <f t="shared" si="188"/>
        <v>13217894.400188331</v>
      </c>
      <c r="S181" s="65">
        <f t="shared" si="188"/>
        <v>13217894.400188331</v>
      </c>
      <c r="T181" s="65">
        <f t="shared" si="188"/>
        <v>13217894.400188331</v>
      </c>
      <c r="U181" s="65">
        <f t="shared" si="188"/>
        <v>13217894.400188331</v>
      </c>
      <c r="V181" s="65">
        <f t="shared" si="188"/>
        <v>13217894.400188331</v>
      </c>
      <c r="W181" s="65">
        <f t="shared" si="188"/>
        <v>13217894.400188331</v>
      </c>
      <c r="X181" s="65">
        <f t="shared" si="188"/>
        <v>13217894.400188331</v>
      </c>
      <c r="Y181" s="65">
        <f t="shared" si="188"/>
        <v>13217894.400188331</v>
      </c>
      <c r="Z181" s="65">
        <f t="shared" si="188"/>
        <v>13217894.400188331</v>
      </c>
      <c r="AA181" s="65">
        <f t="shared" si="188"/>
        <v>13217894.400188331</v>
      </c>
      <c r="AB181" s="65">
        <f t="shared" si="188"/>
        <v>13217894.400188331</v>
      </c>
      <c r="AC181" s="65">
        <f t="shared" si="188"/>
        <v>13217894.400188331</v>
      </c>
      <c r="AD181" s="65">
        <f t="shared" si="188"/>
        <v>13217894.400188331</v>
      </c>
      <c r="AE181" s="65">
        <f t="shared" si="188"/>
        <v>13217894.400188331</v>
      </c>
      <c r="AF181" s="65">
        <f t="shared" si="188"/>
        <v>13217894.400188331</v>
      </c>
      <c r="AG181" s="65">
        <f t="shared" si="188"/>
        <v>13217894.400188331</v>
      </c>
      <c r="AH181" s="65"/>
      <c r="AI181" s="65">
        <f>NPV(Lookups!$E$17,G181:AG181)</f>
        <v>281901799.1758461</v>
      </c>
      <c r="AJ181" s="65"/>
      <c r="AM181" s="72">
        <f>AM198*AM173</f>
        <v>0</v>
      </c>
      <c r="AN181" s="72">
        <f t="shared" ref="AN181:BM181" si="189">AN198*AN173</f>
        <v>13217894.400188331</v>
      </c>
      <c r="AO181" s="72">
        <f t="shared" si="189"/>
        <v>13217894.400188331</v>
      </c>
      <c r="AP181" s="72">
        <f t="shared" si="189"/>
        <v>13217894.400188331</v>
      </c>
      <c r="AQ181" s="72">
        <f t="shared" si="189"/>
        <v>13217894.400188331</v>
      </c>
      <c r="AR181" s="72">
        <f t="shared" si="189"/>
        <v>13217894.400188331</v>
      </c>
      <c r="AS181" s="72">
        <f t="shared" si="189"/>
        <v>13217894.400188331</v>
      </c>
      <c r="AT181" s="72">
        <f t="shared" si="189"/>
        <v>13217894.400188331</v>
      </c>
      <c r="AU181" s="72">
        <f t="shared" si="189"/>
        <v>13217894.400188331</v>
      </c>
      <c r="AV181" s="72">
        <f t="shared" si="189"/>
        <v>13217894.400188331</v>
      </c>
      <c r="AW181" s="72">
        <f t="shared" si="189"/>
        <v>13217894.400188331</v>
      </c>
      <c r="AX181" s="72">
        <f t="shared" si="189"/>
        <v>13217894.400188331</v>
      </c>
      <c r="AY181" s="72">
        <f t="shared" si="189"/>
        <v>13217894.400188331</v>
      </c>
      <c r="AZ181" s="72">
        <f t="shared" si="189"/>
        <v>13217894.400188331</v>
      </c>
      <c r="BA181" s="72">
        <f t="shared" si="189"/>
        <v>13217894.400188331</v>
      </c>
      <c r="BB181" s="72">
        <f t="shared" si="189"/>
        <v>13217894.400188331</v>
      </c>
      <c r="BC181" s="72">
        <f t="shared" si="189"/>
        <v>13217894.400188331</v>
      </c>
      <c r="BD181" s="72">
        <f t="shared" si="189"/>
        <v>13217894.400188331</v>
      </c>
      <c r="BE181" s="72">
        <f t="shared" si="189"/>
        <v>13217894.400188331</v>
      </c>
      <c r="BF181" s="72">
        <f t="shared" si="189"/>
        <v>13217894.400188331</v>
      </c>
      <c r="BG181" s="72">
        <f t="shared" si="189"/>
        <v>13217894.400188331</v>
      </c>
      <c r="BH181" s="72">
        <f t="shared" si="189"/>
        <v>13217894.400188331</v>
      </c>
      <c r="BI181" s="72">
        <f t="shared" si="189"/>
        <v>13217894.400188331</v>
      </c>
      <c r="BJ181" s="72">
        <f t="shared" si="189"/>
        <v>13217894.400188331</v>
      </c>
      <c r="BK181" s="72">
        <f t="shared" si="189"/>
        <v>13217894.400188331</v>
      </c>
      <c r="BL181" s="72">
        <f t="shared" si="189"/>
        <v>13217894.400188331</v>
      </c>
      <c r="BM181" s="72">
        <f t="shared" si="189"/>
        <v>13217894.400188331</v>
      </c>
      <c r="BN181" s="72"/>
      <c r="BO181" s="72">
        <f>NPV(Lookups!$E$17,AM181:BM181)</f>
        <v>281901799.1758461</v>
      </c>
      <c r="BP181" s="72"/>
      <c r="BS181" s="84" t="str">
        <f>"No EE Scenario "&amp;E181&amp;" rate multiplied by No EE Scenario sales."</f>
        <v>No EE Scenario Cost of Gas rate multiplied by No EE Scenario sales.</v>
      </c>
      <c r="BT181" s="51" t="s">
        <v>17</v>
      </c>
    </row>
    <row r="182" spans="1:72" x14ac:dyDescent="0.25">
      <c r="B182" s="243" t="str">
        <f t="shared" ref="B182:C184" si="190">B181</f>
        <v>Small C&amp;I</v>
      </c>
      <c r="C182" s="243" t="str">
        <f t="shared" si="190"/>
        <v>Revenue Requirements</v>
      </c>
      <c r="D182" s="114" t="s">
        <v>24</v>
      </c>
      <c r="E182" s="84"/>
      <c r="F182" s="84"/>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S182" s="84"/>
      <c r="BT182" s="51" t="s">
        <v>17</v>
      </c>
    </row>
    <row r="183" spans="1:72" x14ac:dyDescent="0.25">
      <c r="A183" s="246"/>
      <c r="B183" s="243" t="str">
        <f t="shared" si="190"/>
        <v>Small C&amp;I</v>
      </c>
      <c r="C183" s="243" t="str">
        <f t="shared" si="190"/>
        <v>Revenue Requirements</v>
      </c>
      <c r="D183" s="244" t="str">
        <f>D182</f>
        <v>Avoided Costs</v>
      </c>
      <c r="E183" s="84" t="s">
        <v>45</v>
      </c>
      <c r="F183" s="84" t="s">
        <v>32</v>
      </c>
      <c r="G183" s="65">
        <f ca="1">IF($C$4=Lookups!$D$40,SUM(INDIRECT("'Yr1'!"&amp;ADDRESS(ROW(G183),COLUMN(G183))),INDIRECT("'Yr2'!"&amp;ADDRESS(ROW(G183),COLUMN(G183))),INDIRECT("'Yr3'!"&amp;ADDRESS(ROW(G183),COLUMN(G183)))),
IF(G170=0,0,-PMT(INDEX(Lookups!$E$17:$G$17,MATCH($C$4,Lookups!$E$14:$G$14,0)),G170,SUMIFS('EE Inputs'!$J$9:$J$32,'EE Inputs'!$C$9:$C$32,$G$6,'EE Inputs'!$D$9:$D$32,$C$4,'EE Inputs'!$E$9:$E$32,$B183),0,1)))-G184</f>
        <v>0</v>
      </c>
      <c r="H183" s="65">
        <f ca="1">IF($C$4=Lookups!$D$40,SUM(INDIRECT("'Yr1'!"&amp;ADDRESS(ROW(H183),COLUMN(H183))),INDIRECT("'Yr2'!"&amp;ADDRESS(ROW(H183),COLUMN(H183))),INDIRECT("'Yr3'!"&amp;ADDRESS(ROW(H183),COLUMN(H183)))),
IF(H170=0,0,-PMT(INDEX(Lookups!$E$17:$G$17,MATCH($C$4,Lookups!$E$14:$G$14,0)),H170,SUMIFS('EE Inputs'!$J$9:$J$32,'EE Inputs'!$C$9:$C$32,$G$6,'EE Inputs'!$D$9:$D$32,$C$4,'EE Inputs'!$E$9:$E$32,$B183),0,1)))-H184</f>
        <v>229964.42289915649</v>
      </c>
      <c r="I183" s="65">
        <f ca="1">IF($C$4=Lookups!$D$40,SUM(INDIRECT("'Yr1'!"&amp;ADDRESS(ROW(I183),COLUMN(I183))),INDIRECT("'Yr2'!"&amp;ADDRESS(ROW(I183),COLUMN(I183))),INDIRECT("'Yr3'!"&amp;ADDRESS(ROW(I183),COLUMN(I183)))),
IF(I170=0,0,-PMT(INDEX(Lookups!$E$17:$G$17,MATCH($C$4,Lookups!$E$14:$G$14,0)),I170,SUMIFS('EE Inputs'!$J$9:$J$32,'EE Inputs'!$C$9:$C$32,$G$6,'EE Inputs'!$D$9:$D$32,$C$4,'EE Inputs'!$E$9:$E$32,$B183),0,1)))-I184</f>
        <v>229964.42289915649</v>
      </c>
      <c r="J183" s="65">
        <f ca="1">IF($C$4=Lookups!$D$40,SUM(INDIRECT("'Yr1'!"&amp;ADDRESS(ROW(J183),COLUMN(J183))),INDIRECT("'Yr2'!"&amp;ADDRESS(ROW(J183),COLUMN(J183))),INDIRECT("'Yr3'!"&amp;ADDRESS(ROW(J183),COLUMN(J183)))),
IF(J170=0,0,-PMT(INDEX(Lookups!$E$17:$G$17,MATCH($C$4,Lookups!$E$14:$G$14,0)),J170,SUMIFS('EE Inputs'!$J$9:$J$32,'EE Inputs'!$C$9:$C$32,$G$6,'EE Inputs'!$D$9:$D$32,$C$4,'EE Inputs'!$E$9:$E$32,$B183),0,1)))-J184</f>
        <v>229964.42289915649</v>
      </c>
      <c r="K183" s="65">
        <f ca="1">IF($C$4=Lookups!$D$40,SUM(INDIRECT("'Yr1'!"&amp;ADDRESS(ROW(K183),COLUMN(K183))),INDIRECT("'Yr2'!"&amp;ADDRESS(ROW(K183),COLUMN(K183))),INDIRECT("'Yr3'!"&amp;ADDRESS(ROW(K183),COLUMN(K183)))),
IF(K170=0,0,-PMT(INDEX(Lookups!$E$17:$G$17,MATCH($C$4,Lookups!$E$14:$G$14,0)),K170,SUMIFS('EE Inputs'!$J$9:$J$32,'EE Inputs'!$C$9:$C$32,$G$6,'EE Inputs'!$D$9:$D$32,$C$4,'EE Inputs'!$E$9:$E$32,$B183),0,1)))-K184</f>
        <v>229964.42289915649</v>
      </c>
      <c r="L183" s="65">
        <f ca="1">IF($C$4=Lookups!$D$40,SUM(INDIRECT("'Yr1'!"&amp;ADDRESS(ROW(L183),COLUMN(L183))),INDIRECT("'Yr2'!"&amp;ADDRESS(ROW(L183),COLUMN(L183))),INDIRECT("'Yr3'!"&amp;ADDRESS(ROW(L183),COLUMN(L183)))),
IF(L170=0,0,-PMT(INDEX(Lookups!$E$17:$G$17,MATCH($C$4,Lookups!$E$14:$G$14,0)),L170,SUMIFS('EE Inputs'!$J$9:$J$32,'EE Inputs'!$C$9:$C$32,$G$6,'EE Inputs'!$D$9:$D$32,$C$4,'EE Inputs'!$E$9:$E$32,$B183),0,1)))-L184</f>
        <v>229964.42289915649</v>
      </c>
      <c r="M183" s="65">
        <f ca="1">IF($C$4=Lookups!$D$40,SUM(INDIRECT("'Yr1'!"&amp;ADDRESS(ROW(M183),COLUMN(M183))),INDIRECT("'Yr2'!"&amp;ADDRESS(ROW(M183),COLUMN(M183))),INDIRECT("'Yr3'!"&amp;ADDRESS(ROW(M183),COLUMN(M183)))),
IF(M170=0,0,-PMT(INDEX(Lookups!$E$17:$G$17,MATCH($C$4,Lookups!$E$14:$G$14,0)),M170,SUMIFS('EE Inputs'!$J$9:$J$32,'EE Inputs'!$C$9:$C$32,$G$6,'EE Inputs'!$D$9:$D$32,$C$4,'EE Inputs'!$E$9:$E$32,$B183),0,1)))-M184</f>
        <v>229964.42289915649</v>
      </c>
      <c r="N183" s="65">
        <f ca="1">IF($C$4=Lookups!$D$40,SUM(INDIRECT("'Yr1'!"&amp;ADDRESS(ROW(N183),COLUMN(N183))),INDIRECT("'Yr2'!"&amp;ADDRESS(ROW(N183),COLUMN(N183))),INDIRECT("'Yr3'!"&amp;ADDRESS(ROW(N183),COLUMN(N183)))),
IF(N170=0,0,-PMT(INDEX(Lookups!$E$17:$G$17,MATCH($C$4,Lookups!$E$14:$G$14,0)),N170,SUMIFS('EE Inputs'!$J$9:$J$32,'EE Inputs'!$C$9:$C$32,$G$6,'EE Inputs'!$D$9:$D$32,$C$4,'EE Inputs'!$E$9:$E$32,$B183),0,1)))-N184</f>
        <v>229964.42289915649</v>
      </c>
      <c r="O183" s="65">
        <f ca="1">IF($C$4=Lookups!$D$40,SUM(INDIRECT("'Yr1'!"&amp;ADDRESS(ROW(O183),COLUMN(O183))),INDIRECT("'Yr2'!"&amp;ADDRESS(ROW(O183),COLUMN(O183))),INDIRECT("'Yr3'!"&amp;ADDRESS(ROW(O183),COLUMN(O183)))),
IF(O170=0,0,-PMT(INDEX(Lookups!$E$17:$G$17,MATCH($C$4,Lookups!$E$14:$G$14,0)),O170,SUMIFS('EE Inputs'!$J$9:$J$32,'EE Inputs'!$C$9:$C$32,$G$6,'EE Inputs'!$D$9:$D$32,$C$4,'EE Inputs'!$E$9:$E$32,$B183),0,1)))-O184</f>
        <v>229964.42289915649</v>
      </c>
      <c r="P183" s="65">
        <f ca="1">IF($C$4=Lookups!$D$40,SUM(INDIRECT("'Yr1'!"&amp;ADDRESS(ROW(P183),COLUMN(P183))),INDIRECT("'Yr2'!"&amp;ADDRESS(ROW(P183),COLUMN(P183))),INDIRECT("'Yr3'!"&amp;ADDRESS(ROW(P183),COLUMN(P183)))),
IF(P170=0,0,-PMT(INDEX(Lookups!$E$17:$G$17,MATCH($C$4,Lookups!$E$14:$G$14,0)),P170,SUMIFS('EE Inputs'!$J$9:$J$32,'EE Inputs'!$C$9:$C$32,$G$6,'EE Inputs'!$D$9:$D$32,$C$4,'EE Inputs'!$E$9:$E$32,$B183),0,1)))-P184</f>
        <v>229964.42289915649</v>
      </c>
      <c r="Q183" s="65">
        <f ca="1">IF($C$4=Lookups!$D$40,SUM(INDIRECT("'Yr1'!"&amp;ADDRESS(ROW(Q183),COLUMN(Q183))),INDIRECT("'Yr2'!"&amp;ADDRESS(ROW(Q183),COLUMN(Q183))),INDIRECT("'Yr3'!"&amp;ADDRESS(ROW(Q183),COLUMN(Q183)))),
IF(Q170=0,0,-PMT(INDEX(Lookups!$E$17:$G$17,MATCH($C$4,Lookups!$E$14:$G$14,0)),Q170,SUMIFS('EE Inputs'!$J$9:$J$32,'EE Inputs'!$C$9:$C$32,$G$6,'EE Inputs'!$D$9:$D$32,$C$4,'EE Inputs'!$E$9:$E$32,$B183),0,1)))-Q184</f>
        <v>229964.42289915649</v>
      </c>
      <c r="R183" s="65">
        <f ca="1">IF($C$4=Lookups!$D$40,SUM(INDIRECT("'Yr1'!"&amp;ADDRESS(ROW(R183),COLUMN(R183))),INDIRECT("'Yr2'!"&amp;ADDRESS(ROW(R183),COLUMN(R183))),INDIRECT("'Yr3'!"&amp;ADDRESS(ROW(R183),COLUMN(R183)))),
IF(R170=0,0,-PMT(INDEX(Lookups!$E$17:$G$17,MATCH($C$4,Lookups!$E$14:$G$14,0)),R170,SUMIFS('EE Inputs'!$J$9:$J$32,'EE Inputs'!$C$9:$C$32,$G$6,'EE Inputs'!$D$9:$D$32,$C$4,'EE Inputs'!$E$9:$E$32,$B183),0,1)))-R184</f>
        <v>229964.42289915649</v>
      </c>
      <c r="S183" s="65">
        <f ca="1">IF($C$4=Lookups!$D$40,SUM(INDIRECT("'Yr1'!"&amp;ADDRESS(ROW(S183),COLUMN(S183))),INDIRECT("'Yr2'!"&amp;ADDRESS(ROW(S183),COLUMN(S183))),INDIRECT("'Yr3'!"&amp;ADDRESS(ROW(S183),COLUMN(S183)))),
IF(S170=0,0,-PMT(INDEX(Lookups!$E$17:$G$17,MATCH($C$4,Lookups!$E$14:$G$14,0)),S170,SUMIFS('EE Inputs'!$J$9:$J$32,'EE Inputs'!$C$9:$C$32,$G$6,'EE Inputs'!$D$9:$D$32,$C$4,'EE Inputs'!$E$9:$E$32,$B183),0,1)))-S184</f>
        <v>229964.42289915649</v>
      </c>
      <c r="T183" s="65">
        <f ca="1">IF($C$4=Lookups!$D$40,SUM(INDIRECT("'Yr1'!"&amp;ADDRESS(ROW(T183),COLUMN(T183))),INDIRECT("'Yr2'!"&amp;ADDRESS(ROW(T183),COLUMN(T183))),INDIRECT("'Yr3'!"&amp;ADDRESS(ROW(T183),COLUMN(T183)))),
IF(T170=0,0,-PMT(INDEX(Lookups!$E$17:$G$17,MATCH($C$4,Lookups!$E$14:$G$14,0)),T170,SUMIFS('EE Inputs'!$J$9:$J$32,'EE Inputs'!$C$9:$C$32,$G$6,'EE Inputs'!$D$9:$D$32,$C$4,'EE Inputs'!$E$9:$E$32,$B183),0,1)))-T184</f>
        <v>229964.42289915649</v>
      </c>
      <c r="U183" s="65">
        <f ca="1">IF($C$4=Lookups!$D$40,SUM(INDIRECT("'Yr1'!"&amp;ADDRESS(ROW(U183),COLUMN(U183))),INDIRECT("'Yr2'!"&amp;ADDRESS(ROW(U183),COLUMN(U183))),INDIRECT("'Yr3'!"&amp;ADDRESS(ROW(U183),COLUMN(U183)))),
IF(U170=0,0,-PMT(INDEX(Lookups!$E$17:$G$17,MATCH($C$4,Lookups!$E$14:$G$14,0)),U170,SUMIFS('EE Inputs'!$J$9:$J$32,'EE Inputs'!$C$9:$C$32,$G$6,'EE Inputs'!$D$9:$D$32,$C$4,'EE Inputs'!$E$9:$E$32,$B183),0,1)))-U184</f>
        <v>229964.42289915649</v>
      </c>
      <c r="V183" s="65">
        <f ca="1">IF($C$4=Lookups!$D$40,SUM(INDIRECT("'Yr1'!"&amp;ADDRESS(ROW(V183),COLUMN(V183))),INDIRECT("'Yr2'!"&amp;ADDRESS(ROW(V183),COLUMN(V183))),INDIRECT("'Yr3'!"&amp;ADDRESS(ROW(V183),COLUMN(V183)))),
IF(V170=0,0,-PMT(INDEX(Lookups!$E$17:$G$17,MATCH($C$4,Lookups!$E$14:$G$14,0)),V170,SUMIFS('EE Inputs'!$J$9:$J$32,'EE Inputs'!$C$9:$C$32,$G$6,'EE Inputs'!$D$9:$D$32,$C$4,'EE Inputs'!$E$9:$E$32,$B183),0,1)))-V184</f>
        <v>229964.42289915649</v>
      </c>
      <c r="W183" s="65">
        <f ca="1">IF($C$4=Lookups!$D$40,SUM(INDIRECT("'Yr1'!"&amp;ADDRESS(ROW(W183),COLUMN(W183))),INDIRECT("'Yr2'!"&amp;ADDRESS(ROW(W183),COLUMN(W183))),INDIRECT("'Yr3'!"&amp;ADDRESS(ROW(W183),COLUMN(W183)))),
IF(W170=0,0,-PMT(INDEX(Lookups!$E$17:$G$17,MATCH($C$4,Lookups!$E$14:$G$14,0)),W170,SUMIFS('EE Inputs'!$J$9:$J$32,'EE Inputs'!$C$9:$C$32,$G$6,'EE Inputs'!$D$9:$D$32,$C$4,'EE Inputs'!$E$9:$E$32,$B183),0,1)))-W184</f>
        <v>229964.42289915649</v>
      </c>
      <c r="X183" s="65">
        <f ca="1">IF($C$4=Lookups!$D$40,SUM(INDIRECT("'Yr1'!"&amp;ADDRESS(ROW(X183),COLUMN(X183))),INDIRECT("'Yr2'!"&amp;ADDRESS(ROW(X183),COLUMN(X183))),INDIRECT("'Yr3'!"&amp;ADDRESS(ROW(X183),COLUMN(X183)))),
IF(X170=0,0,-PMT(INDEX(Lookups!$E$17:$G$17,MATCH($C$4,Lookups!$E$14:$G$14,0)),X170,SUMIFS('EE Inputs'!$J$9:$J$32,'EE Inputs'!$C$9:$C$32,$G$6,'EE Inputs'!$D$9:$D$32,$C$4,'EE Inputs'!$E$9:$E$32,$B183),0,1)))-X184</f>
        <v>0</v>
      </c>
      <c r="Y183" s="65">
        <f ca="1">IF($C$4=Lookups!$D$40,SUM(INDIRECT("'Yr1'!"&amp;ADDRESS(ROW(Y183),COLUMN(Y183))),INDIRECT("'Yr2'!"&amp;ADDRESS(ROW(Y183),COLUMN(Y183))),INDIRECT("'Yr3'!"&amp;ADDRESS(ROW(Y183),COLUMN(Y183)))),
IF(Y170=0,0,-PMT(INDEX(Lookups!$E$17:$G$17,MATCH($C$4,Lookups!$E$14:$G$14,0)),Y170,SUMIFS('EE Inputs'!$J$9:$J$32,'EE Inputs'!$C$9:$C$32,$G$6,'EE Inputs'!$D$9:$D$32,$C$4,'EE Inputs'!$E$9:$E$32,$B183),0,1)))-Y184</f>
        <v>0</v>
      </c>
      <c r="Z183" s="65">
        <f ca="1">IF($C$4=Lookups!$D$40,SUM(INDIRECT("'Yr1'!"&amp;ADDRESS(ROW(Z183),COLUMN(Z183))),INDIRECT("'Yr2'!"&amp;ADDRESS(ROW(Z183),COLUMN(Z183))),INDIRECT("'Yr3'!"&amp;ADDRESS(ROW(Z183),COLUMN(Z183)))),
IF(Z170=0,0,-PMT(INDEX(Lookups!$E$17:$G$17,MATCH($C$4,Lookups!$E$14:$G$14,0)),Z170,SUMIFS('EE Inputs'!$J$9:$J$32,'EE Inputs'!$C$9:$C$32,$G$6,'EE Inputs'!$D$9:$D$32,$C$4,'EE Inputs'!$E$9:$E$32,$B183),0,1)))-Z184</f>
        <v>0</v>
      </c>
      <c r="AA183" s="65">
        <f ca="1">IF($C$4=Lookups!$D$40,SUM(INDIRECT("'Yr1'!"&amp;ADDRESS(ROW(AA183),COLUMN(AA183))),INDIRECT("'Yr2'!"&amp;ADDRESS(ROW(AA183),COLUMN(AA183))),INDIRECT("'Yr3'!"&amp;ADDRESS(ROW(AA183),COLUMN(AA183)))),
IF(AA170=0,0,-PMT(INDEX(Lookups!$E$17:$G$17,MATCH($C$4,Lookups!$E$14:$G$14,0)),AA170,SUMIFS('EE Inputs'!$J$9:$J$32,'EE Inputs'!$C$9:$C$32,$G$6,'EE Inputs'!$D$9:$D$32,$C$4,'EE Inputs'!$E$9:$E$32,$B183),0,1)))-AA184</f>
        <v>0</v>
      </c>
      <c r="AB183" s="65">
        <f ca="1">IF($C$4=Lookups!$D$40,SUM(INDIRECT("'Yr1'!"&amp;ADDRESS(ROW(AB183),COLUMN(AB183))),INDIRECT("'Yr2'!"&amp;ADDRESS(ROW(AB183),COLUMN(AB183))),INDIRECT("'Yr3'!"&amp;ADDRESS(ROW(AB183),COLUMN(AB183)))),
IF(AB170=0,0,-PMT(INDEX(Lookups!$E$17:$G$17,MATCH($C$4,Lookups!$E$14:$G$14,0)),AB170,SUMIFS('EE Inputs'!$J$9:$J$32,'EE Inputs'!$C$9:$C$32,$G$6,'EE Inputs'!$D$9:$D$32,$C$4,'EE Inputs'!$E$9:$E$32,$B183),0,1)))-AB184</f>
        <v>0</v>
      </c>
      <c r="AC183" s="65">
        <f ca="1">IF($C$4=Lookups!$D$40,SUM(INDIRECT("'Yr1'!"&amp;ADDRESS(ROW(AC183),COLUMN(AC183))),INDIRECT("'Yr2'!"&amp;ADDRESS(ROW(AC183),COLUMN(AC183))),INDIRECT("'Yr3'!"&amp;ADDRESS(ROW(AC183),COLUMN(AC183)))),
IF(AC170=0,0,-PMT(INDEX(Lookups!$E$17:$G$17,MATCH($C$4,Lookups!$E$14:$G$14,0)),AC170,SUMIFS('EE Inputs'!$J$9:$J$32,'EE Inputs'!$C$9:$C$32,$G$6,'EE Inputs'!$D$9:$D$32,$C$4,'EE Inputs'!$E$9:$E$32,$B183),0,1)))-AC184</f>
        <v>0</v>
      </c>
      <c r="AD183" s="65">
        <f ca="1">IF($C$4=Lookups!$D$40,SUM(INDIRECT("'Yr1'!"&amp;ADDRESS(ROW(AD183),COLUMN(AD183))),INDIRECT("'Yr2'!"&amp;ADDRESS(ROW(AD183),COLUMN(AD183))),INDIRECT("'Yr3'!"&amp;ADDRESS(ROW(AD183),COLUMN(AD183)))),
IF(AD170=0,0,-PMT(INDEX(Lookups!$E$17:$G$17,MATCH($C$4,Lookups!$E$14:$G$14,0)),AD170,SUMIFS('EE Inputs'!$J$9:$J$32,'EE Inputs'!$C$9:$C$32,$G$6,'EE Inputs'!$D$9:$D$32,$C$4,'EE Inputs'!$E$9:$E$32,$B183),0,1)))-AD184</f>
        <v>0</v>
      </c>
      <c r="AE183" s="65">
        <f ca="1">IF($C$4=Lookups!$D$40,SUM(INDIRECT("'Yr1'!"&amp;ADDRESS(ROW(AE183),COLUMN(AE183))),INDIRECT("'Yr2'!"&amp;ADDRESS(ROW(AE183),COLUMN(AE183))),INDIRECT("'Yr3'!"&amp;ADDRESS(ROW(AE183),COLUMN(AE183)))),
IF(AE170=0,0,-PMT(INDEX(Lookups!$E$17:$G$17,MATCH($C$4,Lookups!$E$14:$G$14,0)),AE170,SUMIFS('EE Inputs'!$J$9:$J$32,'EE Inputs'!$C$9:$C$32,$G$6,'EE Inputs'!$D$9:$D$32,$C$4,'EE Inputs'!$E$9:$E$32,$B183),0,1)))-AE184</f>
        <v>0</v>
      </c>
      <c r="AF183" s="65">
        <f ca="1">IF($C$4=Lookups!$D$40,SUM(INDIRECT("'Yr1'!"&amp;ADDRESS(ROW(AF183),COLUMN(AF183))),INDIRECT("'Yr2'!"&amp;ADDRESS(ROW(AF183),COLUMN(AF183))),INDIRECT("'Yr3'!"&amp;ADDRESS(ROW(AF183),COLUMN(AF183)))),
IF(AF170=0,0,-PMT(INDEX(Lookups!$E$17:$G$17,MATCH($C$4,Lookups!$E$14:$G$14,0)),AF170,SUMIFS('EE Inputs'!$J$9:$J$32,'EE Inputs'!$C$9:$C$32,$G$6,'EE Inputs'!$D$9:$D$32,$C$4,'EE Inputs'!$E$9:$E$32,$B183),0,1)))-AF184</f>
        <v>0</v>
      </c>
      <c r="AG183" s="65">
        <f ca="1">IF($C$4=Lookups!$D$40,SUM(INDIRECT("'Yr1'!"&amp;ADDRESS(ROW(AG183),COLUMN(AG183))),INDIRECT("'Yr2'!"&amp;ADDRESS(ROW(AG183),COLUMN(AG183))),INDIRECT("'Yr3'!"&amp;ADDRESS(ROW(AG183),COLUMN(AG183)))),
IF(AG170=0,0,-PMT(INDEX(Lookups!$E$17:$G$17,MATCH($C$4,Lookups!$E$14:$G$14,0)),AG170,SUMIFS('EE Inputs'!$J$9:$J$32,'EE Inputs'!$C$9:$C$32,$G$6,'EE Inputs'!$D$9:$D$32,$C$4,'EE Inputs'!$E$9:$E$32,$B183),0,1)))-AG184</f>
        <v>0</v>
      </c>
      <c r="AH183" s="65"/>
      <c r="AI183" s="65">
        <f ca="1">NPV(Lookups!$E$17,G183:AG183)</f>
        <v>3226592.0745826084</v>
      </c>
      <c r="AJ183" s="65"/>
      <c r="AM183" s="72">
        <f ca="1">IF($C$4=Lookups!$D$40,SUM(INDIRECT("'Yr1'!"&amp;ADDRESS(ROW(AM183),COLUMN(AM183))),INDIRECT("'Yr2'!"&amp;ADDRESS(ROW(AM183),COLUMN(AM183))),INDIRECT("'Yr3'!"&amp;ADDRESS(ROW(AM183),COLUMN(AM183)))),
IF(AM170=0,0,-PMT(INDEX(Lookups!$E$17:$G$17,MATCH($C$4,Lookups!$E$14:$G$14,0)),AM170,SUMIFS('EE Inputs'!$J$9:$J$32,'EE Inputs'!$C$9:$C$32,$AM$6,'EE Inputs'!$D$9:$D$32,$C$4,'EE Inputs'!$E$9:$E$32,$B183),0,1)))-AM184</f>
        <v>0</v>
      </c>
      <c r="AN183" s="72">
        <f ca="1">IF($C$4=Lookups!$D$40,SUM(INDIRECT("'Yr1'!"&amp;ADDRESS(ROW(AN183),COLUMN(AN183))),INDIRECT("'Yr2'!"&amp;ADDRESS(ROW(AN183),COLUMN(AN183))),INDIRECT("'Yr3'!"&amp;ADDRESS(ROW(AN183),COLUMN(AN183)))),
IF(AN170=0,0,-PMT(INDEX(Lookups!$E$17:$G$17,MATCH($C$4,Lookups!$E$14:$G$14,0)),AN170,SUMIFS('EE Inputs'!$J$9:$J$32,'EE Inputs'!$C$9:$C$32,$AM$6,'EE Inputs'!$D$9:$D$32,$C$4,'EE Inputs'!$E$9:$E$32,$B183),0,1)))-AN184</f>
        <v>262816.48331332172</v>
      </c>
      <c r="AO183" s="72">
        <f ca="1">IF($C$4=Lookups!$D$40,SUM(INDIRECT("'Yr1'!"&amp;ADDRESS(ROW(AO183),COLUMN(AO183))),INDIRECT("'Yr2'!"&amp;ADDRESS(ROW(AO183),COLUMN(AO183))),INDIRECT("'Yr3'!"&amp;ADDRESS(ROW(AO183),COLUMN(AO183)))),
IF(AO170=0,0,-PMT(INDEX(Lookups!$E$17:$G$17,MATCH($C$4,Lookups!$E$14:$G$14,0)),AO170,SUMIFS('EE Inputs'!$J$9:$J$32,'EE Inputs'!$C$9:$C$32,$AM$6,'EE Inputs'!$D$9:$D$32,$C$4,'EE Inputs'!$E$9:$E$32,$B183),0,1)))-AO184</f>
        <v>262816.48331332172</v>
      </c>
      <c r="AP183" s="72">
        <f ca="1">IF($C$4=Lookups!$D$40,SUM(INDIRECT("'Yr1'!"&amp;ADDRESS(ROW(AP183),COLUMN(AP183))),INDIRECT("'Yr2'!"&amp;ADDRESS(ROW(AP183),COLUMN(AP183))),INDIRECT("'Yr3'!"&amp;ADDRESS(ROW(AP183),COLUMN(AP183)))),
IF(AP170=0,0,-PMT(INDEX(Lookups!$E$17:$G$17,MATCH($C$4,Lookups!$E$14:$G$14,0)),AP170,SUMIFS('EE Inputs'!$J$9:$J$32,'EE Inputs'!$C$9:$C$32,$AM$6,'EE Inputs'!$D$9:$D$32,$C$4,'EE Inputs'!$E$9:$E$32,$B183),0,1)))-AP184</f>
        <v>262816.48331332172</v>
      </c>
      <c r="AQ183" s="72">
        <f ca="1">IF($C$4=Lookups!$D$40,SUM(INDIRECT("'Yr1'!"&amp;ADDRESS(ROW(AQ183),COLUMN(AQ183))),INDIRECT("'Yr2'!"&amp;ADDRESS(ROW(AQ183),COLUMN(AQ183))),INDIRECT("'Yr3'!"&amp;ADDRESS(ROW(AQ183),COLUMN(AQ183)))),
IF(AQ170=0,0,-PMT(INDEX(Lookups!$E$17:$G$17,MATCH($C$4,Lookups!$E$14:$G$14,0)),AQ170,SUMIFS('EE Inputs'!$J$9:$J$32,'EE Inputs'!$C$9:$C$32,$AM$6,'EE Inputs'!$D$9:$D$32,$C$4,'EE Inputs'!$E$9:$E$32,$B183),0,1)))-AQ184</f>
        <v>262816.48331332172</v>
      </c>
      <c r="AR183" s="72">
        <f ca="1">IF($C$4=Lookups!$D$40,SUM(INDIRECT("'Yr1'!"&amp;ADDRESS(ROW(AR183),COLUMN(AR183))),INDIRECT("'Yr2'!"&amp;ADDRESS(ROW(AR183),COLUMN(AR183))),INDIRECT("'Yr3'!"&amp;ADDRESS(ROW(AR183),COLUMN(AR183)))),
IF(AR170=0,0,-PMT(INDEX(Lookups!$E$17:$G$17,MATCH($C$4,Lookups!$E$14:$G$14,0)),AR170,SUMIFS('EE Inputs'!$J$9:$J$32,'EE Inputs'!$C$9:$C$32,$AM$6,'EE Inputs'!$D$9:$D$32,$C$4,'EE Inputs'!$E$9:$E$32,$B183),0,1)))-AR184</f>
        <v>262816.48331332172</v>
      </c>
      <c r="AS183" s="72">
        <f ca="1">IF($C$4=Lookups!$D$40,SUM(INDIRECT("'Yr1'!"&amp;ADDRESS(ROW(AS183),COLUMN(AS183))),INDIRECT("'Yr2'!"&amp;ADDRESS(ROW(AS183),COLUMN(AS183))),INDIRECT("'Yr3'!"&amp;ADDRESS(ROW(AS183),COLUMN(AS183)))),
IF(AS170=0,0,-PMT(INDEX(Lookups!$E$17:$G$17,MATCH($C$4,Lookups!$E$14:$G$14,0)),AS170,SUMIFS('EE Inputs'!$J$9:$J$32,'EE Inputs'!$C$9:$C$32,$AM$6,'EE Inputs'!$D$9:$D$32,$C$4,'EE Inputs'!$E$9:$E$32,$B183),0,1)))-AS184</f>
        <v>262816.48331332172</v>
      </c>
      <c r="AT183" s="72">
        <f ca="1">IF($C$4=Lookups!$D$40,SUM(INDIRECT("'Yr1'!"&amp;ADDRESS(ROW(AT183),COLUMN(AT183))),INDIRECT("'Yr2'!"&amp;ADDRESS(ROW(AT183),COLUMN(AT183))),INDIRECT("'Yr3'!"&amp;ADDRESS(ROW(AT183),COLUMN(AT183)))),
IF(AT170=0,0,-PMT(INDEX(Lookups!$E$17:$G$17,MATCH($C$4,Lookups!$E$14:$G$14,0)),AT170,SUMIFS('EE Inputs'!$J$9:$J$32,'EE Inputs'!$C$9:$C$32,$AM$6,'EE Inputs'!$D$9:$D$32,$C$4,'EE Inputs'!$E$9:$E$32,$B183),0,1)))-AT184</f>
        <v>262816.48331332172</v>
      </c>
      <c r="AU183" s="72">
        <f ca="1">IF($C$4=Lookups!$D$40,SUM(INDIRECT("'Yr1'!"&amp;ADDRESS(ROW(AU183),COLUMN(AU183))),INDIRECT("'Yr2'!"&amp;ADDRESS(ROW(AU183),COLUMN(AU183))),INDIRECT("'Yr3'!"&amp;ADDRESS(ROW(AU183),COLUMN(AU183)))),
IF(AU170=0,0,-PMT(INDEX(Lookups!$E$17:$G$17,MATCH($C$4,Lookups!$E$14:$G$14,0)),AU170,SUMIFS('EE Inputs'!$J$9:$J$32,'EE Inputs'!$C$9:$C$32,$AM$6,'EE Inputs'!$D$9:$D$32,$C$4,'EE Inputs'!$E$9:$E$32,$B183),0,1)))-AU184</f>
        <v>262816.48331332172</v>
      </c>
      <c r="AV183" s="72">
        <f ca="1">IF($C$4=Lookups!$D$40,SUM(INDIRECT("'Yr1'!"&amp;ADDRESS(ROW(AV183),COLUMN(AV183))),INDIRECT("'Yr2'!"&amp;ADDRESS(ROW(AV183),COLUMN(AV183))),INDIRECT("'Yr3'!"&amp;ADDRESS(ROW(AV183),COLUMN(AV183)))),
IF(AV170=0,0,-PMT(INDEX(Lookups!$E$17:$G$17,MATCH($C$4,Lookups!$E$14:$G$14,0)),AV170,SUMIFS('EE Inputs'!$J$9:$J$32,'EE Inputs'!$C$9:$C$32,$AM$6,'EE Inputs'!$D$9:$D$32,$C$4,'EE Inputs'!$E$9:$E$32,$B183),0,1)))-AV184</f>
        <v>262816.48331332172</v>
      </c>
      <c r="AW183" s="72">
        <f ca="1">IF($C$4=Lookups!$D$40,SUM(INDIRECT("'Yr1'!"&amp;ADDRESS(ROW(AW183),COLUMN(AW183))),INDIRECT("'Yr2'!"&amp;ADDRESS(ROW(AW183),COLUMN(AW183))),INDIRECT("'Yr3'!"&amp;ADDRESS(ROW(AW183),COLUMN(AW183)))),
IF(AW170=0,0,-PMT(INDEX(Lookups!$E$17:$G$17,MATCH($C$4,Lookups!$E$14:$G$14,0)),AW170,SUMIFS('EE Inputs'!$J$9:$J$32,'EE Inputs'!$C$9:$C$32,$AM$6,'EE Inputs'!$D$9:$D$32,$C$4,'EE Inputs'!$E$9:$E$32,$B183),0,1)))-AW184</f>
        <v>262816.48331332172</v>
      </c>
      <c r="AX183" s="72">
        <f ca="1">IF($C$4=Lookups!$D$40,SUM(INDIRECT("'Yr1'!"&amp;ADDRESS(ROW(AX183),COLUMN(AX183))),INDIRECT("'Yr2'!"&amp;ADDRESS(ROW(AX183),COLUMN(AX183))),INDIRECT("'Yr3'!"&amp;ADDRESS(ROW(AX183),COLUMN(AX183)))),
IF(AX170=0,0,-PMT(INDEX(Lookups!$E$17:$G$17,MATCH($C$4,Lookups!$E$14:$G$14,0)),AX170,SUMIFS('EE Inputs'!$J$9:$J$32,'EE Inputs'!$C$9:$C$32,$AM$6,'EE Inputs'!$D$9:$D$32,$C$4,'EE Inputs'!$E$9:$E$32,$B183),0,1)))-AX184</f>
        <v>262816.48331332172</v>
      </c>
      <c r="AY183" s="72">
        <f ca="1">IF($C$4=Lookups!$D$40,SUM(INDIRECT("'Yr1'!"&amp;ADDRESS(ROW(AY183),COLUMN(AY183))),INDIRECT("'Yr2'!"&amp;ADDRESS(ROW(AY183),COLUMN(AY183))),INDIRECT("'Yr3'!"&amp;ADDRESS(ROW(AY183),COLUMN(AY183)))),
IF(AY170=0,0,-PMT(INDEX(Lookups!$E$17:$G$17,MATCH($C$4,Lookups!$E$14:$G$14,0)),AY170,SUMIFS('EE Inputs'!$J$9:$J$32,'EE Inputs'!$C$9:$C$32,$AM$6,'EE Inputs'!$D$9:$D$32,$C$4,'EE Inputs'!$E$9:$E$32,$B183),0,1)))-AY184</f>
        <v>262816.48331332172</v>
      </c>
      <c r="AZ183" s="72">
        <f ca="1">IF($C$4=Lookups!$D$40,SUM(INDIRECT("'Yr1'!"&amp;ADDRESS(ROW(AZ183),COLUMN(AZ183))),INDIRECT("'Yr2'!"&amp;ADDRESS(ROW(AZ183),COLUMN(AZ183))),INDIRECT("'Yr3'!"&amp;ADDRESS(ROW(AZ183),COLUMN(AZ183)))),
IF(AZ170=0,0,-PMT(INDEX(Lookups!$E$17:$G$17,MATCH($C$4,Lookups!$E$14:$G$14,0)),AZ170,SUMIFS('EE Inputs'!$J$9:$J$32,'EE Inputs'!$C$9:$C$32,$AM$6,'EE Inputs'!$D$9:$D$32,$C$4,'EE Inputs'!$E$9:$E$32,$B183),0,1)))-AZ184</f>
        <v>262816.48331332172</v>
      </c>
      <c r="BA183" s="72">
        <f ca="1">IF($C$4=Lookups!$D$40,SUM(INDIRECT("'Yr1'!"&amp;ADDRESS(ROW(BA183),COLUMN(BA183))),INDIRECT("'Yr2'!"&amp;ADDRESS(ROW(BA183),COLUMN(BA183))),INDIRECT("'Yr3'!"&amp;ADDRESS(ROW(BA183),COLUMN(BA183)))),
IF(BA170=0,0,-PMT(INDEX(Lookups!$E$17:$G$17,MATCH($C$4,Lookups!$E$14:$G$14,0)),BA170,SUMIFS('EE Inputs'!$J$9:$J$32,'EE Inputs'!$C$9:$C$32,$AM$6,'EE Inputs'!$D$9:$D$32,$C$4,'EE Inputs'!$E$9:$E$32,$B183),0,1)))-BA184</f>
        <v>262816.48331332172</v>
      </c>
      <c r="BB183" s="72">
        <f ca="1">IF($C$4=Lookups!$D$40,SUM(INDIRECT("'Yr1'!"&amp;ADDRESS(ROW(BB183),COLUMN(BB183))),INDIRECT("'Yr2'!"&amp;ADDRESS(ROW(BB183),COLUMN(BB183))),INDIRECT("'Yr3'!"&amp;ADDRESS(ROW(BB183),COLUMN(BB183)))),
IF(BB170=0,0,-PMT(INDEX(Lookups!$E$17:$G$17,MATCH($C$4,Lookups!$E$14:$G$14,0)),BB170,SUMIFS('EE Inputs'!$J$9:$J$32,'EE Inputs'!$C$9:$C$32,$AM$6,'EE Inputs'!$D$9:$D$32,$C$4,'EE Inputs'!$E$9:$E$32,$B183),0,1)))-BB184</f>
        <v>262816.48331332172</v>
      </c>
      <c r="BC183" s="72">
        <f ca="1">IF($C$4=Lookups!$D$40,SUM(INDIRECT("'Yr1'!"&amp;ADDRESS(ROW(BC183),COLUMN(BC183))),INDIRECT("'Yr2'!"&amp;ADDRESS(ROW(BC183),COLUMN(BC183))),INDIRECT("'Yr3'!"&amp;ADDRESS(ROW(BC183),COLUMN(BC183)))),
IF(BC170=0,0,-PMT(INDEX(Lookups!$E$17:$G$17,MATCH($C$4,Lookups!$E$14:$G$14,0)),BC170,SUMIFS('EE Inputs'!$J$9:$J$32,'EE Inputs'!$C$9:$C$32,$AM$6,'EE Inputs'!$D$9:$D$32,$C$4,'EE Inputs'!$E$9:$E$32,$B183),0,1)))-BC184</f>
        <v>262816.48331332172</v>
      </c>
      <c r="BD183" s="72">
        <f ca="1">IF($C$4=Lookups!$D$40,SUM(INDIRECT("'Yr1'!"&amp;ADDRESS(ROW(BD183),COLUMN(BD183))),INDIRECT("'Yr2'!"&amp;ADDRESS(ROW(BD183),COLUMN(BD183))),INDIRECT("'Yr3'!"&amp;ADDRESS(ROW(BD183),COLUMN(BD183)))),
IF(BD170=0,0,-PMT(INDEX(Lookups!$E$17:$G$17,MATCH($C$4,Lookups!$E$14:$G$14,0)),BD170,SUMIFS('EE Inputs'!$J$9:$J$32,'EE Inputs'!$C$9:$C$32,$AM$6,'EE Inputs'!$D$9:$D$32,$C$4,'EE Inputs'!$E$9:$E$32,$B183),0,1)))-BD184</f>
        <v>0</v>
      </c>
      <c r="BE183" s="72">
        <f ca="1">IF($C$4=Lookups!$D$40,SUM(INDIRECT("'Yr1'!"&amp;ADDRESS(ROW(BE183),COLUMN(BE183))),INDIRECT("'Yr2'!"&amp;ADDRESS(ROW(BE183),COLUMN(BE183))),INDIRECT("'Yr3'!"&amp;ADDRESS(ROW(BE183),COLUMN(BE183)))),
IF(BE170=0,0,-PMT(INDEX(Lookups!$E$17:$G$17,MATCH($C$4,Lookups!$E$14:$G$14,0)),BE170,SUMIFS('EE Inputs'!$J$9:$J$32,'EE Inputs'!$C$9:$C$32,$AM$6,'EE Inputs'!$D$9:$D$32,$C$4,'EE Inputs'!$E$9:$E$32,$B183),0,1)))-BE184</f>
        <v>0</v>
      </c>
      <c r="BF183" s="72">
        <f ca="1">IF($C$4=Lookups!$D$40,SUM(INDIRECT("'Yr1'!"&amp;ADDRESS(ROW(BF183),COLUMN(BF183))),INDIRECT("'Yr2'!"&amp;ADDRESS(ROW(BF183),COLUMN(BF183))),INDIRECT("'Yr3'!"&amp;ADDRESS(ROW(BF183),COLUMN(BF183)))),
IF(BF170=0,0,-PMT(INDEX(Lookups!$E$17:$G$17,MATCH($C$4,Lookups!$E$14:$G$14,0)),BF170,SUMIFS('EE Inputs'!$J$9:$J$32,'EE Inputs'!$C$9:$C$32,$AM$6,'EE Inputs'!$D$9:$D$32,$C$4,'EE Inputs'!$E$9:$E$32,$B183),0,1)))-BF184</f>
        <v>0</v>
      </c>
      <c r="BG183" s="72">
        <f ca="1">IF($C$4=Lookups!$D$40,SUM(INDIRECT("'Yr1'!"&amp;ADDRESS(ROW(BG183),COLUMN(BG183))),INDIRECT("'Yr2'!"&amp;ADDRESS(ROW(BG183),COLUMN(BG183))),INDIRECT("'Yr3'!"&amp;ADDRESS(ROW(BG183),COLUMN(BG183)))),
IF(BG170=0,0,-PMT(INDEX(Lookups!$E$17:$G$17,MATCH($C$4,Lookups!$E$14:$G$14,0)),BG170,SUMIFS('EE Inputs'!$J$9:$J$32,'EE Inputs'!$C$9:$C$32,$AM$6,'EE Inputs'!$D$9:$D$32,$C$4,'EE Inputs'!$E$9:$E$32,$B183),0,1)))-BG184</f>
        <v>0</v>
      </c>
      <c r="BH183" s="72">
        <f ca="1">IF($C$4=Lookups!$D$40,SUM(INDIRECT("'Yr1'!"&amp;ADDRESS(ROW(BH183),COLUMN(BH183))),INDIRECT("'Yr2'!"&amp;ADDRESS(ROW(BH183),COLUMN(BH183))),INDIRECT("'Yr3'!"&amp;ADDRESS(ROW(BH183),COLUMN(BH183)))),
IF(BH170=0,0,-PMT(INDEX(Lookups!$E$17:$G$17,MATCH($C$4,Lookups!$E$14:$G$14,0)),BH170,SUMIFS('EE Inputs'!$J$9:$J$32,'EE Inputs'!$C$9:$C$32,$AM$6,'EE Inputs'!$D$9:$D$32,$C$4,'EE Inputs'!$E$9:$E$32,$B183),0,1)))-BH184</f>
        <v>0</v>
      </c>
      <c r="BI183" s="72">
        <f ca="1">IF($C$4=Lookups!$D$40,SUM(INDIRECT("'Yr1'!"&amp;ADDRESS(ROW(BI183),COLUMN(BI183))),INDIRECT("'Yr2'!"&amp;ADDRESS(ROW(BI183),COLUMN(BI183))),INDIRECT("'Yr3'!"&amp;ADDRESS(ROW(BI183),COLUMN(BI183)))),
IF(BI170=0,0,-PMT(INDEX(Lookups!$E$17:$G$17,MATCH($C$4,Lookups!$E$14:$G$14,0)),BI170,SUMIFS('EE Inputs'!$J$9:$J$32,'EE Inputs'!$C$9:$C$32,$AM$6,'EE Inputs'!$D$9:$D$32,$C$4,'EE Inputs'!$E$9:$E$32,$B183),0,1)))-BI184</f>
        <v>0</v>
      </c>
      <c r="BJ183" s="72">
        <f ca="1">IF($C$4=Lookups!$D$40,SUM(INDIRECT("'Yr1'!"&amp;ADDRESS(ROW(BJ183),COLUMN(BJ183))),INDIRECT("'Yr2'!"&amp;ADDRESS(ROW(BJ183),COLUMN(BJ183))),INDIRECT("'Yr3'!"&amp;ADDRESS(ROW(BJ183),COLUMN(BJ183)))),
IF(BJ170=0,0,-PMT(INDEX(Lookups!$E$17:$G$17,MATCH($C$4,Lookups!$E$14:$G$14,0)),BJ170,SUMIFS('EE Inputs'!$J$9:$J$32,'EE Inputs'!$C$9:$C$32,$AM$6,'EE Inputs'!$D$9:$D$32,$C$4,'EE Inputs'!$E$9:$E$32,$B183),0,1)))-BJ184</f>
        <v>0</v>
      </c>
      <c r="BK183" s="72">
        <f ca="1">IF($C$4=Lookups!$D$40,SUM(INDIRECT("'Yr1'!"&amp;ADDRESS(ROW(BK183),COLUMN(BK183))),INDIRECT("'Yr2'!"&amp;ADDRESS(ROW(BK183),COLUMN(BK183))),INDIRECT("'Yr3'!"&amp;ADDRESS(ROW(BK183),COLUMN(BK183)))),
IF(BK170=0,0,-PMT(INDEX(Lookups!$E$17:$G$17,MATCH($C$4,Lookups!$E$14:$G$14,0)),BK170,SUMIFS('EE Inputs'!$J$9:$J$32,'EE Inputs'!$C$9:$C$32,$AM$6,'EE Inputs'!$D$9:$D$32,$C$4,'EE Inputs'!$E$9:$E$32,$B183),0,1)))-BK184</f>
        <v>0</v>
      </c>
      <c r="BL183" s="72">
        <f ca="1">IF($C$4=Lookups!$D$40,SUM(INDIRECT("'Yr1'!"&amp;ADDRESS(ROW(BL183),COLUMN(BL183))),INDIRECT("'Yr2'!"&amp;ADDRESS(ROW(BL183),COLUMN(BL183))),INDIRECT("'Yr3'!"&amp;ADDRESS(ROW(BL183),COLUMN(BL183)))),
IF(BL170=0,0,-PMT(INDEX(Lookups!$E$17:$G$17,MATCH($C$4,Lookups!$E$14:$G$14,0)),BL170,SUMIFS('EE Inputs'!$J$9:$J$32,'EE Inputs'!$C$9:$C$32,$AM$6,'EE Inputs'!$D$9:$D$32,$C$4,'EE Inputs'!$E$9:$E$32,$B183),0,1)))-BL184</f>
        <v>0</v>
      </c>
      <c r="BM183" s="72">
        <f ca="1">IF($C$4=Lookups!$D$40,SUM(INDIRECT("'Yr1'!"&amp;ADDRESS(ROW(BM183),COLUMN(BM183))),INDIRECT("'Yr2'!"&amp;ADDRESS(ROW(BM183),COLUMN(BM183))),INDIRECT("'Yr3'!"&amp;ADDRESS(ROW(BM183),COLUMN(BM183)))),
IF(BM170=0,0,-PMT(INDEX(Lookups!$E$17:$G$17,MATCH($C$4,Lookups!$E$14:$G$14,0)),BM170,SUMIFS('EE Inputs'!$J$9:$J$32,'EE Inputs'!$C$9:$C$32,$AM$6,'EE Inputs'!$D$9:$D$32,$C$4,'EE Inputs'!$E$9:$E$32,$B183),0,1)))-BM184</f>
        <v>0</v>
      </c>
      <c r="BN183" s="72"/>
      <c r="BO183" s="72">
        <f ca="1">NPV(Lookups!$E$17,AM183:BM183)</f>
        <v>3687533.7995229801</v>
      </c>
      <c r="BP183" s="72"/>
      <c r="BS183" s="84" t="str">
        <f>"Avoided "&amp;E183&amp;" costs, less the retail margin."</f>
        <v>Avoided Gas costs, less the retail margin.</v>
      </c>
      <c r="BT183" s="51" t="s">
        <v>17</v>
      </c>
    </row>
    <row r="184" spans="1:72" x14ac:dyDescent="0.25">
      <c r="A184" s="246"/>
      <c r="B184" s="243" t="str">
        <f t="shared" si="190"/>
        <v>Small C&amp;I</v>
      </c>
      <c r="C184" s="243" t="str">
        <f t="shared" si="190"/>
        <v>Revenue Requirements</v>
      </c>
      <c r="D184" s="244" t="str">
        <f>D183</f>
        <v>Avoided Costs</v>
      </c>
      <c r="E184" s="84" t="s">
        <v>412</v>
      </c>
      <c r="F184" s="84" t="s">
        <v>32</v>
      </c>
      <c r="G184" s="65">
        <f ca="1">IF($C$4=Lookups!$D$40,SUM(INDIRECT("'Yr1'!"&amp;ADDRESS(ROW(G184),COLUMN(G184))),INDIRECT("'Yr2'!"&amp;ADDRESS(ROW(G184),COLUMN(G184))),INDIRECT("'Yr3'!"&amp;ADDRESS(ROW(G184),COLUMN(G184)))),
IF(G170=0,0,-PMT(INDEX(Lookups!$E$17:$G$17,MATCH($C$4,Lookups!$E$14:$G$14,0)),G170,SUMIFS('EE Inputs'!$W$9:$W$32,'EE Inputs'!$C$9:$C$32,$G$6,'EE Inputs'!$D$9:$D$32,$C$4,'EE Inputs'!$E$9:$E$32,$B184),0,1)))</f>
        <v>0</v>
      </c>
      <c r="H184" s="65">
        <f ca="1">IF($C$4=Lookups!$D$40,SUM(INDIRECT("'Yr1'!"&amp;ADDRESS(ROW(H184),COLUMN(H184))),INDIRECT("'Yr2'!"&amp;ADDRESS(ROW(H184),COLUMN(H184))),INDIRECT("'Yr3'!"&amp;ADDRESS(ROW(H184),COLUMN(H184)))),
IF(H170=0,0,-PMT(INDEX(Lookups!$E$17:$G$17,MATCH($C$4,Lookups!$E$14:$G$14,0)),H170,SUMIFS('EE Inputs'!$W$9:$W$32,'EE Inputs'!$C$9:$C$32,$G$6,'EE Inputs'!$D$9:$D$32,$C$4,'EE Inputs'!$E$9:$E$32,$B184),0,1)))</f>
        <v>14678.58018505254</v>
      </c>
      <c r="I184" s="65">
        <f ca="1">IF($C$4=Lookups!$D$40,SUM(INDIRECT("'Yr1'!"&amp;ADDRESS(ROW(I184),COLUMN(I184))),INDIRECT("'Yr2'!"&amp;ADDRESS(ROW(I184),COLUMN(I184))),INDIRECT("'Yr3'!"&amp;ADDRESS(ROW(I184),COLUMN(I184)))),
IF(I170=0,0,-PMT(INDEX(Lookups!$E$17:$G$17,MATCH($C$4,Lookups!$E$14:$G$14,0)),I170,SUMIFS('EE Inputs'!$W$9:$W$32,'EE Inputs'!$C$9:$C$32,$G$6,'EE Inputs'!$D$9:$D$32,$C$4,'EE Inputs'!$E$9:$E$32,$B184),0,1)))</f>
        <v>14678.58018505254</v>
      </c>
      <c r="J184" s="65">
        <f ca="1">IF($C$4=Lookups!$D$40,SUM(INDIRECT("'Yr1'!"&amp;ADDRESS(ROW(J184),COLUMN(J184))),INDIRECT("'Yr2'!"&amp;ADDRESS(ROW(J184),COLUMN(J184))),INDIRECT("'Yr3'!"&amp;ADDRESS(ROW(J184),COLUMN(J184)))),
IF(J170=0,0,-PMT(INDEX(Lookups!$E$17:$G$17,MATCH($C$4,Lookups!$E$14:$G$14,0)),J170,SUMIFS('EE Inputs'!$W$9:$W$32,'EE Inputs'!$C$9:$C$32,$G$6,'EE Inputs'!$D$9:$D$32,$C$4,'EE Inputs'!$E$9:$E$32,$B184),0,1)))</f>
        <v>14678.58018505254</v>
      </c>
      <c r="K184" s="65">
        <f ca="1">IF($C$4=Lookups!$D$40,SUM(INDIRECT("'Yr1'!"&amp;ADDRESS(ROW(K184),COLUMN(K184))),INDIRECT("'Yr2'!"&amp;ADDRESS(ROW(K184),COLUMN(K184))),INDIRECT("'Yr3'!"&amp;ADDRESS(ROW(K184),COLUMN(K184)))),
IF(K170=0,0,-PMT(INDEX(Lookups!$E$17:$G$17,MATCH($C$4,Lookups!$E$14:$G$14,0)),K170,SUMIFS('EE Inputs'!$W$9:$W$32,'EE Inputs'!$C$9:$C$32,$G$6,'EE Inputs'!$D$9:$D$32,$C$4,'EE Inputs'!$E$9:$E$32,$B184),0,1)))</f>
        <v>14678.58018505254</v>
      </c>
      <c r="L184" s="65">
        <f ca="1">IF($C$4=Lookups!$D$40,SUM(INDIRECT("'Yr1'!"&amp;ADDRESS(ROW(L184),COLUMN(L184))),INDIRECT("'Yr2'!"&amp;ADDRESS(ROW(L184),COLUMN(L184))),INDIRECT("'Yr3'!"&amp;ADDRESS(ROW(L184),COLUMN(L184)))),
IF(L170=0,0,-PMT(INDEX(Lookups!$E$17:$G$17,MATCH($C$4,Lookups!$E$14:$G$14,0)),L170,SUMIFS('EE Inputs'!$W$9:$W$32,'EE Inputs'!$C$9:$C$32,$G$6,'EE Inputs'!$D$9:$D$32,$C$4,'EE Inputs'!$E$9:$E$32,$B184),0,1)))</f>
        <v>14678.58018505254</v>
      </c>
      <c r="M184" s="65">
        <f ca="1">IF($C$4=Lookups!$D$40,SUM(INDIRECT("'Yr1'!"&amp;ADDRESS(ROW(M184),COLUMN(M184))),INDIRECT("'Yr2'!"&amp;ADDRESS(ROW(M184),COLUMN(M184))),INDIRECT("'Yr3'!"&amp;ADDRESS(ROW(M184),COLUMN(M184)))),
IF(M170=0,0,-PMT(INDEX(Lookups!$E$17:$G$17,MATCH($C$4,Lookups!$E$14:$G$14,0)),M170,SUMIFS('EE Inputs'!$W$9:$W$32,'EE Inputs'!$C$9:$C$32,$G$6,'EE Inputs'!$D$9:$D$32,$C$4,'EE Inputs'!$E$9:$E$32,$B184),0,1)))</f>
        <v>14678.58018505254</v>
      </c>
      <c r="N184" s="65">
        <f ca="1">IF($C$4=Lookups!$D$40,SUM(INDIRECT("'Yr1'!"&amp;ADDRESS(ROW(N184),COLUMN(N184))),INDIRECT("'Yr2'!"&amp;ADDRESS(ROW(N184),COLUMN(N184))),INDIRECT("'Yr3'!"&amp;ADDRESS(ROW(N184),COLUMN(N184)))),
IF(N170=0,0,-PMT(INDEX(Lookups!$E$17:$G$17,MATCH($C$4,Lookups!$E$14:$G$14,0)),N170,SUMIFS('EE Inputs'!$W$9:$W$32,'EE Inputs'!$C$9:$C$32,$G$6,'EE Inputs'!$D$9:$D$32,$C$4,'EE Inputs'!$E$9:$E$32,$B184),0,1)))</f>
        <v>14678.58018505254</v>
      </c>
      <c r="O184" s="65">
        <f ca="1">IF($C$4=Lookups!$D$40,SUM(INDIRECT("'Yr1'!"&amp;ADDRESS(ROW(O184),COLUMN(O184))),INDIRECT("'Yr2'!"&amp;ADDRESS(ROW(O184),COLUMN(O184))),INDIRECT("'Yr3'!"&amp;ADDRESS(ROW(O184),COLUMN(O184)))),
IF(O170=0,0,-PMT(INDEX(Lookups!$E$17:$G$17,MATCH($C$4,Lookups!$E$14:$G$14,0)),O170,SUMIFS('EE Inputs'!$W$9:$W$32,'EE Inputs'!$C$9:$C$32,$G$6,'EE Inputs'!$D$9:$D$32,$C$4,'EE Inputs'!$E$9:$E$32,$B184),0,1)))</f>
        <v>14678.58018505254</v>
      </c>
      <c r="P184" s="65">
        <f ca="1">IF($C$4=Lookups!$D$40,SUM(INDIRECT("'Yr1'!"&amp;ADDRESS(ROW(P184),COLUMN(P184))),INDIRECT("'Yr2'!"&amp;ADDRESS(ROW(P184),COLUMN(P184))),INDIRECT("'Yr3'!"&amp;ADDRESS(ROW(P184),COLUMN(P184)))),
IF(P170=0,0,-PMT(INDEX(Lookups!$E$17:$G$17,MATCH($C$4,Lookups!$E$14:$G$14,0)),P170,SUMIFS('EE Inputs'!$W$9:$W$32,'EE Inputs'!$C$9:$C$32,$G$6,'EE Inputs'!$D$9:$D$32,$C$4,'EE Inputs'!$E$9:$E$32,$B184),0,1)))</f>
        <v>14678.58018505254</v>
      </c>
      <c r="Q184" s="65">
        <f ca="1">IF($C$4=Lookups!$D$40,SUM(INDIRECT("'Yr1'!"&amp;ADDRESS(ROW(Q184),COLUMN(Q184))),INDIRECT("'Yr2'!"&amp;ADDRESS(ROW(Q184),COLUMN(Q184))),INDIRECT("'Yr3'!"&amp;ADDRESS(ROW(Q184),COLUMN(Q184)))),
IF(Q170=0,0,-PMT(INDEX(Lookups!$E$17:$G$17,MATCH($C$4,Lookups!$E$14:$G$14,0)),Q170,SUMIFS('EE Inputs'!$W$9:$W$32,'EE Inputs'!$C$9:$C$32,$G$6,'EE Inputs'!$D$9:$D$32,$C$4,'EE Inputs'!$E$9:$E$32,$B184),0,1)))</f>
        <v>14678.58018505254</v>
      </c>
      <c r="R184" s="65">
        <f ca="1">IF($C$4=Lookups!$D$40,SUM(INDIRECT("'Yr1'!"&amp;ADDRESS(ROW(R184),COLUMN(R184))),INDIRECT("'Yr2'!"&amp;ADDRESS(ROW(R184),COLUMN(R184))),INDIRECT("'Yr3'!"&amp;ADDRESS(ROW(R184),COLUMN(R184)))),
IF(R170=0,0,-PMT(INDEX(Lookups!$E$17:$G$17,MATCH($C$4,Lookups!$E$14:$G$14,0)),R170,SUMIFS('EE Inputs'!$W$9:$W$32,'EE Inputs'!$C$9:$C$32,$G$6,'EE Inputs'!$D$9:$D$32,$C$4,'EE Inputs'!$E$9:$E$32,$B184),0,1)))</f>
        <v>14678.58018505254</v>
      </c>
      <c r="S184" s="65">
        <f ca="1">IF($C$4=Lookups!$D$40,SUM(INDIRECT("'Yr1'!"&amp;ADDRESS(ROW(S184),COLUMN(S184))),INDIRECT("'Yr2'!"&amp;ADDRESS(ROW(S184),COLUMN(S184))),INDIRECT("'Yr3'!"&amp;ADDRESS(ROW(S184),COLUMN(S184)))),
IF(S170=0,0,-PMT(INDEX(Lookups!$E$17:$G$17,MATCH($C$4,Lookups!$E$14:$G$14,0)),S170,SUMIFS('EE Inputs'!$W$9:$W$32,'EE Inputs'!$C$9:$C$32,$G$6,'EE Inputs'!$D$9:$D$32,$C$4,'EE Inputs'!$E$9:$E$32,$B184),0,1)))</f>
        <v>14678.58018505254</v>
      </c>
      <c r="T184" s="65">
        <f ca="1">IF($C$4=Lookups!$D$40,SUM(INDIRECT("'Yr1'!"&amp;ADDRESS(ROW(T184),COLUMN(T184))),INDIRECT("'Yr2'!"&amp;ADDRESS(ROW(T184),COLUMN(T184))),INDIRECT("'Yr3'!"&amp;ADDRESS(ROW(T184),COLUMN(T184)))),
IF(T170=0,0,-PMT(INDEX(Lookups!$E$17:$G$17,MATCH($C$4,Lookups!$E$14:$G$14,0)),T170,SUMIFS('EE Inputs'!$W$9:$W$32,'EE Inputs'!$C$9:$C$32,$G$6,'EE Inputs'!$D$9:$D$32,$C$4,'EE Inputs'!$E$9:$E$32,$B184),0,1)))</f>
        <v>14678.58018505254</v>
      </c>
      <c r="U184" s="65">
        <f ca="1">IF($C$4=Lookups!$D$40,SUM(INDIRECT("'Yr1'!"&amp;ADDRESS(ROW(U184),COLUMN(U184))),INDIRECT("'Yr2'!"&amp;ADDRESS(ROW(U184),COLUMN(U184))),INDIRECT("'Yr3'!"&amp;ADDRESS(ROW(U184),COLUMN(U184)))),
IF(U170=0,0,-PMT(INDEX(Lookups!$E$17:$G$17,MATCH($C$4,Lookups!$E$14:$G$14,0)),U170,SUMIFS('EE Inputs'!$W$9:$W$32,'EE Inputs'!$C$9:$C$32,$G$6,'EE Inputs'!$D$9:$D$32,$C$4,'EE Inputs'!$E$9:$E$32,$B184),0,1)))</f>
        <v>14678.58018505254</v>
      </c>
      <c r="V184" s="65">
        <f ca="1">IF($C$4=Lookups!$D$40,SUM(INDIRECT("'Yr1'!"&amp;ADDRESS(ROW(V184),COLUMN(V184))),INDIRECT("'Yr2'!"&amp;ADDRESS(ROW(V184),COLUMN(V184))),INDIRECT("'Yr3'!"&amp;ADDRESS(ROW(V184),COLUMN(V184)))),
IF(V170=0,0,-PMT(INDEX(Lookups!$E$17:$G$17,MATCH($C$4,Lookups!$E$14:$G$14,0)),V170,SUMIFS('EE Inputs'!$W$9:$W$32,'EE Inputs'!$C$9:$C$32,$G$6,'EE Inputs'!$D$9:$D$32,$C$4,'EE Inputs'!$E$9:$E$32,$B184),0,1)))</f>
        <v>14678.58018505254</v>
      </c>
      <c r="W184" s="65">
        <f ca="1">IF($C$4=Lookups!$D$40,SUM(INDIRECT("'Yr1'!"&amp;ADDRESS(ROW(W184),COLUMN(W184))),INDIRECT("'Yr2'!"&amp;ADDRESS(ROW(W184),COLUMN(W184))),INDIRECT("'Yr3'!"&amp;ADDRESS(ROW(W184),COLUMN(W184)))),
IF(W170=0,0,-PMT(INDEX(Lookups!$E$17:$G$17,MATCH($C$4,Lookups!$E$14:$G$14,0)),W170,SUMIFS('EE Inputs'!$W$9:$W$32,'EE Inputs'!$C$9:$C$32,$G$6,'EE Inputs'!$D$9:$D$32,$C$4,'EE Inputs'!$E$9:$E$32,$B184),0,1)))</f>
        <v>14678.58018505254</v>
      </c>
      <c r="X184" s="65">
        <f ca="1">IF($C$4=Lookups!$D$40,SUM(INDIRECT("'Yr1'!"&amp;ADDRESS(ROW(X184),COLUMN(X184))),INDIRECT("'Yr2'!"&amp;ADDRESS(ROW(X184),COLUMN(X184))),INDIRECT("'Yr3'!"&amp;ADDRESS(ROW(X184),COLUMN(X184)))),
IF(X170=0,0,-PMT(INDEX(Lookups!$E$17:$G$17,MATCH($C$4,Lookups!$E$14:$G$14,0)),X170,SUMIFS('EE Inputs'!$W$9:$W$32,'EE Inputs'!$C$9:$C$32,$G$6,'EE Inputs'!$D$9:$D$32,$C$4,'EE Inputs'!$E$9:$E$32,$B184),0,1)))</f>
        <v>0</v>
      </c>
      <c r="Y184" s="65">
        <f ca="1">IF($C$4=Lookups!$D$40,SUM(INDIRECT("'Yr1'!"&amp;ADDRESS(ROW(Y184),COLUMN(Y184))),INDIRECT("'Yr2'!"&amp;ADDRESS(ROW(Y184),COLUMN(Y184))),INDIRECT("'Yr3'!"&amp;ADDRESS(ROW(Y184),COLUMN(Y184)))),
IF(Y170=0,0,-PMT(INDEX(Lookups!$E$17:$G$17,MATCH($C$4,Lookups!$E$14:$G$14,0)),Y170,SUMIFS('EE Inputs'!$W$9:$W$32,'EE Inputs'!$C$9:$C$32,$G$6,'EE Inputs'!$D$9:$D$32,$C$4,'EE Inputs'!$E$9:$E$32,$B184),0,1)))</f>
        <v>0</v>
      </c>
      <c r="Z184" s="65">
        <f ca="1">IF($C$4=Lookups!$D$40,SUM(INDIRECT("'Yr1'!"&amp;ADDRESS(ROW(Z184),COLUMN(Z184))),INDIRECT("'Yr2'!"&amp;ADDRESS(ROW(Z184),COLUMN(Z184))),INDIRECT("'Yr3'!"&amp;ADDRESS(ROW(Z184),COLUMN(Z184)))),
IF(Z170=0,0,-PMT(INDEX(Lookups!$E$17:$G$17,MATCH($C$4,Lookups!$E$14:$G$14,0)),Z170,SUMIFS('EE Inputs'!$W$9:$W$32,'EE Inputs'!$C$9:$C$32,$G$6,'EE Inputs'!$D$9:$D$32,$C$4,'EE Inputs'!$E$9:$E$32,$B184),0,1)))</f>
        <v>0</v>
      </c>
      <c r="AA184" s="65">
        <f ca="1">IF($C$4=Lookups!$D$40,SUM(INDIRECT("'Yr1'!"&amp;ADDRESS(ROW(AA184),COLUMN(AA184))),INDIRECT("'Yr2'!"&amp;ADDRESS(ROW(AA184),COLUMN(AA184))),INDIRECT("'Yr3'!"&amp;ADDRESS(ROW(AA184),COLUMN(AA184)))),
IF(AA170=0,0,-PMT(INDEX(Lookups!$E$17:$G$17,MATCH($C$4,Lookups!$E$14:$G$14,0)),AA170,SUMIFS('EE Inputs'!$W$9:$W$32,'EE Inputs'!$C$9:$C$32,$G$6,'EE Inputs'!$D$9:$D$32,$C$4,'EE Inputs'!$E$9:$E$32,$B184),0,1)))</f>
        <v>0</v>
      </c>
      <c r="AB184" s="65">
        <f ca="1">IF($C$4=Lookups!$D$40,SUM(INDIRECT("'Yr1'!"&amp;ADDRESS(ROW(AB184),COLUMN(AB184))),INDIRECT("'Yr2'!"&amp;ADDRESS(ROW(AB184),COLUMN(AB184))),INDIRECT("'Yr3'!"&amp;ADDRESS(ROW(AB184),COLUMN(AB184)))),
IF(AB170=0,0,-PMT(INDEX(Lookups!$E$17:$G$17,MATCH($C$4,Lookups!$E$14:$G$14,0)),AB170,SUMIFS('EE Inputs'!$W$9:$W$32,'EE Inputs'!$C$9:$C$32,$G$6,'EE Inputs'!$D$9:$D$32,$C$4,'EE Inputs'!$E$9:$E$32,$B184),0,1)))</f>
        <v>0</v>
      </c>
      <c r="AC184" s="65">
        <f ca="1">IF($C$4=Lookups!$D$40,SUM(INDIRECT("'Yr1'!"&amp;ADDRESS(ROW(AC184),COLUMN(AC184))),INDIRECT("'Yr2'!"&amp;ADDRESS(ROW(AC184),COLUMN(AC184))),INDIRECT("'Yr3'!"&amp;ADDRESS(ROW(AC184),COLUMN(AC184)))),
IF(AC170=0,0,-PMT(INDEX(Lookups!$E$17:$G$17,MATCH($C$4,Lookups!$E$14:$G$14,0)),AC170,SUMIFS('EE Inputs'!$W$9:$W$32,'EE Inputs'!$C$9:$C$32,$G$6,'EE Inputs'!$D$9:$D$32,$C$4,'EE Inputs'!$E$9:$E$32,$B184),0,1)))</f>
        <v>0</v>
      </c>
      <c r="AD184" s="65">
        <f ca="1">IF($C$4=Lookups!$D$40,SUM(INDIRECT("'Yr1'!"&amp;ADDRESS(ROW(AD184),COLUMN(AD184))),INDIRECT("'Yr2'!"&amp;ADDRESS(ROW(AD184),COLUMN(AD184))),INDIRECT("'Yr3'!"&amp;ADDRESS(ROW(AD184),COLUMN(AD184)))),
IF(AD170=0,0,-PMT(INDEX(Lookups!$E$17:$G$17,MATCH($C$4,Lookups!$E$14:$G$14,0)),AD170,SUMIFS('EE Inputs'!$W$9:$W$32,'EE Inputs'!$C$9:$C$32,$G$6,'EE Inputs'!$D$9:$D$32,$C$4,'EE Inputs'!$E$9:$E$32,$B184),0,1)))</f>
        <v>0</v>
      </c>
      <c r="AE184" s="65">
        <f ca="1">IF($C$4=Lookups!$D$40,SUM(INDIRECT("'Yr1'!"&amp;ADDRESS(ROW(AE184),COLUMN(AE184))),INDIRECT("'Yr2'!"&amp;ADDRESS(ROW(AE184),COLUMN(AE184))),INDIRECT("'Yr3'!"&amp;ADDRESS(ROW(AE184),COLUMN(AE184)))),
IF(AE170=0,0,-PMT(INDEX(Lookups!$E$17:$G$17,MATCH($C$4,Lookups!$E$14:$G$14,0)),AE170,SUMIFS('EE Inputs'!$W$9:$W$32,'EE Inputs'!$C$9:$C$32,$G$6,'EE Inputs'!$D$9:$D$32,$C$4,'EE Inputs'!$E$9:$E$32,$B184),0,1)))</f>
        <v>0</v>
      </c>
      <c r="AF184" s="65">
        <f ca="1">IF($C$4=Lookups!$D$40,SUM(INDIRECT("'Yr1'!"&amp;ADDRESS(ROW(AF184),COLUMN(AF184))),INDIRECT("'Yr2'!"&amp;ADDRESS(ROW(AF184),COLUMN(AF184))),INDIRECT("'Yr3'!"&amp;ADDRESS(ROW(AF184),COLUMN(AF184)))),
IF(AF170=0,0,-PMT(INDEX(Lookups!$E$17:$G$17,MATCH($C$4,Lookups!$E$14:$G$14,0)),AF170,SUMIFS('EE Inputs'!$W$9:$W$32,'EE Inputs'!$C$9:$C$32,$G$6,'EE Inputs'!$D$9:$D$32,$C$4,'EE Inputs'!$E$9:$E$32,$B184),0,1)))</f>
        <v>0</v>
      </c>
      <c r="AG184" s="65">
        <f ca="1">IF($C$4=Lookups!$D$40,SUM(INDIRECT("'Yr1'!"&amp;ADDRESS(ROW(AG184),COLUMN(AG184))),INDIRECT("'Yr2'!"&amp;ADDRESS(ROW(AG184),COLUMN(AG184))),INDIRECT("'Yr3'!"&amp;ADDRESS(ROW(AG184),COLUMN(AG184)))),
IF(AG170=0,0,-PMT(INDEX(Lookups!$E$17:$G$17,MATCH($C$4,Lookups!$E$14:$G$14,0)),AG170,SUMIFS('EE Inputs'!$W$9:$W$32,'EE Inputs'!$C$9:$C$32,$G$6,'EE Inputs'!$D$9:$D$32,$C$4,'EE Inputs'!$E$9:$E$32,$B184),0,1)))</f>
        <v>0</v>
      </c>
      <c r="AH184" s="65"/>
      <c r="AI184" s="65">
        <f ca="1">NPV(Lookups!$E$17,G184:AG184)</f>
        <v>205952.68561165579</v>
      </c>
      <c r="AJ184" s="65"/>
      <c r="AM184" s="72">
        <f ca="1">IF($C$4=Lookups!$D$40,SUM(INDIRECT("'Yr1'!"&amp;ADDRESS(ROW(AM184),COLUMN(AM184))),INDIRECT("'Yr2'!"&amp;ADDRESS(ROW(AM184),COLUMN(AM184))),INDIRECT("'Yr3'!"&amp;ADDRESS(ROW(AM184),COLUMN(AM184)))),
IF(AM170=0,0,-PMT(INDEX(Lookups!$E$17:$G$17,MATCH($C$4,Lookups!$E$14:$G$14,0)),AM170,SUMIFS('EE Inputs'!$W$9:$W$32,'EE Inputs'!$C$9:$C$32,$AM$6,'EE Inputs'!$D$9:$D$32,$C$4,'EE Inputs'!$E$9:$E$32,$B184),0,1)))</f>
        <v>0</v>
      </c>
      <c r="AN184" s="72">
        <f ca="1">IF($C$4=Lookups!$D$40,SUM(INDIRECT("'Yr1'!"&amp;ADDRESS(ROW(AN184),COLUMN(AN184))),INDIRECT("'Yr2'!"&amp;ADDRESS(ROW(AN184),COLUMN(AN184))),INDIRECT("'Yr3'!"&amp;ADDRESS(ROW(AN184),COLUMN(AN184)))),
IF(AN170=0,0,-PMT(INDEX(Lookups!$E$17:$G$17,MATCH($C$4,Lookups!$E$14:$G$14,0)),AN170,SUMIFS('EE Inputs'!$W$9:$W$32,'EE Inputs'!$C$9:$C$32,$AM$6,'EE Inputs'!$D$9:$D$32,$C$4,'EE Inputs'!$E$9:$E$32,$B184),0,1)))</f>
        <v>16775.520211488616</v>
      </c>
      <c r="AO184" s="72">
        <f ca="1">IF($C$4=Lookups!$D$40,SUM(INDIRECT("'Yr1'!"&amp;ADDRESS(ROW(AO184),COLUMN(AO184))),INDIRECT("'Yr2'!"&amp;ADDRESS(ROW(AO184),COLUMN(AO184))),INDIRECT("'Yr3'!"&amp;ADDRESS(ROW(AO184),COLUMN(AO184)))),
IF(AO170=0,0,-PMT(INDEX(Lookups!$E$17:$G$17,MATCH($C$4,Lookups!$E$14:$G$14,0)),AO170,SUMIFS('EE Inputs'!$W$9:$W$32,'EE Inputs'!$C$9:$C$32,$AM$6,'EE Inputs'!$D$9:$D$32,$C$4,'EE Inputs'!$E$9:$E$32,$B184),0,1)))</f>
        <v>16775.520211488616</v>
      </c>
      <c r="AP184" s="72">
        <f ca="1">IF($C$4=Lookups!$D$40,SUM(INDIRECT("'Yr1'!"&amp;ADDRESS(ROW(AP184),COLUMN(AP184))),INDIRECT("'Yr2'!"&amp;ADDRESS(ROW(AP184),COLUMN(AP184))),INDIRECT("'Yr3'!"&amp;ADDRESS(ROW(AP184),COLUMN(AP184)))),
IF(AP170=0,0,-PMT(INDEX(Lookups!$E$17:$G$17,MATCH($C$4,Lookups!$E$14:$G$14,0)),AP170,SUMIFS('EE Inputs'!$W$9:$W$32,'EE Inputs'!$C$9:$C$32,$AM$6,'EE Inputs'!$D$9:$D$32,$C$4,'EE Inputs'!$E$9:$E$32,$B184),0,1)))</f>
        <v>16775.520211488616</v>
      </c>
      <c r="AQ184" s="72">
        <f ca="1">IF($C$4=Lookups!$D$40,SUM(INDIRECT("'Yr1'!"&amp;ADDRESS(ROW(AQ184),COLUMN(AQ184))),INDIRECT("'Yr2'!"&amp;ADDRESS(ROW(AQ184),COLUMN(AQ184))),INDIRECT("'Yr3'!"&amp;ADDRESS(ROW(AQ184),COLUMN(AQ184)))),
IF(AQ170=0,0,-PMT(INDEX(Lookups!$E$17:$G$17,MATCH($C$4,Lookups!$E$14:$G$14,0)),AQ170,SUMIFS('EE Inputs'!$W$9:$W$32,'EE Inputs'!$C$9:$C$32,$AM$6,'EE Inputs'!$D$9:$D$32,$C$4,'EE Inputs'!$E$9:$E$32,$B184),0,1)))</f>
        <v>16775.520211488616</v>
      </c>
      <c r="AR184" s="72">
        <f ca="1">IF($C$4=Lookups!$D$40,SUM(INDIRECT("'Yr1'!"&amp;ADDRESS(ROW(AR184),COLUMN(AR184))),INDIRECT("'Yr2'!"&amp;ADDRESS(ROW(AR184),COLUMN(AR184))),INDIRECT("'Yr3'!"&amp;ADDRESS(ROW(AR184),COLUMN(AR184)))),
IF(AR170=0,0,-PMT(INDEX(Lookups!$E$17:$G$17,MATCH($C$4,Lookups!$E$14:$G$14,0)),AR170,SUMIFS('EE Inputs'!$W$9:$W$32,'EE Inputs'!$C$9:$C$32,$AM$6,'EE Inputs'!$D$9:$D$32,$C$4,'EE Inputs'!$E$9:$E$32,$B184),0,1)))</f>
        <v>16775.520211488616</v>
      </c>
      <c r="AS184" s="72">
        <f ca="1">IF($C$4=Lookups!$D$40,SUM(INDIRECT("'Yr1'!"&amp;ADDRESS(ROW(AS184),COLUMN(AS184))),INDIRECT("'Yr2'!"&amp;ADDRESS(ROW(AS184),COLUMN(AS184))),INDIRECT("'Yr3'!"&amp;ADDRESS(ROW(AS184),COLUMN(AS184)))),
IF(AS170=0,0,-PMT(INDEX(Lookups!$E$17:$G$17,MATCH($C$4,Lookups!$E$14:$G$14,0)),AS170,SUMIFS('EE Inputs'!$W$9:$W$32,'EE Inputs'!$C$9:$C$32,$AM$6,'EE Inputs'!$D$9:$D$32,$C$4,'EE Inputs'!$E$9:$E$32,$B184),0,1)))</f>
        <v>16775.520211488616</v>
      </c>
      <c r="AT184" s="72">
        <f ca="1">IF($C$4=Lookups!$D$40,SUM(INDIRECT("'Yr1'!"&amp;ADDRESS(ROW(AT184),COLUMN(AT184))),INDIRECT("'Yr2'!"&amp;ADDRESS(ROW(AT184),COLUMN(AT184))),INDIRECT("'Yr3'!"&amp;ADDRESS(ROW(AT184),COLUMN(AT184)))),
IF(AT170=0,0,-PMT(INDEX(Lookups!$E$17:$G$17,MATCH($C$4,Lookups!$E$14:$G$14,0)),AT170,SUMIFS('EE Inputs'!$W$9:$W$32,'EE Inputs'!$C$9:$C$32,$AM$6,'EE Inputs'!$D$9:$D$32,$C$4,'EE Inputs'!$E$9:$E$32,$B184),0,1)))</f>
        <v>16775.520211488616</v>
      </c>
      <c r="AU184" s="72">
        <f ca="1">IF($C$4=Lookups!$D$40,SUM(INDIRECT("'Yr1'!"&amp;ADDRESS(ROW(AU184),COLUMN(AU184))),INDIRECT("'Yr2'!"&amp;ADDRESS(ROW(AU184),COLUMN(AU184))),INDIRECT("'Yr3'!"&amp;ADDRESS(ROW(AU184),COLUMN(AU184)))),
IF(AU170=0,0,-PMT(INDEX(Lookups!$E$17:$G$17,MATCH($C$4,Lookups!$E$14:$G$14,0)),AU170,SUMIFS('EE Inputs'!$W$9:$W$32,'EE Inputs'!$C$9:$C$32,$AM$6,'EE Inputs'!$D$9:$D$32,$C$4,'EE Inputs'!$E$9:$E$32,$B184),0,1)))</f>
        <v>16775.520211488616</v>
      </c>
      <c r="AV184" s="72">
        <f ca="1">IF($C$4=Lookups!$D$40,SUM(INDIRECT("'Yr1'!"&amp;ADDRESS(ROW(AV184),COLUMN(AV184))),INDIRECT("'Yr2'!"&amp;ADDRESS(ROW(AV184),COLUMN(AV184))),INDIRECT("'Yr3'!"&amp;ADDRESS(ROW(AV184),COLUMN(AV184)))),
IF(AV170=0,0,-PMT(INDEX(Lookups!$E$17:$G$17,MATCH($C$4,Lookups!$E$14:$G$14,0)),AV170,SUMIFS('EE Inputs'!$W$9:$W$32,'EE Inputs'!$C$9:$C$32,$AM$6,'EE Inputs'!$D$9:$D$32,$C$4,'EE Inputs'!$E$9:$E$32,$B184),0,1)))</f>
        <v>16775.520211488616</v>
      </c>
      <c r="AW184" s="72">
        <f ca="1">IF($C$4=Lookups!$D$40,SUM(INDIRECT("'Yr1'!"&amp;ADDRESS(ROW(AW184),COLUMN(AW184))),INDIRECT("'Yr2'!"&amp;ADDRESS(ROW(AW184),COLUMN(AW184))),INDIRECT("'Yr3'!"&amp;ADDRESS(ROW(AW184),COLUMN(AW184)))),
IF(AW170=0,0,-PMT(INDEX(Lookups!$E$17:$G$17,MATCH($C$4,Lookups!$E$14:$G$14,0)),AW170,SUMIFS('EE Inputs'!$W$9:$W$32,'EE Inputs'!$C$9:$C$32,$AM$6,'EE Inputs'!$D$9:$D$32,$C$4,'EE Inputs'!$E$9:$E$32,$B184),0,1)))</f>
        <v>16775.520211488616</v>
      </c>
      <c r="AX184" s="72">
        <f ca="1">IF($C$4=Lookups!$D$40,SUM(INDIRECT("'Yr1'!"&amp;ADDRESS(ROW(AX184),COLUMN(AX184))),INDIRECT("'Yr2'!"&amp;ADDRESS(ROW(AX184),COLUMN(AX184))),INDIRECT("'Yr3'!"&amp;ADDRESS(ROW(AX184),COLUMN(AX184)))),
IF(AX170=0,0,-PMT(INDEX(Lookups!$E$17:$G$17,MATCH($C$4,Lookups!$E$14:$G$14,0)),AX170,SUMIFS('EE Inputs'!$W$9:$W$32,'EE Inputs'!$C$9:$C$32,$AM$6,'EE Inputs'!$D$9:$D$32,$C$4,'EE Inputs'!$E$9:$E$32,$B184),0,1)))</f>
        <v>16775.520211488616</v>
      </c>
      <c r="AY184" s="72">
        <f ca="1">IF($C$4=Lookups!$D$40,SUM(INDIRECT("'Yr1'!"&amp;ADDRESS(ROW(AY184),COLUMN(AY184))),INDIRECT("'Yr2'!"&amp;ADDRESS(ROW(AY184),COLUMN(AY184))),INDIRECT("'Yr3'!"&amp;ADDRESS(ROW(AY184),COLUMN(AY184)))),
IF(AY170=0,0,-PMT(INDEX(Lookups!$E$17:$G$17,MATCH($C$4,Lookups!$E$14:$G$14,0)),AY170,SUMIFS('EE Inputs'!$W$9:$W$32,'EE Inputs'!$C$9:$C$32,$AM$6,'EE Inputs'!$D$9:$D$32,$C$4,'EE Inputs'!$E$9:$E$32,$B184),0,1)))</f>
        <v>16775.520211488616</v>
      </c>
      <c r="AZ184" s="72">
        <f ca="1">IF($C$4=Lookups!$D$40,SUM(INDIRECT("'Yr1'!"&amp;ADDRESS(ROW(AZ184),COLUMN(AZ184))),INDIRECT("'Yr2'!"&amp;ADDRESS(ROW(AZ184),COLUMN(AZ184))),INDIRECT("'Yr3'!"&amp;ADDRESS(ROW(AZ184),COLUMN(AZ184)))),
IF(AZ170=0,0,-PMT(INDEX(Lookups!$E$17:$G$17,MATCH($C$4,Lookups!$E$14:$G$14,0)),AZ170,SUMIFS('EE Inputs'!$W$9:$W$32,'EE Inputs'!$C$9:$C$32,$AM$6,'EE Inputs'!$D$9:$D$32,$C$4,'EE Inputs'!$E$9:$E$32,$B184),0,1)))</f>
        <v>16775.520211488616</v>
      </c>
      <c r="BA184" s="72">
        <f ca="1">IF($C$4=Lookups!$D$40,SUM(INDIRECT("'Yr1'!"&amp;ADDRESS(ROW(BA184),COLUMN(BA184))),INDIRECT("'Yr2'!"&amp;ADDRESS(ROW(BA184),COLUMN(BA184))),INDIRECT("'Yr3'!"&amp;ADDRESS(ROW(BA184),COLUMN(BA184)))),
IF(BA170=0,0,-PMT(INDEX(Lookups!$E$17:$G$17,MATCH($C$4,Lookups!$E$14:$G$14,0)),BA170,SUMIFS('EE Inputs'!$W$9:$W$32,'EE Inputs'!$C$9:$C$32,$AM$6,'EE Inputs'!$D$9:$D$32,$C$4,'EE Inputs'!$E$9:$E$32,$B184),0,1)))</f>
        <v>16775.520211488616</v>
      </c>
      <c r="BB184" s="72">
        <f ca="1">IF($C$4=Lookups!$D$40,SUM(INDIRECT("'Yr1'!"&amp;ADDRESS(ROW(BB184),COLUMN(BB184))),INDIRECT("'Yr2'!"&amp;ADDRESS(ROW(BB184),COLUMN(BB184))),INDIRECT("'Yr3'!"&amp;ADDRESS(ROW(BB184),COLUMN(BB184)))),
IF(BB170=0,0,-PMT(INDEX(Lookups!$E$17:$G$17,MATCH($C$4,Lookups!$E$14:$G$14,0)),BB170,SUMIFS('EE Inputs'!$W$9:$W$32,'EE Inputs'!$C$9:$C$32,$AM$6,'EE Inputs'!$D$9:$D$32,$C$4,'EE Inputs'!$E$9:$E$32,$B184),0,1)))</f>
        <v>16775.520211488616</v>
      </c>
      <c r="BC184" s="72">
        <f ca="1">IF($C$4=Lookups!$D$40,SUM(INDIRECT("'Yr1'!"&amp;ADDRESS(ROW(BC184),COLUMN(BC184))),INDIRECT("'Yr2'!"&amp;ADDRESS(ROW(BC184),COLUMN(BC184))),INDIRECT("'Yr3'!"&amp;ADDRESS(ROW(BC184),COLUMN(BC184)))),
IF(BC170=0,0,-PMT(INDEX(Lookups!$E$17:$G$17,MATCH($C$4,Lookups!$E$14:$G$14,0)),BC170,SUMIFS('EE Inputs'!$W$9:$W$32,'EE Inputs'!$C$9:$C$32,$AM$6,'EE Inputs'!$D$9:$D$32,$C$4,'EE Inputs'!$E$9:$E$32,$B184),0,1)))</f>
        <v>16775.520211488616</v>
      </c>
      <c r="BD184" s="72">
        <f ca="1">IF($C$4=Lookups!$D$40,SUM(INDIRECT("'Yr1'!"&amp;ADDRESS(ROW(BD184),COLUMN(BD184))),INDIRECT("'Yr2'!"&amp;ADDRESS(ROW(BD184),COLUMN(BD184))),INDIRECT("'Yr3'!"&amp;ADDRESS(ROW(BD184),COLUMN(BD184)))),
IF(BD170=0,0,-PMT(INDEX(Lookups!$E$17:$G$17,MATCH($C$4,Lookups!$E$14:$G$14,0)),BD170,SUMIFS('EE Inputs'!$W$9:$W$32,'EE Inputs'!$C$9:$C$32,$AM$6,'EE Inputs'!$D$9:$D$32,$C$4,'EE Inputs'!$E$9:$E$32,$B184),0,1)))</f>
        <v>0</v>
      </c>
      <c r="BE184" s="72">
        <f ca="1">IF($C$4=Lookups!$D$40,SUM(INDIRECT("'Yr1'!"&amp;ADDRESS(ROW(BE184),COLUMN(BE184))),INDIRECT("'Yr2'!"&amp;ADDRESS(ROW(BE184),COLUMN(BE184))),INDIRECT("'Yr3'!"&amp;ADDRESS(ROW(BE184),COLUMN(BE184)))),
IF(BE170=0,0,-PMT(INDEX(Lookups!$E$17:$G$17,MATCH($C$4,Lookups!$E$14:$G$14,0)),BE170,SUMIFS('EE Inputs'!$W$9:$W$32,'EE Inputs'!$C$9:$C$32,$AM$6,'EE Inputs'!$D$9:$D$32,$C$4,'EE Inputs'!$E$9:$E$32,$B184),0,1)))</f>
        <v>0</v>
      </c>
      <c r="BF184" s="72">
        <f ca="1">IF($C$4=Lookups!$D$40,SUM(INDIRECT("'Yr1'!"&amp;ADDRESS(ROW(BF184),COLUMN(BF184))),INDIRECT("'Yr2'!"&amp;ADDRESS(ROW(BF184),COLUMN(BF184))),INDIRECT("'Yr3'!"&amp;ADDRESS(ROW(BF184),COLUMN(BF184)))),
IF(BF170=0,0,-PMT(INDEX(Lookups!$E$17:$G$17,MATCH($C$4,Lookups!$E$14:$G$14,0)),BF170,SUMIFS('EE Inputs'!$W$9:$W$32,'EE Inputs'!$C$9:$C$32,$AM$6,'EE Inputs'!$D$9:$D$32,$C$4,'EE Inputs'!$E$9:$E$32,$B184),0,1)))</f>
        <v>0</v>
      </c>
      <c r="BG184" s="72">
        <f ca="1">IF($C$4=Lookups!$D$40,SUM(INDIRECT("'Yr1'!"&amp;ADDRESS(ROW(BG184),COLUMN(BG184))),INDIRECT("'Yr2'!"&amp;ADDRESS(ROW(BG184),COLUMN(BG184))),INDIRECT("'Yr3'!"&amp;ADDRESS(ROW(BG184),COLUMN(BG184)))),
IF(BG170=0,0,-PMT(INDEX(Lookups!$E$17:$G$17,MATCH($C$4,Lookups!$E$14:$G$14,0)),BG170,SUMIFS('EE Inputs'!$W$9:$W$32,'EE Inputs'!$C$9:$C$32,$AM$6,'EE Inputs'!$D$9:$D$32,$C$4,'EE Inputs'!$E$9:$E$32,$B184),0,1)))</f>
        <v>0</v>
      </c>
      <c r="BH184" s="72">
        <f ca="1">IF($C$4=Lookups!$D$40,SUM(INDIRECT("'Yr1'!"&amp;ADDRESS(ROW(BH184),COLUMN(BH184))),INDIRECT("'Yr2'!"&amp;ADDRESS(ROW(BH184),COLUMN(BH184))),INDIRECT("'Yr3'!"&amp;ADDRESS(ROW(BH184),COLUMN(BH184)))),
IF(BH170=0,0,-PMT(INDEX(Lookups!$E$17:$G$17,MATCH($C$4,Lookups!$E$14:$G$14,0)),BH170,SUMIFS('EE Inputs'!$W$9:$W$32,'EE Inputs'!$C$9:$C$32,$AM$6,'EE Inputs'!$D$9:$D$32,$C$4,'EE Inputs'!$E$9:$E$32,$B184),0,1)))</f>
        <v>0</v>
      </c>
      <c r="BI184" s="72">
        <f ca="1">IF($C$4=Lookups!$D$40,SUM(INDIRECT("'Yr1'!"&amp;ADDRESS(ROW(BI184),COLUMN(BI184))),INDIRECT("'Yr2'!"&amp;ADDRESS(ROW(BI184),COLUMN(BI184))),INDIRECT("'Yr3'!"&amp;ADDRESS(ROW(BI184),COLUMN(BI184)))),
IF(BI170=0,0,-PMT(INDEX(Lookups!$E$17:$G$17,MATCH($C$4,Lookups!$E$14:$G$14,0)),BI170,SUMIFS('EE Inputs'!$W$9:$W$32,'EE Inputs'!$C$9:$C$32,$AM$6,'EE Inputs'!$D$9:$D$32,$C$4,'EE Inputs'!$E$9:$E$32,$B184),0,1)))</f>
        <v>0</v>
      </c>
      <c r="BJ184" s="72">
        <f ca="1">IF($C$4=Lookups!$D$40,SUM(INDIRECT("'Yr1'!"&amp;ADDRESS(ROW(BJ184),COLUMN(BJ184))),INDIRECT("'Yr2'!"&amp;ADDRESS(ROW(BJ184),COLUMN(BJ184))),INDIRECT("'Yr3'!"&amp;ADDRESS(ROW(BJ184),COLUMN(BJ184)))),
IF(BJ170=0,0,-PMT(INDEX(Lookups!$E$17:$G$17,MATCH($C$4,Lookups!$E$14:$G$14,0)),BJ170,SUMIFS('EE Inputs'!$W$9:$W$32,'EE Inputs'!$C$9:$C$32,$AM$6,'EE Inputs'!$D$9:$D$32,$C$4,'EE Inputs'!$E$9:$E$32,$B184),0,1)))</f>
        <v>0</v>
      </c>
      <c r="BK184" s="72">
        <f ca="1">IF($C$4=Lookups!$D$40,SUM(INDIRECT("'Yr1'!"&amp;ADDRESS(ROW(BK184),COLUMN(BK184))),INDIRECT("'Yr2'!"&amp;ADDRESS(ROW(BK184),COLUMN(BK184))),INDIRECT("'Yr3'!"&amp;ADDRESS(ROW(BK184),COLUMN(BK184)))),
IF(BK170=0,0,-PMT(INDEX(Lookups!$E$17:$G$17,MATCH($C$4,Lookups!$E$14:$G$14,0)),BK170,SUMIFS('EE Inputs'!$W$9:$W$32,'EE Inputs'!$C$9:$C$32,$AM$6,'EE Inputs'!$D$9:$D$32,$C$4,'EE Inputs'!$E$9:$E$32,$B184),0,1)))</f>
        <v>0</v>
      </c>
      <c r="BL184" s="72">
        <f ca="1">IF($C$4=Lookups!$D$40,SUM(INDIRECT("'Yr1'!"&amp;ADDRESS(ROW(BL184),COLUMN(BL184))),INDIRECT("'Yr2'!"&amp;ADDRESS(ROW(BL184),COLUMN(BL184))),INDIRECT("'Yr3'!"&amp;ADDRESS(ROW(BL184),COLUMN(BL184)))),
IF(BL170=0,0,-PMT(INDEX(Lookups!$E$17:$G$17,MATCH($C$4,Lookups!$E$14:$G$14,0)),BL170,SUMIFS('EE Inputs'!$W$9:$W$32,'EE Inputs'!$C$9:$C$32,$AM$6,'EE Inputs'!$D$9:$D$32,$C$4,'EE Inputs'!$E$9:$E$32,$B184),0,1)))</f>
        <v>0</v>
      </c>
      <c r="BM184" s="72">
        <f ca="1">IF($C$4=Lookups!$D$40,SUM(INDIRECT("'Yr1'!"&amp;ADDRESS(ROW(BM184),COLUMN(BM184))),INDIRECT("'Yr2'!"&amp;ADDRESS(ROW(BM184),COLUMN(BM184))),INDIRECT("'Yr3'!"&amp;ADDRESS(ROW(BM184),COLUMN(BM184)))),
IF(BM170=0,0,-PMT(INDEX(Lookups!$E$17:$G$17,MATCH($C$4,Lookups!$E$14:$G$14,0)),BM170,SUMIFS('EE Inputs'!$W$9:$W$32,'EE Inputs'!$C$9:$C$32,$AM$6,'EE Inputs'!$D$9:$D$32,$C$4,'EE Inputs'!$E$9:$E$32,$B184),0,1)))</f>
        <v>0</v>
      </c>
      <c r="BN184" s="72"/>
      <c r="BO184" s="72">
        <f ca="1">NPV(Lookups!$E$17,AM184:BM184)</f>
        <v>235374.4978418923</v>
      </c>
      <c r="BP184" s="72"/>
      <c r="BS184" s="84" t="s">
        <v>413</v>
      </c>
      <c r="BT184" s="51"/>
    </row>
    <row r="185" spans="1:72" x14ac:dyDescent="0.25">
      <c r="A185" s="246"/>
      <c r="B185" s="243" t="str">
        <f t="shared" ref="B185:C185" si="191">B183</f>
        <v>Small C&amp;I</v>
      </c>
      <c r="C185" s="243" t="str">
        <f t="shared" si="191"/>
        <v>Revenue Requirements</v>
      </c>
      <c r="D185" s="244" t="str">
        <f>D183</f>
        <v>Avoided Costs</v>
      </c>
      <c r="E185" s="86" t="s">
        <v>175</v>
      </c>
      <c r="F185" s="84" t="s">
        <v>32</v>
      </c>
      <c r="G185" s="65">
        <f ca="1">IF($C$4=Lookups!$D$40,SUM(INDIRECT("'Yr1'!"&amp;ADDRESS(ROW(G185),COLUMN(G185))),INDIRECT("'Yr2'!"&amp;ADDRESS(ROW(G185),COLUMN(G185))),INDIRECT("'Yr3'!"&amp;ADDRESS(ROW(G185),COLUMN(G185)))),
IF(G170=0,0,-PMT(INDEX(Lookups!$E$17:$G$17,MATCH($C$4,Lookups!$E$14:$G$14,0)),G170,SUMIFS('EE Inputs'!$K$9:$K$32,'EE Inputs'!$C$9:$C$32,$G$6,'EE Inputs'!$D$9:$D$32,$C$4,'EE Inputs'!$E$9:$E$32,$B185),0,1)))</f>
        <v>0</v>
      </c>
      <c r="H185" s="65">
        <f ca="1">IF($C$4=Lookups!$D$40,SUM(INDIRECT("'Yr1'!"&amp;ADDRESS(ROW(H185),COLUMN(H185))),INDIRECT("'Yr2'!"&amp;ADDRESS(ROW(H185),COLUMN(H185))),INDIRECT("'Yr3'!"&amp;ADDRESS(ROW(H185),COLUMN(H185)))),
IF(H170=0,0,-PMT(INDEX(Lookups!$E$17:$G$17,MATCH($C$4,Lookups!$E$14:$G$14,0)),H170,SUMIFS('EE Inputs'!$K$9:$K$32,'EE Inputs'!$C$9:$C$32,$G$6,'EE Inputs'!$D$9:$D$32,$C$4,'EE Inputs'!$E$9:$E$32,$B185),0,1)))</f>
        <v>8618.0405498094224</v>
      </c>
      <c r="I185" s="65">
        <f ca="1">IF($C$4=Lookups!$D$40,SUM(INDIRECT("'Yr1'!"&amp;ADDRESS(ROW(I185),COLUMN(I185))),INDIRECT("'Yr2'!"&amp;ADDRESS(ROW(I185),COLUMN(I185))),INDIRECT("'Yr3'!"&amp;ADDRESS(ROW(I185),COLUMN(I185)))),
IF(I170=0,0,-PMT(INDEX(Lookups!$E$17:$G$17,MATCH($C$4,Lookups!$E$14:$G$14,0)),I170,SUMIFS('EE Inputs'!$K$9:$K$32,'EE Inputs'!$C$9:$C$32,$G$6,'EE Inputs'!$D$9:$D$32,$C$4,'EE Inputs'!$E$9:$E$32,$B185),0,1)))</f>
        <v>8618.0405498094224</v>
      </c>
      <c r="J185" s="65">
        <f ca="1">IF($C$4=Lookups!$D$40,SUM(INDIRECT("'Yr1'!"&amp;ADDRESS(ROW(J185),COLUMN(J185))),INDIRECT("'Yr2'!"&amp;ADDRESS(ROW(J185),COLUMN(J185))),INDIRECT("'Yr3'!"&amp;ADDRESS(ROW(J185),COLUMN(J185)))),
IF(J170=0,0,-PMT(INDEX(Lookups!$E$17:$G$17,MATCH($C$4,Lookups!$E$14:$G$14,0)),J170,SUMIFS('EE Inputs'!$K$9:$K$32,'EE Inputs'!$C$9:$C$32,$G$6,'EE Inputs'!$D$9:$D$32,$C$4,'EE Inputs'!$E$9:$E$32,$B185),0,1)))</f>
        <v>8618.0405498094224</v>
      </c>
      <c r="K185" s="65">
        <f ca="1">IF($C$4=Lookups!$D$40,SUM(INDIRECT("'Yr1'!"&amp;ADDRESS(ROW(K185),COLUMN(K185))),INDIRECT("'Yr2'!"&amp;ADDRESS(ROW(K185),COLUMN(K185))),INDIRECT("'Yr3'!"&amp;ADDRESS(ROW(K185),COLUMN(K185)))),
IF(K170=0,0,-PMT(INDEX(Lookups!$E$17:$G$17,MATCH($C$4,Lookups!$E$14:$G$14,0)),K170,SUMIFS('EE Inputs'!$K$9:$K$32,'EE Inputs'!$C$9:$C$32,$G$6,'EE Inputs'!$D$9:$D$32,$C$4,'EE Inputs'!$E$9:$E$32,$B185),0,1)))</f>
        <v>8618.0405498094224</v>
      </c>
      <c r="L185" s="65">
        <f ca="1">IF($C$4=Lookups!$D$40,SUM(INDIRECT("'Yr1'!"&amp;ADDRESS(ROW(L185),COLUMN(L185))),INDIRECT("'Yr2'!"&amp;ADDRESS(ROW(L185),COLUMN(L185))),INDIRECT("'Yr3'!"&amp;ADDRESS(ROW(L185),COLUMN(L185)))),
IF(L170=0,0,-PMT(INDEX(Lookups!$E$17:$G$17,MATCH($C$4,Lookups!$E$14:$G$14,0)),L170,SUMIFS('EE Inputs'!$K$9:$K$32,'EE Inputs'!$C$9:$C$32,$G$6,'EE Inputs'!$D$9:$D$32,$C$4,'EE Inputs'!$E$9:$E$32,$B185),0,1)))</f>
        <v>8618.0405498094224</v>
      </c>
      <c r="M185" s="65">
        <f ca="1">IF($C$4=Lookups!$D$40,SUM(INDIRECT("'Yr1'!"&amp;ADDRESS(ROW(M185),COLUMN(M185))),INDIRECT("'Yr2'!"&amp;ADDRESS(ROW(M185),COLUMN(M185))),INDIRECT("'Yr3'!"&amp;ADDRESS(ROW(M185),COLUMN(M185)))),
IF(M170=0,0,-PMT(INDEX(Lookups!$E$17:$G$17,MATCH($C$4,Lookups!$E$14:$G$14,0)),M170,SUMIFS('EE Inputs'!$K$9:$K$32,'EE Inputs'!$C$9:$C$32,$G$6,'EE Inputs'!$D$9:$D$32,$C$4,'EE Inputs'!$E$9:$E$32,$B185),0,1)))</f>
        <v>8618.0405498094224</v>
      </c>
      <c r="N185" s="65">
        <f ca="1">IF($C$4=Lookups!$D$40,SUM(INDIRECT("'Yr1'!"&amp;ADDRESS(ROW(N185),COLUMN(N185))),INDIRECT("'Yr2'!"&amp;ADDRESS(ROW(N185),COLUMN(N185))),INDIRECT("'Yr3'!"&amp;ADDRESS(ROW(N185),COLUMN(N185)))),
IF(N170=0,0,-PMT(INDEX(Lookups!$E$17:$G$17,MATCH($C$4,Lookups!$E$14:$G$14,0)),N170,SUMIFS('EE Inputs'!$K$9:$K$32,'EE Inputs'!$C$9:$C$32,$G$6,'EE Inputs'!$D$9:$D$32,$C$4,'EE Inputs'!$E$9:$E$32,$B185),0,1)))</f>
        <v>8618.0405498094224</v>
      </c>
      <c r="O185" s="65">
        <f ca="1">IF($C$4=Lookups!$D$40,SUM(INDIRECT("'Yr1'!"&amp;ADDRESS(ROW(O185),COLUMN(O185))),INDIRECT("'Yr2'!"&amp;ADDRESS(ROW(O185),COLUMN(O185))),INDIRECT("'Yr3'!"&amp;ADDRESS(ROW(O185),COLUMN(O185)))),
IF(O170=0,0,-PMT(INDEX(Lookups!$E$17:$G$17,MATCH($C$4,Lookups!$E$14:$G$14,0)),O170,SUMIFS('EE Inputs'!$K$9:$K$32,'EE Inputs'!$C$9:$C$32,$G$6,'EE Inputs'!$D$9:$D$32,$C$4,'EE Inputs'!$E$9:$E$32,$B185),0,1)))</f>
        <v>8618.0405498094224</v>
      </c>
      <c r="P185" s="65">
        <f ca="1">IF($C$4=Lookups!$D$40,SUM(INDIRECT("'Yr1'!"&amp;ADDRESS(ROW(P185),COLUMN(P185))),INDIRECT("'Yr2'!"&amp;ADDRESS(ROW(P185),COLUMN(P185))),INDIRECT("'Yr3'!"&amp;ADDRESS(ROW(P185),COLUMN(P185)))),
IF(P170=0,0,-PMT(INDEX(Lookups!$E$17:$G$17,MATCH($C$4,Lookups!$E$14:$G$14,0)),P170,SUMIFS('EE Inputs'!$K$9:$K$32,'EE Inputs'!$C$9:$C$32,$G$6,'EE Inputs'!$D$9:$D$32,$C$4,'EE Inputs'!$E$9:$E$32,$B185),0,1)))</f>
        <v>8618.0405498094224</v>
      </c>
      <c r="Q185" s="65">
        <f ca="1">IF($C$4=Lookups!$D$40,SUM(INDIRECT("'Yr1'!"&amp;ADDRESS(ROW(Q185),COLUMN(Q185))),INDIRECT("'Yr2'!"&amp;ADDRESS(ROW(Q185),COLUMN(Q185))),INDIRECT("'Yr3'!"&amp;ADDRESS(ROW(Q185),COLUMN(Q185)))),
IF(Q170=0,0,-PMT(INDEX(Lookups!$E$17:$G$17,MATCH($C$4,Lookups!$E$14:$G$14,0)),Q170,SUMIFS('EE Inputs'!$K$9:$K$32,'EE Inputs'!$C$9:$C$32,$G$6,'EE Inputs'!$D$9:$D$32,$C$4,'EE Inputs'!$E$9:$E$32,$B185),0,1)))</f>
        <v>8618.0405498094224</v>
      </c>
      <c r="R185" s="65">
        <f ca="1">IF($C$4=Lookups!$D$40,SUM(INDIRECT("'Yr1'!"&amp;ADDRESS(ROW(R185),COLUMN(R185))),INDIRECT("'Yr2'!"&amp;ADDRESS(ROW(R185),COLUMN(R185))),INDIRECT("'Yr3'!"&amp;ADDRESS(ROW(R185),COLUMN(R185)))),
IF(R170=0,0,-PMT(INDEX(Lookups!$E$17:$G$17,MATCH($C$4,Lookups!$E$14:$G$14,0)),R170,SUMIFS('EE Inputs'!$K$9:$K$32,'EE Inputs'!$C$9:$C$32,$G$6,'EE Inputs'!$D$9:$D$32,$C$4,'EE Inputs'!$E$9:$E$32,$B185),0,1)))</f>
        <v>8618.0405498094224</v>
      </c>
      <c r="S185" s="65">
        <f ca="1">IF($C$4=Lookups!$D$40,SUM(INDIRECT("'Yr1'!"&amp;ADDRESS(ROW(S185),COLUMN(S185))),INDIRECT("'Yr2'!"&amp;ADDRESS(ROW(S185),COLUMN(S185))),INDIRECT("'Yr3'!"&amp;ADDRESS(ROW(S185),COLUMN(S185)))),
IF(S170=0,0,-PMT(INDEX(Lookups!$E$17:$G$17,MATCH($C$4,Lookups!$E$14:$G$14,0)),S170,SUMIFS('EE Inputs'!$K$9:$K$32,'EE Inputs'!$C$9:$C$32,$G$6,'EE Inputs'!$D$9:$D$32,$C$4,'EE Inputs'!$E$9:$E$32,$B185),0,1)))</f>
        <v>8618.0405498094224</v>
      </c>
      <c r="T185" s="65">
        <f ca="1">IF($C$4=Lookups!$D$40,SUM(INDIRECT("'Yr1'!"&amp;ADDRESS(ROW(T185),COLUMN(T185))),INDIRECT("'Yr2'!"&amp;ADDRESS(ROW(T185),COLUMN(T185))),INDIRECT("'Yr3'!"&amp;ADDRESS(ROW(T185),COLUMN(T185)))),
IF(T170=0,0,-PMT(INDEX(Lookups!$E$17:$G$17,MATCH($C$4,Lookups!$E$14:$G$14,0)),T170,SUMIFS('EE Inputs'!$K$9:$K$32,'EE Inputs'!$C$9:$C$32,$G$6,'EE Inputs'!$D$9:$D$32,$C$4,'EE Inputs'!$E$9:$E$32,$B185),0,1)))</f>
        <v>8618.0405498094224</v>
      </c>
      <c r="U185" s="65">
        <f ca="1">IF($C$4=Lookups!$D$40,SUM(INDIRECT("'Yr1'!"&amp;ADDRESS(ROW(U185),COLUMN(U185))),INDIRECT("'Yr2'!"&amp;ADDRESS(ROW(U185),COLUMN(U185))),INDIRECT("'Yr3'!"&amp;ADDRESS(ROW(U185),COLUMN(U185)))),
IF(U170=0,0,-PMT(INDEX(Lookups!$E$17:$G$17,MATCH($C$4,Lookups!$E$14:$G$14,0)),U170,SUMIFS('EE Inputs'!$K$9:$K$32,'EE Inputs'!$C$9:$C$32,$G$6,'EE Inputs'!$D$9:$D$32,$C$4,'EE Inputs'!$E$9:$E$32,$B185),0,1)))</f>
        <v>8618.0405498094224</v>
      </c>
      <c r="V185" s="65">
        <f ca="1">IF($C$4=Lookups!$D$40,SUM(INDIRECT("'Yr1'!"&amp;ADDRESS(ROW(V185),COLUMN(V185))),INDIRECT("'Yr2'!"&amp;ADDRESS(ROW(V185),COLUMN(V185))),INDIRECT("'Yr3'!"&amp;ADDRESS(ROW(V185),COLUMN(V185)))),
IF(V170=0,0,-PMT(INDEX(Lookups!$E$17:$G$17,MATCH($C$4,Lookups!$E$14:$G$14,0)),V170,SUMIFS('EE Inputs'!$K$9:$K$32,'EE Inputs'!$C$9:$C$32,$G$6,'EE Inputs'!$D$9:$D$32,$C$4,'EE Inputs'!$E$9:$E$32,$B185),0,1)))</f>
        <v>8618.0405498094224</v>
      </c>
      <c r="W185" s="65">
        <f ca="1">IF($C$4=Lookups!$D$40,SUM(INDIRECT("'Yr1'!"&amp;ADDRESS(ROW(W185),COLUMN(W185))),INDIRECT("'Yr2'!"&amp;ADDRESS(ROW(W185),COLUMN(W185))),INDIRECT("'Yr3'!"&amp;ADDRESS(ROW(W185),COLUMN(W185)))),
IF(W170=0,0,-PMT(INDEX(Lookups!$E$17:$G$17,MATCH($C$4,Lookups!$E$14:$G$14,0)),W170,SUMIFS('EE Inputs'!$K$9:$K$32,'EE Inputs'!$C$9:$C$32,$G$6,'EE Inputs'!$D$9:$D$32,$C$4,'EE Inputs'!$E$9:$E$32,$B185),0,1)))</f>
        <v>8618.0405498094224</v>
      </c>
      <c r="X185" s="65">
        <f ca="1">IF($C$4=Lookups!$D$40,SUM(INDIRECT("'Yr1'!"&amp;ADDRESS(ROW(X185),COLUMN(X185))),INDIRECT("'Yr2'!"&amp;ADDRESS(ROW(X185),COLUMN(X185))),INDIRECT("'Yr3'!"&amp;ADDRESS(ROW(X185),COLUMN(X185)))),
IF(X170=0,0,-PMT(INDEX(Lookups!$E$17:$G$17,MATCH($C$4,Lookups!$E$14:$G$14,0)),X170,SUMIFS('EE Inputs'!$K$9:$K$32,'EE Inputs'!$C$9:$C$32,$G$6,'EE Inputs'!$D$9:$D$32,$C$4,'EE Inputs'!$E$9:$E$32,$B185),0,1)))</f>
        <v>0</v>
      </c>
      <c r="Y185" s="65">
        <f ca="1">IF($C$4=Lookups!$D$40,SUM(INDIRECT("'Yr1'!"&amp;ADDRESS(ROW(Y185),COLUMN(Y185))),INDIRECT("'Yr2'!"&amp;ADDRESS(ROW(Y185),COLUMN(Y185))),INDIRECT("'Yr3'!"&amp;ADDRESS(ROW(Y185),COLUMN(Y185)))),
IF(Y170=0,0,-PMT(INDEX(Lookups!$E$17:$G$17,MATCH($C$4,Lookups!$E$14:$G$14,0)),Y170,SUMIFS('EE Inputs'!$K$9:$K$32,'EE Inputs'!$C$9:$C$32,$G$6,'EE Inputs'!$D$9:$D$32,$C$4,'EE Inputs'!$E$9:$E$32,$B185),0,1)))</f>
        <v>0</v>
      </c>
      <c r="Z185" s="65">
        <f ca="1">IF($C$4=Lookups!$D$40,SUM(INDIRECT("'Yr1'!"&amp;ADDRESS(ROW(Z185),COLUMN(Z185))),INDIRECT("'Yr2'!"&amp;ADDRESS(ROW(Z185),COLUMN(Z185))),INDIRECT("'Yr3'!"&amp;ADDRESS(ROW(Z185),COLUMN(Z185)))),
IF(Z170=0,0,-PMT(INDEX(Lookups!$E$17:$G$17,MATCH($C$4,Lookups!$E$14:$G$14,0)),Z170,SUMIFS('EE Inputs'!$K$9:$K$32,'EE Inputs'!$C$9:$C$32,$G$6,'EE Inputs'!$D$9:$D$32,$C$4,'EE Inputs'!$E$9:$E$32,$B185),0,1)))</f>
        <v>0</v>
      </c>
      <c r="AA185" s="65">
        <f ca="1">IF($C$4=Lookups!$D$40,SUM(INDIRECT("'Yr1'!"&amp;ADDRESS(ROW(AA185),COLUMN(AA185))),INDIRECT("'Yr2'!"&amp;ADDRESS(ROW(AA185),COLUMN(AA185))),INDIRECT("'Yr3'!"&amp;ADDRESS(ROW(AA185),COLUMN(AA185)))),
IF(AA170=0,0,-PMT(INDEX(Lookups!$E$17:$G$17,MATCH($C$4,Lookups!$E$14:$G$14,0)),AA170,SUMIFS('EE Inputs'!$K$9:$K$32,'EE Inputs'!$C$9:$C$32,$G$6,'EE Inputs'!$D$9:$D$32,$C$4,'EE Inputs'!$E$9:$E$32,$B185),0,1)))</f>
        <v>0</v>
      </c>
      <c r="AB185" s="65">
        <f ca="1">IF($C$4=Lookups!$D$40,SUM(INDIRECT("'Yr1'!"&amp;ADDRESS(ROW(AB185),COLUMN(AB185))),INDIRECT("'Yr2'!"&amp;ADDRESS(ROW(AB185),COLUMN(AB185))),INDIRECT("'Yr3'!"&amp;ADDRESS(ROW(AB185),COLUMN(AB185)))),
IF(AB170=0,0,-PMT(INDEX(Lookups!$E$17:$G$17,MATCH($C$4,Lookups!$E$14:$G$14,0)),AB170,SUMIFS('EE Inputs'!$K$9:$K$32,'EE Inputs'!$C$9:$C$32,$G$6,'EE Inputs'!$D$9:$D$32,$C$4,'EE Inputs'!$E$9:$E$32,$B185),0,1)))</f>
        <v>0</v>
      </c>
      <c r="AC185" s="65">
        <f ca="1">IF($C$4=Lookups!$D$40,SUM(INDIRECT("'Yr1'!"&amp;ADDRESS(ROW(AC185),COLUMN(AC185))),INDIRECT("'Yr2'!"&amp;ADDRESS(ROW(AC185),COLUMN(AC185))),INDIRECT("'Yr3'!"&amp;ADDRESS(ROW(AC185),COLUMN(AC185)))),
IF(AC170=0,0,-PMT(INDEX(Lookups!$E$17:$G$17,MATCH($C$4,Lookups!$E$14:$G$14,0)),AC170,SUMIFS('EE Inputs'!$K$9:$K$32,'EE Inputs'!$C$9:$C$32,$G$6,'EE Inputs'!$D$9:$D$32,$C$4,'EE Inputs'!$E$9:$E$32,$B185),0,1)))</f>
        <v>0</v>
      </c>
      <c r="AD185" s="65">
        <f ca="1">IF($C$4=Lookups!$D$40,SUM(INDIRECT("'Yr1'!"&amp;ADDRESS(ROW(AD185),COLUMN(AD185))),INDIRECT("'Yr2'!"&amp;ADDRESS(ROW(AD185),COLUMN(AD185))),INDIRECT("'Yr3'!"&amp;ADDRESS(ROW(AD185),COLUMN(AD185)))),
IF(AD170=0,0,-PMT(INDEX(Lookups!$E$17:$G$17,MATCH($C$4,Lookups!$E$14:$G$14,0)),AD170,SUMIFS('EE Inputs'!$K$9:$K$32,'EE Inputs'!$C$9:$C$32,$G$6,'EE Inputs'!$D$9:$D$32,$C$4,'EE Inputs'!$E$9:$E$32,$B185),0,1)))</f>
        <v>0</v>
      </c>
      <c r="AE185" s="65">
        <f ca="1">IF($C$4=Lookups!$D$40,SUM(INDIRECT("'Yr1'!"&amp;ADDRESS(ROW(AE185),COLUMN(AE185))),INDIRECT("'Yr2'!"&amp;ADDRESS(ROW(AE185),COLUMN(AE185))),INDIRECT("'Yr3'!"&amp;ADDRESS(ROW(AE185),COLUMN(AE185)))),
IF(AE170=0,0,-PMT(INDEX(Lookups!$E$17:$G$17,MATCH($C$4,Lookups!$E$14:$G$14,0)),AE170,SUMIFS('EE Inputs'!$K$9:$K$32,'EE Inputs'!$C$9:$C$32,$G$6,'EE Inputs'!$D$9:$D$32,$C$4,'EE Inputs'!$E$9:$E$32,$B185),0,1)))</f>
        <v>0</v>
      </c>
      <c r="AF185" s="65">
        <f ca="1">IF($C$4=Lookups!$D$40,SUM(INDIRECT("'Yr1'!"&amp;ADDRESS(ROW(AF185),COLUMN(AF185))),INDIRECT("'Yr2'!"&amp;ADDRESS(ROW(AF185),COLUMN(AF185))),INDIRECT("'Yr3'!"&amp;ADDRESS(ROW(AF185),COLUMN(AF185)))),
IF(AF170=0,0,-PMT(INDEX(Lookups!$E$17:$G$17,MATCH($C$4,Lookups!$E$14:$G$14,0)),AF170,SUMIFS('EE Inputs'!$K$9:$K$32,'EE Inputs'!$C$9:$C$32,$G$6,'EE Inputs'!$D$9:$D$32,$C$4,'EE Inputs'!$E$9:$E$32,$B185),0,1)))</f>
        <v>0</v>
      </c>
      <c r="AG185" s="65">
        <f ca="1">IF($C$4=Lookups!$D$40,SUM(INDIRECT("'Yr1'!"&amp;ADDRESS(ROW(AG185),COLUMN(AG185))),INDIRECT("'Yr2'!"&amp;ADDRESS(ROW(AG185),COLUMN(AG185))),INDIRECT("'Yr3'!"&amp;ADDRESS(ROW(AG185),COLUMN(AG185)))),
IF(AG170=0,0,-PMT(INDEX(Lookups!$E$17:$G$17,MATCH($C$4,Lookups!$E$14:$G$14,0)),AG170,SUMIFS('EE Inputs'!$K$9:$K$32,'EE Inputs'!$C$9:$C$32,$G$6,'EE Inputs'!$D$9:$D$32,$C$4,'EE Inputs'!$E$9:$E$32,$B185),0,1)))</f>
        <v>0</v>
      </c>
      <c r="AH185" s="65"/>
      <c r="AI185" s="65">
        <f ca="1">NPV(Lookups!$E$17,G185:AG185)</f>
        <v>120918.27503526684</v>
      </c>
      <c r="AJ185" s="65"/>
      <c r="AM185" s="72">
        <f ca="1">IF($C$4=Lookups!$D$40,SUM(INDIRECT("'Yr1'!"&amp;ADDRESS(ROW(AM185),COLUMN(AM185))),INDIRECT("'Yr2'!"&amp;ADDRESS(ROW(AM185),COLUMN(AM185))),INDIRECT("'Yr3'!"&amp;ADDRESS(ROW(AM185),COLUMN(AM185)))),
IF(AM170=0,0,-PMT(INDEX(Lookups!$E$17:$G$17,MATCH($C$4,Lookups!$E$14:$G$14,0)),AM170,SUMIFS('EE Inputs'!$K$9:$K$32,'EE Inputs'!$C$9:$C$32,$AM$6,'EE Inputs'!$D$9:$D$32,$C$4,'EE Inputs'!$E$9:$E$32,$B185),0,1)))</f>
        <v>0</v>
      </c>
      <c r="AN185" s="72">
        <f ca="1">IF($C$4=Lookups!$D$40,SUM(INDIRECT("'Yr1'!"&amp;ADDRESS(ROW(AN185),COLUMN(AN185))),INDIRECT("'Yr2'!"&amp;ADDRESS(ROW(AN185),COLUMN(AN185))),INDIRECT("'Yr3'!"&amp;ADDRESS(ROW(AN185),COLUMN(AN185)))),
IF(AN170=0,0,-PMT(INDEX(Lookups!$E$17:$G$17,MATCH($C$4,Lookups!$E$14:$G$14,0)),AN170,SUMIFS('EE Inputs'!$K$9:$K$32,'EE Inputs'!$C$9:$C$32,$AM$6,'EE Inputs'!$D$9:$D$32,$C$4,'EE Inputs'!$E$9:$E$32,$B185),0,1)))</f>
        <v>9849.1891997821967</v>
      </c>
      <c r="AO185" s="72">
        <f ca="1">IF($C$4=Lookups!$D$40,SUM(INDIRECT("'Yr1'!"&amp;ADDRESS(ROW(AO185),COLUMN(AO185))),INDIRECT("'Yr2'!"&amp;ADDRESS(ROW(AO185),COLUMN(AO185))),INDIRECT("'Yr3'!"&amp;ADDRESS(ROW(AO185),COLUMN(AO185)))),
IF(AO170=0,0,-PMT(INDEX(Lookups!$E$17:$G$17,MATCH($C$4,Lookups!$E$14:$G$14,0)),AO170,SUMIFS('EE Inputs'!$K$9:$K$32,'EE Inputs'!$C$9:$C$32,$AM$6,'EE Inputs'!$D$9:$D$32,$C$4,'EE Inputs'!$E$9:$E$32,$B185),0,1)))</f>
        <v>9849.1891997821967</v>
      </c>
      <c r="AP185" s="72">
        <f ca="1">IF($C$4=Lookups!$D$40,SUM(INDIRECT("'Yr1'!"&amp;ADDRESS(ROW(AP185),COLUMN(AP185))),INDIRECT("'Yr2'!"&amp;ADDRESS(ROW(AP185),COLUMN(AP185))),INDIRECT("'Yr3'!"&amp;ADDRESS(ROW(AP185),COLUMN(AP185)))),
IF(AP170=0,0,-PMT(INDEX(Lookups!$E$17:$G$17,MATCH($C$4,Lookups!$E$14:$G$14,0)),AP170,SUMIFS('EE Inputs'!$K$9:$K$32,'EE Inputs'!$C$9:$C$32,$AM$6,'EE Inputs'!$D$9:$D$32,$C$4,'EE Inputs'!$E$9:$E$32,$B185),0,1)))</f>
        <v>9849.1891997821967</v>
      </c>
      <c r="AQ185" s="72">
        <f ca="1">IF($C$4=Lookups!$D$40,SUM(INDIRECT("'Yr1'!"&amp;ADDRESS(ROW(AQ185),COLUMN(AQ185))),INDIRECT("'Yr2'!"&amp;ADDRESS(ROW(AQ185),COLUMN(AQ185))),INDIRECT("'Yr3'!"&amp;ADDRESS(ROW(AQ185),COLUMN(AQ185)))),
IF(AQ170=0,0,-PMT(INDEX(Lookups!$E$17:$G$17,MATCH($C$4,Lookups!$E$14:$G$14,0)),AQ170,SUMIFS('EE Inputs'!$K$9:$K$32,'EE Inputs'!$C$9:$C$32,$AM$6,'EE Inputs'!$D$9:$D$32,$C$4,'EE Inputs'!$E$9:$E$32,$B185),0,1)))</f>
        <v>9849.1891997821967</v>
      </c>
      <c r="AR185" s="72">
        <f ca="1">IF($C$4=Lookups!$D$40,SUM(INDIRECT("'Yr1'!"&amp;ADDRESS(ROW(AR185),COLUMN(AR185))),INDIRECT("'Yr2'!"&amp;ADDRESS(ROW(AR185),COLUMN(AR185))),INDIRECT("'Yr3'!"&amp;ADDRESS(ROW(AR185),COLUMN(AR185)))),
IF(AR170=0,0,-PMT(INDEX(Lookups!$E$17:$G$17,MATCH($C$4,Lookups!$E$14:$G$14,0)),AR170,SUMIFS('EE Inputs'!$K$9:$K$32,'EE Inputs'!$C$9:$C$32,$AM$6,'EE Inputs'!$D$9:$D$32,$C$4,'EE Inputs'!$E$9:$E$32,$B185),0,1)))</f>
        <v>9849.1891997821967</v>
      </c>
      <c r="AS185" s="72">
        <f ca="1">IF($C$4=Lookups!$D$40,SUM(INDIRECT("'Yr1'!"&amp;ADDRESS(ROW(AS185),COLUMN(AS185))),INDIRECT("'Yr2'!"&amp;ADDRESS(ROW(AS185),COLUMN(AS185))),INDIRECT("'Yr3'!"&amp;ADDRESS(ROW(AS185),COLUMN(AS185)))),
IF(AS170=0,0,-PMT(INDEX(Lookups!$E$17:$G$17,MATCH($C$4,Lookups!$E$14:$G$14,0)),AS170,SUMIFS('EE Inputs'!$K$9:$K$32,'EE Inputs'!$C$9:$C$32,$AM$6,'EE Inputs'!$D$9:$D$32,$C$4,'EE Inputs'!$E$9:$E$32,$B185),0,1)))</f>
        <v>9849.1891997821967</v>
      </c>
      <c r="AT185" s="72">
        <f ca="1">IF($C$4=Lookups!$D$40,SUM(INDIRECT("'Yr1'!"&amp;ADDRESS(ROW(AT185),COLUMN(AT185))),INDIRECT("'Yr2'!"&amp;ADDRESS(ROW(AT185),COLUMN(AT185))),INDIRECT("'Yr3'!"&amp;ADDRESS(ROW(AT185),COLUMN(AT185)))),
IF(AT170=0,0,-PMT(INDEX(Lookups!$E$17:$G$17,MATCH($C$4,Lookups!$E$14:$G$14,0)),AT170,SUMIFS('EE Inputs'!$K$9:$K$32,'EE Inputs'!$C$9:$C$32,$AM$6,'EE Inputs'!$D$9:$D$32,$C$4,'EE Inputs'!$E$9:$E$32,$B185),0,1)))</f>
        <v>9849.1891997821967</v>
      </c>
      <c r="AU185" s="72">
        <f ca="1">IF($C$4=Lookups!$D$40,SUM(INDIRECT("'Yr1'!"&amp;ADDRESS(ROW(AU185),COLUMN(AU185))),INDIRECT("'Yr2'!"&amp;ADDRESS(ROW(AU185),COLUMN(AU185))),INDIRECT("'Yr3'!"&amp;ADDRESS(ROW(AU185),COLUMN(AU185)))),
IF(AU170=0,0,-PMT(INDEX(Lookups!$E$17:$G$17,MATCH($C$4,Lookups!$E$14:$G$14,0)),AU170,SUMIFS('EE Inputs'!$K$9:$K$32,'EE Inputs'!$C$9:$C$32,$AM$6,'EE Inputs'!$D$9:$D$32,$C$4,'EE Inputs'!$E$9:$E$32,$B185),0,1)))</f>
        <v>9849.1891997821967</v>
      </c>
      <c r="AV185" s="72">
        <f ca="1">IF($C$4=Lookups!$D$40,SUM(INDIRECT("'Yr1'!"&amp;ADDRESS(ROW(AV185),COLUMN(AV185))),INDIRECT("'Yr2'!"&amp;ADDRESS(ROW(AV185),COLUMN(AV185))),INDIRECT("'Yr3'!"&amp;ADDRESS(ROW(AV185),COLUMN(AV185)))),
IF(AV170=0,0,-PMT(INDEX(Lookups!$E$17:$G$17,MATCH($C$4,Lookups!$E$14:$G$14,0)),AV170,SUMIFS('EE Inputs'!$K$9:$K$32,'EE Inputs'!$C$9:$C$32,$AM$6,'EE Inputs'!$D$9:$D$32,$C$4,'EE Inputs'!$E$9:$E$32,$B185),0,1)))</f>
        <v>9849.1891997821967</v>
      </c>
      <c r="AW185" s="72">
        <f ca="1">IF($C$4=Lookups!$D$40,SUM(INDIRECT("'Yr1'!"&amp;ADDRESS(ROW(AW185),COLUMN(AW185))),INDIRECT("'Yr2'!"&amp;ADDRESS(ROW(AW185),COLUMN(AW185))),INDIRECT("'Yr3'!"&amp;ADDRESS(ROW(AW185),COLUMN(AW185)))),
IF(AW170=0,0,-PMT(INDEX(Lookups!$E$17:$G$17,MATCH($C$4,Lookups!$E$14:$G$14,0)),AW170,SUMIFS('EE Inputs'!$K$9:$K$32,'EE Inputs'!$C$9:$C$32,$AM$6,'EE Inputs'!$D$9:$D$32,$C$4,'EE Inputs'!$E$9:$E$32,$B185),0,1)))</f>
        <v>9849.1891997821967</v>
      </c>
      <c r="AX185" s="72">
        <f ca="1">IF($C$4=Lookups!$D$40,SUM(INDIRECT("'Yr1'!"&amp;ADDRESS(ROW(AX185),COLUMN(AX185))),INDIRECT("'Yr2'!"&amp;ADDRESS(ROW(AX185),COLUMN(AX185))),INDIRECT("'Yr3'!"&amp;ADDRESS(ROW(AX185),COLUMN(AX185)))),
IF(AX170=0,0,-PMT(INDEX(Lookups!$E$17:$G$17,MATCH($C$4,Lookups!$E$14:$G$14,0)),AX170,SUMIFS('EE Inputs'!$K$9:$K$32,'EE Inputs'!$C$9:$C$32,$AM$6,'EE Inputs'!$D$9:$D$32,$C$4,'EE Inputs'!$E$9:$E$32,$B185),0,1)))</f>
        <v>9849.1891997821967</v>
      </c>
      <c r="AY185" s="72">
        <f ca="1">IF($C$4=Lookups!$D$40,SUM(INDIRECT("'Yr1'!"&amp;ADDRESS(ROW(AY185),COLUMN(AY185))),INDIRECT("'Yr2'!"&amp;ADDRESS(ROW(AY185),COLUMN(AY185))),INDIRECT("'Yr3'!"&amp;ADDRESS(ROW(AY185),COLUMN(AY185)))),
IF(AY170=0,0,-PMT(INDEX(Lookups!$E$17:$G$17,MATCH($C$4,Lookups!$E$14:$G$14,0)),AY170,SUMIFS('EE Inputs'!$K$9:$K$32,'EE Inputs'!$C$9:$C$32,$AM$6,'EE Inputs'!$D$9:$D$32,$C$4,'EE Inputs'!$E$9:$E$32,$B185),0,1)))</f>
        <v>9849.1891997821967</v>
      </c>
      <c r="AZ185" s="72">
        <f ca="1">IF($C$4=Lookups!$D$40,SUM(INDIRECT("'Yr1'!"&amp;ADDRESS(ROW(AZ185),COLUMN(AZ185))),INDIRECT("'Yr2'!"&amp;ADDRESS(ROW(AZ185),COLUMN(AZ185))),INDIRECT("'Yr3'!"&amp;ADDRESS(ROW(AZ185),COLUMN(AZ185)))),
IF(AZ170=0,0,-PMT(INDEX(Lookups!$E$17:$G$17,MATCH($C$4,Lookups!$E$14:$G$14,0)),AZ170,SUMIFS('EE Inputs'!$K$9:$K$32,'EE Inputs'!$C$9:$C$32,$AM$6,'EE Inputs'!$D$9:$D$32,$C$4,'EE Inputs'!$E$9:$E$32,$B185),0,1)))</f>
        <v>9849.1891997821967</v>
      </c>
      <c r="BA185" s="72">
        <f ca="1">IF($C$4=Lookups!$D$40,SUM(INDIRECT("'Yr1'!"&amp;ADDRESS(ROW(BA185),COLUMN(BA185))),INDIRECT("'Yr2'!"&amp;ADDRESS(ROW(BA185),COLUMN(BA185))),INDIRECT("'Yr3'!"&amp;ADDRESS(ROW(BA185),COLUMN(BA185)))),
IF(BA170=0,0,-PMT(INDEX(Lookups!$E$17:$G$17,MATCH($C$4,Lookups!$E$14:$G$14,0)),BA170,SUMIFS('EE Inputs'!$K$9:$K$32,'EE Inputs'!$C$9:$C$32,$AM$6,'EE Inputs'!$D$9:$D$32,$C$4,'EE Inputs'!$E$9:$E$32,$B185),0,1)))</f>
        <v>9849.1891997821967</v>
      </c>
      <c r="BB185" s="72">
        <f ca="1">IF($C$4=Lookups!$D$40,SUM(INDIRECT("'Yr1'!"&amp;ADDRESS(ROW(BB185),COLUMN(BB185))),INDIRECT("'Yr2'!"&amp;ADDRESS(ROW(BB185),COLUMN(BB185))),INDIRECT("'Yr3'!"&amp;ADDRESS(ROW(BB185),COLUMN(BB185)))),
IF(BB170=0,0,-PMT(INDEX(Lookups!$E$17:$G$17,MATCH($C$4,Lookups!$E$14:$G$14,0)),BB170,SUMIFS('EE Inputs'!$K$9:$K$32,'EE Inputs'!$C$9:$C$32,$AM$6,'EE Inputs'!$D$9:$D$32,$C$4,'EE Inputs'!$E$9:$E$32,$B185),0,1)))</f>
        <v>9849.1891997821967</v>
      </c>
      <c r="BC185" s="72">
        <f ca="1">IF($C$4=Lookups!$D$40,SUM(INDIRECT("'Yr1'!"&amp;ADDRESS(ROW(BC185),COLUMN(BC185))),INDIRECT("'Yr2'!"&amp;ADDRESS(ROW(BC185),COLUMN(BC185))),INDIRECT("'Yr3'!"&amp;ADDRESS(ROW(BC185),COLUMN(BC185)))),
IF(BC170=0,0,-PMT(INDEX(Lookups!$E$17:$G$17,MATCH($C$4,Lookups!$E$14:$G$14,0)),BC170,SUMIFS('EE Inputs'!$K$9:$K$32,'EE Inputs'!$C$9:$C$32,$AM$6,'EE Inputs'!$D$9:$D$32,$C$4,'EE Inputs'!$E$9:$E$32,$B185),0,1)))</f>
        <v>9849.1891997821967</v>
      </c>
      <c r="BD185" s="72">
        <f ca="1">IF($C$4=Lookups!$D$40,SUM(INDIRECT("'Yr1'!"&amp;ADDRESS(ROW(BD185),COLUMN(BD185))),INDIRECT("'Yr2'!"&amp;ADDRESS(ROW(BD185),COLUMN(BD185))),INDIRECT("'Yr3'!"&amp;ADDRESS(ROW(BD185),COLUMN(BD185)))),
IF(BD170=0,0,-PMT(INDEX(Lookups!$E$17:$G$17,MATCH($C$4,Lookups!$E$14:$G$14,0)),BD170,SUMIFS('EE Inputs'!$K$9:$K$32,'EE Inputs'!$C$9:$C$32,$AM$6,'EE Inputs'!$D$9:$D$32,$C$4,'EE Inputs'!$E$9:$E$32,$B185),0,1)))</f>
        <v>0</v>
      </c>
      <c r="BE185" s="72">
        <f ca="1">IF($C$4=Lookups!$D$40,SUM(INDIRECT("'Yr1'!"&amp;ADDRESS(ROW(BE185),COLUMN(BE185))),INDIRECT("'Yr2'!"&amp;ADDRESS(ROW(BE185),COLUMN(BE185))),INDIRECT("'Yr3'!"&amp;ADDRESS(ROW(BE185),COLUMN(BE185)))),
IF(BE170=0,0,-PMT(INDEX(Lookups!$E$17:$G$17,MATCH($C$4,Lookups!$E$14:$G$14,0)),BE170,SUMIFS('EE Inputs'!$K$9:$K$32,'EE Inputs'!$C$9:$C$32,$AM$6,'EE Inputs'!$D$9:$D$32,$C$4,'EE Inputs'!$E$9:$E$32,$B185),0,1)))</f>
        <v>0</v>
      </c>
      <c r="BF185" s="72">
        <f ca="1">IF($C$4=Lookups!$D$40,SUM(INDIRECT("'Yr1'!"&amp;ADDRESS(ROW(BF185),COLUMN(BF185))),INDIRECT("'Yr2'!"&amp;ADDRESS(ROW(BF185),COLUMN(BF185))),INDIRECT("'Yr3'!"&amp;ADDRESS(ROW(BF185),COLUMN(BF185)))),
IF(BF170=0,0,-PMT(INDEX(Lookups!$E$17:$G$17,MATCH($C$4,Lookups!$E$14:$G$14,0)),BF170,SUMIFS('EE Inputs'!$K$9:$K$32,'EE Inputs'!$C$9:$C$32,$AM$6,'EE Inputs'!$D$9:$D$32,$C$4,'EE Inputs'!$E$9:$E$32,$B185),0,1)))</f>
        <v>0</v>
      </c>
      <c r="BG185" s="72">
        <f ca="1">IF($C$4=Lookups!$D$40,SUM(INDIRECT("'Yr1'!"&amp;ADDRESS(ROW(BG185),COLUMN(BG185))),INDIRECT("'Yr2'!"&amp;ADDRESS(ROW(BG185),COLUMN(BG185))),INDIRECT("'Yr3'!"&amp;ADDRESS(ROW(BG185),COLUMN(BG185)))),
IF(BG170=0,0,-PMT(INDEX(Lookups!$E$17:$G$17,MATCH($C$4,Lookups!$E$14:$G$14,0)),BG170,SUMIFS('EE Inputs'!$K$9:$K$32,'EE Inputs'!$C$9:$C$32,$AM$6,'EE Inputs'!$D$9:$D$32,$C$4,'EE Inputs'!$E$9:$E$32,$B185),0,1)))</f>
        <v>0</v>
      </c>
      <c r="BH185" s="72">
        <f ca="1">IF($C$4=Lookups!$D$40,SUM(INDIRECT("'Yr1'!"&amp;ADDRESS(ROW(BH185),COLUMN(BH185))),INDIRECT("'Yr2'!"&amp;ADDRESS(ROW(BH185),COLUMN(BH185))),INDIRECT("'Yr3'!"&amp;ADDRESS(ROW(BH185),COLUMN(BH185)))),
IF(BH170=0,0,-PMT(INDEX(Lookups!$E$17:$G$17,MATCH($C$4,Lookups!$E$14:$G$14,0)),BH170,SUMIFS('EE Inputs'!$K$9:$K$32,'EE Inputs'!$C$9:$C$32,$AM$6,'EE Inputs'!$D$9:$D$32,$C$4,'EE Inputs'!$E$9:$E$32,$B185),0,1)))</f>
        <v>0</v>
      </c>
      <c r="BI185" s="72">
        <f ca="1">IF($C$4=Lookups!$D$40,SUM(INDIRECT("'Yr1'!"&amp;ADDRESS(ROW(BI185),COLUMN(BI185))),INDIRECT("'Yr2'!"&amp;ADDRESS(ROW(BI185),COLUMN(BI185))),INDIRECT("'Yr3'!"&amp;ADDRESS(ROW(BI185),COLUMN(BI185)))),
IF(BI170=0,0,-PMT(INDEX(Lookups!$E$17:$G$17,MATCH($C$4,Lookups!$E$14:$G$14,0)),BI170,SUMIFS('EE Inputs'!$K$9:$K$32,'EE Inputs'!$C$9:$C$32,$AM$6,'EE Inputs'!$D$9:$D$32,$C$4,'EE Inputs'!$E$9:$E$32,$B185),0,1)))</f>
        <v>0</v>
      </c>
      <c r="BJ185" s="72">
        <f ca="1">IF($C$4=Lookups!$D$40,SUM(INDIRECT("'Yr1'!"&amp;ADDRESS(ROW(BJ185),COLUMN(BJ185))),INDIRECT("'Yr2'!"&amp;ADDRESS(ROW(BJ185),COLUMN(BJ185))),INDIRECT("'Yr3'!"&amp;ADDRESS(ROW(BJ185),COLUMN(BJ185)))),
IF(BJ170=0,0,-PMT(INDEX(Lookups!$E$17:$G$17,MATCH($C$4,Lookups!$E$14:$G$14,0)),BJ170,SUMIFS('EE Inputs'!$K$9:$K$32,'EE Inputs'!$C$9:$C$32,$AM$6,'EE Inputs'!$D$9:$D$32,$C$4,'EE Inputs'!$E$9:$E$32,$B185),0,1)))</f>
        <v>0</v>
      </c>
      <c r="BK185" s="72">
        <f ca="1">IF($C$4=Lookups!$D$40,SUM(INDIRECT("'Yr1'!"&amp;ADDRESS(ROW(BK185),COLUMN(BK185))),INDIRECT("'Yr2'!"&amp;ADDRESS(ROW(BK185),COLUMN(BK185))),INDIRECT("'Yr3'!"&amp;ADDRESS(ROW(BK185),COLUMN(BK185)))),
IF(BK170=0,0,-PMT(INDEX(Lookups!$E$17:$G$17,MATCH($C$4,Lookups!$E$14:$G$14,0)),BK170,SUMIFS('EE Inputs'!$K$9:$K$32,'EE Inputs'!$C$9:$C$32,$AM$6,'EE Inputs'!$D$9:$D$32,$C$4,'EE Inputs'!$E$9:$E$32,$B185),0,1)))</f>
        <v>0</v>
      </c>
      <c r="BL185" s="72">
        <f ca="1">IF($C$4=Lookups!$D$40,SUM(INDIRECT("'Yr1'!"&amp;ADDRESS(ROW(BL185),COLUMN(BL185))),INDIRECT("'Yr2'!"&amp;ADDRESS(ROW(BL185),COLUMN(BL185))),INDIRECT("'Yr3'!"&amp;ADDRESS(ROW(BL185),COLUMN(BL185)))),
IF(BL170=0,0,-PMT(INDEX(Lookups!$E$17:$G$17,MATCH($C$4,Lookups!$E$14:$G$14,0)),BL170,SUMIFS('EE Inputs'!$K$9:$K$32,'EE Inputs'!$C$9:$C$32,$AM$6,'EE Inputs'!$D$9:$D$32,$C$4,'EE Inputs'!$E$9:$E$32,$B185),0,1)))</f>
        <v>0</v>
      </c>
      <c r="BM185" s="72">
        <f ca="1">IF($C$4=Lookups!$D$40,SUM(INDIRECT("'Yr1'!"&amp;ADDRESS(ROW(BM185),COLUMN(BM185))),INDIRECT("'Yr2'!"&amp;ADDRESS(ROW(BM185),COLUMN(BM185))),INDIRECT("'Yr3'!"&amp;ADDRESS(ROW(BM185),COLUMN(BM185)))),
IF(BM170=0,0,-PMT(INDEX(Lookups!$E$17:$G$17,MATCH($C$4,Lookups!$E$14:$G$14,0)),BM170,SUMIFS('EE Inputs'!$K$9:$K$32,'EE Inputs'!$C$9:$C$32,$AM$6,'EE Inputs'!$D$9:$D$32,$C$4,'EE Inputs'!$E$9:$E$32,$B185),0,1)))</f>
        <v>0</v>
      </c>
      <c r="BN185" s="72"/>
      <c r="BO185" s="72">
        <f ca="1">NPV(Lookups!$E$17,AM185:BM185)</f>
        <v>138192.31432601926</v>
      </c>
      <c r="BP185" s="72"/>
      <c r="BS185" s="84" t="str">
        <f>"Avoided "&amp;E185&amp;" costs."</f>
        <v>Avoided Gas DRIPE costs.</v>
      </c>
      <c r="BT185" s="51" t="s">
        <v>17</v>
      </c>
    </row>
    <row r="186" spans="1:72" x14ac:dyDescent="0.25">
      <c r="B186" s="243" t="str">
        <f t="shared" ref="B186:C188" si="192">B185</f>
        <v>Small C&amp;I</v>
      </c>
      <c r="C186" s="243" t="str">
        <f t="shared" si="192"/>
        <v>Revenue Requirements</v>
      </c>
      <c r="D186" s="114" t="s">
        <v>165</v>
      </c>
      <c r="E186" s="84"/>
      <c r="F186" s="84"/>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S186" s="84"/>
      <c r="BT186" s="51" t="s">
        <v>17</v>
      </c>
    </row>
    <row r="187" spans="1:72" x14ac:dyDescent="0.25">
      <c r="A187" s="476"/>
      <c r="B187" s="243" t="str">
        <f t="shared" si="192"/>
        <v>Small C&amp;I</v>
      </c>
      <c r="C187" s="243" t="str">
        <f t="shared" si="192"/>
        <v>Revenue Requirements</v>
      </c>
      <c r="D187" s="244" t="str">
        <f>D186</f>
        <v>Increased Costs and Cost Shifting</v>
      </c>
      <c r="E187" s="84" t="s">
        <v>406</v>
      </c>
      <c r="F187" s="84" t="s">
        <v>32</v>
      </c>
      <c r="G187" s="64">
        <f ca="1">IF($C$4=Lookups!$D$40,SUM(INDIRECT("'Yr1'!"&amp;ADDRESS(ROW(G187),COLUMN(G187))),INDIRECT("'Yr2'!"&amp;ADDRESS(ROW(G187),COLUMN(G187))),INDIRECT("'Yr3'!"&amp;ADDRESS(ROW(G187),COLUMN(G187)))),
IF($C$4=G$7,G207*G175,0))</f>
        <v>0</v>
      </c>
      <c r="H187" s="64">
        <f ca="1">IF($C$4=Lookups!$D$40,SUM(INDIRECT("'Yr1'!"&amp;ADDRESS(ROW(H187),COLUMN(H187))),INDIRECT("'Yr2'!"&amp;ADDRESS(ROW(H187),COLUMN(H187))),INDIRECT("'Yr3'!"&amp;ADDRESS(ROW(H187),COLUMN(H187)))),
IF($C$4=H$7,H207*H175,0))</f>
        <v>3133401.197942582</v>
      </c>
      <c r="I187" s="64">
        <f ca="1">IF($C$4=Lookups!$D$40,SUM(INDIRECT("'Yr1'!"&amp;ADDRESS(ROW(I187),COLUMN(I187))),INDIRECT("'Yr2'!"&amp;ADDRESS(ROW(I187),COLUMN(I187))),INDIRECT("'Yr3'!"&amp;ADDRESS(ROW(I187),COLUMN(I187)))),
IF($C$4=I$7,I207*I175,0))</f>
        <v>0</v>
      </c>
      <c r="J187" s="64">
        <f ca="1">IF($C$4=Lookups!$D$40,SUM(INDIRECT("'Yr1'!"&amp;ADDRESS(ROW(J187),COLUMN(J187))),INDIRECT("'Yr2'!"&amp;ADDRESS(ROW(J187),COLUMN(J187))),INDIRECT("'Yr3'!"&amp;ADDRESS(ROW(J187),COLUMN(J187)))),
IF($C$4=J$7,J207*J175,0))</f>
        <v>0</v>
      </c>
      <c r="K187" s="64">
        <f ca="1">IF($C$4=Lookups!$D$40,SUM(INDIRECT("'Yr1'!"&amp;ADDRESS(ROW(K187),COLUMN(K187))),INDIRECT("'Yr2'!"&amp;ADDRESS(ROW(K187),COLUMN(K187))),INDIRECT("'Yr3'!"&amp;ADDRESS(ROW(K187),COLUMN(K187)))),
IF($C$4=K$7,K207*K175,0))</f>
        <v>0</v>
      </c>
      <c r="L187" s="64">
        <f ca="1">IF($C$4=Lookups!$D$40,SUM(INDIRECT("'Yr1'!"&amp;ADDRESS(ROW(L187),COLUMN(L187))),INDIRECT("'Yr2'!"&amp;ADDRESS(ROW(L187),COLUMN(L187))),INDIRECT("'Yr3'!"&amp;ADDRESS(ROW(L187),COLUMN(L187)))),
IF($C$4=L$7,L207*L175,0))</f>
        <v>0</v>
      </c>
      <c r="M187" s="64">
        <f ca="1">IF($C$4=Lookups!$D$40,SUM(INDIRECT("'Yr1'!"&amp;ADDRESS(ROW(M187),COLUMN(M187))),INDIRECT("'Yr2'!"&amp;ADDRESS(ROW(M187),COLUMN(M187))),INDIRECT("'Yr3'!"&amp;ADDRESS(ROW(M187),COLUMN(M187)))),
IF($C$4=M$7,M207*M175,0))</f>
        <v>0</v>
      </c>
      <c r="N187" s="64">
        <f ca="1">IF($C$4=Lookups!$D$40,SUM(INDIRECT("'Yr1'!"&amp;ADDRESS(ROW(N187),COLUMN(N187))),INDIRECT("'Yr2'!"&amp;ADDRESS(ROW(N187),COLUMN(N187))),INDIRECT("'Yr3'!"&amp;ADDRESS(ROW(N187),COLUMN(N187)))),
IF($C$4=N$7,N207*N175,0))</f>
        <v>0</v>
      </c>
      <c r="O187" s="64">
        <f ca="1">IF($C$4=Lookups!$D$40,SUM(INDIRECT("'Yr1'!"&amp;ADDRESS(ROW(O187),COLUMN(O187))),INDIRECT("'Yr2'!"&amp;ADDRESS(ROW(O187),COLUMN(O187))),INDIRECT("'Yr3'!"&amp;ADDRESS(ROW(O187),COLUMN(O187)))),
IF($C$4=O$7,O207*O175,0))</f>
        <v>0</v>
      </c>
      <c r="P187" s="64">
        <f ca="1">IF($C$4=Lookups!$D$40,SUM(INDIRECT("'Yr1'!"&amp;ADDRESS(ROW(P187),COLUMN(P187))),INDIRECT("'Yr2'!"&amp;ADDRESS(ROW(P187),COLUMN(P187))),INDIRECT("'Yr3'!"&amp;ADDRESS(ROW(P187),COLUMN(P187)))),
IF($C$4=P$7,P207*P175,0))</f>
        <v>0</v>
      </c>
      <c r="Q187" s="64">
        <f ca="1">IF($C$4=Lookups!$D$40,SUM(INDIRECT("'Yr1'!"&amp;ADDRESS(ROW(Q187),COLUMN(Q187))),INDIRECT("'Yr2'!"&amp;ADDRESS(ROW(Q187),COLUMN(Q187))),INDIRECT("'Yr3'!"&amp;ADDRESS(ROW(Q187),COLUMN(Q187)))),
IF($C$4=Q$7,Q207*Q175,0))</f>
        <v>0</v>
      </c>
      <c r="R187" s="64">
        <f ca="1">IF($C$4=Lookups!$D$40,SUM(INDIRECT("'Yr1'!"&amp;ADDRESS(ROW(R187),COLUMN(R187))),INDIRECT("'Yr2'!"&amp;ADDRESS(ROW(R187),COLUMN(R187))),INDIRECT("'Yr3'!"&amp;ADDRESS(ROW(R187),COLUMN(R187)))),
IF($C$4=R$7,R207*R175,0))</f>
        <v>0</v>
      </c>
      <c r="S187" s="64">
        <f ca="1">IF($C$4=Lookups!$D$40,SUM(INDIRECT("'Yr1'!"&amp;ADDRESS(ROW(S187),COLUMN(S187))),INDIRECT("'Yr2'!"&amp;ADDRESS(ROW(S187),COLUMN(S187))),INDIRECT("'Yr3'!"&amp;ADDRESS(ROW(S187),COLUMN(S187)))),
IF($C$4=S$7,S207*S175,0))</f>
        <v>0</v>
      </c>
      <c r="T187" s="64">
        <f ca="1">IF($C$4=Lookups!$D$40,SUM(INDIRECT("'Yr1'!"&amp;ADDRESS(ROW(T187),COLUMN(T187))),INDIRECT("'Yr2'!"&amp;ADDRESS(ROW(T187),COLUMN(T187))),INDIRECT("'Yr3'!"&amp;ADDRESS(ROW(T187),COLUMN(T187)))),
IF($C$4=T$7,T207*T175,0))</f>
        <v>0</v>
      </c>
      <c r="U187" s="64">
        <f ca="1">IF($C$4=Lookups!$D$40,SUM(INDIRECT("'Yr1'!"&amp;ADDRESS(ROW(U187),COLUMN(U187))),INDIRECT("'Yr2'!"&amp;ADDRESS(ROW(U187),COLUMN(U187))),INDIRECT("'Yr3'!"&amp;ADDRESS(ROW(U187),COLUMN(U187)))),
IF($C$4=U$7,U207*U175,0))</f>
        <v>0</v>
      </c>
      <c r="V187" s="64">
        <f ca="1">IF($C$4=Lookups!$D$40,SUM(INDIRECT("'Yr1'!"&amp;ADDRESS(ROW(V187),COLUMN(V187))),INDIRECT("'Yr2'!"&amp;ADDRESS(ROW(V187),COLUMN(V187))),INDIRECT("'Yr3'!"&amp;ADDRESS(ROW(V187),COLUMN(V187)))),
IF($C$4=V$7,V207*V175,0))</f>
        <v>0</v>
      </c>
      <c r="W187" s="64">
        <f ca="1">IF($C$4=Lookups!$D$40,SUM(INDIRECT("'Yr1'!"&amp;ADDRESS(ROW(W187),COLUMN(W187))),INDIRECT("'Yr2'!"&amp;ADDRESS(ROW(W187),COLUMN(W187))),INDIRECT("'Yr3'!"&amp;ADDRESS(ROW(W187),COLUMN(W187)))),
IF($C$4=W$7,W207*W175,0))</f>
        <v>0</v>
      </c>
      <c r="X187" s="64">
        <f ca="1">IF($C$4=Lookups!$D$40,SUM(INDIRECT("'Yr1'!"&amp;ADDRESS(ROW(X187),COLUMN(X187))),INDIRECT("'Yr2'!"&amp;ADDRESS(ROW(X187),COLUMN(X187))),INDIRECT("'Yr3'!"&amp;ADDRESS(ROW(X187),COLUMN(X187)))),
IF($C$4=X$7,X207*X175,0))</f>
        <v>0</v>
      </c>
      <c r="Y187" s="64">
        <f ca="1">IF($C$4=Lookups!$D$40,SUM(INDIRECT("'Yr1'!"&amp;ADDRESS(ROW(Y187),COLUMN(Y187))),INDIRECT("'Yr2'!"&amp;ADDRESS(ROW(Y187),COLUMN(Y187))),INDIRECT("'Yr3'!"&amp;ADDRESS(ROW(Y187),COLUMN(Y187)))),
IF($C$4=Y$7,Y207*Y175,0))</f>
        <v>0</v>
      </c>
      <c r="Z187" s="64">
        <f ca="1">IF($C$4=Lookups!$D$40,SUM(INDIRECT("'Yr1'!"&amp;ADDRESS(ROW(Z187),COLUMN(Z187))),INDIRECT("'Yr2'!"&amp;ADDRESS(ROW(Z187),COLUMN(Z187))),INDIRECT("'Yr3'!"&amp;ADDRESS(ROW(Z187),COLUMN(Z187)))),
IF($C$4=Z$7,Z207*Z175,0))</f>
        <v>0</v>
      </c>
      <c r="AA187" s="64">
        <f ca="1">IF($C$4=Lookups!$D$40,SUM(INDIRECT("'Yr1'!"&amp;ADDRESS(ROW(AA187),COLUMN(AA187))),INDIRECT("'Yr2'!"&amp;ADDRESS(ROW(AA187),COLUMN(AA187))),INDIRECT("'Yr3'!"&amp;ADDRESS(ROW(AA187),COLUMN(AA187)))),
IF($C$4=AA$7,AA207*AA175,0))</f>
        <v>0</v>
      </c>
      <c r="AB187" s="64">
        <f ca="1">IF($C$4=Lookups!$D$40,SUM(INDIRECT("'Yr1'!"&amp;ADDRESS(ROW(AB187),COLUMN(AB187))),INDIRECT("'Yr2'!"&amp;ADDRESS(ROW(AB187),COLUMN(AB187))),INDIRECT("'Yr3'!"&amp;ADDRESS(ROW(AB187),COLUMN(AB187)))),
IF($C$4=AB$7,AB207*AB175,0))</f>
        <v>0</v>
      </c>
      <c r="AC187" s="64">
        <f ca="1">IF($C$4=Lookups!$D$40,SUM(INDIRECT("'Yr1'!"&amp;ADDRESS(ROW(AC187),COLUMN(AC187))),INDIRECT("'Yr2'!"&amp;ADDRESS(ROW(AC187),COLUMN(AC187))),INDIRECT("'Yr3'!"&amp;ADDRESS(ROW(AC187),COLUMN(AC187)))),
IF($C$4=AC$7,AC207*AC175,0))</f>
        <v>0</v>
      </c>
      <c r="AD187" s="64">
        <f ca="1">IF($C$4=Lookups!$D$40,SUM(INDIRECT("'Yr1'!"&amp;ADDRESS(ROW(AD187),COLUMN(AD187))),INDIRECT("'Yr2'!"&amp;ADDRESS(ROW(AD187),COLUMN(AD187))),INDIRECT("'Yr3'!"&amp;ADDRESS(ROW(AD187),COLUMN(AD187)))),
IF($C$4=AD$7,AD207*AD175,0))</f>
        <v>0</v>
      </c>
      <c r="AE187" s="64">
        <f ca="1">IF($C$4=Lookups!$D$40,SUM(INDIRECT("'Yr1'!"&amp;ADDRESS(ROW(AE187),COLUMN(AE187))),INDIRECT("'Yr2'!"&amp;ADDRESS(ROW(AE187),COLUMN(AE187))),INDIRECT("'Yr3'!"&amp;ADDRESS(ROW(AE187),COLUMN(AE187)))),
IF($C$4=AE$7,AE207*AE175,0))</f>
        <v>0</v>
      </c>
      <c r="AF187" s="64">
        <f ca="1">IF($C$4=Lookups!$D$40,SUM(INDIRECT("'Yr1'!"&amp;ADDRESS(ROW(AF187),COLUMN(AF187))),INDIRECT("'Yr2'!"&amp;ADDRESS(ROW(AF187),COLUMN(AF187))),INDIRECT("'Yr3'!"&amp;ADDRESS(ROW(AF187),COLUMN(AF187)))),
IF($C$4=AF$7,AF207*AF175,0))</f>
        <v>0</v>
      </c>
      <c r="AG187" s="64">
        <f ca="1">IF($C$4=Lookups!$D$40,SUM(INDIRECT("'Yr1'!"&amp;ADDRESS(ROW(AG187),COLUMN(AG187))),INDIRECT("'Yr2'!"&amp;ADDRESS(ROW(AG187),COLUMN(AG187))),INDIRECT("'Yr3'!"&amp;ADDRESS(ROW(AG187),COLUMN(AG187)))),
IF($C$4=AG$7,AG207*AG175,0))</f>
        <v>0</v>
      </c>
      <c r="AH187" s="49"/>
      <c r="AI187" s="64">
        <f ca="1">NPV(Lookups!$E$17,G187:AG187)</f>
        <v>3046609.2712036171</v>
      </c>
      <c r="AJ187" s="65"/>
      <c r="AM187" s="71">
        <f ca="1">IF($C$4=Lookups!$D$40,SUM(INDIRECT("'Yr1'!"&amp;ADDRESS(ROW(AM187),COLUMN(AM187))),INDIRECT("'Yr2'!"&amp;ADDRESS(ROW(AM187),COLUMN(AM187))),INDIRECT("'Yr3'!"&amp;ADDRESS(ROW(AM187),COLUMN(AM187)))),
IF($C$4=AM$7,AM207*AM175,0))</f>
        <v>0</v>
      </c>
      <c r="AN187" s="71">
        <f ca="1">IF($C$4=Lookups!$D$40,SUM(INDIRECT("'Yr1'!"&amp;ADDRESS(ROW(AN187),COLUMN(AN187))),INDIRECT("'Yr2'!"&amp;ADDRESS(ROW(AN187),COLUMN(AN187))),INDIRECT("'Yr3'!"&amp;ADDRESS(ROW(AN187),COLUMN(AN187)))),
IF($C$4=AN$7,AN207*AN175,0))</f>
        <v>3750818.1836314597</v>
      </c>
      <c r="AO187" s="71">
        <f ca="1">IF($C$4=Lookups!$D$40,SUM(INDIRECT("'Yr1'!"&amp;ADDRESS(ROW(AO187),COLUMN(AO187))),INDIRECT("'Yr2'!"&amp;ADDRESS(ROW(AO187),COLUMN(AO187))),INDIRECT("'Yr3'!"&amp;ADDRESS(ROW(AO187),COLUMN(AO187)))),
IF($C$4=AO$7,AO207*AO175,0))</f>
        <v>0</v>
      </c>
      <c r="AP187" s="71">
        <f ca="1">IF($C$4=Lookups!$D$40,SUM(INDIRECT("'Yr1'!"&amp;ADDRESS(ROW(AP187),COLUMN(AP187))),INDIRECT("'Yr2'!"&amp;ADDRESS(ROW(AP187),COLUMN(AP187))),INDIRECT("'Yr3'!"&amp;ADDRESS(ROW(AP187),COLUMN(AP187)))),
IF($C$4=AP$7,AP207*AP175,0))</f>
        <v>0</v>
      </c>
      <c r="AQ187" s="71">
        <f ca="1">IF($C$4=Lookups!$D$40,SUM(INDIRECT("'Yr1'!"&amp;ADDRESS(ROW(AQ187),COLUMN(AQ187))),INDIRECT("'Yr2'!"&amp;ADDRESS(ROW(AQ187),COLUMN(AQ187))),INDIRECT("'Yr3'!"&amp;ADDRESS(ROW(AQ187),COLUMN(AQ187)))),
IF($C$4=AQ$7,AQ207*AQ175,0))</f>
        <v>0</v>
      </c>
      <c r="AR187" s="71">
        <f ca="1">IF($C$4=Lookups!$D$40,SUM(INDIRECT("'Yr1'!"&amp;ADDRESS(ROW(AR187),COLUMN(AR187))),INDIRECT("'Yr2'!"&amp;ADDRESS(ROW(AR187),COLUMN(AR187))),INDIRECT("'Yr3'!"&amp;ADDRESS(ROW(AR187),COLUMN(AR187)))),
IF($C$4=AR$7,AR207*AR175,0))</f>
        <v>0</v>
      </c>
      <c r="AS187" s="71">
        <f ca="1">IF($C$4=Lookups!$D$40,SUM(INDIRECT("'Yr1'!"&amp;ADDRESS(ROW(AS187),COLUMN(AS187))),INDIRECT("'Yr2'!"&amp;ADDRESS(ROW(AS187),COLUMN(AS187))),INDIRECT("'Yr3'!"&amp;ADDRESS(ROW(AS187),COLUMN(AS187)))),
IF($C$4=AS$7,AS207*AS175,0))</f>
        <v>0</v>
      </c>
      <c r="AT187" s="71">
        <f ca="1">IF($C$4=Lookups!$D$40,SUM(INDIRECT("'Yr1'!"&amp;ADDRESS(ROW(AT187),COLUMN(AT187))),INDIRECT("'Yr2'!"&amp;ADDRESS(ROW(AT187),COLUMN(AT187))),INDIRECT("'Yr3'!"&amp;ADDRESS(ROW(AT187),COLUMN(AT187)))),
IF($C$4=AT$7,AT207*AT175,0))</f>
        <v>0</v>
      </c>
      <c r="AU187" s="71">
        <f ca="1">IF($C$4=Lookups!$D$40,SUM(INDIRECT("'Yr1'!"&amp;ADDRESS(ROW(AU187),COLUMN(AU187))),INDIRECT("'Yr2'!"&amp;ADDRESS(ROW(AU187),COLUMN(AU187))),INDIRECT("'Yr3'!"&amp;ADDRESS(ROW(AU187),COLUMN(AU187)))),
IF($C$4=AU$7,AU207*AU175,0))</f>
        <v>0</v>
      </c>
      <c r="AV187" s="71">
        <f ca="1">IF($C$4=Lookups!$D$40,SUM(INDIRECT("'Yr1'!"&amp;ADDRESS(ROW(AV187),COLUMN(AV187))),INDIRECT("'Yr2'!"&amp;ADDRESS(ROW(AV187),COLUMN(AV187))),INDIRECT("'Yr3'!"&amp;ADDRESS(ROW(AV187),COLUMN(AV187)))),
IF($C$4=AV$7,AV207*AV175,0))</f>
        <v>0</v>
      </c>
      <c r="AW187" s="71">
        <f ca="1">IF($C$4=Lookups!$D$40,SUM(INDIRECT("'Yr1'!"&amp;ADDRESS(ROW(AW187),COLUMN(AW187))),INDIRECT("'Yr2'!"&amp;ADDRESS(ROW(AW187),COLUMN(AW187))),INDIRECT("'Yr3'!"&amp;ADDRESS(ROW(AW187),COLUMN(AW187)))),
IF($C$4=AW$7,AW207*AW175,0))</f>
        <v>0</v>
      </c>
      <c r="AX187" s="71">
        <f ca="1">IF($C$4=Lookups!$D$40,SUM(INDIRECT("'Yr1'!"&amp;ADDRESS(ROW(AX187),COLUMN(AX187))),INDIRECT("'Yr2'!"&amp;ADDRESS(ROW(AX187),COLUMN(AX187))),INDIRECT("'Yr3'!"&amp;ADDRESS(ROW(AX187),COLUMN(AX187)))),
IF($C$4=AX$7,AX207*AX175,0))</f>
        <v>0</v>
      </c>
      <c r="AY187" s="71">
        <f ca="1">IF($C$4=Lookups!$D$40,SUM(INDIRECT("'Yr1'!"&amp;ADDRESS(ROW(AY187),COLUMN(AY187))),INDIRECT("'Yr2'!"&amp;ADDRESS(ROW(AY187),COLUMN(AY187))),INDIRECT("'Yr3'!"&amp;ADDRESS(ROW(AY187),COLUMN(AY187)))),
IF($C$4=AY$7,AY207*AY175,0))</f>
        <v>0</v>
      </c>
      <c r="AZ187" s="71">
        <f ca="1">IF($C$4=Lookups!$D$40,SUM(INDIRECT("'Yr1'!"&amp;ADDRESS(ROW(AZ187),COLUMN(AZ187))),INDIRECT("'Yr2'!"&amp;ADDRESS(ROW(AZ187),COLUMN(AZ187))),INDIRECT("'Yr3'!"&amp;ADDRESS(ROW(AZ187),COLUMN(AZ187)))),
IF($C$4=AZ$7,AZ207*AZ175,0))</f>
        <v>0</v>
      </c>
      <c r="BA187" s="71">
        <f ca="1">IF($C$4=Lookups!$D$40,SUM(INDIRECT("'Yr1'!"&amp;ADDRESS(ROW(BA187),COLUMN(BA187))),INDIRECT("'Yr2'!"&amp;ADDRESS(ROW(BA187),COLUMN(BA187))),INDIRECT("'Yr3'!"&amp;ADDRESS(ROW(BA187),COLUMN(BA187)))),
IF($C$4=BA$7,BA207*BA175,0))</f>
        <v>0</v>
      </c>
      <c r="BB187" s="71">
        <f ca="1">IF($C$4=Lookups!$D$40,SUM(INDIRECT("'Yr1'!"&amp;ADDRESS(ROW(BB187),COLUMN(BB187))),INDIRECT("'Yr2'!"&amp;ADDRESS(ROW(BB187),COLUMN(BB187))),INDIRECT("'Yr3'!"&amp;ADDRESS(ROW(BB187),COLUMN(BB187)))),
IF($C$4=BB$7,BB207*BB175,0))</f>
        <v>0</v>
      </c>
      <c r="BC187" s="71">
        <f ca="1">IF($C$4=Lookups!$D$40,SUM(INDIRECT("'Yr1'!"&amp;ADDRESS(ROW(BC187),COLUMN(BC187))),INDIRECT("'Yr2'!"&amp;ADDRESS(ROW(BC187),COLUMN(BC187))),INDIRECT("'Yr3'!"&amp;ADDRESS(ROW(BC187),COLUMN(BC187)))),
IF($C$4=BC$7,BC207*BC175,0))</f>
        <v>0</v>
      </c>
      <c r="BD187" s="71">
        <f ca="1">IF($C$4=Lookups!$D$40,SUM(INDIRECT("'Yr1'!"&amp;ADDRESS(ROW(BD187),COLUMN(BD187))),INDIRECT("'Yr2'!"&amp;ADDRESS(ROW(BD187),COLUMN(BD187))),INDIRECT("'Yr3'!"&amp;ADDRESS(ROW(BD187),COLUMN(BD187)))),
IF($C$4=BD$7,BD207*BD175,0))</f>
        <v>0</v>
      </c>
      <c r="BE187" s="71">
        <f ca="1">IF($C$4=Lookups!$D$40,SUM(INDIRECT("'Yr1'!"&amp;ADDRESS(ROW(BE187),COLUMN(BE187))),INDIRECT("'Yr2'!"&amp;ADDRESS(ROW(BE187),COLUMN(BE187))),INDIRECT("'Yr3'!"&amp;ADDRESS(ROW(BE187),COLUMN(BE187)))),
IF($C$4=BE$7,BE207*BE175,0))</f>
        <v>0</v>
      </c>
      <c r="BF187" s="71">
        <f ca="1">IF($C$4=Lookups!$D$40,SUM(INDIRECT("'Yr1'!"&amp;ADDRESS(ROW(BF187),COLUMN(BF187))),INDIRECT("'Yr2'!"&amp;ADDRESS(ROW(BF187),COLUMN(BF187))),INDIRECT("'Yr3'!"&amp;ADDRESS(ROW(BF187),COLUMN(BF187)))),
IF($C$4=BF$7,BF207*BF175,0))</f>
        <v>0</v>
      </c>
      <c r="BG187" s="71">
        <f ca="1">IF($C$4=Lookups!$D$40,SUM(INDIRECT("'Yr1'!"&amp;ADDRESS(ROW(BG187),COLUMN(BG187))),INDIRECT("'Yr2'!"&amp;ADDRESS(ROW(BG187),COLUMN(BG187))),INDIRECT("'Yr3'!"&amp;ADDRESS(ROW(BG187),COLUMN(BG187)))),
IF($C$4=BG$7,BG207*BG175,0))</f>
        <v>0</v>
      </c>
      <c r="BH187" s="71">
        <f ca="1">IF($C$4=Lookups!$D$40,SUM(INDIRECT("'Yr1'!"&amp;ADDRESS(ROW(BH187),COLUMN(BH187))),INDIRECT("'Yr2'!"&amp;ADDRESS(ROW(BH187),COLUMN(BH187))),INDIRECT("'Yr3'!"&amp;ADDRESS(ROW(BH187),COLUMN(BH187)))),
IF($C$4=BH$7,BH207*BH175,0))</f>
        <v>0</v>
      </c>
      <c r="BI187" s="71">
        <f ca="1">IF($C$4=Lookups!$D$40,SUM(INDIRECT("'Yr1'!"&amp;ADDRESS(ROW(BI187),COLUMN(BI187))),INDIRECT("'Yr2'!"&amp;ADDRESS(ROW(BI187),COLUMN(BI187))),INDIRECT("'Yr3'!"&amp;ADDRESS(ROW(BI187),COLUMN(BI187)))),
IF($C$4=BI$7,BI207*BI175,0))</f>
        <v>0</v>
      </c>
      <c r="BJ187" s="71">
        <f ca="1">IF($C$4=Lookups!$D$40,SUM(INDIRECT("'Yr1'!"&amp;ADDRESS(ROW(BJ187),COLUMN(BJ187))),INDIRECT("'Yr2'!"&amp;ADDRESS(ROW(BJ187),COLUMN(BJ187))),INDIRECT("'Yr3'!"&amp;ADDRESS(ROW(BJ187),COLUMN(BJ187)))),
IF($C$4=BJ$7,BJ207*BJ175,0))</f>
        <v>0</v>
      </c>
      <c r="BK187" s="71">
        <f ca="1">IF($C$4=Lookups!$D$40,SUM(INDIRECT("'Yr1'!"&amp;ADDRESS(ROW(BK187),COLUMN(BK187))),INDIRECT("'Yr2'!"&amp;ADDRESS(ROW(BK187),COLUMN(BK187))),INDIRECT("'Yr3'!"&amp;ADDRESS(ROW(BK187),COLUMN(BK187)))),
IF($C$4=BK$7,BK207*BK175,0))</f>
        <v>0</v>
      </c>
      <c r="BL187" s="71">
        <f ca="1">IF($C$4=Lookups!$D$40,SUM(INDIRECT("'Yr1'!"&amp;ADDRESS(ROW(BL187),COLUMN(BL187))),INDIRECT("'Yr2'!"&amp;ADDRESS(ROW(BL187),COLUMN(BL187))),INDIRECT("'Yr3'!"&amp;ADDRESS(ROW(BL187),COLUMN(BL187)))),
IF($C$4=BL$7,BL207*BL175,0))</f>
        <v>0</v>
      </c>
      <c r="BM187" s="71">
        <f ca="1">IF($C$4=Lookups!$D$40,SUM(INDIRECT("'Yr1'!"&amp;ADDRESS(ROW(BM187),COLUMN(BM187))),INDIRECT("'Yr2'!"&amp;ADDRESS(ROW(BM187),COLUMN(BM187))),INDIRECT("'Yr3'!"&amp;ADDRESS(ROW(BM187),COLUMN(BM187)))),
IF($C$4=BM$7,BM207*BM175,0))</f>
        <v>0</v>
      </c>
      <c r="BN187" s="71"/>
      <c r="BO187" s="71">
        <f ca="1">NPV(Lookups!$E$17,AM187:BM187)</f>
        <v>3646924.4539620285</v>
      </c>
      <c r="BP187" s="72"/>
      <c r="BS187" s="84" t="str">
        <f>E187&amp;" rate multiplied by After DSM sales."</f>
        <v>LDAC, EE Only rate multiplied by After DSM sales.</v>
      </c>
      <c r="BT187" s="51" t="s">
        <v>17</v>
      </c>
    </row>
    <row r="188" spans="1:72" x14ac:dyDescent="0.25">
      <c r="A188" s="476"/>
      <c r="B188" s="243" t="str">
        <f t="shared" si="192"/>
        <v>Small C&amp;I</v>
      </c>
      <c r="C188" s="243" t="str">
        <f t="shared" si="192"/>
        <v>Revenue Requirements</v>
      </c>
      <c r="D188" s="244" t="str">
        <f>D187</f>
        <v>Increased Costs and Cost Shifting</v>
      </c>
      <c r="E188" s="86" t="s">
        <v>198</v>
      </c>
      <c r="F188" s="84" t="s">
        <v>32</v>
      </c>
      <c r="G188" s="64">
        <f ca="1">IF($C$4=Lookups!$D$40,SUM(INDIRECT("'Yr1'!"&amp;ADDRESS(ROW(G188),COLUMN(G188))),INDIRECT("'Yr2'!"&amp;ADDRESS(ROW(G188),COLUMN(G188))),INDIRECT("'Yr3'!"&amp;ADDRESS(ROW(G188),COLUMN(G188)))),
G208*G175)</f>
        <v>0</v>
      </c>
      <c r="H188" s="64">
        <f ca="1">IF($C$4=Lookups!$D$40,SUM(INDIRECT("'Yr1'!"&amp;ADDRESS(ROW(H188),COLUMN(H188))),INDIRECT("'Yr2'!"&amp;ADDRESS(ROW(H188),COLUMN(H188))),INDIRECT("'Yr3'!"&amp;ADDRESS(ROW(H188),COLUMN(H188)))),
H208*H175)</f>
        <v>141696.50474403889</v>
      </c>
      <c r="I188" s="64">
        <f ca="1">IF($C$4=Lookups!$D$40,SUM(INDIRECT("'Yr1'!"&amp;ADDRESS(ROW(I188),COLUMN(I188))),INDIRECT("'Yr2'!"&amp;ADDRESS(ROW(I188),COLUMN(I188))),INDIRECT("'Yr3'!"&amp;ADDRESS(ROW(I188),COLUMN(I188)))),
I208*I175)</f>
        <v>141696.50474403889</v>
      </c>
      <c r="J188" s="64">
        <f ca="1">IF($C$4=Lookups!$D$40,SUM(INDIRECT("'Yr1'!"&amp;ADDRESS(ROW(J188),COLUMN(J188))),INDIRECT("'Yr2'!"&amp;ADDRESS(ROW(J188),COLUMN(J188))),INDIRECT("'Yr3'!"&amp;ADDRESS(ROW(J188),COLUMN(J188)))),
J208*J175)</f>
        <v>141696.50474403889</v>
      </c>
      <c r="K188" s="64">
        <f ca="1">IF($C$4=Lookups!$D$40,SUM(INDIRECT("'Yr1'!"&amp;ADDRESS(ROW(K188),COLUMN(K188))),INDIRECT("'Yr2'!"&amp;ADDRESS(ROW(K188),COLUMN(K188))),INDIRECT("'Yr3'!"&amp;ADDRESS(ROW(K188),COLUMN(K188)))),
K208*K175)</f>
        <v>141696.50474403889</v>
      </c>
      <c r="L188" s="64">
        <f ca="1">IF($C$4=Lookups!$D$40,SUM(INDIRECT("'Yr1'!"&amp;ADDRESS(ROW(L188),COLUMN(L188))),INDIRECT("'Yr2'!"&amp;ADDRESS(ROW(L188),COLUMN(L188))),INDIRECT("'Yr3'!"&amp;ADDRESS(ROW(L188),COLUMN(L188)))),
L208*L175)</f>
        <v>141696.50474403889</v>
      </c>
      <c r="M188" s="64">
        <f ca="1">IF($C$4=Lookups!$D$40,SUM(INDIRECT("'Yr1'!"&amp;ADDRESS(ROW(M188),COLUMN(M188))),INDIRECT("'Yr2'!"&amp;ADDRESS(ROW(M188),COLUMN(M188))),INDIRECT("'Yr3'!"&amp;ADDRESS(ROW(M188),COLUMN(M188)))),
M208*M175)</f>
        <v>141696.50474403889</v>
      </c>
      <c r="N188" s="64">
        <f ca="1">IF($C$4=Lookups!$D$40,SUM(INDIRECT("'Yr1'!"&amp;ADDRESS(ROW(N188),COLUMN(N188))),INDIRECT("'Yr2'!"&amp;ADDRESS(ROW(N188),COLUMN(N188))),INDIRECT("'Yr3'!"&amp;ADDRESS(ROW(N188),COLUMN(N188)))),
N208*N175)</f>
        <v>141696.50474403889</v>
      </c>
      <c r="O188" s="64">
        <f ca="1">IF($C$4=Lookups!$D$40,SUM(INDIRECT("'Yr1'!"&amp;ADDRESS(ROW(O188),COLUMN(O188))),INDIRECT("'Yr2'!"&amp;ADDRESS(ROW(O188),COLUMN(O188))),INDIRECT("'Yr3'!"&amp;ADDRESS(ROW(O188),COLUMN(O188)))),
O208*O175)</f>
        <v>141696.50474403889</v>
      </c>
      <c r="P188" s="64">
        <f ca="1">IF($C$4=Lookups!$D$40,SUM(INDIRECT("'Yr1'!"&amp;ADDRESS(ROW(P188),COLUMN(P188))),INDIRECT("'Yr2'!"&amp;ADDRESS(ROW(P188),COLUMN(P188))),INDIRECT("'Yr3'!"&amp;ADDRESS(ROW(P188),COLUMN(P188)))),
P208*P175)</f>
        <v>141696.50474403889</v>
      </c>
      <c r="Q188" s="64">
        <f ca="1">IF($C$4=Lookups!$D$40,SUM(INDIRECT("'Yr1'!"&amp;ADDRESS(ROW(Q188),COLUMN(Q188))),INDIRECT("'Yr2'!"&amp;ADDRESS(ROW(Q188),COLUMN(Q188))),INDIRECT("'Yr3'!"&amp;ADDRESS(ROW(Q188),COLUMN(Q188)))),
Q208*Q175)</f>
        <v>141696.50474403889</v>
      </c>
      <c r="R188" s="64">
        <f ca="1">IF($C$4=Lookups!$D$40,SUM(INDIRECT("'Yr1'!"&amp;ADDRESS(ROW(R188),COLUMN(R188))),INDIRECT("'Yr2'!"&amp;ADDRESS(ROW(R188),COLUMN(R188))),INDIRECT("'Yr3'!"&amp;ADDRESS(ROW(R188),COLUMN(R188)))),
R208*R175)</f>
        <v>141696.50474403889</v>
      </c>
      <c r="S188" s="64">
        <f ca="1">IF($C$4=Lookups!$D$40,SUM(INDIRECT("'Yr1'!"&amp;ADDRESS(ROW(S188),COLUMN(S188))),INDIRECT("'Yr2'!"&amp;ADDRESS(ROW(S188),COLUMN(S188))),INDIRECT("'Yr3'!"&amp;ADDRESS(ROW(S188),COLUMN(S188)))),
S208*S175)</f>
        <v>141696.50474403889</v>
      </c>
      <c r="T188" s="64">
        <f ca="1">IF($C$4=Lookups!$D$40,SUM(INDIRECT("'Yr1'!"&amp;ADDRESS(ROW(T188),COLUMN(T188))),INDIRECT("'Yr2'!"&amp;ADDRESS(ROW(T188),COLUMN(T188))),INDIRECT("'Yr3'!"&amp;ADDRESS(ROW(T188),COLUMN(T188)))),
T208*T175)</f>
        <v>141696.50474403889</v>
      </c>
      <c r="U188" s="64">
        <f ca="1">IF($C$4=Lookups!$D$40,SUM(INDIRECT("'Yr1'!"&amp;ADDRESS(ROW(U188),COLUMN(U188))),INDIRECT("'Yr2'!"&amp;ADDRESS(ROW(U188),COLUMN(U188))),INDIRECT("'Yr3'!"&amp;ADDRESS(ROW(U188),COLUMN(U188)))),
U208*U175)</f>
        <v>141696.50474403889</v>
      </c>
      <c r="V188" s="64">
        <f ca="1">IF($C$4=Lookups!$D$40,SUM(INDIRECT("'Yr1'!"&amp;ADDRESS(ROW(V188),COLUMN(V188))),INDIRECT("'Yr2'!"&amp;ADDRESS(ROW(V188),COLUMN(V188))),INDIRECT("'Yr3'!"&amp;ADDRESS(ROW(V188),COLUMN(V188)))),
V208*V175)</f>
        <v>141696.50474403889</v>
      </c>
      <c r="W188" s="64">
        <f ca="1">IF($C$4=Lookups!$D$40,SUM(INDIRECT("'Yr1'!"&amp;ADDRESS(ROW(W188),COLUMN(W188))),INDIRECT("'Yr2'!"&amp;ADDRESS(ROW(W188),COLUMN(W188))),INDIRECT("'Yr3'!"&amp;ADDRESS(ROW(W188),COLUMN(W188)))),
W208*W175)</f>
        <v>141696.50474403889</v>
      </c>
      <c r="X188" s="64">
        <f ca="1">IF($C$4=Lookups!$D$40,SUM(INDIRECT("'Yr1'!"&amp;ADDRESS(ROW(X188),COLUMN(X188))),INDIRECT("'Yr2'!"&amp;ADDRESS(ROW(X188),COLUMN(X188))),INDIRECT("'Yr3'!"&amp;ADDRESS(ROW(X188),COLUMN(X188)))),
X208*X175)</f>
        <v>0</v>
      </c>
      <c r="Y188" s="64">
        <f ca="1">IF($C$4=Lookups!$D$40,SUM(INDIRECT("'Yr1'!"&amp;ADDRESS(ROW(Y188),COLUMN(Y188))),INDIRECT("'Yr2'!"&amp;ADDRESS(ROW(Y188),COLUMN(Y188))),INDIRECT("'Yr3'!"&amp;ADDRESS(ROW(Y188),COLUMN(Y188)))),
Y208*Y175)</f>
        <v>0</v>
      </c>
      <c r="Z188" s="64">
        <f ca="1">IF($C$4=Lookups!$D$40,SUM(INDIRECT("'Yr1'!"&amp;ADDRESS(ROW(Z188),COLUMN(Z188))),INDIRECT("'Yr2'!"&amp;ADDRESS(ROW(Z188),COLUMN(Z188))),INDIRECT("'Yr3'!"&amp;ADDRESS(ROW(Z188),COLUMN(Z188)))),
Z208*Z175)</f>
        <v>0</v>
      </c>
      <c r="AA188" s="64">
        <f ca="1">IF($C$4=Lookups!$D$40,SUM(INDIRECT("'Yr1'!"&amp;ADDRESS(ROW(AA188),COLUMN(AA188))),INDIRECT("'Yr2'!"&amp;ADDRESS(ROW(AA188),COLUMN(AA188))),INDIRECT("'Yr3'!"&amp;ADDRESS(ROW(AA188),COLUMN(AA188)))),
AA208*AA175)</f>
        <v>0</v>
      </c>
      <c r="AB188" s="64">
        <f ca="1">IF($C$4=Lookups!$D$40,SUM(INDIRECT("'Yr1'!"&amp;ADDRESS(ROW(AB188),COLUMN(AB188))),INDIRECT("'Yr2'!"&amp;ADDRESS(ROW(AB188),COLUMN(AB188))),INDIRECT("'Yr3'!"&amp;ADDRESS(ROW(AB188),COLUMN(AB188)))),
AB208*AB175)</f>
        <v>0</v>
      </c>
      <c r="AC188" s="64">
        <f ca="1">IF($C$4=Lookups!$D$40,SUM(INDIRECT("'Yr1'!"&amp;ADDRESS(ROW(AC188),COLUMN(AC188))),INDIRECT("'Yr2'!"&amp;ADDRESS(ROW(AC188),COLUMN(AC188))),INDIRECT("'Yr3'!"&amp;ADDRESS(ROW(AC188),COLUMN(AC188)))),
AC208*AC175)</f>
        <v>0</v>
      </c>
      <c r="AD188" s="64">
        <f ca="1">IF($C$4=Lookups!$D$40,SUM(INDIRECT("'Yr1'!"&amp;ADDRESS(ROW(AD188),COLUMN(AD188))),INDIRECT("'Yr2'!"&amp;ADDRESS(ROW(AD188),COLUMN(AD188))),INDIRECT("'Yr3'!"&amp;ADDRESS(ROW(AD188),COLUMN(AD188)))),
AD208*AD175)</f>
        <v>0</v>
      </c>
      <c r="AE188" s="64">
        <f ca="1">IF($C$4=Lookups!$D$40,SUM(INDIRECT("'Yr1'!"&amp;ADDRESS(ROW(AE188),COLUMN(AE188))),INDIRECT("'Yr2'!"&amp;ADDRESS(ROW(AE188),COLUMN(AE188))),INDIRECT("'Yr3'!"&amp;ADDRESS(ROW(AE188),COLUMN(AE188)))),
AE208*AE175)</f>
        <v>0</v>
      </c>
      <c r="AF188" s="64">
        <f ca="1">IF($C$4=Lookups!$D$40,SUM(INDIRECT("'Yr1'!"&amp;ADDRESS(ROW(AF188),COLUMN(AF188))),INDIRECT("'Yr2'!"&amp;ADDRESS(ROW(AF188),COLUMN(AF188))),INDIRECT("'Yr3'!"&amp;ADDRESS(ROW(AF188),COLUMN(AF188)))),
AF208*AF175)</f>
        <v>0</v>
      </c>
      <c r="AG188" s="64">
        <f ca="1">IF($C$4=Lookups!$D$40,SUM(INDIRECT("'Yr1'!"&amp;ADDRESS(ROW(AG188),COLUMN(AG188))),INDIRECT("'Yr2'!"&amp;ADDRESS(ROW(AG188),COLUMN(AG188))),INDIRECT("'Yr3'!"&amp;ADDRESS(ROW(AG188),COLUMN(AG188)))),
AG208*AG175)</f>
        <v>0</v>
      </c>
      <c r="AH188" s="49"/>
      <c r="AI188" s="64">
        <f ca="1">NPV(Lookups!$E$17,G188:AG188)</f>
        <v>1988119.7858316617</v>
      </c>
      <c r="AJ188" s="65"/>
      <c r="AM188" s="71">
        <f ca="1">IF($C$4=Lookups!$D$40,SUM(INDIRECT("'Yr1'!"&amp;ADDRESS(ROW(AM188),COLUMN(AM188))),INDIRECT("'Yr2'!"&amp;ADDRESS(ROW(AM188),COLUMN(AM188))),INDIRECT("'Yr3'!"&amp;ADDRESS(ROW(AM188),COLUMN(AM188)))),
AM208*AM175)</f>
        <v>0</v>
      </c>
      <c r="AN188" s="71">
        <f ca="1">IF($C$4=Lookups!$D$40,SUM(INDIRECT("'Yr1'!"&amp;ADDRESS(ROW(AN188),COLUMN(AN188))),INDIRECT("'Yr2'!"&amp;ADDRESS(ROW(AN188),COLUMN(AN188))),INDIRECT("'Yr3'!"&amp;ADDRESS(ROW(AN188),COLUMN(AN188)))),
AN208*AN175)</f>
        <v>161898.23537979243</v>
      </c>
      <c r="AO188" s="71">
        <f ca="1">IF($C$4=Lookups!$D$40,SUM(INDIRECT("'Yr1'!"&amp;ADDRESS(ROW(AO188),COLUMN(AO188))),INDIRECT("'Yr2'!"&amp;ADDRESS(ROW(AO188),COLUMN(AO188))),INDIRECT("'Yr3'!"&amp;ADDRESS(ROW(AO188),COLUMN(AO188)))),
AO208*AO175)</f>
        <v>161898.23537979243</v>
      </c>
      <c r="AP188" s="71">
        <f ca="1">IF($C$4=Lookups!$D$40,SUM(INDIRECT("'Yr1'!"&amp;ADDRESS(ROW(AP188),COLUMN(AP188))),INDIRECT("'Yr2'!"&amp;ADDRESS(ROW(AP188),COLUMN(AP188))),INDIRECT("'Yr3'!"&amp;ADDRESS(ROW(AP188),COLUMN(AP188)))),
AP208*AP175)</f>
        <v>161898.23537979243</v>
      </c>
      <c r="AQ188" s="71">
        <f ca="1">IF($C$4=Lookups!$D$40,SUM(INDIRECT("'Yr1'!"&amp;ADDRESS(ROW(AQ188),COLUMN(AQ188))),INDIRECT("'Yr2'!"&amp;ADDRESS(ROW(AQ188),COLUMN(AQ188))),INDIRECT("'Yr3'!"&amp;ADDRESS(ROW(AQ188),COLUMN(AQ188)))),
AQ208*AQ175)</f>
        <v>161898.23537979243</v>
      </c>
      <c r="AR188" s="71">
        <f ca="1">IF($C$4=Lookups!$D$40,SUM(INDIRECT("'Yr1'!"&amp;ADDRESS(ROW(AR188),COLUMN(AR188))),INDIRECT("'Yr2'!"&amp;ADDRESS(ROW(AR188),COLUMN(AR188))),INDIRECT("'Yr3'!"&amp;ADDRESS(ROW(AR188),COLUMN(AR188)))),
AR208*AR175)</f>
        <v>161898.23537979243</v>
      </c>
      <c r="AS188" s="71">
        <f ca="1">IF($C$4=Lookups!$D$40,SUM(INDIRECT("'Yr1'!"&amp;ADDRESS(ROW(AS188),COLUMN(AS188))),INDIRECT("'Yr2'!"&amp;ADDRESS(ROW(AS188),COLUMN(AS188))),INDIRECT("'Yr3'!"&amp;ADDRESS(ROW(AS188),COLUMN(AS188)))),
AS208*AS175)</f>
        <v>161898.23537979243</v>
      </c>
      <c r="AT188" s="71">
        <f ca="1">IF($C$4=Lookups!$D$40,SUM(INDIRECT("'Yr1'!"&amp;ADDRESS(ROW(AT188),COLUMN(AT188))),INDIRECT("'Yr2'!"&amp;ADDRESS(ROW(AT188),COLUMN(AT188))),INDIRECT("'Yr3'!"&amp;ADDRESS(ROW(AT188),COLUMN(AT188)))),
AT208*AT175)</f>
        <v>161898.23537979243</v>
      </c>
      <c r="AU188" s="71">
        <f ca="1">IF($C$4=Lookups!$D$40,SUM(INDIRECT("'Yr1'!"&amp;ADDRESS(ROW(AU188),COLUMN(AU188))),INDIRECT("'Yr2'!"&amp;ADDRESS(ROW(AU188),COLUMN(AU188))),INDIRECT("'Yr3'!"&amp;ADDRESS(ROW(AU188),COLUMN(AU188)))),
AU208*AU175)</f>
        <v>161898.23537979243</v>
      </c>
      <c r="AV188" s="71">
        <f ca="1">IF($C$4=Lookups!$D$40,SUM(INDIRECT("'Yr1'!"&amp;ADDRESS(ROW(AV188),COLUMN(AV188))),INDIRECT("'Yr2'!"&amp;ADDRESS(ROW(AV188),COLUMN(AV188))),INDIRECT("'Yr3'!"&amp;ADDRESS(ROW(AV188),COLUMN(AV188)))),
AV208*AV175)</f>
        <v>161898.23537979243</v>
      </c>
      <c r="AW188" s="71">
        <f ca="1">IF($C$4=Lookups!$D$40,SUM(INDIRECT("'Yr1'!"&amp;ADDRESS(ROW(AW188),COLUMN(AW188))),INDIRECT("'Yr2'!"&amp;ADDRESS(ROW(AW188),COLUMN(AW188))),INDIRECT("'Yr3'!"&amp;ADDRESS(ROW(AW188),COLUMN(AW188)))),
AW208*AW175)</f>
        <v>161898.23537979243</v>
      </c>
      <c r="AX188" s="71">
        <f ca="1">IF($C$4=Lookups!$D$40,SUM(INDIRECT("'Yr1'!"&amp;ADDRESS(ROW(AX188),COLUMN(AX188))),INDIRECT("'Yr2'!"&amp;ADDRESS(ROW(AX188),COLUMN(AX188))),INDIRECT("'Yr3'!"&amp;ADDRESS(ROW(AX188),COLUMN(AX188)))),
AX208*AX175)</f>
        <v>161898.23537979243</v>
      </c>
      <c r="AY188" s="71">
        <f ca="1">IF($C$4=Lookups!$D$40,SUM(INDIRECT("'Yr1'!"&amp;ADDRESS(ROW(AY188),COLUMN(AY188))),INDIRECT("'Yr2'!"&amp;ADDRESS(ROW(AY188),COLUMN(AY188))),INDIRECT("'Yr3'!"&amp;ADDRESS(ROW(AY188),COLUMN(AY188)))),
AY208*AY175)</f>
        <v>161898.23537979243</v>
      </c>
      <c r="AZ188" s="71">
        <f ca="1">IF($C$4=Lookups!$D$40,SUM(INDIRECT("'Yr1'!"&amp;ADDRESS(ROW(AZ188),COLUMN(AZ188))),INDIRECT("'Yr2'!"&amp;ADDRESS(ROW(AZ188),COLUMN(AZ188))),INDIRECT("'Yr3'!"&amp;ADDRESS(ROW(AZ188),COLUMN(AZ188)))),
AZ208*AZ175)</f>
        <v>161898.23537979243</v>
      </c>
      <c r="BA188" s="71">
        <f ca="1">IF($C$4=Lookups!$D$40,SUM(INDIRECT("'Yr1'!"&amp;ADDRESS(ROW(BA188),COLUMN(BA188))),INDIRECT("'Yr2'!"&amp;ADDRESS(ROW(BA188),COLUMN(BA188))),INDIRECT("'Yr3'!"&amp;ADDRESS(ROW(BA188),COLUMN(BA188)))),
BA208*BA175)</f>
        <v>161898.23537979243</v>
      </c>
      <c r="BB188" s="71">
        <f ca="1">IF($C$4=Lookups!$D$40,SUM(INDIRECT("'Yr1'!"&amp;ADDRESS(ROW(BB188),COLUMN(BB188))),INDIRECT("'Yr2'!"&amp;ADDRESS(ROW(BB188),COLUMN(BB188))),INDIRECT("'Yr3'!"&amp;ADDRESS(ROW(BB188),COLUMN(BB188)))),
BB208*BB175)</f>
        <v>161898.23537979243</v>
      </c>
      <c r="BC188" s="71">
        <f ca="1">IF($C$4=Lookups!$D$40,SUM(INDIRECT("'Yr1'!"&amp;ADDRESS(ROW(BC188),COLUMN(BC188))),INDIRECT("'Yr2'!"&amp;ADDRESS(ROW(BC188),COLUMN(BC188))),INDIRECT("'Yr3'!"&amp;ADDRESS(ROW(BC188),COLUMN(BC188)))),
BC208*BC175)</f>
        <v>161898.23537979243</v>
      </c>
      <c r="BD188" s="71">
        <f ca="1">IF($C$4=Lookups!$D$40,SUM(INDIRECT("'Yr1'!"&amp;ADDRESS(ROW(BD188),COLUMN(BD188))),INDIRECT("'Yr2'!"&amp;ADDRESS(ROW(BD188),COLUMN(BD188))),INDIRECT("'Yr3'!"&amp;ADDRESS(ROW(BD188),COLUMN(BD188)))),
BD208*BD175)</f>
        <v>0</v>
      </c>
      <c r="BE188" s="71">
        <f ca="1">IF($C$4=Lookups!$D$40,SUM(INDIRECT("'Yr1'!"&amp;ADDRESS(ROW(BE188),COLUMN(BE188))),INDIRECT("'Yr2'!"&amp;ADDRESS(ROW(BE188),COLUMN(BE188))),INDIRECT("'Yr3'!"&amp;ADDRESS(ROW(BE188),COLUMN(BE188)))),
BE208*BE175)</f>
        <v>0</v>
      </c>
      <c r="BF188" s="71">
        <f ca="1">IF($C$4=Lookups!$D$40,SUM(INDIRECT("'Yr1'!"&amp;ADDRESS(ROW(BF188),COLUMN(BF188))),INDIRECT("'Yr2'!"&amp;ADDRESS(ROW(BF188),COLUMN(BF188))),INDIRECT("'Yr3'!"&amp;ADDRESS(ROW(BF188),COLUMN(BF188)))),
BF208*BF175)</f>
        <v>0</v>
      </c>
      <c r="BG188" s="71">
        <f ca="1">IF($C$4=Lookups!$D$40,SUM(INDIRECT("'Yr1'!"&amp;ADDRESS(ROW(BG188),COLUMN(BG188))),INDIRECT("'Yr2'!"&amp;ADDRESS(ROW(BG188),COLUMN(BG188))),INDIRECT("'Yr3'!"&amp;ADDRESS(ROW(BG188),COLUMN(BG188)))),
BG208*BG175)</f>
        <v>0</v>
      </c>
      <c r="BH188" s="71">
        <f ca="1">IF($C$4=Lookups!$D$40,SUM(INDIRECT("'Yr1'!"&amp;ADDRESS(ROW(BH188),COLUMN(BH188))),INDIRECT("'Yr2'!"&amp;ADDRESS(ROW(BH188),COLUMN(BH188))),INDIRECT("'Yr3'!"&amp;ADDRESS(ROW(BH188),COLUMN(BH188)))),
BH208*BH175)</f>
        <v>0</v>
      </c>
      <c r="BI188" s="71">
        <f ca="1">IF($C$4=Lookups!$D$40,SUM(INDIRECT("'Yr1'!"&amp;ADDRESS(ROW(BI188),COLUMN(BI188))),INDIRECT("'Yr2'!"&amp;ADDRESS(ROW(BI188),COLUMN(BI188))),INDIRECT("'Yr3'!"&amp;ADDRESS(ROW(BI188),COLUMN(BI188)))),
BI208*BI175)</f>
        <v>0</v>
      </c>
      <c r="BJ188" s="71">
        <f ca="1">IF($C$4=Lookups!$D$40,SUM(INDIRECT("'Yr1'!"&amp;ADDRESS(ROW(BJ188),COLUMN(BJ188))),INDIRECT("'Yr2'!"&amp;ADDRESS(ROW(BJ188),COLUMN(BJ188))),INDIRECT("'Yr3'!"&amp;ADDRESS(ROW(BJ188),COLUMN(BJ188)))),
BJ208*BJ175)</f>
        <v>0</v>
      </c>
      <c r="BK188" s="71">
        <f ca="1">IF($C$4=Lookups!$D$40,SUM(INDIRECT("'Yr1'!"&amp;ADDRESS(ROW(BK188),COLUMN(BK188))),INDIRECT("'Yr2'!"&amp;ADDRESS(ROW(BK188),COLUMN(BK188))),INDIRECT("'Yr3'!"&amp;ADDRESS(ROW(BK188),COLUMN(BK188)))),
BK208*BK175)</f>
        <v>0</v>
      </c>
      <c r="BL188" s="71">
        <f ca="1">IF($C$4=Lookups!$D$40,SUM(INDIRECT("'Yr1'!"&amp;ADDRESS(ROW(BL188),COLUMN(BL188))),INDIRECT("'Yr2'!"&amp;ADDRESS(ROW(BL188),COLUMN(BL188))),INDIRECT("'Yr3'!"&amp;ADDRESS(ROW(BL188),COLUMN(BL188)))),
BL208*BL175)</f>
        <v>0</v>
      </c>
      <c r="BM188" s="71">
        <f ca="1">IF($C$4=Lookups!$D$40,SUM(INDIRECT("'Yr1'!"&amp;ADDRESS(ROW(BM188),COLUMN(BM188))),INDIRECT("'Yr2'!"&amp;ADDRESS(ROW(BM188),COLUMN(BM188))),INDIRECT("'Yr3'!"&amp;ADDRESS(ROW(BM188),COLUMN(BM188)))),
BM208*BM175)</f>
        <v>0</v>
      </c>
      <c r="BN188" s="71"/>
      <c r="BO188" s="71">
        <f ca="1">NPV(Lookups!$E$17,AM188:BM188)</f>
        <v>2271566.8649077103</v>
      </c>
      <c r="BP188" s="72"/>
      <c r="BS188" s="84" t="str">
        <f>E188&amp;" rate multiplied by After DSM sales."</f>
        <v>Distribution Lost Revenue rate multiplied by After DSM sales.</v>
      </c>
      <c r="BT188" s="51" t="s">
        <v>17</v>
      </c>
    </row>
    <row r="189" spans="1:72" x14ac:dyDescent="0.25">
      <c r="B189" s="243" t="str">
        <f>B187</f>
        <v>Small C&amp;I</v>
      </c>
      <c r="C189" s="243" t="str">
        <f>C187</f>
        <v>Revenue Requirements</v>
      </c>
      <c r="D189" s="114" t="s">
        <v>125</v>
      </c>
      <c r="E189" s="84"/>
      <c r="F189" s="84"/>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S189" s="84"/>
      <c r="BT189" s="51" t="s">
        <v>17</v>
      </c>
    </row>
    <row r="190" spans="1:72" x14ac:dyDescent="0.25">
      <c r="A190" s="1"/>
      <c r="B190" s="243" t="str">
        <f t="shared" ref="B190:C191" si="193">B189</f>
        <v>Small C&amp;I</v>
      </c>
      <c r="C190" s="243" t="str">
        <f t="shared" si="193"/>
        <v>Revenue Requirements</v>
      </c>
      <c r="D190" s="244" t="str">
        <f>D189</f>
        <v>Revenue Requirement after DSM Scenario</v>
      </c>
      <c r="E190" s="84" t="s">
        <v>26</v>
      </c>
      <c r="F190" s="84" t="s">
        <v>32</v>
      </c>
      <c r="G190" s="64">
        <f ca="1">G179-G184</f>
        <v>0</v>
      </c>
      <c r="H190" s="64">
        <f t="shared" ref="H190:AG190" ca="1" si="194">H179-H184</f>
        <v>8358346.3685662122</v>
      </c>
      <c r="I190" s="64">
        <f t="shared" ca="1" si="194"/>
        <v>8358346.3685662122</v>
      </c>
      <c r="J190" s="64">
        <f t="shared" ca="1" si="194"/>
        <v>8358346.3685662122</v>
      </c>
      <c r="K190" s="64">
        <f t="shared" ca="1" si="194"/>
        <v>8358346.3685662122</v>
      </c>
      <c r="L190" s="64">
        <f t="shared" ca="1" si="194"/>
        <v>8358346.3685662122</v>
      </c>
      <c r="M190" s="64">
        <f t="shared" ca="1" si="194"/>
        <v>8358346.3685662122</v>
      </c>
      <c r="N190" s="64">
        <f t="shared" ca="1" si="194"/>
        <v>8358346.3685662122</v>
      </c>
      <c r="O190" s="64">
        <f t="shared" ca="1" si="194"/>
        <v>8358346.3685662122</v>
      </c>
      <c r="P190" s="64">
        <f t="shared" ca="1" si="194"/>
        <v>8358346.3685662122</v>
      </c>
      <c r="Q190" s="64">
        <f t="shared" ca="1" si="194"/>
        <v>8358346.3685662122</v>
      </c>
      <c r="R190" s="64">
        <f t="shared" ca="1" si="194"/>
        <v>8358346.3685662122</v>
      </c>
      <c r="S190" s="64">
        <f t="shared" ca="1" si="194"/>
        <v>8358346.3685662122</v>
      </c>
      <c r="T190" s="64">
        <f t="shared" ca="1" si="194"/>
        <v>8358346.3685662122</v>
      </c>
      <c r="U190" s="64">
        <f t="shared" ca="1" si="194"/>
        <v>8358346.3685662122</v>
      </c>
      <c r="V190" s="64">
        <f t="shared" ca="1" si="194"/>
        <v>8358346.3685662122</v>
      </c>
      <c r="W190" s="64">
        <f t="shared" ca="1" si="194"/>
        <v>8358346.3685662122</v>
      </c>
      <c r="X190" s="64">
        <f t="shared" ca="1" si="194"/>
        <v>8373024.9487512652</v>
      </c>
      <c r="Y190" s="64">
        <f t="shared" ca="1" si="194"/>
        <v>8373024.9487512652</v>
      </c>
      <c r="Z190" s="64">
        <f t="shared" ca="1" si="194"/>
        <v>8373024.9487512652</v>
      </c>
      <c r="AA190" s="64">
        <f t="shared" ca="1" si="194"/>
        <v>8373024.9487512652</v>
      </c>
      <c r="AB190" s="64">
        <f t="shared" ca="1" si="194"/>
        <v>8373024.9487512652</v>
      </c>
      <c r="AC190" s="64">
        <f t="shared" ca="1" si="194"/>
        <v>8373024.9487512652</v>
      </c>
      <c r="AD190" s="64">
        <f t="shared" ca="1" si="194"/>
        <v>8373024.9487512652</v>
      </c>
      <c r="AE190" s="64">
        <f t="shared" ca="1" si="194"/>
        <v>8373024.9487512652</v>
      </c>
      <c r="AF190" s="64">
        <f t="shared" ca="1" si="194"/>
        <v>8373024.9487512652</v>
      </c>
      <c r="AG190" s="64">
        <f t="shared" ca="1" si="194"/>
        <v>8373024.9487512652</v>
      </c>
      <c r="AH190" s="64"/>
      <c r="AI190" s="64">
        <f ca="1">NPV(Lookups!$E$17,G190:AG190)</f>
        <v>178367935.57026652</v>
      </c>
      <c r="AJ190" s="64"/>
      <c r="AM190" s="71">
        <f ca="1">AM179-AM184</f>
        <v>0</v>
      </c>
      <c r="AN190" s="71">
        <f t="shared" ref="AN190:BM190" ca="1" si="195">AN179-AN184</f>
        <v>8356249.4285397762</v>
      </c>
      <c r="AO190" s="71">
        <f t="shared" ca="1" si="195"/>
        <v>8356249.4285397762</v>
      </c>
      <c r="AP190" s="71">
        <f t="shared" ca="1" si="195"/>
        <v>8356249.4285397762</v>
      </c>
      <c r="AQ190" s="71">
        <f t="shared" ca="1" si="195"/>
        <v>8356249.4285397762</v>
      </c>
      <c r="AR190" s="71">
        <f t="shared" ca="1" si="195"/>
        <v>8356249.4285397762</v>
      </c>
      <c r="AS190" s="71">
        <f t="shared" ca="1" si="195"/>
        <v>8356249.4285397762</v>
      </c>
      <c r="AT190" s="71">
        <f t="shared" ca="1" si="195"/>
        <v>8356249.4285397762</v>
      </c>
      <c r="AU190" s="71">
        <f t="shared" ca="1" si="195"/>
        <v>8356249.4285397762</v>
      </c>
      <c r="AV190" s="71">
        <f t="shared" ca="1" si="195"/>
        <v>8356249.4285397762</v>
      </c>
      <c r="AW190" s="71">
        <f t="shared" ca="1" si="195"/>
        <v>8356249.4285397762</v>
      </c>
      <c r="AX190" s="71">
        <f t="shared" ca="1" si="195"/>
        <v>8356249.4285397762</v>
      </c>
      <c r="AY190" s="71">
        <f t="shared" ca="1" si="195"/>
        <v>8356249.4285397762</v>
      </c>
      <c r="AZ190" s="71">
        <f t="shared" ca="1" si="195"/>
        <v>8356249.4285397762</v>
      </c>
      <c r="BA190" s="71">
        <f t="shared" ca="1" si="195"/>
        <v>8356249.4285397762</v>
      </c>
      <c r="BB190" s="71">
        <f t="shared" ca="1" si="195"/>
        <v>8356249.4285397762</v>
      </c>
      <c r="BC190" s="71">
        <f t="shared" ca="1" si="195"/>
        <v>8356249.4285397762</v>
      </c>
      <c r="BD190" s="71">
        <f t="shared" ca="1" si="195"/>
        <v>8373024.9487512652</v>
      </c>
      <c r="BE190" s="71">
        <f t="shared" ca="1" si="195"/>
        <v>8373024.9487512652</v>
      </c>
      <c r="BF190" s="71">
        <f t="shared" ca="1" si="195"/>
        <v>8373024.9487512652</v>
      </c>
      <c r="BG190" s="71">
        <f t="shared" ca="1" si="195"/>
        <v>8373024.9487512652</v>
      </c>
      <c r="BH190" s="71">
        <f t="shared" ca="1" si="195"/>
        <v>8373024.9487512652</v>
      </c>
      <c r="BI190" s="71">
        <f t="shared" ca="1" si="195"/>
        <v>8373024.9487512652</v>
      </c>
      <c r="BJ190" s="71">
        <f t="shared" ca="1" si="195"/>
        <v>8373024.9487512652</v>
      </c>
      <c r="BK190" s="71">
        <f t="shared" ca="1" si="195"/>
        <v>8373024.9487512652</v>
      </c>
      <c r="BL190" s="71">
        <f t="shared" ca="1" si="195"/>
        <v>8373024.9487512652</v>
      </c>
      <c r="BM190" s="71">
        <f t="shared" ca="1" si="195"/>
        <v>8373024.9487512652</v>
      </c>
      <c r="BN190" s="71"/>
      <c r="BO190" s="71">
        <f ca="1">NPV(Lookups!$E$17,AM190:BM190)</f>
        <v>178338513.75803626</v>
      </c>
      <c r="BP190" s="71"/>
      <c r="BS190" s="84" t="s">
        <v>229</v>
      </c>
      <c r="BT190" s="51" t="s">
        <v>17</v>
      </c>
    </row>
    <row r="191" spans="1:72" x14ac:dyDescent="0.25">
      <c r="A191" s="1"/>
      <c r="B191" s="243" t="str">
        <f t="shared" si="193"/>
        <v>Small C&amp;I</v>
      </c>
      <c r="C191" s="243" t="str">
        <f t="shared" si="193"/>
        <v>Revenue Requirements</v>
      </c>
      <c r="D191" s="244" t="str">
        <f>D190</f>
        <v>Revenue Requirement after DSM Scenario</v>
      </c>
      <c r="E191" s="84" t="s">
        <v>407</v>
      </c>
      <c r="F191" s="84" t="s">
        <v>32</v>
      </c>
      <c r="G191" s="64">
        <f>G180</f>
        <v>0</v>
      </c>
      <c r="H191" s="64">
        <f t="shared" ref="H191:AG191" si="196">H180</f>
        <v>111038.85441192142</v>
      </c>
      <c r="I191" s="64">
        <f t="shared" si="196"/>
        <v>111038.85441192142</v>
      </c>
      <c r="J191" s="64">
        <f t="shared" si="196"/>
        <v>111038.85441192142</v>
      </c>
      <c r="K191" s="64">
        <f t="shared" si="196"/>
        <v>111038.85441192142</v>
      </c>
      <c r="L191" s="64">
        <f t="shared" si="196"/>
        <v>111038.85441192142</v>
      </c>
      <c r="M191" s="64">
        <f t="shared" si="196"/>
        <v>111038.85441192142</v>
      </c>
      <c r="N191" s="64">
        <f t="shared" si="196"/>
        <v>111038.85441192142</v>
      </c>
      <c r="O191" s="64">
        <f t="shared" si="196"/>
        <v>111038.85441192142</v>
      </c>
      <c r="P191" s="64">
        <f t="shared" si="196"/>
        <v>111038.85441192142</v>
      </c>
      <c r="Q191" s="64">
        <f t="shared" si="196"/>
        <v>111038.85441192142</v>
      </c>
      <c r="R191" s="64">
        <f t="shared" si="196"/>
        <v>111038.85441192142</v>
      </c>
      <c r="S191" s="64">
        <f t="shared" si="196"/>
        <v>111038.85441192142</v>
      </c>
      <c r="T191" s="64">
        <f t="shared" si="196"/>
        <v>111038.85441192142</v>
      </c>
      <c r="U191" s="64">
        <f t="shared" si="196"/>
        <v>111038.85441192142</v>
      </c>
      <c r="V191" s="64">
        <f t="shared" si="196"/>
        <v>111038.85441192142</v>
      </c>
      <c r="W191" s="64">
        <f t="shared" si="196"/>
        <v>111038.85441192142</v>
      </c>
      <c r="X191" s="64">
        <f t="shared" si="196"/>
        <v>111038.85441192142</v>
      </c>
      <c r="Y191" s="64">
        <f t="shared" si="196"/>
        <v>111038.85441192142</v>
      </c>
      <c r="Z191" s="64">
        <f t="shared" si="196"/>
        <v>111038.85441192142</v>
      </c>
      <c r="AA191" s="64">
        <f t="shared" si="196"/>
        <v>111038.85441192142</v>
      </c>
      <c r="AB191" s="64">
        <f t="shared" si="196"/>
        <v>111038.85441192142</v>
      </c>
      <c r="AC191" s="64">
        <f t="shared" si="196"/>
        <v>111038.85441192142</v>
      </c>
      <c r="AD191" s="64">
        <f t="shared" si="196"/>
        <v>111038.85441192142</v>
      </c>
      <c r="AE191" s="64">
        <f t="shared" si="196"/>
        <v>111038.85441192142</v>
      </c>
      <c r="AF191" s="64">
        <f t="shared" si="196"/>
        <v>111038.85441192142</v>
      </c>
      <c r="AG191" s="64">
        <f t="shared" si="196"/>
        <v>111038.85441192142</v>
      </c>
      <c r="AH191" s="64"/>
      <c r="AI191" s="64">
        <f>NPV(Lookups!$E$17,G191:AG191)</f>
        <v>2368157.2790216487</v>
      </c>
      <c r="AJ191" s="64"/>
      <c r="AM191" s="71">
        <f>AM180</f>
        <v>0</v>
      </c>
      <c r="AN191" s="71">
        <f t="shared" ref="AN191:BM191" si="197">AN180</f>
        <v>111038.85441192142</v>
      </c>
      <c r="AO191" s="71">
        <f t="shared" si="197"/>
        <v>111038.85441192142</v>
      </c>
      <c r="AP191" s="71">
        <f t="shared" si="197"/>
        <v>111038.85441192142</v>
      </c>
      <c r="AQ191" s="71">
        <f t="shared" si="197"/>
        <v>111038.85441192142</v>
      </c>
      <c r="AR191" s="71">
        <f t="shared" si="197"/>
        <v>111038.85441192142</v>
      </c>
      <c r="AS191" s="71">
        <f t="shared" si="197"/>
        <v>111038.85441192142</v>
      </c>
      <c r="AT191" s="71">
        <f t="shared" si="197"/>
        <v>111038.85441192142</v>
      </c>
      <c r="AU191" s="71">
        <f t="shared" si="197"/>
        <v>111038.85441192142</v>
      </c>
      <c r="AV191" s="71">
        <f t="shared" si="197"/>
        <v>111038.85441192142</v>
      </c>
      <c r="AW191" s="71">
        <f t="shared" si="197"/>
        <v>111038.85441192142</v>
      </c>
      <c r="AX191" s="71">
        <f t="shared" si="197"/>
        <v>111038.85441192142</v>
      </c>
      <c r="AY191" s="71">
        <f t="shared" si="197"/>
        <v>111038.85441192142</v>
      </c>
      <c r="AZ191" s="71">
        <f t="shared" si="197"/>
        <v>111038.85441192142</v>
      </c>
      <c r="BA191" s="71">
        <f t="shared" si="197"/>
        <v>111038.85441192142</v>
      </c>
      <c r="BB191" s="71">
        <f t="shared" si="197"/>
        <v>111038.85441192142</v>
      </c>
      <c r="BC191" s="71">
        <f t="shared" si="197"/>
        <v>111038.85441192142</v>
      </c>
      <c r="BD191" s="71">
        <f t="shared" si="197"/>
        <v>111038.85441192142</v>
      </c>
      <c r="BE191" s="71">
        <f t="shared" si="197"/>
        <v>111038.85441192142</v>
      </c>
      <c r="BF191" s="71">
        <f t="shared" si="197"/>
        <v>111038.85441192142</v>
      </c>
      <c r="BG191" s="71">
        <f t="shared" si="197"/>
        <v>111038.85441192142</v>
      </c>
      <c r="BH191" s="71">
        <f t="shared" si="197"/>
        <v>111038.85441192142</v>
      </c>
      <c r="BI191" s="71">
        <f t="shared" si="197"/>
        <v>111038.85441192142</v>
      </c>
      <c r="BJ191" s="71">
        <f t="shared" si="197"/>
        <v>111038.85441192142</v>
      </c>
      <c r="BK191" s="71">
        <f t="shared" si="197"/>
        <v>111038.85441192142</v>
      </c>
      <c r="BL191" s="71">
        <f t="shared" si="197"/>
        <v>111038.85441192142</v>
      </c>
      <c r="BM191" s="71">
        <f t="shared" si="197"/>
        <v>111038.85441192142</v>
      </c>
      <c r="BN191" s="71"/>
      <c r="BO191" s="71">
        <f>NPV(Lookups!$E$17,AM191:BM191)</f>
        <v>2368157.2790216487</v>
      </c>
      <c r="BP191" s="71"/>
      <c r="BS191" s="84" t="s">
        <v>230</v>
      </c>
      <c r="BT191" s="51" t="s">
        <v>17</v>
      </c>
    </row>
    <row r="192" spans="1:72" x14ac:dyDescent="0.25">
      <c r="A192" s="1"/>
      <c r="B192" s="243" t="str">
        <f>B190</f>
        <v>Small C&amp;I</v>
      </c>
      <c r="C192" s="243" t="str">
        <f>C190</f>
        <v>Revenue Requirements</v>
      </c>
      <c r="D192" s="244" t="str">
        <f>D190</f>
        <v>Revenue Requirement after DSM Scenario</v>
      </c>
      <c r="E192" s="84" t="s">
        <v>197</v>
      </c>
      <c r="F192" s="84" t="s">
        <v>32</v>
      </c>
      <c r="G192" s="64">
        <f ca="1">G181-G183-G185</f>
        <v>0</v>
      </c>
      <c r="H192" s="64">
        <f t="shared" ref="H192:AG192" ca="1" si="198">H181-H183-H185</f>
        <v>12979311.936739365</v>
      </c>
      <c r="I192" s="64">
        <f t="shared" ca="1" si="198"/>
        <v>12979311.936739365</v>
      </c>
      <c r="J192" s="64">
        <f t="shared" ca="1" si="198"/>
        <v>12979311.936739365</v>
      </c>
      <c r="K192" s="64">
        <f t="shared" ca="1" si="198"/>
        <v>12979311.936739365</v>
      </c>
      <c r="L192" s="64">
        <f t="shared" ca="1" si="198"/>
        <v>12979311.936739365</v>
      </c>
      <c r="M192" s="64">
        <f t="shared" ca="1" si="198"/>
        <v>12979311.936739365</v>
      </c>
      <c r="N192" s="64">
        <f t="shared" ca="1" si="198"/>
        <v>12979311.936739365</v>
      </c>
      <c r="O192" s="64">
        <f t="shared" ca="1" si="198"/>
        <v>12979311.936739365</v>
      </c>
      <c r="P192" s="64">
        <f t="shared" ca="1" si="198"/>
        <v>12979311.936739365</v>
      </c>
      <c r="Q192" s="64">
        <f t="shared" ca="1" si="198"/>
        <v>12979311.936739365</v>
      </c>
      <c r="R192" s="64">
        <f t="shared" ca="1" si="198"/>
        <v>12979311.936739365</v>
      </c>
      <c r="S192" s="64">
        <f t="shared" ca="1" si="198"/>
        <v>12979311.936739365</v>
      </c>
      <c r="T192" s="64">
        <f t="shared" ca="1" si="198"/>
        <v>12979311.936739365</v>
      </c>
      <c r="U192" s="64">
        <f t="shared" ca="1" si="198"/>
        <v>12979311.936739365</v>
      </c>
      <c r="V192" s="64">
        <f t="shared" ca="1" si="198"/>
        <v>12979311.936739365</v>
      </c>
      <c r="W192" s="64">
        <f t="shared" ca="1" si="198"/>
        <v>12979311.936739365</v>
      </c>
      <c r="X192" s="64">
        <f t="shared" ca="1" si="198"/>
        <v>13217894.400188331</v>
      </c>
      <c r="Y192" s="64">
        <f t="shared" ca="1" si="198"/>
        <v>13217894.400188331</v>
      </c>
      <c r="Z192" s="64">
        <f t="shared" ca="1" si="198"/>
        <v>13217894.400188331</v>
      </c>
      <c r="AA192" s="64">
        <f t="shared" ca="1" si="198"/>
        <v>13217894.400188331</v>
      </c>
      <c r="AB192" s="64">
        <f t="shared" ca="1" si="198"/>
        <v>13217894.400188331</v>
      </c>
      <c r="AC192" s="64">
        <f t="shared" ca="1" si="198"/>
        <v>13217894.400188331</v>
      </c>
      <c r="AD192" s="64">
        <f t="shared" ca="1" si="198"/>
        <v>13217894.400188331</v>
      </c>
      <c r="AE192" s="64">
        <f t="shared" ca="1" si="198"/>
        <v>13217894.400188331</v>
      </c>
      <c r="AF192" s="64">
        <f t="shared" ca="1" si="198"/>
        <v>13217894.400188331</v>
      </c>
      <c r="AG192" s="64">
        <f t="shared" ca="1" si="198"/>
        <v>13217894.400188331</v>
      </c>
      <c r="AH192" s="64"/>
      <c r="AI192" s="64">
        <f ca="1">NPV(Lookups!$E$17,G192:AG192)</f>
        <v>278554288.82622826</v>
      </c>
      <c r="AJ192" s="64"/>
      <c r="AM192" s="71">
        <f ca="1">AM181-AM183-AM185</f>
        <v>0</v>
      </c>
      <c r="AN192" s="71">
        <f t="shared" ref="AN192:BM192" ca="1" si="199">AN181-AN183-AN185</f>
        <v>12945228.727675226</v>
      </c>
      <c r="AO192" s="71">
        <f t="shared" ca="1" si="199"/>
        <v>12945228.727675226</v>
      </c>
      <c r="AP192" s="71">
        <f t="shared" ca="1" si="199"/>
        <v>12945228.727675226</v>
      </c>
      <c r="AQ192" s="71">
        <f t="shared" ca="1" si="199"/>
        <v>12945228.727675226</v>
      </c>
      <c r="AR192" s="71">
        <f t="shared" ca="1" si="199"/>
        <v>12945228.727675226</v>
      </c>
      <c r="AS192" s="71">
        <f t="shared" ca="1" si="199"/>
        <v>12945228.727675226</v>
      </c>
      <c r="AT192" s="71">
        <f t="shared" ca="1" si="199"/>
        <v>12945228.727675226</v>
      </c>
      <c r="AU192" s="71">
        <f t="shared" ca="1" si="199"/>
        <v>12945228.727675226</v>
      </c>
      <c r="AV192" s="71">
        <f t="shared" ca="1" si="199"/>
        <v>12945228.727675226</v>
      </c>
      <c r="AW192" s="71">
        <f t="shared" ca="1" si="199"/>
        <v>12945228.727675226</v>
      </c>
      <c r="AX192" s="71">
        <f t="shared" ca="1" si="199"/>
        <v>12945228.727675226</v>
      </c>
      <c r="AY192" s="71">
        <f t="shared" ca="1" si="199"/>
        <v>12945228.727675226</v>
      </c>
      <c r="AZ192" s="71">
        <f t="shared" ca="1" si="199"/>
        <v>12945228.727675226</v>
      </c>
      <c r="BA192" s="71">
        <f t="shared" ca="1" si="199"/>
        <v>12945228.727675226</v>
      </c>
      <c r="BB192" s="71">
        <f t="shared" ca="1" si="199"/>
        <v>12945228.727675226</v>
      </c>
      <c r="BC192" s="71">
        <f t="shared" ca="1" si="199"/>
        <v>12945228.727675226</v>
      </c>
      <c r="BD192" s="71">
        <f t="shared" ca="1" si="199"/>
        <v>13217894.400188331</v>
      </c>
      <c r="BE192" s="71">
        <f t="shared" ca="1" si="199"/>
        <v>13217894.400188331</v>
      </c>
      <c r="BF192" s="71">
        <f t="shared" ca="1" si="199"/>
        <v>13217894.400188331</v>
      </c>
      <c r="BG192" s="71">
        <f t="shared" ca="1" si="199"/>
        <v>13217894.400188331</v>
      </c>
      <c r="BH192" s="71">
        <f t="shared" ca="1" si="199"/>
        <v>13217894.400188331</v>
      </c>
      <c r="BI192" s="71">
        <f t="shared" ca="1" si="199"/>
        <v>13217894.400188331</v>
      </c>
      <c r="BJ192" s="71">
        <f t="shared" ca="1" si="199"/>
        <v>13217894.400188331</v>
      </c>
      <c r="BK192" s="71">
        <f t="shared" ca="1" si="199"/>
        <v>13217894.400188331</v>
      </c>
      <c r="BL192" s="71">
        <f t="shared" ca="1" si="199"/>
        <v>13217894.400188331</v>
      </c>
      <c r="BM192" s="71">
        <f t="shared" ca="1" si="199"/>
        <v>13217894.400188331</v>
      </c>
      <c r="BN192" s="71"/>
      <c r="BO192" s="71">
        <f ca="1">NPV(Lookups!$E$17,AM192:BM192)</f>
        <v>278076073.06199712</v>
      </c>
      <c r="BP192" s="71"/>
      <c r="BS192" s="84" t="s">
        <v>231</v>
      </c>
      <c r="BT192" s="51" t="s">
        <v>17</v>
      </c>
    </row>
    <row r="193" spans="1:72" x14ac:dyDescent="0.25">
      <c r="B193" s="243" t="str">
        <f t="shared" ref="B193:C197" si="200">B192</f>
        <v>Small C&amp;I</v>
      </c>
      <c r="C193" s="243" t="str">
        <f t="shared" si="200"/>
        <v>Revenue Requirements</v>
      </c>
      <c r="D193" s="244"/>
      <c r="E193" s="84" t="s">
        <v>17</v>
      </c>
      <c r="F193" s="84"/>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S193" s="84"/>
      <c r="BT193" s="51" t="s">
        <v>17</v>
      </c>
    </row>
    <row r="194" spans="1:72" s="5" customFormat="1" ht="15.75" x14ac:dyDescent="0.25">
      <c r="A194" s="52"/>
      <c r="B194" s="241" t="str">
        <f t="shared" si="200"/>
        <v>Small C&amp;I</v>
      </c>
      <c r="C194" s="63" t="s">
        <v>30</v>
      </c>
      <c r="D194" s="61"/>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2"/>
      <c r="BO194" s="62"/>
      <c r="BP194" s="62"/>
      <c r="BS194" s="62"/>
      <c r="BT194" s="51" t="s">
        <v>17</v>
      </c>
    </row>
    <row r="195" spans="1:72" x14ac:dyDescent="0.25">
      <c r="B195" s="243" t="str">
        <f t="shared" si="200"/>
        <v>Small C&amp;I</v>
      </c>
      <c r="C195" s="243" t="str">
        <f t="shared" si="200"/>
        <v>Rates</v>
      </c>
      <c r="D195" s="114" t="str">
        <f>"Rates before DSM ("&amp;Lookups!$D$22&amp;" Scenario)"</f>
        <v>Rates before DSM (No EE Scenario)</v>
      </c>
      <c r="E195" s="84"/>
      <c r="F195" s="84"/>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S195" s="84"/>
      <c r="BT195" s="51" t="s">
        <v>17</v>
      </c>
    </row>
    <row r="196" spans="1:72" x14ac:dyDescent="0.25">
      <c r="B196" s="243" t="str">
        <f t="shared" si="200"/>
        <v>Small C&amp;I</v>
      </c>
      <c r="C196" s="243" t="str">
        <f t="shared" si="200"/>
        <v>Rates</v>
      </c>
      <c r="D196" s="244" t="str">
        <f>D195</f>
        <v>Rates before DSM (No EE Scenario)</v>
      </c>
      <c r="E196" s="84" t="s">
        <v>26</v>
      </c>
      <c r="F196" s="84" t="s">
        <v>182</v>
      </c>
      <c r="G196" s="506">
        <f>IF(G$8=0,0,INDEX('R&amp;B Inputs'!$I$78:$V$78,MATCH($B196,'R&amp;B Inputs'!$I$4:$V$4,0))*(1+INDEX('R&amp;B Inputs'!$I$48:$V$48,MATCH($B196,'R&amp;B Inputs'!$I$4:$V$4,0)))^(G$7-Year1))</f>
        <v>0</v>
      </c>
      <c r="H196" s="506">
        <f>IF(H$8=0,0,INDEX('R&amp;B Inputs'!$I$78:$V$78,MATCH($B196,'R&amp;B Inputs'!$I$4:$V$4,0))*(1+INDEX('R&amp;B Inputs'!$I$48:$V$48,MATCH($B196,'R&amp;B Inputs'!$I$4:$V$4,0)))^(H$7-Year1))</f>
        <v>0.39211256243681192</v>
      </c>
      <c r="I196" s="506">
        <f>IF(I$8=0,0,INDEX('R&amp;B Inputs'!$I$78:$V$78,MATCH($B196,'R&amp;B Inputs'!$I$4:$V$4,0))*(1+INDEX('R&amp;B Inputs'!$I$48:$V$48,MATCH($B196,'R&amp;B Inputs'!$I$4:$V$4,0)))^(I$7-Year1))</f>
        <v>0.39211256243681192</v>
      </c>
      <c r="J196" s="506">
        <f>IF(J$8=0,0,INDEX('R&amp;B Inputs'!$I$78:$V$78,MATCH($B196,'R&amp;B Inputs'!$I$4:$V$4,0))*(1+INDEX('R&amp;B Inputs'!$I$48:$V$48,MATCH($B196,'R&amp;B Inputs'!$I$4:$V$4,0)))^(J$7-Year1))</f>
        <v>0.39211256243681192</v>
      </c>
      <c r="K196" s="506">
        <f>IF(K$8=0,0,INDEX('R&amp;B Inputs'!$I$78:$V$78,MATCH($B196,'R&amp;B Inputs'!$I$4:$V$4,0))*(1+INDEX('R&amp;B Inputs'!$I$48:$V$48,MATCH($B196,'R&amp;B Inputs'!$I$4:$V$4,0)))^(K$7-Year1))</f>
        <v>0.39211256243681192</v>
      </c>
      <c r="L196" s="506">
        <f>IF(L$8=0,0,INDEX('R&amp;B Inputs'!$I$78:$V$78,MATCH($B196,'R&amp;B Inputs'!$I$4:$V$4,0))*(1+INDEX('R&amp;B Inputs'!$I$48:$V$48,MATCH($B196,'R&amp;B Inputs'!$I$4:$V$4,0)))^(L$7-Year1))</f>
        <v>0.39211256243681192</v>
      </c>
      <c r="M196" s="506">
        <f>IF(M$8=0,0,INDEX('R&amp;B Inputs'!$I$78:$V$78,MATCH($B196,'R&amp;B Inputs'!$I$4:$V$4,0))*(1+INDEX('R&amp;B Inputs'!$I$48:$V$48,MATCH($B196,'R&amp;B Inputs'!$I$4:$V$4,0)))^(M$7-Year1))</f>
        <v>0.39211256243681192</v>
      </c>
      <c r="N196" s="506">
        <f>IF(N$8=0,0,INDEX('R&amp;B Inputs'!$I$78:$V$78,MATCH($B196,'R&amp;B Inputs'!$I$4:$V$4,0))*(1+INDEX('R&amp;B Inputs'!$I$48:$V$48,MATCH($B196,'R&amp;B Inputs'!$I$4:$V$4,0)))^(N$7-Year1))</f>
        <v>0.39211256243681192</v>
      </c>
      <c r="O196" s="506">
        <f>IF(O$8=0,0,INDEX('R&amp;B Inputs'!$I$78:$V$78,MATCH($B196,'R&amp;B Inputs'!$I$4:$V$4,0))*(1+INDEX('R&amp;B Inputs'!$I$48:$V$48,MATCH($B196,'R&amp;B Inputs'!$I$4:$V$4,0)))^(O$7-Year1))</f>
        <v>0.39211256243681192</v>
      </c>
      <c r="P196" s="506">
        <f>IF(P$8=0,0,INDEX('R&amp;B Inputs'!$I$78:$V$78,MATCH($B196,'R&amp;B Inputs'!$I$4:$V$4,0))*(1+INDEX('R&amp;B Inputs'!$I$48:$V$48,MATCH($B196,'R&amp;B Inputs'!$I$4:$V$4,0)))^(P$7-Year1))</f>
        <v>0.39211256243681192</v>
      </c>
      <c r="Q196" s="506">
        <f>IF(Q$8=0,0,INDEX('R&amp;B Inputs'!$I$78:$V$78,MATCH($B196,'R&amp;B Inputs'!$I$4:$V$4,0))*(1+INDEX('R&amp;B Inputs'!$I$48:$V$48,MATCH($B196,'R&amp;B Inputs'!$I$4:$V$4,0)))^(Q$7-Year1))</f>
        <v>0.39211256243681192</v>
      </c>
      <c r="R196" s="506">
        <f>IF(R$8=0,0,INDEX('R&amp;B Inputs'!$I$78:$V$78,MATCH($B196,'R&amp;B Inputs'!$I$4:$V$4,0))*(1+INDEX('R&amp;B Inputs'!$I$48:$V$48,MATCH($B196,'R&amp;B Inputs'!$I$4:$V$4,0)))^(R$7-Year1))</f>
        <v>0.39211256243681192</v>
      </c>
      <c r="S196" s="506">
        <f>IF(S$8=0,0,INDEX('R&amp;B Inputs'!$I$78:$V$78,MATCH($B196,'R&amp;B Inputs'!$I$4:$V$4,0))*(1+INDEX('R&amp;B Inputs'!$I$48:$V$48,MATCH($B196,'R&amp;B Inputs'!$I$4:$V$4,0)))^(S$7-Year1))</f>
        <v>0.39211256243681192</v>
      </c>
      <c r="T196" s="506">
        <f>IF(T$8=0,0,INDEX('R&amp;B Inputs'!$I$78:$V$78,MATCH($B196,'R&amp;B Inputs'!$I$4:$V$4,0))*(1+INDEX('R&amp;B Inputs'!$I$48:$V$48,MATCH($B196,'R&amp;B Inputs'!$I$4:$V$4,0)))^(T$7-Year1))</f>
        <v>0.39211256243681192</v>
      </c>
      <c r="U196" s="506">
        <f>IF(U$8=0,0,INDEX('R&amp;B Inputs'!$I$78:$V$78,MATCH($B196,'R&amp;B Inputs'!$I$4:$V$4,0))*(1+INDEX('R&amp;B Inputs'!$I$48:$V$48,MATCH($B196,'R&amp;B Inputs'!$I$4:$V$4,0)))^(U$7-Year1))</f>
        <v>0.39211256243681192</v>
      </c>
      <c r="V196" s="506">
        <f>IF(V$8=0,0,INDEX('R&amp;B Inputs'!$I$78:$V$78,MATCH($B196,'R&amp;B Inputs'!$I$4:$V$4,0))*(1+INDEX('R&amp;B Inputs'!$I$48:$V$48,MATCH($B196,'R&amp;B Inputs'!$I$4:$V$4,0)))^(V$7-Year1))</f>
        <v>0.39211256243681192</v>
      </c>
      <c r="W196" s="506">
        <f>IF(W$8=0,0,INDEX('R&amp;B Inputs'!$I$78:$V$78,MATCH($B196,'R&amp;B Inputs'!$I$4:$V$4,0))*(1+INDEX('R&amp;B Inputs'!$I$48:$V$48,MATCH($B196,'R&amp;B Inputs'!$I$4:$V$4,0)))^(W$7-Year1))</f>
        <v>0.39211256243681192</v>
      </c>
      <c r="X196" s="506">
        <f>IF(X$8=0,0,INDEX('R&amp;B Inputs'!$I$78:$V$78,MATCH($B196,'R&amp;B Inputs'!$I$4:$V$4,0))*(1+INDEX('R&amp;B Inputs'!$I$48:$V$48,MATCH($B196,'R&amp;B Inputs'!$I$4:$V$4,0)))^(X$7-Year1))</f>
        <v>0.39211256243681192</v>
      </c>
      <c r="Y196" s="506">
        <f>IF(Y$8=0,0,INDEX('R&amp;B Inputs'!$I$78:$V$78,MATCH($B196,'R&amp;B Inputs'!$I$4:$V$4,0))*(1+INDEX('R&amp;B Inputs'!$I$48:$V$48,MATCH($B196,'R&amp;B Inputs'!$I$4:$V$4,0)))^(Y$7-Year1))</f>
        <v>0.39211256243681192</v>
      </c>
      <c r="Z196" s="506">
        <f>IF(Z$8=0,0,INDEX('R&amp;B Inputs'!$I$78:$V$78,MATCH($B196,'R&amp;B Inputs'!$I$4:$V$4,0))*(1+INDEX('R&amp;B Inputs'!$I$48:$V$48,MATCH($B196,'R&amp;B Inputs'!$I$4:$V$4,0)))^(Z$7-Year1))</f>
        <v>0.39211256243681192</v>
      </c>
      <c r="AA196" s="506">
        <f>IF(AA$8=0,0,INDEX('R&amp;B Inputs'!$I$78:$V$78,MATCH($B196,'R&amp;B Inputs'!$I$4:$V$4,0))*(1+INDEX('R&amp;B Inputs'!$I$48:$V$48,MATCH($B196,'R&amp;B Inputs'!$I$4:$V$4,0)))^(AA$7-Year1))</f>
        <v>0.39211256243681192</v>
      </c>
      <c r="AB196" s="506">
        <f>IF(AB$8=0,0,INDEX('R&amp;B Inputs'!$I$78:$V$78,MATCH($B196,'R&amp;B Inputs'!$I$4:$V$4,0))*(1+INDEX('R&amp;B Inputs'!$I$48:$V$48,MATCH($B196,'R&amp;B Inputs'!$I$4:$V$4,0)))^(AB$7-Year1))</f>
        <v>0.39211256243681192</v>
      </c>
      <c r="AC196" s="506">
        <f>IF(AC$8=0,0,INDEX('R&amp;B Inputs'!$I$78:$V$78,MATCH($B196,'R&amp;B Inputs'!$I$4:$V$4,0))*(1+INDEX('R&amp;B Inputs'!$I$48:$V$48,MATCH($B196,'R&amp;B Inputs'!$I$4:$V$4,0)))^(AC$7-Year1))</f>
        <v>0.39211256243681192</v>
      </c>
      <c r="AD196" s="506">
        <f>IF(AD$8=0,0,INDEX('R&amp;B Inputs'!$I$78:$V$78,MATCH($B196,'R&amp;B Inputs'!$I$4:$V$4,0))*(1+INDEX('R&amp;B Inputs'!$I$48:$V$48,MATCH($B196,'R&amp;B Inputs'!$I$4:$V$4,0)))^(AD$7-Year1))</f>
        <v>0.39211256243681192</v>
      </c>
      <c r="AE196" s="506">
        <f>IF(AE$8=0,0,INDEX('R&amp;B Inputs'!$I$78:$V$78,MATCH($B196,'R&amp;B Inputs'!$I$4:$V$4,0))*(1+INDEX('R&amp;B Inputs'!$I$48:$V$48,MATCH($B196,'R&amp;B Inputs'!$I$4:$V$4,0)))^(AE$7-Year1))</f>
        <v>0.39211256243681192</v>
      </c>
      <c r="AF196" s="506">
        <f>IF(AF$8=0,0,INDEX('R&amp;B Inputs'!$I$78:$V$78,MATCH($B196,'R&amp;B Inputs'!$I$4:$V$4,0))*(1+INDEX('R&amp;B Inputs'!$I$48:$V$48,MATCH($B196,'R&amp;B Inputs'!$I$4:$V$4,0)))^(AF$7-Year1))</f>
        <v>0.39211256243681192</v>
      </c>
      <c r="AG196" s="506">
        <f>IF(AG$8=0,0,INDEX('R&amp;B Inputs'!$I$78:$V$78,MATCH($B196,'R&amp;B Inputs'!$I$4:$V$4,0))*(1+INDEX('R&amp;B Inputs'!$I$48:$V$48,MATCH($B196,'R&amp;B Inputs'!$I$4:$V$4,0)))^(AG$7-Year1))</f>
        <v>0.39211256243681192</v>
      </c>
      <c r="AH196" s="506"/>
      <c r="AI196" s="506"/>
      <c r="AJ196" s="506">
        <f>IF($C$4=Year1,-PMT(Lookups!$E$17,25,NPV(Lookups!$E$17,G196:AE196),0,1),IF($C$4=Year2,-PMT(Lookups!$F$17,25,NPV(Lookups!$F$17,H196:AF196),0,1),IF($C$4=Year3,-PMT(Lookups!$G$17,25,NPV(Lookups!$G$17,I196:AG196),0,1),-PMT(Lookups!$G$17,27,NPV(Lookups!$G$17,G196:AG196),0,1))))</f>
        <v>0.38664387391469068</v>
      </c>
      <c r="AK196" s="507"/>
      <c r="AL196" s="507"/>
      <c r="AM196" s="508">
        <f>IF(AM$8=0,0,INDEX('R&amp;B Inputs'!$I$78:$V$78,MATCH($B196,'R&amp;B Inputs'!$I$4:$V$4,0))*(1+INDEX('R&amp;B Inputs'!$I$48:$V$48,MATCH($B196,'R&amp;B Inputs'!$I$4:$V$4,0)))^(AM$7-Year1))</f>
        <v>0</v>
      </c>
      <c r="AN196" s="508">
        <f>IF(AN$8=0,0,INDEX('R&amp;B Inputs'!$I$78:$V$78,MATCH($B196,'R&amp;B Inputs'!$I$4:$V$4,0))*(1+INDEX('R&amp;B Inputs'!$I$48:$V$48,MATCH($B196,'R&amp;B Inputs'!$I$4:$V$4,0)))^(AN$7-Year1))</f>
        <v>0.39211256243681192</v>
      </c>
      <c r="AO196" s="508">
        <f>IF(AO$8=0,0,INDEX('R&amp;B Inputs'!$I$78:$V$78,MATCH($B196,'R&amp;B Inputs'!$I$4:$V$4,0))*(1+INDEX('R&amp;B Inputs'!$I$48:$V$48,MATCH($B196,'R&amp;B Inputs'!$I$4:$V$4,0)))^(AO$7-Year1))</f>
        <v>0.39211256243681192</v>
      </c>
      <c r="AP196" s="508">
        <f>IF(AP$8=0,0,INDEX('R&amp;B Inputs'!$I$78:$V$78,MATCH($B196,'R&amp;B Inputs'!$I$4:$V$4,0))*(1+INDEX('R&amp;B Inputs'!$I$48:$V$48,MATCH($B196,'R&amp;B Inputs'!$I$4:$V$4,0)))^(AP$7-Year1))</f>
        <v>0.39211256243681192</v>
      </c>
      <c r="AQ196" s="508">
        <f>IF(AQ$8=0,0,INDEX('R&amp;B Inputs'!$I$78:$V$78,MATCH($B196,'R&amp;B Inputs'!$I$4:$V$4,0))*(1+INDEX('R&amp;B Inputs'!$I$48:$V$48,MATCH($B196,'R&amp;B Inputs'!$I$4:$V$4,0)))^(AQ$7-Year1))</f>
        <v>0.39211256243681192</v>
      </c>
      <c r="AR196" s="508">
        <f>IF(AR$8=0,0,INDEX('R&amp;B Inputs'!$I$78:$V$78,MATCH($B196,'R&amp;B Inputs'!$I$4:$V$4,0))*(1+INDEX('R&amp;B Inputs'!$I$48:$V$48,MATCH($B196,'R&amp;B Inputs'!$I$4:$V$4,0)))^(AR$7-Year1))</f>
        <v>0.39211256243681192</v>
      </c>
      <c r="AS196" s="508">
        <f>IF(AS$8=0,0,INDEX('R&amp;B Inputs'!$I$78:$V$78,MATCH($B196,'R&amp;B Inputs'!$I$4:$V$4,0))*(1+INDEX('R&amp;B Inputs'!$I$48:$V$48,MATCH($B196,'R&amp;B Inputs'!$I$4:$V$4,0)))^(AS$7-Year1))</f>
        <v>0.39211256243681192</v>
      </c>
      <c r="AT196" s="508">
        <f>IF(AT$8=0,0,INDEX('R&amp;B Inputs'!$I$78:$V$78,MATCH($B196,'R&amp;B Inputs'!$I$4:$V$4,0))*(1+INDEX('R&amp;B Inputs'!$I$48:$V$48,MATCH($B196,'R&amp;B Inputs'!$I$4:$V$4,0)))^(AT$7-Year1))</f>
        <v>0.39211256243681192</v>
      </c>
      <c r="AU196" s="508">
        <f>IF(AU$8=0,0,INDEX('R&amp;B Inputs'!$I$78:$V$78,MATCH($B196,'R&amp;B Inputs'!$I$4:$V$4,0))*(1+INDEX('R&amp;B Inputs'!$I$48:$V$48,MATCH($B196,'R&amp;B Inputs'!$I$4:$V$4,0)))^(AU$7-Year1))</f>
        <v>0.39211256243681192</v>
      </c>
      <c r="AV196" s="508">
        <f>IF(AV$8=0,0,INDEX('R&amp;B Inputs'!$I$78:$V$78,MATCH($B196,'R&amp;B Inputs'!$I$4:$V$4,0))*(1+INDEX('R&amp;B Inputs'!$I$48:$V$48,MATCH($B196,'R&amp;B Inputs'!$I$4:$V$4,0)))^(AV$7-Year1))</f>
        <v>0.39211256243681192</v>
      </c>
      <c r="AW196" s="508">
        <f>IF(AW$8=0,0,INDEX('R&amp;B Inputs'!$I$78:$V$78,MATCH($B196,'R&amp;B Inputs'!$I$4:$V$4,0))*(1+INDEX('R&amp;B Inputs'!$I$48:$V$48,MATCH($B196,'R&amp;B Inputs'!$I$4:$V$4,0)))^(AW$7-Year1))</f>
        <v>0.39211256243681192</v>
      </c>
      <c r="AX196" s="508">
        <f>IF(AX$8=0,0,INDEX('R&amp;B Inputs'!$I$78:$V$78,MATCH($B196,'R&amp;B Inputs'!$I$4:$V$4,0))*(1+INDEX('R&amp;B Inputs'!$I$48:$V$48,MATCH($B196,'R&amp;B Inputs'!$I$4:$V$4,0)))^(AX$7-Year1))</f>
        <v>0.39211256243681192</v>
      </c>
      <c r="AY196" s="508">
        <f>IF(AY$8=0,0,INDEX('R&amp;B Inputs'!$I$78:$V$78,MATCH($B196,'R&amp;B Inputs'!$I$4:$V$4,0))*(1+INDEX('R&amp;B Inputs'!$I$48:$V$48,MATCH($B196,'R&amp;B Inputs'!$I$4:$V$4,0)))^(AY$7-Year1))</f>
        <v>0.39211256243681192</v>
      </c>
      <c r="AZ196" s="508">
        <f>IF(AZ$8=0,0,INDEX('R&amp;B Inputs'!$I$78:$V$78,MATCH($B196,'R&amp;B Inputs'!$I$4:$V$4,0))*(1+INDEX('R&amp;B Inputs'!$I$48:$V$48,MATCH($B196,'R&amp;B Inputs'!$I$4:$V$4,0)))^(AZ$7-Year1))</f>
        <v>0.39211256243681192</v>
      </c>
      <c r="BA196" s="508">
        <f>IF(BA$8=0,0,INDEX('R&amp;B Inputs'!$I$78:$V$78,MATCH($B196,'R&amp;B Inputs'!$I$4:$V$4,0))*(1+INDEX('R&amp;B Inputs'!$I$48:$V$48,MATCH($B196,'R&amp;B Inputs'!$I$4:$V$4,0)))^(BA$7-Year1))</f>
        <v>0.39211256243681192</v>
      </c>
      <c r="BB196" s="508">
        <f>IF(BB$8=0,0,INDEX('R&amp;B Inputs'!$I$78:$V$78,MATCH($B196,'R&amp;B Inputs'!$I$4:$V$4,0))*(1+INDEX('R&amp;B Inputs'!$I$48:$V$48,MATCH($B196,'R&amp;B Inputs'!$I$4:$V$4,0)))^(BB$7-Year1))</f>
        <v>0.39211256243681192</v>
      </c>
      <c r="BC196" s="508">
        <f>IF(BC$8=0,0,INDEX('R&amp;B Inputs'!$I$78:$V$78,MATCH($B196,'R&amp;B Inputs'!$I$4:$V$4,0))*(1+INDEX('R&amp;B Inputs'!$I$48:$V$48,MATCH($B196,'R&amp;B Inputs'!$I$4:$V$4,0)))^(BC$7-Year1))</f>
        <v>0.39211256243681192</v>
      </c>
      <c r="BD196" s="508">
        <f>IF(BD$8=0,0,INDEX('R&amp;B Inputs'!$I$78:$V$78,MATCH($B196,'R&amp;B Inputs'!$I$4:$V$4,0))*(1+INDEX('R&amp;B Inputs'!$I$48:$V$48,MATCH($B196,'R&amp;B Inputs'!$I$4:$V$4,0)))^(BD$7-Year1))</f>
        <v>0.39211256243681192</v>
      </c>
      <c r="BE196" s="508">
        <f>IF(BE$8=0,0,INDEX('R&amp;B Inputs'!$I$78:$V$78,MATCH($B196,'R&amp;B Inputs'!$I$4:$V$4,0))*(1+INDEX('R&amp;B Inputs'!$I$48:$V$48,MATCH($B196,'R&amp;B Inputs'!$I$4:$V$4,0)))^(BE$7-Year1))</f>
        <v>0.39211256243681192</v>
      </c>
      <c r="BF196" s="508">
        <f>IF(BF$8=0,0,INDEX('R&amp;B Inputs'!$I$78:$V$78,MATCH($B196,'R&amp;B Inputs'!$I$4:$V$4,0))*(1+INDEX('R&amp;B Inputs'!$I$48:$V$48,MATCH($B196,'R&amp;B Inputs'!$I$4:$V$4,0)))^(BF$7-Year1))</f>
        <v>0.39211256243681192</v>
      </c>
      <c r="BG196" s="508">
        <f>IF(BG$8=0,0,INDEX('R&amp;B Inputs'!$I$78:$V$78,MATCH($B196,'R&amp;B Inputs'!$I$4:$V$4,0))*(1+INDEX('R&amp;B Inputs'!$I$48:$V$48,MATCH($B196,'R&amp;B Inputs'!$I$4:$V$4,0)))^(BG$7-Year1))</f>
        <v>0.39211256243681192</v>
      </c>
      <c r="BH196" s="508">
        <f>IF(BH$8=0,0,INDEX('R&amp;B Inputs'!$I$78:$V$78,MATCH($B196,'R&amp;B Inputs'!$I$4:$V$4,0))*(1+INDEX('R&amp;B Inputs'!$I$48:$V$48,MATCH($B196,'R&amp;B Inputs'!$I$4:$V$4,0)))^(BH$7-Year1))</f>
        <v>0.39211256243681192</v>
      </c>
      <c r="BI196" s="508">
        <f>IF(BI$8=0,0,INDEX('R&amp;B Inputs'!$I$78:$V$78,MATCH($B196,'R&amp;B Inputs'!$I$4:$V$4,0))*(1+INDEX('R&amp;B Inputs'!$I$48:$V$48,MATCH($B196,'R&amp;B Inputs'!$I$4:$V$4,0)))^(BI$7-Year1))</f>
        <v>0.39211256243681192</v>
      </c>
      <c r="BJ196" s="508">
        <f>IF(BJ$8=0,0,INDEX('R&amp;B Inputs'!$I$78:$V$78,MATCH($B196,'R&amp;B Inputs'!$I$4:$V$4,0))*(1+INDEX('R&amp;B Inputs'!$I$48:$V$48,MATCH($B196,'R&amp;B Inputs'!$I$4:$V$4,0)))^(BJ$7-Year1))</f>
        <v>0.39211256243681192</v>
      </c>
      <c r="BK196" s="508">
        <f>IF(BK$8=0,0,INDEX('R&amp;B Inputs'!$I$78:$V$78,MATCH($B196,'R&amp;B Inputs'!$I$4:$V$4,0))*(1+INDEX('R&amp;B Inputs'!$I$48:$V$48,MATCH($B196,'R&amp;B Inputs'!$I$4:$V$4,0)))^(BK$7-Year1))</f>
        <v>0.39211256243681192</v>
      </c>
      <c r="BL196" s="508">
        <f>IF(BL$8=0,0,INDEX('R&amp;B Inputs'!$I$78:$V$78,MATCH($B196,'R&amp;B Inputs'!$I$4:$V$4,0))*(1+INDEX('R&amp;B Inputs'!$I$48:$V$48,MATCH($B196,'R&amp;B Inputs'!$I$4:$V$4,0)))^(BL$7-Year1))</f>
        <v>0.39211256243681192</v>
      </c>
      <c r="BM196" s="508">
        <f>IF(BM$8=0,0,INDEX('R&amp;B Inputs'!$I$78:$V$78,MATCH($B196,'R&amp;B Inputs'!$I$4:$V$4,0))*(1+INDEX('R&amp;B Inputs'!$I$48:$V$48,MATCH($B196,'R&amp;B Inputs'!$I$4:$V$4,0)))^(BM$7-Year1))</f>
        <v>0.39211256243681192</v>
      </c>
      <c r="BN196" s="508"/>
      <c r="BO196" s="508"/>
      <c r="BP196" s="508">
        <f>IF($C$4=Year1,-PMT(Lookups!$E$17,25,NPV(Lookups!$E$17,AM196:BK196),0,1),IF($C$4=Year2,-PMT(Lookups!$F$17,25,NPV(Lookups!$F$17,AN196:BL196),0,1),IF($C$4=Year3,-PMT(Lookups!$G$17,25,NPV(Lookups!$G$17,AO196:BM196),0,1),-PMT(Lookups!$G$17,27,NPV(Lookups!$G$17,AM196:BM196),0,1))))</f>
        <v>0.38664387391469068</v>
      </c>
      <c r="BS196" s="76" t="str">
        <f t="shared" ref="BS196:BS198" si="201">E196&amp;" charge from the R&amp;B Inputs tab, escalated annually by the growth rate included on the R&amp;B Inputs tab."</f>
        <v>Distribution charge from the R&amp;B Inputs tab, escalated annually by the growth rate included on the R&amp;B Inputs tab.</v>
      </c>
      <c r="BT196" s="51" t="s">
        <v>17</v>
      </c>
    </row>
    <row r="197" spans="1:72" x14ac:dyDescent="0.25">
      <c r="B197" s="243" t="str">
        <f t="shared" si="200"/>
        <v>Small C&amp;I</v>
      </c>
      <c r="C197" s="243" t="str">
        <f t="shared" si="200"/>
        <v>Rates</v>
      </c>
      <c r="D197" s="244" t="str">
        <f>D196</f>
        <v>Rates before DSM (No EE Scenario)</v>
      </c>
      <c r="E197" s="84" t="s">
        <v>407</v>
      </c>
      <c r="F197" s="84" t="s">
        <v>182</v>
      </c>
      <c r="G197" s="506">
        <f>IF(G$8=0,0,INDEX('R&amp;B Inputs'!$I$82:$V$82,MATCH($B197,'R&amp;B Inputs'!$I$4:$V$4,0))*(1+INDEX('R&amp;B Inputs'!$I$62:$V$62,MATCH($B197,'R&amp;B Inputs'!$I$4:$V$4,0)))^(G$7-Year1))</f>
        <v>0</v>
      </c>
      <c r="H197" s="506">
        <f>IF(H$8=0,0,INDEX('R&amp;B Inputs'!$I$82:$V$82,MATCH($B197,'R&amp;B Inputs'!$I$4:$V$4,0))*(1+INDEX('R&amp;B Inputs'!$I$62:$V$62,MATCH($B197,'R&amp;B Inputs'!$I$4:$V$4,0)))^(H$7-Year1))</f>
        <v>5.2000000000000032E-3</v>
      </c>
      <c r="I197" s="506">
        <f>IF(I$8=0,0,INDEX('R&amp;B Inputs'!$I$82:$V$82,MATCH($B197,'R&amp;B Inputs'!$I$4:$V$4,0))*(1+INDEX('R&amp;B Inputs'!$I$62:$V$62,MATCH($B197,'R&amp;B Inputs'!$I$4:$V$4,0)))^(I$7-Year1))</f>
        <v>5.2000000000000032E-3</v>
      </c>
      <c r="J197" s="506">
        <f>IF(J$8=0,0,INDEX('R&amp;B Inputs'!$I$82:$V$82,MATCH($B197,'R&amp;B Inputs'!$I$4:$V$4,0))*(1+INDEX('R&amp;B Inputs'!$I$62:$V$62,MATCH($B197,'R&amp;B Inputs'!$I$4:$V$4,0)))^(J$7-Year1))</f>
        <v>5.2000000000000032E-3</v>
      </c>
      <c r="K197" s="506">
        <f>IF(K$8=0,0,INDEX('R&amp;B Inputs'!$I$82:$V$82,MATCH($B197,'R&amp;B Inputs'!$I$4:$V$4,0))*(1+INDEX('R&amp;B Inputs'!$I$62:$V$62,MATCH($B197,'R&amp;B Inputs'!$I$4:$V$4,0)))^(K$7-Year1))</f>
        <v>5.2000000000000032E-3</v>
      </c>
      <c r="L197" s="506">
        <f>IF(L$8=0,0,INDEX('R&amp;B Inputs'!$I$82:$V$82,MATCH($B197,'R&amp;B Inputs'!$I$4:$V$4,0))*(1+INDEX('R&amp;B Inputs'!$I$62:$V$62,MATCH($B197,'R&amp;B Inputs'!$I$4:$V$4,0)))^(L$7-Year1))</f>
        <v>5.2000000000000032E-3</v>
      </c>
      <c r="M197" s="506">
        <f>IF(M$8=0,0,INDEX('R&amp;B Inputs'!$I$82:$V$82,MATCH($B197,'R&amp;B Inputs'!$I$4:$V$4,0))*(1+INDEX('R&amp;B Inputs'!$I$62:$V$62,MATCH($B197,'R&amp;B Inputs'!$I$4:$V$4,0)))^(M$7-Year1))</f>
        <v>5.2000000000000032E-3</v>
      </c>
      <c r="N197" s="506">
        <f>IF(N$8=0,0,INDEX('R&amp;B Inputs'!$I$82:$V$82,MATCH($B197,'R&amp;B Inputs'!$I$4:$V$4,0))*(1+INDEX('R&amp;B Inputs'!$I$62:$V$62,MATCH($B197,'R&amp;B Inputs'!$I$4:$V$4,0)))^(N$7-Year1))</f>
        <v>5.2000000000000032E-3</v>
      </c>
      <c r="O197" s="506">
        <f>IF(O$8=0,0,INDEX('R&amp;B Inputs'!$I$82:$V$82,MATCH($B197,'R&amp;B Inputs'!$I$4:$V$4,0))*(1+INDEX('R&amp;B Inputs'!$I$62:$V$62,MATCH($B197,'R&amp;B Inputs'!$I$4:$V$4,0)))^(O$7-Year1))</f>
        <v>5.2000000000000032E-3</v>
      </c>
      <c r="P197" s="506">
        <f>IF(P$8=0,0,INDEX('R&amp;B Inputs'!$I$82:$V$82,MATCH($B197,'R&amp;B Inputs'!$I$4:$V$4,0))*(1+INDEX('R&amp;B Inputs'!$I$62:$V$62,MATCH($B197,'R&amp;B Inputs'!$I$4:$V$4,0)))^(P$7-Year1))</f>
        <v>5.2000000000000032E-3</v>
      </c>
      <c r="Q197" s="506">
        <f>IF(Q$8=0,0,INDEX('R&amp;B Inputs'!$I$82:$V$82,MATCH($B197,'R&amp;B Inputs'!$I$4:$V$4,0))*(1+INDEX('R&amp;B Inputs'!$I$62:$V$62,MATCH($B197,'R&amp;B Inputs'!$I$4:$V$4,0)))^(Q$7-Year1))</f>
        <v>5.2000000000000032E-3</v>
      </c>
      <c r="R197" s="506">
        <f>IF(R$8=0,0,INDEX('R&amp;B Inputs'!$I$82:$V$82,MATCH($B197,'R&amp;B Inputs'!$I$4:$V$4,0))*(1+INDEX('R&amp;B Inputs'!$I$62:$V$62,MATCH($B197,'R&amp;B Inputs'!$I$4:$V$4,0)))^(R$7-Year1))</f>
        <v>5.2000000000000032E-3</v>
      </c>
      <c r="S197" s="506">
        <f>IF(S$8=0,0,INDEX('R&amp;B Inputs'!$I$82:$V$82,MATCH($B197,'R&amp;B Inputs'!$I$4:$V$4,0))*(1+INDEX('R&amp;B Inputs'!$I$62:$V$62,MATCH($B197,'R&amp;B Inputs'!$I$4:$V$4,0)))^(S$7-Year1))</f>
        <v>5.2000000000000032E-3</v>
      </c>
      <c r="T197" s="506">
        <f>IF(T$8=0,0,INDEX('R&amp;B Inputs'!$I$82:$V$82,MATCH($B197,'R&amp;B Inputs'!$I$4:$V$4,0))*(1+INDEX('R&amp;B Inputs'!$I$62:$V$62,MATCH($B197,'R&amp;B Inputs'!$I$4:$V$4,0)))^(T$7-Year1))</f>
        <v>5.2000000000000032E-3</v>
      </c>
      <c r="U197" s="506">
        <f>IF(U$8=0,0,INDEX('R&amp;B Inputs'!$I$82:$V$82,MATCH($B197,'R&amp;B Inputs'!$I$4:$V$4,0))*(1+INDEX('R&amp;B Inputs'!$I$62:$V$62,MATCH($B197,'R&amp;B Inputs'!$I$4:$V$4,0)))^(U$7-Year1))</f>
        <v>5.2000000000000032E-3</v>
      </c>
      <c r="V197" s="506">
        <f>IF(V$8=0,0,INDEX('R&amp;B Inputs'!$I$82:$V$82,MATCH($B197,'R&amp;B Inputs'!$I$4:$V$4,0))*(1+INDEX('R&amp;B Inputs'!$I$62:$V$62,MATCH($B197,'R&amp;B Inputs'!$I$4:$V$4,0)))^(V$7-Year1))</f>
        <v>5.2000000000000032E-3</v>
      </c>
      <c r="W197" s="506">
        <f>IF(W$8=0,0,INDEX('R&amp;B Inputs'!$I$82:$V$82,MATCH($B197,'R&amp;B Inputs'!$I$4:$V$4,0))*(1+INDEX('R&amp;B Inputs'!$I$62:$V$62,MATCH($B197,'R&amp;B Inputs'!$I$4:$V$4,0)))^(W$7-Year1))</f>
        <v>5.2000000000000032E-3</v>
      </c>
      <c r="X197" s="506">
        <f>IF(X$8=0,0,INDEX('R&amp;B Inputs'!$I$82:$V$82,MATCH($B197,'R&amp;B Inputs'!$I$4:$V$4,0))*(1+INDEX('R&amp;B Inputs'!$I$62:$V$62,MATCH($B197,'R&amp;B Inputs'!$I$4:$V$4,0)))^(X$7-Year1))</f>
        <v>5.2000000000000032E-3</v>
      </c>
      <c r="Y197" s="506">
        <f>IF(Y$8=0,0,INDEX('R&amp;B Inputs'!$I$82:$V$82,MATCH($B197,'R&amp;B Inputs'!$I$4:$V$4,0))*(1+INDEX('R&amp;B Inputs'!$I$62:$V$62,MATCH($B197,'R&amp;B Inputs'!$I$4:$V$4,0)))^(Y$7-Year1))</f>
        <v>5.2000000000000032E-3</v>
      </c>
      <c r="Z197" s="506">
        <f>IF(Z$8=0,0,INDEX('R&amp;B Inputs'!$I$82:$V$82,MATCH($B197,'R&amp;B Inputs'!$I$4:$V$4,0))*(1+INDEX('R&amp;B Inputs'!$I$62:$V$62,MATCH($B197,'R&amp;B Inputs'!$I$4:$V$4,0)))^(Z$7-Year1))</f>
        <v>5.2000000000000032E-3</v>
      </c>
      <c r="AA197" s="506">
        <f>IF(AA$8=0,0,INDEX('R&amp;B Inputs'!$I$82:$V$82,MATCH($B197,'R&amp;B Inputs'!$I$4:$V$4,0))*(1+INDEX('R&amp;B Inputs'!$I$62:$V$62,MATCH($B197,'R&amp;B Inputs'!$I$4:$V$4,0)))^(AA$7-Year1))</f>
        <v>5.2000000000000032E-3</v>
      </c>
      <c r="AB197" s="506">
        <f>IF(AB$8=0,0,INDEX('R&amp;B Inputs'!$I$82:$V$82,MATCH($B197,'R&amp;B Inputs'!$I$4:$V$4,0))*(1+INDEX('R&amp;B Inputs'!$I$62:$V$62,MATCH($B197,'R&amp;B Inputs'!$I$4:$V$4,0)))^(AB$7-Year1))</f>
        <v>5.2000000000000032E-3</v>
      </c>
      <c r="AC197" s="506">
        <f>IF(AC$8=0,0,INDEX('R&amp;B Inputs'!$I$82:$V$82,MATCH($B197,'R&amp;B Inputs'!$I$4:$V$4,0))*(1+INDEX('R&amp;B Inputs'!$I$62:$V$62,MATCH($B197,'R&amp;B Inputs'!$I$4:$V$4,0)))^(AC$7-Year1))</f>
        <v>5.2000000000000032E-3</v>
      </c>
      <c r="AD197" s="506">
        <f>IF(AD$8=0,0,INDEX('R&amp;B Inputs'!$I$82:$V$82,MATCH($B197,'R&amp;B Inputs'!$I$4:$V$4,0))*(1+INDEX('R&amp;B Inputs'!$I$62:$V$62,MATCH($B197,'R&amp;B Inputs'!$I$4:$V$4,0)))^(AD$7-Year1))</f>
        <v>5.2000000000000032E-3</v>
      </c>
      <c r="AE197" s="506">
        <f>IF(AE$8=0,0,INDEX('R&amp;B Inputs'!$I$82:$V$82,MATCH($B197,'R&amp;B Inputs'!$I$4:$V$4,0))*(1+INDEX('R&amp;B Inputs'!$I$62:$V$62,MATCH($B197,'R&amp;B Inputs'!$I$4:$V$4,0)))^(AE$7-Year1))</f>
        <v>5.2000000000000032E-3</v>
      </c>
      <c r="AF197" s="506">
        <f>IF(AF$8=0,0,INDEX('R&amp;B Inputs'!$I$82:$V$82,MATCH($B197,'R&amp;B Inputs'!$I$4:$V$4,0))*(1+INDEX('R&amp;B Inputs'!$I$62:$V$62,MATCH($B197,'R&amp;B Inputs'!$I$4:$V$4,0)))^(AF$7-Year1))</f>
        <v>5.2000000000000032E-3</v>
      </c>
      <c r="AG197" s="506">
        <f>IF(AG$8=0,0,INDEX('R&amp;B Inputs'!$I$82:$V$82,MATCH($B197,'R&amp;B Inputs'!$I$4:$V$4,0))*(1+INDEX('R&amp;B Inputs'!$I$62:$V$62,MATCH($B197,'R&amp;B Inputs'!$I$4:$V$4,0)))^(AG$7-Year1))</f>
        <v>5.2000000000000032E-3</v>
      </c>
      <c r="AH197" s="506"/>
      <c r="AI197" s="506"/>
      <c r="AJ197" s="506">
        <f>IF($C$4=Year1,-PMT(Lookups!$E$17,25,NPV(Lookups!$E$17,G197:AE197),0,1),IF($C$4=Year2,-PMT(Lookups!$F$17,25,NPV(Lookups!$F$17,H197:AF197),0,1),IF($C$4=Year3,-PMT(Lookups!$G$17,25,NPV(Lookups!$G$17,I197:AG197),0,1),-PMT(Lookups!$G$17,27,NPV(Lookups!$G$17,G197:AG197),0,1))))</f>
        <v>5.1274769975786939E-3</v>
      </c>
      <c r="AK197" s="507"/>
      <c r="AL197" s="507"/>
      <c r="AM197" s="508">
        <f>IF(AM$8=0,0,INDEX('R&amp;B Inputs'!$I$82:$V$82,MATCH($B197,'R&amp;B Inputs'!$I$4:$V$4,0))*(1+INDEX('R&amp;B Inputs'!$I$62:$V$62,MATCH($B197,'R&amp;B Inputs'!$I$4:$V$4,0)))^(AM$7-Year1))</f>
        <v>0</v>
      </c>
      <c r="AN197" s="508">
        <f>IF(AN$8=0,0,INDEX('R&amp;B Inputs'!$I$82:$V$82,MATCH($B197,'R&amp;B Inputs'!$I$4:$V$4,0))*(1+INDEX('R&amp;B Inputs'!$I$62:$V$62,MATCH($B197,'R&amp;B Inputs'!$I$4:$V$4,0)))^(AN$7-Year1))</f>
        <v>5.2000000000000032E-3</v>
      </c>
      <c r="AO197" s="508">
        <f>IF(AO$8=0,0,INDEX('R&amp;B Inputs'!$I$82:$V$82,MATCH($B197,'R&amp;B Inputs'!$I$4:$V$4,0))*(1+INDEX('R&amp;B Inputs'!$I$62:$V$62,MATCH($B197,'R&amp;B Inputs'!$I$4:$V$4,0)))^(AO$7-Year1))</f>
        <v>5.2000000000000032E-3</v>
      </c>
      <c r="AP197" s="508">
        <f>IF(AP$8=0,0,INDEX('R&amp;B Inputs'!$I$82:$V$82,MATCH($B197,'R&amp;B Inputs'!$I$4:$V$4,0))*(1+INDEX('R&amp;B Inputs'!$I$62:$V$62,MATCH($B197,'R&amp;B Inputs'!$I$4:$V$4,0)))^(AP$7-Year1))</f>
        <v>5.2000000000000032E-3</v>
      </c>
      <c r="AQ197" s="508">
        <f>IF(AQ$8=0,0,INDEX('R&amp;B Inputs'!$I$82:$V$82,MATCH($B197,'R&amp;B Inputs'!$I$4:$V$4,0))*(1+INDEX('R&amp;B Inputs'!$I$62:$V$62,MATCH($B197,'R&amp;B Inputs'!$I$4:$V$4,0)))^(AQ$7-Year1))</f>
        <v>5.2000000000000032E-3</v>
      </c>
      <c r="AR197" s="508">
        <f>IF(AR$8=0,0,INDEX('R&amp;B Inputs'!$I$82:$V$82,MATCH($B197,'R&amp;B Inputs'!$I$4:$V$4,0))*(1+INDEX('R&amp;B Inputs'!$I$62:$V$62,MATCH($B197,'R&amp;B Inputs'!$I$4:$V$4,0)))^(AR$7-Year1))</f>
        <v>5.2000000000000032E-3</v>
      </c>
      <c r="AS197" s="508">
        <f>IF(AS$8=0,0,INDEX('R&amp;B Inputs'!$I$82:$V$82,MATCH($B197,'R&amp;B Inputs'!$I$4:$V$4,0))*(1+INDEX('R&amp;B Inputs'!$I$62:$V$62,MATCH($B197,'R&amp;B Inputs'!$I$4:$V$4,0)))^(AS$7-Year1))</f>
        <v>5.2000000000000032E-3</v>
      </c>
      <c r="AT197" s="508">
        <f>IF(AT$8=0,0,INDEX('R&amp;B Inputs'!$I$82:$V$82,MATCH($B197,'R&amp;B Inputs'!$I$4:$V$4,0))*(1+INDEX('R&amp;B Inputs'!$I$62:$V$62,MATCH($B197,'R&amp;B Inputs'!$I$4:$V$4,0)))^(AT$7-Year1))</f>
        <v>5.2000000000000032E-3</v>
      </c>
      <c r="AU197" s="508">
        <f>IF(AU$8=0,0,INDEX('R&amp;B Inputs'!$I$82:$V$82,MATCH($B197,'R&amp;B Inputs'!$I$4:$V$4,0))*(1+INDEX('R&amp;B Inputs'!$I$62:$V$62,MATCH($B197,'R&amp;B Inputs'!$I$4:$V$4,0)))^(AU$7-Year1))</f>
        <v>5.2000000000000032E-3</v>
      </c>
      <c r="AV197" s="508">
        <f>IF(AV$8=0,0,INDEX('R&amp;B Inputs'!$I$82:$V$82,MATCH($B197,'R&amp;B Inputs'!$I$4:$V$4,0))*(1+INDEX('R&amp;B Inputs'!$I$62:$V$62,MATCH($B197,'R&amp;B Inputs'!$I$4:$V$4,0)))^(AV$7-Year1))</f>
        <v>5.2000000000000032E-3</v>
      </c>
      <c r="AW197" s="508">
        <f>IF(AW$8=0,0,INDEX('R&amp;B Inputs'!$I$82:$V$82,MATCH($B197,'R&amp;B Inputs'!$I$4:$V$4,0))*(1+INDEX('R&amp;B Inputs'!$I$62:$V$62,MATCH($B197,'R&amp;B Inputs'!$I$4:$V$4,0)))^(AW$7-Year1))</f>
        <v>5.2000000000000032E-3</v>
      </c>
      <c r="AX197" s="508">
        <f>IF(AX$8=0,0,INDEX('R&amp;B Inputs'!$I$82:$V$82,MATCH($B197,'R&amp;B Inputs'!$I$4:$V$4,0))*(1+INDEX('R&amp;B Inputs'!$I$62:$V$62,MATCH($B197,'R&amp;B Inputs'!$I$4:$V$4,0)))^(AX$7-Year1))</f>
        <v>5.2000000000000032E-3</v>
      </c>
      <c r="AY197" s="508">
        <f>IF(AY$8=0,0,INDEX('R&amp;B Inputs'!$I$82:$V$82,MATCH($B197,'R&amp;B Inputs'!$I$4:$V$4,0))*(1+INDEX('R&amp;B Inputs'!$I$62:$V$62,MATCH($B197,'R&amp;B Inputs'!$I$4:$V$4,0)))^(AY$7-Year1))</f>
        <v>5.2000000000000032E-3</v>
      </c>
      <c r="AZ197" s="508">
        <f>IF(AZ$8=0,0,INDEX('R&amp;B Inputs'!$I$82:$V$82,MATCH($B197,'R&amp;B Inputs'!$I$4:$V$4,0))*(1+INDEX('R&amp;B Inputs'!$I$62:$V$62,MATCH($B197,'R&amp;B Inputs'!$I$4:$V$4,0)))^(AZ$7-Year1))</f>
        <v>5.2000000000000032E-3</v>
      </c>
      <c r="BA197" s="508">
        <f>IF(BA$8=0,0,INDEX('R&amp;B Inputs'!$I$82:$V$82,MATCH($B197,'R&amp;B Inputs'!$I$4:$V$4,0))*(1+INDEX('R&amp;B Inputs'!$I$62:$V$62,MATCH($B197,'R&amp;B Inputs'!$I$4:$V$4,0)))^(BA$7-Year1))</f>
        <v>5.2000000000000032E-3</v>
      </c>
      <c r="BB197" s="508">
        <f>IF(BB$8=0,0,INDEX('R&amp;B Inputs'!$I$82:$V$82,MATCH($B197,'R&amp;B Inputs'!$I$4:$V$4,0))*(1+INDEX('R&amp;B Inputs'!$I$62:$V$62,MATCH($B197,'R&amp;B Inputs'!$I$4:$V$4,0)))^(BB$7-Year1))</f>
        <v>5.2000000000000032E-3</v>
      </c>
      <c r="BC197" s="508">
        <f>IF(BC$8=0,0,INDEX('R&amp;B Inputs'!$I$82:$V$82,MATCH($B197,'R&amp;B Inputs'!$I$4:$V$4,0))*(1+INDEX('R&amp;B Inputs'!$I$62:$V$62,MATCH($B197,'R&amp;B Inputs'!$I$4:$V$4,0)))^(BC$7-Year1))</f>
        <v>5.2000000000000032E-3</v>
      </c>
      <c r="BD197" s="508">
        <f>IF(BD$8=0,0,INDEX('R&amp;B Inputs'!$I$82:$V$82,MATCH($B197,'R&amp;B Inputs'!$I$4:$V$4,0))*(1+INDEX('R&amp;B Inputs'!$I$62:$V$62,MATCH($B197,'R&amp;B Inputs'!$I$4:$V$4,0)))^(BD$7-Year1))</f>
        <v>5.2000000000000032E-3</v>
      </c>
      <c r="BE197" s="508">
        <f>IF(BE$8=0,0,INDEX('R&amp;B Inputs'!$I$82:$V$82,MATCH($B197,'R&amp;B Inputs'!$I$4:$V$4,0))*(1+INDEX('R&amp;B Inputs'!$I$62:$V$62,MATCH($B197,'R&amp;B Inputs'!$I$4:$V$4,0)))^(BE$7-Year1))</f>
        <v>5.2000000000000032E-3</v>
      </c>
      <c r="BF197" s="508">
        <f>IF(BF$8=0,0,INDEX('R&amp;B Inputs'!$I$82:$V$82,MATCH($B197,'R&amp;B Inputs'!$I$4:$V$4,0))*(1+INDEX('R&amp;B Inputs'!$I$62:$V$62,MATCH($B197,'R&amp;B Inputs'!$I$4:$V$4,0)))^(BF$7-Year1))</f>
        <v>5.2000000000000032E-3</v>
      </c>
      <c r="BG197" s="508">
        <f>IF(BG$8=0,0,INDEX('R&amp;B Inputs'!$I$82:$V$82,MATCH($B197,'R&amp;B Inputs'!$I$4:$V$4,0))*(1+INDEX('R&amp;B Inputs'!$I$62:$V$62,MATCH($B197,'R&amp;B Inputs'!$I$4:$V$4,0)))^(BG$7-Year1))</f>
        <v>5.2000000000000032E-3</v>
      </c>
      <c r="BH197" s="508">
        <f>IF(BH$8=0,0,INDEX('R&amp;B Inputs'!$I$82:$V$82,MATCH($B197,'R&amp;B Inputs'!$I$4:$V$4,0))*(1+INDEX('R&amp;B Inputs'!$I$62:$V$62,MATCH($B197,'R&amp;B Inputs'!$I$4:$V$4,0)))^(BH$7-Year1))</f>
        <v>5.2000000000000032E-3</v>
      </c>
      <c r="BI197" s="508">
        <f>IF(BI$8=0,0,INDEX('R&amp;B Inputs'!$I$82:$V$82,MATCH($B197,'R&amp;B Inputs'!$I$4:$V$4,0))*(1+INDEX('R&amp;B Inputs'!$I$62:$V$62,MATCH($B197,'R&amp;B Inputs'!$I$4:$V$4,0)))^(BI$7-Year1))</f>
        <v>5.2000000000000032E-3</v>
      </c>
      <c r="BJ197" s="508">
        <f>IF(BJ$8=0,0,INDEX('R&amp;B Inputs'!$I$82:$V$82,MATCH($B197,'R&amp;B Inputs'!$I$4:$V$4,0))*(1+INDEX('R&amp;B Inputs'!$I$62:$V$62,MATCH($B197,'R&amp;B Inputs'!$I$4:$V$4,0)))^(BJ$7-Year1))</f>
        <v>5.2000000000000032E-3</v>
      </c>
      <c r="BK197" s="508">
        <f>IF(BK$8=0,0,INDEX('R&amp;B Inputs'!$I$82:$V$82,MATCH($B197,'R&amp;B Inputs'!$I$4:$V$4,0))*(1+INDEX('R&amp;B Inputs'!$I$62:$V$62,MATCH($B197,'R&amp;B Inputs'!$I$4:$V$4,0)))^(BK$7-Year1))</f>
        <v>5.2000000000000032E-3</v>
      </c>
      <c r="BL197" s="508">
        <f>IF(BL$8=0,0,INDEX('R&amp;B Inputs'!$I$82:$V$82,MATCH($B197,'R&amp;B Inputs'!$I$4:$V$4,0))*(1+INDEX('R&amp;B Inputs'!$I$62:$V$62,MATCH($B197,'R&amp;B Inputs'!$I$4:$V$4,0)))^(BL$7-Year1))</f>
        <v>5.2000000000000032E-3</v>
      </c>
      <c r="BM197" s="508">
        <f>IF(BM$8=0,0,INDEX('R&amp;B Inputs'!$I$82:$V$82,MATCH($B197,'R&amp;B Inputs'!$I$4:$V$4,0))*(1+INDEX('R&amp;B Inputs'!$I$62:$V$62,MATCH($B197,'R&amp;B Inputs'!$I$4:$V$4,0)))^(BM$7-Year1))</f>
        <v>5.2000000000000032E-3</v>
      </c>
      <c r="BN197" s="508"/>
      <c r="BO197" s="508"/>
      <c r="BP197" s="508">
        <f>IF($C$4=Year1,-PMT(Lookups!$E$17,25,NPV(Lookups!$E$17,AM197:BK197),0,1),IF($C$4=Year2,-PMT(Lookups!$F$17,25,NPV(Lookups!$F$17,AN197:BL197),0,1),IF($C$4=Year3,-PMT(Lookups!$G$17,25,NPV(Lookups!$G$17,AO197:BM197),0,1),-PMT(Lookups!$G$17,27,NPV(Lookups!$G$17,AM197:BM197),0,1))))</f>
        <v>5.1274769975786939E-3</v>
      </c>
      <c r="BS197" s="76" t="str">
        <f t="shared" si="201"/>
        <v>LDAC, Non-EE charge from the R&amp;B Inputs tab, escalated annually by the growth rate included on the R&amp;B Inputs tab.</v>
      </c>
      <c r="BT197" s="51" t="s">
        <v>17</v>
      </c>
    </row>
    <row r="198" spans="1:72" x14ac:dyDescent="0.25">
      <c r="B198" s="243" t="str">
        <f>B196</f>
        <v>Small C&amp;I</v>
      </c>
      <c r="C198" s="243" t="str">
        <f>C196</f>
        <v>Rates</v>
      </c>
      <c r="D198" s="244" t="str">
        <f>D196</f>
        <v>Rates before DSM (No EE Scenario)</v>
      </c>
      <c r="E198" s="84" t="s">
        <v>197</v>
      </c>
      <c r="F198" s="84" t="s">
        <v>182</v>
      </c>
      <c r="G198" s="506">
        <f>IF(G$8=0,0,INDEX('R&amp;B Inputs'!$I$86:$V$86,MATCH($B198,'R&amp;B Inputs'!$I$4:$V$4,0))*(1+INDEX('R&amp;B Inputs'!$I$66:$V$66,MATCH($B198,'R&amp;B Inputs'!$I$4:$V$4,0)))^(G$7-Year1))</f>
        <v>0</v>
      </c>
      <c r="H198" s="506">
        <f>IF(H$8=0,0,INDEX('R&amp;B Inputs'!$I$86:$V$86,MATCH($B198,'R&amp;B Inputs'!$I$4:$V$4,0))*(1+INDEX('R&amp;B Inputs'!$I$66:$V$66,MATCH($B198,'R&amp;B Inputs'!$I$4:$V$4,0)))^(H$7-Year1))</f>
        <v>0.61899999999999999</v>
      </c>
      <c r="I198" s="506">
        <f>IF(I$8=0,0,INDEX('R&amp;B Inputs'!$I$86:$V$86,MATCH($B198,'R&amp;B Inputs'!$I$4:$V$4,0))*(1+INDEX('R&amp;B Inputs'!$I$66:$V$66,MATCH($B198,'R&amp;B Inputs'!$I$4:$V$4,0)))^(I$7-Year1))</f>
        <v>0.61899999999999999</v>
      </c>
      <c r="J198" s="506">
        <f>IF(J$8=0,0,INDEX('R&amp;B Inputs'!$I$86:$V$86,MATCH($B198,'R&amp;B Inputs'!$I$4:$V$4,0))*(1+INDEX('R&amp;B Inputs'!$I$66:$V$66,MATCH($B198,'R&amp;B Inputs'!$I$4:$V$4,0)))^(J$7-Year1))</f>
        <v>0.61899999999999999</v>
      </c>
      <c r="K198" s="506">
        <f>IF(K$8=0,0,INDEX('R&amp;B Inputs'!$I$86:$V$86,MATCH($B198,'R&amp;B Inputs'!$I$4:$V$4,0))*(1+INDEX('R&amp;B Inputs'!$I$66:$V$66,MATCH($B198,'R&amp;B Inputs'!$I$4:$V$4,0)))^(K$7-Year1))</f>
        <v>0.61899999999999999</v>
      </c>
      <c r="L198" s="506">
        <f>IF(L$8=0,0,INDEX('R&amp;B Inputs'!$I$86:$V$86,MATCH($B198,'R&amp;B Inputs'!$I$4:$V$4,0))*(1+INDEX('R&amp;B Inputs'!$I$66:$V$66,MATCH($B198,'R&amp;B Inputs'!$I$4:$V$4,0)))^(L$7-Year1))</f>
        <v>0.61899999999999999</v>
      </c>
      <c r="M198" s="506">
        <f>IF(M$8=0,0,INDEX('R&amp;B Inputs'!$I$86:$V$86,MATCH($B198,'R&amp;B Inputs'!$I$4:$V$4,0))*(1+INDEX('R&amp;B Inputs'!$I$66:$V$66,MATCH($B198,'R&amp;B Inputs'!$I$4:$V$4,0)))^(M$7-Year1))</f>
        <v>0.61899999999999999</v>
      </c>
      <c r="N198" s="506">
        <f>IF(N$8=0,0,INDEX('R&amp;B Inputs'!$I$86:$V$86,MATCH($B198,'R&amp;B Inputs'!$I$4:$V$4,0))*(1+INDEX('R&amp;B Inputs'!$I$66:$V$66,MATCH($B198,'R&amp;B Inputs'!$I$4:$V$4,0)))^(N$7-Year1))</f>
        <v>0.61899999999999999</v>
      </c>
      <c r="O198" s="506">
        <f>IF(O$8=0,0,INDEX('R&amp;B Inputs'!$I$86:$V$86,MATCH($B198,'R&amp;B Inputs'!$I$4:$V$4,0))*(1+INDEX('R&amp;B Inputs'!$I$66:$V$66,MATCH($B198,'R&amp;B Inputs'!$I$4:$V$4,0)))^(O$7-Year1))</f>
        <v>0.61899999999999999</v>
      </c>
      <c r="P198" s="506">
        <f>IF(P$8=0,0,INDEX('R&amp;B Inputs'!$I$86:$V$86,MATCH($B198,'R&amp;B Inputs'!$I$4:$V$4,0))*(1+INDEX('R&amp;B Inputs'!$I$66:$V$66,MATCH($B198,'R&amp;B Inputs'!$I$4:$V$4,0)))^(P$7-Year1))</f>
        <v>0.61899999999999999</v>
      </c>
      <c r="Q198" s="506">
        <f>IF(Q$8=0,0,INDEX('R&amp;B Inputs'!$I$86:$V$86,MATCH($B198,'R&amp;B Inputs'!$I$4:$V$4,0))*(1+INDEX('R&amp;B Inputs'!$I$66:$V$66,MATCH($B198,'R&amp;B Inputs'!$I$4:$V$4,0)))^(Q$7-Year1))</f>
        <v>0.61899999999999999</v>
      </c>
      <c r="R198" s="506">
        <f>IF(R$8=0,0,INDEX('R&amp;B Inputs'!$I$86:$V$86,MATCH($B198,'R&amp;B Inputs'!$I$4:$V$4,0))*(1+INDEX('R&amp;B Inputs'!$I$66:$V$66,MATCH($B198,'R&amp;B Inputs'!$I$4:$V$4,0)))^(R$7-Year1))</f>
        <v>0.61899999999999999</v>
      </c>
      <c r="S198" s="506">
        <f>IF(S$8=0,0,INDEX('R&amp;B Inputs'!$I$86:$V$86,MATCH($B198,'R&amp;B Inputs'!$I$4:$V$4,0))*(1+INDEX('R&amp;B Inputs'!$I$66:$V$66,MATCH($B198,'R&amp;B Inputs'!$I$4:$V$4,0)))^(S$7-Year1))</f>
        <v>0.61899999999999999</v>
      </c>
      <c r="T198" s="506">
        <f>IF(T$8=0,0,INDEX('R&amp;B Inputs'!$I$86:$V$86,MATCH($B198,'R&amp;B Inputs'!$I$4:$V$4,0))*(1+INDEX('R&amp;B Inputs'!$I$66:$V$66,MATCH($B198,'R&amp;B Inputs'!$I$4:$V$4,0)))^(T$7-Year1))</f>
        <v>0.61899999999999999</v>
      </c>
      <c r="U198" s="506">
        <f>IF(U$8=0,0,INDEX('R&amp;B Inputs'!$I$86:$V$86,MATCH($B198,'R&amp;B Inputs'!$I$4:$V$4,0))*(1+INDEX('R&amp;B Inputs'!$I$66:$V$66,MATCH($B198,'R&amp;B Inputs'!$I$4:$V$4,0)))^(U$7-Year1))</f>
        <v>0.61899999999999999</v>
      </c>
      <c r="V198" s="506">
        <f>IF(V$8=0,0,INDEX('R&amp;B Inputs'!$I$86:$V$86,MATCH($B198,'R&amp;B Inputs'!$I$4:$V$4,0))*(1+INDEX('R&amp;B Inputs'!$I$66:$V$66,MATCH($B198,'R&amp;B Inputs'!$I$4:$V$4,0)))^(V$7-Year1))</f>
        <v>0.61899999999999999</v>
      </c>
      <c r="W198" s="506">
        <f>IF(W$8=0,0,INDEX('R&amp;B Inputs'!$I$86:$V$86,MATCH($B198,'R&amp;B Inputs'!$I$4:$V$4,0))*(1+INDEX('R&amp;B Inputs'!$I$66:$V$66,MATCH($B198,'R&amp;B Inputs'!$I$4:$V$4,0)))^(W$7-Year1))</f>
        <v>0.61899999999999999</v>
      </c>
      <c r="X198" s="506">
        <f>IF(X$8=0,0,INDEX('R&amp;B Inputs'!$I$86:$V$86,MATCH($B198,'R&amp;B Inputs'!$I$4:$V$4,0))*(1+INDEX('R&amp;B Inputs'!$I$66:$V$66,MATCH($B198,'R&amp;B Inputs'!$I$4:$V$4,0)))^(X$7-Year1))</f>
        <v>0.61899999999999999</v>
      </c>
      <c r="Y198" s="506">
        <f>IF(Y$8=0,0,INDEX('R&amp;B Inputs'!$I$86:$V$86,MATCH($B198,'R&amp;B Inputs'!$I$4:$V$4,0))*(1+INDEX('R&amp;B Inputs'!$I$66:$V$66,MATCH($B198,'R&amp;B Inputs'!$I$4:$V$4,0)))^(Y$7-Year1))</f>
        <v>0.61899999999999999</v>
      </c>
      <c r="Z198" s="506">
        <f>IF(Z$8=0,0,INDEX('R&amp;B Inputs'!$I$86:$V$86,MATCH($B198,'R&amp;B Inputs'!$I$4:$V$4,0))*(1+INDEX('R&amp;B Inputs'!$I$66:$V$66,MATCH($B198,'R&amp;B Inputs'!$I$4:$V$4,0)))^(Z$7-Year1))</f>
        <v>0.61899999999999999</v>
      </c>
      <c r="AA198" s="506">
        <f>IF(AA$8=0,0,INDEX('R&amp;B Inputs'!$I$86:$V$86,MATCH($B198,'R&amp;B Inputs'!$I$4:$V$4,0))*(1+INDEX('R&amp;B Inputs'!$I$66:$V$66,MATCH($B198,'R&amp;B Inputs'!$I$4:$V$4,0)))^(AA$7-Year1))</f>
        <v>0.61899999999999999</v>
      </c>
      <c r="AB198" s="506">
        <f>IF(AB$8=0,0,INDEX('R&amp;B Inputs'!$I$86:$V$86,MATCH($B198,'R&amp;B Inputs'!$I$4:$V$4,0))*(1+INDEX('R&amp;B Inputs'!$I$66:$V$66,MATCH($B198,'R&amp;B Inputs'!$I$4:$V$4,0)))^(AB$7-Year1))</f>
        <v>0.61899999999999999</v>
      </c>
      <c r="AC198" s="506">
        <f>IF(AC$8=0,0,INDEX('R&amp;B Inputs'!$I$86:$V$86,MATCH($B198,'R&amp;B Inputs'!$I$4:$V$4,0))*(1+INDEX('R&amp;B Inputs'!$I$66:$V$66,MATCH($B198,'R&amp;B Inputs'!$I$4:$V$4,0)))^(AC$7-Year1))</f>
        <v>0.61899999999999999</v>
      </c>
      <c r="AD198" s="506">
        <f>IF(AD$8=0,0,INDEX('R&amp;B Inputs'!$I$86:$V$86,MATCH($B198,'R&amp;B Inputs'!$I$4:$V$4,0))*(1+INDEX('R&amp;B Inputs'!$I$66:$V$66,MATCH($B198,'R&amp;B Inputs'!$I$4:$V$4,0)))^(AD$7-Year1))</f>
        <v>0.61899999999999999</v>
      </c>
      <c r="AE198" s="506">
        <f>IF(AE$8=0,0,INDEX('R&amp;B Inputs'!$I$86:$V$86,MATCH($B198,'R&amp;B Inputs'!$I$4:$V$4,0))*(1+INDEX('R&amp;B Inputs'!$I$66:$V$66,MATCH($B198,'R&amp;B Inputs'!$I$4:$V$4,0)))^(AE$7-Year1))</f>
        <v>0.61899999999999999</v>
      </c>
      <c r="AF198" s="506">
        <f>IF(AF$8=0,0,INDEX('R&amp;B Inputs'!$I$86:$V$86,MATCH($B198,'R&amp;B Inputs'!$I$4:$V$4,0))*(1+INDEX('R&amp;B Inputs'!$I$66:$V$66,MATCH($B198,'R&amp;B Inputs'!$I$4:$V$4,0)))^(AF$7-Year1))</f>
        <v>0.61899999999999999</v>
      </c>
      <c r="AG198" s="506">
        <f>IF(AG$8=0,0,INDEX('R&amp;B Inputs'!$I$86:$V$86,MATCH($B198,'R&amp;B Inputs'!$I$4:$V$4,0))*(1+INDEX('R&amp;B Inputs'!$I$66:$V$66,MATCH($B198,'R&amp;B Inputs'!$I$4:$V$4,0)))^(AG$7-Year1))</f>
        <v>0.61899999999999999</v>
      </c>
      <c r="AH198" s="506"/>
      <c r="AI198" s="506"/>
      <c r="AJ198" s="506">
        <f>IF($C$4=Year1,-PMT(Lookups!$E$17,25,NPV(Lookups!$E$17,G198:AE198),0,1),IF($C$4=Year2,-PMT(Lookups!$F$17,25,NPV(Lookups!$F$17,H198:AF198),0,1),IF($C$4=Year3,-PMT(Lookups!$G$17,25,NPV(Lookups!$G$17,I198:AG198),0,1),-PMT(Lookups!$G$17,27,NPV(Lookups!$G$17,G198:AG198),0,1))))</f>
        <v>0.61036697336561752</v>
      </c>
      <c r="AK198" s="507"/>
      <c r="AL198" s="507"/>
      <c r="AM198" s="508">
        <f>IF(AM$8=0,0,INDEX('R&amp;B Inputs'!$I$86:$V$86,MATCH($B198,'R&amp;B Inputs'!$I$4:$V$4,0))*(1+INDEX('R&amp;B Inputs'!$I$66:$V$66,MATCH($B198,'R&amp;B Inputs'!$I$4:$V$4,0)))^(AM$7-Year1))</f>
        <v>0</v>
      </c>
      <c r="AN198" s="508">
        <f>IF(AN$8=0,0,INDEX('R&amp;B Inputs'!$I$86:$V$86,MATCH($B198,'R&amp;B Inputs'!$I$4:$V$4,0))*(1+INDEX('R&amp;B Inputs'!$I$66:$V$66,MATCH($B198,'R&amp;B Inputs'!$I$4:$V$4,0)))^(AN$7-Year1))</f>
        <v>0.61899999999999999</v>
      </c>
      <c r="AO198" s="508">
        <f>IF(AO$8=0,0,INDEX('R&amp;B Inputs'!$I$86:$V$86,MATCH($B198,'R&amp;B Inputs'!$I$4:$V$4,0))*(1+INDEX('R&amp;B Inputs'!$I$66:$V$66,MATCH($B198,'R&amp;B Inputs'!$I$4:$V$4,0)))^(AO$7-Year1))</f>
        <v>0.61899999999999999</v>
      </c>
      <c r="AP198" s="508">
        <f>IF(AP$8=0,0,INDEX('R&amp;B Inputs'!$I$86:$V$86,MATCH($B198,'R&amp;B Inputs'!$I$4:$V$4,0))*(1+INDEX('R&amp;B Inputs'!$I$66:$V$66,MATCH($B198,'R&amp;B Inputs'!$I$4:$V$4,0)))^(AP$7-Year1))</f>
        <v>0.61899999999999999</v>
      </c>
      <c r="AQ198" s="508">
        <f>IF(AQ$8=0,0,INDEX('R&amp;B Inputs'!$I$86:$V$86,MATCH($B198,'R&amp;B Inputs'!$I$4:$V$4,0))*(1+INDEX('R&amp;B Inputs'!$I$66:$V$66,MATCH($B198,'R&amp;B Inputs'!$I$4:$V$4,0)))^(AQ$7-Year1))</f>
        <v>0.61899999999999999</v>
      </c>
      <c r="AR198" s="508">
        <f>IF(AR$8=0,0,INDEX('R&amp;B Inputs'!$I$86:$V$86,MATCH($B198,'R&amp;B Inputs'!$I$4:$V$4,0))*(1+INDEX('R&amp;B Inputs'!$I$66:$V$66,MATCH($B198,'R&amp;B Inputs'!$I$4:$V$4,0)))^(AR$7-Year1))</f>
        <v>0.61899999999999999</v>
      </c>
      <c r="AS198" s="508">
        <f>IF(AS$8=0,0,INDEX('R&amp;B Inputs'!$I$86:$V$86,MATCH($B198,'R&amp;B Inputs'!$I$4:$V$4,0))*(1+INDEX('R&amp;B Inputs'!$I$66:$V$66,MATCH($B198,'R&amp;B Inputs'!$I$4:$V$4,0)))^(AS$7-Year1))</f>
        <v>0.61899999999999999</v>
      </c>
      <c r="AT198" s="508">
        <f>IF(AT$8=0,0,INDEX('R&amp;B Inputs'!$I$86:$V$86,MATCH($B198,'R&amp;B Inputs'!$I$4:$V$4,0))*(1+INDEX('R&amp;B Inputs'!$I$66:$V$66,MATCH($B198,'R&amp;B Inputs'!$I$4:$V$4,0)))^(AT$7-Year1))</f>
        <v>0.61899999999999999</v>
      </c>
      <c r="AU198" s="508">
        <f>IF(AU$8=0,0,INDEX('R&amp;B Inputs'!$I$86:$V$86,MATCH($B198,'R&amp;B Inputs'!$I$4:$V$4,0))*(1+INDEX('R&amp;B Inputs'!$I$66:$V$66,MATCH($B198,'R&amp;B Inputs'!$I$4:$V$4,0)))^(AU$7-Year1))</f>
        <v>0.61899999999999999</v>
      </c>
      <c r="AV198" s="508">
        <f>IF(AV$8=0,0,INDEX('R&amp;B Inputs'!$I$86:$V$86,MATCH($B198,'R&amp;B Inputs'!$I$4:$V$4,0))*(1+INDEX('R&amp;B Inputs'!$I$66:$V$66,MATCH($B198,'R&amp;B Inputs'!$I$4:$V$4,0)))^(AV$7-Year1))</f>
        <v>0.61899999999999999</v>
      </c>
      <c r="AW198" s="508">
        <f>IF(AW$8=0,0,INDEX('R&amp;B Inputs'!$I$86:$V$86,MATCH($B198,'R&amp;B Inputs'!$I$4:$V$4,0))*(1+INDEX('R&amp;B Inputs'!$I$66:$V$66,MATCH($B198,'R&amp;B Inputs'!$I$4:$V$4,0)))^(AW$7-Year1))</f>
        <v>0.61899999999999999</v>
      </c>
      <c r="AX198" s="508">
        <f>IF(AX$8=0,0,INDEX('R&amp;B Inputs'!$I$86:$V$86,MATCH($B198,'R&amp;B Inputs'!$I$4:$V$4,0))*(1+INDEX('R&amp;B Inputs'!$I$66:$V$66,MATCH($B198,'R&amp;B Inputs'!$I$4:$V$4,0)))^(AX$7-Year1))</f>
        <v>0.61899999999999999</v>
      </c>
      <c r="AY198" s="508">
        <f>IF(AY$8=0,0,INDEX('R&amp;B Inputs'!$I$86:$V$86,MATCH($B198,'R&amp;B Inputs'!$I$4:$V$4,0))*(1+INDEX('R&amp;B Inputs'!$I$66:$V$66,MATCH($B198,'R&amp;B Inputs'!$I$4:$V$4,0)))^(AY$7-Year1))</f>
        <v>0.61899999999999999</v>
      </c>
      <c r="AZ198" s="508">
        <f>IF(AZ$8=0,0,INDEX('R&amp;B Inputs'!$I$86:$V$86,MATCH($B198,'R&amp;B Inputs'!$I$4:$V$4,0))*(1+INDEX('R&amp;B Inputs'!$I$66:$V$66,MATCH($B198,'R&amp;B Inputs'!$I$4:$V$4,0)))^(AZ$7-Year1))</f>
        <v>0.61899999999999999</v>
      </c>
      <c r="BA198" s="508">
        <f>IF(BA$8=0,0,INDEX('R&amp;B Inputs'!$I$86:$V$86,MATCH($B198,'R&amp;B Inputs'!$I$4:$V$4,0))*(1+INDEX('R&amp;B Inputs'!$I$66:$V$66,MATCH($B198,'R&amp;B Inputs'!$I$4:$V$4,0)))^(BA$7-Year1))</f>
        <v>0.61899999999999999</v>
      </c>
      <c r="BB198" s="508">
        <f>IF(BB$8=0,0,INDEX('R&amp;B Inputs'!$I$86:$V$86,MATCH($B198,'R&amp;B Inputs'!$I$4:$V$4,0))*(1+INDEX('R&amp;B Inputs'!$I$66:$V$66,MATCH($B198,'R&amp;B Inputs'!$I$4:$V$4,0)))^(BB$7-Year1))</f>
        <v>0.61899999999999999</v>
      </c>
      <c r="BC198" s="508">
        <f>IF(BC$8=0,0,INDEX('R&amp;B Inputs'!$I$86:$V$86,MATCH($B198,'R&amp;B Inputs'!$I$4:$V$4,0))*(1+INDEX('R&amp;B Inputs'!$I$66:$V$66,MATCH($B198,'R&amp;B Inputs'!$I$4:$V$4,0)))^(BC$7-Year1))</f>
        <v>0.61899999999999999</v>
      </c>
      <c r="BD198" s="508">
        <f>IF(BD$8=0,0,INDEX('R&amp;B Inputs'!$I$86:$V$86,MATCH($B198,'R&amp;B Inputs'!$I$4:$V$4,0))*(1+INDEX('R&amp;B Inputs'!$I$66:$V$66,MATCH($B198,'R&amp;B Inputs'!$I$4:$V$4,0)))^(BD$7-Year1))</f>
        <v>0.61899999999999999</v>
      </c>
      <c r="BE198" s="508">
        <f>IF(BE$8=0,0,INDEX('R&amp;B Inputs'!$I$86:$V$86,MATCH($B198,'R&amp;B Inputs'!$I$4:$V$4,0))*(1+INDEX('R&amp;B Inputs'!$I$66:$V$66,MATCH($B198,'R&amp;B Inputs'!$I$4:$V$4,0)))^(BE$7-Year1))</f>
        <v>0.61899999999999999</v>
      </c>
      <c r="BF198" s="508">
        <f>IF(BF$8=0,0,INDEX('R&amp;B Inputs'!$I$86:$V$86,MATCH($B198,'R&amp;B Inputs'!$I$4:$V$4,0))*(1+INDEX('R&amp;B Inputs'!$I$66:$V$66,MATCH($B198,'R&amp;B Inputs'!$I$4:$V$4,0)))^(BF$7-Year1))</f>
        <v>0.61899999999999999</v>
      </c>
      <c r="BG198" s="508">
        <f>IF(BG$8=0,0,INDEX('R&amp;B Inputs'!$I$86:$V$86,MATCH($B198,'R&amp;B Inputs'!$I$4:$V$4,0))*(1+INDEX('R&amp;B Inputs'!$I$66:$V$66,MATCH($B198,'R&amp;B Inputs'!$I$4:$V$4,0)))^(BG$7-Year1))</f>
        <v>0.61899999999999999</v>
      </c>
      <c r="BH198" s="508">
        <f>IF(BH$8=0,0,INDEX('R&amp;B Inputs'!$I$86:$V$86,MATCH($B198,'R&amp;B Inputs'!$I$4:$V$4,0))*(1+INDEX('R&amp;B Inputs'!$I$66:$V$66,MATCH($B198,'R&amp;B Inputs'!$I$4:$V$4,0)))^(BH$7-Year1))</f>
        <v>0.61899999999999999</v>
      </c>
      <c r="BI198" s="508">
        <f>IF(BI$8=0,0,INDEX('R&amp;B Inputs'!$I$86:$V$86,MATCH($B198,'R&amp;B Inputs'!$I$4:$V$4,0))*(1+INDEX('R&amp;B Inputs'!$I$66:$V$66,MATCH($B198,'R&amp;B Inputs'!$I$4:$V$4,0)))^(BI$7-Year1))</f>
        <v>0.61899999999999999</v>
      </c>
      <c r="BJ198" s="508">
        <f>IF(BJ$8=0,0,INDEX('R&amp;B Inputs'!$I$86:$V$86,MATCH($B198,'R&amp;B Inputs'!$I$4:$V$4,0))*(1+INDEX('R&amp;B Inputs'!$I$66:$V$66,MATCH($B198,'R&amp;B Inputs'!$I$4:$V$4,0)))^(BJ$7-Year1))</f>
        <v>0.61899999999999999</v>
      </c>
      <c r="BK198" s="508">
        <f>IF(BK$8=0,0,INDEX('R&amp;B Inputs'!$I$86:$V$86,MATCH($B198,'R&amp;B Inputs'!$I$4:$V$4,0))*(1+INDEX('R&amp;B Inputs'!$I$66:$V$66,MATCH($B198,'R&amp;B Inputs'!$I$4:$V$4,0)))^(BK$7-Year1))</f>
        <v>0.61899999999999999</v>
      </c>
      <c r="BL198" s="508">
        <f>IF(BL$8=0,0,INDEX('R&amp;B Inputs'!$I$86:$V$86,MATCH($B198,'R&amp;B Inputs'!$I$4:$V$4,0))*(1+INDEX('R&amp;B Inputs'!$I$66:$V$66,MATCH($B198,'R&amp;B Inputs'!$I$4:$V$4,0)))^(BL$7-Year1))</f>
        <v>0.61899999999999999</v>
      </c>
      <c r="BM198" s="508">
        <f>IF(BM$8=0,0,INDEX('R&amp;B Inputs'!$I$86:$V$86,MATCH($B198,'R&amp;B Inputs'!$I$4:$V$4,0))*(1+INDEX('R&amp;B Inputs'!$I$66:$V$66,MATCH($B198,'R&amp;B Inputs'!$I$4:$V$4,0)))^(BM$7-Year1))</f>
        <v>0.61899999999999999</v>
      </c>
      <c r="BN198" s="508"/>
      <c r="BO198" s="508"/>
      <c r="BP198" s="508">
        <f>IF($C$4=Year1,-PMT(Lookups!$E$17,25,NPV(Lookups!$E$17,AM198:BK198),0,1),IF($C$4=Year2,-PMT(Lookups!$F$17,25,NPV(Lookups!$F$17,AN198:BL198),0,1),IF($C$4=Year3,-PMT(Lookups!$G$17,25,NPV(Lookups!$G$17,AO198:BM198),0,1),-PMT(Lookups!$G$17,27,NPV(Lookups!$G$17,AM198:BM198),0,1))))</f>
        <v>0.61036697336561752</v>
      </c>
      <c r="BS198" s="76" t="str">
        <f t="shared" si="201"/>
        <v>Cost of Gas charge from the R&amp;B Inputs tab, escalated annually by the growth rate included on the R&amp;B Inputs tab.</v>
      </c>
      <c r="BT198" s="51" t="s">
        <v>17</v>
      </c>
    </row>
    <row r="199" spans="1:72" x14ac:dyDescent="0.25">
      <c r="B199" s="243" t="str">
        <f>B200</f>
        <v>Small C&amp;I</v>
      </c>
      <c r="C199" s="243" t="str">
        <f>C200</f>
        <v>Rates</v>
      </c>
      <c r="D199" s="244" t="str">
        <f>D200</f>
        <v>Rates before DSM (No EE Scenario)</v>
      </c>
      <c r="E199" s="86" t="s">
        <v>75</v>
      </c>
      <c r="F199" s="84" t="s">
        <v>182</v>
      </c>
      <c r="G199" s="506">
        <f>IF(G$8=0,0,INDEX('R&amp;B Inputs'!$H$73:$U$73,MATCH($B198,'R&amp;B Inputs'!$H$4:$U$4,0))*(1+INDEX('R&amp;B Inputs'!$H$46:$U$46,MATCH($B198,'R&amp;B Inputs'!$H$4:$U$4,0)))^(G$7-Year1))</f>
        <v>0</v>
      </c>
      <c r="H199" s="506">
        <f>IF(H$8=0,0,INDEX('R&amp;B Inputs'!$H$73:$U$73,MATCH($B198,'R&amp;B Inputs'!$H$4:$U$4,0))*(1+INDEX('R&amp;B Inputs'!$H$46:$U$46,MATCH($B198,'R&amp;B Inputs'!$H$4:$U$4,0)))^(H$7-Year1))</f>
        <v>0.28453457229491286</v>
      </c>
      <c r="I199" s="506">
        <f>IF(I$8=0,0,INDEX('R&amp;B Inputs'!$H$73:$U$73,MATCH($B198,'R&amp;B Inputs'!$H$4:$U$4,0))*(1+INDEX('R&amp;B Inputs'!$H$46:$U$46,MATCH($B198,'R&amp;B Inputs'!$H$4:$U$4,0)))^(I$7-Year1))</f>
        <v>0.28453457229491286</v>
      </c>
      <c r="J199" s="506">
        <f>IF(J$8=0,0,INDEX('R&amp;B Inputs'!$H$73:$U$73,MATCH($B198,'R&amp;B Inputs'!$H$4:$U$4,0))*(1+INDEX('R&amp;B Inputs'!$H$46:$U$46,MATCH($B198,'R&amp;B Inputs'!$H$4:$U$4,0)))^(J$7-Year1))</f>
        <v>0.28453457229491286</v>
      </c>
      <c r="K199" s="506">
        <f>IF(K$8=0,0,INDEX('R&amp;B Inputs'!$H$73:$U$73,MATCH($B198,'R&amp;B Inputs'!$H$4:$U$4,0))*(1+INDEX('R&amp;B Inputs'!$H$46:$U$46,MATCH($B198,'R&amp;B Inputs'!$H$4:$U$4,0)))^(K$7-Year1))</f>
        <v>0.28453457229491286</v>
      </c>
      <c r="L199" s="506">
        <f>IF(L$8=0,0,INDEX('R&amp;B Inputs'!$H$73:$U$73,MATCH($B198,'R&amp;B Inputs'!$H$4:$U$4,0))*(1+INDEX('R&amp;B Inputs'!$H$46:$U$46,MATCH($B198,'R&amp;B Inputs'!$H$4:$U$4,0)))^(L$7-Year1))</f>
        <v>0.28453457229491286</v>
      </c>
      <c r="M199" s="506">
        <f>IF(M$8=0,0,INDEX('R&amp;B Inputs'!$H$73:$U$73,MATCH($B198,'R&amp;B Inputs'!$H$4:$U$4,0))*(1+INDEX('R&amp;B Inputs'!$H$46:$U$46,MATCH($B198,'R&amp;B Inputs'!$H$4:$U$4,0)))^(M$7-Year1))</f>
        <v>0.28453457229491286</v>
      </c>
      <c r="N199" s="506">
        <f>IF(N$8=0,0,INDEX('R&amp;B Inputs'!$H$73:$U$73,MATCH($B198,'R&amp;B Inputs'!$H$4:$U$4,0))*(1+INDEX('R&amp;B Inputs'!$H$46:$U$46,MATCH($B198,'R&amp;B Inputs'!$H$4:$U$4,0)))^(N$7-Year1))</f>
        <v>0.28453457229491286</v>
      </c>
      <c r="O199" s="506">
        <f>IF(O$8=0,0,INDEX('R&amp;B Inputs'!$H$73:$U$73,MATCH($B198,'R&amp;B Inputs'!$H$4:$U$4,0))*(1+INDEX('R&amp;B Inputs'!$H$46:$U$46,MATCH($B198,'R&amp;B Inputs'!$H$4:$U$4,0)))^(O$7-Year1))</f>
        <v>0.28453457229491286</v>
      </c>
      <c r="P199" s="506">
        <f>IF(P$8=0,0,INDEX('R&amp;B Inputs'!$H$73:$U$73,MATCH($B198,'R&amp;B Inputs'!$H$4:$U$4,0))*(1+INDEX('R&amp;B Inputs'!$H$46:$U$46,MATCH($B198,'R&amp;B Inputs'!$H$4:$U$4,0)))^(P$7-Year1))</f>
        <v>0.28453457229491286</v>
      </c>
      <c r="Q199" s="506">
        <f>IF(Q$8=0,0,INDEX('R&amp;B Inputs'!$H$73:$U$73,MATCH($B198,'R&amp;B Inputs'!$H$4:$U$4,0))*(1+INDEX('R&amp;B Inputs'!$H$46:$U$46,MATCH($B198,'R&amp;B Inputs'!$H$4:$U$4,0)))^(Q$7-Year1))</f>
        <v>0.28453457229491286</v>
      </c>
      <c r="R199" s="506">
        <f>IF(R$8=0,0,INDEX('R&amp;B Inputs'!$H$73:$U$73,MATCH($B198,'R&amp;B Inputs'!$H$4:$U$4,0))*(1+INDEX('R&amp;B Inputs'!$H$46:$U$46,MATCH($B198,'R&amp;B Inputs'!$H$4:$U$4,0)))^(R$7-Year1))</f>
        <v>0.28453457229491286</v>
      </c>
      <c r="S199" s="506">
        <f>IF(S$8=0,0,INDEX('R&amp;B Inputs'!$H$73:$U$73,MATCH($B198,'R&amp;B Inputs'!$H$4:$U$4,0))*(1+INDEX('R&amp;B Inputs'!$H$46:$U$46,MATCH($B198,'R&amp;B Inputs'!$H$4:$U$4,0)))^(S$7-Year1))</f>
        <v>0.28453457229491286</v>
      </c>
      <c r="T199" s="506">
        <f>IF(T$8=0,0,INDEX('R&amp;B Inputs'!$H$73:$U$73,MATCH($B198,'R&amp;B Inputs'!$H$4:$U$4,0))*(1+INDEX('R&amp;B Inputs'!$H$46:$U$46,MATCH($B198,'R&amp;B Inputs'!$H$4:$U$4,0)))^(T$7-Year1))</f>
        <v>0.28453457229491286</v>
      </c>
      <c r="U199" s="506">
        <f>IF(U$8=0,0,INDEX('R&amp;B Inputs'!$H$73:$U$73,MATCH($B198,'R&amp;B Inputs'!$H$4:$U$4,0))*(1+INDEX('R&amp;B Inputs'!$H$46:$U$46,MATCH($B198,'R&amp;B Inputs'!$H$4:$U$4,0)))^(U$7-Year1))</f>
        <v>0.28453457229491286</v>
      </c>
      <c r="V199" s="506">
        <f>IF(V$8=0,0,INDEX('R&amp;B Inputs'!$H$73:$U$73,MATCH($B198,'R&amp;B Inputs'!$H$4:$U$4,0))*(1+INDEX('R&amp;B Inputs'!$H$46:$U$46,MATCH($B198,'R&amp;B Inputs'!$H$4:$U$4,0)))^(V$7-Year1))</f>
        <v>0.28453457229491286</v>
      </c>
      <c r="W199" s="506">
        <f>IF(W$8=0,0,INDEX('R&amp;B Inputs'!$H$73:$U$73,MATCH($B198,'R&amp;B Inputs'!$H$4:$U$4,0))*(1+INDEX('R&amp;B Inputs'!$H$46:$U$46,MATCH($B198,'R&amp;B Inputs'!$H$4:$U$4,0)))^(W$7-Year1))</f>
        <v>0.28453457229491286</v>
      </c>
      <c r="X199" s="506">
        <f>IF(X$8=0,0,INDEX('R&amp;B Inputs'!$H$73:$U$73,MATCH($B198,'R&amp;B Inputs'!$H$4:$U$4,0))*(1+INDEX('R&amp;B Inputs'!$H$46:$U$46,MATCH($B198,'R&amp;B Inputs'!$H$4:$U$4,0)))^(X$7-Year1))</f>
        <v>0.28453457229491286</v>
      </c>
      <c r="Y199" s="506">
        <f>IF(Y$8=0,0,INDEX('R&amp;B Inputs'!$H$73:$U$73,MATCH($B198,'R&amp;B Inputs'!$H$4:$U$4,0))*(1+INDEX('R&amp;B Inputs'!$H$46:$U$46,MATCH($B198,'R&amp;B Inputs'!$H$4:$U$4,0)))^(Y$7-Year1))</f>
        <v>0.28453457229491286</v>
      </c>
      <c r="Z199" s="506">
        <f>IF(Z$8=0,0,INDEX('R&amp;B Inputs'!$H$73:$U$73,MATCH($B198,'R&amp;B Inputs'!$H$4:$U$4,0))*(1+INDEX('R&amp;B Inputs'!$H$46:$U$46,MATCH($B198,'R&amp;B Inputs'!$H$4:$U$4,0)))^(Z$7-Year1))</f>
        <v>0.28453457229491286</v>
      </c>
      <c r="AA199" s="506">
        <f>IF(AA$8=0,0,INDEX('R&amp;B Inputs'!$H$73:$U$73,MATCH($B198,'R&amp;B Inputs'!$H$4:$U$4,0))*(1+INDEX('R&amp;B Inputs'!$H$46:$U$46,MATCH($B198,'R&amp;B Inputs'!$H$4:$U$4,0)))^(AA$7-Year1))</f>
        <v>0.28453457229491286</v>
      </c>
      <c r="AB199" s="506">
        <f>IF(AB$8=0,0,INDEX('R&amp;B Inputs'!$H$73:$U$73,MATCH($B198,'R&amp;B Inputs'!$H$4:$U$4,0))*(1+INDEX('R&amp;B Inputs'!$H$46:$U$46,MATCH($B198,'R&amp;B Inputs'!$H$4:$U$4,0)))^(AB$7-Year1))</f>
        <v>0.28453457229491286</v>
      </c>
      <c r="AC199" s="506">
        <f>IF(AC$8=0,0,INDEX('R&amp;B Inputs'!$H$73:$U$73,MATCH($B198,'R&amp;B Inputs'!$H$4:$U$4,0))*(1+INDEX('R&amp;B Inputs'!$H$46:$U$46,MATCH($B198,'R&amp;B Inputs'!$H$4:$U$4,0)))^(AC$7-Year1))</f>
        <v>0.28453457229491286</v>
      </c>
      <c r="AD199" s="506">
        <f>IF(AD$8=0,0,INDEX('R&amp;B Inputs'!$H$73:$U$73,MATCH($B198,'R&amp;B Inputs'!$H$4:$U$4,0))*(1+INDEX('R&amp;B Inputs'!$H$46:$U$46,MATCH($B198,'R&amp;B Inputs'!$H$4:$U$4,0)))^(AD$7-Year1))</f>
        <v>0.28453457229491286</v>
      </c>
      <c r="AE199" s="506">
        <f>IF(AE$8=0,0,INDEX('R&amp;B Inputs'!$H$73:$U$73,MATCH($B198,'R&amp;B Inputs'!$H$4:$U$4,0))*(1+INDEX('R&amp;B Inputs'!$H$46:$U$46,MATCH($B198,'R&amp;B Inputs'!$H$4:$U$4,0)))^(AE$7-Year1))</f>
        <v>0.28453457229491286</v>
      </c>
      <c r="AF199" s="506">
        <f>IF(AF$8=0,0,INDEX('R&amp;B Inputs'!$H$73:$U$73,MATCH($B198,'R&amp;B Inputs'!$H$4:$U$4,0))*(1+INDEX('R&amp;B Inputs'!$H$46:$U$46,MATCH($B198,'R&amp;B Inputs'!$H$4:$U$4,0)))^(AF$7-Year1))</f>
        <v>0.28453457229491286</v>
      </c>
      <c r="AG199" s="506">
        <f>IF(AG$8=0,0,INDEX('R&amp;B Inputs'!$H$73:$U$73,MATCH($B198,'R&amp;B Inputs'!$H$4:$U$4,0))*(1+INDEX('R&amp;B Inputs'!$H$46:$U$46,MATCH($B198,'R&amp;B Inputs'!$H$4:$U$4,0)))^(AG$7-Year1))</f>
        <v>0.28453457229491286</v>
      </c>
      <c r="AH199" s="506"/>
      <c r="AI199" s="506"/>
      <c r="AJ199" s="506">
        <f>IF($C$4=Year1,-PMT(Lookups!$E$17,25,NPV(Lookups!$E$17,G199:AE199),0,1),IF($C$4=Year2,-PMT(Lookups!$F$17,25,NPV(Lookups!$F$17,H199:AF199),0,1),IF($C$4=Year3,-PMT(Lookups!$G$17,25,NPV(Lookups!$G$17,I199:AG199),0,1),-PMT(Lookups!$G$17,27,NPV(Lookups!$G$17,G199:AG199),0,1))))</f>
        <v>0.28056624508808786</v>
      </c>
      <c r="AK199" s="507"/>
      <c r="AL199" s="507"/>
      <c r="AM199" s="508">
        <f>IF(AM$8=0,0,INDEX('R&amp;B Inputs'!$H$73:$U$73,MATCH($B198,'R&amp;B Inputs'!$H$4:$U$4,0))*(1+INDEX('R&amp;B Inputs'!$H$46:$U$46,MATCH($B198,'R&amp;B Inputs'!$H$4:$U$4,0)))^(AM$7-Year1))</f>
        <v>0</v>
      </c>
      <c r="AN199" s="508">
        <f>IF(AN$8=0,0,INDEX('R&amp;B Inputs'!$H$73:$U$73,MATCH($B198,'R&amp;B Inputs'!$H$4:$U$4,0))*(1+INDEX('R&amp;B Inputs'!$H$46:$U$46,MATCH($B198,'R&amp;B Inputs'!$H$4:$U$4,0)))^(AN$7-Year1))</f>
        <v>0.28453457229491286</v>
      </c>
      <c r="AO199" s="508">
        <f>IF(AO$8=0,0,INDEX('R&amp;B Inputs'!$H$73:$U$73,MATCH($B198,'R&amp;B Inputs'!$H$4:$U$4,0))*(1+INDEX('R&amp;B Inputs'!$H$46:$U$46,MATCH($B198,'R&amp;B Inputs'!$H$4:$U$4,0)))^(AO$7-Year1))</f>
        <v>0.28453457229491286</v>
      </c>
      <c r="AP199" s="508">
        <f>IF(AP$8=0,0,INDEX('R&amp;B Inputs'!$H$73:$U$73,MATCH($B198,'R&amp;B Inputs'!$H$4:$U$4,0))*(1+INDEX('R&amp;B Inputs'!$H$46:$U$46,MATCH($B198,'R&amp;B Inputs'!$H$4:$U$4,0)))^(AP$7-Year1))</f>
        <v>0.28453457229491286</v>
      </c>
      <c r="AQ199" s="508">
        <f>IF(AQ$8=0,0,INDEX('R&amp;B Inputs'!$H$73:$U$73,MATCH($B198,'R&amp;B Inputs'!$H$4:$U$4,0))*(1+INDEX('R&amp;B Inputs'!$H$46:$U$46,MATCH($B198,'R&amp;B Inputs'!$H$4:$U$4,0)))^(AQ$7-Year1))</f>
        <v>0.28453457229491286</v>
      </c>
      <c r="AR199" s="508">
        <f>IF(AR$8=0,0,INDEX('R&amp;B Inputs'!$H$73:$U$73,MATCH($B198,'R&amp;B Inputs'!$H$4:$U$4,0))*(1+INDEX('R&amp;B Inputs'!$H$46:$U$46,MATCH($B198,'R&amp;B Inputs'!$H$4:$U$4,0)))^(AR$7-Year1))</f>
        <v>0.28453457229491286</v>
      </c>
      <c r="AS199" s="508">
        <f>IF(AS$8=0,0,INDEX('R&amp;B Inputs'!$H$73:$U$73,MATCH($B198,'R&amp;B Inputs'!$H$4:$U$4,0))*(1+INDEX('R&amp;B Inputs'!$H$46:$U$46,MATCH($B198,'R&amp;B Inputs'!$H$4:$U$4,0)))^(AS$7-Year1))</f>
        <v>0.28453457229491286</v>
      </c>
      <c r="AT199" s="508">
        <f>IF(AT$8=0,0,INDEX('R&amp;B Inputs'!$H$73:$U$73,MATCH($B198,'R&amp;B Inputs'!$H$4:$U$4,0))*(1+INDEX('R&amp;B Inputs'!$H$46:$U$46,MATCH($B198,'R&amp;B Inputs'!$H$4:$U$4,0)))^(AT$7-Year1))</f>
        <v>0.28453457229491286</v>
      </c>
      <c r="AU199" s="508">
        <f>IF(AU$8=0,0,INDEX('R&amp;B Inputs'!$H$73:$U$73,MATCH($B198,'R&amp;B Inputs'!$H$4:$U$4,0))*(1+INDEX('R&amp;B Inputs'!$H$46:$U$46,MATCH($B198,'R&amp;B Inputs'!$H$4:$U$4,0)))^(AU$7-Year1))</f>
        <v>0.28453457229491286</v>
      </c>
      <c r="AV199" s="508">
        <f>IF(AV$8=0,0,INDEX('R&amp;B Inputs'!$H$73:$U$73,MATCH($B198,'R&amp;B Inputs'!$H$4:$U$4,0))*(1+INDEX('R&amp;B Inputs'!$H$46:$U$46,MATCH($B198,'R&amp;B Inputs'!$H$4:$U$4,0)))^(AV$7-Year1))</f>
        <v>0.28453457229491286</v>
      </c>
      <c r="AW199" s="508">
        <f>IF(AW$8=0,0,INDEX('R&amp;B Inputs'!$H$73:$U$73,MATCH($B198,'R&amp;B Inputs'!$H$4:$U$4,0))*(1+INDEX('R&amp;B Inputs'!$H$46:$U$46,MATCH($B198,'R&amp;B Inputs'!$H$4:$U$4,0)))^(AW$7-Year1))</f>
        <v>0.28453457229491286</v>
      </c>
      <c r="AX199" s="508">
        <f>IF(AX$8=0,0,INDEX('R&amp;B Inputs'!$H$73:$U$73,MATCH($B198,'R&amp;B Inputs'!$H$4:$U$4,0))*(1+INDEX('R&amp;B Inputs'!$H$46:$U$46,MATCH($B198,'R&amp;B Inputs'!$H$4:$U$4,0)))^(AX$7-Year1))</f>
        <v>0.28453457229491286</v>
      </c>
      <c r="AY199" s="508">
        <f>IF(AY$8=0,0,INDEX('R&amp;B Inputs'!$H$73:$U$73,MATCH($B198,'R&amp;B Inputs'!$H$4:$U$4,0))*(1+INDEX('R&amp;B Inputs'!$H$46:$U$46,MATCH($B198,'R&amp;B Inputs'!$H$4:$U$4,0)))^(AY$7-Year1))</f>
        <v>0.28453457229491286</v>
      </c>
      <c r="AZ199" s="508">
        <f>IF(AZ$8=0,0,INDEX('R&amp;B Inputs'!$H$73:$U$73,MATCH($B198,'R&amp;B Inputs'!$H$4:$U$4,0))*(1+INDEX('R&amp;B Inputs'!$H$46:$U$46,MATCH($B198,'R&amp;B Inputs'!$H$4:$U$4,0)))^(AZ$7-Year1))</f>
        <v>0.28453457229491286</v>
      </c>
      <c r="BA199" s="508">
        <f>IF(BA$8=0,0,INDEX('R&amp;B Inputs'!$H$73:$U$73,MATCH($B198,'R&amp;B Inputs'!$H$4:$U$4,0))*(1+INDEX('R&amp;B Inputs'!$H$46:$U$46,MATCH($B198,'R&amp;B Inputs'!$H$4:$U$4,0)))^(BA$7-Year1))</f>
        <v>0.28453457229491286</v>
      </c>
      <c r="BB199" s="508">
        <f>IF(BB$8=0,0,INDEX('R&amp;B Inputs'!$H$73:$U$73,MATCH($B198,'R&amp;B Inputs'!$H$4:$U$4,0))*(1+INDEX('R&amp;B Inputs'!$H$46:$U$46,MATCH($B198,'R&amp;B Inputs'!$H$4:$U$4,0)))^(BB$7-Year1))</f>
        <v>0.28453457229491286</v>
      </c>
      <c r="BC199" s="508">
        <f>IF(BC$8=0,0,INDEX('R&amp;B Inputs'!$H$73:$U$73,MATCH($B198,'R&amp;B Inputs'!$H$4:$U$4,0))*(1+INDEX('R&amp;B Inputs'!$H$46:$U$46,MATCH($B198,'R&amp;B Inputs'!$H$4:$U$4,0)))^(BC$7-Year1))</f>
        <v>0.28453457229491286</v>
      </c>
      <c r="BD199" s="508">
        <f>IF(BD$8=0,0,INDEX('R&amp;B Inputs'!$H$73:$U$73,MATCH($B198,'R&amp;B Inputs'!$H$4:$U$4,0))*(1+INDEX('R&amp;B Inputs'!$H$46:$U$46,MATCH($B198,'R&amp;B Inputs'!$H$4:$U$4,0)))^(BD$7-Year1))</f>
        <v>0.28453457229491286</v>
      </c>
      <c r="BE199" s="508">
        <f>IF(BE$8=0,0,INDEX('R&amp;B Inputs'!$H$73:$U$73,MATCH($B198,'R&amp;B Inputs'!$H$4:$U$4,0))*(1+INDEX('R&amp;B Inputs'!$H$46:$U$46,MATCH($B198,'R&amp;B Inputs'!$H$4:$U$4,0)))^(BE$7-Year1))</f>
        <v>0.28453457229491286</v>
      </c>
      <c r="BF199" s="508">
        <f>IF(BF$8=0,0,INDEX('R&amp;B Inputs'!$H$73:$U$73,MATCH($B198,'R&amp;B Inputs'!$H$4:$U$4,0))*(1+INDEX('R&amp;B Inputs'!$H$46:$U$46,MATCH($B198,'R&amp;B Inputs'!$H$4:$U$4,0)))^(BF$7-Year1))</f>
        <v>0.28453457229491286</v>
      </c>
      <c r="BG199" s="508">
        <f>IF(BG$8=0,0,INDEX('R&amp;B Inputs'!$H$73:$U$73,MATCH($B198,'R&amp;B Inputs'!$H$4:$U$4,0))*(1+INDEX('R&amp;B Inputs'!$H$46:$U$46,MATCH($B198,'R&amp;B Inputs'!$H$4:$U$4,0)))^(BG$7-Year1))</f>
        <v>0.28453457229491286</v>
      </c>
      <c r="BH199" s="508">
        <f>IF(BH$8=0,0,INDEX('R&amp;B Inputs'!$H$73:$U$73,MATCH($B198,'R&amp;B Inputs'!$H$4:$U$4,0))*(1+INDEX('R&amp;B Inputs'!$H$46:$U$46,MATCH($B198,'R&amp;B Inputs'!$H$4:$U$4,0)))^(BH$7-Year1))</f>
        <v>0.28453457229491286</v>
      </c>
      <c r="BI199" s="508">
        <f>IF(BI$8=0,0,INDEX('R&amp;B Inputs'!$H$73:$U$73,MATCH($B198,'R&amp;B Inputs'!$H$4:$U$4,0))*(1+INDEX('R&amp;B Inputs'!$H$46:$U$46,MATCH($B198,'R&amp;B Inputs'!$H$4:$U$4,0)))^(BI$7-Year1))</f>
        <v>0.28453457229491286</v>
      </c>
      <c r="BJ199" s="508">
        <f>IF(BJ$8=0,0,INDEX('R&amp;B Inputs'!$H$73:$U$73,MATCH($B198,'R&amp;B Inputs'!$H$4:$U$4,0))*(1+INDEX('R&amp;B Inputs'!$H$46:$U$46,MATCH($B198,'R&amp;B Inputs'!$H$4:$U$4,0)))^(BJ$7-Year1))</f>
        <v>0.28453457229491286</v>
      </c>
      <c r="BK199" s="508">
        <f>IF(BK$8=0,0,INDEX('R&amp;B Inputs'!$H$73:$U$73,MATCH($B198,'R&amp;B Inputs'!$H$4:$U$4,0))*(1+INDEX('R&amp;B Inputs'!$H$46:$U$46,MATCH($B198,'R&amp;B Inputs'!$H$4:$U$4,0)))^(BK$7-Year1))</f>
        <v>0.28453457229491286</v>
      </c>
      <c r="BL199" s="508">
        <f>IF(BL$8=0,0,INDEX('R&amp;B Inputs'!$H$73:$U$73,MATCH($B198,'R&amp;B Inputs'!$H$4:$U$4,0))*(1+INDEX('R&amp;B Inputs'!$H$46:$U$46,MATCH($B198,'R&amp;B Inputs'!$H$4:$U$4,0)))^(BL$7-Year1))</f>
        <v>0.28453457229491286</v>
      </c>
      <c r="BM199" s="508">
        <f>IF(BM$8=0,0,INDEX('R&amp;B Inputs'!$H$73:$U$73,MATCH($B198,'R&amp;B Inputs'!$H$4:$U$4,0))*(1+INDEX('R&amp;B Inputs'!$H$46:$U$46,MATCH($B198,'R&amp;B Inputs'!$H$4:$U$4,0)))^(BM$7-Year1))</f>
        <v>0.28453457229491286</v>
      </c>
      <c r="BN199" s="508"/>
      <c r="BO199" s="508"/>
      <c r="BP199" s="508">
        <f>IF($C$4=Year1,-PMT(Lookups!$E$17,25,NPV(Lookups!$E$17,AM199:BK199),0,1),IF($C$4=Year2,-PMT(Lookups!$F$17,25,NPV(Lookups!$F$17,AN199:BL199),0,1),IF($C$4=Year3,-PMT(Lookups!$G$17,25,NPV(Lookups!$G$17,AO199:BM199),0,1),-PMT(Lookups!$G$17,27,NPV(Lookups!$G$17,AM199:BM199),0,1))))</f>
        <v>0.28056624508808786</v>
      </c>
      <c r="BS199" s="84" t="str">
        <f>E199&amp;" charge from the R&amp;B Inputs tab, escalated annually by the growth rate included on the R&amp;B Inputs tab."</f>
        <v>Customer Charge charge from the R&amp;B Inputs tab, escalated annually by the growth rate included on the R&amp;B Inputs tab.</v>
      </c>
      <c r="BT199" s="51" t="s">
        <v>17</v>
      </c>
    </row>
    <row r="200" spans="1:72" x14ac:dyDescent="0.25">
      <c r="B200" s="243" t="str">
        <f>B198</f>
        <v>Small C&amp;I</v>
      </c>
      <c r="C200" s="243" t="str">
        <f>C198</f>
        <v>Rates</v>
      </c>
      <c r="D200" s="244" t="str">
        <f>D198</f>
        <v>Rates before DSM (No EE Scenario)</v>
      </c>
      <c r="E200" s="84" t="s">
        <v>76</v>
      </c>
      <c r="F200" s="84" t="s">
        <v>182</v>
      </c>
      <c r="G200" s="506">
        <f>SUM(G196:G199)</f>
        <v>0</v>
      </c>
      <c r="H200" s="506">
        <f t="shared" ref="H200:AG200" si="202">SUM(H196:H199)</f>
        <v>1.3008471347317248</v>
      </c>
      <c r="I200" s="506">
        <f t="shared" si="202"/>
        <v>1.3008471347317248</v>
      </c>
      <c r="J200" s="506">
        <f t="shared" si="202"/>
        <v>1.3008471347317248</v>
      </c>
      <c r="K200" s="506">
        <f t="shared" si="202"/>
        <v>1.3008471347317248</v>
      </c>
      <c r="L200" s="506">
        <f t="shared" si="202"/>
        <v>1.3008471347317248</v>
      </c>
      <c r="M200" s="506">
        <f t="shared" si="202"/>
        <v>1.3008471347317248</v>
      </c>
      <c r="N200" s="506">
        <f t="shared" si="202"/>
        <v>1.3008471347317248</v>
      </c>
      <c r="O200" s="506">
        <f t="shared" si="202"/>
        <v>1.3008471347317248</v>
      </c>
      <c r="P200" s="506">
        <f t="shared" si="202"/>
        <v>1.3008471347317248</v>
      </c>
      <c r="Q200" s="506">
        <f t="shared" si="202"/>
        <v>1.3008471347317248</v>
      </c>
      <c r="R200" s="506">
        <f t="shared" si="202"/>
        <v>1.3008471347317248</v>
      </c>
      <c r="S200" s="506">
        <f t="shared" si="202"/>
        <v>1.3008471347317248</v>
      </c>
      <c r="T200" s="506">
        <f t="shared" si="202"/>
        <v>1.3008471347317248</v>
      </c>
      <c r="U200" s="506">
        <f t="shared" si="202"/>
        <v>1.3008471347317248</v>
      </c>
      <c r="V200" s="506">
        <f t="shared" si="202"/>
        <v>1.3008471347317248</v>
      </c>
      <c r="W200" s="506">
        <f t="shared" si="202"/>
        <v>1.3008471347317248</v>
      </c>
      <c r="X200" s="506">
        <f t="shared" si="202"/>
        <v>1.3008471347317248</v>
      </c>
      <c r="Y200" s="506">
        <f t="shared" si="202"/>
        <v>1.3008471347317248</v>
      </c>
      <c r="Z200" s="506">
        <f t="shared" si="202"/>
        <v>1.3008471347317248</v>
      </c>
      <c r="AA200" s="506">
        <f t="shared" si="202"/>
        <v>1.3008471347317248</v>
      </c>
      <c r="AB200" s="506">
        <f t="shared" si="202"/>
        <v>1.3008471347317248</v>
      </c>
      <c r="AC200" s="506">
        <f t="shared" si="202"/>
        <v>1.3008471347317248</v>
      </c>
      <c r="AD200" s="506">
        <f t="shared" si="202"/>
        <v>1.3008471347317248</v>
      </c>
      <c r="AE200" s="506">
        <f t="shared" si="202"/>
        <v>1.3008471347317248</v>
      </c>
      <c r="AF200" s="506">
        <f t="shared" si="202"/>
        <v>1.3008471347317248</v>
      </c>
      <c r="AG200" s="506">
        <f t="shared" si="202"/>
        <v>1.3008471347317248</v>
      </c>
      <c r="AH200" s="506"/>
      <c r="AI200" s="506"/>
      <c r="AJ200" s="506">
        <f>IF($C$4=Year1,-PMT(Lookups!$E$17,25,NPV(Lookups!$E$17,G200:AE200),0,1),IF($C$4=Year2,-PMT(Lookups!$F$17,25,NPV(Lookups!$F$17,H200:AF200),0,1),IF($C$4=Year3,-PMT(Lookups!$G$17,25,NPV(Lookups!$G$17,I200:AG200),0,1),-PMT(Lookups!$G$17,27,NPV(Lookups!$G$17,G200:AG200),0,1))))</f>
        <v>1.2827045693659744</v>
      </c>
      <c r="AK200" s="507"/>
      <c r="AL200" s="507"/>
      <c r="AM200" s="508">
        <f>SUM(AM196:AM199)</f>
        <v>0</v>
      </c>
      <c r="AN200" s="508">
        <f t="shared" ref="AN200:BM200" si="203">SUM(AN196:AN199)</f>
        <v>1.3008471347317248</v>
      </c>
      <c r="AO200" s="508">
        <f t="shared" si="203"/>
        <v>1.3008471347317248</v>
      </c>
      <c r="AP200" s="508">
        <f t="shared" si="203"/>
        <v>1.3008471347317248</v>
      </c>
      <c r="AQ200" s="508">
        <f t="shared" si="203"/>
        <v>1.3008471347317248</v>
      </c>
      <c r="AR200" s="508">
        <f t="shared" si="203"/>
        <v>1.3008471347317248</v>
      </c>
      <c r="AS200" s="508">
        <f t="shared" si="203"/>
        <v>1.3008471347317248</v>
      </c>
      <c r="AT200" s="508">
        <f t="shared" si="203"/>
        <v>1.3008471347317248</v>
      </c>
      <c r="AU200" s="508">
        <f t="shared" si="203"/>
        <v>1.3008471347317248</v>
      </c>
      <c r="AV200" s="508">
        <f t="shared" si="203"/>
        <v>1.3008471347317248</v>
      </c>
      <c r="AW200" s="508">
        <f t="shared" si="203"/>
        <v>1.3008471347317248</v>
      </c>
      <c r="AX200" s="508">
        <f t="shared" si="203"/>
        <v>1.3008471347317248</v>
      </c>
      <c r="AY200" s="508">
        <f t="shared" si="203"/>
        <v>1.3008471347317248</v>
      </c>
      <c r="AZ200" s="508">
        <f t="shared" si="203"/>
        <v>1.3008471347317248</v>
      </c>
      <c r="BA200" s="508">
        <f t="shared" si="203"/>
        <v>1.3008471347317248</v>
      </c>
      <c r="BB200" s="508">
        <f t="shared" si="203"/>
        <v>1.3008471347317248</v>
      </c>
      <c r="BC200" s="508">
        <f t="shared" si="203"/>
        <v>1.3008471347317248</v>
      </c>
      <c r="BD200" s="508">
        <f t="shared" si="203"/>
        <v>1.3008471347317248</v>
      </c>
      <c r="BE200" s="508">
        <f t="shared" si="203"/>
        <v>1.3008471347317248</v>
      </c>
      <c r="BF200" s="508">
        <f t="shared" si="203"/>
        <v>1.3008471347317248</v>
      </c>
      <c r="BG200" s="508">
        <f t="shared" si="203"/>
        <v>1.3008471347317248</v>
      </c>
      <c r="BH200" s="508">
        <f t="shared" si="203"/>
        <v>1.3008471347317248</v>
      </c>
      <c r="BI200" s="508">
        <f t="shared" si="203"/>
        <v>1.3008471347317248</v>
      </c>
      <c r="BJ200" s="508">
        <f t="shared" si="203"/>
        <v>1.3008471347317248</v>
      </c>
      <c r="BK200" s="508">
        <f t="shared" si="203"/>
        <v>1.3008471347317248</v>
      </c>
      <c r="BL200" s="508">
        <f t="shared" si="203"/>
        <v>1.3008471347317248</v>
      </c>
      <c r="BM200" s="508">
        <f t="shared" si="203"/>
        <v>1.3008471347317248</v>
      </c>
      <c r="BN200" s="508"/>
      <c r="BO200" s="508"/>
      <c r="BP200" s="508">
        <f>IF($C$4=Year1,-PMT(Lookups!$E$17,25,NPV(Lookups!$E$17,AM200:BK200),0,1),IF($C$4=Year2,-PMT(Lookups!$F$17,25,NPV(Lookups!$F$17,AN200:BL200),0,1),IF($C$4=Year3,-PMT(Lookups!$G$17,25,NPV(Lookups!$G$17,AO200:BM200),0,1),-PMT(Lookups!$G$17,27,NPV(Lookups!$G$17,AM200:BM200),0,1))))</f>
        <v>1.2827045693659744</v>
      </c>
      <c r="BS200" s="84" t="s">
        <v>94</v>
      </c>
      <c r="BT200" s="51" t="s">
        <v>17</v>
      </c>
    </row>
    <row r="201" spans="1:72" x14ac:dyDescent="0.25">
      <c r="B201" s="243" t="str">
        <f>B199</f>
        <v>Small C&amp;I</v>
      </c>
      <c r="C201" s="243" t="str">
        <f>C199</f>
        <v>Rates</v>
      </c>
      <c r="D201" s="114" t="s">
        <v>24</v>
      </c>
      <c r="E201" s="86"/>
      <c r="F201" s="8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89"/>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S201" s="84"/>
      <c r="BT201" s="51" t="s">
        <v>17</v>
      </c>
    </row>
    <row r="202" spans="1:72" x14ac:dyDescent="0.25">
      <c r="B202" s="243" t="str">
        <f t="shared" ref="B202:D203" si="204">B201</f>
        <v>Small C&amp;I</v>
      </c>
      <c r="C202" s="243" t="str">
        <f t="shared" si="204"/>
        <v>Rates</v>
      </c>
      <c r="D202" s="244" t="str">
        <f t="shared" si="204"/>
        <v>Avoided Costs</v>
      </c>
      <c r="E202" s="84" t="s">
        <v>45</v>
      </c>
      <c r="F202" s="84" t="s">
        <v>182</v>
      </c>
      <c r="G202" s="506">
        <f ca="1">IFERROR(-G183/G175,0)</f>
        <v>0</v>
      </c>
      <c r="H202" s="506">
        <f t="shared" ref="H202:AG202" ca="1" si="205">IFERROR(-H183/H175,0)</f>
        <v>-1.0955056139282311E-2</v>
      </c>
      <c r="I202" s="506">
        <f t="shared" ca="1" si="205"/>
        <v>-1.0955056139282311E-2</v>
      </c>
      <c r="J202" s="506">
        <f t="shared" ca="1" si="205"/>
        <v>-1.0955056139282311E-2</v>
      </c>
      <c r="K202" s="506">
        <f t="shared" ca="1" si="205"/>
        <v>-1.0955056139282311E-2</v>
      </c>
      <c r="L202" s="506">
        <f t="shared" ca="1" si="205"/>
        <v>-1.0955056139282311E-2</v>
      </c>
      <c r="M202" s="506">
        <f t="shared" ca="1" si="205"/>
        <v>-1.0955056139282311E-2</v>
      </c>
      <c r="N202" s="506">
        <f t="shared" ca="1" si="205"/>
        <v>-1.0955056139282311E-2</v>
      </c>
      <c r="O202" s="506">
        <f t="shared" ca="1" si="205"/>
        <v>-1.0955056139282311E-2</v>
      </c>
      <c r="P202" s="506">
        <f t="shared" ca="1" si="205"/>
        <v>-1.0955056139282311E-2</v>
      </c>
      <c r="Q202" s="506">
        <f t="shared" ca="1" si="205"/>
        <v>-1.0955056139282311E-2</v>
      </c>
      <c r="R202" s="506">
        <f t="shared" ca="1" si="205"/>
        <v>-1.0955056139282311E-2</v>
      </c>
      <c r="S202" s="506">
        <f t="shared" ca="1" si="205"/>
        <v>-1.0955056139282311E-2</v>
      </c>
      <c r="T202" s="506">
        <f t="shared" ca="1" si="205"/>
        <v>-1.0955056139282311E-2</v>
      </c>
      <c r="U202" s="506">
        <f t="shared" ca="1" si="205"/>
        <v>-1.0955056139282311E-2</v>
      </c>
      <c r="V202" s="506">
        <f t="shared" ca="1" si="205"/>
        <v>-1.0955056139282311E-2</v>
      </c>
      <c r="W202" s="506">
        <f t="shared" ca="1" si="205"/>
        <v>-1.0955056139282311E-2</v>
      </c>
      <c r="X202" s="506">
        <f t="shared" ca="1" si="205"/>
        <v>0</v>
      </c>
      <c r="Y202" s="506">
        <f t="shared" ca="1" si="205"/>
        <v>0</v>
      </c>
      <c r="Z202" s="506">
        <f t="shared" ca="1" si="205"/>
        <v>0</v>
      </c>
      <c r="AA202" s="506">
        <f t="shared" ca="1" si="205"/>
        <v>0</v>
      </c>
      <c r="AB202" s="506">
        <f t="shared" ca="1" si="205"/>
        <v>0</v>
      </c>
      <c r="AC202" s="506">
        <f t="shared" ca="1" si="205"/>
        <v>0</v>
      </c>
      <c r="AD202" s="506">
        <f t="shared" ca="1" si="205"/>
        <v>0</v>
      </c>
      <c r="AE202" s="506">
        <f t="shared" ca="1" si="205"/>
        <v>0</v>
      </c>
      <c r="AF202" s="506">
        <f t="shared" ca="1" si="205"/>
        <v>0</v>
      </c>
      <c r="AG202" s="506">
        <f t="shared" ca="1" si="205"/>
        <v>0</v>
      </c>
      <c r="AH202" s="506"/>
      <c r="AI202" s="506"/>
      <c r="AJ202" s="506">
        <f ca="1">IF($C$4=Year1,-PMT(Lookups!$E$17,25,NPV(Lookups!$E$17,G202:AE202),0,1),IF($C$4=Year2,-PMT(Lookups!$F$17,25,NPV(Lookups!$F$17,H202:AF202),0,1),IF($C$4=Year3,-PMT(Lookups!$G$17,25,NPV(Lookups!$G$17,I202:AG202),0,1),-PMT(Lookups!$G$17,27,NPV(Lookups!$G$17,G202:AG202),0,1))))</f>
        <v>-7.3422304268846075E-3</v>
      </c>
      <c r="AK202" s="507"/>
      <c r="AL202" s="507"/>
      <c r="AM202" s="508">
        <f ca="1">IFERROR(-AM183/AM175,0)</f>
        <v>0</v>
      </c>
      <c r="AN202" s="508">
        <f t="shared" ref="AN202:BM202" ca="1" si="206">IFERROR(-AN183/AN175,0)</f>
        <v>-1.2550984488416848E-2</v>
      </c>
      <c r="AO202" s="508">
        <f t="shared" ca="1" si="206"/>
        <v>-1.2550984488416848E-2</v>
      </c>
      <c r="AP202" s="508">
        <f t="shared" ca="1" si="206"/>
        <v>-1.2550984488416848E-2</v>
      </c>
      <c r="AQ202" s="508">
        <f t="shared" ca="1" si="206"/>
        <v>-1.2550984488416848E-2</v>
      </c>
      <c r="AR202" s="508">
        <f t="shared" ca="1" si="206"/>
        <v>-1.2550984488416848E-2</v>
      </c>
      <c r="AS202" s="508">
        <f t="shared" ca="1" si="206"/>
        <v>-1.2550984488416848E-2</v>
      </c>
      <c r="AT202" s="508">
        <f t="shared" ca="1" si="206"/>
        <v>-1.2550984488416848E-2</v>
      </c>
      <c r="AU202" s="508">
        <f t="shared" ca="1" si="206"/>
        <v>-1.2550984488416848E-2</v>
      </c>
      <c r="AV202" s="508">
        <f t="shared" ca="1" si="206"/>
        <v>-1.2550984488416848E-2</v>
      </c>
      <c r="AW202" s="508">
        <f t="shared" ca="1" si="206"/>
        <v>-1.2550984488416848E-2</v>
      </c>
      <c r="AX202" s="508">
        <f t="shared" ca="1" si="206"/>
        <v>-1.2550984488416848E-2</v>
      </c>
      <c r="AY202" s="508">
        <f t="shared" ca="1" si="206"/>
        <v>-1.2550984488416848E-2</v>
      </c>
      <c r="AZ202" s="508">
        <f t="shared" ca="1" si="206"/>
        <v>-1.2550984488416848E-2</v>
      </c>
      <c r="BA202" s="508">
        <f t="shared" ca="1" si="206"/>
        <v>-1.2550984488416848E-2</v>
      </c>
      <c r="BB202" s="508">
        <f t="shared" ca="1" si="206"/>
        <v>-1.2550984488416848E-2</v>
      </c>
      <c r="BC202" s="508">
        <f t="shared" ca="1" si="206"/>
        <v>-1.2550984488416848E-2</v>
      </c>
      <c r="BD202" s="508">
        <f t="shared" ca="1" si="206"/>
        <v>0</v>
      </c>
      <c r="BE202" s="508">
        <f t="shared" ca="1" si="206"/>
        <v>0</v>
      </c>
      <c r="BF202" s="508">
        <f t="shared" ca="1" si="206"/>
        <v>0</v>
      </c>
      <c r="BG202" s="508">
        <f t="shared" ca="1" si="206"/>
        <v>0</v>
      </c>
      <c r="BH202" s="508">
        <f t="shared" ca="1" si="206"/>
        <v>0</v>
      </c>
      <c r="BI202" s="508">
        <f t="shared" ca="1" si="206"/>
        <v>0</v>
      </c>
      <c r="BJ202" s="508">
        <f t="shared" ca="1" si="206"/>
        <v>0</v>
      </c>
      <c r="BK202" s="508">
        <f t="shared" ca="1" si="206"/>
        <v>0</v>
      </c>
      <c r="BL202" s="508">
        <f t="shared" ca="1" si="206"/>
        <v>0</v>
      </c>
      <c r="BM202" s="508">
        <f t="shared" ca="1" si="206"/>
        <v>0</v>
      </c>
      <c r="BN202" s="508"/>
      <c r="BO202" s="508"/>
      <c r="BP202" s="508">
        <f ca="1">IF($C$4=Year1,-PMT(Lookups!$E$17,25,NPV(Lookups!$E$17,AM202:BK202),0,1),IF($C$4=Year2,-PMT(Lookups!$F$17,25,NPV(Lookups!$F$17,AN202:BL202),0,1),IF($C$4=Year3,-PMT(Lookups!$G$17,25,NPV(Lookups!$G$17,AO202:BM202),0,1),-PMT(Lookups!$G$17,27,NPV(Lookups!$G$17,AM202:BM202),0,1))))</f>
        <v>-8.4118437209805101E-3</v>
      </c>
      <c r="BS202" s="84" t="str">
        <f t="shared" ref="BS202:BS204" si="207">"Avoided "&amp;E202&amp;" avoided costs divided by After Scenario sales."</f>
        <v>Avoided Gas avoided costs divided by After Scenario sales.</v>
      </c>
      <c r="BT202" s="51" t="s">
        <v>17</v>
      </c>
    </row>
    <row r="203" spans="1:72" x14ac:dyDescent="0.25">
      <c r="B203" s="243" t="str">
        <f t="shared" si="204"/>
        <v>Small C&amp;I</v>
      </c>
      <c r="C203" s="243" t="str">
        <f t="shared" si="204"/>
        <v>Rates</v>
      </c>
      <c r="D203" s="244" t="str">
        <f t="shared" si="204"/>
        <v>Avoided Costs</v>
      </c>
      <c r="E203" s="86" t="s">
        <v>412</v>
      </c>
      <c r="F203" s="84" t="s">
        <v>182</v>
      </c>
      <c r="G203" s="506">
        <f ca="1">IFERROR(-G184/G175,0)</f>
        <v>0</v>
      </c>
      <c r="H203" s="506">
        <f t="shared" ref="H203:AG203" ca="1" si="208">IFERROR(-H184/H175,0)</f>
        <v>-6.9925890250738146E-4</v>
      </c>
      <c r="I203" s="506">
        <f t="shared" ca="1" si="208"/>
        <v>-6.9925890250738146E-4</v>
      </c>
      <c r="J203" s="506">
        <f t="shared" ca="1" si="208"/>
        <v>-6.9925890250738146E-4</v>
      </c>
      <c r="K203" s="506">
        <f t="shared" ca="1" si="208"/>
        <v>-6.9925890250738146E-4</v>
      </c>
      <c r="L203" s="506">
        <f t="shared" ca="1" si="208"/>
        <v>-6.9925890250738146E-4</v>
      </c>
      <c r="M203" s="506">
        <f t="shared" ca="1" si="208"/>
        <v>-6.9925890250738146E-4</v>
      </c>
      <c r="N203" s="506">
        <f t="shared" ca="1" si="208"/>
        <v>-6.9925890250738146E-4</v>
      </c>
      <c r="O203" s="506">
        <f t="shared" ca="1" si="208"/>
        <v>-6.9925890250738146E-4</v>
      </c>
      <c r="P203" s="506">
        <f t="shared" ca="1" si="208"/>
        <v>-6.9925890250738146E-4</v>
      </c>
      <c r="Q203" s="506">
        <f t="shared" ca="1" si="208"/>
        <v>-6.9925890250738146E-4</v>
      </c>
      <c r="R203" s="506">
        <f t="shared" ca="1" si="208"/>
        <v>-6.9925890250738146E-4</v>
      </c>
      <c r="S203" s="506">
        <f t="shared" ca="1" si="208"/>
        <v>-6.9925890250738146E-4</v>
      </c>
      <c r="T203" s="506">
        <f t="shared" ca="1" si="208"/>
        <v>-6.9925890250738146E-4</v>
      </c>
      <c r="U203" s="506">
        <f t="shared" ca="1" si="208"/>
        <v>-6.9925890250738146E-4</v>
      </c>
      <c r="V203" s="506">
        <f t="shared" ca="1" si="208"/>
        <v>-6.9925890250738146E-4</v>
      </c>
      <c r="W203" s="506">
        <f t="shared" ca="1" si="208"/>
        <v>-6.9925890250738146E-4</v>
      </c>
      <c r="X203" s="506">
        <f t="shared" ca="1" si="208"/>
        <v>0</v>
      </c>
      <c r="Y203" s="506">
        <f t="shared" ca="1" si="208"/>
        <v>0</v>
      </c>
      <c r="Z203" s="506">
        <f t="shared" ca="1" si="208"/>
        <v>0</v>
      </c>
      <c r="AA203" s="506">
        <f t="shared" ca="1" si="208"/>
        <v>0</v>
      </c>
      <c r="AB203" s="506">
        <f t="shared" ca="1" si="208"/>
        <v>0</v>
      </c>
      <c r="AC203" s="506">
        <f t="shared" ca="1" si="208"/>
        <v>0</v>
      </c>
      <c r="AD203" s="506">
        <f t="shared" ca="1" si="208"/>
        <v>0</v>
      </c>
      <c r="AE203" s="506">
        <f t="shared" ca="1" si="208"/>
        <v>0</v>
      </c>
      <c r="AF203" s="506">
        <f t="shared" ca="1" si="208"/>
        <v>0</v>
      </c>
      <c r="AG203" s="506">
        <f t="shared" ca="1" si="208"/>
        <v>0</v>
      </c>
      <c r="AH203" s="506"/>
      <c r="AI203" s="506"/>
      <c r="AJ203" s="506">
        <f ca="1">IF($C$4=Year1,-PMT(Lookups!$E$17,25,NPV(Lookups!$E$17,G203:AE203),0,1),IF($C$4=Year2,-PMT(Lookups!$F$17,25,NPV(Lookups!$F$17,H203:AF203),0,1),IF($C$4=Year3,-PMT(Lookups!$G$17,25,NPV(Lookups!$G$17,I203:AG203),0,1),-PMT(Lookups!$G$17,27,NPV(Lookups!$G$17,G203:AG203),0,1))))</f>
        <v>-4.6865300597135782E-4</v>
      </c>
      <c r="AK203" s="507"/>
      <c r="AL203" s="507"/>
      <c r="AM203" s="508">
        <f ca="1">IFERROR(-AM184/AM175,0)</f>
        <v>0</v>
      </c>
      <c r="AN203" s="508">
        <f t="shared" ref="AN203:BM203" ca="1" si="209">IFERROR(-AN184/AN175,0)</f>
        <v>-8.011266694734156E-4</v>
      </c>
      <c r="AO203" s="508">
        <f t="shared" ca="1" si="209"/>
        <v>-8.011266694734156E-4</v>
      </c>
      <c r="AP203" s="508">
        <f t="shared" ca="1" si="209"/>
        <v>-8.011266694734156E-4</v>
      </c>
      <c r="AQ203" s="508">
        <f t="shared" ca="1" si="209"/>
        <v>-8.011266694734156E-4</v>
      </c>
      <c r="AR203" s="508">
        <f t="shared" ca="1" si="209"/>
        <v>-8.011266694734156E-4</v>
      </c>
      <c r="AS203" s="508">
        <f t="shared" ca="1" si="209"/>
        <v>-8.011266694734156E-4</v>
      </c>
      <c r="AT203" s="508">
        <f t="shared" ca="1" si="209"/>
        <v>-8.011266694734156E-4</v>
      </c>
      <c r="AU203" s="508">
        <f t="shared" ca="1" si="209"/>
        <v>-8.011266694734156E-4</v>
      </c>
      <c r="AV203" s="508">
        <f t="shared" ca="1" si="209"/>
        <v>-8.011266694734156E-4</v>
      </c>
      <c r="AW203" s="508">
        <f t="shared" ca="1" si="209"/>
        <v>-8.011266694734156E-4</v>
      </c>
      <c r="AX203" s="508">
        <f t="shared" ca="1" si="209"/>
        <v>-8.011266694734156E-4</v>
      </c>
      <c r="AY203" s="508">
        <f t="shared" ca="1" si="209"/>
        <v>-8.011266694734156E-4</v>
      </c>
      <c r="AZ203" s="508">
        <f t="shared" ca="1" si="209"/>
        <v>-8.011266694734156E-4</v>
      </c>
      <c r="BA203" s="508">
        <f t="shared" ca="1" si="209"/>
        <v>-8.011266694734156E-4</v>
      </c>
      <c r="BB203" s="508">
        <f t="shared" ca="1" si="209"/>
        <v>-8.011266694734156E-4</v>
      </c>
      <c r="BC203" s="508">
        <f t="shared" ca="1" si="209"/>
        <v>-8.011266694734156E-4</v>
      </c>
      <c r="BD203" s="508">
        <f t="shared" ca="1" si="209"/>
        <v>0</v>
      </c>
      <c r="BE203" s="508">
        <f t="shared" ca="1" si="209"/>
        <v>0</v>
      </c>
      <c r="BF203" s="508">
        <f t="shared" ca="1" si="209"/>
        <v>0</v>
      </c>
      <c r="BG203" s="508">
        <f t="shared" ca="1" si="209"/>
        <v>0</v>
      </c>
      <c r="BH203" s="508">
        <f t="shared" ca="1" si="209"/>
        <v>0</v>
      </c>
      <c r="BI203" s="508">
        <f t="shared" ca="1" si="209"/>
        <v>0</v>
      </c>
      <c r="BJ203" s="508">
        <f t="shared" ca="1" si="209"/>
        <v>0</v>
      </c>
      <c r="BK203" s="508">
        <f t="shared" ca="1" si="209"/>
        <v>0</v>
      </c>
      <c r="BL203" s="508">
        <f t="shared" ca="1" si="209"/>
        <v>0</v>
      </c>
      <c r="BM203" s="508">
        <f t="shared" ca="1" si="209"/>
        <v>0</v>
      </c>
      <c r="BN203" s="508"/>
      <c r="BO203" s="508"/>
      <c r="BP203" s="508">
        <f ca="1">IF($C$4=Year1,-PMT(Lookups!$E$17,25,NPV(Lookups!$E$17,AM203:BK203),0,1),IF($C$4=Year2,-PMT(Lookups!$F$17,25,NPV(Lookups!$F$17,AN203:BL203),0,1),IF($C$4=Year3,-PMT(Lookups!$G$17,25,NPV(Lookups!$G$17,AO203:BM203),0,1),-PMT(Lookups!$G$17,27,NPV(Lookups!$G$17,AM203:BM203),0,1))))</f>
        <v>-5.3692619495620262E-4</v>
      </c>
      <c r="BS203" s="84" t="str">
        <f t="shared" si="207"/>
        <v>Avoided Gas, Retail Margin avoided costs divided by After Scenario sales.</v>
      </c>
      <c r="BT203" s="51"/>
    </row>
    <row r="204" spans="1:72" x14ac:dyDescent="0.25">
      <c r="B204" s="243" t="str">
        <f t="shared" ref="B204:D204" si="210">B202</f>
        <v>Small C&amp;I</v>
      </c>
      <c r="C204" s="243" t="str">
        <f t="shared" si="210"/>
        <v>Rates</v>
      </c>
      <c r="D204" s="244" t="str">
        <f t="shared" si="210"/>
        <v>Avoided Costs</v>
      </c>
      <c r="E204" s="86" t="s">
        <v>175</v>
      </c>
      <c r="F204" s="84" t="s">
        <v>182</v>
      </c>
      <c r="G204" s="506">
        <f ca="1">IFERROR(-G185/G175,0)</f>
        <v>0</v>
      </c>
      <c r="H204" s="506">
        <f t="shared" ref="H204:AG204" ca="1" si="211">IFERROR(-H185/H175,0)</f>
        <v>-4.1054662648915295E-4</v>
      </c>
      <c r="I204" s="506">
        <f t="shared" ca="1" si="211"/>
        <v>-4.1054662648915295E-4</v>
      </c>
      <c r="J204" s="506">
        <f t="shared" ca="1" si="211"/>
        <v>-4.1054662648915295E-4</v>
      </c>
      <c r="K204" s="506">
        <f t="shared" ca="1" si="211"/>
        <v>-4.1054662648915295E-4</v>
      </c>
      <c r="L204" s="506">
        <f t="shared" ca="1" si="211"/>
        <v>-4.1054662648915295E-4</v>
      </c>
      <c r="M204" s="506">
        <f t="shared" ca="1" si="211"/>
        <v>-4.1054662648915295E-4</v>
      </c>
      <c r="N204" s="506">
        <f t="shared" ca="1" si="211"/>
        <v>-4.1054662648915295E-4</v>
      </c>
      <c r="O204" s="506">
        <f t="shared" ca="1" si="211"/>
        <v>-4.1054662648915295E-4</v>
      </c>
      <c r="P204" s="506">
        <f t="shared" ca="1" si="211"/>
        <v>-4.1054662648915295E-4</v>
      </c>
      <c r="Q204" s="506">
        <f t="shared" ca="1" si="211"/>
        <v>-4.1054662648915295E-4</v>
      </c>
      <c r="R204" s="506">
        <f t="shared" ca="1" si="211"/>
        <v>-4.1054662648915295E-4</v>
      </c>
      <c r="S204" s="506">
        <f t="shared" ca="1" si="211"/>
        <v>-4.1054662648915295E-4</v>
      </c>
      <c r="T204" s="506">
        <f t="shared" ca="1" si="211"/>
        <v>-4.1054662648915295E-4</v>
      </c>
      <c r="U204" s="506">
        <f t="shared" ca="1" si="211"/>
        <v>-4.1054662648915295E-4</v>
      </c>
      <c r="V204" s="506">
        <f t="shared" ca="1" si="211"/>
        <v>-4.1054662648915295E-4</v>
      </c>
      <c r="W204" s="506">
        <f t="shared" ca="1" si="211"/>
        <v>-4.1054662648915295E-4</v>
      </c>
      <c r="X204" s="506">
        <f t="shared" ca="1" si="211"/>
        <v>0</v>
      </c>
      <c r="Y204" s="506">
        <f t="shared" ca="1" si="211"/>
        <v>0</v>
      </c>
      <c r="Z204" s="506">
        <f t="shared" ca="1" si="211"/>
        <v>0</v>
      </c>
      <c r="AA204" s="506">
        <f t="shared" ca="1" si="211"/>
        <v>0</v>
      </c>
      <c r="AB204" s="506">
        <f t="shared" ca="1" si="211"/>
        <v>0</v>
      </c>
      <c r="AC204" s="506">
        <f t="shared" ca="1" si="211"/>
        <v>0</v>
      </c>
      <c r="AD204" s="506">
        <f t="shared" ca="1" si="211"/>
        <v>0</v>
      </c>
      <c r="AE204" s="506">
        <f t="shared" ca="1" si="211"/>
        <v>0</v>
      </c>
      <c r="AF204" s="506">
        <f t="shared" ca="1" si="211"/>
        <v>0</v>
      </c>
      <c r="AG204" s="506">
        <f t="shared" ca="1" si="211"/>
        <v>0</v>
      </c>
      <c r="AH204" s="506"/>
      <c r="AI204" s="506"/>
      <c r="AJ204" s="506">
        <f ca="1">IF($C$4=Year1,-PMT(Lookups!$E$17,25,NPV(Lookups!$E$17,G204:AE204),0,1),IF($C$4=Year2,-PMT(Lookups!$F$17,25,NPV(Lookups!$F$17,H204:AF204),0,1),IF($C$4=Year3,-PMT(Lookups!$G$17,25,NPV(Lookups!$G$17,I204:AG204),0,1),-PMT(Lookups!$G$17,27,NPV(Lookups!$G$17,G204:AG204),0,1))))</f>
        <v>-2.7515403794735495E-4</v>
      </c>
      <c r="AK204" s="507"/>
      <c r="AL204" s="507"/>
      <c r="AM204" s="508">
        <f ca="1">IFERROR(-AM185/AM175,0)</f>
        <v>0</v>
      </c>
      <c r="AN204" s="508">
        <f t="shared" ref="AN204:BM204" ca="1" si="212">IFERROR(-AN185/AN175,0)</f>
        <v>-4.7035490054319267E-4</v>
      </c>
      <c r="AO204" s="508">
        <f t="shared" ca="1" si="212"/>
        <v>-4.7035490054319267E-4</v>
      </c>
      <c r="AP204" s="508">
        <f t="shared" ca="1" si="212"/>
        <v>-4.7035490054319267E-4</v>
      </c>
      <c r="AQ204" s="508">
        <f t="shared" ca="1" si="212"/>
        <v>-4.7035490054319267E-4</v>
      </c>
      <c r="AR204" s="508">
        <f t="shared" ca="1" si="212"/>
        <v>-4.7035490054319267E-4</v>
      </c>
      <c r="AS204" s="508">
        <f t="shared" ca="1" si="212"/>
        <v>-4.7035490054319267E-4</v>
      </c>
      <c r="AT204" s="508">
        <f t="shared" ca="1" si="212"/>
        <v>-4.7035490054319267E-4</v>
      </c>
      <c r="AU204" s="508">
        <f t="shared" ca="1" si="212"/>
        <v>-4.7035490054319267E-4</v>
      </c>
      <c r="AV204" s="508">
        <f t="shared" ca="1" si="212"/>
        <v>-4.7035490054319267E-4</v>
      </c>
      <c r="AW204" s="508">
        <f t="shared" ca="1" si="212"/>
        <v>-4.7035490054319267E-4</v>
      </c>
      <c r="AX204" s="508">
        <f t="shared" ca="1" si="212"/>
        <v>-4.7035490054319267E-4</v>
      </c>
      <c r="AY204" s="508">
        <f t="shared" ca="1" si="212"/>
        <v>-4.7035490054319267E-4</v>
      </c>
      <c r="AZ204" s="508">
        <f t="shared" ca="1" si="212"/>
        <v>-4.7035490054319267E-4</v>
      </c>
      <c r="BA204" s="508">
        <f t="shared" ca="1" si="212"/>
        <v>-4.7035490054319267E-4</v>
      </c>
      <c r="BB204" s="508">
        <f t="shared" ca="1" si="212"/>
        <v>-4.7035490054319267E-4</v>
      </c>
      <c r="BC204" s="508">
        <f t="shared" ca="1" si="212"/>
        <v>-4.7035490054319267E-4</v>
      </c>
      <c r="BD204" s="508">
        <f t="shared" ca="1" si="212"/>
        <v>0</v>
      </c>
      <c r="BE204" s="508">
        <f t="shared" ca="1" si="212"/>
        <v>0</v>
      </c>
      <c r="BF204" s="508">
        <f t="shared" ca="1" si="212"/>
        <v>0</v>
      </c>
      <c r="BG204" s="508">
        <f t="shared" ca="1" si="212"/>
        <v>0</v>
      </c>
      <c r="BH204" s="508">
        <f t="shared" ca="1" si="212"/>
        <v>0</v>
      </c>
      <c r="BI204" s="508">
        <f t="shared" ca="1" si="212"/>
        <v>0</v>
      </c>
      <c r="BJ204" s="508">
        <f t="shared" ca="1" si="212"/>
        <v>0</v>
      </c>
      <c r="BK204" s="508">
        <f t="shared" ca="1" si="212"/>
        <v>0</v>
      </c>
      <c r="BL204" s="508">
        <f t="shared" ca="1" si="212"/>
        <v>0</v>
      </c>
      <c r="BM204" s="508">
        <f t="shared" ca="1" si="212"/>
        <v>0</v>
      </c>
      <c r="BN204" s="508"/>
      <c r="BO204" s="508"/>
      <c r="BP204" s="508">
        <f ca="1">IF($C$4=Year1,-PMT(Lookups!$E$17,25,NPV(Lookups!$E$17,AM204:BK204),0,1),IF($C$4=Year2,-PMT(Lookups!$F$17,25,NPV(Lookups!$F$17,AN204:BL204),0,1),IF($C$4=Year3,-PMT(Lookups!$G$17,25,NPV(Lookups!$G$17,AO204:BM204),0,1),-PMT(Lookups!$G$17,27,NPV(Lookups!$G$17,AM204:BM204),0,1))))</f>
        <v>-3.1523837197138774E-4</v>
      </c>
      <c r="BS204" s="84" t="str">
        <f t="shared" si="207"/>
        <v>Avoided Gas DRIPE avoided costs divided by After Scenario sales.</v>
      </c>
      <c r="BT204" s="51" t="s">
        <v>17</v>
      </c>
    </row>
    <row r="205" spans="1:72" x14ac:dyDescent="0.25">
      <c r="B205" s="243" t="str">
        <f t="shared" ref="B205:D213" si="213">B204</f>
        <v>Small C&amp;I</v>
      </c>
      <c r="C205" s="243" t="str">
        <f t="shared" si="213"/>
        <v>Rates</v>
      </c>
      <c r="D205" s="244" t="str">
        <f t="shared" si="213"/>
        <v>Avoided Costs</v>
      </c>
      <c r="E205" s="86" t="s">
        <v>76</v>
      </c>
      <c r="F205" s="84" t="s">
        <v>182</v>
      </c>
      <c r="G205" s="506">
        <f ca="1">SUM(G202:G204)</f>
        <v>0</v>
      </c>
      <c r="H205" s="506">
        <f t="shared" ref="H205:AG205" ca="1" si="214">SUM(H202:H204)</f>
        <v>-1.2064861668278845E-2</v>
      </c>
      <c r="I205" s="506">
        <f t="shared" ca="1" si="214"/>
        <v>-1.2064861668278845E-2</v>
      </c>
      <c r="J205" s="506">
        <f t="shared" ca="1" si="214"/>
        <v>-1.2064861668278845E-2</v>
      </c>
      <c r="K205" s="506">
        <f t="shared" ca="1" si="214"/>
        <v>-1.2064861668278845E-2</v>
      </c>
      <c r="L205" s="506">
        <f t="shared" ca="1" si="214"/>
        <v>-1.2064861668278845E-2</v>
      </c>
      <c r="M205" s="506">
        <f t="shared" ca="1" si="214"/>
        <v>-1.2064861668278845E-2</v>
      </c>
      <c r="N205" s="506">
        <f t="shared" ca="1" si="214"/>
        <v>-1.2064861668278845E-2</v>
      </c>
      <c r="O205" s="506">
        <f t="shared" ca="1" si="214"/>
        <v>-1.2064861668278845E-2</v>
      </c>
      <c r="P205" s="506">
        <f t="shared" ca="1" si="214"/>
        <v>-1.2064861668278845E-2</v>
      </c>
      <c r="Q205" s="506">
        <f t="shared" ca="1" si="214"/>
        <v>-1.2064861668278845E-2</v>
      </c>
      <c r="R205" s="506">
        <f t="shared" ca="1" si="214"/>
        <v>-1.2064861668278845E-2</v>
      </c>
      <c r="S205" s="506">
        <f t="shared" ca="1" si="214"/>
        <v>-1.2064861668278845E-2</v>
      </c>
      <c r="T205" s="506">
        <f t="shared" ca="1" si="214"/>
        <v>-1.2064861668278845E-2</v>
      </c>
      <c r="U205" s="506">
        <f t="shared" ca="1" si="214"/>
        <v>-1.2064861668278845E-2</v>
      </c>
      <c r="V205" s="506">
        <f t="shared" ca="1" si="214"/>
        <v>-1.2064861668278845E-2</v>
      </c>
      <c r="W205" s="506">
        <f t="shared" ca="1" si="214"/>
        <v>-1.2064861668278845E-2</v>
      </c>
      <c r="X205" s="506">
        <f t="shared" ca="1" si="214"/>
        <v>0</v>
      </c>
      <c r="Y205" s="506">
        <f t="shared" ca="1" si="214"/>
        <v>0</v>
      </c>
      <c r="Z205" s="506">
        <f t="shared" ca="1" si="214"/>
        <v>0</v>
      </c>
      <c r="AA205" s="506">
        <f t="shared" ca="1" si="214"/>
        <v>0</v>
      </c>
      <c r="AB205" s="506">
        <f t="shared" ca="1" si="214"/>
        <v>0</v>
      </c>
      <c r="AC205" s="506">
        <f t="shared" ca="1" si="214"/>
        <v>0</v>
      </c>
      <c r="AD205" s="506">
        <f t="shared" ca="1" si="214"/>
        <v>0</v>
      </c>
      <c r="AE205" s="506">
        <f t="shared" ca="1" si="214"/>
        <v>0</v>
      </c>
      <c r="AF205" s="506">
        <f t="shared" ca="1" si="214"/>
        <v>0</v>
      </c>
      <c r="AG205" s="506">
        <f t="shared" ca="1" si="214"/>
        <v>0</v>
      </c>
      <c r="AH205" s="506"/>
      <c r="AI205" s="506"/>
      <c r="AJ205" s="506">
        <f ca="1">IF($C$4=Year1,-PMT(Lookups!$E$17,25,NPV(Lookups!$E$17,G205:AE205),0,1),IF($C$4=Year2,-PMT(Lookups!$F$17,25,NPV(Lookups!$F$17,H205:AF205),0,1),IF($C$4=Year3,-PMT(Lookups!$G$17,25,NPV(Lookups!$G$17,I205:AG205),0,1),-PMT(Lookups!$G$17,27,NPV(Lookups!$G$17,G205:AG205),0,1))))</f>
        <v>-8.0860374708033155E-3</v>
      </c>
      <c r="AK205" s="507"/>
      <c r="AL205" s="507"/>
      <c r="AM205" s="508">
        <f ca="1">SUM(AM202:AM204)</f>
        <v>0</v>
      </c>
      <c r="AN205" s="508">
        <f t="shared" ref="AN205:BM205" ca="1" si="215">SUM(AN202:AN204)</f>
        <v>-1.3822466058433456E-2</v>
      </c>
      <c r="AO205" s="508">
        <f t="shared" ca="1" si="215"/>
        <v>-1.3822466058433456E-2</v>
      </c>
      <c r="AP205" s="508">
        <f t="shared" ca="1" si="215"/>
        <v>-1.3822466058433456E-2</v>
      </c>
      <c r="AQ205" s="508">
        <f t="shared" ca="1" si="215"/>
        <v>-1.3822466058433456E-2</v>
      </c>
      <c r="AR205" s="508">
        <f t="shared" ca="1" si="215"/>
        <v>-1.3822466058433456E-2</v>
      </c>
      <c r="AS205" s="508">
        <f t="shared" ca="1" si="215"/>
        <v>-1.3822466058433456E-2</v>
      </c>
      <c r="AT205" s="508">
        <f t="shared" ca="1" si="215"/>
        <v>-1.3822466058433456E-2</v>
      </c>
      <c r="AU205" s="508">
        <f t="shared" ca="1" si="215"/>
        <v>-1.3822466058433456E-2</v>
      </c>
      <c r="AV205" s="508">
        <f t="shared" ca="1" si="215"/>
        <v>-1.3822466058433456E-2</v>
      </c>
      <c r="AW205" s="508">
        <f t="shared" ca="1" si="215"/>
        <v>-1.3822466058433456E-2</v>
      </c>
      <c r="AX205" s="508">
        <f t="shared" ca="1" si="215"/>
        <v>-1.3822466058433456E-2</v>
      </c>
      <c r="AY205" s="508">
        <f t="shared" ca="1" si="215"/>
        <v>-1.3822466058433456E-2</v>
      </c>
      <c r="AZ205" s="508">
        <f t="shared" ca="1" si="215"/>
        <v>-1.3822466058433456E-2</v>
      </c>
      <c r="BA205" s="508">
        <f t="shared" ca="1" si="215"/>
        <v>-1.3822466058433456E-2</v>
      </c>
      <c r="BB205" s="508">
        <f t="shared" ca="1" si="215"/>
        <v>-1.3822466058433456E-2</v>
      </c>
      <c r="BC205" s="508">
        <f t="shared" ca="1" si="215"/>
        <v>-1.3822466058433456E-2</v>
      </c>
      <c r="BD205" s="508">
        <f t="shared" ca="1" si="215"/>
        <v>0</v>
      </c>
      <c r="BE205" s="508">
        <f t="shared" ca="1" si="215"/>
        <v>0</v>
      </c>
      <c r="BF205" s="508">
        <f t="shared" ca="1" si="215"/>
        <v>0</v>
      </c>
      <c r="BG205" s="508">
        <f t="shared" ca="1" si="215"/>
        <v>0</v>
      </c>
      <c r="BH205" s="508">
        <f t="shared" ca="1" si="215"/>
        <v>0</v>
      </c>
      <c r="BI205" s="508">
        <f t="shared" ca="1" si="215"/>
        <v>0</v>
      </c>
      <c r="BJ205" s="508">
        <f t="shared" ca="1" si="215"/>
        <v>0</v>
      </c>
      <c r="BK205" s="508">
        <f t="shared" ca="1" si="215"/>
        <v>0</v>
      </c>
      <c r="BL205" s="508">
        <f t="shared" ca="1" si="215"/>
        <v>0</v>
      </c>
      <c r="BM205" s="508">
        <f t="shared" ca="1" si="215"/>
        <v>0</v>
      </c>
      <c r="BN205" s="508"/>
      <c r="BO205" s="508"/>
      <c r="BP205" s="508">
        <f ca="1">IF($C$4=Year1,-PMT(Lookups!$E$17,25,NPV(Lookups!$E$17,AM205:BK205),0,1),IF($C$4=Year2,-PMT(Lookups!$F$17,25,NPV(Lookups!$F$17,AN205:BL205),0,1),IF($C$4=Year3,-PMT(Lookups!$G$17,25,NPV(Lookups!$G$17,AO205:BM205),0,1),-PMT(Lookups!$G$17,27,NPV(Lookups!$G$17,AM205:BM205),0,1))))</f>
        <v>-9.2640082879081008E-3</v>
      </c>
      <c r="BS205" s="84" t="s">
        <v>232</v>
      </c>
      <c r="BT205" s="51" t="s">
        <v>17</v>
      </c>
    </row>
    <row r="206" spans="1:72" x14ac:dyDescent="0.25">
      <c r="B206" s="243" t="str">
        <f t="shared" si="213"/>
        <v>Small C&amp;I</v>
      </c>
      <c r="C206" s="243" t="str">
        <f t="shared" si="213"/>
        <v>Rates</v>
      </c>
      <c r="D206" s="114" t="s">
        <v>165</v>
      </c>
      <c r="E206" s="86"/>
      <c r="F206" s="86"/>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S206" s="84"/>
      <c r="BT206" s="51" t="s">
        <v>17</v>
      </c>
    </row>
    <row r="207" spans="1:72" x14ac:dyDescent="0.25">
      <c r="A207" s="246"/>
      <c r="B207" s="243" t="str">
        <f t="shared" si="213"/>
        <v>Small C&amp;I</v>
      </c>
      <c r="C207" s="243" t="str">
        <f t="shared" si="213"/>
        <v>Rates</v>
      </c>
      <c r="D207" s="244" t="str">
        <f t="shared" si="213"/>
        <v>Increased Costs and Cost Shifting</v>
      </c>
      <c r="E207" s="84" t="s">
        <v>406</v>
      </c>
      <c r="F207" s="84" t="s">
        <v>182</v>
      </c>
      <c r="G207" s="509">
        <f ca="1">IF($C$4=Lookups!$D$40,SUM(INDIRECT("'Yr1'!"&amp;ADDRESS(ROW(G207),COLUMN(G207))),INDIRECT("'Yr2'!"&amp;ADDRESS(ROW(G207),COLUMN(G207))),INDIRECT("'Yr3'!"&amp;ADDRESS(ROW(G207),COLUMN(G207)))),
IF($C$4=G$7,SUMIFS('EE Inputs'!$L$9:$L$32,'EE Inputs'!$C$9:$C$32,$G$6,'EE Inputs'!$D$9:$D$32,$C$4,'EE Inputs'!$E$9:$E$32,$B207),0))</f>
        <v>0</v>
      </c>
      <c r="H207" s="509">
        <f ca="1">IF($C$4=Lookups!$D$40,SUM(INDIRECT("'Yr1'!"&amp;ADDRESS(ROW(H207),COLUMN(H207))),INDIRECT("'Yr2'!"&amp;ADDRESS(ROW(H207),COLUMN(H207))),INDIRECT("'Yr3'!"&amp;ADDRESS(ROW(H207),COLUMN(H207)))),
IF($C$4=H$7,SUMIFS('EE Inputs'!$L$9:$L$32,'EE Inputs'!$C$9:$C$32,$G$6,'EE Inputs'!$D$9:$D$32,$C$4,'EE Inputs'!$E$9:$E$32,$B207),0))</f>
        <v>0.14926911562058559</v>
      </c>
      <c r="I207" s="509">
        <f ca="1">IF($C$4=Lookups!$D$40,SUM(INDIRECT("'Yr1'!"&amp;ADDRESS(ROW(I207),COLUMN(I207))),INDIRECT("'Yr2'!"&amp;ADDRESS(ROW(I207),COLUMN(I207))),INDIRECT("'Yr3'!"&amp;ADDRESS(ROW(I207),COLUMN(I207)))),
IF($C$4=I$7,SUMIFS('EE Inputs'!$L$9:$L$32,'EE Inputs'!$C$9:$C$32,$G$6,'EE Inputs'!$D$9:$D$32,$C$4,'EE Inputs'!$E$9:$E$32,$B207),0))</f>
        <v>0</v>
      </c>
      <c r="J207" s="509">
        <f ca="1">IF($C$4=Lookups!$D$40,SUM(INDIRECT("'Yr1'!"&amp;ADDRESS(ROW(J207),COLUMN(J207))),INDIRECT("'Yr2'!"&amp;ADDRESS(ROW(J207),COLUMN(J207))),INDIRECT("'Yr3'!"&amp;ADDRESS(ROW(J207),COLUMN(J207)))),
IF($C$4=J$7,SUMIFS('EE Inputs'!$L$9:$L$32,'EE Inputs'!$C$9:$C$32,$G$6,'EE Inputs'!$D$9:$D$32,$C$4,'EE Inputs'!$E$9:$E$32,$B207),0))</f>
        <v>0</v>
      </c>
      <c r="K207" s="509">
        <f ca="1">IF($C$4=Lookups!$D$40,SUM(INDIRECT("'Yr1'!"&amp;ADDRESS(ROW(K207),COLUMN(K207))),INDIRECT("'Yr2'!"&amp;ADDRESS(ROW(K207),COLUMN(K207))),INDIRECT("'Yr3'!"&amp;ADDRESS(ROW(K207),COLUMN(K207)))),
IF($C$4=K$7,SUMIFS('EE Inputs'!$L$9:$L$32,'EE Inputs'!$C$9:$C$32,$G$6,'EE Inputs'!$D$9:$D$32,$C$4,'EE Inputs'!$E$9:$E$32,$B207),0))</f>
        <v>0</v>
      </c>
      <c r="L207" s="509">
        <f ca="1">IF($C$4=Lookups!$D$40,SUM(INDIRECT("'Yr1'!"&amp;ADDRESS(ROW(L207),COLUMN(L207))),INDIRECT("'Yr2'!"&amp;ADDRESS(ROW(L207),COLUMN(L207))),INDIRECT("'Yr3'!"&amp;ADDRESS(ROW(L207),COLUMN(L207)))),
IF($C$4=L$7,SUMIFS('EE Inputs'!$L$9:$L$32,'EE Inputs'!$C$9:$C$32,$G$6,'EE Inputs'!$D$9:$D$32,$C$4,'EE Inputs'!$E$9:$E$32,$B207),0))</f>
        <v>0</v>
      </c>
      <c r="M207" s="509">
        <f ca="1">IF($C$4=Lookups!$D$40,SUM(INDIRECT("'Yr1'!"&amp;ADDRESS(ROW(M207),COLUMN(M207))),INDIRECT("'Yr2'!"&amp;ADDRESS(ROW(M207),COLUMN(M207))),INDIRECT("'Yr3'!"&amp;ADDRESS(ROW(M207),COLUMN(M207)))),
IF($C$4=M$7,SUMIFS('EE Inputs'!$L$9:$L$32,'EE Inputs'!$C$9:$C$32,$G$6,'EE Inputs'!$D$9:$D$32,$C$4,'EE Inputs'!$E$9:$E$32,$B207),0))</f>
        <v>0</v>
      </c>
      <c r="N207" s="509">
        <f ca="1">IF($C$4=Lookups!$D$40,SUM(INDIRECT("'Yr1'!"&amp;ADDRESS(ROW(N207),COLUMN(N207))),INDIRECT("'Yr2'!"&amp;ADDRESS(ROW(N207),COLUMN(N207))),INDIRECT("'Yr3'!"&amp;ADDRESS(ROW(N207),COLUMN(N207)))),
IF($C$4=N$7,SUMIFS('EE Inputs'!$L$9:$L$32,'EE Inputs'!$C$9:$C$32,$G$6,'EE Inputs'!$D$9:$D$32,$C$4,'EE Inputs'!$E$9:$E$32,$B207),0))</f>
        <v>0</v>
      </c>
      <c r="O207" s="509">
        <f ca="1">IF($C$4=Lookups!$D$40,SUM(INDIRECT("'Yr1'!"&amp;ADDRESS(ROW(O207),COLUMN(O207))),INDIRECT("'Yr2'!"&amp;ADDRESS(ROW(O207),COLUMN(O207))),INDIRECT("'Yr3'!"&amp;ADDRESS(ROW(O207),COLUMN(O207)))),
IF($C$4=O$7,SUMIFS('EE Inputs'!$L$9:$L$32,'EE Inputs'!$C$9:$C$32,$G$6,'EE Inputs'!$D$9:$D$32,$C$4,'EE Inputs'!$E$9:$E$32,$B207),0))</f>
        <v>0</v>
      </c>
      <c r="P207" s="509">
        <f ca="1">IF($C$4=Lookups!$D$40,SUM(INDIRECT("'Yr1'!"&amp;ADDRESS(ROW(P207),COLUMN(P207))),INDIRECT("'Yr2'!"&amp;ADDRESS(ROW(P207),COLUMN(P207))),INDIRECT("'Yr3'!"&amp;ADDRESS(ROW(P207),COLUMN(P207)))),
IF($C$4=P$7,SUMIFS('EE Inputs'!$L$9:$L$32,'EE Inputs'!$C$9:$C$32,$G$6,'EE Inputs'!$D$9:$D$32,$C$4,'EE Inputs'!$E$9:$E$32,$B207),0))</f>
        <v>0</v>
      </c>
      <c r="Q207" s="509">
        <f ca="1">IF($C$4=Lookups!$D$40,SUM(INDIRECT("'Yr1'!"&amp;ADDRESS(ROW(Q207),COLUMN(Q207))),INDIRECT("'Yr2'!"&amp;ADDRESS(ROW(Q207),COLUMN(Q207))),INDIRECT("'Yr3'!"&amp;ADDRESS(ROW(Q207),COLUMN(Q207)))),
IF($C$4=Q$7,SUMIFS('EE Inputs'!$L$9:$L$32,'EE Inputs'!$C$9:$C$32,$G$6,'EE Inputs'!$D$9:$D$32,$C$4,'EE Inputs'!$E$9:$E$32,$B207),0))</f>
        <v>0</v>
      </c>
      <c r="R207" s="509">
        <f ca="1">IF($C$4=Lookups!$D$40,SUM(INDIRECT("'Yr1'!"&amp;ADDRESS(ROW(R207),COLUMN(R207))),INDIRECT("'Yr2'!"&amp;ADDRESS(ROW(R207),COLUMN(R207))),INDIRECT("'Yr3'!"&amp;ADDRESS(ROW(R207),COLUMN(R207)))),
IF($C$4=R$7,SUMIFS('EE Inputs'!$L$9:$L$32,'EE Inputs'!$C$9:$C$32,$G$6,'EE Inputs'!$D$9:$D$32,$C$4,'EE Inputs'!$E$9:$E$32,$B207),0))</f>
        <v>0</v>
      </c>
      <c r="S207" s="509">
        <f ca="1">IF($C$4=Lookups!$D$40,SUM(INDIRECT("'Yr1'!"&amp;ADDRESS(ROW(S207),COLUMN(S207))),INDIRECT("'Yr2'!"&amp;ADDRESS(ROW(S207),COLUMN(S207))),INDIRECT("'Yr3'!"&amp;ADDRESS(ROW(S207),COLUMN(S207)))),
IF($C$4=S$7,SUMIFS('EE Inputs'!$L$9:$L$32,'EE Inputs'!$C$9:$C$32,$G$6,'EE Inputs'!$D$9:$D$32,$C$4,'EE Inputs'!$E$9:$E$32,$B207),0))</f>
        <v>0</v>
      </c>
      <c r="T207" s="509">
        <f ca="1">IF($C$4=Lookups!$D$40,SUM(INDIRECT("'Yr1'!"&amp;ADDRESS(ROW(T207),COLUMN(T207))),INDIRECT("'Yr2'!"&amp;ADDRESS(ROW(T207),COLUMN(T207))),INDIRECT("'Yr3'!"&amp;ADDRESS(ROW(T207),COLUMN(T207)))),
IF($C$4=T$7,SUMIFS('EE Inputs'!$L$9:$L$32,'EE Inputs'!$C$9:$C$32,$G$6,'EE Inputs'!$D$9:$D$32,$C$4,'EE Inputs'!$E$9:$E$32,$B207),0))</f>
        <v>0</v>
      </c>
      <c r="U207" s="509">
        <f ca="1">IF($C$4=Lookups!$D$40,SUM(INDIRECT("'Yr1'!"&amp;ADDRESS(ROW(U207),COLUMN(U207))),INDIRECT("'Yr2'!"&amp;ADDRESS(ROW(U207),COLUMN(U207))),INDIRECT("'Yr3'!"&amp;ADDRESS(ROW(U207),COLUMN(U207)))),
IF($C$4=U$7,SUMIFS('EE Inputs'!$L$9:$L$32,'EE Inputs'!$C$9:$C$32,$G$6,'EE Inputs'!$D$9:$D$32,$C$4,'EE Inputs'!$E$9:$E$32,$B207),0))</f>
        <v>0</v>
      </c>
      <c r="V207" s="509">
        <f ca="1">IF($C$4=Lookups!$D$40,SUM(INDIRECT("'Yr1'!"&amp;ADDRESS(ROW(V207),COLUMN(V207))),INDIRECT("'Yr2'!"&amp;ADDRESS(ROW(V207),COLUMN(V207))),INDIRECT("'Yr3'!"&amp;ADDRESS(ROW(V207),COLUMN(V207)))),
IF($C$4=V$7,SUMIFS('EE Inputs'!$L$9:$L$32,'EE Inputs'!$C$9:$C$32,$G$6,'EE Inputs'!$D$9:$D$32,$C$4,'EE Inputs'!$E$9:$E$32,$B207),0))</f>
        <v>0</v>
      </c>
      <c r="W207" s="509">
        <f ca="1">IF($C$4=Lookups!$D$40,SUM(INDIRECT("'Yr1'!"&amp;ADDRESS(ROW(W207),COLUMN(W207))),INDIRECT("'Yr2'!"&amp;ADDRESS(ROW(W207),COLUMN(W207))),INDIRECT("'Yr3'!"&amp;ADDRESS(ROW(W207),COLUMN(W207)))),
IF($C$4=W$7,SUMIFS('EE Inputs'!$L$9:$L$32,'EE Inputs'!$C$9:$C$32,$G$6,'EE Inputs'!$D$9:$D$32,$C$4,'EE Inputs'!$E$9:$E$32,$B207),0))</f>
        <v>0</v>
      </c>
      <c r="X207" s="509">
        <f ca="1">IF($C$4=Lookups!$D$40,SUM(INDIRECT("'Yr1'!"&amp;ADDRESS(ROW(X207),COLUMN(X207))),INDIRECT("'Yr2'!"&amp;ADDRESS(ROW(X207),COLUMN(X207))),INDIRECT("'Yr3'!"&amp;ADDRESS(ROW(X207),COLUMN(X207)))),
IF($C$4=X$7,SUMIFS('EE Inputs'!$L$9:$L$32,'EE Inputs'!$C$9:$C$32,$G$6,'EE Inputs'!$D$9:$D$32,$C$4,'EE Inputs'!$E$9:$E$32,$B207),0))</f>
        <v>0</v>
      </c>
      <c r="Y207" s="509">
        <f ca="1">IF($C$4=Lookups!$D$40,SUM(INDIRECT("'Yr1'!"&amp;ADDRESS(ROW(Y207),COLUMN(Y207))),INDIRECT("'Yr2'!"&amp;ADDRESS(ROW(Y207),COLUMN(Y207))),INDIRECT("'Yr3'!"&amp;ADDRESS(ROW(Y207),COLUMN(Y207)))),
IF($C$4=Y$7,SUMIFS('EE Inputs'!$L$9:$L$32,'EE Inputs'!$C$9:$C$32,$G$6,'EE Inputs'!$D$9:$D$32,$C$4,'EE Inputs'!$E$9:$E$32,$B207),0))</f>
        <v>0</v>
      </c>
      <c r="Z207" s="509">
        <f ca="1">IF($C$4=Lookups!$D$40,SUM(INDIRECT("'Yr1'!"&amp;ADDRESS(ROW(Z207),COLUMN(Z207))),INDIRECT("'Yr2'!"&amp;ADDRESS(ROW(Z207),COLUMN(Z207))),INDIRECT("'Yr3'!"&amp;ADDRESS(ROW(Z207),COLUMN(Z207)))),
IF($C$4=Z$7,SUMIFS('EE Inputs'!$L$9:$L$32,'EE Inputs'!$C$9:$C$32,$G$6,'EE Inputs'!$D$9:$D$32,$C$4,'EE Inputs'!$E$9:$E$32,$B207),0))</f>
        <v>0</v>
      </c>
      <c r="AA207" s="509">
        <f ca="1">IF($C$4=Lookups!$D$40,SUM(INDIRECT("'Yr1'!"&amp;ADDRESS(ROW(AA207),COLUMN(AA207))),INDIRECT("'Yr2'!"&amp;ADDRESS(ROW(AA207),COLUMN(AA207))),INDIRECT("'Yr3'!"&amp;ADDRESS(ROW(AA207),COLUMN(AA207)))),
IF($C$4=AA$7,SUMIFS('EE Inputs'!$L$9:$L$32,'EE Inputs'!$C$9:$C$32,$G$6,'EE Inputs'!$D$9:$D$32,$C$4,'EE Inputs'!$E$9:$E$32,$B207),0))</f>
        <v>0</v>
      </c>
      <c r="AB207" s="509">
        <f ca="1">IF($C$4=Lookups!$D$40,SUM(INDIRECT("'Yr1'!"&amp;ADDRESS(ROW(AB207),COLUMN(AB207))),INDIRECT("'Yr2'!"&amp;ADDRESS(ROW(AB207),COLUMN(AB207))),INDIRECT("'Yr3'!"&amp;ADDRESS(ROW(AB207),COLUMN(AB207)))),
IF($C$4=AB$7,SUMIFS('EE Inputs'!$L$9:$L$32,'EE Inputs'!$C$9:$C$32,$G$6,'EE Inputs'!$D$9:$D$32,$C$4,'EE Inputs'!$E$9:$E$32,$B207),0))</f>
        <v>0</v>
      </c>
      <c r="AC207" s="509">
        <f ca="1">IF($C$4=Lookups!$D$40,SUM(INDIRECT("'Yr1'!"&amp;ADDRESS(ROW(AC207),COLUMN(AC207))),INDIRECT("'Yr2'!"&amp;ADDRESS(ROW(AC207),COLUMN(AC207))),INDIRECT("'Yr3'!"&amp;ADDRESS(ROW(AC207),COLUMN(AC207)))),
IF($C$4=AC$7,SUMIFS('EE Inputs'!$L$9:$L$32,'EE Inputs'!$C$9:$C$32,$G$6,'EE Inputs'!$D$9:$D$32,$C$4,'EE Inputs'!$E$9:$E$32,$B207),0))</f>
        <v>0</v>
      </c>
      <c r="AD207" s="509">
        <f ca="1">IF($C$4=Lookups!$D$40,SUM(INDIRECT("'Yr1'!"&amp;ADDRESS(ROW(AD207),COLUMN(AD207))),INDIRECT("'Yr2'!"&amp;ADDRESS(ROW(AD207),COLUMN(AD207))),INDIRECT("'Yr3'!"&amp;ADDRESS(ROW(AD207),COLUMN(AD207)))),
IF($C$4=AD$7,SUMIFS('EE Inputs'!$L$9:$L$32,'EE Inputs'!$C$9:$C$32,$G$6,'EE Inputs'!$D$9:$D$32,$C$4,'EE Inputs'!$E$9:$E$32,$B207),0))</f>
        <v>0</v>
      </c>
      <c r="AE207" s="509">
        <f ca="1">IF($C$4=Lookups!$D$40,SUM(INDIRECT("'Yr1'!"&amp;ADDRESS(ROW(AE207),COLUMN(AE207))),INDIRECT("'Yr2'!"&amp;ADDRESS(ROW(AE207),COLUMN(AE207))),INDIRECT("'Yr3'!"&amp;ADDRESS(ROW(AE207),COLUMN(AE207)))),
IF($C$4=AE$7,SUMIFS('EE Inputs'!$L$9:$L$32,'EE Inputs'!$C$9:$C$32,$G$6,'EE Inputs'!$D$9:$D$32,$C$4,'EE Inputs'!$E$9:$E$32,$B207),0))</f>
        <v>0</v>
      </c>
      <c r="AF207" s="509">
        <f ca="1">IF($C$4=Lookups!$D$40,SUM(INDIRECT("'Yr1'!"&amp;ADDRESS(ROW(AF207),COLUMN(AF207))),INDIRECT("'Yr2'!"&amp;ADDRESS(ROW(AF207),COLUMN(AF207))),INDIRECT("'Yr3'!"&amp;ADDRESS(ROW(AF207),COLUMN(AF207)))),
IF($C$4=AF$7,SUMIFS('EE Inputs'!$L$9:$L$32,'EE Inputs'!$C$9:$C$32,$G$6,'EE Inputs'!$D$9:$D$32,$C$4,'EE Inputs'!$E$9:$E$32,$B207),0))</f>
        <v>0</v>
      </c>
      <c r="AG207" s="509">
        <f ca="1">IF($C$4=Lookups!$D$40,SUM(INDIRECT("'Yr1'!"&amp;ADDRESS(ROW(AG207),COLUMN(AG207))),INDIRECT("'Yr2'!"&amp;ADDRESS(ROW(AG207),COLUMN(AG207))),INDIRECT("'Yr3'!"&amp;ADDRESS(ROW(AG207),COLUMN(AG207)))),
IF($C$4=AG$7,SUMIFS('EE Inputs'!$L$9:$L$32,'EE Inputs'!$C$9:$C$32,$G$6,'EE Inputs'!$D$9:$D$32,$C$4,'EE Inputs'!$E$9:$E$32,$B207),0))</f>
        <v>0</v>
      </c>
      <c r="AH207" s="509"/>
      <c r="AI207" s="509"/>
      <c r="AJ207" s="509">
        <f ca="1">IF($C$4=Year1,-PMT(Lookups!$E$17,25,NPV(Lookups!$E$17,G207:AE207),0,1),IF($C$4=Year2,-PMT(Lookups!$F$17,25,NPV(Lookups!$F$17,H207:AF207),0,1),IF($C$4=Year3,-PMT(Lookups!$G$17,25,NPV(Lookups!$G$17,I207:AG207),0,1),-PMT(Lookups!$G$17,27,NPV(Lookups!$G$17,G207:AG207),0,1))))</f>
        <v>6.932672855075297E-3</v>
      </c>
      <c r="AK207" s="507"/>
      <c r="AL207" s="507"/>
      <c r="AM207" s="508">
        <f ca="1">IF($C$4=Lookups!$D$40,SUM(INDIRECT("'Yr1'!"&amp;ADDRESS(ROW(AM207),COLUMN(AM207))),INDIRECT("'Yr2'!"&amp;ADDRESS(ROW(AM207),COLUMN(AM207))),INDIRECT("'Yr3'!"&amp;ADDRESS(ROW(AM207),COLUMN(AM207)))),
IF($C$4=AM$7,SUMIFS('EE Inputs'!$L$9:$L$32,'EE Inputs'!$C$9:$C$32,$AM$6,'EE Inputs'!$D$9:$D$32,$C$4,'EE Inputs'!$E$9:$E$32,$B207),0))</f>
        <v>0</v>
      </c>
      <c r="AN207" s="508">
        <f ca="1">IF($C$4=Lookups!$D$40,SUM(INDIRECT("'Yr1'!"&amp;ADDRESS(ROW(AN207),COLUMN(AN207))),INDIRECT("'Yr2'!"&amp;ADDRESS(ROW(AN207),COLUMN(AN207))),INDIRECT("'Yr3'!"&amp;ADDRESS(ROW(AN207),COLUMN(AN207)))),
IF($C$4=AN$7,SUMIFS('EE Inputs'!$L$9:$L$32,'EE Inputs'!$C$9:$C$32,$AM$6,'EE Inputs'!$D$9:$D$32,$C$4,'EE Inputs'!$E$9:$E$32,$B207),0))</f>
        <v>0.1791229387447027</v>
      </c>
      <c r="AO207" s="508">
        <f ca="1">IF($C$4=Lookups!$D$40,SUM(INDIRECT("'Yr1'!"&amp;ADDRESS(ROW(AO207),COLUMN(AO207))),INDIRECT("'Yr2'!"&amp;ADDRESS(ROW(AO207),COLUMN(AO207))),INDIRECT("'Yr3'!"&amp;ADDRESS(ROW(AO207),COLUMN(AO207)))),
IF($C$4=AO$7,SUMIFS('EE Inputs'!$L$9:$L$32,'EE Inputs'!$C$9:$C$32,$AM$6,'EE Inputs'!$D$9:$D$32,$C$4,'EE Inputs'!$E$9:$E$32,$B207),0))</f>
        <v>0</v>
      </c>
      <c r="AP207" s="508">
        <f ca="1">IF($C$4=Lookups!$D$40,SUM(INDIRECT("'Yr1'!"&amp;ADDRESS(ROW(AP207),COLUMN(AP207))),INDIRECT("'Yr2'!"&amp;ADDRESS(ROW(AP207),COLUMN(AP207))),INDIRECT("'Yr3'!"&amp;ADDRESS(ROW(AP207),COLUMN(AP207)))),
IF($C$4=AP$7,SUMIFS('EE Inputs'!$L$9:$L$32,'EE Inputs'!$C$9:$C$32,$AM$6,'EE Inputs'!$D$9:$D$32,$C$4,'EE Inputs'!$E$9:$E$32,$B207),0))</f>
        <v>0</v>
      </c>
      <c r="AQ207" s="508">
        <f ca="1">IF($C$4=Lookups!$D$40,SUM(INDIRECT("'Yr1'!"&amp;ADDRESS(ROW(AQ207),COLUMN(AQ207))),INDIRECT("'Yr2'!"&amp;ADDRESS(ROW(AQ207),COLUMN(AQ207))),INDIRECT("'Yr3'!"&amp;ADDRESS(ROW(AQ207),COLUMN(AQ207)))),
IF($C$4=AQ$7,SUMIFS('EE Inputs'!$L$9:$L$32,'EE Inputs'!$C$9:$C$32,$AM$6,'EE Inputs'!$D$9:$D$32,$C$4,'EE Inputs'!$E$9:$E$32,$B207),0))</f>
        <v>0</v>
      </c>
      <c r="AR207" s="508">
        <f ca="1">IF($C$4=Lookups!$D$40,SUM(INDIRECT("'Yr1'!"&amp;ADDRESS(ROW(AR207),COLUMN(AR207))),INDIRECT("'Yr2'!"&amp;ADDRESS(ROW(AR207),COLUMN(AR207))),INDIRECT("'Yr3'!"&amp;ADDRESS(ROW(AR207),COLUMN(AR207)))),
IF($C$4=AR$7,SUMIFS('EE Inputs'!$L$9:$L$32,'EE Inputs'!$C$9:$C$32,$AM$6,'EE Inputs'!$D$9:$D$32,$C$4,'EE Inputs'!$E$9:$E$32,$B207),0))</f>
        <v>0</v>
      </c>
      <c r="AS207" s="508">
        <f ca="1">IF($C$4=Lookups!$D$40,SUM(INDIRECT("'Yr1'!"&amp;ADDRESS(ROW(AS207),COLUMN(AS207))),INDIRECT("'Yr2'!"&amp;ADDRESS(ROW(AS207),COLUMN(AS207))),INDIRECT("'Yr3'!"&amp;ADDRESS(ROW(AS207),COLUMN(AS207)))),
IF($C$4=AS$7,SUMIFS('EE Inputs'!$L$9:$L$32,'EE Inputs'!$C$9:$C$32,$AM$6,'EE Inputs'!$D$9:$D$32,$C$4,'EE Inputs'!$E$9:$E$32,$B207),0))</f>
        <v>0</v>
      </c>
      <c r="AT207" s="508">
        <f ca="1">IF($C$4=Lookups!$D$40,SUM(INDIRECT("'Yr1'!"&amp;ADDRESS(ROW(AT207),COLUMN(AT207))),INDIRECT("'Yr2'!"&amp;ADDRESS(ROW(AT207),COLUMN(AT207))),INDIRECT("'Yr3'!"&amp;ADDRESS(ROW(AT207),COLUMN(AT207)))),
IF($C$4=AT$7,SUMIFS('EE Inputs'!$L$9:$L$32,'EE Inputs'!$C$9:$C$32,$AM$6,'EE Inputs'!$D$9:$D$32,$C$4,'EE Inputs'!$E$9:$E$32,$B207),0))</f>
        <v>0</v>
      </c>
      <c r="AU207" s="508">
        <f ca="1">IF($C$4=Lookups!$D$40,SUM(INDIRECT("'Yr1'!"&amp;ADDRESS(ROW(AU207),COLUMN(AU207))),INDIRECT("'Yr2'!"&amp;ADDRESS(ROW(AU207),COLUMN(AU207))),INDIRECT("'Yr3'!"&amp;ADDRESS(ROW(AU207),COLUMN(AU207)))),
IF($C$4=AU$7,SUMIFS('EE Inputs'!$L$9:$L$32,'EE Inputs'!$C$9:$C$32,$AM$6,'EE Inputs'!$D$9:$D$32,$C$4,'EE Inputs'!$E$9:$E$32,$B207),0))</f>
        <v>0</v>
      </c>
      <c r="AV207" s="508">
        <f ca="1">IF($C$4=Lookups!$D$40,SUM(INDIRECT("'Yr1'!"&amp;ADDRESS(ROW(AV207),COLUMN(AV207))),INDIRECT("'Yr2'!"&amp;ADDRESS(ROW(AV207),COLUMN(AV207))),INDIRECT("'Yr3'!"&amp;ADDRESS(ROW(AV207),COLUMN(AV207)))),
IF($C$4=AV$7,SUMIFS('EE Inputs'!$L$9:$L$32,'EE Inputs'!$C$9:$C$32,$AM$6,'EE Inputs'!$D$9:$D$32,$C$4,'EE Inputs'!$E$9:$E$32,$B207),0))</f>
        <v>0</v>
      </c>
      <c r="AW207" s="508">
        <f ca="1">IF($C$4=Lookups!$D$40,SUM(INDIRECT("'Yr1'!"&amp;ADDRESS(ROW(AW207),COLUMN(AW207))),INDIRECT("'Yr2'!"&amp;ADDRESS(ROW(AW207),COLUMN(AW207))),INDIRECT("'Yr3'!"&amp;ADDRESS(ROW(AW207),COLUMN(AW207)))),
IF($C$4=AW$7,SUMIFS('EE Inputs'!$L$9:$L$32,'EE Inputs'!$C$9:$C$32,$AM$6,'EE Inputs'!$D$9:$D$32,$C$4,'EE Inputs'!$E$9:$E$32,$B207),0))</f>
        <v>0</v>
      </c>
      <c r="AX207" s="508">
        <f ca="1">IF($C$4=Lookups!$D$40,SUM(INDIRECT("'Yr1'!"&amp;ADDRESS(ROW(AX207),COLUMN(AX207))),INDIRECT("'Yr2'!"&amp;ADDRESS(ROW(AX207),COLUMN(AX207))),INDIRECT("'Yr3'!"&amp;ADDRESS(ROW(AX207),COLUMN(AX207)))),
IF($C$4=AX$7,SUMIFS('EE Inputs'!$L$9:$L$32,'EE Inputs'!$C$9:$C$32,$AM$6,'EE Inputs'!$D$9:$D$32,$C$4,'EE Inputs'!$E$9:$E$32,$B207),0))</f>
        <v>0</v>
      </c>
      <c r="AY207" s="508">
        <f ca="1">IF($C$4=Lookups!$D$40,SUM(INDIRECT("'Yr1'!"&amp;ADDRESS(ROW(AY207),COLUMN(AY207))),INDIRECT("'Yr2'!"&amp;ADDRESS(ROW(AY207),COLUMN(AY207))),INDIRECT("'Yr3'!"&amp;ADDRESS(ROW(AY207),COLUMN(AY207)))),
IF($C$4=AY$7,SUMIFS('EE Inputs'!$L$9:$L$32,'EE Inputs'!$C$9:$C$32,$AM$6,'EE Inputs'!$D$9:$D$32,$C$4,'EE Inputs'!$E$9:$E$32,$B207),0))</f>
        <v>0</v>
      </c>
      <c r="AZ207" s="508">
        <f ca="1">IF($C$4=Lookups!$D$40,SUM(INDIRECT("'Yr1'!"&amp;ADDRESS(ROW(AZ207),COLUMN(AZ207))),INDIRECT("'Yr2'!"&amp;ADDRESS(ROW(AZ207),COLUMN(AZ207))),INDIRECT("'Yr3'!"&amp;ADDRESS(ROW(AZ207),COLUMN(AZ207)))),
IF($C$4=AZ$7,SUMIFS('EE Inputs'!$L$9:$L$32,'EE Inputs'!$C$9:$C$32,$AM$6,'EE Inputs'!$D$9:$D$32,$C$4,'EE Inputs'!$E$9:$E$32,$B207),0))</f>
        <v>0</v>
      </c>
      <c r="BA207" s="508">
        <f ca="1">IF($C$4=Lookups!$D$40,SUM(INDIRECT("'Yr1'!"&amp;ADDRESS(ROW(BA207),COLUMN(BA207))),INDIRECT("'Yr2'!"&amp;ADDRESS(ROW(BA207),COLUMN(BA207))),INDIRECT("'Yr3'!"&amp;ADDRESS(ROW(BA207),COLUMN(BA207)))),
IF($C$4=BA$7,SUMIFS('EE Inputs'!$L$9:$L$32,'EE Inputs'!$C$9:$C$32,$AM$6,'EE Inputs'!$D$9:$D$32,$C$4,'EE Inputs'!$E$9:$E$32,$B207),0))</f>
        <v>0</v>
      </c>
      <c r="BB207" s="508">
        <f ca="1">IF($C$4=Lookups!$D$40,SUM(INDIRECT("'Yr1'!"&amp;ADDRESS(ROW(BB207),COLUMN(BB207))),INDIRECT("'Yr2'!"&amp;ADDRESS(ROW(BB207),COLUMN(BB207))),INDIRECT("'Yr3'!"&amp;ADDRESS(ROW(BB207),COLUMN(BB207)))),
IF($C$4=BB$7,SUMIFS('EE Inputs'!$L$9:$L$32,'EE Inputs'!$C$9:$C$32,$AM$6,'EE Inputs'!$D$9:$D$32,$C$4,'EE Inputs'!$E$9:$E$32,$B207),0))</f>
        <v>0</v>
      </c>
      <c r="BC207" s="508">
        <f ca="1">IF($C$4=Lookups!$D$40,SUM(INDIRECT("'Yr1'!"&amp;ADDRESS(ROW(BC207),COLUMN(BC207))),INDIRECT("'Yr2'!"&amp;ADDRESS(ROW(BC207),COLUMN(BC207))),INDIRECT("'Yr3'!"&amp;ADDRESS(ROW(BC207),COLUMN(BC207)))),
IF($C$4=BC$7,SUMIFS('EE Inputs'!$L$9:$L$32,'EE Inputs'!$C$9:$C$32,$AM$6,'EE Inputs'!$D$9:$D$32,$C$4,'EE Inputs'!$E$9:$E$32,$B207),0))</f>
        <v>0</v>
      </c>
      <c r="BD207" s="508">
        <f ca="1">IF($C$4=Lookups!$D$40,SUM(INDIRECT("'Yr1'!"&amp;ADDRESS(ROW(BD207),COLUMN(BD207))),INDIRECT("'Yr2'!"&amp;ADDRESS(ROW(BD207),COLUMN(BD207))),INDIRECT("'Yr3'!"&amp;ADDRESS(ROW(BD207),COLUMN(BD207)))),
IF($C$4=BD$7,SUMIFS('EE Inputs'!$L$9:$L$32,'EE Inputs'!$C$9:$C$32,$AM$6,'EE Inputs'!$D$9:$D$32,$C$4,'EE Inputs'!$E$9:$E$32,$B207),0))</f>
        <v>0</v>
      </c>
      <c r="BE207" s="508">
        <f ca="1">IF($C$4=Lookups!$D$40,SUM(INDIRECT("'Yr1'!"&amp;ADDRESS(ROW(BE207),COLUMN(BE207))),INDIRECT("'Yr2'!"&amp;ADDRESS(ROW(BE207),COLUMN(BE207))),INDIRECT("'Yr3'!"&amp;ADDRESS(ROW(BE207),COLUMN(BE207)))),
IF($C$4=BE$7,SUMIFS('EE Inputs'!$L$9:$L$32,'EE Inputs'!$C$9:$C$32,$AM$6,'EE Inputs'!$D$9:$D$32,$C$4,'EE Inputs'!$E$9:$E$32,$B207),0))</f>
        <v>0</v>
      </c>
      <c r="BF207" s="508">
        <f ca="1">IF($C$4=Lookups!$D$40,SUM(INDIRECT("'Yr1'!"&amp;ADDRESS(ROW(BF207),COLUMN(BF207))),INDIRECT("'Yr2'!"&amp;ADDRESS(ROW(BF207),COLUMN(BF207))),INDIRECT("'Yr3'!"&amp;ADDRESS(ROW(BF207),COLUMN(BF207)))),
IF($C$4=BF$7,SUMIFS('EE Inputs'!$L$9:$L$32,'EE Inputs'!$C$9:$C$32,$AM$6,'EE Inputs'!$D$9:$D$32,$C$4,'EE Inputs'!$E$9:$E$32,$B207),0))</f>
        <v>0</v>
      </c>
      <c r="BG207" s="508">
        <f ca="1">IF($C$4=Lookups!$D$40,SUM(INDIRECT("'Yr1'!"&amp;ADDRESS(ROW(BG207),COLUMN(BG207))),INDIRECT("'Yr2'!"&amp;ADDRESS(ROW(BG207),COLUMN(BG207))),INDIRECT("'Yr3'!"&amp;ADDRESS(ROW(BG207),COLUMN(BG207)))),
IF($C$4=BG$7,SUMIFS('EE Inputs'!$L$9:$L$32,'EE Inputs'!$C$9:$C$32,$AM$6,'EE Inputs'!$D$9:$D$32,$C$4,'EE Inputs'!$E$9:$E$32,$B207),0))</f>
        <v>0</v>
      </c>
      <c r="BH207" s="508">
        <f ca="1">IF($C$4=Lookups!$D$40,SUM(INDIRECT("'Yr1'!"&amp;ADDRESS(ROW(BH207),COLUMN(BH207))),INDIRECT("'Yr2'!"&amp;ADDRESS(ROW(BH207),COLUMN(BH207))),INDIRECT("'Yr3'!"&amp;ADDRESS(ROW(BH207),COLUMN(BH207)))),
IF($C$4=BH$7,SUMIFS('EE Inputs'!$L$9:$L$32,'EE Inputs'!$C$9:$C$32,$AM$6,'EE Inputs'!$D$9:$D$32,$C$4,'EE Inputs'!$E$9:$E$32,$B207),0))</f>
        <v>0</v>
      </c>
      <c r="BI207" s="508">
        <f ca="1">IF($C$4=Lookups!$D$40,SUM(INDIRECT("'Yr1'!"&amp;ADDRESS(ROW(BI207),COLUMN(BI207))),INDIRECT("'Yr2'!"&amp;ADDRESS(ROW(BI207),COLUMN(BI207))),INDIRECT("'Yr3'!"&amp;ADDRESS(ROW(BI207),COLUMN(BI207)))),
IF($C$4=BI$7,SUMIFS('EE Inputs'!$L$9:$L$32,'EE Inputs'!$C$9:$C$32,$AM$6,'EE Inputs'!$D$9:$D$32,$C$4,'EE Inputs'!$E$9:$E$32,$B207),0))</f>
        <v>0</v>
      </c>
      <c r="BJ207" s="508">
        <f ca="1">IF($C$4=Lookups!$D$40,SUM(INDIRECT("'Yr1'!"&amp;ADDRESS(ROW(BJ207),COLUMN(BJ207))),INDIRECT("'Yr2'!"&amp;ADDRESS(ROW(BJ207),COLUMN(BJ207))),INDIRECT("'Yr3'!"&amp;ADDRESS(ROW(BJ207),COLUMN(BJ207)))),
IF($C$4=BJ$7,SUMIFS('EE Inputs'!$L$9:$L$32,'EE Inputs'!$C$9:$C$32,$AM$6,'EE Inputs'!$D$9:$D$32,$C$4,'EE Inputs'!$E$9:$E$32,$B207),0))</f>
        <v>0</v>
      </c>
      <c r="BK207" s="508">
        <f ca="1">IF($C$4=Lookups!$D$40,SUM(INDIRECT("'Yr1'!"&amp;ADDRESS(ROW(BK207),COLUMN(BK207))),INDIRECT("'Yr2'!"&amp;ADDRESS(ROW(BK207),COLUMN(BK207))),INDIRECT("'Yr3'!"&amp;ADDRESS(ROW(BK207),COLUMN(BK207)))),
IF($C$4=BK$7,SUMIFS('EE Inputs'!$L$9:$L$32,'EE Inputs'!$C$9:$C$32,$AM$6,'EE Inputs'!$D$9:$D$32,$C$4,'EE Inputs'!$E$9:$E$32,$B207),0))</f>
        <v>0</v>
      </c>
      <c r="BL207" s="508">
        <f ca="1">IF($C$4=Lookups!$D$40,SUM(INDIRECT("'Yr1'!"&amp;ADDRESS(ROW(BL207),COLUMN(BL207))),INDIRECT("'Yr2'!"&amp;ADDRESS(ROW(BL207),COLUMN(BL207))),INDIRECT("'Yr3'!"&amp;ADDRESS(ROW(BL207),COLUMN(BL207)))),
IF($C$4=BL$7,SUMIFS('EE Inputs'!$L$9:$L$32,'EE Inputs'!$C$9:$C$32,$AM$6,'EE Inputs'!$D$9:$D$32,$C$4,'EE Inputs'!$E$9:$E$32,$B207),0))</f>
        <v>0</v>
      </c>
      <c r="BM207" s="508">
        <f ca="1">IF($C$4=Lookups!$D$40,SUM(INDIRECT("'Yr1'!"&amp;ADDRESS(ROW(BM207),COLUMN(BM207))),INDIRECT("'Yr2'!"&amp;ADDRESS(ROW(BM207),COLUMN(BM207))),INDIRECT("'Yr3'!"&amp;ADDRESS(ROW(BM207),COLUMN(BM207)))),
IF($C$4=BM$7,SUMIFS('EE Inputs'!$L$9:$L$32,'EE Inputs'!$C$9:$C$32,$AM$6,'EE Inputs'!$D$9:$D$32,$C$4,'EE Inputs'!$E$9:$E$32,$B207),0))</f>
        <v>0</v>
      </c>
      <c r="BN207" s="508"/>
      <c r="BO207" s="508"/>
      <c r="BP207" s="508">
        <f ca="1">IF($C$4=Year1,-PMT(Lookups!$E$17,25,NPV(Lookups!$E$17,AM207:BK207),0,1),IF($C$4=Year2,-PMT(Lookups!$F$17,25,NPV(Lookups!$F$17,AN207:BL207),0,1),IF($C$4=Year3,-PMT(Lookups!$G$17,25,NPV(Lookups!$G$17,AO207:BM207),0,1),-PMT(Lookups!$G$17,27,NPV(Lookups!$G$17,AM207:BM207),0,1))))</f>
        <v>8.319207426090356E-3</v>
      </c>
      <c r="BS207" s="86" t="s">
        <v>402</v>
      </c>
      <c r="BT207" s="51" t="s">
        <v>17</v>
      </c>
    </row>
    <row r="208" spans="1:72" x14ac:dyDescent="0.25">
      <c r="A208" s="246"/>
      <c r="B208" s="243" t="str">
        <f t="shared" si="213"/>
        <v>Small C&amp;I</v>
      </c>
      <c r="C208" s="243" t="str">
        <f t="shared" si="213"/>
        <v>Rates</v>
      </c>
      <c r="D208" s="244" t="str">
        <f t="shared" si="213"/>
        <v>Increased Costs and Cost Shifting</v>
      </c>
      <c r="E208" s="86" t="s">
        <v>198</v>
      </c>
      <c r="F208" s="84" t="s">
        <v>182</v>
      </c>
      <c r="G208" s="506">
        <f ca="1">IFERROR((G190/G175)-(G190/G173),0)</f>
        <v>0</v>
      </c>
      <c r="H208" s="506">
        <f t="shared" ref="H208:AG208" ca="1" si="216">IFERROR((H190/H175)-(H190/H173),0)</f>
        <v>6.7501448469345915E-3</v>
      </c>
      <c r="I208" s="506">
        <f t="shared" ca="1" si="216"/>
        <v>6.7501448469345915E-3</v>
      </c>
      <c r="J208" s="506">
        <f t="shared" ca="1" si="216"/>
        <v>6.7501448469345915E-3</v>
      </c>
      <c r="K208" s="506">
        <f t="shared" ca="1" si="216"/>
        <v>6.7501448469345915E-3</v>
      </c>
      <c r="L208" s="506">
        <f t="shared" ca="1" si="216"/>
        <v>6.7501448469345915E-3</v>
      </c>
      <c r="M208" s="506">
        <f t="shared" ca="1" si="216"/>
        <v>6.7501448469345915E-3</v>
      </c>
      <c r="N208" s="506">
        <f t="shared" ca="1" si="216"/>
        <v>6.7501448469345915E-3</v>
      </c>
      <c r="O208" s="506">
        <f t="shared" ca="1" si="216"/>
        <v>6.7501448469345915E-3</v>
      </c>
      <c r="P208" s="506">
        <f t="shared" ca="1" si="216"/>
        <v>6.7501448469345915E-3</v>
      </c>
      <c r="Q208" s="506">
        <f t="shared" ca="1" si="216"/>
        <v>6.7501448469345915E-3</v>
      </c>
      <c r="R208" s="506">
        <f t="shared" ca="1" si="216"/>
        <v>6.7501448469345915E-3</v>
      </c>
      <c r="S208" s="506">
        <f t="shared" ca="1" si="216"/>
        <v>6.7501448469345915E-3</v>
      </c>
      <c r="T208" s="506">
        <f t="shared" ca="1" si="216"/>
        <v>6.7501448469345915E-3</v>
      </c>
      <c r="U208" s="506">
        <f t="shared" ca="1" si="216"/>
        <v>6.7501448469345915E-3</v>
      </c>
      <c r="V208" s="506">
        <f t="shared" ca="1" si="216"/>
        <v>6.7501448469345915E-3</v>
      </c>
      <c r="W208" s="506">
        <f t="shared" ca="1" si="216"/>
        <v>6.7501448469345915E-3</v>
      </c>
      <c r="X208" s="506">
        <f t="shared" ca="1" si="216"/>
        <v>0</v>
      </c>
      <c r="Y208" s="506">
        <f t="shared" ca="1" si="216"/>
        <v>0</v>
      </c>
      <c r="Z208" s="506">
        <f t="shared" ca="1" si="216"/>
        <v>0</v>
      </c>
      <c r="AA208" s="506">
        <f t="shared" ca="1" si="216"/>
        <v>0</v>
      </c>
      <c r="AB208" s="506">
        <f t="shared" ca="1" si="216"/>
        <v>0</v>
      </c>
      <c r="AC208" s="506">
        <f t="shared" ca="1" si="216"/>
        <v>0</v>
      </c>
      <c r="AD208" s="506">
        <f t="shared" ca="1" si="216"/>
        <v>0</v>
      </c>
      <c r="AE208" s="506">
        <f t="shared" ca="1" si="216"/>
        <v>0</v>
      </c>
      <c r="AF208" s="506">
        <f t="shared" ca="1" si="216"/>
        <v>0</v>
      </c>
      <c r="AG208" s="506">
        <f t="shared" ca="1" si="216"/>
        <v>0</v>
      </c>
      <c r="AH208" s="506"/>
      <c r="AI208" s="506"/>
      <c r="AJ208" s="506">
        <f ca="1">IF($C$4=Year1,-PMT(Lookups!$E$17,25,NPV(Lookups!$E$17,G208:AE208),0,1),IF($C$4=Year2,-PMT(Lookups!$F$17,25,NPV(Lookups!$F$17,H208:AF208),0,1),IF($C$4=Year3,-PMT(Lookups!$G$17,25,NPV(Lookups!$G$17,I208:AG208),0,1),-PMT(Lookups!$G$17,27,NPV(Lookups!$G$17,G208:AG208),0,1))))</f>
        <v>4.5240406120171956E-3</v>
      </c>
      <c r="AK208" s="507"/>
      <c r="AL208" s="507"/>
      <c r="AM208" s="508">
        <f ca="1">IFERROR((AM190/AM175)-(AM190/AM173),0)</f>
        <v>0</v>
      </c>
      <c r="AN208" s="508">
        <f t="shared" ref="AN208:BM208" ca="1" si="217">IFERROR((AN190/AN175)-(AN190/AN173),0)</f>
        <v>7.7315631627692394E-3</v>
      </c>
      <c r="AO208" s="508">
        <f t="shared" ca="1" si="217"/>
        <v>7.7315631627692394E-3</v>
      </c>
      <c r="AP208" s="508">
        <f t="shared" ca="1" si="217"/>
        <v>7.7315631627692394E-3</v>
      </c>
      <c r="AQ208" s="508">
        <f t="shared" ca="1" si="217"/>
        <v>7.7315631627692394E-3</v>
      </c>
      <c r="AR208" s="508">
        <f t="shared" ca="1" si="217"/>
        <v>7.7315631627692394E-3</v>
      </c>
      <c r="AS208" s="508">
        <f t="shared" ca="1" si="217"/>
        <v>7.7315631627692394E-3</v>
      </c>
      <c r="AT208" s="508">
        <f t="shared" ca="1" si="217"/>
        <v>7.7315631627692394E-3</v>
      </c>
      <c r="AU208" s="508">
        <f t="shared" ca="1" si="217"/>
        <v>7.7315631627692394E-3</v>
      </c>
      <c r="AV208" s="508">
        <f t="shared" ca="1" si="217"/>
        <v>7.7315631627692394E-3</v>
      </c>
      <c r="AW208" s="508">
        <f t="shared" ca="1" si="217"/>
        <v>7.7315631627692394E-3</v>
      </c>
      <c r="AX208" s="508">
        <f t="shared" ca="1" si="217"/>
        <v>7.7315631627692394E-3</v>
      </c>
      <c r="AY208" s="508">
        <f t="shared" ca="1" si="217"/>
        <v>7.7315631627692394E-3</v>
      </c>
      <c r="AZ208" s="508">
        <f t="shared" ca="1" si="217"/>
        <v>7.7315631627692394E-3</v>
      </c>
      <c r="BA208" s="508">
        <f t="shared" ca="1" si="217"/>
        <v>7.7315631627692394E-3</v>
      </c>
      <c r="BB208" s="508">
        <f t="shared" ca="1" si="217"/>
        <v>7.7315631627692394E-3</v>
      </c>
      <c r="BC208" s="508">
        <f t="shared" ca="1" si="217"/>
        <v>7.7315631627692394E-3</v>
      </c>
      <c r="BD208" s="508">
        <f t="shared" ca="1" si="217"/>
        <v>0</v>
      </c>
      <c r="BE208" s="508">
        <f t="shared" ca="1" si="217"/>
        <v>0</v>
      </c>
      <c r="BF208" s="508">
        <f t="shared" ca="1" si="217"/>
        <v>0</v>
      </c>
      <c r="BG208" s="508">
        <f t="shared" ca="1" si="217"/>
        <v>0</v>
      </c>
      <c r="BH208" s="508">
        <f t="shared" ca="1" si="217"/>
        <v>0</v>
      </c>
      <c r="BI208" s="508">
        <f t="shared" ca="1" si="217"/>
        <v>0</v>
      </c>
      <c r="BJ208" s="508">
        <f t="shared" ca="1" si="217"/>
        <v>0</v>
      </c>
      <c r="BK208" s="508">
        <f t="shared" ca="1" si="217"/>
        <v>0</v>
      </c>
      <c r="BL208" s="508">
        <f t="shared" ca="1" si="217"/>
        <v>0</v>
      </c>
      <c r="BM208" s="508">
        <f t="shared" ca="1" si="217"/>
        <v>0</v>
      </c>
      <c r="BN208" s="508"/>
      <c r="BO208" s="508"/>
      <c r="BP208" s="508">
        <f ca="1">IF($C$4=Year1,-PMT(Lookups!$E$17,25,NPV(Lookups!$E$17,AM208:BK208),0,1),IF($C$4=Year2,-PMT(Lookups!$F$17,25,NPV(Lookups!$F$17,AN208:BL208),0,1),IF($C$4=Year3,-PMT(Lookups!$G$17,25,NPV(Lookups!$G$17,AO208:BM208),0,1),-PMT(Lookups!$G$17,27,NPV(Lookups!$G$17,AM208:BM208),0,1))))</f>
        <v>5.1818007666351775E-3</v>
      </c>
      <c r="BS208" s="84" t="s">
        <v>103</v>
      </c>
      <c r="BT208" s="51" t="s">
        <v>17</v>
      </c>
    </row>
    <row r="209" spans="1:72" x14ac:dyDescent="0.25">
      <c r="B209" s="243" t="str">
        <f t="shared" si="213"/>
        <v>Small C&amp;I</v>
      </c>
      <c r="C209" s="243" t="str">
        <f t="shared" si="213"/>
        <v>Rates</v>
      </c>
      <c r="D209" s="114" t="s">
        <v>110</v>
      </c>
      <c r="E209" s="86"/>
      <c r="F209" s="86"/>
      <c r="G209" s="238"/>
      <c r="H209" s="238"/>
      <c r="I209" s="238"/>
      <c r="J209" s="238"/>
      <c r="K209" s="238"/>
      <c r="L209" s="238"/>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49"/>
      <c r="AI209" s="238"/>
      <c r="AJ209" s="49"/>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S209" s="84"/>
      <c r="BT209" s="51" t="s">
        <v>17</v>
      </c>
    </row>
    <row r="210" spans="1:72" x14ac:dyDescent="0.25">
      <c r="B210" s="243" t="str">
        <f t="shared" si="213"/>
        <v>Small C&amp;I</v>
      </c>
      <c r="C210" s="243" t="str">
        <f t="shared" si="213"/>
        <v>Rates</v>
      </c>
      <c r="D210" s="244" t="str">
        <f>D209</f>
        <v>Rates after DSM Scenario</v>
      </c>
      <c r="E210" s="86" t="s">
        <v>26</v>
      </c>
      <c r="F210" s="84" t="s">
        <v>182</v>
      </c>
      <c r="G210" s="506">
        <f ca="1">IFERROR(G190/G175,0)</f>
        <v>0</v>
      </c>
      <c r="H210" s="506">
        <f t="shared" ref="H210:AG210" ca="1" si="218">IFERROR(H190/H175,0)</f>
        <v>0.39817530270481311</v>
      </c>
      <c r="I210" s="506">
        <f t="shared" ca="1" si="218"/>
        <v>0.39817530270481311</v>
      </c>
      <c r="J210" s="506">
        <f t="shared" ca="1" si="218"/>
        <v>0.39817530270481311</v>
      </c>
      <c r="K210" s="506">
        <f t="shared" ca="1" si="218"/>
        <v>0.39817530270481311</v>
      </c>
      <c r="L210" s="506">
        <f t="shared" ca="1" si="218"/>
        <v>0.39817530270481311</v>
      </c>
      <c r="M210" s="506">
        <f t="shared" ca="1" si="218"/>
        <v>0.39817530270481311</v>
      </c>
      <c r="N210" s="506">
        <f t="shared" ca="1" si="218"/>
        <v>0.39817530270481311</v>
      </c>
      <c r="O210" s="506">
        <f t="shared" ca="1" si="218"/>
        <v>0.39817530270481311</v>
      </c>
      <c r="P210" s="506">
        <f t="shared" ca="1" si="218"/>
        <v>0.39817530270481311</v>
      </c>
      <c r="Q210" s="506">
        <f t="shared" ca="1" si="218"/>
        <v>0.39817530270481311</v>
      </c>
      <c r="R210" s="506">
        <f t="shared" ca="1" si="218"/>
        <v>0.39817530270481311</v>
      </c>
      <c r="S210" s="506">
        <f t="shared" ca="1" si="218"/>
        <v>0.39817530270481311</v>
      </c>
      <c r="T210" s="506">
        <f t="shared" ca="1" si="218"/>
        <v>0.39817530270481311</v>
      </c>
      <c r="U210" s="506">
        <f t="shared" ca="1" si="218"/>
        <v>0.39817530270481311</v>
      </c>
      <c r="V210" s="506">
        <f t="shared" ca="1" si="218"/>
        <v>0.39817530270481311</v>
      </c>
      <c r="W210" s="506">
        <f t="shared" ca="1" si="218"/>
        <v>0.39817530270481311</v>
      </c>
      <c r="X210" s="506">
        <f t="shared" ca="1" si="218"/>
        <v>0.39211256243681192</v>
      </c>
      <c r="Y210" s="506">
        <f t="shared" ca="1" si="218"/>
        <v>0.39211256243681192</v>
      </c>
      <c r="Z210" s="506">
        <f t="shared" ca="1" si="218"/>
        <v>0.39211256243681192</v>
      </c>
      <c r="AA210" s="506">
        <f t="shared" ca="1" si="218"/>
        <v>0.39211256243681192</v>
      </c>
      <c r="AB210" s="506">
        <f t="shared" ca="1" si="218"/>
        <v>0.39211256243681192</v>
      </c>
      <c r="AC210" s="506">
        <f t="shared" ca="1" si="218"/>
        <v>0.39211256243681192</v>
      </c>
      <c r="AD210" s="506">
        <f t="shared" ca="1" si="218"/>
        <v>0.39211256243681192</v>
      </c>
      <c r="AE210" s="506">
        <f t="shared" ca="1" si="218"/>
        <v>0.39211256243681192</v>
      </c>
      <c r="AF210" s="506">
        <f t="shared" ca="1" si="218"/>
        <v>0.39211256243681192</v>
      </c>
      <c r="AG210" s="506">
        <f t="shared" ca="1" si="218"/>
        <v>0.39211256243681192</v>
      </c>
      <c r="AH210" s="509"/>
      <c r="AI210" s="506"/>
      <c r="AJ210" s="509">
        <f ca="1">IF($C$4=Year1,-PMT(Lookups!$E$17,25,NPV(Lookups!$E$17,G210:AE210),0,1),IF($C$4=Year2,-PMT(Lookups!$F$17,25,NPV(Lookups!$F$17,H210:AF210),0,1),IF($C$4=Year3,-PMT(Lookups!$G$17,25,NPV(Lookups!$G$17,I210:AG210),0,1),-PMT(Lookups!$G$17,27,NPV(Lookups!$G$17,G210:AG210),0,1))))</f>
        <v>0.39070720645265911</v>
      </c>
      <c r="AK210" s="507"/>
      <c r="AL210" s="507"/>
      <c r="AM210" s="508">
        <f ca="1">IFERROR(AM190/AM175,0)</f>
        <v>0</v>
      </c>
      <c r="AN210" s="508">
        <f t="shared" ref="AN210:BM210" ca="1" si="219">IFERROR(AN190/AN175,0)</f>
        <v>0.3990585203665144</v>
      </c>
      <c r="AO210" s="508">
        <f t="shared" ca="1" si="219"/>
        <v>0.3990585203665144</v>
      </c>
      <c r="AP210" s="508">
        <f t="shared" ca="1" si="219"/>
        <v>0.3990585203665144</v>
      </c>
      <c r="AQ210" s="508">
        <f t="shared" ca="1" si="219"/>
        <v>0.3990585203665144</v>
      </c>
      <c r="AR210" s="508">
        <f t="shared" ca="1" si="219"/>
        <v>0.3990585203665144</v>
      </c>
      <c r="AS210" s="508">
        <f t="shared" ca="1" si="219"/>
        <v>0.3990585203665144</v>
      </c>
      <c r="AT210" s="508">
        <f t="shared" ca="1" si="219"/>
        <v>0.3990585203665144</v>
      </c>
      <c r="AU210" s="508">
        <f t="shared" ca="1" si="219"/>
        <v>0.3990585203665144</v>
      </c>
      <c r="AV210" s="508">
        <f t="shared" ca="1" si="219"/>
        <v>0.3990585203665144</v>
      </c>
      <c r="AW210" s="508">
        <f t="shared" ca="1" si="219"/>
        <v>0.3990585203665144</v>
      </c>
      <c r="AX210" s="508">
        <f t="shared" ca="1" si="219"/>
        <v>0.3990585203665144</v>
      </c>
      <c r="AY210" s="508">
        <f t="shared" ca="1" si="219"/>
        <v>0.3990585203665144</v>
      </c>
      <c r="AZ210" s="508">
        <f t="shared" ca="1" si="219"/>
        <v>0.3990585203665144</v>
      </c>
      <c r="BA210" s="508">
        <f t="shared" ca="1" si="219"/>
        <v>0.3990585203665144</v>
      </c>
      <c r="BB210" s="508">
        <f t="shared" ca="1" si="219"/>
        <v>0.3990585203665144</v>
      </c>
      <c r="BC210" s="508">
        <f t="shared" ca="1" si="219"/>
        <v>0.3990585203665144</v>
      </c>
      <c r="BD210" s="508">
        <f t="shared" ca="1" si="219"/>
        <v>0.39211256243681192</v>
      </c>
      <c r="BE210" s="508">
        <f t="shared" ca="1" si="219"/>
        <v>0.39211256243681192</v>
      </c>
      <c r="BF210" s="508">
        <f t="shared" ca="1" si="219"/>
        <v>0.39211256243681192</v>
      </c>
      <c r="BG210" s="508">
        <f t="shared" ca="1" si="219"/>
        <v>0.39211256243681192</v>
      </c>
      <c r="BH210" s="508">
        <f t="shared" ca="1" si="219"/>
        <v>0.39211256243681192</v>
      </c>
      <c r="BI210" s="508">
        <f t="shared" ca="1" si="219"/>
        <v>0.39211256243681192</v>
      </c>
      <c r="BJ210" s="508">
        <f t="shared" ca="1" si="219"/>
        <v>0.39211256243681192</v>
      </c>
      <c r="BK210" s="508">
        <f t="shared" ca="1" si="219"/>
        <v>0.39211256243681192</v>
      </c>
      <c r="BL210" s="508">
        <f t="shared" ca="1" si="219"/>
        <v>0.39211256243681192</v>
      </c>
      <c r="BM210" s="508">
        <f t="shared" ca="1" si="219"/>
        <v>0.39211256243681192</v>
      </c>
      <c r="BN210" s="508"/>
      <c r="BO210" s="508"/>
      <c r="BP210" s="508">
        <f ca="1">IF($C$4=Year1,-PMT(Lookups!$E$17,25,NPV(Lookups!$E$17,AM210:BK210),0,1),IF($C$4=Year2,-PMT(Lookups!$F$17,25,NPV(Lookups!$F$17,AN210:BL210),0,1),IF($C$4=Year3,-PMT(Lookups!$G$17,25,NPV(Lookups!$G$17,AO210:BM210),0,1),-PMT(Lookups!$G$17,27,NPV(Lookups!$G$17,AM210:BM210),0,1))))</f>
        <v>0.3912991511681273</v>
      </c>
      <c r="BS210" s="84" t="s">
        <v>238</v>
      </c>
      <c r="BT210" s="51" t="s">
        <v>17</v>
      </c>
    </row>
    <row r="211" spans="1:72" x14ac:dyDescent="0.25">
      <c r="B211" s="243" t="str">
        <f t="shared" si="213"/>
        <v>Small C&amp;I</v>
      </c>
      <c r="C211" s="243" t="str">
        <f t="shared" si="213"/>
        <v>Rates</v>
      </c>
      <c r="D211" s="244" t="str">
        <f>D210</f>
        <v>Rates after DSM Scenario</v>
      </c>
      <c r="E211" s="84" t="s">
        <v>407</v>
      </c>
      <c r="F211" s="84" t="s">
        <v>182</v>
      </c>
      <c r="G211" s="506">
        <f ca="1">IFERROR(G191/G175,0)</f>
        <v>0</v>
      </c>
      <c r="H211" s="506">
        <f t="shared" ref="H211:AG211" ca="1" si="220">IFERROR(H191/H175,0)</f>
        <v>5.2896742391218658E-3</v>
      </c>
      <c r="I211" s="506">
        <f t="shared" ca="1" si="220"/>
        <v>5.2896742391218658E-3</v>
      </c>
      <c r="J211" s="506">
        <f t="shared" ca="1" si="220"/>
        <v>5.2896742391218658E-3</v>
      </c>
      <c r="K211" s="506">
        <f t="shared" ca="1" si="220"/>
        <v>5.2896742391218658E-3</v>
      </c>
      <c r="L211" s="506">
        <f t="shared" ca="1" si="220"/>
        <v>5.2896742391218658E-3</v>
      </c>
      <c r="M211" s="506">
        <f t="shared" ca="1" si="220"/>
        <v>5.2896742391218658E-3</v>
      </c>
      <c r="N211" s="506">
        <f t="shared" ca="1" si="220"/>
        <v>5.2896742391218658E-3</v>
      </c>
      <c r="O211" s="506">
        <f t="shared" ca="1" si="220"/>
        <v>5.2896742391218658E-3</v>
      </c>
      <c r="P211" s="506">
        <f t="shared" ca="1" si="220"/>
        <v>5.2896742391218658E-3</v>
      </c>
      <c r="Q211" s="506">
        <f t="shared" ca="1" si="220"/>
        <v>5.2896742391218658E-3</v>
      </c>
      <c r="R211" s="506">
        <f t="shared" ca="1" si="220"/>
        <v>5.2896742391218658E-3</v>
      </c>
      <c r="S211" s="506">
        <f t="shared" ca="1" si="220"/>
        <v>5.2896742391218658E-3</v>
      </c>
      <c r="T211" s="506">
        <f t="shared" ca="1" si="220"/>
        <v>5.2896742391218658E-3</v>
      </c>
      <c r="U211" s="506">
        <f t="shared" ca="1" si="220"/>
        <v>5.2896742391218658E-3</v>
      </c>
      <c r="V211" s="506">
        <f t="shared" ca="1" si="220"/>
        <v>5.2896742391218658E-3</v>
      </c>
      <c r="W211" s="506">
        <f t="shared" ca="1" si="220"/>
        <v>5.2896742391218658E-3</v>
      </c>
      <c r="X211" s="506">
        <f t="shared" ca="1" si="220"/>
        <v>5.2000000000000032E-3</v>
      </c>
      <c r="Y211" s="506">
        <f t="shared" ca="1" si="220"/>
        <v>5.2000000000000032E-3</v>
      </c>
      <c r="Z211" s="506">
        <f t="shared" ca="1" si="220"/>
        <v>5.2000000000000032E-3</v>
      </c>
      <c r="AA211" s="506">
        <f t="shared" ca="1" si="220"/>
        <v>5.2000000000000032E-3</v>
      </c>
      <c r="AB211" s="506">
        <f t="shared" ca="1" si="220"/>
        <v>5.2000000000000032E-3</v>
      </c>
      <c r="AC211" s="506">
        <f t="shared" ca="1" si="220"/>
        <v>5.2000000000000032E-3</v>
      </c>
      <c r="AD211" s="506">
        <f t="shared" ca="1" si="220"/>
        <v>5.2000000000000032E-3</v>
      </c>
      <c r="AE211" s="506">
        <f t="shared" ca="1" si="220"/>
        <v>5.2000000000000032E-3</v>
      </c>
      <c r="AF211" s="506">
        <f t="shared" ca="1" si="220"/>
        <v>5.2000000000000032E-3</v>
      </c>
      <c r="AG211" s="506">
        <f t="shared" ca="1" si="220"/>
        <v>5.2000000000000032E-3</v>
      </c>
      <c r="AH211" s="509"/>
      <c r="AI211" s="506"/>
      <c r="AJ211" s="509">
        <f ca="1">IF($C$4=Year1,-PMT(Lookups!$E$17,25,NPV(Lookups!$E$17,G211:AE211),0,1),IF($C$4=Year2,-PMT(Lookups!$F$17,25,NPV(Lookups!$F$17,H211:AF211),0,1),IF($C$4=Year3,-PMT(Lookups!$G$17,25,NPV(Lookups!$G$17,I211:AG211),0,1),-PMT(Lookups!$G$17,27,NPV(Lookups!$G$17,G211:AG211),0,1))))</f>
        <v>5.187577915238749E-3</v>
      </c>
      <c r="AK211" s="507"/>
      <c r="AL211" s="507"/>
      <c r="AM211" s="508">
        <f ca="1">IFERROR(AM191/AM175,0)</f>
        <v>0</v>
      </c>
      <c r="AN211" s="508">
        <f t="shared" ref="AN211:BM211" ca="1" si="221">IFERROR(AN191/AN175,0)</f>
        <v>5.3027379476580979E-3</v>
      </c>
      <c r="AO211" s="508">
        <f t="shared" ca="1" si="221"/>
        <v>5.3027379476580979E-3</v>
      </c>
      <c r="AP211" s="508">
        <f t="shared" ca="1" si="221"/>
        <v>5.3027379476580979E-3</v>
      </c>
      <c r="AQ211" s="508">
        <f t="shared" ca="1" si="221"/>
        <v>5.3027379476580979E-3</v>
      </c>
      <c r="AR211" s="508">
        <f t="shared" ca="1" si="221"/>
        <v>5.3027379476580979E-3</v>
      </c>
      <c r="AS211" s="508">
        <f t="shared" ca="1" si="221"/>
        <v>5.3027379476580979E-3</v>
      </c>
      <c r="AT211" s="508">
        <f t="shared" ca="1" si="221"/>
        <v>5.3027379476580979E-3</v>
      </c>
      <c r="AU211" s="508">
        <f t="shared" ca="1" si="221"/>
        <v>5.3027379476580979E-3</v>
      </c>
      <c r="AV211" s="508">
        <f t="shared" ca="1" si="221"/>
        <v>5.3027379476580979E-3</v>
      </c>
      <c r="AW211" s="508">
        <f t="shared" ca="1" si="221"/>
        <v>5.3027379476580979E-3</v>
      </c>
      <c r="AX211" s="508">
        <f t="shared" ca="1" si="221"/>
        <v>5.3027379476580979E-3</v>
      </c>
      <c r="AY211" s="508">
        <f t="shared" ca="1" si="221"/>
        <v>5.3027379476580979E-3</v>
      </c>
      <c r="AZ211" s="508">
        <f t="shared" ca="1" si="221"/>
        <v>5.3027379476580979E-3</v>
      </c>
      <c r="BA211" s="508">
        <f t="shared" ca="1" si="221"/>
        <v>5.3027379476580979E-3</v>
      </c>
      <c r="BB211" s="508">
        <f t="shared" ca="1" si="221"/>
        <v>5.3027379476580979E-3</v>
      </c>
      <c r="BC211" s="508">
        <f t="shared" ca="1" si="221"/>
        <v>5.3027379476580979E-3</v>
      </c>
      <c r="BD211" s="508">
        <f t="shared" ca="1" si="221"/>
        <v>5.2000000000000032E-3</v>
      </c>
      <c r="BE211" s="508">
        <f t="shared" ca="1" si="221"/>
        <v>5.2000000000000032E-3</v>
      </c>
      <c r="BF211" s="508">
        <f t="shared" ca="1" si="221"/>
        <v>5.2000000000000032E-3</v>
      </c>
      <c r="BG211" s="508">
        <f t="shared" ca="1" si="221"/>
        <v>5.2000000000000032E-3</v>
      </c>
      <c r="BH211" s="508">
        <f t="shared" ca="1" si="221"/>
        <v>5.2000000000000032E-3</v>
      </c>
      <c r="BI211" s="508">
        <f t="shared" ca="1" si="221"/>
        <v>5.2000000000000032E-3</v>
      </c>
      <c r="BJ211" s="508">
        <f t="shared" ca="1" si="221"/>
        <v>5.2000000000000032E-3</v>
      </c>
      <c r="BK211" s="508">
        <f t="shared" ca="1" si="221"/>
        <v>5.2000000000000032E-3</v>
      </c>
      <c r="BL211" s="508">
        <f t="shared" ca="1" si="221"/>
        <v>5.2000000000000032E-3</v>
      </c>
      <c r="BM211" s="508">
        <f t="shared" ca="1" si="221"/>
        <v>5.2000000000000032E-3</v>
      </c>
      <c r="BN211" s="508"/>
      <c r="BO211" s="508"/>
      <c r="BP211" s="508">
        <f ca="1">IF($C$4=Year1,-PMT(Lookups!$E$17,25,NPV(Lookups!$E$17,AM211:BK211),0,1),IF($C$4=Year2,-PMT(Lookups!$F$17,25,NPV(Lookups!$F$17,AN211:BL211),0,1),IF($C$4=Year3,-PMT(Lookups!$G$17,25,NPV(Lookups!$G$17,AO211:BM211),0,1),-PMT(Lookups!$G$17,27,NPV(Lookups!$G$17,AM211:BM211),0,1))))</f>
        <v>5.1963333937213039E-3</v>
      </c>
      <c r="BS211" s="84" t="s">
        <v>237</v>
      </c>
      <c r="BT211" s="51" t="s">
        <v>17</v>
      </c>
    </row>
    <row r="212" spans="1:72" x14ac:dyDescent="0.25">
      <c r="B212" s="243" t="str">
        <f t="shared" si="213"/>
        <v>Small C&amp;I</v>
      </c>
      <c r="C212" s="243" t="str">
        <f t="shared" si="213"/>
        <v>Rates</v>
      </c>
      <c r="D212" s="244" t="str">
        <f t="shared" si="213"/>
        <v>Rates after DSM Scenario</v>
      </c>
      <c r="E212" s="84" t="s">
        <v>197</v>
      </c>
      <c r="F212" s="84" t="s">
        <v>182</v>
      </c>
      <c r="G212" s="506">
        <f ca="1">IFERROR(G198+G204,0)</f>
        <v>0</v>
      </c>
      <c r="H212" s="506">
        <f t="shared" ref="H212:AG212" ca="1" si="222">IFERROR(H198+H204,0)</f>
        <v>0.61858945337351079</v>
      </c>
      <c r="I212" s="506">
        <f t="shared" ca="1" si="222"/>
        <v>0.61858945337351079</v>
      </c>
      <c r="J212" s="506">
        <f t="shared" ca="1" si="222"/>
        <v>0.61858945337351079</v>
      </c>
      <c r="K212" s="506">
        <f t="shared" ca="1" si="222"/>
        <v>0.61858945337351079</v>
      </c>
      <c r="L212" s="506">
        <f t="shared" ca="1" si="222"/>
        <v>0.61858945337351079</v>
      </c>
      <c r="M212" s="506">
        <f t="shared" ca="1" si="222"/>
        <v>0.61858945337351079</v>
      </c>
      <c r="N212" s="506">
        <f t="shared" ca="1" si="222"/>
        <v>0.61858945337351079</v>
      </c>
      <c r="O212" s="506">
        <f t="shared" ca="1" si="222"/>
        <v>0.61858945337351079</v>
      </c>
      <c r="P212" s="506">
        <f t="shared" ca="1" si="222"/>
        <v>0.61858945337351079</v>
      </c>
      <c r="Q212" s="506">
        <f t="shared" ca="1" si="222"/>
        <v>0.61858945337351079</v>
      </c>
      <c r="R212" s="506">
        <f t="shared" ca="1" si="222"/>
        <v>0.61858945337351079</v>
      </c>
      <c r="S212" s="506">
        <f t="shared" ca="1" si="222"/>
        <v>0.61858945337351079</v>
      </c>
      <c r="T212" s="506">
        <f t="shared" ca="1" si="222"/>
        <v>0.61858945337351079</v>
      </c>
      <c r="U212" s="506">
        <f t="shared" ca="1" si="222"/>
        <v>0.61858945337351079</v>
      </c>
      <c r="V212" s="506">
        <f t="shared" ca="1" si="222"/>
        <v>0.61858945337351079</v>
      </c>
      <c r="W212" s="506">
        <f t="shared" ca="1" si="222"/>
        <v>0.61858945337351079</v>
      </c>
      <c r="X212" s="506">
        <f t="shared" ca="1" si="222"/>
        <v>0.61899999999999999</v>
      </c>
      <c r="Y212" s="506">
        <f t="shared" ca="1" si="222"/>
        <v>0.61899999999999999</v>
      </c>
      <c r="Z212" s="506">
        <f t="shared" ca="1" si="222"/>
        <v>0.61899999999999999</v>
      </c>
      <c r="AA212" s="506">
        <f t="shared" ca="1" si="222"/>
        <v>0.61899999999999999</v>
      </c>
      <c r="AB212" s="506">
        <f t="shared" ca="1" si="222"/>
        <v>0.61899999999999999</v>
      </c>
      <c r="AC212" s="506">
        <f t="shared" ca="1" si="222"/>
        <v>0.61899999999999999</v>
      </c>
      <c r="AD212" s="506">
        <f t="shared" ca="1" si="222"/>
        <v>0.61899999999999999</v>
      </c>
      <c r="AE212" s="506">
        <f t="shared" ca="1" si="222"/>
        <v>0.61899999999999999</v>
      </c>
      <c r="AF212" s="506">
        <f t="shared" ca="1" si="222"/>
        <v>0.61899999999999999</v>
      </c>
      <c r="AG212" s="506">
        <f t="shared" ca="1" si="222"/>
        <v>0.61899999999999999</v>
      </c>
      <c r="AH212" s="509"/>
      <c r="AI212" s="506"/>
      <c r="AJ212" s="509">
        <f ca="1">IF($C$4=Year1,-PMT(Lookups!$E$17,25,NPV(Lookups!$E$17,G212:AE212),0,1),IF($C$4=Year2,-PMT(Lookups!$F$17,25,NPV(Lookups!$F$17,H212:AF212),0,1),IF($C$4=Year3,-PMT(Lookups!$G$17,25,NPV(Lookups!$G$17,I212:AG212),0,1),-PMT(Lookups!$G$17,27,NPV(Lookups!$G$17,G212:AG212),0,1))))</f>
        <v>0.61009181932767009</v>
      </c>
      <c r="AK212" s="507"/>
      <c r="AL212" s="507"/>
      <c r="AM212" s="508">
        <f ca="1">IFERROR(AM198+AM204,0)</f>
        <v>0</v>
      </c>
      <c r="AN212" s="508">
        <f t="shared" ref="AN212:BM212" ca="1" si="223">IFERROR(AN198+AN204,0)</f>
        <v>0.61852964509945685</v>
      </c>
      <c r="AO212" s="508">
        <f t="shared" ca="1" si="223"/>
        <v>0.61852964509945685</v>
      </c>
      <c r="AP212" s="508">
        <f t="shared" ca="1" si="223"/>
        <v>0.61852964509945685</v>
      </c>
      <c r="AQ212" s="508">
        <f t="shared" ca="1" si="223"/>
        <v>0.61852964509945685</v>
      </c>
      <c r="AR212" s="508">
        <f t="shared" ca="1" si="223"/>
        <v>0.61852964509945685</v>
      </c>
      <c r="AS212" s="508">
        <f t="shared" ca="1" si="223"/>
        <v>0.61852964509945685</v>
      </c>
      <c r="AT212" s="508">
        <f t="shared" ca="1" si="223"/>
        <v>0.61852964509945685</v>
      </c>
      <c r="AU212" s="508">
        <f t="shared" ca="1" si="223"/>
        <v>0.61852964509945685</v>
      </c>
      <c r="AV212" s="508">
        <f t="shared" ca="1" si="223"/>
        <v>0.61852964509945685</v>
      </c>
      <c r="AW212" s="508">
        <f t="shared" ca="1" si="223"/>
        <v>0.61852964509945685</v>
      </c>
      <c r="AX212" s="508">
        <f t="shared" ca="1" si="223"/>
        <v>0.61852964509945685</v>
      </c>
      <c r="AY212" s="508">
        <f t="shared" ca="1" si="223"/>
        <v>0.61852964509945685</v>
      </c>
      <c r="AZ212" s="508">
        <f t="shared" ca="1" si="223"/>
        <v>0.61852964509945685</v>
      </c>
      <c r="BA212" s="508">
        <f t="shared" ca="1" si="223"/>
        <v>0.61852964509945685</v>
      </c>
      <c r="BB212" s="508">
        <f t="shared" ca="1" si="223"/>
        <v>0.61852964509945685</v>
      </c>
      <c r="BC212" s="508">
        <f t="shared" ca="1" si="223"/>
        <v>0.61852964509945685</v>
      </c>
      <c r="BD212" s="508">
        <f t="shared" ca="1" si="223"/>
        <v>0.61899999999999999</v>
      </c>
      <c r="BE212" s="508">
        <f t="shared" ca="1" si="223"/>
        <v>0.61899999999999999</v>
      </c>
      <c r="BF212" s="508">
        <f t="shared" ca="1" si="223"/>
        <v>0.61899999999999999</v>
      </c>
      <c r="BG212" s="508">
        <f t="shared" ca="1" si="223"/>
        <v>0.61899999999999999</v>
      </c>
      <c r="BH212" s="508">
        <f t="shared" ca="1" si="223"/>
        <v>0.61899999999999999</v>
      </c>
      <c r="BI212" s="508">
        <f t="shared" ca="1" si="223"/>
        <v>0.61899999999999999</v>
      </c>
      <c r="BJ212" s="508">
        <f t="shared" ca="1" si="223"/>
        <v>0.61899999999999999</v>
      </c>
      <c r="BK212" s="508">
        <f t="shared" ca="1" si="223"/>
        <v>0.61899999999999999</v>
      </c>
      <c r="BL212" s="508">
        <f t="shared" ca="1" si="223"/>
        <v>0.61899999999999999</v>
      </c>
      <c r="BM212" s="508">
        <f t="shared" ca="1" si="223"/>
        <v>0.61899999999999999</v>
      </c>
      <c r="BN212" s="508"/>
      <c r="BO212" s="508"/>
      <c r="BP212" s="508">
        <f ca="1">IF($C$4=Year1,-PMT(Lookups!$E$17,25,NPV(Lookups!$E$17,AM212:BK212),0,1),IF($C$4=Year2,-PMT(Lookups!$F$17,25,NPV(Lookups!$F$17,AN212:BL212),0,1),IF($C$4=Year3,-PMT(Lookups!$G$17,25,NPV(Lookups!$G$17,AO212:BM212),0,1),-PMT(Lookups!$G$17,27,NPV(Lookups!$G$17,AM212:BM212),0,1))))</f>
        <v>0.61005173499364618</v>
      </c>
      <c r="BS212" s="86" t="s">
        <v>236</v>
      </c>
      <c r="BT212" s="51" t="s">
        <v>17</v>
      </c>
    </row>
    <row r="213" spans="1:72" x14ac:dyDescent="0.25">
      <c r="B213" s="243" t="str">
        <f t="shared" si="213"/>
        <v>Small C&amp;I</v>
      </c>
      <c r="C213" s="243" t="str">
        <f t="shared" si="213"/>
        <v>Rates</v>
      </c>
      <c r="D213" s="244" t="str">
        <f t="shared" si="213"/>
        <v>Rates after DSM Scenario</v>
      </c>
      <c r="E213" s="84" t="s">
        <v>406</v>
      </c>
      <c r="F213" s="84" t="s">
        <v>182</v>
      </c>
      <c r="G213" s="509">
        <f ca="1">G207</f>
        <v>0</v>
      </c>
      <c r="H213" s="509">
        <f t="shared" ref="H213:AG213" ca="1" si="224">H207</f>
        <v>0.14926911562058559</v>
      </c>
      <c r="I213" s="509">
        <f t="shared" ca="1" si="224"/>
        <v>0</v>
      </c>
      <c r="J213" s="509">
        <f t="shared" ca="1" si="224"/>
        <v>0</v>
      </c>
      <c r="K213" s="509">
        <f t="shared" ca="1" si="224"/>
        <v>0</v>
      </c>
      <c r="L213" s="509">
        <f t="shared" ca="1" si="224"/>
        <v>0</v>
      </c>
      <c r="M213" s="509">
        <f t="shared" ca="1" si="224"/>
        <v>0</v>
      </c>
      <c r="N213" s="509">
        <f t="shared" ca="1" si="224"/>
        <v>0</v>
      </c>
      <c r="O213" s="509">
        <f t="shared" ca="1" si="224"/>
        <v>0</v>
      </c>
      <c r="P213" s="509">
        <f t="shared" ca="1" si="224"/>
        <v>0</v>
      </c>
      <c r="Q213" s="509">
        <f t="shared" ca="1" si="224"/>
        <v>0</v>
      </c>
      <c r="R213" s="509">
        <f t="shared" ca="1" si="224"/>
        <v>0</v>
      </c>
      <c r="S213" s="509">
        <f t="shared" ca="1" si="224"/>
        <v>0</v>
      </c>
      <c r="T213" s="509">
        <f t="shared" ca="1" si="224"/>
        <v>0</v>
      </c>
      <c r="U213" s="509">
        <f t="shared" ca="1" si="224"/>
        <v>0</v>
      </c>
      <c r="V213" s="509">
        <f t="shared" ca="1" si="224"/>
        <v>0</v>
      </c>
      <c r="W213" s="509">
        <f t="shared" ca="1" si="224"/>
        <v>0</v>
      </c>
      <c r="X213" s="509">
        <f t="shared" ca="1" si="224"/>
        <v>0</v>
      </c>
      <c r="Y213" s="509">
        <f t="shared" ca="1" si="224"/>
        <v>0</v>
      </c>
      <c r="Z213" s="509">
        <f t="shared" ca="1" si="224"/>
        <v>0</v>
      </c>
      <c r="AA213" s="509">
        <f t="shared" ca="1" si="224"/>
        <v>0</v>
      </c>
      <c r="AB213" s="509">
        <f t="shared" ca="1" si="224"/>
        <v>0</v>
      </c>
      <c r="AC213" s="509">
        <f t="shared" ca="1" si="224"/>
        <v>0</v>
      </c>
      <c r="AD213" s="509">
        <f t="shared" ca="1" si="224"/>
        <v>0</v>
      </c>
      <c r="AE213" s="509">
        <f t="shared" ca="1" si="224"/>
        <v>0</v>
      </c>
      <c r="AF213" s="509">
        <f t="shared" ca="1" si="224"/>
        <v>0</v>
      </c>
      <c r="AG213" s="509">
        <f t="shared" ca="1" si="224"/>
        <v>0</v>
      </c>
      <c r="AH213" s="509"/>
      <c r="AI213" s="509"/>
      <c r="AJ213" s="509">
        <f ca="1">IF($C$4=Year1,-PMT(Lookups!$E$17,25,NPV(Lookups!$E$17,G213:AE213),0,1),IF($C$4=Year2,-PMT(Lookups!$F$17,25,NPV(Lookups!$F$17,H213:AF213),0,1),IF($C$4=Year3,-PMT(Lookups!$G$17,25,NPV(Lookups!$G$17,I213:AG213),0,1),-PMT(Lookups!$G$17,27,NPV(Lookups!$G$17,G213:AG213),0,1))))</f>
        <v>6.932672855075297E-3</v>
      </c>
      <c r="AK213" s="507"/>
      <c r="AL213" s="507"/>
      <c r="AM213" s="508">
        <f ca="1">AM207</f>
        <v>0</v>
      </c>
      <c r="AN213" s="508">
        <f t="shared" ref="AN213:BM213" ca="1" si="225">AN207</f>
        <v>0.1791229387447027</v>
      </c>
      <c r="AO213" s="508">
        <f t="shared" ca="1" si="225"/>
        <v>0</v>
      </c>
      <c r="AP213" s="508">
        <f t="shared" ca="1" si="225"/>
        <v>0</v>
      </c>
      <c r="AQ213" s="508">
        <f t="shared" ca="1" si="225"/>
        <v>0</v>
      </c>
      <c r="AR213" s="508">
        <f t="shared" ca="1" si="225"/>
        <v>0</v>
      </c>
      <c r="AS213" s="508">
        <f t="shared" ca="1" si="225"/>
        <v>0</v>
      </c>
      <c r="AT213" s="508">
        <f t="shared" ca="1" si="225"/>
        <v>0</v>
      </c>
      <c r="AU213" s="508">
        <f t="shared" ca="1" si="225"/>
        <v>0</v>
      </c>
      <c r="AV213" s="508">
        <f t="shared" ca="1" si="225"/>
        <v>0</v>
      </c>
      <c r="AW213" s="508">
        <f t="shared" ca="1" si="225"/>
        <v>0</v>
      </c>
      <c r="AX213" s="508">
        <f t="shared" ca="1" si="225"/>
        <v>0</v>
      </c>
      <c r="AY213" s="508">
        <f t="shared" ca="1" si="225"/>
        <v>0</v>
      </c>
      <c r="AZ213" s="508">
        <f t="shared" ca="1" si="225"/>
        <v>0</v>
      </c>
      <c r="BA213" s="508">
        <f t="shared" ca="1" si="225"/>
        <v>0</v>
      </c>
      <c r="BB213" s="508">
        <f t="shared" ca="1" si="225"/>
        <v>0</v>
      </c>
      <c r="BC213" s="508">
        <f t="shared" ca="1" si="225"/>
        <v>0</v>
      </c>
      <c r="BD213" s="508">
        <f t="shared" ca="1" si="225"/>
        <v>0</v>
      </c>
      <c r="BE213" s="508">
        <f t="shared" ca="1" si="225"/>
        <v>0</v>
      </c>
      <c r="BF213" s="508">
        <f t="shared" ca="1" si="225"/>
        <v>0</v>
      </c>
      <c r="BG213" s="508">
        <f t="shared" ca="1" si="225"/>
        <v>0</v>
      </c>
      <c r="BH213" s="508">
        <f t="shared" ca="1" si="225"/>
        <v>0</v>
      </c>
      <c r="BI213" s="508">
        <f t="shared" ca="1" si="225"/>
        <v>0</v>
      </c>
      <c r="BJ213" s="508">
        <f t="shared" ca="1" si="225"/>
        <v>0</v>
      </c>
      <c r="BK213" s="508">
        <f t="shared" ca="1" si="225"/>
        <v>0</v>
      </c>
      <c r="BL213" s="508">
        <f t="shared" ca="1" si="225"/>
        <v>0</v>
      </c>
      <c r="BM213" s="508">
        <f t="shared" ca="1" si="225"/>
        <v>0</v>
      </c>
      <c r="BN213" s="508"/>
      <c r="BO213" s="508"/>
      <c r="BP213" s="508">
        <f ca="1">IF($C$4=Year1,-PMT(Lookups!$E$17,25,NPV(Lookups!$E$17,AM213:BK213),0,1),IF($C$4=Year2,-PMT(Lookups!$F$17,25,NPV(Lookups!$F$17,AN213:BL213),0,1),IF($C$4=Year3,-PMT(Lookups!$G$17,25,NPV(Lookups!$G$17,AO213:BM213),0,1),-PMT(Lookups!$G$17,27,NPV(Lookups!$G$17,AM213:BM213),0,1))))</f>
        <v>8.319207426090356E-3</v>
      </c>
      <c r="BS213" s="84" t="s">
        <v>403</v>
      </c>
      <c r="BT213" s="51" t="s">
        <v>17</v>
      </c>
    </row>
    <row r="214" spans="1:72" x14ac:dyDescent="0.25">
      <c r="B214" s="243" t="str">
        <f>B215</f>
        <v>Small C&amp;I</v>
      </c>
      <c r="C214" s="243" t="str">
        <f>C215</f>
        <v>Rates</v>
      </c>
      <c r="D214" s="244" t="str">
        <f>D215</f>
        <v>Rates after DSM Scenario</v>
      </c>
      <c r="E214" s="86" t="s">
        <v>75</v>
      </c>
      <c r="F214" s="84" t="s">
        <v>182</v>
      </c>
      <c r="G214" s="506">
        <f>G199</f>
        <v>0</v>
      </c>
      <c r="H214" s="506">
        <f t="shared" ref="H214:AG214" si="226">H199</f>
        <v>0.28453457229491286</v>
      </c>
      <c r="I214" s="506">
        <f t="shared" si="226"/>
        <v>0.28453457229491286</v>
      </c>
      <c r="J214" s="506">
        <f t="shared" si="226"/>
        <v>0.28453457229491286</v>
      </c>
      <c r="K214" s="506">
        <f t="shared" si="226"/>
        <v>0.28453457229491286</v>
      </c>
      <c r="L214" s="506">
        <f t="shared" si="226"/>
        <v>0.28453457229491286</v>
      </c>
      <c r="M214" s="506">
        <f t="shared" si="226"/>
        <v>0.28453457229491286</v>
      </c>
      <c r="N214" s="506">
        <f t="shared" si="226"/>
        <v>0.28453457229491286</v>
      </c>
      <c r="O214" s="506">
        <f t="shared" si="226"/>
        <v>0.28453457229491286</v>
      </c>
      <c r="P214" s="506">
        <f t="shared" si="226"/>
        <v>0.28453457229491286</v>
      </c>
      <c r="Q214" s="506">
        <f t="shared" si="226"/>
        <v>0.28453457229491286</v>
      </c>
      <c r="R214" s="506">
        <f t="shared" si="226"/>
        <v>0.28453457229491286</v>
      </c>
      <c r="S214" s="506">
        <f t="shared" si="226"/>
        <v>0.28453457229491286</v>
      </c>
      <c r="T214" s="506">
        <f t="shared" si="226"/>
        <v>0.28453457229491286</v>
      </c>
      <c r="U214" s="506">
        <f t="shared" si="226"/>
        <v>0.28453457229491286</v>
      </c>
      <c r="V214" s="506">
        <f t="shared" si="226"/>
        <v>0.28453457229491286</v>
      </c>
      <c r="W214" s="506">
        <f t="shared" si="226"/>
        <v>0.28453457229491286</v>
      </c>
      <c r="X214" s="506">
        <f t="shared" si="226"/>
        <v>0.28453457229491286</v>
      </c>
      <c r="Y214" s="506">
        <f t="shared" si="226"/>
        <v>0.28453457229491286</v>
      </c>
      <c r="Z214" s="506">
        <f t="shared" si="226"/>
        <v>0.28453457229491286</v>
      </c>
      <c r="AA214" s="506">
        <f t="shared" si="226"/>
        <v>0.28453457229491286</v>
      </c>
      <c r="AB214" s="506">
        <f t="shared" si="226"/>
        <v>0.28453457229491286</v>
      </c>
      <c r="AC214" s="506">
        <f t="shared" si="226"/>
        <v>0.28453457229491286</v>
      </c>
      <c r="AD214" s="506">
        <f t="shared" si="226"/>
        <v>0.28453457229491286</v>
      </c>
      <c r="AE214" s="506">
        <f t="shared" si="226"/>
        <v>0.28453457229491286</v>
      </c>
      <c r="AF214" s="506">
        <f t="shared" si="226"/>
        <v>0.28453457229491286</v>
      </c>
      <c r="AG214" s="506">
        <f t="shared" si="226"/>
        <v>0.28453457229491286</v>
      </c>
      <c r="AH214" s="506"/>
      <c r="AI214" s="506"/>
      <c r="AJ214" s="506">
        <f>IF($C$4=Year1,-PMT(Lookups!$E$17,25,NPV(Lookups!$E$17,G214:AE214),0,1),IF($C$4=Year2,-PMT(Lookups!$F$17,25,NPV(Lookups!$F$17,H214:AF214),0,1),IF($C$4=Year3,-PMT(Lookups!$G$17,25,NPV(Lookups!$G$17,I214:AG214),0,1),-PMT(Lookups!$G$17,27,NPV(Lookups!$G$17,G214:AG214),0,1))))</f>
        <v>0.28056624508808786</v>
      </c>
      <c r="AK214" s="507"/>
      <c r="AL214" s="507"/>
      <c r="AM214" s="508">
        <f>AM199</f>
        <v>0</v>
      </c>
      <c r="AN214" s="508">
        <f t="shared" ref="AN214:BM214" si="227">AN199</f>
        <v>0.28453457229491286</v>
      </c>
      <c r="AO214" s="508">
        <f t="shared" si="227"/>
        <v>0.28453457229491286</v>
      </c>
      <c r="AP214" s="508">
        <f t="shared" si="227"/>
        <v>0.28453457229491286</v>
      </c>
      <c r="AQ214" s="508">
        <f t="shared" si="227"/>
        <v>0.28453457229491286</v>
      </c>
      <c r="AR214" s="508">
        <f t="shared" si="227"/>
        <v>0.28453457229491286</v>
      </c>
      <c r="AS214" s="508">
        <f t="shared" si="227"/>
        <v>0.28453457229491286</v>
      </c>
      <c r="AT214" s="508">
        <f t="shared" si="227"/>
        <v>0.28453457229491286</v>
      </c>
      <c r="AU214" s="508">
        <f t="shared" si="227"/>
        <v>0.28453457229491286</v>
      </c>
      <c r="AV214" s="508">
        <f t="shared" si="227"/>
        <v>0.28453457229491286</v>
      </c>
      <c r="AW214" s="508">
        <f t="shared" si="227"/>
        <v>0.28453457229491286</v>
      </c>
      <c r="AX214" s="508">
        <f t="shared" si="227"/>
        <v>0.28453457229491286</v>
      </c>
      <c r="AY214" s="508">
        <f t="shared" si="227"/>
        <v>0.28453457229491286</v>
      </c>
      <c r="AZ214" s="508">
        <f t="shared" si="227"/>
        <v>0.28453457229491286</v>
      </c>
      <c r="BA214" s="508">
        <f t="shared" si="227"/>
        <v>0.28453457229491286</v>
      </c>
      <c r="BB214" s="508">
        <f t="shared" si="227"/>
        <v>0.28453457229491286</v>
      </c>
      <c r="BC214" s="508">
        <f t="shared" si="227"/>
        <v>0.28453457229491286</v>
      </c>
      <c r="BD214" s="508">
        <f t="shared" si="227"/>
        <v>0.28453457229491286</v>
      </c>
      <c r="BE214" s="508">
        <f t="shared" si="227"/>
        <v>0.28453457229491286</v>
      </c>
      <c r="BF214" s="508">
        <f t="shared" si="227"/>
        <v>0.28453457229491286</v>
      </c>
      <c r="BG214" s="508">
        <f t="shared" si="227"/>
        <v>0.28453457229491286</v>
      </c>
      <c r="BH214" s="508">
        <f t="shared" si="227"/>
        <v>0.28453457229491286</v>
      </c>
      <c r="BI214" s="508">
        <f t="shared" si="227"/>
        <v>0.28453457229491286</v>
      </c>
      <c r="BJ214" s="508">
        <f t="shared" si="227"/>
        <v>0.28453457229491286</v>
      </c>
      <c r="BK214" s="508">
        <f t="shared" si="227"/>
        <v>0.28453457229491286</v>
      </c>
      <c r="BL214" s="508">
        <f t="shared" si="227"/>
        <v>0.28453457229491286</v>
      </c>
      <c r="BM214" s="508">
        <f t="shared" si="227"/>
        <v>0.28453457229491286</v>
      </c>
      <c r="BN214" s="508"/>
      <c r="BO214" s="508"/>
      <c r="BP214" s="508">
        <f>IF($C$4=Year1,-PMT(Lookups!$E$17,25,NPV(Lookups!$E$17,AM214:BK214),0,1),IF($C$4=Year2,-PMT(Lookups!$F$17,25,NPV(Lookups!$F$17,AN214:BL214),0,1),IF($C$4=Year3,-PMT(Lookups!$G$17,25,NPV(Lookups!$G$17,AO214:BM214),0,1),-PMT(Lookups!$G$17,27,NPV(Lookups!$G$17,AM214:BM214),0,1))))</f>
        <v>0.28056624508808786</v>
      </c>
      <c r="BS214" s="84" t="s">
        <v>171</v>
      </c>
      <c r="BT214" s="51" t="s">
        <v>17</v>
      </c>
    </row>
    <row r="215" spans="1:72" x14ac:dyDescent="0.25">
      <c r="B215" s="243" t="str">
        <f>B213</f>
        <v>Small C&amp;I</v>
      </c>
      <c r="C215" s="243" t="str">
        <f>C213</f>
        <v>Rates</v>
      </c>
      <c r="D215" s="244" t="str">
        <f>D213</f>
        <v>Rates after DSM Scenario</v>
      </c>
      <c r="E215" s="84" t="s">
        <v>76</v>
      </c>
      <c r="F215" s="84" t="s">
        <v>182</v>
      </c>
      <c r="G215" s="506">
        <f ca="1">SUM(G210:G214)</f>
        <v>0</v>
      </c>
      <c r="H215" s="506">
        <f t="shared" ref="H215:AG215" ca="1" si="228">SUM(H210:H214)</f>
        <v>1.4558581182329442</v>
      </c>
      <c r="I215" s="506">
        <f t="shared" ca="1" si="228"/>
        <v>1.3065890026123586</v>
      </c>
      <c r="J215" s="506">
        <f t="shared" ca="1" si="228"/>
        <v>1.3065890026123586</v>
      </c>
      <c r="K215" s="506">
        <f t="shared" ca="1" si="228"/>
        <v>1.3065890026123586</v>
      </c>
      <c r="L215" s="506">
        <f t="shared" ca="1" si="228"/>
        <v>1.3065890026123586</v>
      </c>
      <c r="M215" s="506">
        <f t="shared" ca="1" si="228"/>
        <v>1.3065890026123586</v>
      </c>
      <c r="N215" s="506">
        <f t="shared" ca="1" si="228"/>
        <v>1.3065890026123586</v>
      </c>
      <c r="O215" s="506">
        <f t="shared" ca="1" si="228"/>
        <v>1.3065890026123586</v>
      </c>
      <c r="P215" s="506">
        <f t="shared" ca="1" si="228"/>
        <v>1.3065890026123586</v>
      </c>
      <c r="Q215" s="506">
        <f t="shared" ca="1" si="228"/>
        <v>1.3065890026123586</v>
      </c>
      <c r="R215" s="506">
        <f t="shared" ca="1" si="228"/>
        <v>1.3065890026123586</v>
      </c>
      <c r="S215" s="506">
        <f t="shared" ca="1" si="228"/>
        <v>1.3065890026123586</v>
      </c>
      <c r="T215" s="506">
        <f t="shared" ca="1" si="228"/>
        <v>1.3065890026123586</v>
      </c>
      <c r="U215" s="506">
        <f t="shared" ca="1" si="228"/>
        <v>1.3065890026123586</v>
      </c>
      <c r="V215" s="506">
        <f t="shared" ca="1" si="228"/>
        <v>1.3065890026123586</v>
      </c>
      <c r="W215" s="506">
        <f t="shared" ca="1" si="228"/>
        <v>1.3065890026123586</v>
      </c>
      <c r="X215" s="506">
        <f t="shared" ca="1" si="228"/>
        <v>1.3008471347317248</v>
      </c>
      <c r="Y215" s="506">
        <f t="shared" ca="1" si="228"/>
        <v>1.3008471347317248</v>
      </c>
      <c r="Z215" s="506">
        <f t="shared" ca="1" si="228"/>
        <v>1.3008471347317248</v>
      </c>
      <c r="AA215" s="506">
        <f t="shared" ca="1" si="228"/>
        <v>1.3008471347317248</v>
      </c>
      <c r="AB215" s="506">
        <f t="shared" ca="1" si="228"/>
        <v>1.3008471347317248</v>
      </c>
      <c r="AC215" s="506">
        <f t="shared" ca="1" si="228"/>
        <v>1.3008471347317248</v>
      </c>
      <c r="AD215" s="506">
        <f t="shared" ca="1" si="228"/>
        <v>1.3008471347317248</v>
      </c>
      <c r="AE215" s="506">
        <f t="shared" ca="1" si="228"/>
        <v>1.3008471347317248</v>
      </c>
      <c r="AF215" s="506">
        <f t="shared" ca="1" si="228"/>
        <v>1.3008471347317248</v>
      </c>
      <c r="AG215" s="506">
        <f t="shared" ca="1" si="228"/>
        <v>1.3008471347317248</v>
      </c>
      <c r="AH215" s="506"/>
      <c r="AI215" s="506"/>
      <c r="AJ215" s="506">
        <f ca="1">IF($C$4=Year1,-PMT(Lookups!$E$17,25,NPV(Lookups!$E$17,G215:AE215),0,1),IF($C$4=Year2,-PMT(Lookups!$F$17,25,NPV(Lookups!$F$17,H215:AF215),0,1),IF($C$4=Year3,-PMT(Lookups!$G$17,25,NPV(Lookups!$G$17,I215:AG215),0,1),-PMT(Lookups!$G$17,27,NPV(Lookups!$G$17,G215:AG215),0,1))))</f>
        <v>1.2934855216387309</v>
      </c>
      <c r="AK215" s="507"/>
      <c r="AL215" s="507"/>
      <c r="AM215" s="508">
        <f ca="1">SUM(AM210:AM214)</f>
        <v>0</v>
      </c>
      <c r="AN215" s="508">
        <f t="shared" ref="AN215:BM215" ca="1" si="229">SUM(AN210:AN214)</f>
        <v>1.4865484144532448</v>
      </c>
      <c r="AO215" s="508">
        <f t="shared" ca="1" si="229"/>
        <v>1.3074254757085422</v>
      </c>
      <c r="AP215" s="508">
        <f t="shared" ca="1" si="229"/>
        <v>1.3074254757085422</v>
      </c>
      <c r="AQ215" s="508">
        <f t="shared" ca="1" si="229"/>
        <v>1.3074254757085422</v>
      </c>
      <c r="AR215" s="508">
        <f t="shared" ca="1" si="229"/>
        <v>1.3074254757085422</v>
      </c>
      <c r="AS215" s="508">
        <f t="shared" ca="1" si="229"/>
        <v>1.3074254757085422</v>
      </c>
      <c r="AT215" s="508">
        <f t="shared" ca="1" si="229"/>
        <v>1.3074254757085422</v>
      </c>
      <c r="AU215" s="508">
        <f t="shared" ca="1" si="229"/>
        <v>1.3074254757085422</v>
      </c>
      <c r="AV215" s="508">
        <f t="shared" ca="1" si="229"/>
        <v>1.3074254757085422</v>
      </c>
      <c r="AW215" s="508">
        <f t="shared" ca="1" si="229"/>
        <v>1.3074254757085422</v>
      </c>
      <c r="AX215" s="508">
        <f t="shared" ca="1" si="229"/>
        <v>1.3074254757085422</v>
      </c>
      <c r="AY215" s="508">
        <f t="shared" ca="1" si="229"/>
        <v>1.3074254757085422</v>
      </c>
      <c r="AZ215" s="508">
        <f t="shared" ca="1" si="229"/>
        <v>1.3074254757085422</v>
      </c>
      <c r="BA215" s="508">
        <f t="shared" ca="1" si="229"/>
        <v>1.3074254757085422</v>
      </c>
      <c r="BB215" s="508">
        <f t="shared" ca="1" si="229"/>
        <v>1.3074254757085422</v>
      </c>
      <c r="BC215" s="508">
        <f t="shared" ca="1" si="229"/>
        <v>1.3074254757085422</v>
      </c>
      <c r="BD215" s="508">
        <f t="shared" ca="1" si="229"/>
        <v>1.3008471347317248</v>
      </c>
      <c r="BE215" s="508">
        <f t="shared" ca="1" si="229"/>
        <v>1.3008471347317248</v>
      </c>
      <c r="BF215" s="508">
        <f t="shared" ca="1" si="229"/>
        <v>1.3008471347317248</v>
      </c>
      <c r="BG215" s="508">
        <f t="shared" ca="1" si="229"/>
        <v>1.3008471347317248</v>
      </c>
      <c r="BH215" s="508">
        <f t="shared" ca="1" si="229"/>
        <v>1.3008471347317248</v>
      </c>
      <c r="BI215" s="508">
        <f t="shared" ca="1" si="229"/>
        <v>1.3008471347317248</v>
      </c>
      <c r="BJ215" s="508">
        <f t="shared" ca="1" si="229"/>
        <v>1.3008471347317248</v>
      </c>
      <c r="BK215" s="508">
        <f t="shared" ca="1" si="229"/>
        <v>1.3008471347317248</v>
      </c>
      <c r="BL215" s="508">
        <f t="shared" ca="1" si="229"/>
        <v>1.3008471347317248</v>
      </c>
      <c r="BM215" s="508">
        <f t="shared" ca="1" si="229"/>
        <v>1.3008471347317248</v>
      </c>
      <c r="BN215" s="508"/>
      <c r="BO215" s="508"/>
      <c r="BP215" s="508">
        <f ca="1">IF($C$4=Year1,-PMT(Lookups!$E$17,25,NPV(Lookups!$E$17,AM215:BK215),0,1),IF($C$4=Year2,-PMT(Lookups!$F$17,25,NPV(Lookups!$F$17,AN215:BL215),0,1),IF($C$4=Year3,-PMT(Lookups!$G$17,25,NPV(Lookups!$G$17,AO215:BM215),0,1),-PMT(Lookups!$G$17,27,NPV(Lookups!$G$17,AM215:BM215),0,1))))</f>
        <v>1.2954326720696727</v>
      </c>
      <c r="BS215" s="84" t="s">
        <v>235</v>
      </c>
      <c r="BT215" s="51" t="s">
        <v>17</v>
      </c>
    </row>
    <row r="216" spans="1:72" x14ac:dyDescent="0.25">
      <c r="B216" s="243" t="str">
        <f>B214</f>
        <v>Small C&amp;I</v>
      </c>
      <c r="C216" s="243" t="str">
        <f>C214</f>
        <v>Rates</v>
      </c>
      <c r="D216" s="114" t="s">
        <v>114</v>
      </c>
      <c r="E216" s="84"/>
      <c r="F216" s="84"/>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49"/>
      <c r="AI216" s="109"/>
      <c r="AJ216" s="49"/>
      <c r="AM216" s="75"/>
      <c r="AN216" s="75"/>
      <c r="AO216" s="75"/>
      <c r="AP216" s="75"/>
      <c r="AQ216" s="75"/>
      <c r="AR216" s="75"/>
      <c r="AS216" s="75"/>
      <c r="AT216" s="75"/>
      <c r="AU216" s="75"/>
      <c r="AV216" s="75"/>
      <c r="AW216" s="75"/>
      <c r="AX216" s="75"/>
      <c r="AY216" s="75"/>
      <c r="AZ216" s="75"/>
      <c r="BA216" s="75"/>
      <c r="BB216" s="75"/>
      <c r="BC216" s="75"/>
      <c r="BD216" s="75"/>
      <c r="BE216" s="75"/>
      <c r="BF216" s="75"/>
      <c r="BG216" s="75"/>
      <c r="BH216" s="75"/>
      <c r="BI216" s="75"/>
      <c r="BJ216" s="75"/>
      <c r="BK216" s="75"/>
      <c r="BL216" s="75"/>
      <c r="BM216" s="75"/>
      <c r="BN216" s="75"/>
      <c r="BO216" s="75"/>
      <c r="BP216" s="75"/>
      <c r="BS216" s="84"/>
      <c r="BT216" s="51" t="s">
        <v>17</v>
      </c>
    </row>
    <row r="217" spans="1:72" x14ac:dyDescent="0.25">
      <c r="B217" s="243" t="str">
        <f t="shared" ref="B217:D232" si="230">B216</f>
        <v>Small C&amp;I</v>
      </c>
      <c r="C217" s="243" t="str">
        <f t="shared" si="230"/>
        <v>Rates</v>
      </c>
      <c r="D217" s="244" t="str">
        <f t="shared" si="230"/>
        <v>Change in Rates after DSM Scenario</v>
      </c>
      <c r="E217" s="84" t="s">
        <v>76</v>
      </c>
      <c r="F217" s="84" t="s">
        <v>182</v>
      </c>
      <c r="G217" s="510">
        <f ca="1">G215-G200</f>
        <v>0</v>
      </c>
      <c r="H217" s="510">
        <f t="shared" ref="H217:AG217" ca="1" si="231">H215-H200</f>
        <v>0.15501098350121945</v>
      </c>
      <c r="I217" s="510">
        <f t="shared" ca="1" si="231"/>
        <v>5.7418678806337997E-3</v>
      </c>
      <c r="J217" s="510">
        <f t="shared" ca="1" si="231"/>
        <v>5.7418678806337997E-3</v>
      </c>
      <c r="K217" s="510">
        <f t="shared" ca="1" si="231"/>
        <v>5.7418678806337997E-3</v>
      </c>
      <c r="L217" s="510">
        <f t="shared" ca="1" si="231"/>
        <v>5.7418678806337997E-3</v>
      </c>
      <c r="M217" s="510">
        <f t="shared" ca="1" si="231"/>
        <v>5.7418678806337997E-3</v>
      </c>
      <c r="N217" s="510">
        <f t="shared" ca="1" si="231"/>
        <v>5.7418678806337997E-3</v>
      </c>
      <c r="O217" s="510">
        <f t="shared" ca="1" si="231"/>
        <v>5.7418678806337997E-3</v>
      </c>
      <c r="P217" s="510">
        <f t="shared" ca="1" si="231"/>
        <v>5.7418678806337997E-3</v>
      </c>
      <c r="Q217" s="510">
        <f t="shared" ca="1" si="231"/>
        <v>5.7418678806337997E-3</v>
      </c>
      <c r="R217" s="510">
        <f t="shared" ca="1" si="231"/>
        <v>5.7418678806337997E-3</v>
      </c>
      <c r="S217" s="510">
        <f t="shared" ca="1" si="231"/>
        <v>5.7418678806337997E-3</v>
      </c>
      <c r="T217" s="510">
        <f t="shared" ca="1" si="231"/>
        <v>5.7418678806337997E-3</v>
      </c>
      <c r="U217" s="510">
        <f t="shared" ca="1" si="231"/>
        <v>5.7418678806337997E-3</v>
      </c>
      <c r="V217" s="510">
        <f t="shared" ca="1" si="231"/>
        <v>5.7418678806337997E-3</v>
      </c>
      <c r="W217" s="510">
        <f t="shared" ca="1" si="231"/>
        <v>5.7418678806337997E-3</v>
      </c>
      <c r="X217" s="510">
        <f t="shared" ca="1" si="231"/>
        <v>0</v>
      </c>
      <c r="Y217" s="510">
        <f t="shared" ca="1" si="231"/>
        <v>0</v>
      </c>
      <c r="Z217" s="510">
        <f t="shared" ca="1" si="231"/>
        <v>0</v>
      </c>
      <c r="AA217" s="510">
        <f t="shared" ca="1" si="231"/>
        <v>0</v>
      </c>
      <c r="AB217" s="510">
        <f t="shared" ca="1" si="231"/>
        <v>0</v>
      </c>
      <c r="AC217" s="510">
        <f t="shared" ca="1" si="231"/>
        <v>0</v>
      </c>
      <c r="AD217" s="510">
        <f t="shared" ca="1" si="231"/>
        <v>0</v>
      </c>
      <c r="AE217" s="510">
        <f t="shared" ca="1" si="231"/>
        <v>0</v>
      </c>
      <c r="AF217" s="510">
        <f t="shared" ca="1" si="231"/>
        <v>0</v>
      </c>
      <c r="AG217" s="510">
        <f t="shared" ca="1" si="231"/>
        <v>0</v>
      </c>
      <c r="AH217" s="510"/>
      <c r="AI217" s="510"/>
      <c r="AJ217" s="510">
        <f ca="1">IF($C$4=Year1,-PMT(Lookups!$E$17,25,NPV(Lookups!$E$17,G217:AE217),0,1),IF($C$4=Year2,-PMT(Lookups!$F$17,25,NPV(Lookups!$F$17,H217:AF217),0,1),IF($C$4=Year3,-PMT(Lookups!$G$17,25,NPV(Lookups!$G$17,I217:AG217),0,1),-PMT(Lookups!$G$17,27,NPV(Lookups!$G$17,G217:AG217),0,1))))</f>
        <v>1.0780952272756383E-2</v>
      </c>
      <c r="AK217" s="507"/>
      <c r="AL217" s="507"/>
      <c r="AM217" s="508">
        <f ca="1">AM215-AM200</f>
        <v>0</v>
      </c>
      <c r="AN217" s="508">
        <f t="shared" ref="AN217:BM217" ca="1" si="232">AN215-AN200</f>
        <v>0.18570127972152006</v>
      </c>
      <c r="AO217" s="508">
        <f t="shared" ca="1" si="232"/>
        <v>6.5783409768174206E-3</v>
      </c>
      <c r="AP217" s="508">
        <f t="shared" ca="1" si="232"/>
        <v>6.5783409768174206E-3</v>
      </c>
      <c r="AQ217" s="508">
        <f t="shared" ca="1" si="232"/>
        <v>6.5783409768174206E-3</v>
      </c>
      <c r="AR217" s="508">
        <f t="shared" ca="1" si="232"/>
        <v>6.5783409768174206E-3</v>
      </c>
      <c r="AS217" s="508">
        <f t="shared" ca="1" si="232"/>
        <v>6.5783409768174206E-3</v>
      </c>
      <c r="AT217" s="508">
        <f t="shared" ca="1" si="232"/>
        <v>6.5783409768174206E-3</v>
      </c>
      <c r="AU217" s="508">
        <f t="shared" ca="1" si="232"/>
        <v>6.5783409768174206E-3</v>
      </c>
      <c r="AV217" s="508">
        <f t="shared" ca="1" si="232"/>
        <v>6.5783409768174206E-3</v>
      </c>
      <c r="AW217" s="508">
        <f t="shared" ca="1" si="232"/>
        <v>6.5783409768174206E-3</v>
      </c>
      <c r="AX217" s="508">
        <f t="shared" ca="1" si="232"/>
        <v>6.5783409768174206E-3</v>
      </c>
      <c r="AY217" s="508">
        <f t="shared" ca="1" si="232"/>
        <v>6.5783409768174206E-3</v>
      </c>
      <c r="AZ217" s="508">
        <f t="shared" ca="1" si="232"/>
        <v>6.5783409768174206E-3</v>
      </c>
      <c r="BA217" s="508">
        <f t="shared" ca="1" si="232"/>
        <v>6.5783409768174206E-3</v>
      </c>
      <c r="BB217" s="508">
        <f t="shared" ca="1" si="232"/>
        <v>6.5783409768174206E-3</v>
      </c>
      <c r="BC217" s="508">
        <f t="shared" ca="1" si="232"/>
        <v>6.5783409768174206E-3</v>
      </c>
      <c r="BD217" s="508">
        <f t="shared" ca="1" si="232"/>
        <v>0</v>
      </c>
      <c r="BE217" s="508">
        <f t="shared" ca="1" si="232"/>
        <v>0</v>
      </c>
      <c r="BF217" s="508">
        <f t="shared" ca="1" si="232"/>
        <v>0</v>
      </c>
      <c r="BG217" s="508">
        <f t="shared" ca="1" si="232"/>
        <v>0</v>
      </c>
      <c r="BH217" s="508">
        <f t="shared" ca="1" si="232"/>
        <v>0</v>
      </c>
      <c r="BI217" s="508">
        <f t="shared" ca="1" si="232"/>
        <v>0</v>
      </c>
      <c r="BJ217" s="508">
        <f t="shared" ca="1" si="232"/>
        <v>0</v>
      </c>
      <c r="BK217" s="508">
        <f t="shared" ca="1" si="232"/>
        <v>0</v>
      </c>
      <c r="BL217" s="508">
        <f t="shared" ca="1" si="232"/>
        <v>0</v>
      </c>
      <c r="BM217" s="508">
        <f t="shared" ca="1" si="232"/>
        <v>0</v>
      </c>
      <c r="BN217" s="508"/>
      <c r="BO217" s="508"/>
      <c r="BP217" s="508">
        <f ca="1">IF($C$4=Year1,-PMT(Lookups!$E$17,25,NPV(Lookups!$E$17,AM217:BK217),0,1),IF($C$4=Year2,-PMT(Lookups!$F$17,25,NPV(Lookups!$F$17,AN217:BL217),0,1),IF($C$4=Year3,-PMT(Lookups!$G$17,25,NPV(Lookups!$G$17,AO217:BM217),0,1),-PMT(Lookups!$G$17,27,NPV(Lookups!$G$17,AM217:BM217),0,1))))</f>
        <v>1.27281027036982E-2</v>
      </c>
      <c r="BS217" s="84" t="s">
        <v>233</v>
      </c>
      <c r="BT217" s="51" t="s">
        <v>17</v>
      </c>
    </row>
    <row r="218" spans="1:72" x14ac:dyDescent="0.25">
      <c r="B218" s="243" t="str">
        <f t="shared" si="230"/>
        <v>Small C&amp;I</v>
      </c>
      <c r="C218" s="243" t="str">
        <f t="shared" si="230"/>
        <v>Rates</v>
      </c>
      <c r="D218" s="244" t="str">
        <f t="shared" si="230"/>
        <v>Change in Rates after DSM Scenario</v>
      </c>
      <c r="E218" s="84" t="s">
        <v>76</v>
      </c>
      <c r="F218" s="84" t="s">
        <v>16</v>
      </c>
      <c r="G218" s="224">
        <f ca="1">IFERROR(G215/G200-1,0)</f>
        <v>0</v>
      </c>
      <c r="H218" s="224">
        <f t="shared" ref="H218:AG218" ca="1" si="233">IFERROR(H215/H200-1,0)</f>
        <v>0.11916156738369388</v>
      </c>
      <c r="I218" s="224">
        <f t="shared" ca="1" si="233"/>
        <v>4.4139451341589364E-3</v>
      </c>
      <c r="J218" s="224">
        <f t="shared" ca="1" si="233"/>
        <v>4.4139451341589364E-3</v>
      </c>
      <c r="K218" s="224">
        <f t="shared" ca="1" si="233"/>
        <v>4.4139451341589364E-3</v>
      </c>
      <c r="L218" s="224">
        <f t="shared" ca="1" si="233"/>
        <v>4.4139451341589364E-3</v>
      </c>
      <c r="M218" s="224">
        <f t="shared" ca="1" si="233"/>
        <v>4.4139451341589364E-3</v>
      </c>
      <c r="N218" s="224">
        <f t="shared" ca="1" si="233"/>
        <v>4.4139451341589364E-3</v>
      </c>
      <c r="O218" s="224">
        <f t="shared" ca="1" si="233"/>
        <v>4.4139451341589364E-3</v>
      </c>
      <c r="P218" s="224">
        <f t="shared" ca="1" si="233"/>
        <v>4.4139451341589364E-3</v>
      </c>
      <c r="Q218" s="224">
        <f t="shared" ca="1" si="233"/>
        <v>4.4139451341589364E-3</v>
      </c>
      <c r="R218" s="224">
        <f t="shared" ca="1" si="233"/>
        <v>4.4139451341589364E-3</v>
      </c>
      <c r="S218" s="224">
        <f t="shared" ca="1" si="233"/>
        <v>4.4139451341589364E-3</v>
      </c>
      <c r="T218" s="224">
        <f t="shared" ca="1" si="233"/>
        <v>4.4139451341589364E-3</v>
      </c>
      <c r="U218" s="224">
        <f t="shared" ca="1" si="233"/>
        <v>4.4139451341589364E-3</v>
      </c>
      <c r="V218" s="224">
        <f t="shared" ca="1" si="233"/>
        <v>4.4139451341589364E-3</v>
      </c>
      <c r="W218" s="224">
        <f t="shared" ca="1" si="233"/>
        <v>4.4139451341589364E-3</v>
      </c>
      <c r="X218" s="224">
        <f t="shared" ca="1" si="233"/>
        <v>0</v>
      </c>
      <c r="Y218" s="224">
        <f t="shared" ca="1" si="233"/>
        <v>0</v>
      </c>
      <c r="Z218" s="224">
        <f t="shared" ca="1" si="233"/>
        <v>0</v>
      </c>
      <c r="AA218" s="224">
        <f t="shared" ca="1" si="233"/>
        <v>0</v>
      </c>
      <c r="AB218" s="224">
        <f t="shared" ca="1" si="233"/>
        <v>0</v>
      </c>
      <c r="AC218" s="224">
        <f t="shared" ca="1" si="233"/>
        <v>0</v>
      </c>
      <c r="AD218" s="224">
        <f t="shared" ca="1" si="233"/>
        <v>0</v>
      </c>
      <c r="AE218" s="224">
        <f t="shared" ca="1" si="233"/>
        <v>0</v>
      </c>
      <c r="AF218" s="224">
        <f t="shared" ca="1" si="233"/>
        <v>0</v>
      </c>
      <c r="AG218" s="224">
        <f t="shared" ca="1" si="233"/>
        <v>0</v>
      </c>
      <c r="AH218" s="224"/>
      <c r="AI218" s="224"/>
      <c r="AJ218" s="224">
        <f ca="1">IFERROR(AJ215/AJ200-1,0)</f>
        <v>8.4048599578041561E-3</v>
      </c>
      <c r="AK218" s="212"/>
      <c r="AL218" s="212"/>
      <c r="AM218" s="504">
        <f ca="1">IFERROR(AM215/AM200-1,0)</f>
        <v>0</v>
      </c>
      <c r="AN218" s="504">
        <f t="shared" ref="AN218:BM218" ca="1" si="234">IFERROR(AN215/AN200-1,0)</f>
        <v>0.14275411365672674</v>
      </c>
      <c r="AO218" s="504">
        <f t="shared" ca="1" si="234"/>
        <v>5.0569669572850806E-3</v>
      </c>
      <c r="AP218" s="504">
        <f t="shared" ca="1" si="234"/>
        <v>5.0569669572850806E-3</v>
      </c>
      <c r="AQ218" s="504">
        <f t="shared" ca="1" si="234"/>
        <v>5.0569669572850806E-3</v>
      </c>
      <c r="AR218" s="504">
        <f t="shared" ca="1" si="234"/>
        <v>5.0569669572850806E-3</v>
      </c>
      <c r="AS218" s="504">
        <f t="shared" ca="1" si="234"/>
        <v>5.0569669572850806E-3</v>
      </c>
      <c r="AT218" s="504">
        <f t="shared" ca="1" si="234"/>
        <v>5.0569669572850806E-3</v>
      </c>
      <c r="AU218" s="504">
        <f t="shared" ca="1" si="234"/>
        <v>5.0569669572850806E-3</v>
      </c>
      <c r="AV218" s="504">
        <f t="shared" ca="1" si="234"/>
        <v>5.0569669572850806E-3</v>
      </c>
      <c r="AW218" s="504">
        <f t="shared" ca="1" si="234"/>
        <v>5.0569669572850806E-3</v>
      </c>
      <c r="AX218" s="504">
        <f t="shared" ca="1" si="234"/>
        <v>5.0569669572850806E-3</v>
      </c>
      <c r="AY218" s="504">
        <f t="shared" ca="1" si="234"/>
        <v>5.0569669572850806E-3</v>
      </c>
      <c r="AZ218" s="504">
        <f t="shared" ca="1" si="234"/>
        <v>5.0569669572850806E-3</v>
      </c>
      <c r="BA218" s="504">
        <f t="shared" ca="1" si="234"/>
        <v>5.0569669572850806E-3</v>
      </c>
      <c r="BB218" s="504">
        <f t="shared" ca="1" si="234"/>
        <v>5.0569669572850806E-3</v>
      </c>
      <c r="BC218" s="504">
        <f t="shared" ca="1" si="234"/>
        <v>5.0569669572850806E-3</v>
      </c>
      <c r="BD218" s="504">
        <f t="shared" ca="1" si="234"/>
        <v>0</v>
      </c>
      <c r="BE218" s="504">
        <f t="shared" ca="1" si="234"/>
        <v>0</v>
      </c>
      <c r="BF218" s="504">
        <f t="shared" ca="1" si="234"/>
        <v>0</v>
      </c>
      <c r="BG218" s="504">
        <f t="shared" ca="1" si="234"/>
        <v>0</v>
      </c>
      <c r="BH218" s="504">
        <f t="shared" ca="1" si="234"/>
        <v>0</v>
      </c>
      <c r="BI218" s="504">
        <f t="shared" ca="1" si="234"/>
        <v>0</v>
      </c>
      <c r="BJ218" s="504">
        <f t="shared" ca="1" si="234"/>
        <v>0</v>
      </c>
      <c r="BK218" s="504">
        <f t="shared" ca="1" si="234"/>
        <v>0</v>
      </c>
      <c r="BL218" s="504">
        <f t="shared" ca="1" si="234"/>
        <v>0</v>
      </c>
      <c r="BM218" s="504">
        <f t="shared" ca="1" si="234"/>
        <v>0</v>
      </c>
      <c r="BN218" s="504"/>
      <c r="BO218" s="504"/>
      <c r="BP218" s="504">
        <f ca="1">IFERROR(BP215/BP200-1,0)</f>
        <v>9.9228637736821224E-3</v>
      </c>
      <c r="BS218" s="84" t="s">
        <v>234</v>
      </c>
      <c r="BT218" s="51" t="s">
        <v>17</v>
      </c>
    </row>
    <row r="219" spans="1:72" x14ac:dyDescent="0.25">
      <c r="B219" s="243" t="str">
        <f t="shared" si="230"/>
        <v>Small C&amp;I</v>
      </c>
      <c r="C219" s="243" t="str">
        <f t="shared" si="230"/>
        <v>Rates</v>
      </c>
      <c r="D219" s="85"/>
      <c r="E219" s="84" t="s">
        <v>17</v>
      </c>
      <c r="F219" s="84"/>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S219" s="84"/>
      <c r="BT219" s="51" t="s">
        <v>17</v>
      </c>
    </row>
    <row r="220" spans="1:72" s="5" customFormat="1" ht="15.75" x14ac:dyDescent="0.25">
      <c r="A220" s="52"/>
      <c r="B220" s="241" t="str">
        <f t="shared" si="230"/>
        <v>Small C&amp;I</v>
      </c>
      <c r="C220" s="63" t="s">
        <v>51</v>
      </c>
      <c r="D220" s="61"/>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2"/>
      <c r="BO220" s="62"/>
      <c r="BP220" s="62"/>
      <c r="BS220" s="62"/>
      <c r="BT220" s="51" t="s">
        <v>17</v>
      </c>
    </row>
    <row r="221" spans="1:72" x14ac:dyDescent="0.25">
      <c r="B221" s="243" t="str">
        <f t="shared" si="230"/>
        <v>Small C&amp;I</v>
      </c>
      <c r="C221" s="243" t="str">
        <f>C220</f>
        <v>Bills</v>
      </c>
      <c r="D221" s="114" t="str">
        <f>"Bills before DSM ("&amp;Lookups!$D$22&amp;" Scenario, Non-Participant)"</f>
        <v>Bills before DSM (No EE Scenario, Non-Participant)</v>
      </c>
      <c r="E221" s="86"/>
      <c r="F221" s="84"/>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S221" s="84"/>
      <c r="BT221" s="51" t="s">
        <v>17</v>
      </c>
    </row>
    <row r="222" spans="1:72" x14ac:dyDescent="0.25">
      <c r="B222" s="243" t="str">
        <f t="shared" si="230"/>
        <v>Small C&amp;I</v>
      </c>
      <c r="C222" s="243" t="str">
        <f t="shared" si="230"/>
        <v>Bills</v>
      </c>
      <c r="D222" s="244" t="str">
        <f>D221</f>
        <v>Bills before DSM (No EE Scenario, Non-Participant)</v>
      </c>
      <c r="E222" s="86" t="s">
        <v>75</v>
      </c>
      <c r="F222" s="84" t="s">
        <v>31</v>
      </c>
      <c r="G222" s="659">
        <f>IF(G$8=0,0,INDEX('R&amp;B Inputs'!$H$45:$U$45,MATCH($B222,'R&amp;B Inputs'!$H$4:$U$4,0))*(1+INDEX('R&amp;B Inputs'!$H$46:$U$46,MATCH($B222,'R&amp;B Inputs'!$H$4:$U$4,0)))^(G$7-Year1)*12)</f>
        <v>0</v>
      </c>
      <c r="H222" s="659">
        <f>IF(H$8=0,0,INDEX('R&amp;B Inputs'!$H$45:$U$45,MATCH($B222,'R&amp;B Inputs'!$H$4:$U$4,0))*(1+INDEX('R&amp;B Inputs'!$H$46:$U$46,MATCH($B222,'R&amp;B Inputs'!$H$4:$U$4,0)))^(H$7-Year1)*12)</f>
        <v>676.31999999999994</v>
      </c>
      <c r="I222" s="659">
        <f>IF(I$8=0,0,INDEX('R&amp;B Inputs'!$H$45:$U$45,MATCH($B222,'R&amp;B Inputs'!$H$4:$U$4,0))*(1+INDEX('R&amp;B Inputs'!$H$46:$U$46,MATCH($B222,'R&amp;B Inputs'!$H$4:$U$4,0)))^(I$7-Year1)*12)</f>
        <v>676.31999999999994</v>
      </c>
      <c r="J222" s="659">
        <f>IF(J$8=0,0,INDEX('R&amp;B Inputs'!$H$45:$U$45,MATCH($B222,'R&amp;B Inputs'!$H$4:$U$4,0))*(1+INDEX('R&amp;B Inputs'!$H$46:$U$46,MATCH($B222,'R&amp;B Inputs'!$H$4:$U$4,0)))^(J$7-Year1)*12)</f>
        <v>676.31999999999994</v>
      </c>
      <c r="K222" s="659">
        <f>IF(K$8=0,0,INDEX('R&amp;B Inputs'!$H$45:$U$45,MATCH($B222,'R&amp;B Inputs'!$H$4:$U$4,0))*(1+INDEX('R&amp;B Inputs'!$H$46:$U$46,MATCH($B222,'R&amp;B Inputs'!$H$4:$U$4,0)))^(K$7-Year1)*12)</f>
        <v>676.31999999999994</v>
      </c>
      <c r="L222" s="659">
        <f>IF(L$8=0,0,INDEX('R&amp;B Inputs'!$H$45:$U$45,MATCH($B222,'R&amp;B Inputs'!$H$4:$U$4,0))*(1+INDEX('R&amp;B Inputs'!$H$46:$U$46,MATCH($B222,'R&amp;B Inputs'!$H$4:$U$4,0)))^(L$7-Year1)*12)</f>
        <v>676.31999999999994</v>
      </c>
      <c r="M222" s="659">
        <f>IF(M$8=0,0,INDEX('R&amp;B Inputs'!$H$45:$U$45,MATCH($B222,'R&amp;B Inputs'!$H$4:$U$4,0))*(1+INDEX('R&amp;B Inputs'!$H$46:$U$46,MATCH($B222,'R&amp;B Inputs'!$H$4:$U$4,0)))^(M$7-Year1)*12)</f>
        <v>676.31999999999994</v>
      </c>
      <c r="N222" s="659">
        <f>IF(N$8=0,0,INDEX('R&amp;B Inputs'!$H$45:$U$45,MATCH($B222,'R&amp;B Inputs'!$H$4:$U$4,0))*(1+INDEX('R&amp;B Inputs'!$H$46:$U$46,MATCH($B222,'R&amp;B Inputs'!$H$4:$U$4,0)))^(N$7-Year1)*12)</f>
        <v>676.31999999999994</v>
      </c>
      <c r="O222" s="659">
        <f>IF(O$8=0,0,INDEX('R&amp;B Inputs'!$H$45:$U$45,MATCH($B222,'R&amp;B Inputs'!$H$4:$U$4,0))*(1+INDEX('R&amp;B Inputs'!$H$46:$U$46,MATCH($B222,'R&amp;B Inputs'!$H$4:$U$4,0)))^(O$7-Year1)*12)</f>
        <v>676.31999999999994</v>
      </c>
      <c r="P222" s="659">
        <f>IF(P$8=0,0,INDEX('R&amp;B Inputs'!$H$45:$U$45,MATCH($B222,'R&amp;B Inputs'!$H$4:$U$4,0))*(1+INDEX('R&amp;B Inputs'!$H$46:$U$46,MATCH($B222,'R&amp;B Inputs'!$H$4:$U$4,0)))^(P$7-Year1)*12)</f>
        <v>676.31999999999994</v>
      </c>
      <c r="Q222" s="659">
        <f>IF(Q$8=0,0,INDEX('R&amp;B Inputs'!$H$45:$U$45,MATCH($B222,'R&amp;B Inputs'!$H$4:$U$4,0))*(1+INDEX('R&amp;B Inputs'!$H$46:$U$46,MATCH($B222,'R&amp;B Inputs'!$H$4:$U$4,0)))^(Q$7-Year1)*12)</f>
        <v>676.31999999999994</v>
      </c>
      <c r="R222" s="659">
        <f>IF(R$8=0,0,INDEX('R&amp;B Inputs'!$H$45:$U$45,MATCH($B222,'R&amp;B Inputs'!$H$4:$U$4,0))*(1+INDEX('R&amp;B Inputs'!$H$46:$U$46,MATCH($B222,'R&amp;B Inputs'!$H$4:$U$4,0)))^(R$7-Year1)*12)</f>
        <v>676.31999999999994</v>
      </c>
      <c r="S222" s="659">
        <f>IF(S$8=0,0,INDEX('R&amp;B Inputs'!$H$45:$U$45,MATCH($B222,'R&amp;B Inputs'!$H$4:$U$4,0))*(1+INDEX('R&amp;B Inputs'!$H$46:$U$46,MATCH($B222,'R&amp;B Inputs'!$H$4:$U$4,0)))^(S$7-Year1)*12)</f>
        <v>676.31999999999994</v>
      </c>
      <c r="T222" s="659">
        <f>IF(T$8=0,0,INDEX('R&amp;B Inputs'!$H$45:$U$45,MATCH($B222,'R&amp;B Inputs'!$H$4:$U$4,0))*(1+INDEX('R&amp;B Inputs'!$H$46:$U$46,MATCH($B222,'R&amp;B Inputs'!$H$4:$U$4,0)))^(T$7-Year1)*12)</f>
        <v>676.31999999999994</v>
      </c>
      <c r="U222" s="659">
        <f>IF(U$8=0,0,INDEX('R&amp;B Inputs'!$H$45:$U$45,MATCH($B222,'R&amp;B Inputs'!$H$4:$U$4,0))*(1+INDEX('R&amp;B Inputs'!$H$46:$U$46,MATCH($B222,'R&amp;B Inputs'!$H$4:$U$4,0)))^(U$7-Year1)*12)</f>
        <v>676.31999999999994</v>
      </c>
      <c r="V222" s="659">
        <f>IF(V$8=0,0,INDEX('R&amp;B Inputs'!$H$45:$U$45,MATCH($B222,'R&amp;B Inputs'!$H$4:$U$4,0))*(1+INDEX('R&amp;B Inputs'!$H$46:$U$46,MATCH($B222,'R&amp;B Inputs'!$H$4:$U$4,0)))^(V$7-Year1)*12)</f>
        <v>676.31999999999994</v>
      </c>
      <c r="W222" s="659">
        <f>IF(W$8=0,0,INDEX('R&amp;B Inputs'!$H$45:$U$45,MATCH($B222,'R&amp;B Inputs'!$H$4:$U$4,0))*(1+INDEX('R&amp;B Inputs'!$H$46:$U$46,MATCH($B222,'R&amp;B Inputs'!$H$4:$U$4,0)))^(W$7-Year1)*12)</f>
        <v>676.31999999999994</v>
      </c>
      <c r="X222" s="659">
        <f>IF(X$8=0,0,INDEX('R&amp;B Inputs'!$H$45:$U$45,MATCH($B222,'R&amp;B Inputs'!$H$4:$U$4,0))*(1+INDEX('R&amp;B Inputs'!$H$46:$U$46,MATCH($B222,'R&amp;B Inputs'!$H$4:$U$4,0)))^(X$7-Year1)*12)</f>
        <v>676.31999999999994</v>
      </c>
      <c r="Y222" s="659">
        <f>IF(Y$8=0,0,INDEX('R&amp;B Inputs'!$H$45:$U$45,MATCH($B222,'R&amp;B Inputs'!$H$4:$U$4,0))*(1+INDEX('R&amp;B Inputs'!$H$46:$U$46,MATCH($B222,'R&amp;B Inputs'!$H$4:$U$4,0)))^(Y$7-Year1)*12)</f>
        <v>676.31999999999994</v>
      </c>
      <c r="Z222" s="659">
        <f>IF(Z$8=0,0,INDEX('R&amp;B Inputs'!$H$45:$U$45,MATCH($B222,'R&amp;B Inputs'!$H$4:$U$4,0))*(1+INDEX('R&amp;B Inputs'!$H$46:$U$46,MATCH($B222,'R&amp;B Inputs'!$H$4:$U$4,0)))^(Z$7-Year1)*12)</f>
        <v>676.31999999999994</v>
      </c>
      <c r="AA222" s="659">
        <f>IF(AA$8=0,0,INDEX('R&amp;B Inputs'!$H$45:$U$45,MATCH($B222,'R&amp;B Inputs'!$H$4:$U$4,0))*(1+INDEX('R&amp;B Inputs'!$H$46:$U$46,MATCH($B222,'R&amp;B Inputs'!$H$4:$U$4,0)))^(AA$7-Year1)*12)</f>
        <v>676.31999999999994</v>
      </c>
      <c r="AB222" s="659">
        <f>IF(AB$8=0,0,INDEX('R&amp;B Inputs'!$H$45:$U$45,MATCH($B222,'R&amp;B Inputs'!$H$4:$U$4,0))*(1+INDEX('R&amp;B Inputs'!$H$46:$U$46,MATCH($B222,'R&amp;B Inputs'!$H$4:$U$4,0)))^(AB$7-Year1)*12)</f>
        <v>676.31999999999994</v>
      </c>
      <c r="AC222" s="659">
        <f>IF(AC$8=0,0,INDEX('R&amp;B Inputs'!$H$45:$U$45,MATCH($B222,'R&amp;B Inputs'!$H$4:$U$4,0))*(1+INDEX('R&amp;B Inputs'!$H$46:$U$46,MATCH($B222,'R&amp;B Inputs'!$H$4:$U$4,0)))^(AC$7-Year1)*12)</f>
        <v>676.31999999999994</v>
      </c>
      <c r="AD222" s="659">
        <f>IF(AD$8=0,0,INDEX('R&amp;B Inputs'!$H$45:$U$45,MATCH($B222,'R&amp;B Inputs'!$H$4:$U$4,0))*(1+INDEX('R&amp;B Inputs'!$H$46:$U$46,MATCH($B222,'R&amp;B Inputs'!$H$4:$U$4,0)))^(AD$7-Year1)*12)</f>
        <v>676.31999999999994</v>
      </c>
      <c r="AE222" s="659">
        <f>IF(AE$8=0,0,INDEX('R&amp;B Inputs'!$H$45:$U$45,MATCH($B222,'R&amp;B Inputs'!$H$4:$U$4,0))*(1+INDEX('R&amp;B Inputs'!$H$46:$U$46,MATCH($B222,'R&amp;B Inputs'!$H$4:$U$4,0)))^(AE$7-Year1)*12)</f>
        <v>676.31999999999994</v>
      </c>
      <c r="AF222" s="659">
        <f>IF(AF$8=0,0,INDEX('R&amp;B Inputs'!$H$45:$U$45,MATCH($B222,'R&amp;B Inputs'!$H$4:$U$4,0))*(1+INDEX('R&amp;B Inputs'!$H$46:$U$46,MATCH($B222,'R&amp;B Inputs'!$H$4:$U$4,0)))^(AF$7-Year1)*12)</f>
        <v>676.31999999999994</v>
      </c>
      <c r="AG222" s="659">
        <f>IF(AG$8=0,0,INDEX('R&amp;B Inputs'!$H$45:$U$45,MATCH($B222,'R&amp;B Inputs'!$H$4:$U$4,0))*(1+INDEX('R&amp;B Inputs'!$H$46:$U$46,MATCH($B222,'R&amp;B Inputs'!$H$4:$U$4,0)))^(AG$7-Year1)*12)</f>
        <v>676.31999999999994</v>
      </c>
      <c r="AH222" s="49"/>
      <c r="AI222" s="49"/>
      <c r="AJ222" s="103">
        <f>IF($C$4=Year1,-PMT(Lookups!$E$17,25,NPV(Lookups!$E$17,G222:AE222),0,1),IF($C$4=Year2,-PMT(Lookups!$F$17,25,NPV(Lookups!$F$17,H222:AF222),0,1),IF($C$4=Year3,-PMT(Lookups!$G$17,25,NPV(Lookups!$G$17,I222:AG222),0,1),-PMT(Lookups!$G$17,27,NPV(Lookups!$G$17,G222:AG222),0,1))))</f>
        <v>666.88754673123469</v>
      </c>
      <c r="AM222" s="705">
        <f>IF(AM$8=0,0,INDEX('R&amp;B Inputs'!$H$45:$U$45,MATCH($B222,'R&amp;B Inputs'!$H$4:$U$4,0))*(1+INDEX('R&amp;B Inputs'!$H$46:$U$46,MATCH($B222,'R&amp;B Inputs'!$H$4:$U$4,0)))^(AM$7-Year1)*12)</f>
        <v>0</v>
      </c>
      <c r="AN222" s="705">
        <f>IF(AN$8=0,0,INDEX('R&amp;B Inputs'!$H$45:$U$45,MATCH($B222,'R&amp;B Inputs'!$H$4:$U$4,0))*(1+INDEX('R&amp;B Inputs'!$H$46:$U$46,MATCH($B222,'R&amp;B Inputs'!$H$4:$U$4,0)))^(AN$7-Year1)*12)</f>
        <v>676.31999999999994</v>
      </c>
      <c r="AO222" s="705">
        <f>IF(AO$8=0,0,INDEX('R&amp;B Inputs'!$H$45:$U$45,MATCH($B222,'R&amp;B Inputs'!$H$4:$U$4,0))*(1+INDEX('R&amp;B Inputs'!$H$46:$U$46,MATCH($B222,'R&amp;B Inputs'!$H$4:$U$4,0)))^(AO$7-Year1)*12)</f>
        <v>676.31999999999994</v>
      </c>
      <c r="AP222" s="705">
        <f>IF(AP$8=0,0,INDEX('R&amp;B Inputs'!$H$45:$U$45,MATCH($B222,'R&amp;B Inputs'!$H$4:$U$4,0))*(1+INDEX('R&amp;B Inputs'!$H$46:$U$46,MATCH($B222,'R&amp;B Inputs'!$H$4:$U$4,0)))^(AP$7-Year1)*12)</f>
        <v>676.31999999999994</v>
      </c>
      <c r="AQ222" s="705">
        <f>IF(AQ$8=0,0,INDEX('R&amp;B Inputs'!$H$45:$U$45,MATCH($B222,'R&amp;B Inputs'!$H$4:$U$4,0))*(1+INDEX('R&amp;B Inputs'!$H$46:$U$46,MATCH($B222,'R&amp;B Inputs'!$H$4:$U$4,0)))^(AQ$7-Year1)*12)</f>
        <v>676.31999999999994</v>
      </c>
      <c r="AR222" s="705">
        <f>IF(AR$8=0,0,INDEX('R&amp;B Inputs'!$H$45:$U$45,MATCH($B222,'R&amp;B Inputs'!$H$4:$U$4,0))*(1+INDEX('R&amp;B Inputs'!$H$46:$U$46,MATCH($B222,'R&amp;B Inputs'!$H$4:$U$4,0)))^(AR$7-Year1)*12)</f>
        <v>676.31999999999994</v>
      </c>
      <c r="AS222" s="705">
        <f>IF(AS$8=0,0,INDEX('R&amp;B Inputs'!$H$45:$U$45,MATCH($B222,'R&amp;B Inputs'!$H$4:$U$4,0))*(1+INDEX('R&amp;B Inputs'!$H$46:$U$46,MATCH($B222,'R&amp;B Inputs'!$H$4:$U$4,0)))^(AS$7-Year1)*12)</f>
        <v>676.31999999999994</v>
      </c>
      <c r="AT222" s="705">
        <f>IF(AT$8=0,0,INDEX('R&amp;B Inputs'!$H$45:$U$45,MATCH($B222,'R&amp;B Inputs'!$H$4:$U$4,0))*(1+INDEX('R&amp;B Inputs'!$H$46:$U$46,MATCH($B222,'R&amp;B Inputs'!$H$4:$U$4,0)))^(AT$7-Year1)*12)</f>
        <v>676.31999999999994</v>
      </c>
      <c r="AU222" s="705">
        <f>IF(AU$8=0,0,INDEX('R&amp;B Inputs'!$H$45:$U$45,MATCH($B222,'R&amp;B Inputs'!$H$4:$U$4,0))*(1+INDEX('R&amp;B Inputs'!$H$46:$U$46,MATCH($B222,'R&amp;B Inputs'!$H$4:$U$4,0)))^(AU$7-Year1)*12)</f>
        <v>676.31999999999994</v>
      </c>
      <c r="AV222" s="705">
        <f>IF(AV$8=0,0,INDEX('R&amp;B Inputs'!$H$45:$U$45,MATCH($B222,'R&amp;B Inputs'!$H$4:$U$4,0))*(1+INDEX('R&amp;B Inputs'!$H$46:$U$46,MATCH($B222,'R&amp;B Inputs'!$H$4:$U$4,0)))^(AV$7-Year1)*12)</f>
        <v>676.31999999999994</v>
      </c>
      <c r="AW222" s="705">
        <f>IF(AW$8=0,0,INDEX('R&amp;B Inputs'!$H$45:$U$45,MATCH($B222,'R&amp;B Inputs'!$H$4:$U$4,0))*(1+INDEX('R&amp;B Inputs'!$H$46:$U$46,MATCH($B222,'R&amp;B Inputs'!$H$4:$U$4,0)))^(AW$7-Year1)*12)</f>
        <v>676.31999999999994</v>
      </c>
      <c r="AX222" s="705">
        <f>IF(AX$8=0,0,INDEX('R&amp;B Inputs'!$H$45:$U$45,MATCH($B222,'R&amp;B Inputs'!$H$4:$U$4,0))*(1+INDEX('R&amp;B Inputs'!$H$46:$U$46,MATCH($B222,'R&amp;B Inputs'!$H$4:$U$4,0)))^(AX$7-Year1)*12)</f>
        <v>676.31999999999994</v>
      </c>
      <c r="AY222" s="705">
        <f>IF(AY$8=0,0,INDEX('R&amp;B Inputs'!$H$45:$U$45,MATCH($B222,'R&amp;B Inputs'!$H$4:$U$4,0))*(1+INDEX('R&amp;B Inputs'!$H$46:$U$46,MATCH($B222,'R&amp;B Inputs'!$H$4:$U$4,0)))^(AY$7-Year1)*12)</f>
        <v>676.31999999999994</v>
      </c>
      <c r="AZ222" s="705">
        <f>IF(AZ$8=0,0,INDEX('R&amp;B Inputs'!$H$45:$U$45,MATCH($B222,'R&amp;B Inputs'!$H$4:$U$4,0))*(1+INDEX('R&amp;B Inputs'!$H$46:$U$46,MATCH($B222,'R&amp;B Inputs'!$H$4:$U$4,0)))^(AZ$7-Year1)*12)</f>
        <v>676.31999999999994</v>
      </c>
      <c r="BA222" s="705">
        <f>IF(BA$8=0,0,INDEX('R&amp;B Inputs'!$H$45:$U$45,MATCH($B222,'R&amp;B Inputs'!$H$4:$U$4,0))*(1+INDEX('R&amp;B Inputs'!$H$46:$U$46,MATCH($B222,'R&amp;B Inputs'!$H$4:$U$4,0)))^(BA$7-Year1)*12)</f>
        <v>676.31999999999994</v>
      </c>
      <c r="BB222" s="705">
        <f>IF(BB$8=0,0,INDEX('R&amp;B Inputs'!$H$45:$U$45,MATCH($B222,'R&amp;B Inputs'!$H$4:$U$4,0))*(1+INDEX('R&amp;B Inputs'!$H$46:$U$46,MATCH($B222,'R&amp;B Inputs'!$H$4:$U$4,0)))^(BB$7-Year1)*12)</f>
        <v>676.31999999999994</v>
      </c>
      <c r="BC222" s="705">
        <f>IF(BC$8=0,0,INDEX('R&amp;B Inputs'!$H$45:$U$45,MATCH($B222,'R&amp;B Inputs'!$H$4:$U$4,0))*(1+INDEX('R&amp;B Inputs'!$H$46:$U$46,MATCH($B222,'R&amp;B Inputs'!$H$4:$U$4,0)))^(BC$7-Year1)*12)</f>
        <v>676.31999999999994</v>
      </c>
      <c r="BD222" s="705">
        <f>IF(BD$8=0,0,INDEX('R&amp;B Inputs'!$H$45:$U$45,MATCH($B222,'R&amp;B Inputs'!$H$4:$U$4,0))*(1+INDEX('R&amp;B Inputs'!$H$46:$U$46,MATCH($B222,'R&amp;B Inputs'!$H$4:$U$4,0)))^(BD$7-Year1)*12)</f>
        <v>676.31999999999994</v>
      </c>
      <c r="BE222" s="705">
        <f>IF(BE$8=0,0,INDEX('R&amp;B Inputs'!$H$45:$U$45,MATCH($B222,'R&amp;B Inputs'!$H$4:$U$4,0))*(1+INDEX('R&amp;B Inputs'!$H$46:$U$46,MATCH($B222,'R&amp;B Inputs'!$H$4:$U$4,0)))^(BE$7-Year1)*12)</f>
        <v>676.31999999999994</v>
      </c>
      <c r="BF222" s="705">
        <f>IF(BF$8=0,0,INDEX('R&amp;B Inputs'!$H$45:$U$45,MATCH($B222,'R&amp;B Inputs'!$H$4:$U$4,0))*(1+INDEX('R&amp;B Inputs'!$H$46:$U$46,MATCH($B222,'R&amp;B Inputs'!$H$4:$U$4,0)))^(BF$7-Year1)*12)</f>
        <v>676.31999999999994</v>
      </c>
      <c r="BG222" s="705">
        <f>IF(BG$8=0,0,INDEX('R&amp;B Inputs'!$H$45:$U$45,MATCH($B222,'R&amp;B Inputs'!$H$4:$U$4,0))*(1+INDEX('R&amp;B Inputs'!$H$46:$U$46,MATCH($B222,'R&amp;B Inputs'!$H$4:$U$4,0)))^(BG$7-Year1)*12)</f>
        <v>676.31999999999994</v>
      </c>
      <c r="BH222" s="705">
        <f>IF(BH$8=0,0,INDEX('R&amp;B Inputs'!$H$45:$U$45,MATCH($B222,'R&amp;B Inputs'!$H$4:$U$4,0))*(1+INDEX('R&amp;B Inputs'!$H$46:$U$46,MATCH($B222,'R&amp;B Inputs'!$H$4:$U$4,0)))^(BH$7-Year1)*12)</f>
        <v>676.31999999999994</v>
      </c>
      <c r="BI222" s="705">
        <f>IF(BI$8=0,0,INDEX('R&amp;B Inputs'!$H$45:$U$45,MATCH($B222,'R&amp;B Inputs'!$H$4:$U$4,0))*(1+INDEX('R&amp;B Inputs'!$H$46:$U$46,MATCH($B222,'R&amp;B Inputs'!$H$4:$U$4,0)))^(BI$7-Year1)*12)</f>
        <v>676.31999999999994</v>
      </c>
      <c r="BJ222" s="705">
        <f>IF(BJ$8=0,0,INDEX('R&amp;B Inputs'!$H$45:$U$45,MATCH($B222,'R&amp;B Inputs'!$H$4:$U$4,0))*(1+INDEX('R&amp;B Inputs'!$H$46:$U$46,MATCH($B222,'R&amp;B Inputs'!$H$4:$U$4,0)))^(BJ$7-Year1)*12)</f>
        <v>676.31999999999994</v>
      </c>
      <c r="BK222" s="705">
        <f>IF(BK$8=0,0,INDEX('R&amp;B Inputs'!$H$45:$U$45,MATCH($B222,'R&amp;B Inputs'!$H$4:$U$4,0))*(1+INDEX('R&amp;B Inputs'!$H$46:$U$46,MATCH($B222,'R&amp;B Inputs'!$H$4:$U$4,0)))^(BK$7-Year1)*12)</f>
        <v>676.31999999999994</v>
      </c>
      <c r="BL222" s="705">
        <f>IF(BL$8=0,0,INDEX('R&amp;B Inputs'!$H$45:$U$45,MATCH($B222,'R&amp;B Inputs'!$H$4:$U$4,0))*(1+INDEX('R&amp;B Inputs'!$H$46:$U$46,MATCH($B222,'R&amp;B Inputs'!$H$4:$U$4,0)))^(BL$7-Year1)*12)</f>
        <v>676.31999999999994</v>
      </c>
      <c r="BM222" s="705">
        <f>IF(BM$8=0,0,INDEX('R&amp;B Inputs'!$H$45:$U$45,MATCH($B222,'R&amp;B Inputs'!$H$4:$U$4,0))*(1+INDEX('R&amp;B Inputs'!$H$46:$U$46,MATCH($B222,'R&amp;B Inputs'!$H$4:$U$4,0)))^(BM$7-Year1)*12)</f>
        <v>676.31999999999994</v>
      </c>
      <c r="BN222" s="74"/>
      <c r="BO222" s="74"/>
      <c r="BP222" s="149">
        <f>IF($C$4=Year1,-PMT(Lookups!$E$17,25,NPV(Lookups!$E$17,AM222:BK222),0,1),IF($C$4=Year2,-PMT(Lookups!$F$17,25,NPV(Lookups!$F$17,AN222:BL222),0,1),IF($C$4=Year3,-PMT(Lookups!$G$17,25,NPV(Lookups!$G$17,AO222:BM222),0,1),-PMT(Lookups!$G$17,27,NPV(Lookups!$G$17,AM222:BM222),0,1))))</f>
        <v>666.88754673123469</v>
      </c>
      <c r="BS222" s="84" t="str">
        <f t="shared" ref="BS222" si="235">E222&amp;" charge from the R&amp;B Inputs tab, escalated annually by the growth rate included on the R&amp;B Inputs tab."</f>
        <v>Customer Charge charge from the R&amp;B Inputs tab, escalated annually by the growth rate included on the R&amp;B Inputs tab.</v>
      </c>
      <c r="BT222" s="51" t="s">
        <v>17</v>
      </c>
    </row>
    <row r="223" spans="1:72" x14ac:dyDescent="0.25">
      <c r="B223" s="243" t="str">
        <f t="shared" si="230"/>
        <v>Small C&amp;I</v>
      </c>
      <c r="C223" s="243" t="str">
        <f t="shared" si="230"/>
        <v>Bills</v>
      </c>
      <c r="D223" s="244" t="str">
        <f>D222</f>
        <v>Bills before DSM (No EE Scenario, Non-Participant)</v>
      </c>
      <c r="E223" s="84" t="s">
        <v>309</v>
      </c>
      <c r="F223" s="84" t="s">
        <v>195</v>
      </c>
      <c r="G223" s="64">
        <f>IF(G$8=0,0,INDEX('R&amp;B Inputs'!$I$27:$V$27,MATCH($B223,'R&amp;B Inputs'!$I$4:$V$4,0))+INDEX('R&amp;B Inputs'!$I$28:$V$28,MATCH($B223,'R&amp;B Inputs'!$I$4:$V$4,0)))</f>
        <v>0</v>
      </c>
      <c r="H223" s="64">
        <f>IF(H$8=0,0,INDEX('R&amp;B Inputs'!$I$27:$V$27,MATCH($B223,'R&amp;B Inputs'!$I$4:$V$4,0))+INDEX('R&amp;B Inputs'!$I$28:$V$28,MATCH($B223,'R&amp;B Inputs'!$I$4:$V$4,0)))</f>
        <v>1953.9570000000001</v>
      </c>
      <c r="I223" s="64">
        <f>IF(I$8=0,0,INDEX('R&amp;B Inputs'!$I$27:$V$27,MATCH($B223,'R&amp;B Inputs'!$I$4:$V$4,0))+INDEX('R&amp;B Inputs'!$I$28:$V$28,MATCH($B223,'R&amp;B Inputs'!$I$4:$V$4,0)))</f>
        <v>1953.9570000000001</v>
      </c>
      <c r="J223" s="64">
        <f>IF(J$8=0,0,INDEX('R&amp;B Inputs'!$I$27:$V$27,MATCH($B223,'R&amp;B Inputs'!$I$4:$V$4,0))+INDEX('R&amp;B Inputs'!$I$28:$V$28,MATCH($B223,'R&amp;B Inputs'!$I$4:$V$4,0)))</f>
        <v>1953.9570000000001</v>
      </c>
      <c r="K223" s="64">
        <f>IF(K$8=0,0,INDEX('R&amp;B Inputs'!$I$27:$V$27,MATCH($B223,'R&amp;B Inputs'!$I$4:$V$4,0))+INDEX('R&amp;B Inputs'!$I$28:$V$28,MATCH($B223,'R&amp;B Inputs'!$I$4:$V$4,0)))</f>
        <v>1953.9570000000001</v>
      </c>
      <c r="L223" s="64">
        <f>IF(L$8=0,0,INDEX('R&amp;B Inputs'!$I$27:$V$27,MATCH($B223,'R&amp;B Inputs'!$I$4:$V$4,0))+INDEX('R&amp;B Inputs'!$I$28:$V$28,MATCH($B223,'R&amp;B Inputs'!$I$4:$V$4,0)))</f>
        <v>1953.9570000000001</v>
      </c>
      <c r="M223" s="64">
        <f>IF(M$8=0,0,INDEX('R&amp;B Inputs'!$I$27:$V$27,MATCH($B223,'R&amp;B Inputs'!$I$4:$V$4,0))+INDEX('R&amp;B Inputs'!$I$28:$V$28,MATCH($B223,'R&amp;B Inputs'!$I$4:$V$4,0)))</f>
        <v>1953.9570000000001</v>
      </c>
      <c r="N223" s="64">
        <f>IF(N$8=0,0,INDEX('R&amp;B Inputs'!$I$27:$V$27,MATCH($B223,'R&amp;B Inputs'!$I$4:$V$4,0))+INDEX('R&amp;B Inputs'!$I$28:$V$28,MATCH($B223,'R&amp;B Inputs'!$I$4:$V$4,0)))</f>
        <v>1953.9570000000001</v>
      </c>
      <c r="O223" s="64">
        <f>IF(O$8=0,0,INDEX('R&amp;B Inputs'!$I$27:$V$27,MATCH($B223,'R&amp;B Inputs'!$I$4:$V$4,0))+INDEX('R&amp;B Inputs'!$I$28:$V$28,MATCH($B223,'R&amp;B Inputs'!$I$4:$V$4,0)))</f>
        <v>1953.9570000000001</v>
      </c>
      <c r="P223" s="64">
        <f>IF(P$8=0,0,INDEX('R&amp;B Inputs'!$I$27:$V$27,MATCH($B223,'R&amp;B Inputs'!$I$4:$V$4,0))+INDEX('R&amp;B Inputs'!$I$28:$V$28,MATCH($B223,'R&amp;B Inputs'!$I$4:$V$4,0)))</f>
        <v>1953.9570000000001</v>
      </c>
      <c r="Q223" s="64">
        <f>IF(Q$8=0,0,INDEX('R&amp;B Inputs'!$I$27:$V$27,MATCH($B223,'R&amp;B Inputs'!$I$4:$V$4,0))+INDEX('R&amp;B Inputs'!$I$28:$V$28,MATCH($B223,'R&amp;B Inputs'!$I$4:$V$4,0)))</f>
        <v>1953.9570000000001</v>
      </c>
      <c r="R223" s="64">
        <f>IF(R$8=0,0,INDEX('R&amp;B Inputs'!$I$27:$V$27,MATCH($B223,'R&amp;B Inputs'!$I$4:$V$4,0))+INDEX('R&amp;B Inputs'!$I$28:$V$28,MATCH($B223,'R&amp;B Inputs'!$I$4:$V$4,0)))</f>
        <v>1953.9570000000001</v>
      </c>
      <c r="S223" s="64">
        <f>IF(S$8=0,0,INDEX('R&amp;B Inputs'!$I$27:$V$27,MATCH($B223,'R&amp;B Inputs'!$I$4:$V$4,0))+INDEX('R&amp;B Inputs'!$I$28:$V$28,MATCH($B223,'R&amp;B Inputs'!$I$4:$V$4,0)))</f>
        <v>1953.9570000000001</v>
      </c>
      <c r="T223" s="64">
        <f>IF(T$8=0,0,INDEX('R&amp;B Inputs'!$I$27:$V$27,MATCH($B223,'R&amp;B Inputs'!$I$4:$V$4,0))+INDEX('R&amp;B Inputs'!$I$28:$V$28,MATCH($B223,'R&amp;B Inputs'!$I$4:$V$4,0)))</f>
        <v>1953.9570000000001</v>
      </c>
      <c r="U223" s="64">
        <f>IF(U$8=0,0,INDEX('R&amp;B Inputs'!$I$27:$V$27,MATCH($B223,'R&amp;B Inputs'!$I$4:$V$4,0))+INDEX('R&amp;B Inputs'!$I$28:$V$28,MATCH($B223,'R&amp;B Inputs'!$I$4:$V$4,0)))</f>
        <v>1953.9570000000001</v>
      </c>
      <c r="V223" s="64">
        <f>IF(V$8=0,0,INDEX('R&amp;B Inputs'!$I$27:$V$27,MATCH($B223,'R&amp;B Inputs'!$I$4:$V$4,0))+INDEX('R&amp;B Inputs'!$I$28:$V$28,MATCH($B223,'R&amp;B Inputs'!$I$4:$V$4,0)))</f>
        <v>1953.9570000000001</v>
      </c>
      <c r="W223" s="64">
        <f>IF(W$8=0,0,INDEX('R&amp;B Inputs'!$I$27:$V$27,MATCH($B223,'R&amp;B Inputs'!$I$4:$V$4,0))+INDEX('R&amp;B Inputs'!$I$28:$V$28,MATCH($B223,'R&amp;B Inputs'!$I$4:$V$4,0)))</f>
        <v>1953.9570000000001</v>
      </c>
      <c r="X223" s="64">
        <f>IF(X$8=0,0,INDEX('R&amp;B Inputs'!$I$27:$V$27,MATCH($B223,'R&amp;B Inputs'!$I$4:$V$4,0))+INDEX('R&amp;B Inputs'!$I$28:$V$28,MATCH($B223,'R&amp;B Inputs'!$I$4:$V$4,0)))</f>
        <v>1953.9570000000001</v>
      </c>
      <c r="Y223" s="64">
        <f>IF(Y$8=0,0,INDEX('R&amp;B Inputs'!$I$27:$V$27,MATCH($B223,'R&amp;B Inputs'!$I$4:$V$4,0))+INDEX('R&amp;B Inputs'!$I$28:$V$28,MATCH($B223,'R&amp;B Inputs'!$I$4:$V$4,0)))</f>
        <v>1953.9570000000001</v>
      </c>
      <c r="Z223" s="64">
        <f>IF(Z$8=0,0,INDEX('R&amp;B Inputs'!$I$27:$V$27,MATCH($B223,'R&amp;B Inputs'!$I$4:$V$4,0))+INDEX('R&amp;B Inputs'!$I$28:$V$28,MATCH($B223,'R&amp;B Inputs'!$I$4:$V$4,0)))</f>
        <v>1953.9570000000001</v>
      </c>
      <c r="AA223" s="64">
        <f>IF(AA$8=0,0,INDEX('R&amp;B Inputs'!$I$27:$V$27,MATCH($B223,'R&amp;B Inputs'!$I$4:$V$4,0))+INDEX('R&amp;B Inputs'!$I$28:$V$28,MATCH($B223,'R&amp;B Inputs'!$I$4:$V$4,0)))</f>
        <v>1953.9570000000001</v>
      </c>
      <c r="AB223" s="64">
        <f>IF(AB$8=0,0,INDEX('R&amp;B Inputs'!$I$27:$V$27,MATCH($B223,'R&amp;B Inputs'!$I$4:$V$4,0))+INDEX('R&amp;B Inputs'!$I$28:$V$28,MATCH($B223,'R&amp;B Inputs'!$I$4:$V$4,0)))</f>
        <v>1953.9570000000001</v>
      </c>
      <c r="AC223" s="64">
        <f>IF(AC$8=0,0,INDEX('R&amp;B Inputs'!$I$27:$V$27,MATCH($B223,'R&amp;B Inputs'!$I$4:$V$4,0))+INDEX('R&amp;B Inputs'!$I$28:$V$28,MATCH($B223,'R&amp;B Inputs'!$I$4:$V$4,0)))</f>
        <v>1953.9570000000001</v>
      </c>
      <c r="AD223" s="64">
        <f>IF(AD$8=0,0,INDEX('R&amp;B Inputs'!$I$27:$V$27,MATCH($B223,'R&amp;B Inputs'!$I$4:$V$4,0))+INDEX('R&amp;B Inputs'!$I$28:$V$28,MATCH($B223,'R&amp;B Inputs'!$I$4:$V$4,0)))</f>
        <v>1953.9570000000001</v>
      </c>
      <c r="AE223" s="64">
        <f>IF(AE$8=0,0,INDEX('R&amp;B Inputs'!$I$27:$V$27,MATCH($B223,'R&amp;B Inputs'!$I$4:$V$4,0))+INDEX('R&amp;B Inputs'!$I$28:$V$28,MATCH($B223,'R&amp;B Inputs'!$I$4:$V$4,0)))</f>
        <v>1953.9570000000001</v>
      </c>
      <c r="AF223" s="64">
        <f>IF(AF$8=0,0,INDEX('R&amp;B Inputs'!$I$27:$V$27,MATCH($B223,'R&amp;B Inputs'!$I$4:$V$4,0))+INDEX('R&amp;B Inputs'!$I$28:$V$28,MATCH($B223,'R&amp;B Inputs'!$I$4:$V$4,0)))</f>
        <v>1953.9570000000001</v>
      </c>
      <c r="AG223" s="64">
        <f>IF(AG$8=0,0,INDEX('R&amp;B Inputs'!$I$27:$V$27,MATCH($B223,'R&amp;B Inputs'!$I$4:$V$4,0))+INDEX('R&amp;B Inputs'!$I$28:$V$28,MATCH($B223,'R&amp;B Inputs'!$I$4:$V$4,0)))</f>
        <v>1953.9570000000001</v>
      </c>
      <c r="AH223" s="64"/>
      <c r="AI223" s="64"/>
      <c r="AJ223" s="103"/>
      <c r="AM223" s="71">
        <f>IF(AM$8=0,0,INDEX('R&amp;B Inputs'!$I$27:$V$27,MATCH($B223,'R&amp;B Inputs'!$I$4:$V$4,0))+INDEX('R&amp;B Inputs'!$I$28:$V$28,MATCH($B223,'R&amp;B Inputs'!$I$4:$V$4,0)))</f>
        <v>0</v>
      </c>
      <c r="AN223" s="71">
        <f>IF(AN$8=0,0,INDEX('R&amp;B Inputs'!$I$27:$V$27,MATCH($B223,'R&amp;B Inputs'!$I$4:$V$4,0))+INDEX('R&amp;B Inputs'!$I$28:$V$28,MATCH($B223,'R&amp;B Inputs'!$I$4:$V$4,0)))</f>
        <v>1953.9570000000001</v>
      </c>
      <c r="AO223" s="71">
        <f>IF(AO$8=0,0,INDEX('R&amp;B Inputs'!$I$27:$V$27,MATCH($B223,'R&amp;B Inputs'!$I$4:$V$4,0))+INDEX('R&amp;B Inputs'!$I$28:$V$28,MATCH($B223,'R&amp;B Inputs'!$I$4:$V$4,0)))</f>
        <v>1953.9570000000001</v>
      </c>
      <c r="AP223" s="71">
        <f>IF(AP$8=0,0,INDEX('R&amp;B Inputs'!$I$27:$V$27,MATCH($B223,'R&amp;B Inputs'!$I$4:$V$4,0))+INDEX('R&amp;B Inputs'!$I$28:$V$28,MATCH($B223,'R&amp;B Inputs'!$I$4:$V$4,0)))</f>
        <v>1953.9570000000001</v>
      </c>
      <c r="AQ223" s="71">
        <f>IF(AQ$8=0,0,INDEX('R&amp;B Inputs'!$I$27:$V$27,MATCH($B223,'R&amp;B Inputs'!$I$4:$V$4,0))+INDEX('R&amp;B Inputs'!$I$28:$V$28,MATCH($B223,'R&amp;B Inputs'!$I$4:$V$4,0)))</f>
        <v>1953.9570000000001</v>
      </c>
      <c r="AR223" s="71">
        <f>IF(AR$8=0,0,INDEX('R&amp;B Inputs'!$I$27:$V$27,MATCH($B223,'R&amp;B Inputs'!$I$4:$V$4,0))+INDEX('R&amp;B Inputs'!$I$28:$V$28,MATCH($B223,'R&amp;B Inputs'!$I$4:$V$4,0)))</f>
        <v>1953.9570000000001</v>
      </c>
      <c r="AS223" s="71">
        <f>IF(AS$8=0,0,INDEX('R&amp;B Inputs'!$I$27:$V$27,MATCH($B223,'R&amp;B Inputs'!$I$4:$V$4,0))+INDEX('R&amp;B Inputs'!$I$28:$V$28,MATCH($B223,'R&amp;B Inputs'!$I$4:$V$4,0)))</f>
        <v>1953.9570000000001</v>
      </c>
      <c r="AT223" s="71">
        <f>IF(AT$8=0,0,INDEX('R&amp;B Inputs'!$I$27:$V$27,MATCH($B223,'R&amp;B Inputs'!$I$4:$V$4,0))+INDEX('R&amp;B Inputs'!$I$28:$V$28,MATCH($B223,'R&amp;B Inputs'!$I$4:$V$4,0)))</f>
        <v>1953.9570000000001</v>
      </c>
      <c r="AU223" s="71">
        <f>IF(AU$8=0,0,INDEX('R&amp;B Inputs'!$I$27:$V$27,MATCH($B223,'R&amp;B Inputs'!$I$4:$V$4,0))+INDEX('R&amp;B Inputs'!$I$28:$V$28,MATCH($B223,'R&amp;B Inputs'!$I$4:$V$4,0)))</f>
        <v>1953.9570000000001</v>
      </c>
      <c r="AV223" s="71">
        <f>IF(AV$8=0,0,INDEX('R&amp;B Inputs'!$I$27:$V$27,MATCH($B223,'R&amp;B Inputs'!$I$4:$V$4,0))+INDEX('R&amp;B Inputs'!$I$28:$V$28,MATCH($B223,'R&amp;B Inputs'!$I$4:$V$4,0)))</f>
        <v>1953.9570000000001</v>
      </c>
      <c r="AW223" s="71">
        <f>IF(AW$8=0,0,INDEX('R&amp;B Inputs'!$I$27:$V$27,MATCH($B223,'R&amp;B Inputs'!$I$4:$V$4,0))+INDEX('R&amp;B Inputs'!$I$28:$V$28,MATCH($B223,'R&amp;B Inputs'!$I$4:$V$4,0)))</f>
        <v>1953.9570000000001</v>
      </c>
      <c r="AX223" s="71">
        <f>IF(AX$8=0,0,INDEX('R&amp;B Inputs'!$I$27:$V$27,MATCH($B223,'R&amp;B Inputs'!$I$4:$V$4,0))+INDEX('R&amp;B Inputs'!$I$28:$V$28,MATCH($B223,'R&amp;B Inputs'!$I$4:$V$4,0)))</f>
        <v>1953.9570000000001</v>
      </c>
      <c r="AY223" s="71">
        <f>IF(AY$8=0,0,INDEX('R&amp;B Inputs'!$I$27:$V$27,MATCH($B223,'R&amp;B Inputs'!$I$4:$V$4,0))+INDEX('R&amp;B Inputs'!$I$28:$V$28,MATCH($B223,'R&amp;B Inputs'!$I$4:$V$4,0)))</f>
        <v>1953.9570000000001</v>
      </c>
      <c r="AZ223" s="71">
        <f>IF(AZ$8=0,0,INDEX('R&amp;B Inputs'!$I$27:$V$27,MATCH($B223,'R&amp;B Inputs'!$I$4:$V$4,0))+INDEX('R&amp;B Inputs'!$I$28:$V$28,MATCH($B223,'R&amp;B Inputs'!$I$4:$V$4,0)))</f>
        <v>1953.9570000000001</v>
      </c>
      <c r="BA223" s="71">
        <f>IF(BA$8=0,0,INDEX('R&amp;B Inputs'!$I$27:$V$27,MATCH($B223,'R&amp;B Inputs'!$I$4:$V$4,0))+INDEX('R&amp;B Inputs'!$I$28:$V$28,MATCH($B223,'R&amp;B Inputs'!$I$4:$V$4,0)))</f>
        <v>1953.9570000000001</v>
      </c>
      <c r="BB223" s="71">
        <f>IF(BB$8=0,0,INDEX('R&amp;B Inputs'!$I$27:$V$27,MATCH($B223,'R&amp;B Inputs'!$I$4:$V$4,0))+INDEX('R&amp;B Inputs'!$I$28:$V$28,MATCH($B223,'R&amp;B Inputs'!$I$4:$V$4,0)))</f>
        <v>1953.9570000000001</v>
      </c>
      <c r="BC223" s="71">
        <f>IF(BC$8=0,0,INDEX('R&amp;B Inputs'!$I$27:$V$27,MATCH($B223,'R&amp;B Inputs'!$I$4:$V$4,0))+INDEX('R&amp;B Inputs'!$I$28:$V$28,MATCH($B223,'R&amp;B Inputs'!$I$4:$V$4,0)))</f>
        <v>1953.9570000000001</v>
      </c>
      <c r="BD223" s="71">
        <f>IF(BD$8=0,0,INDEX('R&amp;B Inputs'!$I$27:$V$27,MATCH($B223,'R&amp;B Inputs'!$I$4:$V$4,0))+INDEX('R&amp;B Inputs'!$I$28:$V$28,MATCH($B223,'R&amp;B Inputs'!$I$4:$V$4,0)))</f>
        <v>1953.9570000000001</v>
      </c>
      <c r="BE223" s="71">
        <f>IF(BE$8=0,0,INDEX('R&amp;B Inputs'!$I$27:$V$27,MATCH($B223,'R&amp;B Inputs'!$I$4:$V$4,0))+INDEX('R&amp;B Inputs'!$I$28:$V$28,MATCH($B223,'R&amp;B Inputs'!$I$4:$V$4,0)))</f>
        <v>1953.9570000000001</v>
      </c>
      <c r="BF223" s="71">
        <f>IF(BF$8=0,0,INDEX('R&amp;B Inputs'!$I$27:$V$27,MATCH($B223,'R&amp;B Inputs'!$I$4:$V$4,0))+INDEX('R&amp;B Inputs'!$I$28:$V$28,MATCH($B223,'R&amp;B Inputs'!$I$4:$V$4,0)))</f>
        <v>1953.9570000000001</v>
      </c>
      <c r="BG223" s="71">
        <f>IF(BG$8=0,0,INDEX('R&amp;B Inputs'!$I$27:$V$27,MATCH($B223,'R&amp;B Inputs'!$I$4:$V$4,0))+INDEX('R&amp;B Inputs'!$I$28:$V$28,MATCH($B223,'R&amp;B Inputs'!$I$4:$V$4,0)))</f>
        <v>1953.9570000000001</v>
      </c>
      <c r="BH223" s="71">
        <f>IF(BH$8=0,0,INDEX('R&amp;B Inputs'!$I$27:$V$27,MATCH($B223,'R&amp;B Inputs'!$I$4:$V$4,0))+INDEX('R&amp;B Inputs'!$I$28:$V$28,MATCH($B223,'R&amp;B Inputs'!$I$4:$V$4,0)))</f>
        <v>1953.9570000000001</v>
      </c>
      <c r="BI223" s="71">
        <f>IF(BI$8=0,0,INDEX('R&amp;B Inputs'!$I$27:$V$27,MATCH($B223,'R&amp;B Inputs'!$I$4:$V$4,0))+INDEX('R&amp;B Inputs'!$I$28:$V$28,MATCH($B223,'R&amp;B Inputs'!$I$4:$V$4,0)))</f>
        <v>1953.9570000000001</v>
      </c>
      <c r="BJ223" s="71">
        <f>IF(BJ$8=0,0,INDEX('R&amp;B Inputs'!$I$27:$V$27,MATCH($B223,'R&amp;B Inputs'!$I$4:$V$4,0))+INDEX('R&amp;B Inputs'!$I$28:$V$28,MATCH($B223,'R&amp;B Inputs'!$I$4:$V$4,0)))</f>
        <v>1953.9570000000001</v>
      </c>
      <c r="BK223" s="71">
        <f>IF(BK$8=0,0,INDEX('R&amp;B Inputs'!$I$27:$V$27,MATCH($B223,'R&amp;B Inputs'!$I$4:$V$4,0))+INDEX('R&amp;B Inputs'!$I$28:$V$28,MATCH($B223,'R&amp;B Inputs'!$I$4:$V$4,0)))</f>
        <v>1953.9570000000001</v>
      </c>
      <c r="BL223" s="71">
        <f>IF(BL$8=0,0,INDEX('R&amp;B Inputs'!$I$27:$V$27,MATCH($B223,'R&amp;B Inputs'!$I$4:$V$4,0))+INDEX('R&amp;B Inputs'!$I$28:$V$28,MATCH($B223,'R&amp;B Inputs'!$I$4:$V$4,0)))</f>
        <v>1953.9570000000001</v>
      </c>
      <c r="BM223" s="71">
        <f>IF(BM$8=0,0,INDEX('R&amp;B Inputs'!$I$27:$V$27,MATCH($B223,'R&amp;B Inputs'!$I$4:$V$4,0))+INDEX('R&amp;B Inputs'!$I$28:$V$28,MATCH($B223,'R&amp;B Inputs'!$I$4:$V$4,0)))</f>
        <v>1953.9570000000001</v>
      </c>
      <c r="BN223" s="71"/>
      <c r="BO223" s="71"/>
      <c r="BP223" s="149"/>
      <c r="BS223" s="76" t="s">
        <v>96</v>
      </c>
      <c r="BT223" s="51" t="s">
        <v>17</v>
      </c>
    </row>
    <row r="224" spans="1:72" x14ac:dyDescent="0.25">
      <c r="B224" s="243" t="str">
        <f t="shared" si="230"/>
        <v>Small C&amp;I</v>
      </c>
      <c r="C224" s="243" t="str">
        <f t="shared" si="230"/>
        <v>Bills</v>
      </c>
      <c r="D224" s="244" t="str">
        <f>D223</f>
        <v>Bills before DSM (No EE Scenario, Non-Participant)</v>
      </c>
      <c r="E224" s="84" t="s">
        <v>77</v>
      </c>
      <c r="F224" s="84" t="s">
        <v>32</v>
      </c>
      <c r="G224" s="103">
        <f>G222+G223*(G200-G199)</f>
        <v>0</v>
      </c>
      <c r="H224" s="103">
        <f>H222+H223*(H200-H199)</f>
        <v>2662.1510455613457</v>
      </c>
      <c r="I224" s="103">
        <f t="shared" ref="I224:AG224" si="236">I222+I223*(I200-I199)</f>
        <v>2662.1510455613457</v>
      </c>
      <c r="J224" s="103">
        <f t="shared" si="236"/>
        <v>2662.1510455613457</v>
      </c>
      <c r="K224" s="103">
        <f t="shared" si="236"/>
        <v>2662.1510455613457</v>
      </c>
      <c r="L224" s="103">
        <f t="shared" si="236"/>
        <v>2662.1510455613457</v>
      </c>
      <c r="M224" s="103">
        <f t="shared" si="236"/>
        <v>2662.1510455613457</v>
      </c>
      <c r="N224" s="103">
        <f t="shared" si="236"/>
        <v>2662.1510455613457</v>
      </c>
      <c r="O224" s="103">
        <f t="shared" si="236"/>
        <v>2662.1510455613457</v>
      </c>
      <c r="P224" s="103">
        <f t="shared" si="236"/>
        <v>2662.1510455613457</v>
      </c>
      <c r="Q224" s="103">
        <f t="shared" si="236"/>
        <v>2662.1510455613457</v>
      </c>
      <c r="R224" s="103">
        <f t="shared" si="236"/>
        <v>2662.1510455613457</v>
      </c>
      <c r="S224" s="103">
        <f t="shared" si="236"/>
        <v>2662.1510455613457</v>
      </c>
      <c r="T224" s="103">
        <f t="shared" si="236"/>
        <v>2662.1510455613457</v>
      </c>
      <c r="U224" s="103">
        <f t="shared" si="236"/>
        <v>2662.1510455613457</v>
      </c>
      <c r="V224" s="103">
        <f t="shared" si="236"/>
        <v>2662.1510455613457</v>
      </c>
      <c r="W224" s="103">
        <f t="shared" si="236"/>
        <v>2662.1510455613457</v>
      </c>
      <c r="X224" s="103">
        <f t="shared" si="236"/>
        <v>2662.1510455613457</v>
      </c>
      <c r="Y224" s="103">
        <f t="shared" si="236"/>
        <v>2662.1510455613457</v>
      </c>
      <c r="Z224" s="103">
        <f t="shared" si="236"/>
        <v>2662.1510455613457</v>
      </c>
      <c r="AA224" s="103">
        <f t="shared" si="236"/>
        <v>2662.1510455613457</v>
      </c>
      <c r="AB224" s="103">
        <f t="shared" si="236"/>
        <v>2662.1510455613457</v>
      </c>
      <c r="AC224" s="103">
        <f t="shared" si="236"/>
        <v>2662.1510455613457</v>
      </c>
      <c r="AD224" s="103">
        <f t="shared" si="236"/>
        <v>2662.1510455613457</v>
      </c>
      <c r="AE224" s="103">
        <f t="shared" si="236"/>
        <v>2662.1510455613457</v>
      </c>
      <c r="AF224" s="103">
        <f t="shared" si="236"/>
        <v>2662.1510455613457</v>
      </c>
      <c r="AG224" s="103">
        <f t="shared" si="236"/>
        <v>2662.1510455613457</v>
      </c>
      <c r="AH224" s="103"/>
      <c r="AI224" s="103"/>
      <c r="AJ224" s="103">
        <f>IF($C$4=Year1,-PMT(Lookups!$E$17,25,NPV(Lookups!$E$17,G224:AE224),0,1),IF($C$4=Year2,-PMT(Lookups!$F$17,25,NPV(Lookups!$F$17,H224:AF224),0,1),IF($C$4=Year3,-PMT(Lookups!$G$17,25,NPV(Lookups!$G$17,I224:AG224),0,1),-PMT(Lookups!$G$17,27,NPV(Lookups!$G$17,G224:AG224),0,1))))</f>
        <v>2625.0227404222824</v>
      </c>
      <c r="AM224" s="149">
        <f>AM222+AM223*(AM200-AM199)</f>
        <v>0</v>
      </c>
      <c r="AN224" s="149">
        <f t="shared" ref="AN224:BM224" si="237">AN222+AN223*(AN200-AN199)</f>
        <v>2662.1510455613457</v>
      </c>
      <c r="AO224" s="149">
        <f t="shared" si="237"/>
        <v>2662.1510455613457</v>
      </c>
      <c r="AP224" s="149">
        <f t="shared" si="237"/>
        <v>2662.1510455613457</v>
      </c>
      <c r="AQ224" s="149">
        <f t="shared" si="237"/>
        <v>2662.1510455613457</v>
      </c>
      <c r="AR224" s="149">
        <f t="shared" si="237"/>
        <v>2662.1510455613457</v>
      </c>
      <c r="AS224" s="149">
        <f t="shared" si="237"/>
        <v>2662.1510455613457</v>
      </c>
      <c r="AT224" s="149">
        <f t="shared" si="237"/>
        <v>2662.1510455613457</v>
      </c>
      <c r="AU224" s="149">
        <f t="shared" si="237"/>
        <v>2662.1510455613457</v>
      </c>
      <c r="AV224" s="149">
        <f t="shared" si="237"/>
        <v>2662.1510455613457</v>
      </c>
      <c r="AW224" s="149">
        <f t="shared" si="237"/>
        <v>2662.1510455613457</v>
      </c>
      <c r="AX224" s="149">
        <f t="shared" si="237"/>
        <v>2662.1510455613457</v>
      </c>
      <c r="AY224" s="149">
        <f t="shared" si="237"/>
        <v>2662.1510455613457</v>
      </c>
      <c r="AZ224" s="149">
        <f t="shared" si="237"/>
        <v>2662.1510455613457</v>
      </c>
      <c r="BA224" s="149">
        <f t="shared" si="237"/>
        <v>2662.1510455613457</v>
      </c>
      <c r="BB224" s="149">
        <f t="shared" si="237"/>
        <v>2662.1510455613457</v>
      </c>
      <c r="BC224" s="149">
        <f t="shared" si="237"/>
        <v>2662.1510455613457</v>
      </c>
      <c r="BD224" s="149">
        <f t="shared" si="237"/>
        <v>2662.1510455613457</v>
      </c>
      <c r="BE224" s="149">
        <f t="shared" si="237"/>
        <v>2662.1510455613457</v>
      </c>
      <c r="BF224" s="149">
        <f t="shared" si="237"/>
        <v>2662.1510455613457</v>
      </c>
      <c r="BG224" s="149">
        <f t="shared" si="237"/>
        <v>2662.1510455613457</v>
      </c>
      <c r="BH224" s="149">
        <f t="shared" si="237"/>
        <v>2662.1510455613457</v>
      </c>
      <c r="BI224" s="149">
        <f t="shared" si="237"/>
        <v>2662.1510455613457</v>
      </c>
      <c r="BJ224" s="149">
        <f t="shared" si="237"/>
        <v>2662.1510455613457</v>
      </c>
      <c r="BK224" s="149">
        <f t="shared" si="237"/>
        <v>2662.1510455613457</v>
      </c>
      <c r="BL224" s="149">
        <f t="shared" si="237"/>
        <v>2662.1510455613457</v>
      </c>
      <c r="BM224" s="149">
        <f t="shared" si="237"/>
        <v>2662.1510455613457</v>
      </c>
      <c r="BN224" s="149"/>
      <c r="BO224" s="149"/>
      <c r="BP224" s="149">
        <f>IF($C$4=Year1,-PMT(Lookups!$E$17,25,NPV(Lookups!$E$17,AM224:BK224),0,1),IF($C$4=Year2,-PMT(Lookups!$F$17,25,NPV(Lookups!$F$17,AN224:BL224),0,1),IF($C$4=Year3,-PMT(Lookups!$G$17,25,NPV(Lookups!$G$17,AO224:BM224),0,1),-PMT(Lookups!$G$17,27,NPV(Lookups!$G$17,AM224:BM224),0,1))))</f>
        <v>2625.0227404222824</v>
      </c>
      <c r="BS224" s="84" t="s">
        <v>97</v>
      </c>
      <c r="BT224" s="51" t="s">
        <v>17</v>
      </c>
    </row>
    <row r="225" spans="1:72" x14ac:dyDescent="0.25">
      <c r="B225" s="243" t="str">
        <f t="shared" si="230"/>
        <v>Small C&amp;I</v>
      </c>
      <c r="C225" s="243" t="str">
        <f t="shared" si="230"/>
        <v>Bills</v>
      </c>
      <c r="D225" s="114" t="s">
        <v>347</v>
      </c>
      <c r="E225" s="84"/>
      <c r="F225" s="84"/>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S225" s="84"/>
      <c r="BT225" s="51" t="s">
        <v>17</v>
      </c>
    </row>
    <row r="226" spans="1:72" x14ac:dyDescent="0.25">
      <c r="B226" s="243" t="str">
        <f t="shared" si="230"/>
        <v>Small C&amp;I</v>
      </c>
      <c r="C226" s="243" t="str">
        <f t="shared" si="230"/>
        <v>Bills</v>
      </c>
      <c r="D226" s="244" t="str">
        <f>D225</f>
        <v>Annual Savings from DSM Scenario</v>
      </c>
      <c r="E226" s="84" t="s">
        <v>78</v>
      </c>
      <c r="F226" s="84" t="s">
        <v>195</v>
      </c>
      <c r="G226" s="65">
        <f t="shared" ref="G226:AG226" ca="1" si="238">IFERROR(G174/G169,0)</f>
        <v>0</v>
      </c>
      <c r="H226" s="65">
        <f t="shared" ca="1" si="238"/>
        <v>40.295445441195035</v>
      </c>
      <c r="I226" s="65">
        <f t="shared" ca="1" si="238"/>
        <v>40.295445441195035</v>
      </c>
      <c r="J226" s="65">
        <f t="shared" ca="1" si="238"/>
        <v>40.295445441195035</v>
      </c>
      <c r="K226" s="65">
        <f t="shared" ca="1" si="238"/>
        <v>40.295445441195035</v>
      </c>
      <c r="L226" s="65">
        <f t="shared" ca="1" si="238"/>
        <v>40.295445441195035</v>
      </c>
      <c r="M226" s="65">
        <f t="shared" ca="1" si="238"/>
        <v>40.295445441195035</v>
      </c>
      <c r="N226" s="65">
        <f t="shared" ca="1" si="238"/>
        <v>40.295445441195035</v>
      </c>
      <c r="O226" s="65">
        <f t="shared" ca="1" si="238"/>
        <v>40.295445441195035</v>
      </c>
      <c r="P226" s="65">
        <f t="shared" ca="1" si="238"/>
        <v>40.295445441195035</v>
      </c>
      <c r="Q226" s="65">
        <f t="shared" ca="1" si="238"/>
        <v>40.295445441195035</v>
      </c>
      <c r="R226" s="65">
        <f t="shared" ca="1" si="238"/>
        <v>40.295445441195035</v>
      </c>
      <c r="S226" s="65">
        <f t="shared" ca="1" si="238"/>
        <v>40.295445441195035</v>
      </c>
      <c r="T226" s="65">
        <f t="shared" ca="1" si="238"/>
        <v>40.295445441195035</v>
      </c>
      <c r="U226" s="65">
        <f t="shared" ca="1" si="238"/>
        <v>40.295445441195035</v>
      </c>
      <c r="V226" s="65">
        <f t="shared" ca="1" si="238"/>
        <v>40.295445441195035</v>
      </c>
      <c r="W226" s="65">
        <f t="shared" ca="1" si="238"/>
        <v>40.295445441195035</v>
      </c>
      <c r="X226" s="65">
        <f t="shared" ca="1" si="238"/>
        <v>0</v>
      </c>
      <c r="Y226" s="65">
        <f t="shared" ca="1" si="238"/>
        <v>0</v>
      </c>
      <c r="Z226" s="65">
        <f t="shared" ca="1" si="238"/>
        <v>0</v>
      </c>
      <c r="AA226" s="65">
        <f t="shared" ca="1" si="238"/>
        <v>0</v>
      </c>
      <c r="AB226" s="65">
        <f t="shared" ca="1" si="238"/>
        <v>0</v>
      </c>
      <c r="AC226" s="65">
        <f t="shared" ca="1" si="238"/>
        <v>0</v>
      </c>
      <c r="AD226" s="65">
        <f t="shared" ca="1" si="238"/>
        <v>0</v>
      </c>
      <c r="AE226" s="65">
        <f t="shared" ca="1" si="238"/>
        <v>0</v>
      </c>
      <c r="AF226" s="65">
        <f t="shared" ca="1" si="238"/>
        <v>0</v>
      </c>
      <c r="AG226" s="65">
        <f t="shared" ca="1" si="238"/>
        <v>0</v>
      </c>
      <c r="AH226" s="65"/>
      <c r="AI226" s="65"/>
      <c r="AJ226" s="65"/>
      <c r="AM226" s="645">
        <f ca="1">IFERROR(AM174/AM169,0)</f>
        <v>0</v>
      </c>
      <c r="AN226" s="645">
        <f t="shared" ref="AN226:BM226" ca="1" si="239">IFERROR(AN174/AN169,0)</f>
        <v>46.051937647080038</v>
      </c>
      <c r="AO226" s="645">
        <f t="shared" ca="1" si="239"/>
        <v>46.051937647080038</v>
      </c>
      <c r="AP226" s="645">
        <f t="shared" ca="1" si="239"/>
        <v>46.051937647080038</v>
      </c>
      <c r="AQ226" s="645">
        <f t="shared" ca="1" si="239"/>
        <v>46.051937647080038</v>
      </c>
      <c r="AR226" s="645">
        <f t="shared" ca="1" si="239"/>
        <v>46.051937647080038</v>
      </c>
      <c r="AS226" s="645">
        <f t="shared" ca="1" si="239"/>
        <v>46.051937647080038</v>
      </c>
      <c r="AT226" s="645">
        <f t="shared" ca="1" si="239"/>
        <v>46.051937647080038</v>
      </c>
      <c r="AU226" s="645">
        <f t="shared" ca="1" si="239"/>
        <v>46.051937647080038</v>
      </c>
      <c r="AV226" s="645">
        <f t="shared" ca="1" si="239"/>
        <v>46.051937647080038</v>
      </c>
      <c r="AW226" s="645">
        <f t="shared" ca="1" si="239"/>
        <v>46.051937647080038</v>
      </c>
      <c r="AX226" s="645">
        <f t="shared" ca="1" si="239"/>
        <v>46.051937647080038</v>
      </c>
      <c r="AY226" s="645">
        <f t="shared" ca="1" si="239"/>
        <v>46.051937647080038</v>
      </c>
      <c r="AZ226" s="645">
        <f t="shared" ca="1" si="239"/>
        <v>46.051937647080038</v>
      </c>
      <c r="BA226" s="645">
        <f t="shared" ca="1" si="239"/>
        <v>46.051937647080038</v>
      </c>
      <c r="BB226" s="645">
        <f t="shared" ca="1" si="239"/>
        <v>46.051937647080038</v>
      </c>
      <c r="BC226" s="645">
        <f t="shared" ca="1" si="239"/>
        <v>46.051937647080038</v>
      </c>
      <c r="BD226" s="645">
        <f t="shared" ca="1" si="239"/>
        <v>0</v>
      </c>
      <c r="BE226" s="645">
        <f t="shared" ca="1" si="239"/>
        <v>0</v>
      </c>
      <c r="BF226" s="645">
        <f t="shared" ca="1" si="239"/>
        <v>0</v>
      </c>
      <c r="BG226" s="645">
        <f t="shared" ca="1" si="239"/>
        <v>0</v>
      </c>
      <c r="BH226" s="645">
        <f t="shared" ca="1" si="239"/>
        <v>0</v>
      </c>
      <c r="BI226" s="645">
        <f t="shared" ca="1" si="239"/>
        <v>0</v>
      </c>
      <c r="BJ226" s="645">
        <f t="shared" ca="1" si="239"/>
        <v>0</v>
      </c>
      <c r="BK226" s="645">
        <f t="shared" ca="1" si="239"/>
        <v>0</v>
      </c>
      <c r="BL226" s="645">
        <f t="shared" ca="1" si="239"/>
        <v>0</v>
      </c>
      <c r="BM226" s="645">
        <f t="shared" ca="1" si="239"/>
        <v>0</v>
      </c>
      <c r="BN226" s="71"/>
      <c r="BO226" s="71"/>
      <c r="BP226" s="71"/>
      <c r="BS226" s="84" t="s">
        <v>104</v>
      </c>
      <c r="BT226" s="51" t="s">
        <v>17</v>
      </c>
    </row>
    <row r="227" spans="1:72" x14ac:dyDescent="0.25">
      <c r="A227" s="246"/>
      <c r="B227" s="243" t="str">
        <f t="shared" si="230"/>
        <v>Small C&amp;I</v>
      </c>
      <c r="C227" s="243" t="str">
        <f t="shared" si="230"/>
        <v>Bills</v>
      </c>
      <c r="D227" s="244" t="str">
        <f>D226</f>
        <v>Annual Savings from DSM Scenario</v>
      </c>
      <c r="E227" s="84" t="str">
        <f>'EE Inputs'!$N$15&amp;" Participant"</f>
        <v>Low Savings Participant</v>
      </c>
      <c r="F227" s="84" t="s">
        <v>195</v>
      </c>
      <c r="G227" s="64" cm="1">
        <f t="array" aca="1" ref="G227" ca="1">IF($C$4=Lookups!$D$40,INDIRECT("'Yr1'!"&amp;ADDRESS(ROW(G227),COLUMN(G227))),
IF(G170=0,0,SUMIFS('EE Inputs'!$S$9:$S$32,'EE Inputs'!$C$9:$C$32,$G$6,'EE Inputs'!$D$9:$D$32,$C$4,'EE Inputs'!$E$9:$E$32,$B227)))</f>
        <v>0</v>
      </c>
      <c r="H227" s="64" cm="1">
        <f t="array" aca="1" ref="H227" ca="1">IF($C$4=Lookups!$D$40,INDIRECT("'Yr1'!"&amp;ADDRESS(ROW(H227),COLUMN(H227))),
IF(H170=0,0,SUMIFS('EE Inputs'!$S$9:$S$32,'EE Inputs'!$C$9:$C$32,$G$6,'EE Inputs'!$D$9:$D$32,$C$4,'EE Inputs'!$E$9:$E$32,$B227)))</f>
        <v>97.697850000000017</v>
      </c>
      <c r="I227" s="64" cm="1">
        <f t="array" aca="1" ref="I227" ca="1">IF($C$4=Lookups!$D$40,INDIRECT("'Yr1'!"&amp;ADDRESS(ROW(I227),COLUMN(I227))),
IF(I170=0,0,SUMIFS('EE Inputs'!$S$9:$S$32,'EE Inputs'!$C$9:$C$32,$G$6,'EE Inputs'!$D$9:$D$32,$C$4,'EE Inputs'!$E$9:$E$32,$B227)))</f>
        <v>97.697850000000017</v>
      </c>
      <c r="J227" s="64" cm="1">
        <f t="array" aca="1" ref="J227" ca="1">IF($C$4=Lookups!$D$40,INDIRECT("'Yr1'!"&amp;ADDRESS(ROW(J227),COLUMN(J227))),
IF(J170=0,0,SUMIFS('EE Inputs'!$S$9:$S$32,'EE Inputs'!$C$9:$C$32,$G$6,'EE Inputs'!$D$9:$D$32,$C$4,'EE Inputs'!$E$9:$E$32,$B227)))</f>
        <v>97.697850000000017</v>
      </c>
      <c r="K227" s="64" cm="1">
        <f t="array" aca="1" ref="K227" ca="1">IF($C$4=Lookups!$D$40,INDIRECT("'Yr1'!"&amp;ADDRESS(ROW(K227),COLUMN(K227))),
IF(K170=0,0,SUMIFS('EE Inputs'!$S$9:$S$32,'EE Inputs'!$C$9:$C$32,$G$6,'EE Inputs'!$D$9:$D$32,$C$4,'EE Inputs'!$E$9:$E$32,$B227)))</f>
        <v>97.697850000000017</v>
      </c>
      <c r="L227" s="64" cm="1">
        <f t="array" aca="1" ref="L227" ca="1">IF($C$4=Lookups!$D$40,INDIRECT("'Yr1'!"&amp;ADDRESS(ROW(L227),COLUMN(L227))),
IF(L170=0,0,SUMIFS('EE Inputs'!$S$9:$S$32,'EE Inputs'!$C$9:$C$32,$G$6,'EE Inputs'!$D$9:$D$32,$C$4,'EE Inputs'!$E$9:$E$32,$B227)))</f>
        <v>97.697850000000017</v>
      </c>
      <c r="M227" s="64" cm="1">
        <f t="array" aca="1" ref="M227" ca="1">IF($C$4=Lookups!$D$40,INDIRECT("'Yr1'!"&amp;ADDRESS(ROW(M227),COLUMN(M227))),
IF(M170=0,0,SUMIFS('EE Inputs'!$S$9:$S$32,'EE Inputs'!$C$9:$C$32,$G$6,'EE Inputs'!$D$9:$D$32,$C$4,'EE Inputs'!$E$9:$E$32,$B227)))</f>
        <v>97.697850000000017</v>
      </c>
      <c r="N227" s="64" cm="1">
        <f t="array" aca="1" ref="N227" ca="1">IF($C$4=Lookups!$D$40,INDIRECT("'Yr1'!"&amp;ADDRESS(ROW(N227),COLUMN(N227))),
IF(N170=0,0,SUMIFS('EE Inputs'!$S$9:$S$32,'EE Inputs'!$C$9:$C$32,$G$6,'EE Inputs'!$D$9:$D$32,$C$4,'EE Inputs'!$E$9:$E$32,$B227)))</f>
        <v>97.697850000000017</v>
      </c>
      <c r="O227" s="64" cm="1">
        <f t="array" aca="1" ref="O227" ca="1">IF($C$4=Lookups!$D$40,INDIRECT("'Yr1'!"&amp;ADDRESS(ROW(O227),COLUMN(O227))),
IF(O170=0,0,SUMIFS('EE Inputs'!$S$9:$S$32,'EE Inputs'!$C$9:$C$32,$G$6,'EE Inputs'!$D$9:$D$32,$C$4,'EE Inputs'!$E$9:$E$32,$B227)))</f>
        <v>97.697850000000017</v>
      </c>
      <c r="P227" s="64" cm="1">
        <f t="array" aca="1" ref="P227" ca="1">IF($C$4=Lookups!$D$40,INDIRECT("'Yr1'!"&amp;ADDRESS(ROW(P227),COLUMN(P227))),
IF(P170=0,0,SUMIFS('EE Inputs'!$S$9:$S$32,'EE Inputs'!$C$9:$C$32,$G$6,'EE Inputs'!$D$9:$D$32,$C$4,'EE Inputs'!$E$9:$E$32,$B227)))</f>
        <v>97.697850000000017</v>
      </c>
      <c r="Q227" s="64" cm="1">
        <f t="array" aca="1" ref="Q227" ca="1">IF($C$4=Lookups!$D$40,INDIRECT("'Yr1'!"&amp;ADDRESS(ROW(Q227),COLUMN(Q227))),
IF(Q170=0,0,SUMIFS('EE Inputs'!$S$9:$S$32,'EE Inputs'!$C$9:$C$32,$G$6,'EE Inputs'!$D$9:$D$32,$C$4,'EE Inputs'!$E$9:$E$32,$B227)))</f>
        <v>97.697850000000017</v>
      </c>
      <c r="R227" s="64" cm="1">
        <f t="array" aca="1" ref="R227" ca="1">IF($C$4=Lookups!$D$40,INDIRECT("'Yr1'!"&amp;ADDRESS(ROW(R227),COLUMN(R227))),
IF(R170=0,0,SUMIFS('EE Inputs'!$S$9:$S$32,'EE Inputs'!$C$9:$C$32,$G$6,'EE Inputs'!$D$9:$D$32,$C$4,'EE Inputs'!$E$9:$E$32,$B227)))</f>
        <v>97.697850000000017</v>
      </c>
      <c r="S227" s="64" cm="1">
        <f t="array" aca="1" ref="S227" ca="1">IF($C$4=Lookups!$D$40,INDIRECT("'Yr1'!"&amp;ADDRESS(ROW(S227),COLUMN(S227))),
IF(S170=0,0,SUMIFS('EE Inputs'!$S$9:$S$32,'EE Inputs'!$C$9:$C$32,$G$6,'EE Inputs'!$D$9:$D$32,$C$4,'EE Inputs'!$E$9:$E$32,$B227)))</f>
        <v>97.697850000000017</v>
      </c>
      <c r="T227" s="64" cm="1">
        <f t="array" aca="1" ref="T227" ca="1">IF($C$4=Lookups!$D$40,INDIRECT("'Yr1'!"&amp;ADDRESS(ROW(T227),COLUMN(T227))),
IF(T170=0,0,SUMIFS('EE Inputs'!$S$9:$S$32,'EE Inputs'!$C$9:$C$32,$G$6,'EE Inputs'!$D$9:$D$32,$C$4,'EE Inputs'!$E$9:$E$32,$B227)))</f>
        <v>97.697850000000017</v>
      </c>
      <c r="U227" s="64" cm="1">
        <f t="array" aca="1" ref="U227" ca="1">IF($C$4=Lookups!$D$40,INDIRECT("'Yr1'!"&amp;ADDRESS(ROW(U227),COLUMN(U227))),
IF(U170=0,0,SUMIFS('EE Inputs'!$S$9:$S$32,'EE Inputs'!$C$9:$C$32,$G$6,'EE Inputs'!$D$9:$D$32,$C$4,'EE Inputs'!$E$9:$E$32,$B227)))</f>
        <v>97.697850000000017</v>
      </c>
      <c r="V227" s="64" cm="1">
        <f t="array" aca="1" ref="V227" ca="1">IF($C$4=Lookups!$D$40,INDIRECT("'Yr1'!"&amp;ADDRESS(ROW(V227),COLUMN(V227))),
IF(V170=0,0,SUMIFS('EE Inputs'!$S$9:$S$32,'EE Inputs'!$C$9:$C$32,$G$6,'EE Inputs'!$D$9:$D$32,$C$4,'EE Inputs'!$E$9:$E$32,$B227)))</f>
        <v>97.697850000000017</v>
      </c>
      <c r="W227" s="64" cm="1">
        <f t="array" aca="1" ref="W227" ca="1">IF($C$4=Lookups!$D$40,INDIRECT("'Yr1'!"&amp;ADDRESS(ROW(W227),COLUMN(W227))),
IF(W170=0,0,SUMIFS('EE Inputs'!$S$9:$S$32,'EE Inputs'!$C$9:$C$32,$G$6,'EE Inputs'!$D$9:$D$32,$C$4,'EE Inputs'!$E$9:$E$32,$B227)))</f>
        <v>97.697850000000017</v>
      </c>
      <c r="X227" s="64" cm="1">
        <f t="array" aca="1" ref="X227" ca="1">IF($C$4=Lookups!$D$40,INDIRECT("'Yr1'!"&amp;ADDRESS(ROW(X227),COLUMN(X227))),
IF(X170=0,0,SUMIFS('EE Inputs'!$S$9:$S$32,'EE Inputs'!$C$9:$C$32,$G$6,'EE Inputs'!$D$9:$D$32,$C$4,'EE Inputs'!$E$9:$E$32,$B227)))</f>
        <v>0</v>
      </c>
      <c r="Y227" s="64" cm="1">
        <f t="array" aca="1" ref="Y227" ca="1">IF($C$4=Lookups!$D$40,INDIRECT("'Yr1'!"&amp;ADDRESS(ROW(Y227),COLUMN(Y227))),
IF(Y170=0,0,SUMIFS('EE Inputs'!$S$9:$S$32,'EE Inputs'!$C$9:$C$32,$G$6,'EE Inputs'!$D$9:$D$32,$C$4,'EE Inputs'!$E$9:$E$32,$B227)))</f>
        <v>0</v>
      </c>
      <c r="Z227" s="64" cm="1">
        <f t="array" aca="1" ref="Z227" ca="1">IF($C$4=Lookups!$D$40,INDIRECT("'Yr1'!"&amp;ADDRESS(ROW(Z227),COLUMN(Z227))),
IF(Z170=0,0,SUMIFS('EE Inputs'!$S$9:$S$32,'EE Inputs'!$C$9:$C$32,$G$6,'EE Inputs'!$D$9:$D$32,$C$4,'EE Inputs'!$E$9:$E$32,$B227)))</f>
        <v>0</v>
      </c>
      <c r="AA227" s="64" cm="1">
        <f t="array" aca="1" ref="AA227" ca="1">IF($C$4=Lookups!$D$40,INDIRECT("'Yr1'!"&amp;ADDRESS(ROW(AA227),COLUMN(AA227))),
IF(AA170=0,0,SUMIFS('EE Inputs'!$S$9:$S$32,'EE Inputs'!$C$9:$C$32,$G$6,'EE Inputs'!$D$9:$D$32,$C$4,'EE Inputs'!$E$9:$E$32,$B227)))</f>
        <v>0</v>
      </c>
      <c r="AB227" s="64" cm="1">
        <f t="array" aca="1" ref="AB227" ca="1">IF($C$4=Lookups!$D$40,INDIRECT("'Yr1'!"&amp;ADDRESS(ROW(AB227),COLUMN(AB227))),
IF(AB170=0,0,SUMIFS('EE Inputs'!$S$9:$S$32,'EE Inputs'!$C$9:$C$32,$G$6,'EE Inputs'!$D$9:$D$32,$C$4,'EE Inputs'!$E$9:$E$32,$B227)))</f>
        <v>0</v>
      </c>
      <c r="AC227" s="64" cm="1">
        <f t="array" aca="1" ref="AC227" ca="1">IF($C$4=Lookups!$D$40,INDIRECT("'Yr1'!"&amp;ADDRESS(ROW(AC227),COLUMN(AC227))),
IF(AC170=0,0,SUMIFS('EE Inputs'!$S$9:$S$32,'EE Inputs'!$C$9:$C$32,$G$6,'EE Inputs'!$D$9:$D$32,$C$4,'EE Inputs'!$E$9:$E$32,$B227)))</f>
        <v>0</v>
      </c>
      <c r="AD227" s="64" cm="1">
        <f t="array" aca="1" ref="AD227" ca="1">IF($C$4=Lookups!$D$40,INDIRECT("'Yr1'!"&amp;ADDRESS(ROW(AD227),COLUMN(AD227))),
IF(AD170=0,0,SUMIFS('EE Inputs'!$S$9:$S$32,'EE Inputs'!$C$9:$C$32,$G$6,'EE Inputs'!$D$9:$D$32,$C$4,'EE Inputs'!$E$9:$E$32,$B227)))</f>
        <v>0</v>
      </c>
      <c r="AE227" s="64" cm="1">
        <f t="array" aca="1" ref="AE227" ca="1">IF($C$4=Lookups!$D$40,INDIRECT("'Yr1'!"&amp;ADDRESS(ROW(AE227),COLUMN(AE227))),
IF(AE170=0,0,SUMIFS('EE Inputs'!$S$9:$S$32,'EE Inputs'!$C$9:$C$32,$G$6,'EE Inputs'!$D$9:$D$32,$C$4,'EE Inputs'!$E$9:$E$32,$B227)))</f>
        <v>0</v>
      </c>
      <c r="AF227" s="64" cm="1">
        <f t="array" aca="1" ref="AF227" ca="1">IF($C$4=Lookups!$D$40,INDIRECT("'Yr1'!"&amp;ADDRESS(ROW(AF227),COLUMN(AF227))),
IF(AF170=0,0,SUMIFS('EE Inputs'!$S$9:$S$32,'EE Inputs'!$C$9:$C$32,$G$6,'EE Inputs'!$D$9:$D$32,$C$4,'EE Inputs'!$E$9:$E$32,$B227)))</f>
        <v>0</v>
      </c>
      <c r="AG227" s="64" cm="1">
        <f t="array" aca="1" ref="AG227" ca="1">IF($C$4=Lookups!$D$40,INDIRECT("'Yr1'!"&amp;ADDRESS(ROW(AG227),COLUMN(AG227))),
IF(AG170=0,0,SUMIFS('EE Inputs'!$S$9:$S$32,'EE Inputs'!$C$9:$C$32,$G$6,'EE Inputs'!$D$9:$D$32,$C$4,'EE Inputs'!$E$9:$E$32,$B227)))</f>
        <v>0</v>
      </c>
      <c r="AH227" s="64"/>
      <c r="AI227" s="64"/>
      <c r="AJ227" s="64"/>
      <c r="AM227" s="645" cm="1">
        <f t="array" aca="1" ref="AM227" ca="1">IF($C$4=Lookups!$D$40,INDIRECT("'Yr1'!"&amp;ADDRESS(ROW(AM227),COLUMN(AM227))),
IF(AM170=0,0,SUMIFS('EE Inputs'!$S$9:$S$32,'EE Inputs'!$C$9:$C$32,$AM$6,'EE Inputs'!$D$9:$D$32,$C$4,'EE Inputs'!$E$9:$E$32,$B227)))</f>
        <v>0</v>
      </c>
      <c r="AN227" s="645" cm="1">
        <f t="array" aca="1" ref="AN227" ca="1">IF($C$4=Lookups!$D$40,INDIRECT("'Yr1'!"&amp;ADDRESS(ROW(AN227),COLUMN(AN227))),
IF(AN170=0,0,SUMIFS('EE Inputs'!$S$9:$S$32,'EE Inputs'!$C$9:$C$32,$AM$6,'EE Inputs'!$D$9:$D$32,$C$4,'EE Inputs'!$E$9:$E$32,$B227)))</f>
        <v>117.23742</v>
      </c>
      <c r="AO227" s="645" cm="1">
        <f t="array" aca="1" ref="AO227" ca="1">IF($C$4=Lookups!$D$40,INDIRECT("'Yr1'!"&amp;ADDRESS(ROW(AO227),COLUMN(AO227))),
IF(AO170=0,0,SUMIFS('EE Inputs'!$S$9:$S$32,'EE Inputs'!$C$9:$C$32,$AM$6,'EE Inputs'!$D$9:$D$32,$C$4,'EE Inputs'!$E$9:$E$32,$B227)))</f>
        <v>117.23742</v>
      </c>
      <c r="AP227" s="645" cm="1">
        <f t="array" aca="1" ref="AP227" ca="1">IF($C$4=Lookups!$D$40,INDIRECT("'Yr1'!"&amp;ADDRESS(ROW(AP227),COLUMN(AP227))),
IF(AP170=0,0,SUMIFS('EE Inputs'!$S$9:$S$32,'EE Inputs'!$C$9:$C$32,$AM$6,'EE Inputs'!$D$9:$D$32,$C$4,'EE Inputs'!$E$9:$E$32,$B227)))</f>
        <v>117.23742</v>
      </c>
      <c r="AQ227" s="645" cm="1">
        <f t="array" aca="1" ref="AQ227" ca="1">IF($C$4=Lookups!$D$40,INDIRECT("'Yr1'!"&amp;ADDRESS(ROW(AQ227),COLUMN(AQ227))),
IF(AQ170=0,0,SUMIFS('EE Inputs'!$S$9:$S$32,'EE Inputs'!$C$9:$C$32,$AM$6,'EE Inputs'!$D$9:$D$32,$C$4,'EE Inputs'!$E$9:$E$32,$B227)))</f>
        <v>117.23742</v>
      </c>
      <c r="AR227" s="645" cm="1">
        <f t="array" aca="1" ref="AR227" ca="1">IF($C$4=Lookups!$D$40,INDIRECT("'Yr1'!"&amp;ADDRESS(ROW(AR227),COLUMN(AR227))),
IF(AR170=0,0,SUMIFS('EE Inputs'!$S$9:$S$32,'EE Inputs'!$C$9:$C$32,$AM$6,'EE Inputs'!$D$9:$D$32,$C$4,'EE Inputs'!$E$9:$E$32,$B227)))</f>
        <v>117.23742</v>
      </c>
      <c r="AS227" s="645" cm="1">
        <f t="array" aca="1" ref="AS227" ca="1">IF($C$4=Lookups!$D$40,INDIRECT("'Yr1'!"&amp;ADDRESS(ROW(AS227),COLUMN(AS227))),
IF(AS170=0,0,SUMIFS('EE Inputs'!$S$9:$S$32,'EE Inputs'!$C$9:$C$32,$AM$6,'EE Inputs'!$D$9:$D$32,$C$4,'EE Inputs'!$E$9:$E$32,$B227)))</f>
        <v>117.23742</v>
      </c>
      <c r="AT227" s="645" cm="1">
        <f t="array" aca="1" ref="AT227" ca="1">IF($C$4=Lookups!$D$40,INDIRECT("'Yr1'!"&amp;ADDRESS(ROW(AT227),COLUMN(AT227))),
IF(AT170=0,0,SUMIFS('EE Inputs'!$S$9:$S$32,'EE Inputs'!$C$9:$C$32,$AM$6,'EE Inputs'!$D$9:$D$32,$C$4,'EE Inputs'!$E$9:$E$32,$B227)))</f>
        <v>117.23742</v>
      </c>
      <c r="AU227" s="645" cm="1">
        <f t="array" aca="1" ref="AU227" ca="1">IF($C$4=Lookups!$D$40,INDIRECT("'Yr1'!"&amp;ADDRESS(ROW(AU227),COLUMN(AU227))),
IF(AU170=0,0,SUMIFS('EE Inputs'!$S$9:$S$32,'EE Inputs'!$C$9:$C$32,$AM$6,'EE Inputs'!$D$9:$D$32,$C$4,'EE Inputs'!$E$9:$E$32,$B227)))</f>
        <v>117.23742</v>
      </c>
      <c r="AV227" s="645" cm="1">
        <f t="array" aca="1" ref="AV227" ca="1">IF($C$4=Lookups!$D$40,INDIRECT("'Yr1'!"&amp;ADDRESS(ROW(AV227),COLUMN(AV227))),
IF(AV170=0,0,SUMIFS('EE Inputs'!$S$9:$S$32,'EE Inputs'!$C$9:$C$32,$AM$6,'EE Inputs'!$D$9:$D$32,$C$4,'EE Inputs'!$E$9:$E$32,$B227)))</f>
        <v>117.23742</v>
      </c>
      <c r="AW227" s="645" cm="1">
        <f t="array" aca="1" ref="AW227" ca="1">IF($C$4=Lookups!$D$40,INDIRECT("'Yr1'!"&amp;ADDRESS(ROW(AW227),COLUMN(AW227))),
IF(AW170=0,0,SUMIFS('EE Inputs'!$S$9:$S$32,'EE Inputs'!$C$9:$C$32,$AM$6,'EE Inputs'!$D$9:$D$32,$C$4,'EE Inputs'!$E$9:$E$32,$B227)))</f>
        <v>117.23742</v>
      </c>
      <c r="AX227" s="645" cm="1">
        <f t="array" aca="1" ref="AX227" ca="1">IF($C$4=Lookups!$D$40,INDIRECT("'Yr1'!"&amp;ADDRESS(ROW(AX227),COLUMN(AX227))),
IF(AX170=0,0,SUMIFS('EE Inputs'!$S$9:$S$32,'EE Inputs'!$C$9:$C$32,$AM$6,'EE Inputs'!$D$9:$D$32,$C$4,'EE Inputs'!$E$9:$E$32,$B227)))</f>
        <v>117.23742</v>
      </c>
      <c r="AY227" s="645" cm="1">
        <f t="array" aca="1" ref="AY227" ca="1">IF($C$4=Lookups!$D$40,INDIRECT("'Yr1'!"&amp;ADDRESS(ROW(AY227),COLUMN(AY227))),
IF(AY170=0,0,SUMIFS('EE Inputs'!$S$9:$S$32,'EE Inputs'!$C$9:$C$32,$AM$6,'EE Inputs'!$D$9:$D$32,$C$4,'EE Inputs'!$E$9:$E$32,$B227)))</f>
        <v>117.23742</v>
      </c>
      <c r="AZ227" s="645" cm="1">
        <f t="array" aca="1" ref="AZ227" ca="1">IF($C$4=Lookups!$D$40,INDIRECT("'Yr1'!"&amp;ADDRESS(ROW(AZ227),COLUMN(AZ227))),
IF(AZ170=0,0,SUMIFS('EE Inputs'!$S$9:$S$32,'EE Inputs'!$C$9:$C$32,$AM$6,'EE Inputs'!$D$9:$D$32,$C$4,'EE Inputs'!$E$9:$E$32,$B227)))</f>
        <v>117.23742</v>
      </c>
      <c r="BA227" s="645" cm="1">
        <f t="array" aca="1" ref="BA227" ca="1">IF($C$4=Lookups!$D$40,INDIRECT("'Yr1'!"&amp;ADDRESS(ROW(BA227),COLUMN(BA227))),
IF(BA170=0,0,SUMIFS('EE Inputs'!$S$9:$S$32,'EE Inputs'!$C$9:$C$32,$AM$6,'EE Inputs'!$D$9:$D$32,$C$4,'EE Inputs'!$E$9:$E$32,$B227)))</f>
        <v>117.23742</v>
      </c>
      <c r="BB227" s="645" cm="1">
        <f t="array" aca="1" ref="BB227" ca="1">IF($C$4=Lookups!$D$40,INDIRECT("'Yr1'!"&amp;ADDRESS(ROW(BB227),COLUMN(BB227))),
IF(BB170=0,0,SUMIFS('EE Inputs'!$S$9:$S$32,'EE Inputs'!$C$9:$C$32,$AM$6,'EE Inputs'!$D$9:$D$32,$C$4,'EE Inputs'!$E$9:$E$32,$B227)))</f>
        <v>117.23742</v>
      </c>
      <c r="BC227" s="645" cm="1">
        <f t="array" aca="1" ref="BC227" ca="1">IF($C$4=Lookups!$D$40,INDIRECT("'Yr1'!"&amp;ADDRESS(ROW(BC227),COLUMN(BC227))),
IF(BC170=0,0,SUMIFS('EE Inputs'!$S$9:$S$32,'EE Inputs'!$C$9:$C$32,$AM$6,'EE Inputs'!$D$9:$D$32,$C$4,'EE Inputs'!$E$9:$E$32,$B227)))</f>
        <v>117.23742</v>
      </c>
      <c r="BD227" s="645" cm="1">
        <f t="array" aca="1" ref="BD227" ca="1">IF($C$4=Lookups!$D$40,INDIRECT("'Yr1'!"&amp;ADDRESS(ROW(BD227),COLUMN(BD227))),
IF(BD170=0,0,SUMIFS('EE Inputs'!$S$9:$S$32,'EE Inputs'!$C$9:$C$32,$AM$6,'EE Inputs'!$D$9:$D$32,$C$4,'EE Inputs'!$E$9:$E$32,$B227)))</f>
        <v>0</v>
      </c>
      <c r="BE227" s="645" cm="1">
        <f t="array" aca="1" ref="BE227" ca="1">IF($C$4=Lookups!$D$40,INDIRECT("'Yr1'!"&amp;ADDRESS(ROW(BE227),COLUMN(BE227))),
IF(BE170=0,0,SUMIFS('EE Inputs'!$S$9:$S$32,'EE Inputs'!$C$9:$C$32,$AM$6,'EE Inputs'!$D$9:$D$32,$C$4,'EE Inputs'!$E$9:$E$32,$B227)))</f>
        <v>0</v>
      </c>
      <c r="BF227" s="645" cm="1">
        <f t="array" aca="1" ref="BF227" ca="1">IF($C$4=Lookups!$D$40,INDIRECT("'Yr1'!"&amp;ADDRESS(ROW(BF227),COLUMN(BF227))),
IF(BF170=0,0,SUMIFS('EE Inputs'!$S$9:$S$32,'EE Inputs'!$C$9:$C$32,$AM$6,'EE Inputs'!$D$9:$D$32,$C$4,'EE Inputs'!$E$9:$E$32,$B227)))</f>
        <v>0</v>
      </c>
      <c r="BG227" s="645" cm="1">
        <f t="array" aca="1" ref="BG227" ca="1">IF($C$4=Lookups!$D$40,INDIRECT("'Yr1'!"&amp;ADDRESS(ROW(BG227),COLUMN(BG227))),
IF(BG170=0,0,SUMIFS('EE Inputs'!$S$9:$S$32,'EE Inputs'!$C$9:$C$32,$AM$6,'EE Inputs'!$D$9:$D$32,$C$4,'EE Inputs'!$E$9:$E$32,$B227)))</f>
        <v>0</v>
      </c>
      <c r="BH227" s="645" cm="1">
        <f t="array" aca="1" ref="BH227" ca="1">IF($C$4=Lookups!$D$40,INDIRECT("'Yr1'!"&amp;ADDRESS(ROW(BH227),COLUMN(BH227))),
IF(BH170=0,0,SUMIFS('EE Inputs'!$S$9:$S$32,'EE Inputs'!$C$9:$C$32,$AM$6,'EE Inputs'!$D$9:$D$32,$C$4,'EE Inputs'!$E$9:$E$32,$B227)))</f>
        <v>0</v>
      </c>
      <c r="BI227" s="645" cm="1">
        <f t="array" aca="1" ref="BI227" ca="1">IF($C$4=Lookups!$D$40,INDIRECT("'Yr1'!"&amp;ADDRESS(ROW(BI227),COLUMN(BI227))),
IF(BI170=0,0,SUMIFS('EE Inputs'!$S$9:$S$32,'EE Inputs'!$C$9:$C$32,$AM$6,'EE Inputs'!$D$9:$D$32,$C$4,'EE Inputs'!$E$9:$E$32,$B227)))</f>
        <v>0</v>
      </c>
      <c r="BJ227" s="645" cm="1">
        <f t="array" aca="1" ref="BJ227" ca="1">IF($C$4=Lookups!$D$40,INDIRECT("'Yr1'!"&amp;ADDRESS(ROW(BJ227),COLUMN(BJ227))),
IF(BJ170=0,0,SUMIFS('EE Inputs'!$S$9:$S$32,'EE Inputs'!$C$9:$C$32,$AM$6,'EE Inputs'!$D$9:$D$32,$C$4,'EE Inputs'!$E$9:$E$32,$B227)))</f>
        <v>0</v>
      </c>
      <c r="BK227" s="645" cm="1">
        <f t="array" aca="1" ref="BK227" ca="1">IF($C$4=Lookups!$D$40,INDIRECT("'Yr1'!"&amp;ADDRESS(ROW(BK227),COLUMN(BK227))),
IF(BK170=0,0,SUMIFS('EE Inputs'!$S$9:$S$32,'EE Inputs'!$C$9:$C$32,$AM$6,'EE Inputs'!$D$9:$D$32,$C$4,'EE Inputs'!$E$9:$E$32,$B227)))</f>
        <v>0</v>
      </c>
      <c r="BL227" s="645" cm="1">
        <f t="array" aca="1" ref="BL227" ca="1">IF($C$4=Lookups!$D$40,INDIRECT("'Yr1'!"&amp;ADDRESS(ROW(BL227),COLUMN(BL227))),
IF(BL170=0,0,SUMIFS('EE Inputs'!$S$9:$S$32,'EE Inputs'!$C$9:$C$32,$AM$6,'EE Inputs'!$D$9:$D$32,$C$4,'EE Inputs'!$E$9:$E$32,$B227)))</f>
        <v>0</v>
      </c>
      <c r="BM227" s="645" cm="1">
        <f t="array" aca="1" ref="BM227" ca="1">IF($C$4=Lookups!$D$40,INDIRECT("'Yr1'!"&amp;ADDRESS(ROW(BM227),COLUMN(BM227))),
IF(BM170=0,0,SUMIFS('EE Inputs'!$S$9:$S$32,'EE Inputs'!$C$9:$C$32,$AM$6,'EE Inputs'!$D$9:$D$32,$C$4,'EE Inputs'!$E$9:$E$32,$B227)))</f>
        <v>0</v>
      </c>
      <c r="BN227" s="71"/>
      <c r="BO227" s="71"/>
      <c r="BP227" s="71"/>
      <c r="BS227" s="76" t="s">
        <v>96</v>
      </c>
      <c r="BT227" s="51" t="s">
        <v>17</v>
      </c>
    </row>
    <row r="228" spans="1:72" x14ac:dyDescent="0.25">
      <c r="A228" s="246"/>
      <c r="B228" s="243" t="str">
        <f t="shared" si="230"/>
        <v>Small C&amp;I</v>
      </c>
      <c r="C228" s="243" t="str">
        <f t="shared" si="230"/>
        <v>Bills</v>
      </c>
      <c r="D228" s="244" t="str">
        <f t="shared" si="230"/>
        <v>Annual Savings from DSM Scenario</v>
      </c>
      <c r="E228" s="84" t="str">
        <f>'EE Inputs'!$N$16&amp;" Participant"</f>
        <v>High Savings Participant</v>
      </c>
      <c r="F228" s="84" t="s">
        <v>195</v>
      </c>
      <c r="G228" s="704" cm="1">
        <f t="array" aca="1" ref="G228" ca="1">IF($C$4=Lookups!$D$40,INDIRECT("'Yr1'!"&amp;ADDRESS(ROW(G228),COLUMN(G228))),
IF(G170=0,0,SUMIFS('EE Inputs'!$T$9:$T$32,'EE Inputs'!$C$9:$C$32,$G$6,'EE Inputs'!$D$9:$D$32,$C$4,'EE Inputs'!$E$9:$E$32,$B228)))</f>
        <v>0</v>
      </c>
      <c r="H228" s="704" cm="1">
        <f t="array" aca="1" ref="H228" ca="1">IF($C$4=Lookups!$D$40,INDIRECT("'Yr1'!"&amp;ADDRESS(ROW(H228),COLUMN(H228))),
IF(H170=0,0,SUMIFS('EE Inputs'!$T$9:$T$32,'EE Inputs'!$C$9:$C$32,$G$6,'EE Inputs'!$D$9:$D$32,$C$4,'EE Inputs'!$E$9:$E$32,$B228)))</f>
        <v>195.39570000000003</v>
      </c>
      <c r="I228" s="704" cm="1">
        <f t="array" aca="1" ref="I228" ca="1">IF($C$4=Lookups!$D$40,INDIRECT("'Yr1'!"&amp;ADDRESS(ROW(I228),COLUMN(I228))),
IF(I170=0,0,SUMIFS('EE Inputs'!$T$9:$T$32,'EE Inputs'!$C$9:$C$32,$G$6,'EE Inputs'!$D$9:$D$32,$C$4,'EE Inputs'!$E$9:$E$32,$B228)))</f>
        <v>195.39570000000003</v>
      </c>
      <c r="J228" s="704" cm="1">
        <f t="array" aca="1" ref="J228" ca="1">IF($C$4=Lookups!$D$40,INDIRECT("'Yr1'!"&amp;ADDRESS(ROW(J228),COLUMN(J228))),
IF(J170=0,0,SUMIFS('EE Inputs'!$T$9:$T$32,'EE Inputs'!$C$9:$C$32,$G$6,'EE Inputs'!$D$9:$D$32,$C$4,'EE Inputs'!$E$9:$E$32,$B228)))</f>
        <v>195.39570000000003</v>
      </c>
      <c r="K228" s="704" cm="1">
        <f t="array" aca="1" ref="K228" ca="1">IF($C$4=Lookups!$D$40,INDIRECT("'Yr1'!"&amp;ADDRESS(ROW(K228),COLUMN(K228))),
IF(K170=0,0,SUMIFS('EE Inputs'!$T$9:$T$32,'EE Inputs'!$C$9:$C$32,$G$6,'EE Inputs'!$D$9:$D$32,$C$4,'EE Inputs'!$E$9:$E$32,$B228)))</f>
        <v>195.39570000000003</v>
      </c>
      <c r="L228" s="704" cm="1">
        <f t="array" aca="1" ref="L228" ca="1">IF($C$4=Lookups!$D$40,INDIRECT("'Yr1'!"&amp;ADDRESS(ROW(L228),COLUMN(L228))),
IF(L170=0,0,SUMIFS('EE Inputs'!$T$9:$T$32,'EE Inputs'!$C$9:$C$32,$G$6,'EE Inputs'!$D$9:$D$32,$C$4,'EE Inputs'!$E$9:$E$32,$B228)))</f>
        <v>195.39570000000003</v>
      </c>
      <c r="M228" s="704" cm="1">
        <f t="array" aca="1" ref="M228" ca="1">IF($C$4=Lookups!$D$40,INDIRECT("'Yr1'!"&amp;ADDRESS(ROW(M228),COLUMN(M228))),
IF(M170=0,0,SUMIFS('EE Inputs'!$T$9:$T$32,'EE Inputs'!$C$9:$C$32,$G$6,'EE Inputs'!$D$9:$D$32,$C$4,'EE Inputs'!$E$9:$E$32,$B228)))</f>
        <v>195.39570000000003</v>
      </c>
      <c r="N228" s="704" cm="1">
        <f t="array" aca="1" ref="N228" ca="1">IF($C$4=Lookups!$D$40,INDIRECT("'Yr1'!"&amp;ADDRESS(ROW(N228),COLUMN(N228))),
IF(N170=0,0,SUMIFS('EE Inputs'!$T$9:$T$32,'EE Inputs'!$C$9:$C$32,$G$6,'EE Inputs'!$D$9:$D$32,$C$4,'EE Inputs'!$E$9:$E$32,$B228)))</f>
        <v>195.39570000000003</v>
      </c>
      <c r="O228" s="704" cm="1">
        <f t="array" aca="1" ref="O228" ca="1">IF($C$4=Lookups!$D$40,INDIRECT("'Yr1'!"&amp;ADDRESS(ROW(O228),COLUMN(O228))),
IF(O170=0,0,SUMIFS('EE Inputs'!$T$9:$T$32,'EE Inputs'!$C$9:$C$32,$G$6,'EE Inputs'!$D$9:$D$32,$C$4,'EE Inputs'!$E$9:$E$32,$B228)))</f>
        <v>195.39570000000003</v>
      </c>
      <c r="P228" s="704" cm="1">
        <f t="array" aca="1" ref="P228" ca="1">IF($C$4=Lookups!$D$40,INDIRECT("'Yr1'!"&amp;ADDRESS(ROW(P228),COLUMN(P228))),
IF(P170=0,0,SUMIFS('EE Inputs'!$T$9:$T$32,'EE Inputs'!$C$9:$C$32,$G$6,'EE Inputs'!$D$9:$D$32,$C$4,'EE Inputs'!$E$9:$E$32,$B228)))</f>
        <v>195.39570000000003</v>
      </c>
      <c r="Q228" s="704" cm="1">
        <f t="array" aca="1" ref="Q228" ca="1">IF($C$4=Lookups!$D$40,INDIRECT("'Yr1'!"&amp;ADDRESS(ROW(Q228),COLUMN(Q228))),
IF(Q170=0,0,SUMIFS('EE Inputs'!$T$9:$T$32,'EE Inputs'!$C$9:$C$32,$G$6,'EE Inputs'!$D$9:$D$32,$C$4,'EE Inputs'!$E$9:$E$32,$B228)))</f>
        <v>195.39570000000003</v>
      </c>
      <c r="R228" s="704" cm="1">
        <f t="array" aca="1" ref="R228" ca="1">IF($C$4=Lookups!$D$40,INDIRECT("'Yr1'!"&amp;ADDRESS(ROW(R228),COLUMN(R228))),
IF(R170=0,0,SUMIFS('EE Inputs'!$T$9:$T$32,'EE Inputs'!$C$9:$C$32,$G$6,'EE Inputs'!$D$9:$D$32,$C$4,'EE Inputs'!$E$9:$E$32,$B228)))</f>
        <v>195.39570000000003</v>
      </c>
      <c r="S228" s="704" cm="1">
        <f t="array" aca="1" ref="S228" ca="1">IF($C$4=Lookups!$D$40,INDIRECT("'Yr1'!"&amp;ADDRESS(ROW(S228),COLUMN(S228))),
IF(S170=0,0,SUMIFS('EE Inputs'!$T$9:$T$32,'EE Inputs'!$C$9:$C$32,$G$6,'EE Inputs'!$D$9:$D$32,$C$4,'EE Inputs'!$E$9:$E$32,$B228)))</f>
        <v>195.39570000000003</v>
      </c>
      <c r="T228" s="704" cm="1">
        <f t="array" aca="1" ref="T228" ca="1">IF($C$4=Lookups!$D$40,INDIRECT("'Yr1'!"&amp;ADDRESS(ROW(T228),COLUMN(T228))),
IF(T170=0,0,SUMIFS('EE Inputs'!$T$9:$T$32,'EE Inputs'!$C$9:$C$32,$G$6,'EE Inputs'!$D$9:$D$32,$C$4,'EE Inputs'!$E$9:$E$32,$B228)))</f>
        <v>195.39570000000003</v>
      </c>
      <c r="U228" s="704" cm="1">
        <f t="array" aca="1" ref="U228" ca="1">IF($C$4=Lookups!$D$40,INDIRECT("'Yr1'!"&amp;ADDRESS(ROW(U228),COLUMN(U228))),
IF(U170=0,0,SUMIFS('EE Inputs'!$T$9:$T$32,'EE Inputs'!$C$9:$C$32,$G$6,'EE Inputs'!$D$9:$D$32,$C$4,'EE Inputs'!$E$9:$E$32,$B228)))</f>
        <v>195.39570000000003</v>
      </c>
      <c r="V228" s="704" cm="1">
        <f t="array" aca="1" ref="V228" ca="1">IF($C$4=Lookups!$D$40,INDIRECT("'Yr1'!"&amp;ADDRESS(ROW(V228),COLUMN(V228))),
IF(V170=0,0,SUMIFS('EE Inputs'!$T$9:$T$32,'EE Inputs'!$C$9:$C$32,$G$6,'EE Inputs'!$D$9:$D$32,$C$4,'EE Inputs'!$E$9:$E$32,$B228)))</f>
        <v>195.39570000000003</v>
      </c>
      <c r="W228" s="704" cm="1">
        <f t="array" aca="1" ref="W228" ca="1">IF($C$4=Lookups!$D$40,INDIRECT("'Yr1'!"&amp;ADDRESS(ROW(W228),COLUMN(W228))),
IF(W170=0,0,SUMIFS('EE Inputs'!$T$9:$T$32,'EE Inputs'!$C$9:$C$32,$G$6,'EE Inputs'!$D$9:$D$32,$C$4,'EE Inputs'!$E$9:$E$32,$B228)))</f>
        <v>195.39570000000003</v>
      </c>
      <c r="X228" s="704" cm="1">
        <f t="array" aca="1" ref="X228" ca="1">IF($C$4=Lookups!$D$40,INDIRECT("'Yr1'!"&amp;ADDRESS(ROW(X228),COLUMN(X228))),
IF(X170=0,0,SUMIFS('EE Inputs'!$T$9:$T$32,'EE Inputs'!$C$9:$C$32,$G$6,'EE Inputs'!$D$9:$D$32,$C$4,'EE Inputs'!$E$9:$E$32,$B228)))</f>
        <v>0</v>
      </c>
      <c r="Y228" s="704" cm="1">
        <f t="array" aca="1" ref="Y228" ca="1">IF($C$4=Lookups!$D$40,INDIRECT("'Yr1'!"&amp;ADDRESS(ROW(Y228),COLUMN(Y228))),
IF(Y170=0,0,SUMIFS('EE Inputs'!$T$9:$T$32,'EE Inputs'!$C$9:$C$32,$G$6,'EE Inputs'!$D$9:$D$32,$C$4,'EE Inputs'!$E$9:$E$32,$B228)))</f>
        <v>0</v>
      </c>
      <c r="Z228" s="704" cm="1">
        <f t="array" aca="1" ref="Z228" ca="1">IF($C$4=Lookups!$D$40,INDIRECT("'Yr1'!"&amp;ADDRESS(ROW(Z228),COLUMN(Z228))),
IF(Z170=0,0,SUMIFS('EE Inputs'!$T$9:$T$32,'EE Inputs'!$C$9:$C$32,$G$6,'EE Inputs'!$D$9:$D$32,$C$4,'EE Inputs'!$E$9:$E$32,$B228)))</f>
        <v>0</v>
      </c>
      <c r="AA228" s="704" cm="1">
        <f t="array" aca="1" ref="AA228" ca="1">IF($C$4=Lookups!$D$40,INDIRECT("'Yr1'!"&amp;ADDRESS(ROW(AA228),COLUMN(AA228))),
IF(AA170=0,0,SUMIFS('EE Inputs'!$T$9:$T$32,'EE Inputs'!$C$9:$C$32,$G$6,'EE Inputs'!$D$9:$D$32,$C$4,'EE Inputs'!$E$9:$E$32,$B228)))</f>
        <v>0</v>
      </c>
      <c r="AB228" s="704" cm="1">
        <f t="array" aca="1" ref="AB228" ca="1">IF($C$4=Lookups!$D$40,INDIRECT("'Yr1'!"&amp;ADDRESS(ROW(AB228),COLUMN(AB228))),
IF(AB170=0,0,SUMIFS('EE Inputs'!$T$9:$T$32,'EE Inputs'!$C$9:$C$32,$G$6,'EE Inputs'!$D$9:$D$32,$C$4,'EE Inputs'!$E$9:$E$32,$B228)))</f>
        <v>0</v>
      </c>
      <c r="AC228" s="704" cm="1">
        <f t="array" aca="1" ref="AC228" ca="1">IF($C$4=Lookups!$D$40,INDIRECT("'Yr1'!"&amp;ADDRESS(ROW(AC228),COLUMN(AC228))),
IF(AC170=0,0,SUMIFS('EE Inputs'!$T$9:$T$32,'EE Inputs'!$C$9:$C$32,$G$6,'EE Inputs'!$D$9:$D$32,$C$4,'EE Inputs'!$E$9:$E$32,$B228)))</f>
        <v>0</v>
      </c>
      <c r="AD228" s="704" cm="1">
        <f t="array" aca="1" ref="AD228" ca="1">IF($C$4=Lookups!$D$40,INDIRECT("'Yr1'!"&amp;ADDRESS(ROW(AD228),COLUMN(AD228))),
IF(AD170=0,0,SUMIFS('EE Inputs'!$T$9:$T$32,'EE Inputs'!$C$9:$C$32,$G$6,'EE Inputs'!$D$9:$D$32,$C$4,'EE Inputs'!$E$9:$E$32,$B228)))</f>
        <v>0</v>
      </c>
      <c r="AE228" s="704" cm="1">
        <f t="array" aca="1" ref="AE228" ca="1">IF($C$4=Lookups!$D$40,INDIRECT("'Yr1'!"&amp;ADDRESS(ROW(AE228),COLUMN(AE228))),
IF(AE170=0,0,SUMIFS('EE Inputs'!$T$9:$T$32,'EE Inputs'!$C$9:$C$32,$G$6,'EE Inputs'!$D$9:$D$32,$C$4,'EE Inputs'!$E$9:$E$32,$B228)))</f>
        <v>0</v>
      </c>
      <c r="AF228" s="704" cm="1">
        <f t="array" aca="1" ref="AF228" ca="1">IF($C$4=Lookups!$D$40,INDIRECT("'Yr1'!"&amp;ADDRESS(ROW(AF228),COLUMN(AF228))),
IF(AF170=0,0,SUMIFS('EE Inputs'!$T$9:$T$32,'EE Inputs'!$C$9:$C$32,$G$6,'EE Inputs'!$D$9:$D$32,$C$4,'EE Inputs'!$E$9:$E$32,$B228)))</f>
        <v>0</v>
      </c>
      <c r="AG228" s="704" cm="1">
        <f t="array" aca="1" ref="AG228" ca="1">IF($C$4=Lookups!$D$40,INDIRECT("'Yr1'!"&amp;ADDRESS(ROW(AG228),COLUMN(AG228))),
IF(AG170=0,0,SUMIFS('EE Inputs'!$T$9:$T$32,'EE Inputs'!$C$9:$C$32,$G$6,'EE Inputs'!$D$9:$D$32,$C$4,'EE Inputs'!$E$9:$E$32,$B228)))</f>
        <v>0</v>
      </c>
      <c r="AH228" s="64"/>
      <c r="AI228" s="64"/>
      <c r="AJ228" s="64"/>
      <c r="AM228" s="645" cm="1">
        <f t="array" aca="1" ref="AM228" ca="1">IF($C$4=Lookups!$D$40,INDIRECT("'Yr1'!"&amp;ADDRESS(ROW(AM228),COLUMN(AM228))),
IF(AM170=0,0,SUMIFS('EE Inputs'!$T$9:$T$32,'EE Inputs'!$C$9:$C$32,$AM$6,'EE Inputs'!$D$9:$D$32,$C$4,'EE Inputs'!$E$9:$E$32,$B228)))</f>
        <v>0</v>
      </c>
      <c r="AN228" s="645" cm="1">
        <f t="array" aca="1" ref="AN228" ca="1">IF($C$4=Lookups!$D$40,INDIRECT("'Yr1'!"&amp;ADDRESS(ROW(AN228),COLUMN(AN228))),
IF(AN170=0,0,SUMIFS('EE Inputs'!$T$9:$T$32,'EE Inputs'!$C$9:$C$32,$AM$6,'EE Inputs'!$D$9:$D$32,$C$4,'EE Inputs'!$E$9:$E$32,$B228)))</f>
        <v>234.47484</v>
      </c>
      <c r="AO228" s="645" cm="1">
        <f t="array" aca="1" ref="AO228" ca="1">IF($C$4=Lookups!$D$40,INDIRECT("'Yr1'!"&amp;ADDRESS(ROW(AO228),COLUMN(AO228))),
IF(AO170=0,0,SUMIFS('EE Inputs'!$T$9:$T$32,'EE Inputs'!$C$9:$C$32,$AM$6,'EE Inputs'!$D$9:$D$32,$C$4,'EE Inputs'!$E$9:$E$32,$B228)))</f>
        <v>234.47484</v>
      </c>
      <c r="AP228" s="645" cm="1">
        <f t="array" aca="1" ref="AP228" ca="1">IF($C$4=Lookups!$D$40,INDIRECT("'Yr1'!"&amp;ADDRESS(ROW(AP228),COLUMN(AP228))),
IF(AP170=0,0,SUMIFS('EE Inputs'!$T$9:$T$32,'EE Inputs'!$C$9:$C$32,$AM$6,'EE Inputs'!$D$9:$D$32,$C$4,'EE Inputs'!$E$9:$E$32,$B228)))</f>
        <v>234.47484</v>
      </c>
      <c r="AQ228" s="645" cm="1">
        <f t="array" aca="1" ref="AQ228" ca="1">IF($C$4=Lookups!$D$40,INDIRECT("'Yr1'!"&amp;ADDRESS(ROW(AQ228),COLUMN(AQ228))),
IF(AQ170=0,0,SUMIFS('EE Inputs'!$T$9:$T$32,'EE Inputs'!$C$9:$C$32,$AM$6,'EE Inputs'!$D$9:$D$32,$C$4,'EE Inputs'!$E$9:$E$32,$B228)))</f>
        <v>234.47484</v>
      </c>
      <c r="AR228" s="645" cm="1">
        <f t="array" aca="1" ref="AR228" ca="1">IF($C$4=Lookups!$D$40,INDIRECT("'Yr1'!"&amp;ADDRESS(ROW(AR228),COLUMN(AR228))),
IF(AR170=0,0,SUMIFS('EE Inputs'!$T$9:$T$32,'EE Inputs'!$C$9:$C$32,$AM$6,'EE Inputs'!$D$9:$D$32,$C$4,'EE Inputs'!$E$9:$E$32,$B228)))</f>
        <v>234.47484</v>
      </c>
      <c r="AS228" s="645" cm="1">
        <f t="array" aca="1" ref="AS228" ca="1">IF($C$4=Lookups!$D$40,INDIRECT("'Yr1'!"&amp;ADDRESS(ROW(AS228),COLUMN(AS228))),
IF(AS170=0,0,SUMIFS('EE Inputs'!$T$9:$T$32,'EE Inputs'!$C$9:$C$32,$AM$6,'EE Inputs'!$D$9:$D$32,$C$4,'EE Inputs'!$E$9:$E$32,$B228)))</f>
        <v>234.47484</v>
      </c>
      <c r="AT228" s="645" cm="1">
        <f t="array" aca="1" ref="AT228" ca="1">IF($C$4=Lookups!$D$40,INDIRECT("'Yr1'!"&amp;ADDRESS(ROW(AT228),COLUMN(AT228))),
IF(AT170=0,0,SUMIFS('EE Inputs'!$T$9:$T$32,'EE Inputs'!$C$9:$C$32,$AM$6,'EE Inputs'!$D$9:$D$32,$C$4,'EE Inputs'!$E$9:$E$32,$B228)))</f>
        <v>234.47484</v>
      </c>
      <c r="AU228" s="645" cm="1">
        <f t="array" aca="1" ref="AU228" ca="1">IF($C$4=Lookups!$D$40,INDIRECT("'Yr1'!"&amp;ADDRESS(ROW(AU228),COLUMN(AU228))),
IF(AU170=0,0,SUMIFS('EE Inputs'!$T$9:$T$32,'EE Inputs'!$C$9:$C$32,$AM$6,'EE Inputs'!$D$9:$D$32,$C$4,'EE Inputs'!$E$9:$E$32,$B228)))</f>
        <v>234.47484</v>
      </c>
      <c r="AV228" s="645" cm="1">
        <f t="array" aca="1" ref="AV228" ca="1">IF($C$4=Lookups!$D$40,INDIRECT("'Yr1'!"&amp;ADDRESS(ROW(AV228),COLUMN(AV228))),
IF(AV170=0,0,SUMIFS('EE Inputs'!$T$9:$T$32,'EE Inputs'!$C$9:$C$32,$AM$6,'EE Inputs'!$D$9:$D$32,$C$4,'EE Inputs'!$E$9:$E$32,$B228)))</f>
        <v>234.47484</v>
      </c>
      <c r="AW228" s="645" cm="1">
        <f t="array" aca="1" ref="AW228" ca="1">IF($C$4=Lookups!$D$40,INDIRECT("'Yr1'!"&amp;ADDRESS(ROW(AW228),COLUMN(AW228))),
IF(AW170=0,0,SUMIFS('EE Inputs'!$T$9:$T$32,'EE Inputs'!$C$9:$C$32,$AM$6,'EE Inputs'!$D$9:$D$32,$C$4,'EE Inputs'!$E$9:$E$32,$B228)))</f>
        <v>234.47484</v>
      </c>
      <c r="AX228" s="645" cm="1">
        <f t="array" aca="1" ref="AX228" ca="1">IF($C$4=Lookups!$D$40,INDIRECT("'Yr1'!"&amp;ADDRESS(ROW(AX228),COLUMN(AX228))),
IF(AX170=0,0,SUMIFS('EE Inputs'!$T$9:$T$32,'EE Inputs'!$C$9:$C$32,$AM$6,'EE Inputs'!$D$9:$D$32,$C$4,'EE Inputs'!$E$9:$E$32,$B228)))</f>
        <v>234.47484</v>
      </c>
      <c r="AY228" s="645" cm="1">
        <f t="array" aca="1" ref="AY228" ca="1">IF($C$4=Lookups!$D$40,INDIRECT("'Yr1'!"&amp;ADDRESS(ROW(AY228),COLUMN(AY228))),
IF(AY170=0,0,SUMIFS('EE Inputs'!$T$9:$T$32,'EE Inputs'!$C$9:$C$32,$AM$6,'EE Inputs'!$D$9:$D$32,$C$4,'EE Inputs'!$E$9:$E$32,$B228)))</f>
        <v>234.47484</v>
      </c>
      <c r="AZ228" s="645" cm="1">
        <f t="array" aca="1" ref="AZ228" ca="1">IF($C$4=Lookups!$D$40,INDIRECT("'Yr1'!"&amp;ADDRESS(ROW(AZ228),COLUMN(AZ228))),
IF(AZ170=0,0,SUMIFS('EE Inputs'!$T$9:$T$32,'EE Inputs'!$C$9:$C$32,$AM$6,'EE Inputs'!$D$9:$D$32,$C$4,'EE Inputs'!$E$9:$E$32,$B228)))</f>
        <v>234.47484</v>
      </c>
      <c r="BA228" s="645" cm="1">
        <f t="array" aca="1" ref="BA228" ca="1">IF($C$4=Lookups!$D$40,INDIRECT("'Yr1'!"&amp;ADDRESS(ROW(BA228),COLUMN(BA228))),
IF(BA170=0,0,SUMIFS('EE Inputs'!$T$9:$T$32,'EE Inputs'!$C$9:$C$32,$AM$6,'EE Inputs'!$D$9:$D$32,$C$4,'EE Inputs'!$E$9:$E$32,$B228)))</f>
        <v>234.47484</v>
      </c>
      <c r="BB228" s="645" cm="1">
        <f t="array" aca="1" ref="BB228" ca="1">IF($C$4=Lookups!$D$40,INDIRECT("'Yr1'!"&amp;ADDRESS(ROW(BB228),COLUMN(BB228))),
IF(BB170=0,0,SUMIFS('EE Inputs'!$T$9:$T$32,'EE Inputs'!$C$9:$C$32,$AM$6,'EE Inputs'!$D$9:$D$32,$C$4,'EE Inputs'!$E$9:$E$32,$B228)))</f>
        <v>234.47484</v>
      </c>
      <c r="BC228" s="645" cm="1">
        <f t="array" aca="1" ref="BC228" ca="1">IF($C$4=Lookups!$D$40,INDIRECT("'Yr1'!"&amp;ADDRESS(ROW(BC228),COLUMN(BC228))),
IF(BC170=0,0,SUMIFS('EE Inputs'!$T$9:$T$32,'EE Inputs'!$C$9:$C$32,$AM$6,'EE Inputs'!$D$9:$D$32,$C$4,'EE Inputs'!$E$9:$E$32,$B228)))</f>
        <v>234.47484</v>
      </c>
      <c r="BD228" s="645" cm="1">
        <f t="array" aca="1" ref="BD228" ca="1">IF($C$4=Lookups!$D$40,INDIRECT("'Yr1'!"&amp;ADDRESS(ROW(BD228),COLUMN(BD228))),
IF(BD170=0,0,SUMIFS('EE Inputs'!$T$9:$T$32,'EE Inputs'!$C$9:$C$32,$AM$6,'EE Inputs'!$D$9:$D$32,$C$4,'EE Inputs'!$E$9:$E$32,$B228)))</f>
        <v>0</v>
      </c>
      <c r="BE228" s="645" cm="1">
        <f t="array" aca="1" ref="BE228" ca="1">IF($C$4=Lookups!$D$40,INDIRECT("'Yr1'!"&amp;ADDRESS(ROW(BE228),COLUMN(BE228))),
IF(BE170=0,0,SUMIFS('EE Inputs'!$T$9:$T$32,'EE Inputs'!$C$9:$C$32,$AM$6,'EE Inputs'!$D$9:$D$32,$C$4,'EE Inputs'!$E$9:$E$32,$B228)))</f>
        <v>0</v>
      </c>
      <c r="BF228" s="645" cm="1">
        <f t="array" aca="1" ref="BF228" ca="1">IF($C$4=Lookups!$D$40,INDIRECT("'Yr1'!"&amp;ADDRESS(ROW(BF228),COLUMN(BF228))),
IF(BF170=0,0,SUMIFS('EE Inputs'!$T$9:$T$32,'EE Inputs'!$C$9:$C$32,$AM$6,'EE Inputs'!$D$9:$D$32,$C$4,'EE Inputs'!$E$9:$E$32,$B228)))</f>
        <v>0</v>
      </c>
      <c r="BG228" s="645" cm="1">
        <f t="array" aca="1" ref="BG228" ca="1">IF($C$4=Lookups!$D$40,INDIRECT("'Yr1'!"&amp;ADDRESS(ROW(BG228),COLUMN(BG228))),
IF(BG170=0,0,SUMIFS('EE Inputs'!$T$9:$T$32,'EE Inputs'!$C$9:$C$32,$AM$6,'EE Inputs'!$D$9:$D$32,$C$4,'EE Inputs'!$E$9:$E$32,$B228)))</f>
        <v>0</v>
      </c>
      <c r="BH228" s="645" cm="1">
        <f t="array" aca="1" ref="BH228" ca="1">IF($C$4=Lookups!$D$40,INDIRECT("'Yr1'!"&amp;ADDRESS(ROW(BH228),COLUMN(BH228))),
IF(BH170=0,0,SUMIFS('EE Inputs'!$T$9:$T$32,'EE Inputs'!$C$9:$C$32,$AM$6,'EE Inputs'!$D$9:$D$32,$C$4,'EE Inputs'!$E$9:$E$32,$B228)))</f>
        <v>0</v>
      </c>
      <c r="BI228" s="645" cm="1">
        <f t="array" aca="1" ref="BI228" ca="1">IF($C$4=Lookups!$D$40,INDIRECT("'Yr1'!"&amp;ADDRESS(ROW(BI228),COLUMN(BI228))),
IF(BI170=0,0,SUMIFS('EE Inputs'!$T$9:$T$32,'EE Inputs'!$C$9:$C$32,$AM$6,'EE Inputs'!$D$9:$D$32,$C$4,'EE Inputs'!$E$9:$E$32,$B228)))</f>
        <v>0</v>
      </c>
      <c r="BJ228" s="645" cm="1">
        <f t="array" aca="1" ref="BJ228" ca="1">IF($C$4=Lookups!$D$40,INDIRECT("'Yr1'!"&amp;ADDRESS(ROW(BJ228),COLUMN(BJ228))),
IF(BJ170=0,0,SUMIFS('EE Inputs'!$T$9:$T$32,'EE Inputs'!$C$9:$C$32,$AM$6,'EE Inputs'!$D$9:$D$32,$C$4,'EE Inputs'!$E$9:$E$32,$B228)))</f>
        <v>0</v>
      </c>
      <c r="BK228" s="645" cm="1">
        <f t="array" aca="1" ref="BK228" ca="1">IF($C$4=Lookups!$D$40,INDIRECT("'Yr1'!"&amp;ADDRESS(ROW(BK228),COLUMN(BK228))),
IF(BK170=0,0,SUMIFS('EE Inputs'!$T$9:$T$32,'EE Inputs'!$C$9:$C$32,$AM$6,'EE Inputs'!$D$9:$D$32,$C$4,'EE Inputs'!$E$9:$E$32,$B228)))</f>
        <v>0</v>
      </c>
      <c r="BL228" s="645" cm="1">
        <f t="array" aca="1" ref="BL228" ca="1">IF($C$4=Lookups!$D$40,INDIRECT("'Yr1'!"&amp;ADDRESS(ROW(BL228),COLUMN(BL228))),
IF(BL170=0,0,SUMIFS('EE Inputs'!$T$9:$T$32,'EE Inputs'!$C$9:$C$32,$AM$6,'EE Inputs'!$D$9:$D$32,$C$4,'EE Inputs'!$E$9:$E$32,$B228)))</f>
        <v>0</v>
      </c>
      <c r="BM228" s="645" cm="1">
        <f t="array" aca="1" ref="BM228" ca="1">IF($C$4=Lookups!$D$40,INDIRECT("'Yr1'!"&amp;ADDRESS(ROW(BM228),COLUMN(BM228))),
IF(BM170=0,0,SUMIFS('EE Inputs'!$T$9:$T$32,'EE Inputs'!$C$9:$C$32,$AM$6,'EE Inputs'!$D$9:$D$32,$C$4,'EE Inputs'!$E$9:$E$32,$B228)))</f>
        <v>0</v>
      </c>
      <c r="BN228" s="71"/>
      <c r="BO228" s="71"/>
      <c r="BP228" s="71"/>
      <c r="BS228" s="76" t="s">
        <v>96</v>
      </c>
      <c r="BT228" s="51" t="s">
        <v>17</v>
      </c>
    </row>
    <row r="229" spans="1:72" x14ac:dyDescent="0.25">
      <c r="B229" s="243" t="str">
        <f t="shared" si="230"/>
        <v>Small C&amp;I</v>
      </c>
      <c r="C229" s="243" t="str">
        <f t="shared" si="230"/>
        <v>Bills</v>
      </c>
      <c r="D229" s="114" t="s">
        <v>111</v>
      </c>
      <c r="E229" s="84"/>
      <c r="F229" s="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49"/>
      <c r="AI229" s="184"/>
      <c r="AJ229" s="49"/>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S229" s="84"/>
      <c r="BT229" s="51" t="s">
        <v>17</v>
      </c>
    </row>
    <row r="230" spans="1:72" x14ac:dyDescent="0.25">
      <c r="B230" s="243" t="str">
        <f t="shared" si="230"/>
        <v>Small C&amp;I</v>
      </c>
      <c r="C230" s="243" t="str">
        <f t="shared" si="230"/>
        <v>Bills</v>
      </c>
      <c r="D230" s="244" t="str">
        <f t="shared" si="230"/>
        <v>Bills after DSM Scenario</v>
      </c>
      <c r="E230" s="84" t="s">
        <v>348</v>
      </c>
      <c r="F230" s="84" t="s">
        <v>32</v>
      </c>
      <c r="G230" s="103">
        <f ca="1">G222+G223*(G215-G214)</f>
        <v>0</v>
      </c>
      <c r="H230" s="103">
        <f ca="1">H222+H223*(H215-H214)</f>
        <v>2965.0358418504384</v>
      </c>
      <c r="I230" s="103">
        <f t="shared" ref="I230:AG230" ca="1" si="240">I222+I223*(I215-I214)</f>
        <v>2673.3704084997853</v>
      </c>
      <c r="J230" s="103">
        <f t="shared" ca="1" si="240"/>
        <v>2673.3704084997853</v>
      </c>
      <c r="K230" s="103">
        <f t="shared" ca="1" si="240"/>
        <v>2673.3704084997853</v>
      </c>
      <c r="L230" s="103">
        <f t="shared" ca="1" si="240"/>
        <v>2673.3704084997853</v>
      </c>
      <c r="M230" s="103">
        <f t="shared" ca="1" si="240"/>
        <v>2673.3704084997853</v>
      </c>
      <c r="N230" s="103">
        <f t="shared" ca="1" si="240"/>
        <v>2673.3704084997853</v>
      </c>
      <c r="O230" s="103">
        <f t="shared" ca="1" si="240"/>
        <v>2673.3704084997853</v>
      </c>
      <c r="P230" s="103">
        <f t="shared" ca="1" si="240"/>
        <v>2673.3704084997853</v>
      </c>
      <c r="Q230" s="103">
        <f t="shared" ca="1" si="240"/>
        <v>2673.3704084997853</v>
      </c>
      <c r="R230" s="103">
        <f t="shared" ca="1" si="240"/>
        <v>2673.3704084997853</v>
      </c>
      <c r="S230" s="103">
        <f t="shared" ca="1" si="240"/>
        <v>2673.3704084997853</v>
      </c>
      <c r="T230" s="103">
        <f t="shared" ca="1" si="240"/>
        <v>2673.3704084997853</v>
      </c>
      <c r="U230" s="103">
        <f t="shared" ca="1" si="240"/>
        <v>2673.3704084997853</v>
      </c>
      <c r="V230" s="103">
        <f t="shared" ca="1" si="240"/>
        <v>2673.3704084997853</v>
      </c>
      <c r="W230" s="103">
        <f t="shared" ca="1" si="240"/>
        <v>2673.3704084997853</v>
      </c>
      <c r="X230" s="103">
        <f t="shared" ca="1" si="240"/>
        <v>2662.1510455613457</v>
      </c>
      <c r="Y230" s="103">
        <f t="shared" ca="1" si="240"/>
        <v>2662.1510455613457</v>
      </c>
      <c r="Z230" s="103">
        <f t="shared" ca="1" si="240"/>
        <v>2662.1510455613457</v>
      </c>
      <c r="AA230" s="103">
        <f t="shared" ca="1" si="240"/>
        <v>2662.1510455613457</v>
      </c>
      <c r="AB230" s="103">
        <f t="shared" ca="1" si="240"/>
        <v>2662.1510455613457</v>
      </c>
      <c r="AC230" s="103">
        <f t="shared" ca="1" si="240"/>
        <v>2662.1510455613457</v>
      </c>
      <c r="AD230" s="103">
        <f t="shared" ca="1" si="240"/>
        <v>2662.1510455613457</v>
      </c>
      <c r="AE230" s="103">
        <f t="shared" ca="1" si="240"/>
        <v>2662.1510455613457</v>
      </c>
      <c r="AF230" s="103">
        <f t="shared" ca="1" si="240"/>
        <v>2662.1510455613457</v>
      </c>
      <c r="AG230" s="103">
        <f t="shared" ca="1" si="240"/>
        <v>2662.1510455613457</v>
      </c>
      <c r="AH230" s="103"/>
      <c r="AI230" s="103"/>
      <c r="AJ230" s="103">
        <f ca="1">IF($C$4=Year1,-PMT(Lookups!$E$17,25,NPV(Lookups!$E$17,G230:AE230),0,1),IF($C$4=Year2,-PMT(Lookups!$F$17,25,NPV(Lookups!$F$17,H230:AF230),0,1),IF($C$4=Year3,-PMT(Lookups!$G$17,25,NPV(Lookups!$G$17,I230:AG230),0,1),-PMT(Lookups!$G$17,27,NPV(Lookups!$G$17,G230:AG230),0,1))))</f>
        <v>2646.0882575823002</v>
      </c>
      <c r="AM230" s="149">
        <f ca="1">AM222+AM223*(AM215-AM214)</f>
        <v>0</v>
      </c>
      <c r="AN230" s="149">
        <f t="shared" ref="AN230:BM230" ca="1" si="241">AN222+AN223*(AN215-AN214)</f>
        <v>3025.0033609821676</v>
      </c>
      <c r="AO230" s="149">
        <f t="shared" ca="1" si="241"/>
        <v>2675.0048409613846</v>
      </c>
      <c r="AP230" s="149">
        <f t="shared" ca="1" si="241"/>
        <v>2675.0048409613846</v>
      </c>
      <c r="AQ230" s="149">
        <f t="shared" ca="1" si="241"/>
        <v>2675.0048409613846</v>
      </c>
      <c r="AR230" s="149">
        <f t="shared" ca="1" si="241"/>
        <v>2675.0048409613846</v>
      </c>
      <c r="AS230" s="149">
        <f t="shared" ca="1" si="241"/>
        <v>2675.0048409613846</v>
      </c>
      <c r="AT230" s="149">
        <f t="shared" ca="1" si="241"/>
        <v>2675.0048409613846</v>
      </c>
      <c r="AU230" s="149">
        <f t="shared" ca="1" si="241"/>
        <v>2675.0048409613846</v>
      </c>
      <c r="AV230" s="149">
        <f t="shared" ca="1" si="241"/>
        <v>2675.0048409613846</v>
      </c>
      <c r="AW230" s="149">
        <f t="shared" ca="1" si="241"/>
        <v>2675.0048409613846</v>
      </c>
      <c r="AX230" s="149">
        <f t="shared" ca="1" si="241"/>
        <v>2675.0048409613846</v>
      </c>
      <c r="AY230" s="149">
        <f t="shared" ca="1" si="241"/>
        <v>2675.0048409613846</v>
      </c>
      <c r="AZ230" s="149">
        <f t="shared" ca="1" si="241"/>
        <v>2675.0048409613846</v>
      </c>
      <c r="BA230" s="149">
        <f t="shared" ca="1" si="241"/>
        <v>2675.0048409613846</v>
      </c>
      <c r="BB230" s="149">
        <f t="shared" ca="1" si="241"/>
        <v>2675.0048409613846</v>
      </c>
      <c r="BC230" s="149">
        <f t="shared" ca="1" si="241"/>
        <v>2675.0048409613846</v>
      </c>
      <c r="BD230" s="149">
        <f t="shared" ca="1" si="241"/>
        <v>2662.1510455613457</v>
      </c>
      <c r="BE230" s="149">
        <f t="shared" ca="1" si="241"/>
        <v>2662.1510455613457</v>
      </c>
      <c r="BF230" s="149">
        <f t="shared" ca="1" si="241"/>
        <v>2662.1510455613457</v>
      </c>
      <c r="BG230" s="149">
        <f t="shared" ca="1" si="241"/>
        <v>2662.1510455613457</v>
      </c>
      <c r="BH230" s="149">
        <f t="shared" ca="1" si="241"/>
        <v>2662.1510455613457</v>
      </c>
      <c r="BI230" s="149">
        <f t="shared" ca="1" si="241"/>
        <v>2662.1510455613457</v>
      </c>
      <c r="BJ230" s="149">
        <f t="shared" ca="1" si="241"/>
        <v>2662.1510455613457</v>
      </c>
      <c r="BK230" s="149">
        <f t="shared" ca="1" si="241"/>
        <v>2662.1510455613457</v>
      </c>
      <c r="BL230" s="149">
        <f t="shared" ca="1" si="241"/>
        <v>2662.1510455613457</v>
      </c>
      <c r="BM230" s="149">
        <f t="shared" ca="1" si="241"/>
        <v>2662.1510455613457</v>
      </c>
      <c r="BN230" s="149"/>
      <c r="BO230" s="149"/>
      <c r="BP230" s="149">
        <f ca="1">IF($C$4=Year1,-PMT(Lookups!$E$17,25,NPV(Lookups!$E$17,AM230:BK230),0,1),IF($C$4=Year2,-PMT(Lookups!$F$17,25,NPV(Lookups!$F$17,AN230:BL230),0,1),IF($C$4=Year3,-PMT(Lookups!$G$17,25,NPV(Lookups!$G$17,AO230:BM230),0,1),-PMT(Lookups!$G$17,27,NPV(Lookups!$G$17,AM230:BM230),0,1))))</f>
        <v>2649.8929057968912</v>
      </c>
      <c r="BS230" s="84" t="s">
        <v>239</v>
      </c>
      <c r="BT230" s="51" t="s">
        <v>17</v>
      </c>
    </row>
    <row r="231" spans="1:72" x14ac:dyDescent="0.25">
      <c r="B231" s="243" t="str">
        <f t="shared" si="230"/>
        <v>Small C&amp;I</v>
      </c>
      <c r="C231" s="243" t="str">
        <f t="shared" si="230"/>
        <v>Bills</v>
      </c>
      <c r="D231" s="244" t="str">
        <f t="shared" si="230"/>
        <v>Bills after DSM Scenario</v>
      </c>
      <c r="E231" s="84" t="s">
        <v>349</v>
      </c>
      <c r="F231" s="84" t="s">
        <v>32</v>
      </c>
      <c r="G231" s="103">
        <f ca="1">G222+(G223-G226)*(G215-G214)</f>
        <v>0</v>
      </c>
      <c r="H231" s="103">
        <f ca="1">H222+(H223-H226)*(H215-H214)</f>
        <v>2917.8368378111054</v>
      </c>
      <c r="I231" s="103">
        <f t="shared" ref="I231:AG231" ca="1" si="242">I222+(I223-I226)*(I215-I214)</f>
        <v>2632.1862699649973</v>
      </c>
      <c r="J231" s="103">
        <f t="shared" ca="1" si="242"/>
        <v>2632.1862699649973</v>
      </c>
      <c r="K231" s="103">
        <f t="shared" ca="1" si="242"/>
        <v>2632.1862699649973</v>
      </c>
      <c r="L231" s="103">
        <f t="shared" ca="1" si="242"/>
        <v>2632.1862699649973</v>
      </c>
      <c r="M231" s="103">
        <f t="shared" ca="1" si="242"/>
        <v>2632.1862699649973</v>
      </c>
      <c r="N231" s="103">
        <f t="shared" ca="1" si="242"/>
        <v>2632.1862699649973</v>
      </c>
      <c r="O231" s="103">
        <f t="shared" ca="1" si="242"/>
        <v>2632.1862699649973</v>
      </c>
      <c r="P231" s="103">
        <f t="shared" ca="1" si="242"/>
        <v>2632.1862699649973</v>
      </c>
      <c r="Q231" s="103">
        <f t="shared" ca="1" si="242"/>
        <v>2632.1862699649973</v>
      </c>
      <c r="R231" s="103">
        <f t="shared" ca="1" si="242"/>
        <v>2632.1862699649973</v>
      </c>
      <c r="S231" s="103">
        <f t="shared" ca="1" si="242"/>
        <v>2632.1862699649973</v>
      </c>
      <c r="T231" s="103">
        <f t="shared" ca="1" si="242"/>
        <v>2632.1862699649973</v>
      </c>
      <c r="U231" s="103">
        <f t="shared" ca="1" si="242"/>
        <v>2632.1862699649973</v>
      </c>
      <c r="V231" s="103">
        <f t="shared" ca="1" si="242"/>
        <v>2632.1862699649973</v>
      </c>
      <c r="W231" s="103">
        <f t="shared" ca="1" si="242"/>
        <v>2632.1862699649973</v>
      </c>
      <c r="X231" s="103">
        <f t="shared" ca="1" si="242"/>
        <v>2662.1510455613457</v>
      </c>
      <c r="Y231" s="103">
        <f t="shared" ca="1" si="242"/>
        <v>2662.1510455613457</v>
      </c>
      <c r="Z231" s="103">
        <f t="shared" ca="1" si="242"/>
        <v>2662.1510455613457</v>
      </c>
      <c r="AA231" s="103">
        <f t="shared" ca="1" si="242"/>
        <v>2662.1510455613457</v>
      </c>
      <c r="AB231" s="103">
        <f t="shared" ca="1" si="242"/>
        <v>2662.1510455613457</v>
      </c>
      <c r="AC231" s="103">
        <f t="shared" ca="1" si="242"/>
        <v>2662.1510455613457</v>
      </c>
      <c r="AD231" s="103">
        <f t="shared" ca="1" si="242"/>
        <v>2662.1510455613457</v>
      </c>
      <c r="AE231" s="103">
        <f t="shared" ca="1" si="242"/>
        <v>2662.1510455613457</v>
      </c>
      <c r="AF231" s="103">
        <f t="shared" ca="1" si="242"/>
        <v>2662.1510455613457</v>
      </c>
      <c r="AG231" s="103">
        <f t="shared" ca="1" si="242"/>
        <v>2662.1510455613457</v>
      </c>
      <c r="AH231" s="103"/>
      <c r="AI231" s="103"/>
      <c r="AJ231" s="103">
        <f ca="1">IF($C$4=Year1,-PMT(Lookups!$E$17,25,NPV(Lookups!$E$17,G231:AE231),0,1),IF($C$4=Year2,-PMT(Lookups!$F$17,25,NPV(Lookups!$F$17,H231:AF231),0,1),IF($C$4=Year3,-PMT(Lookups!$G$17,25,NPV(Lookups!$G$17,I231:AG231),0,1),-PMT(Lookups!$G$17,27,NPV(Lookups!$G$17,G231:AG231),0,1))))</f>
        <v>2618.2067221139346</v>
      </c>
      <c r="AM231" s="149">
        <f ca="1">AM222+(AM223-AM226)*(AM215-AM214)</f>
        <v>0</v>
      </c>
      <c r="AN231" s="149">
        <f t="shared" ref="AN231:BM231" ca="1" si="243">AN222+(AN223-AN226)*(AN215-AN214)</f>
        <v>2969.6482944721656</v>
      </c>
      <c r="AO231" s="149">
        <f t="shared" ca="1" si="243"/>
        <v>2627.898732857615</v>
      </c>
      <c r="AP231" s="149">
        <f t="shared" ca="1" si="243"/>
        <v>2627.898732857615</v>
      </c>
      <c r="AQ231" s="149">
        <f t="shared" ca="1" si="243"/>
        <v>2627.898732857615</v>
      </c>
      <c r="AR231" s="149">
        <f t="shared" ca="1" si="243"/>
        <v>2627.898732857615</v>
      </c>
      <c r="AS231" s="149">
        <f t="shared" ca="1" si="243"/>
        <v>2627.898732857615</v>
      </c>
      <c r="AT231" s="149">
        <f t="shared" ca="1" si="243"/>
        <v>2627.898732857615</v>
      </c>
      <c r="AU231" s="149">
        <f t="shared" ca="1" si="243"/>
        <v>2627.898732857615</v>
      </c>
      <c r="AV231" s="149">
        <f t="shared" ca="1" si="243"/>
        <v>2627.898732857615</v>
      </c>
      <c r="AW231" s="149">
        <f t="shared" ca="1" si="243"/>
        <v>2627.898732857615</v>
      </c>
      <c r="AX231" s="149">
        <f t="shared" ca="1" si="243"/>
        <v>2627.898732857615</v>
      </c>
      <c r="AY231" s="149">
        <f t="shared" ca="1" si="243"/>
        <v>2627.898732857615</v>
      </c>
      <c r="AZ231" s="149">
        <f t="shared" ca="1" si="243"/>
        <v>2627.898732857615</v>
      </c>
      <c r="BA231" s="149">
        <f t="shared" ca="1" si="243"/>
        <v>2627.898732857615</v>
      </c>
      <c r="BB231" s="149">
        <f t="shared" ca="1" si="243"/>
        <v>2627.898732857615</v>
      </c>
      <c r="BC231" s="149">
        <f t="shared" ca="1" si="243"/>
        <v>2627.898732857615</v>
      </c>
      <c r="BD231" s="149">
        <f t="shared" ca="1" si="243"/>
        <v>2662.1510455613457</v>
      </c>
      <c r="BE231" s="149">
        <f t="shared" ca="1" si="243"/>
        <v>2662.1510455613457</v>
      </c>
      <c r="BF231" s="149">
        <f t="shared" ca="1" si="243"/>
        <v>2662.1510455613457</v>
      </c>
      <c r="BG231" s="149">
        <f t="shared" ca="1" si="243"/>
        <v>2662.1510455613457</v>
      </c>
      <c r="BH231" s="149">
        <f t="shared" ca="1" si="243"/>
        <v>2662.1510455613457</v>
      </c>
      <c r="BI231" s="149">
        <f t="shared" ca="1" si="243"/>
        <v>2662.1510455613457</v>
      </c>
      <c r="BJ231" s="149">
        <f t="shared" ca="1" si="243"/>
        <v>2662.1510455613457</v>
      </c>
      <c r="BK231" s="149">
        <f t="shared" ca="1" si="243"/>
        <v>2662.1510455613457</v>
      </c>
      <c r="BL231" s="149">
        <f t="shared" ca="1" si="243"/>
        <v>2662.1510455613457</v>
      </c>
      <c r="BM231" s="149">
        <f t="shared" ca="1" si="243"/>
        <v>2662.1510455613457</v>
      </c>
      <c r="BN231" s="149"/>
      <c r="BO231" s="149"/>
      <c r="BP231" s="149">
        <f ca="1">IF($C$4=Year1,-PMT(Lookups!$E$17,25,NPV(Lookups!$E$17,AM231:BK231),0,1),IF($C$4=Year2,-PMT(Lookups!$F$17,25,NPV(Lookups!$F$17,AN231:BL231),0,1),IF($C$4=Year3,-PMT(Lookups!$G$17,25,NPV(Lookups!$G$17,AO231:BM231),0,1),-PMT(Lookups!$G$17,27,NPV(Lookups!$G$17,AM231:BM231),0,1))))</f>
        <v>2617.9386237828094</v>
      </c>
      <c r="BS231" s="84" t="s">
        <v>240</v>
      </c>
      <c r="BT231" s="51" t="s">
        <v>17</v>
      </c>
    </row>
    <row r="232" spans="1:72" x14ac:dyDescent="0.25">
      <c r="B232" s="243" t="str">
        <f t="shared" si="230"/>
        <v>Small C&amp;I</v>
      </c>
      <c r="C232" s="243" t="str">
        <f t="shared" si="230"/>
        <v>Bills</v>
      </c>
      <c r="D232" s="244" t="str">
        <f t="shared" si="230"/>
        <v>Bills after DSM Scenario</v>
      </c>
      <c r="E232" s="84" t="str">
        <f>'EE Inputs'!$N$15&amp;" Participant Annual Bill"</f>
        <v>Low Savings Participant Annual Bill</v>
      </c>
      <c r="F232" s="84" t="s">
        <v>32</v>
      </c>
      <c r="G232" s="103">
        <f ca="1">G222+(G223-G227)*(G215-G214)</f>
        <v>0</v>
      </c>
      <c r="H232" s="103">
        <f ca="1">H222+(H223-H227)*(H215-H214)</f>
        <v>2850.6000497579162</v>
      </c>
      <c r="I232" s="103">
        <f t="shared" ref="I232:AG232" ca="1" si="244">I222+(I223-I227)*(I215-I214)</f>
        <v>2573.5178880747962</v>
      </c>
      <c r="J232" s="103">
        <f t="shared" ca="1" si="244"/>
        <v>2573.5178880747962</v>
      </c>
      <c r="K232" s="103">
        <f t="shared" ca="1" si="244"/>
        <v>2573.5178880747962</v>
      </c>
      <c r="L232" s="103">
        <f t="shared" ca="1" si="244"/>
        <v>2573.5178880747962</v>
      </c>
      <c r="M232" s="103">
        <f t="shared" ca="1" si="244"/>
        <v>2573.5178880747962</v>
      </c>
      <c r="N232" s="103">
        <f t="shared" ca="1" si="244"/>
        <v>2573.5178880747962</v>
      </c>
      <c r="O232" s="103">
        <f t="shared" ca="1" si="244"/>
        <v>2573.5178880747962</v>
      </c>
      <c r="P232" s="103">
        <f t="shared" ca="1" si="244"/>
        <v>2573.5178880747962</v>
      </c>
      <c r="Q232" s="103">
        <f t="shared" ca="1" si="244"/>
        <v>2573.5178880747962</v>
      </c>
      <c r="R232" s="103">
        <f t="shared" ca="1" si="244"/>
        <v>2573.5178880747962</v>
      </c>
      <c r="S232" s="103">
        <f t="shared" ca="1" si="244"/>
        <v>2573.5178880747962</v>
      </c>
      <c r="T232" s="103">
        <f t="shared" ca="1" si="244"/>
        <v>2573.5178880747962</v>
      </c>
      <c r="U232" s="103">
        <f t="shared" ca="1" si="244"/>
        <v>2573.5178880747962</v>
      </c>
      <c r="V232" s="103">
        <f t="shared" ca="1" si="244"/>
        <v>2573.5178880747962</v>
      </c>
      <c r="W232" s="103">
        <f t="shared" ca="1" si="244"/>
        <v>2573.5178880747962</v>
      </c>
      <c r="X232" s="103">
        <f t="shared" ca="1" si="244"/>
        <v>2662.1510455613457</v>
      </c>
      <c r="Y232" s="103">
        <f t="shared" ca="1" si="244"/>
        <v>2662.1510455613457</v>
      </c>
      <c r="Z232" s="103">
        <f t="shared" ca="1" si="244"/>
        <v>2662.1510455613457</v>
      </c>
      <c r="AA232" s="103">
        <f t="shared" ca="1" si="244"/>
        <v>2662.1510455613457</v>
      </c>
      <c r="AB232" s="103">
        <f t="shared" ca="1" si="244"/>
        <v>2662.1510455613457</v>
      </c>
      <c r="AC232" s="103">
        <f t="shared" ca="1" si="244"/>
        <v>2662.1510455613457</v>
      </c>
      <c r="AD232" s="103">
        <f t="shared" ca="1" si="244"/>
        <v>2662.1510455613457</v>
      </c>
      <c r="AE232" s="103">
        <f t="shared" ca="1" si="244"/>
        <v>2662.1510455613457</v>
      </c>
      <c r="AF232" s="103">
        <f t="shared" ca="1" si="244"/>
        <v>2662.1510455613457</v>
      </c>
      <c r="AG232" s="103">
        <f t="shared" ca="1" si="244"/>
        <v>2662.1510455613457</v>
      </c>
      <c r="AH232" s="103"/>
      <c r="AI232" s="103"/>
      <c r="AJ232" s="103">
        <f ca="1">IF($C$4=Year1,-PMT(Lookups!$E$17,25,NPV(Lookups!$E$17,G232:AE232),0,1),IF($C$4=Year2,-PMT(Lookups!$F$17,25,NPV(Lookups!$F$17,H232:AF232),0,1),IF($C$4=Year3,-PMT(Lookups!$G$17,25,NPV(Lookups!$G$17,I232:AG232),0,1),-PMT(Lookups!$G$17,27,NPV(Lookups!$G$17,G232:AG232),0,1))))</f>
        <v>2578.4884075214959</v>
      </c>
      <c r="AM232" s="149">
        <f ca="1">AM222+(AM223-AM227)*(AM215-AM214)</f>
        <v>0</v>
      </c>
      <c r="AN232" s="149">
        <f t="shared" ref="AN232:BM232" ca="1" si="245">AN222+(AN223-AN227)*(AN215-AN214)</f>
        <v>2884.0823593232381</v>
      </c>
      <c r="AO232" s="149">
        <f t="shared" ca="1" si="245"/>
        <v>2555.0837505037016</v>
      </c>
      <c r="AP232" s="149">
        <f t="shared" ca="1" si="245"/>
        <v>2555.0837505037016</v>
      </c>
      <c r="AQ232" s="149">
        <f t="shared" ca="1" si="245"/>
        <v>2555.0837505037016</v>
      </c>
      <c r="AR232" s="149">
        <f t="shared" ca="1" si="245"/>
        <v>2555.0837505037016</v>
      </c>
      <c r="AS232" s="149">
        <f t="shared" ca="1" si="245"/>
        <v>2555.0837505037016</v>
      </c>
      <c r="AT232" s="149">
        <f t="shared" ca="1" si="245"/>
        <v>2555.0837505037016</v>
      </c>
      <c r="AU232" s="149">
        <f t="shared" ca="1" si="245"/>
        <v>2555.0837505037016</v>
      </c>
      <c r="AV232" s="149">
        <f t="shared" ca="1" si="245"/>
        <v>2555.0837505037016</v>
      </c>
      <c r="AW232" s="149">
        <f t="shared" ca="1" si="245"/>
        <v>2555.0837505037016</v>
      </c>
      <c r="AX232" s="149">
        <f t="shared" ca="1" si="245"/>
        <v>2555.0837505037016</v>
      </c>
      <c r="AY232" s="149">
        <f t="shared" ca="1" si="245"/>
        <v>2555.0837505037016</v>
      </c>
      <c r="AZ232" s="149">
        <f t="shared" ca="1" si="245"/>
        <v>2555.0837505037016</v>
      </c>
      <c r="BA232" s="149">
        <f t="shared" ca="1" si="245"/>
        <v>2555.0837505037016</v>
      </c>
      <c r="BB232" s="149">
        <f t="shared" ca="1" si="245"/>
        <v>2555.0837505037016</v>
      </c>
      <c r="BC232" s="149">
        <f t="shared" ca="1" si="245"/>
        <v>2555.0837505037016</v>
      </c>
      <c r="BD232" s="149">
        <f t="shared" ca="1" si="245"/>
        <v>2662.1510455613457</v>
      </c>
      <c r="BE232" s="149">
        <f t="shared" ca="1" si="245"/>
        <v>2662.1510455613457</v>
      </c>
      <c r="BF232" s="149">
        <f t="shared" ca="1" si="245"/>
        <v>2662.1510455613457</v>
      </c>
      <c r="BG232" s="149">
        <f t="shared" ca="1" si="245"/>
        <v>2662.1510455613457</v>
      </c>
      <c r="BH232" s="149">
        <f t="shared" ca="1" si="245"/>
        <v>2662.1510455613457</v>
      </c>
      <c r="BI232" s="149">
        <f t="shared" ca="1" si="245"/>
        <v>2662.1510455613457</v>
      </c>
      <c r="BJ232" s="149">
        <f t="shared" ca="1" si="245"/>
        <v>2662.1510455613457</v>
      </c>
      <c r="BK232" s="149">
        <f t="shared" ca="1" si="245"/>
        <v>2662.1510455613457</v>
      </c>
      <c r="BL232" s="149">
        <f t="shared" ca="1" si="245"/>
        <v>2662.1510455613457</v>
      </c>
      <c r="BM232" s="149">
        <f t="shared" ca="1" si="245"/>
        <v>2662.1510455613457</v>
      </c>
      <c r="BN232" s="149"/>
      <c r="BO232" s="149"/>
      <c r="BP232" s="149">
        <f ca="1">IF($C$4=Year1,-PMT(Lookups!$E$17,25,NPV(Lookups!$E$17,AM232:BK232),0,1),IF($C$4=Year2,-PMT(Lookups!$F$17,25,NPV(Lookups!$F$17,AN232:BL232),0,1),IF($C$4=Year3,-PMT(Lookups!$G$17,25,NPV(Lookups!$G$17,AO232:BM232),0,1),-PMT(Lookups!$G$17,27,NPV(Lookups!$G$17,AM232:BM232),0,1))))</f>
        <v>2568.5448068310511</v>
      </c>
      <c r="BS232" s="84" t="s">
        <v>240</v>
      </c>
      <c r="BT232" s="51" t="s">
        <v>17</v>
      </c>
    </row>
    <row r="233" spans="1:72" x14ac:dyDescent="0.25">
      <c r="B233" s="243" t="str">
        <f t="shared" ref="B233:D243" si="246">B232</f>
        <v>Small C&amp;I</v>
      </c>
      <c r="C233" s="243" t="str">
        <f t="shared" si="246"/>
        <v>Bills</v>
      </c>
      <c r="D233" s="244" t="str">
        <f t="shared" si="246"/>
        <v>Bills after DSM Scenario</v>
      </c>
      <c r="E233" s="84" t="str">
        <f>'EE Inputs'!$N$16&amp;" Participant Annual Bill"</f>
        <v>High Savings Participant Annual Bill</v>
      </c>
      <c r="F233" s="84" t="s">
        <v>32</v>
      </c>
      <c r="G233" s="103">
        <f ca="1">G222+(G223-G228)*(G215-G214)</f>
        <v>0</v>
      </c>
      <c r="H233" s="103">
        <f ca="1">H222+(H223-H228)*(H215-H214)</f>
        <v>2736.164257665394</v>
      </c>
      <c r="I233" s="103">
        <f t="shared" ref="I233:AG233" ca="1" si="247">I222+(I223-I228)*(I215-I214)</f>
        <v>2473.6653676498067</v>
      </c>
      <c r="J233" s="103">
        <f t="shared" ca="1" si="247"/>
        <v>2473.6653676498067</v>
      </c>
      <c r="K233" s="103">
        <f t="shared" ca="1" si="247"/>
        <v>2473.6653676498067</v>
      </c>
      <c r="L233" s="103">
        <f t="shared" ca="1" si="247"/>
        <v>2473.6653676498067</v>
      </c>
      <c r="M233" s="103">
        <f t="shared" ca="1" si="247"/>
        <v>2473.6653676498067</v>
      </c>
      <c r="N233" s="103">
        <f t="shared" ca="1" si="247"/>
        <v>2473.6653676498067</v>
      </c>
      <c r="O233" s="103">
        <f t="shared" ca="1" si="247"/>
        <v>2473.6653676498067</v>
      </c>
      <c r="P233" s="103">
        <f t="shared" ca="1" si="247"/>
        <v>2473.6653676498067</v>
      </c>
      <c r="Q233" s="103">
        <f t="shared" ca="1" si="247"/>
        <v>2473.6653676498067</v>
      </c>
      <c r="R233" s="103">
        <f t="shared" ca="1" si="247"/>
        <v>2473.6653676498067</v>
      </c>
      <c r="S233" s="103">
        <f t="shared" ca="1" si="247"/>
        <v>2473.6653676498067</v>
      </c>
      <c r="T233" s="103">
        <f t="shared" ca="1" si="247"/>
        <v>2473.6653676498067</v>
      </c>
      <c r="U233" s="103">
        <f t="shared" ca="1" si="247"/>
        <v>2473.6653676498067</v>
      </c>
      <c r="V233" s="103">
        <f t="shared" ca="1" si="247"/>
        <v>2473.6653676498067</v>
      </c>
      <c r="W233" s="103">
        <f t="shared" ca="1" si="247"/>
        <v>2473.6653676498067</v>
      </c>
      <c r="X233" s="103">
        <f t="shared" ca="1" si="247"/>
        <v>2662.1510455613457</v>
      </c>
      <c r="Y233" s="103">
        <f t="shared" ca="1" si="247"/>
        <v>2662.1510455613457</v>
      </c>
      <c r="Z233" s="103">
        <f t="shared" ca="1" si="247"/>
        <v>2662.1510455613457</v>
      </c>
      <c r="AA233" s="103">
        <f t="shared" ca="1" si="247"/>
        <v>2662.1510455613457</v>
      </c>
      <c r="AB233" s="103">
        <f t="shared" ca="1" si="247"/>
        <v>2662.1510455613457</v>
      </c>
      <c r="AC233" s="103">
        <f t="shared" ca="1" si="247"/>
        <v>2662.1510455613457</v>
      </c>
      <c r="AD233" s="103">
        <f t="shared" ca="1" si="247"/>
        <v>2662.1510455613457</v>
      </c>
      <c r="AE233" s="103">
        <f t="shared" ca="1" si="247"/>
        <v>2662.1510455613457</v>
      </c>
      <c r="AF233" s="103">
        <f t="shared" ca="1" si="247"/>
        <v>2662.1510455613457</v>
      </c>
      <c r="AG233" s="103">
        <f t="shared" ca="1" si="247"/>
        <v>2662.1510455613457</v>
      </c>
      <c r="AH233" s="103"/>
      <c r="AI233" s="103"/>
      <c r="AJ233" s="103">
        <f ca="1">IF($C$4=Year1,-PMT(Lookups!$E$17,25,NPV(Lookups!$E$17,G233:AE233),0,1),IF($C$4=Year2,-PMT(Lookups!$F$17,25,NPV(Lookups!$F$17,H233:AF233),0,1),IF($C$4=Year3,-PMT(Lookups!$G$17,25,NPV(Lookups!$G$17,I233:AG233),0,1),-PMT(Lookups!$G$17,27,NPV(Lookups!$G$17,G233:AG233),0,1))))</f>
        <v>2510.8885574606911</v>
      </c>
      <c r="AM233" s="149">
        <f ca="1">AM222+(AM223-AM228)*(AM215-AM214)</f>
        <v>0</v>
      </c>
      <c r="AN233" s="149">
        <f t="shared" ref="AN233:BM233" ca="1" si="248">AN222+(AN223-AN228)*(AN215-AN214)</f>
        <v>2743.1613576643076</v>
      </c>
      <c r="AO233" s="149">
        <f t="shared" ca="1" si="248"/>
        <v>2435.1626600460186</v>
      </c>
      <c r="AP233" s="149">
        <f t="shared" ca="1" si="248"/>
        <v>2435.1626600460186</v>
      </c>
      <c r="AQ233" s="149">
        <f t="shared" ca="1" si="248"/>
        <v>2435.1626600460186</v>
      </c>
      <c r="AR233" s="149">
        <f t="shared" ca="1" si="248"/>
        <v>2435.1626600460186</v>
      </c>
      <c r="AS233" s="149">
        <f t="shared" ca="1" si="248"/>
        <v>2435.1626600460186</v>
      </c>
      <c r="AT233" s="149">
        <f t="shared" ca="1" si="248"/>
        <v>2435.1626600460186</v>
      </c>
      <c r="AU233" s="149">
        <f t="shared" ca="1" si="248"/>
        <v>2435.1626600460186</v>
      </c>
      <c r="AV233" s="149">
        <f t="shared" ca="1" si="248"/>
        <v>2435.1626600460186</v>
      </c>
      <c r="AW233" s="149">
        <f t="shared" ca="1" si="248"/>
        <v>2435.1626600460186</v>
      </c>
      <c r="AX233" s="149">
        <f t="shared" ca="1" si="248"/>
        <v>2435.1626600460186</v>
      </c>
      <c r="AY233" s="149">
        <f t="shared" ca="1" si="248"/>
        <v>2435.1626600460186</v>
      </c>
      <c r="AZ233" s="149">
        <f t="shared" ca="1" si="248"/>
        <v>2435.1626600460186</v>
      </c>
      <c r="BA233" s="149">
        <f t="shared" ca="1" si="248"/>
        <v>2435.1626600460186</v>
      </c>
      <c r="BB233" s="149">
        <f t="shared" ca="1" si="248"/>
        <v>2435.1626600460186</v>
      </c>
      <c r="BC233" s="149">
        <f t="shared" ca="1" si="248"/>
        <v>2435.1626600460186</v>
      </c>
      <c r="BD233" s="149">
        <f t="shared" ca="1" si="248"/>
        <v>2662.1510455613457</v>
      </c>
      <c r="BE233" s="149">
        <f t="shared" ca="1" si="248"/>
        <v>2662.1510455613457</v>
      </c>
      <c r="BF233" s="149">
        <f t="shared" ca="1" si="248"/>
        <v>2662.1510455613457</v>
      </c>
      <c r="BG233" s="149">
        <f t="shared" ca="1" si="248"/>
        <v>2662.1510455613457</v>
      </c>
      <c r="BH233" s="149">
        <f t="shared" ca="1" si="248"/>
        <v>2662.1510455613457</v>
      </c>
      <c r="BI233" s="149">
        <f t="shared" ca="1" si="248"/>
        <v>2662.1510455613457</v>
      </c>
      <c r="BJ233" s="149">
        <f t="shared" ca="1" si="248"/>
        <v>2662.1510455613457</v>
      </c>
      <c r="BK233" s="149">
        <f t="shared" ca="1" si="248"/>
        <v>2662.1510455613457</v>
      </c>
      <c r="BL233" s="149">
        <f t="shared" ca="1" si="248"/>
        <v>2662.1510455613457</v>
      </c>
      <c r="BM233" s="149">
        <f t="shared" ca="1" si="248"/>
        <v>2662.1510455613457</v>
      </c>
      <c r="BN233" s="149"/>
      <c r="BO233" s="149"/>
      <c r="BP233" s="149">
        <f ca="1">IF($C$4=Year1,-PMT(Lookups!$E$17,25,NPV(Lookups!$E$17,AM233:BK233),0,1),IF($C$4=Year2,-PMT(Lookups!$F$17,25,NPV(Lookups!$F$17,AN233:BL233),0,1),IF($C$4=Year3,-PMT(Lookups!$G$17,25,NPV(Lookups!$G$17,AO233:BM233),0,1),-PMT(Lookups!$G$17,27,NPV(Lookups!$G$17,AM233:BM233),0,1))))</f>
        <v>2487.1967078652106</v>
      </c>
      <c r="BS233" s="84" t="s">
        <v>240</v>
      </c>
      <c r="BT233" s="51" t="s">
        <v>17</v>
      </c>
    </row>
    <row r="234" spans="1:72" x14ac:dyDescent="0.25">
      <c r="B234" s="243" t="str">
        <f t="shared" si="246"/>
        <v>Small C&amp;I</v>
      </c>
      <c r="C234" s="243" t="str">
        <f t="shared" si="246"/>
        <v>Bills</v>
      </c>
      <c r="D234" s="114" t="s">
        <v>115</v>
      </c>
      <c r="E234" s="84"/>
      <c r="F234" s="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49"/>
      <c r="AI234" s="184"/>
      <c r="AJ234" s="49"/>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S234" s="84"/>
      <c r="BT234" s="51" t="s">
        <v>17</v>
      </c>
    </row>
    <row r="235" spans="1:72" x14ac:dyDescent="0.25">
      <c r="B235" s="243" t="str">
        <f t="shared" si="246"/>
        <v>Small C&amp;I</v>
      </c>
      <c r="C235" s="243" t="str">
        <f t="shared" si="246"/>
        <v>Bills</v>
      </c>
      <c r="D235" s="244" t="str">
        <f t="shared" si="246"/>
        <v>Change in Bills</v>
      </c>
      <c r="E235" s="84" t="s">
        <v>348</v>
      </c>
      <c r="F235" s="84" t="s">
        <v>32</v>
      </c>
      <c r="G235" s="103">
        <f ca="1">G230-G224</f>
        <v>0</v>
      </c>
      <c r="H235" s="103">
        <f t="shared" ref="H235:AG235" ca="1" si="249">H230-H224</f>
        <v>302.88479628909272</v>
      </c>
      <c r="I235" s="103">
        <f t="shared" ca="1" si="249"/>
        <v>11.219362938439644</v>
      </c>
      <c r="J235" s="103">
        <f t="shared" ca="1" si="249"/>
        <v>11.219362938439644</v>
      </c>
      <c r="K235" s="103">
        <f t="shared" ca="1" si="249"/>
        <v>11.219362938439644</v>
      </c>
      <c r="L235" s="103">
        <f t="shared" ca="1" si="249"/>
        <v>11.219362938439644</v>
      </c>
      <c r="M235" s="103">
        <f t="shared" ca="1" si="249"/>
        <v>11.219362938439644</v>
      </c>
      <c r="N235" s="103">
        <f t="shared" ca="1" si="249"/>
        <v>11.219362938439644</v>
      </c>
      <c r="O235" s="103">
        <f t="shared" ca="1" si="249"/>
        <v>11.219362938439644</v>
      </c>
      <c r="P235" s="103">
        <f t="shared" ca="1" si="249"/>
        <v>11.219362938439644</v>
      </c>
      <c r="Q235" s="103">
        <f t="shared" ca="1" si="249"/>
        <v>11.219362938439644</v>
      </c>
      <c r="R235" s="103">
        <f t="shared" ca="1" si="249"/>
        <v>11.219362938439644</v>
      </c>
      <c r="S235" s="103">
        <f t="shared" ca="1" si="249"/>
        <v>11.219362938439644</v>
      </c>
      <c r="T235" s="103">
        <f t="shared" ca="1" si="249"/>
        <v>11.219362938439644</v>
      </c>
      <c r="U235" s="103">
        <f t="shared" ca="1" si="249"/>
        <v>11.219362938439644</v>
      </c>
      <c r="V235" s="103">
        <f t="shared" ca="1" si="249"/>
        <v>11.219362938439644</v>
      </c>
      <c r="W235" s="103">
        <f t="shared" ca="1" si="249"/>
        <v>11.219362938439644</v>
      </c>
      <c r="X235" s="103">
        <f t="shared" ca="1" si="249"/>
        <v>0</v>
      </c>
      <c r="Y235" s="103">
        <f t="shared" ca="1" si="249"/>
        <v>0</v>
      </c>
      <c r="Z235" s="103">
        <f t="shared" ca="1" si="249"/>
        <v>0</v>
      </c>
      <c r="AA235" s="103">
        <f t="shared" ca="1" si="249"/>
        <v>0</v>
      </c>
      <c r="AB235" s="103">
        <f t="shared" ca="1" si="249"/>
        <v>0</v>
      </c>
      <c r="AC235" s="103">
        <f t="shared" ca="1" si="249"/>
        <v>0</v>
      </c>
      <c r="AD235" s="103">
        <f t="shared" ca="1" si="249"/>
        <v>0</v>
      </c>
      <c r="AE235" s="103">
        <f t="shared" ca="1" si="249"/>
        <v>0</v>
      </c>
      <c r="AF235" s="103">
        <f t="shared" ca="1" si="249"/>
        <v>0</v>
      </c>
      <c r="AG235" s="103">
        <f t="shared" ca="1" si="249"/>
        <v>0</v>
      </c>
      <c r="AH235" s="103"/>
      <c r="AI235" s="103">
        <f ca="1">NPV(Lookups!$E$17,G235:AG235)</f>
        <v>441.00359797185382</v>
      </c>
      <c r="AJ235" s="103">
        <f ca="1">IF($C$4=Year1,-PMT(Lookups!$E$17,25,NPV(Lookups!$E$17,G235:AE235),0,1),IF($C$4=Year2,-PMT(Lookups!$F$17,25,NPV(Lookups!$F$17,H235:AF235),0,1),IF($C$4=Year3,-PMT(Lookups!$G$17,25,NPV(Lookups!$G$17,I235:AG235),0,1),-PMT(Lookups!$G$17,27,NPV(Lookups!$G$17,G235:AG235),0,1))))</f>
        <v>21.065517160018313</v>
      </c>
      <c r="AM235" s="149">
        <f ca="1">AM230-AM224</f>
        <v>0</v>
      </c>
      <c r="AN235" s="149">
        <f t="shared" ref="AN235:BM235" ca="1" si="250">AN230-AN224</f>
        <v>362.85231542082192</v>
      </c>
      <c r="AO235" s="149">
        <f t="shared" ca="1" si="250"/>
        <v>12.853795400038962</v>
      </c>
      <c r="AP235" s="149">
        <f t="shared" ca="1" si="250"/>
        <v>12.853795400038962</v>
      </c>
      <c r="AQ235" s="149">
        <f t="shared" ca="1" si="250"/>
        <v>12.853795400038962</v>
      </c>
      <c r="AR235" s="149">
        <f t="shared" ca="1" si="250"/>
        <v>12.853795400038962</v>
      </c>
      <c r="AS235" s="149">
        <f t="shared" ca="1" si="250"/>
        <v>12.853795400038962</v>
      </c>
      <c r="AT235" s="149">
        <f t="shared" ca="1" si="250"/>
        <v>12.853795400038962</v>
      </c>
      <c r="AU235" s="149">
        <f t="shared" ca="1" si="250"/>
        <v>12.853795400038962</v>
      </c>
      <c r="AV235" s="149">
        <f t="shared" ca="1" si="250"/>
        <v>12.853795400038962</v>
      </c>
      <c r="AW235" s="149">
        <f t="shared" ca="1" si="250"/>
        <v>12.853795400038962</v>
      </c>
      <c r="AX235" s="149">
        <f t="shared" ca="1" si="250"/>
        <v>12.853795400038962</v>
      </c>
      <c r="AY235" s="149">
        <f t="shared" ca="1" si="250"/>
        <v>12.853795400038962</v>
      </c>
      <c r="AZ235" s="149">
        <f t="shared" ca="1" si="250"/>
        <v>12.853795400038962</v>
      </c>
      <c r="BA235" s="149">
        <f t="shared" ca="1" si="250"/>
        <v>12.853795400038962</v>
      </c>
      <c r="BB235" s="149">
        <f t="shared" ca="1" si="250"/>
        <v>12.853795400038962</v>
      </c>
      <c r="BC235" s="149">
        <f t="shared" ca="1" si="250"/>
        <v>12.853795400038962</v>
      </c>
      <c r="BD235" s="149">
        <f t="shared" ca="1" si="250"/>
        <v>0</v>
      </c>
      <c r="BE235" s="149">
        <f t="shared" ca="1" si="250"/>
        <v>0</v>
      </c>
      <c r="BF235" s="149">
        <f t="shared" ca="1" si="250"/>
        <v>0</v>
      </c>
      <c r="BG235" s="149">
        <f t="shared" ca="1" si="250"/>
        <v>0</v>
      </c>
      <c r="BH235" s="149">
        <f t="shared" ca="1" si="250"/>
        <v>0</v>
      </c>
      <c r="BI235" s="149">
        <f t="shared" ca="1" si="250"/>
        <v>0</v>
      </c>
      <c r="BJ235" s="149">
        <f t="shared" ca="1" si="250"/>
        <v>0</v>
      </c>
      <c r="BK235" s="149">
        <f t="shared" ca="1" si="250"/>
        <v>0</v>
      </c>
      <c r="BL235" s="149">
        <f t="shared" ca="1" si="250"/>
        <v>0</v>
      </c>
      <c r="BM235" s="149">
        <f t="shared" ca="1" si="250"/>
        <v>0</v>
      </c>
      <c r="BN235" s="149"/>
      <c r="BO235" s="726">
        <f ca="1">NPV(Lookups!$E$17,AM235:BM235)</f>
        <v>520.65336583212695</v>
      </c>
      <c r="BP235" s="149">
        <f ca="1">IF($C$4=Year1,-PMT(Lookups!$E$17,25,NPV(Lookups!$E$17,AM235:BK235),0,1),IF($C$4=Year2,-PMT(Lookups!$F$17,25,NPV(Lookups!$F$17,AN235:BL235),0,1),IF($C$4=Year3,-PMT(Lookups!$G$17,25,NPV(Lookups!$G$17,AO235:BM235),0,1),-PMT(Lookups!$G$17,27,NPV(Lookups!$G$17,AM235:BM235),0,1))))</f>
        <v>24.870165374609851</v>
      </c>
      <c r="BS235" s="84" t="s">
        <v>241</v>
      </c>
      <c r="BT235" s="51" t="s">
        <v>17</v>
      </c>
    </row>
    <row r="236" spans="1:72" x14ac:dyDescent="0.25">
      <c r="B236" s="243" t="str">
        <f t="shared" si="246"/>
        <v>Small C&amp;I</v>
      </c>
      <c r="C236" s="243" t="str">
        <f t="shared" si="246"/>
        <v>Bills</v>
      </c>
      <c r="D236" s="244" t="str">
        <f t="shared" si="246"/>
        <v>Change in Bills</v>
      </c>
      <c r="E236" s="84" t="s">
        <v>348</v>
      </c>
      <c r="F236" s="84" t="s">
        <v>16</v>
      </c>
      <c r="G236" s="223">
        <f ca="1">IFERROR(G230/G224-1,0)</f>
        <v>0</v>
      </c>
      <c r="H236" s="223">
        <f t="shared" ref="H236:AG236" ca="1" si="251">IFERROR(H230/H224-1,0)</f>
        <v>0.11377445948985443</v>
      </c>
      <c r="I236" s="223">
        <f t="shared" ca="1" si="251"/>
        <v>4.2143975854209703E-3</v>
      </c>
      <c r="J236" s="223">
        <f t="shared" ca="1" si="251"/>
        <v>4.2143975854209703E-3</v>
      </c>
      <c r="K236" s="223">
        <f t="shared" ca="1" si="251"/>
        <v>4.2143975854209703E-3</v>
      </c>
      <c r="L236" s="223">
        <f t="shared" ca="1" si="251"/>
        <v>4.2143975854209703E-3</v>
      </c>
      <c r="M236" s="223">
        <f t="shared" ca="1" si="251"/>
        <v>4.2143975854209703E-3</v>
      </c>
      <c r="N236" s="223">
        <f t="shared" ca="1" si="251"/>
        <v>4.2143975854209703E-3</v>
      </c>
      <c r="O236" s="223">
        <f t="shared" ca="1" si="251"/>
        <v>4.2143975854209703E-3</v>
      </c>
      <c r="P236" s="223">
        <f t="shared" ca="1" si="251"/>
        <v>4.2143975854209703E-3</v>
      </c>
      <c r="Q236" s="223">
        <f t="shared" ca="1" si="251"/>
        <v>4.2143975854209703E-3</v>
      </c>
      <c r="R236" s="223">
        <f t="shared" ca="1" si="251"/>
        <v>4.2143975854209703E-3</v>
      </c>
      <c r="S236" s="224">
        <f t="shared" ca="1" si="251"/>
        <v>4.2143975854209703E-3</v>
      </c>
      <c r="T236" s="224">
        <f t="shared" ca="1" si="251"/>
        <v>4.2143975854209703E-3</v>
      </c>
      <c r="U236" s="224">
        <f t="shared" ca="1" si="251"/>
        <v>4.2143975854209703E-3</v>
      </c>
      <c r="V236" s="224">
        <f t="shared" ca="1" si="251"/>
        <v>4.2143975854209703E-3</v>
      </c>
      <c r="W236" s="224">
        <f t="shared" ca="1" si="251"/>
        <v>4.2143975854209703E-3</v>
      </c>
      <c r="X236" s="224">
        <f t="shared" ca="1" si="251"/>
        <v>0</v>
      </c>
      <c r="Y236" s="224">
        <f t="shared" ca="1" si="251"/>
        <v>0</v>
      </c>
      <c r="Z236" s="224">
        <f t="shared" ca="1" si="251"/>
        <v>0</v>
      </c>
      <c r="AA236" s="224">
        <f t="shared" ca="1" si="251"/>
        <v>0</v>
      </c>
      <c r="AB236" s="224">
        <f t="shared" ca="1" si="251"/>
        <v>0</v>
      </c>
      <c r="AC236" s="224">
        <f t="shared" ca="1" si="251"/>
        <v>0</v>
      </c>
      <c r="AD236" s="224">
        <f t="shared" ca="1" si="251"/>
        <v>0</v>
      </c>
      <c r="AE236" s="224">
        <f t="shared" ca="1" si="251"/>
        <v>0</v>
      </c>
      <c r="AF236" s="224">
        <f t="shared" ca="1" si="251"/>
        <v>0</v>
      </c>
      <c r="AG236" s="224">
        <f t="shared" ca="1" si="251"/>
        <v>0</v>
      </c>
      <c r="AH236" s="224"/>
      <c r="AI236" s="224"/>
      <c r="AJ236" s="224">
        <f t="shared" ref="AJ236" ca="1" si="252">IFERROR(AJ230/AJ224-1,0)</f>
        <v>8.0248893983405623E-3</v>
      </c>
      <c r="AK236" s="212"/>
      <c r="AL236" s="212"/>
      <c r="AM236" s="504">
        <f ca="1">IFERROR(AM230/AM224-1,0)</f>
        <v>0</v>
      </c>
      <c r="AN236" s="504">
        <f t="shared" ref="AN236:BM236" ca="1" si="253">IFERROR(AN230/AN224-1,0)</f>
        <v>0.13630042368400264</v>
      </c>
      <c r="AO236" s="504">
        <f t="shared" ca="1" si="253"/>
        <v>4.8283493986829296E-3</v>
      </c>
      <c r="AP236" s="504">
        <f t="shared" ca="1" si="253"/>
        <v>4.8283493986829296E-3</v>
      </c>
      <c r="AQ236" s="504">
        <f t="shared" ca="1" si="253"/>
        <v>4.8283493986829296E-3</v>
      </c>
      <c r="AR236" s="504">
        <f t="shared" ca="1" si="253"/>
        <v>4.8283493986829296E-3</v>
      </c>
      <c r="AS236" s="504">
        <f t="shared" ca="1" si="253"/>
        <v>4.8283493986829296E-3</v>
      </c>
      <c r="AT236" s="504">
        <f t="shared" ca="1" si="253"/>
        <v>4.8283493986829296E-3</v>
      </c>
      <c r="AU236" s="504">
        <f t="shared" ca="1" si="253"/>
        <v>4.8283493986829296E-3</v>
      </c>
      <c r="AV236" s="504">
        <f t="shared" ca="1" si="253"/>
        <v>4.8283493986829296E-3</v>
      </c>
      <c r="AW236" s="504">
        <f t="shared" ca="1" si="253"/>
        <v>4.8283493986829296E-3</v>
      </c>
      <c r="AX236" s="504">
        <f t="shared" ca="1" si="253"/>
        <v>4.8283493986829296E-3</v>
      </c>
      <c r="AY236" s="504">
        <f t="shared" ca="1" si="253"/>
        <v>4.8283493986829296E-3</v>
      </c>
      <c r="AZ236" s="504">
        <f t="shared" ca="1" si="253"/>
        <v>4.8283493986829296E-3</v>
      </c>
      <c r="BA236" s="504">
        <f t="shared" ca="1" si="253"/>
        <v>4.8283493986829296E-3</v>
      </c>
      <c r="BB236" s="504">
        <f t="shared" ca="1" si="253"/>
        <v>4.8283493986829296E-3</v>
      </c>
      <c r="BC236" s="504">
        <f t="shared" ca="1" si="253"/>
        <v>4.8283493986829296E-3</v>
      </c>
      <c r="BD236" s="504">
        <f t="shared" ca="1" si="253"/>
        <v>0</v>
      </c>
      <c r="BE236" s="504">
        <f t="shared" ca="1" si="253"/>
        <v>0</v>
      </c>
      <c r="BF236" s="504">
        <f t="shared" ca="1" si="253"/>
        <v>0</v>
      </c>
      <c r="BG236" s="504">
        <f t="shared" ca="1" si="253"/>
        <v>0</v>
      </c>
      <c r="BH236" s="504">
        <f t="shared" ca="1" si="253"/>
        <v>0</v>
      </c>
      <c r="BI236" s="504">
        <f t="shared" ca="1" si="253"/>
        <v>0</v>
      </c>
      <c r="BJ236" s="504">
        <f t="shared" ca="1" si="253"/>
        <v>0</v>
      </c>
      <c r="BK236" s="504">
        <f t="shared" ca="1" si="253"/>
        <v>0</v>
      </c>
      <c r="BL236" s="504">
        <f t="shared" ca="1" si="253"/>
        <v>0</v>
      </c>
      <c r="BM236" s="504">
        <f t="shared" ca="1" si="253"/>
        <v>0</v>
      </c>
      <c r="BN236" s="504"/>
      <c r="BO236" s="504"/>
      <c r="BP236" s="504">
        <f t="shared" ref="BP236" ca="1" si="254">IFERROR(BP230/BP224-1,0)</f>
        <v>9.4742666383942353E-3</v>
      </c>
      <c r="BS236" s="84" t="s">
        <v>242</v>
      </c>
      <c r="BT236" s="51" t="s">
        <v>17</v>
      </c>
    </row>
    <row r="237" spans="1:72" x14ac:dyDescent="0.25">
      <c r="B237" s="243" t="str">
        <f t="shared" si="246"/>
        <v>Small C&amp;I</v>
      </c>
      <c r="C237" s="243" t="str">
        <f t="shared" si="246"/>
        <v>Bills</v>
      </c>
      <c r="D237" s="244" t="str">
        <f t="shared" si="246"/>
        <v>Change in Bills</v>
      </c>
      <c r="E237" s="84" t="s">
        <v>349</v>
      </c>
      <c r="F237" s="84" t="s">
        <v>32</v>
      </c>
      <c r="G237" s="103">
        <f ca="1">G231-G224</f>
        <v>0</v>
      </c>
      <c r="H237" s="103">
        <f t="shared" ref="H237:AG237" ca="1" si="255">H231-H224</f>
        <v>255.68579224975974</v>
      </c>
      <c r="I237" s="103">
        <f t="shared" ca="1" si="255"/>
        <v>-29.964775596348318</v>
      </c>
      <c r="J237" s="103">
        <f t="shared" ca="1" si="255"/>
        <v>-29.964775596348318</v>
      </c>
      <c r="K237" s="103">
        <f t="shared" ca="1" si="255"/>
        <v>-29.964775596348318</v>
      </c>
      <c r="L237" s="103">
        <f t="shared" ca="1" si="255"/>
        <v>-29.964775596348318</v>
      </c>
      <c r="M237" s="103">
        <f t="shared" ca="1" si="255"/>
        <v>-29.964775596348318</v>
      </c>
      <c r="N237" s="103">
        <f t="shared" ca="1" si="255"/>
        <v>-29.964775596348318</v>
      </c>
      <c r="O237" s="103">
        <f t="shared" ca="1" si="255"/>
        <v>-29.964775596348318</v>
      </c>
      <c r="P237" s="103">
        <f t="shared" ca="1" si="255"/>
        <v>-29.964775596348318</v>
      </c>
      <c r="Q237" s="103">
        <f t="shared" ca="1" si="255"/>
        <v>-29.964775596348318</v>
      </c>
      <c r="R237" s="103">
        <f t="shared" ca="1" si="255"/>
        <v>-29.964775596348318</v>
      </c>
      <c r="S237" s="103">
        <f t="shared" ca="1" si="255"/>
        <v>-29.964775596348318</v>
      </c>
      <c r="T237" s="103">
        <f t="shared" ca="1" si="255"/>
        <v>-29.964775596348318</v>
      </c>
      <c r="U237" s="103">
        <f t="shared" ca="1" si="255"/>
        <v>-29.964775596348318</v>
      </c>
      <c r="V237" s="103">
        <f t="shared" ca="1" si="255"/>
        <v>-29.964775596348318</v>
      </c>
      <c r="W237" s="103">
        <f t="shared" ca="1" si="255"/>
        <v>-29.964775596348318</v>
      </c>
      <c r="X237" s="103">
        <f t="shared" ca="1" si="255"/>
        <v>0</v>
      </c>
      <c r="Y237" s="103">
        <f t="shared" ca="1" si="255"/>
        <v>0</v>
      </c>
      <c r="Z237" s="103">
        <f t="shared" ca="1" si="255"/>
        <v>0</v>
      </c>
      <c r="AA237" s="103">
        <f t="shared" ca="1" si="255"/>
        <v>0</v>
      </c>
      <c r="AB237" s="103">
        <f t="shared" ca="1" si="255"/>
        <v>0</v>
      </c>
      <c r="AC237" s="103">
        <f t="shared" ca="1" si="255"/>
        <v>0</v>
      </c>
      <c r="AD237" s="103">
        <f t="shared" ca="1" si="255"/>
        <v>0</v>
      </c>
      <c r="AE237" s="103">
        <f t="shared" ca="1" si="255"/>
        <v>0</v>
      </c>
      <c r="AF237" s="103">
        <f t="shared" ca="1" si="255"/>
        <v>0</v>
      </c>
      <c r="AG237" s="103">
        <f t="shared" ca="1" si="255"/>
        <v>0</v>
      </c>
      <c r="AH237" s="103"/>
      <c r="AI237" s="103">
        <f ca="1">NPV(Lookups!$E$17,G237:AG237)</f>
        <v>-142.69237137592779</v>
      </c>
      <c r="AJ237" s="103">
        <f ca="1">IF($C$4=Year1,-PMT(Lookups!$E$17,25,NPV(Lookups!$E$17,G237:AE237),0,1),IF($C$4=Year2,-PMT(Lookups!$F$17,25,NPV(Lookups!$F$17,H237:AF237),0,1),IF($C$4=Year3,-PMT(Lookups!$G$17,25,NPV(Lookups!$G$17,I237:AG237),0,1),-PMT(Lookups!$G$17,27,NPV(Lookups!$G$17,G237:AG237),0,1))))</f>
        <v>-6.8160183083475836</v>
      </c>
      <c r="AM237" s="149">
        <f ca="1">AM231-AM224</f>
        <v>0</v>
      </c>
      <c r="AN237" s="149">
        <f t="shared" ref="AN237:BM237" ca="1" si="256">AN231-AN224</f>
        <v>307.49724891081996</v>
      </c>
      <c r="AO237" s="149">
        <f t="shared" ca="1" si="256"/>
        <v>-34.252312703730695</v>
      </c>
      <c r="AP237" s="149">
        <f t="shared" ca="1" si="256"/>
        <v>-34.252312703730695</v>
      </c>
      <c r="AQ237" s="149">
        <f t="shared" ca="1" si="256"/>
        <v>-34.252312703730695</v>
      </c>
      <c r="AR237" s="149">
        <f t="shared" ca="1" si="256"/>
        <v>-34.252312703730695</v>
      </c>
      <c r="AS237" s="149">
        <f t="shared" ca="1" si="256"/>
        <v>-34.252312703730695</v>
      </c>
      <c r="AT237" s="149">
        <f t="shared" ca="1" si="256"/>
        <v>-34.252312703730695</v>
      </c>
      <c r="AU237" s="149">
        <f t="shared" ca="1" si="256"/>
        <v>-34.252312703730695</v>
      </c>
      <c r="AV237" s="149">
        <f t="shared" ca="1" si="256"/>
        <v>-34.252312703730695</v>
      </c>
      <c r="AW237" s="149">
        <f t="shared" ca="1" si="256"/>
        <v>-34.252312703730695</v>
      </c>
      <c r="AX237" s="149">
        <f t="shared" ca="1" si="256"/>
        <v>-34.252312703730695</v>
      </c>
      <c r="AY237" s="149">
        <f t="shared" ca="1" si="256"/>
        <v>-34.252312703730695</v>
      </c>
      <c r="AZ237" s="149">
        <f t="shared" ca="1" si="256"/>
        <v>-34.252312703730695</v>
      </c>
      <c r="BA237" s="149">
        <f t="shared" ca="1" si="256"/>
        <v>-34.252312703730695</v>
      </c>
      <c r="BB237" s="149">
        <f t="shared" ca="1" si="256"/>
        <v>-34.252312703730695</v>
      </c>
      <c r="BC237" s="149">
        <f t="shared" ca="1" si="256"/>
        <v>-34.252312703730695</v>
      </c>
      <c r="BD237" s="149">
        <f t="shared" ca="1" si="256"/>
        <v>0</v>
      </c>
      <c r="BE237" s="149">
        <f t="shared" ca="1" si="256"/>
        <v>0</v>
      </c>
      <c r="BF237" s="149">
        <f t="shared" ca="1" si="256"/>
        <v>0</v>
      </c>
      <c r="BG237" s="149">
        <f t="shared" ca="1" si="256"/>
        <v>0</v>
      </c>
      <c r="BH237" s="149">
        <f t="shared" ca="1" si="256"/>
        <v>0</v>
      </c>
      <c r="BI237" s="149">
        <f t="shared" ca="1" si="256"/>
        <v>0</v>
      </c>
      <c r="BJ237" s="149">
        <f t="shared" ca="1" si="256"/>
        <v>0</v>
      </c>
      <c r="BK237" s="149">
        <f t="shared" ca="1" si="256"/>
        <v>0</v>
      </c>
      <c r="BL237" s="149">
        <f t="shared" ca="1" si="256"/>
        <v>0</v>
      </c>
      <c r="BM237" s="149">
        <f t="shared" ca="1" si="256"/>
        <v>0</v>
      </c>
      <c r="BN237" s="149"/>
      <c r="BO237" s="149">
        <f ca="1">NPV(Lookups!$E$17,AM237:BM237)</f>
        <v>-148.3049717093586</v>
      </c>
      <c r="BP237" s="149">
        <f ca="1">IF($C$4=Year1,-PMT(Lookups!$E$17,25,NPV(Lookups!$E$17,AM237:BK237),0,1),IF($C$4=Year2,-PMT(Lookups!$F$17,25,NPV(Lookups!$F$17,AN237:BL237),0,1),IF($C$4=Year3,-PMT(Lookups!$G$17,25,NPV(Lookups!$G$17,AO237:BM237),0,1),-PMT(Lookups!$G$17,27,NPV(Lookups!$G$17,AM237:BM237),0,1))))</f>
        <v>-7.0841166394722164</v>
      </c>
      <c r="BS237" s="84" t="s">
        <v>241</v>
      </c>
      <c r="BT237" s="51" t="s">
        <v>17</v>
      </c>
    </row>
    <row r="238" spans="1:72" x14ac:dyDescent="0.25">
      <c r="B238" s="243" t="str">
        <f t="shared" si="246"/>
        <v>Small C&amp;I</v>
      </c>
      <c r="C238" s="243" t="str">
        <f t="shared" si="246"/>
        <v>Bills</v>
      </c>
      <c r="D238" s="244" t="str">
        <f t="shared" si="246"/>
        <v>Change in Bills</v>
      </c>
      <c r="E238" s="84" t="s">
        <v>349</v>
      </c>
      <c r="F238" s="84" t="s">
        <v>16</v>
      </c>
      <c r="G238" s="223">
        <f ca="1">IFERROR(G231/G224-1,0)</f>
        <v>0</v>
      </c>
      <c r="H238" s="223">
        <f t="shared" ref="H238:AG238" ca="1" si="257">IFERROR(H231/H224-1,0)</f>
        <v>9.604481033338419E-2</v>
      </c>
      <c r="I238" s="223">
        <f t="shared" ca="1" si="257"/>
        <v>-1.1255851033061814E-2</v>
      </c>
      <c r="J238" s="223">
        <f t="shared" ca="1" si="257"/>
        <v>-1.1255851033061814E-2</v>
      </c>
      <c r="K238" s="223">
        <f t="shared" ca="1" si="257"/>
        <v>-1.1255851033061814E-2</v>
      </c>
      <c r="L238" s="223">
        <f t="shared" ca="1" si="257"/>
        <v>-1.1255851033061814E-2</v>
      </c>
      <c r="M238" s="223">
        <f t="shared" ca="1" si="257"/>
        <v>-1.1255851033061814E-2</v>
      </c>
      <c r="N238" s="223">
        <f t="shared" ca="1" si="257"/>
        <v>-1.1255851033061814E-2</v>
      </c>
      <c r="O238" s="223">
        <f t="shared" ca="1" si="257"/>
        <v>-1.1255851033061814E-2</v>
      </c>
      <c r="P238" s="223">
        <f t="shared" ca="1" si="257"/>
        <v>-1.1255851033061814E-2</v>
      </c>
      <c r="Q238" s="223">
        <f t="shared" ca="1" si="257"/>
        <v>-1.1255851033061814E-2</v>
      </c>
      <c r="R238" s="223">
        <f t="shared" ca="1" si="257"/>
        <v>-1.1255851033061814E-2</v>
      </c>
      <c r="S238" s="224">
        <f t="shared" ca="1" si="257"/>
        <v>-1.1255851033061814E-2</v>
      </c>
      <c r="T238" s="224">
        <f t="shared" ca="1" si="257"/>
        <v>-1.1255851033061814E-2</v>
      </c>
      <c r="U238" s="224">
        <f t="shared" ca="1" si="257"/>
        <v>-1.1255851033061814E-2</v>
      </c>
      <c r="V238" s="224">
        <f t="shared" ca="1" si="257"/>
        <v>-1.1255851033061814E-2</v>
      </c>
      <c r="W238" s="224">
        <f t="shared" ca="1" si="257"/>
        <v>-1.1255851033061814E-2</v>
      </c>
      <c r="X238" s="224">
        <f t="shared" ca="1" si="257"/>
        <v>0</v>
      </c>
      <c r="Y238" s="224">
        <f t="shared" ca="1" si="257"/>
        <v>0</v>
      </c>
      <c r="Z238" s="224">
        <f t="shared" ca="1" si="257"/>
        <v>0</v>
      </c>
      <c r="AA238" s="224">
        <f t="shared" ca="1" si="257"/>
        <v>0</v>
      </c>
      <c r="AB238" s="224">
        <f t="shared" ca="1" si="257"/>
        <v>0</v>
      </c>
      <c r="AC238" s="224">
        <f t="shared" ca="1" si="257"/>
        <v>0</v>
      </c>
      <c r="AD238" s="224">
        <f t="shared" ca="1" si="257"/>
        <v>0</v>
      </c>
      <c r="AE238" s="224">
        <f t="shared" ca="1" si="257"/>
        <v>0</v>
      </c>
      <c r="AF238" s="224">
        <f t="shared" ca="1" si="257"/>
        <v>0</v>
      </c>
      <c r="AG238" s="224">
        <f t="shared" ca="1" si="257"/>
        <v>0</v>
      </c>
      <c r="AH238" s="224"/>
      <c r="AI238" s="224"/>
      <c r="AJ238" s="224">
        <f t="shared" ref="AJ238" ca="1" si="258">IFERROR(AJ231/AJ224-1,0)</f>
        <v>-2.5965559091695178E-3</v>
      </c>
      <c r="AK238" s="212"/>
      <c r="AL238" s="212"/>
      <c r="AM238" s="504">
        <f ca="1">IFERROR(AM231/AM224-1,0)</f>
        <v>0</v>
      </c>
      <c r="AN238" s="504">
        <f t="shared" ref="AN238:BM238" ca="1" si="259">IFERROR(AN231/AN224-1,0)</f>
        <v>0.1155070631411077</v>
      </c>
      <c r="AO238" s="504">
        <f t="shared" ca="1" si="259"/>
        <v>-1.286640469211553E-2</v>
      </c>
      <c r="AP238" s="504">
        <f t="shared" ca="1" si="259"/>
        <v>-1.286640469211553E-2</v>
      </c>
      <c r="AQ238" s="504">
        <f t="shared" ca="1" si="259"/>
        <v>-1.286640469211553E-2</v>
      </c>
      <c r="AR238" s="504">
        <f t="shared" ca="1" si="259"/>
        <v>-1.286640469211553E-2</v>
      </c>
      <c r="AS238" s="504">
        <f t="shared" ca="1" si="259"/>
        <v>-1.286640469211553E-2</v>
      </c>
      <c r="AT238" s="504">
        <f t="shared" ca="1" si="259"/>
        <v>-1.286640469211553E-2</v>
      </c>
      <c r="AU238" s="504">
        <f t="shared" ca="1" si="259"/>
        <v>-1.286640469211553E-2</v>
      </c>
      <c r="AV238" s="504">
        <f t="shared" ca="1" si="259"/>
        <v>-1.286640469211553E-2</v>
      </c>
      <c r="AW238" s="504">
        <f t="shared" ca="1" si="259"/>
        <v>-1.286640469211553E-2</v>
      </c>
      <c r="AX238" s="504">
        <f t="shared" ca="1" si="259"/>
        <v>-1.286640469211553E-2</v>
      </c>
      <c r="AY238" s="504">
        <f t="shared" ca="1" si="259"/>
        <v>-1.286640469211553E-2</v>
      </c>
      <c r="AZ238" s="504">
        <f t="shared" ca="1" si="259"/>
        <v>-1.286640469211553E-2</v>
      </c>
      <c r="BA238" s="504">
        <f t="shared" ca="1" si="259"/>
        <v>-1.286640469211553E-2</v>
      </c>
      <c r="BB238" s="504">
        <f t="shared" ca="1" si="259"/>
        <v>-1.286640469211553E-2</v>
      </c>
      <c r="BC238" s="504">
        <f t="shared" ca="1" si="259"/>
        <v>-1.286640469211553E-2</v>
      </c>
      <c r="BD238" s="504">
        <f t="shared" ca="1" si="259"/>
        <v>0</v>
      </c>
      <c r="BE238" s="504">
        <f t="shared" ca="1" si="259"/>
        <v>0</v>
      </c>
      <c r="BF238" s="504">
        <f t="shared" ca="1" si="259"/>
        <v>0</v>
      </c>
      <c r="BG238" s="504">
        <f t="shared" ca="1" si="259"/>
        <v>0</v>
      </c>
      <c r="BH238" s="504">
        <f t="shared" ca="1" si="259"/>
        <v>0</v>
      </c>
      <c r="BI238" s="504">
        <f t="shared" ca="1" si="259"/>
        <v>0</v>
      </c>
      <c r="BJ238" s="504">
        <f t="shared" ca="1" si="259"/>
        <v>0</v>
      </c>
      <c r="BK238" s="504">
        <f t="shared" ca="1" si="259"/>
        <v>0</v>
      </c>
      <c r="BL238" s="504">
        <f t="shared" ca="1" si="259"/>
        <v>0</v>
      </c>
      <c r="BM238" s="504">
        <f t="shared" ca="1" si="259"/>
        <v>0</v>
      </c>
      <c r="BN238" s="504"/>
      <c r="BO238" s="504"/>
      <c r="BP238" s="504">
        <f t="shared" ref="BP238" ca="1" si="260">IFERROR(BP231/BP224-1,0)</f>
        <v>-2.698687721971238E-3</v>
      </c>
      <c r="BS238" s="84" t="s">
        <v>242</v>
      </c>
      <c r="BT238" s="51" t="s">
        <v>17</v>
      </c>
    </row>
    <row r="239" spans="1:72" x14ac:dyDescent="0.25">
      <c r="B239" s="243" t="str">
        <f t="shared" si="246"/>
        <v>Small C&amp;I</v>
      </c>
      <c r="C239" s="243" t="str">
        <f t="shared" si="246"/>
        <v>Bills</v>
      </c>
      <c r="D239" s="244" t="str">
        <f t="shared" si="246"/>
        <v>Change in Bills</v>
      </c>
      <c r="E239" s="84" t="str">
        <f>'EE Inputs'!$N$15&amp;" Participant Annual Bill"</f>
        <v>Low Savings Participant Annual Bill</v>
      </c>
      <c r="F239" s="84" t="s">
        <v>32</v>
      </c>
      <c r="G239" s="103">
        <f ca="1">G232-G224</f>
        <v>0</v>
      </c>
      <c r="H239" s="103">
        <f t="shared" ref="H239:AG239" ca="1" si="261">H232-H224</f>
        <v>188.44900419657051</v>
      </c>
      <c r="I239" s="103">
        <f t="shared" ca="1" si="261"/>
        <v>-88.633157486549408</v>
      </c>
      <c r="J239" s="103">
        <f t="shared" ca="1" si="261"/>
        <v>-88.633157486549408</v>
      </c>
      <c r="K239" s="103">
        <f t="shared" ca="1" si="261"/>
        <v>-88.633157486549408</v>
      </c>
      <c r="L239" s="103">
        <f t="shared" ca="1" si="261"/>
        <v>-88.633157486549408</v>
      </c>
      <c r="M239" s="103">
        <f t="shared" ca="1" si="261"/>
        <v>-88.633157486549408</v>
      </c>
      <c r="N239" s="103">
        <f t="shared" ca="1" si="261"/>
        <v>-88.633157486549408</v>
      </c>
      <c r="O239" s="103">
        <f t="shared" ca="1" si="261"/>
        <v>-88.633157486549408</v>
      </c>
      <c r="P239" s="103">
        <f t="shared" ca="1" si="261"/>
        <v>-88.633157486549408</v>
      </c>
      <c r="Q239" s="103">
        <f t="shared" ca="1" si="261"/>
        <v>-88.633157486549408</v>
      </c>
      <c r="R239" s="103">
        <f t="shared" ca="1" si="261"/>
        <v>-88.633157486549408</v>
      </c>
      <c r="S239" s="103">
        <f t="shared" ca="1" si="261"/>
        <v>-88.633157486549408</v>
      </c>
      <c r="T239" s="103">
        <f t="shared" ca="1" si="261"/>
        <v>-88.633157486549408</v>
      </c>
      <c r="U239" s="103">
        <f t="shared" ca="1" si="261"/>
        <v>-88.633157486549408</v>
      </c>
      <c r="V239" s="103">
        <f t="shared" ca="1" si="261"/>
        <v>-88.633157486549408</v>
      </c>
      <c r="W239" s="103">
        <f t="shared" ca="1" si="261"/>
        <v>-88.633157486549408</v>
      </c>
      <c r="X239" s="103">
        <f t="shared" ca="1" si="261"/>
        <v>0</v>
      </c>
      <c r="Y239" s="103">
        <f t="shared" ca="1" si="261"/>
        <v>0</v>
      </c>
      <c r="Z239" s="103">
        <f t="shared" ca="1" si="261"/>
        <v>0</v>
      </c>
      <c r="AA239" s="103">
        <f t="shared" ca="1" si="261"/>
        <v>0</v>
      </c>
      <c r="AB239" s="103">
        <f t="shared" ca="1" si="261"/>
        <v>0</v>
      </c>
      <c r="AC239" s="103">
        <f t="shared" ca="1" si="261"/>
        <v>0</v>
      </c>
      <c r="AD239" s="103">
        <f t="shared" ca="1" si="261"/>
        <v>0</v>
      </c>
      <c r="AE239" s="103">
        <f t="shared" ca="1" si="261"/>
        <v>0</v>
      </c>
      <c r="AF239" s="103">
        <f t="shared" ca="1" si="261"/>
        <v>0</v>
      </c>
      <c r="AG239" s="103">
        <f t="shared" ca="1" si="261"/>
        <v>0</v>
      </c>
      <c r="AH239" s="103"/>
      <c r="AI239" s="103">
        <f ca="1">NPV(Lookups!$E$17,G239:AG239)</f>
        <v>-974.18962385677423</v>
      </c>
      <c r="AJ239" s="103">
        <f ca="1">IF($C$4=Year1,-PMT(Lookups!$E$17,25,NPV(Lookups!$E$17,G239:AE239),0,1),IF($C$4=Year2,-PMT(Lookups!$F$17,25,NPV(Lookups!$F$17,H239:AF239),0,1),IF($C$4=Year3,-PMT(Lookups!$G$17,25,NPV(Lookups!$G$17,I239:AG239),0,1),-PMT(Lookups!$G$17,27,NPV(Lookups!$G$17,G239:AG239),0,1))))</f>
        <v>-46.534332900786055</v>
      </c>
      <c r="AM239" s="149">
        <f ca="1">AM232-AM224</f>
        <v>0</v>
      </c>
      <c r="AN239" s="149">
        <f t="shared" ref="AN239:BM239" ca="1" si="262">AN232-AN224</f>
        <v>221.9313137618924</v>
      </c>
      <c r="AO239" s="149">
        <f t="shared" ca="1" si="262"/>
        <v>-107.06729505764406</v>
      </c>
      <c r="AP239" s="149">
        <f t="shared" ca="1" si="262"/>
        <v>-107.06729505764406</v>
      </c>
      <c r="AQ239" s="149">
        <f t="shared" ca="1" si="262"/>
        <v>-107.06729505764406</v>
      </c>
      <c r="AR239" s="149">
        <f t="shared" ca="1" si="262"/>
        <v>-107.06729505764406</v>
      </c>
      <c r="AS239" s="149">
        <f t="shared" ca="1" si="262"/>
        <v>-107.06729505764406</v>
      </c>
      <c r="AT239" s="149">
        <f t="shared" ca="1" si="262"/>
        <v>-107.06729505764406</v>
      </c>
      <c r="AU239" s="149">
        <f t="shared" ca="1" si="262"/>
        <v>-107.06729505764406</v>
      </c>
      <c r="AV239" s="149">
        <f t="shared" ca="1" si="262"/>
        <v>-107.06729505764406</v>
      </c>
      <c r="AW239" s="149">
        <f t="shared" ca="1" si="262"/>
        <v>-107.06729505764406</v>
      </c>
      <c r="AX239" s="149">
        <f t="shared" ca="1" si="262"/>
        <v>-107.06729505764406</v>
      </c>
      <c r="AY239" s="149">
        <f t="shared" ca="1" si="262"/>
        <v>-107.06729505764406</v>
      </c>
      <c r="AZ239" s="149">
        <f t="shared" ca="1" si="262"/>
        <v>-107.06729505764406</v>
      </c>
      <c r="BA239" s="149">
        <f t="shared" ca="1" si="262"/>
        <v>-107.06729505764406</v>
      </c>
      <c r="BB239" s="149">
        <f t="shared" ca="1" si="262"/>
        <v>-107.06729505764406</v>
      </c>
      <c r="BC239" s="149">
        <f t="shared" ca="1" si="262"/>
        <v>-107.06729505764406</v>
      </c>
      <c r="BD239" s="149">
        <f t="shared" ca="1" si="262"/>
        <v>0</v>
      </c>
      <c r="BE239" s="149">
        <f t="shared" ca="1" si="262"/>
        <v>0</v>
      </c>
      <c r="BF239" s="149">
        <f t="shared" ca="1" si="262"/>
        <v>0</v>
      </c>
      <c r="BG239" s="149">
        <f t="shared" ca="1" si="262"/>
        <v>0</v>
      </c>
      <c r="BH239" s="149">
        <f t="shared" ca="1" si="262"/>
        <v>0</v>
      </c>
      <c r="BI239" s="149">
        <f t="shared" ca="1" si="262"/>
        <v>0</v>
      </c>
      <c r="BJ239" s="149">
        <f t="shared" ca="1" si="262"/>
        <v>0</v>
      </c>
      <c r="BK239" s="149">
        <f t="shared" ca="1" si="262"/>
        <v>0</v>
      </c>
      <c r="BL239" s="149">
        <f t="shared" ca="1" si="262"/>
        <v>0</v>
      </c>
      <c r="BM239" s="149">
        <f t="shared" ca="1" si="262"/>
        <v>0</v>
      </c>
      <c r="BN239" s="149"/>
      <c r="BO239" s="149">
        <f ca="1">NPV(Lookups!$E$17,AM239:BM239)</f>
        <v>-1182.3574864338452</v>
      </c>
      <c r="BP239" s="149">
        <f ca="1">IF($C$4=Year1,-PMT(Lookups!$E$17,25,NPV(Lookups!$E$17,AM239:BK239),0,1),IF($C$4=Year2,-PMT(Lookups!$F$17,25,NPV(Lookups!$F$17,AN239:BL239),0,1),IF($C$4=Year3,-PMT(Lookups!$G$17,25,NPV(Lookups!$G$17,AO239:BM239),0,1),-PMT(Lookups!$G$17,27,NPV(Lookups!$G$17,AM239:BM239),0,1))))</f>
        <v>-56.477933591230972</v>
      </c>
      <c r="BS239" s="84" t="s">
        <v>241</v>
      </c>
      <c r="BT239" s="51" t="s">
        <v>17</v>
      </c>
    </row>
    <row r="240" spans="1:72" x14ac:dyDescent="0.25">
      <c r="B240" s="243" t="str">
        <f t="shared" si="246"/>
        <v>Small C&amp;I</v>
      </c>
      <c r="C240" s="243" t="str">
        <f t="shared" si="246"/>
        <v>Bills</v>
      </c>
      <c r="D240" s="244" t="str">
        <f t="shared" si="246"/>
        <v>Change in Bills</v>
      </c>
      <c r="E240" s="84" t="str">
        <f>'EE Inputs'!$N$15&amp;" Participant Annual Bill"</f>
        <v>Low Savings Participant Annual Bill</v>
      </c>
      <c r="F240" s="84" t="s">
        <v>16</v>
      </c>
      <c r="G240" s="223">
        <f ca="1">IFERROR(G232/G224-1,0)</f>
        <v>0</v>
      </c>
      <c r="H240" s="223">
        <f t="shared" ref="H240:AG240" ca="1" si="263">IFERROR(H232/H224-1,0)</f>
        <v>7.0788246411027211E-2</v>
      </c>
      <c r="I240" s="223">
        <f t="shared" ca="1" si="263"/>
        <v>-3.3293812398184186E-2</v>
      </c>
      <c r="J240" s="223">
        <f t="shared" ca="1" si="263"/>
        <v>-3.3293812398184186E-2</v>
      </c>
      <c r="K240" s="223">
        <f t="shared" ca="1" si="263"/>
        <v>-3.3293812398184186E-2</v>
      </c>
      <c r="L240" s="223">
        <f t="shared" ca="1" si="263"/>
        <v>-3.3293812398184186E-2</v>
      </c>
      <c r="M240" s="223">
        <f t="shared" ca="1" si="263"/>
        <v>-3.3293812398184186E-2</v>
      </c>
      <c r="N240" s="223">
        <f t="shared" ca="1" si="263"/>
        <v>-3.3293812398184186E-2</v>
      </c>
      <c r="O240" s="223">
        <f t="shared" ca="1" si="263"/>
        <v>-3.3293812398184186E-2</v>
      </c>
      <c r="P240" s="223">
        <f t="shared" ca="1" si="263"/>
        <v>-3.3293812398184186E-2</v>
      </c>
      <c r="Q240" s="223">
        <f t="shared" ca="1" si="263"/>
        <v>-3.3293812398184186E-2</v>
      </c>
      <c r="R240" s="223">
        <f t="shared" ca="1" si="263"/>
        <v>-3.3293812398184186E-2</v>
      </c>
      <c r="S240" s="224">
        <f t="shared" ca="1" si="263"/>
        <v>-3.3293812398184186E-2</v>
      </c>
      <c r="T240" s="224">
        <f t="shared" ca="1" si="263"/>
        <v>-3.3293812398184186E-2</v>
      </c>
      <c r="U240" s="224">
        <f t="shared" ca="1" si="263"/>
        <v>-3.3293812398184186E-2</v>
      </c>
      <c r="V240" s="224">
        <f t="shared" ca="1" si="263"/>
        <v>-3.3293812398184186E-2</v>
      </c>
      <c r="W240" s="224">
        <f t="shared" ca="1" si="263"/>
        <v>-3.3293812398184186E-2</v>
      </c>
      <c r="X240" s="224">
        <f t="shared" ca="1" si="263"/>
        <v>0</v>
      </c>
      <c r="Y240" s="224">
        <f t="shared" ca="1" si="263"/>
        <v>0</v>
      </c>
      <c r="Z240" s="224">
        <f t="shared" ca="1" si="263"/>
        <v>0</v>
      </c>
      <c r="AA240" s="224">
        <f t="shared" ca="1" si="263"/>
        <v>0</v>
      </c>
      <c r="AB240" s="224">
        <f t="shared" ca="1" si="263"/>
        <v>0</v>
      </c>
      <c r="AC240" s="224">
        <f t="shared" ca="1" si="263"/>
        <v>0</v>
      </c>
      <c r="AD240" s="224">
        <f t="shared" ca="1" si="263"/>
        <v>0</v>
      </c>
      <c r="AE240" s="224">
        <f t="shared" ca="1" si="263"/>
        <v>0</v>
      </c>
      <c r="AF240" s="224">
        <f t="shared" ca="1" si="263"/>
        <v>0</v>
      </c>
      <c r="AG240" s="224">
        <f t="shared" ca="1" si="263"/>
        <v>0</v>
      </c>
      <c r="AH240" s="224"/>
      <c r="AI240" s="224"/>
      <c r="AJ240" s="224">
        <f t="shared" ref="AJ240" ca="1" si="264">IFERROR(AJ232/AJ224-1,0)</f>
        <v>-1.7727211343434135E-2</v>
      </c>
      <c r="AK240" s="212"/>
      <c r="AL240" s="212"/>
      <c r="AM240" s="504">
        <f ca="1">IFERROR(AM232/AM224-1,0)</f>
        <v>0</v>
      </c>
      <c r="AN240" s="504">
        <f t="shared" ref="AN240:BM240" ca="1" si="265">IFERROR(AN232/AN224-1,0)</f>
        <v>8.3365410137761664E-2</v>
      </c>
      <c r="AO240" s="504">
        <f t="shared" ca="1" si="265"/>
        <v>-4.0218339690439198E-2</v>
      </c>
      <c r="AP240" s="504">
        <f t="shared" ca="1" si="265"/>
        <v>-4.0218339690439198E-2</v>
      </c>
      <c r="AQ240" s="504">
        <f t="shared" ca="1" si="265"/>
        <v>-4.0218339690439198E-2</v>
      </c>
      <c r="AR240" s="504">
        <f t="shared" ca="1" si="265"/>
        <v>-4.0218339690439198E-2</v>
      </c>
      <c r="AS240" s="504">
        <f t="shared" ca="1" si="265"/>
        <v>-4.0218339690439198E-2</v>
      </c>
      <c r="AT240" s="504">
        <f t="shared" ca="1" si="265"/>
        <v>-4.0218339690439198E-2</v>
      </c>
      <c r="AU240" s="504">
        <f t="shared" ca="1" si="265"/>
        <v>-4.0218339690439198E-2</v>
      </c>
      <c r="AV240" s="504">
        <f t="shared" ca="1" si="265"/>
        <v>-4.0218339690439198E-2</v>
      </c>
      <c r="AW240" s="504">
        <f t="shared" ca="1" si="265"/>
        <v>-4.0218339690439198E-2</v>
      </c>
      <c r="AX240" s="504">
        <f t="shared" ca="1" si="265"/>
        <v>-4.0218339690439198E-2</v>
      </c>
      <c r="AY240" s="504">
        <f t="shared" ca="1" si="265"/>
        <v>-4.0218339690439198E-2</v>
      </c>
      <c r="AZ240" s="504">
        <f t="shared" ca="1" si="265"/>
        <v>-4.0218339690439198E-2</v>
      </c>
      <c r="BA240" s="504">
        <f t="shared" ca="1" si="265"/>
        <v>-4.0218339690439198E-2</v>
      </c>
      <c r="BB240" s="504">
        <f t="shared" ca="1" si="265"/>
        <v>-4.0218339690439198E-2</v>
      </c>
      <c r="BC240" s="504">
        <f t="shared" ca="1" si="265"/>
        <v>-4.0218339690439198E-2</v>
      </c>
      <c r="BD240" s="504">
        <f t="shared" ca="1" si="265"/>
        <v>0</v>
      </c>
      <c r="BE240" s="504">
        <f t="shared" ca="1" si="265"/>
        <v>0</v>
      </c>
      <c r="BF240" s="504">
        <f t="shared" ca="1" si="265"/>
        <v>0</v>
      </c>
      <c r="BG240" s="504">
        <f t="shared" ca="1" si="265"/>
        <v>0</v>
      </c>
      <c r="BH240" s="504">
        <f t="shared" ca="1" si="265"/>
        <v>0</v>
      </c>
      <c r="BI240" s="504">
        <f t="shared" ca="1" si="265"/>
        <v>0</v>
      </c>
      <c r="BJ240" s="504">
        <f t="shared" ca="1" si="265"/>
        <v>0</v>
      </c>
      <c r="BK240" s="504">
        <f t="shared" ca="1" si="265"/>
        <v>0</v>
      </c>
      <c r="BL240" s="504">
        <f t="shared" ca="1" si="265"/>
        <v>0</v>
      </c>
      <c r="BM240" s="504">
        <f t="shared" ca="1" si="265"/>
        <v>0</v>
      </c>
      <c r="BN240" s="504"/>
      <c r="BO240" s="504"/>
      <c r="BP240" s="504">
        <f t="shared" ref="BP240" ca="1" si="266">IFERROR(BP232/BP224-1,0)</f>
        <v>-2.1515216886138555E-2</v>
      </c>
      <c r="BS240" s="84" t="s">
        <v>242</v>
      </c>
      <c r="BT240" s="51" t="s">
        <v>17</v>
      </c>
    </row>
    <row r="241" spans="1:72" x14ac:dyDescent="0.25">
      <c r="B241" s="243" t="str">
        <f t="shared" si="246"/>
        <v>Small C&amp;I</v>
      </c>
      <c r="C241" s="243" t="str">
        <f t="shared" si="246"/>
        <v>Bills</v>
      </c>
      <c r="D241" s="244" t="str">
        <f t="shared" si="246"/>
        <v>Change in Bills</v>
      </c>
      <c r="E241" s="84" t="str">
        <f>'EE Inputs'!$N$16&amp;" Participant Annual Bill"</f>
        <v>High Savings Participant Annual Bill</v>
      </c>
      <c r="F241" s="84" t="s">
        <v>32</v>
      </c>
      <c r="G241" s="103">
        <f ca="1">G233-G224</f>
        <v>0</v>
      </c>
      <c r="H241" s="103">
        <f t="shared" ref="H241:AG241" ca="1" si="267">H233-H224</f>
        <v>74.013212104048307</v>
      </c>
      <c r="I241" s="103">
        <f t="shared" ca="1" si="267"/>
        <v>-188.48567791153891</v>
      </c>
      <c r="J241" s="103">
        <f t="shared" ca="1" si="267"/>
        <v>-188.48567791153891</v>
      </c>
      <c r="K241" s="103">
        <f t="shared" ca="1" si="267"/>
        <v>-188.48567791153891</v>
      </c>
      <c r="L241" s="103">
        <f t="shared" ca="1" si="267"/>
        <v>-188.48567791153891</v>
      </c>
      <c r="M241" s="103">
        <f t="shared" ca="1" si="267"/>
        <v>-188.48567791153891</v>
      </c>
      <c r="N241" s="103">
        <f t="shared" ca="1" si="267"/>
        <v>-188.48567791153891</v>
      </c>
      <c r="O241" s="103">
        <f t="shared" ca="1" si="267"/>
        <v>-188.48567791153891</v>
      </c>
      <c r="P241" s="103">
        <f t="shared" ca="1" si="267"/>
        <v>-188.48567791153891</v>
      </c>
      <c r="Q241" s="103">
        <f t="shared" ca="1" si="267"/>
        <v>-188.48567791153891</v>
      </c>
      <c r="R241" s="103">
        <f t="shared" ca="1" si="267"/>
        <v>-188.48567791153891</v>
      </c>
      <c r="S241" s="103">
        <f t="shared" ca="1" si="267"/>
        <v>-188.48567791153891</v>
      </c>
      <c r="T241" s="103">
        <f t="shared" ca="1" si="267"/>
        <v>-188.48567791153891</v>
      </c>
      <c r="U241" s="103">
        <f t="shared" ca="1" si="267"/>
        <v>-188.48567791153891</v>
      </c>
      <c r="V241" s="103">
        <f t="shared" ca="1" si="267"/>
        <v>-188.48567791153891</v>
      </c>
      <c r="W241" s="103">
        <f t="shared" ca="1" si="267"/>
        <v>-188.48567791153891</v>
      </c>
      <c r="X241" s="103">
        <f t="shared" ca="1" si="267"/>
        <v>0</v>
      </c>
      <c r="Y241" s="103">
        <f t="shared" ca="1" si="267"/>
        <v>0</v>
      </c>
      <c r="Z241" s="103">
        <f t="shared" ca="1" si="267"/>
        <v>0</v>
      </c>
      <c r="AA241" s="103">
        <f t="shared" ca="1" si="267"/>
        <v>0</v>
      </c>
      <c r="AB241" s="103">
        <f t="shared" ca="1" si="267"/>
        <v>0</v>
      </c>
      <c r="AC241" s="103">
        <f t="shared" ca="1" si="267"/>
        <v>0</v>
      </c>
      <c r="AD241" s="103">
        <f t="shared" ca="1" si="267"/>
        <v>0</v>
      </c>
      <c r="AE241" s="103">
        <f t="shared" ca="1" si="267"/>
        <v>0</v>
      </c>
      <c r="AF241" s="103">
        <f t="shared" ca="1" si="267"/>
        <v>0</v>
      </c>
      <c r="AG241" s="103">
        <f t="shared" ca="1" si="267"/>
        <v>0</v>
      </c>
      <c r="AH241" s="103"/>
      <c r="AI241" s="103">
        <f ca="1">NPV(Lookups!$E$17,G241:AG241)</f>
        <v>-2389.382845685408</v>
      </c>
      <c r="AJ241" s="103">
        <f ca="1">IF($C$4=Year1,-PMT(Lookups!$E$17,25,NPV(Lookups!$E$17,G241:AE241),0,1),IF($C$4=Year2,-PMT(Lookups!$F$17,25,NPV(Lookups!$F$17,H241:AF241),0,1),IF($C$4=Year3,-PMT(Lookups!$G$17,25,NPV(Lookups!$G$17,I241:AG241),0,1),-PMT(Lookups!$G$17,27,NPV(Lookups!$G$17,G241:AG241),0,1))))</f>
        <v>-114.13418296159071</v>
      </c>
      <c r="AM241" s="149">
        <f ca="1">AM233-AM224</f>
        <v>0</v>
      </c>
      <c r="AN241" s="149">
        <f t="shared" ref="AN241:BM241" ca="1" si="268">AN233-AN224</f>
        <v>81.010312102961962</v>
      </c>
      <c r="AO241" s="149">
        <f t="shared" ca="1" si="268"/>
        <v>-226.98838551532708</v>
      </c>
      <c r="AP241" s="149">
        <f t="shared" ca="1" si="268"/>
        <v>-226.98838551532708</v>
      </c>
      <c r="AQ241" s="149">
        <f t="shared" ca="1" si="268"/>
        <v>-226.98838551532708</v>
      </c>
      <c r="AR241" s="149">
        <f t="shared" ca="1" si="268"/>
        <v>-226.98838551532708</v>
      </c>
      <c r="AS241" s="149">
        <f t="shared" ca="1" si="268"/>
        <v>-226.98838551532708</v>
      </c>
      <c r="AT241" s="149">
        <f t="shared" ca="1" si="268"/>
        <v>-226.98838551532708</v>
      </c>
      <c r="AU241" s="149">
        <f t="shared" ca="1" si="268"/>
        <v>-226.98838551532708</v>
      </c>
      <c r="AV241" s="149">
        <f t="shared" ca="1" si="268"/>
        <v>-226.98838551532708</v>
      </c>
      <c r="AW241" s="149">
        <f t="shared" ca="1" si="268"/>
        <v>-226.98838551532708</v>
      </c>
      <c r="AX241" s="149">
        <f t="shared" ca="1" si="268"/>
        <v>-226.98838551532708</v>
      </c>
      <c r="AY241" s="149">
        <f t="shared" ca="1" si="268"/>
        <v>-226.98838551532708</v>
      </c>
      <c r="AZ241" s="149">
        <f t="shared" ca="1" si="268"/>
        <v>-226.98838551532708</v>
      </c>
      <c r="BA241" s="149">
        <f t="shared" ca="1" si="268"/>
        <v>-226.98838551532708</v>
      </c>
      <c r="BB241" s="149">
        <f t="shared" ca="1" si="268"/>
        <v>-226.98838551532708</v>
      </c>
      <c r="BC241" s="149">
        <f t="shared" ca="1" si="268"/>
        <v>-226.98838551532708</v>
      </c>
      <c r="BD241" s="149">
        <f t="shared" ca="1" si="268"/>
        <v>0</v>
      </c>
      <c r="BE241" s="149">
        <f t="shared" ca="1" si="268"/>
        <v>0</v>
      </c>
      <c r="BF241" s="149">
        <f t="shared" ca="1" si="268"/>
        <v>0</v>
      </c>
      <c r="BG241" s="149">
        <f t="shared" ca="1" si="268"/>
        <v>0</v>
      </c>
      <c r="BH241" s="149">
        <f t="shared" ca="1" si="268"/>
        <v>0</v>
      </c>
      <c r="BI241" s="149">
        <f t="shared" ca="1" si="268"/>
        <v>0</v>
      </c>
      <c r="BJ241" s="149">
        <f t="shared" ca="1" si="268"/>
        <v>0</v>
      </c>
      <c r="BK241" s="149">
        <f t="shared" ca="1" si="268"/>
        <v>0</v>
      </c>
      <c r="BL241" s="149">
        <f t="shared" ca="1" si="268"/>
        <v>0</v>
      </c>
      <c r="BM241" s="149">
        <f t="shared" ca="1" si="268"/>
        <v>0</v>
      </c>
      <c r="BN241" s="149"/>
      <c r="BO241" s="149">
        <f ca="1">NPV(Lookups!$E$17,AM241:BM241)</f>
        <v>-2885.3683386998177</v>
      </c>
      <c r="BP241" s="149">
        <f ca="1">IF($C$4=Year1,-PMT(Lookups!$E$17,25,NPV(Lookups!$E$17,AM241:BK241),0,1),IF($C$4=Year2,-PMT(Lookups!$F$17,25,NPV(Lookups!$F$17,AN241:BL241),0,1),IF($C$4=Year3,-PMT(Lookups!$G$17,25,NPV(Lookups!$G$17,AO241:BM241),0,1),-PMT(Lookups!$G$17,27,NPV(Lookups!$G$17,AM241:BM241),0,1))))</f>
        <v>-137.82603255707181</v>
      </c>
      <c r="BS241" s="84" t="s">
        <v>241</v>
      </c>
      <c r="BT241" s="51" t="s">
        <v>17</v>
      </c>
    </row>
    <row r="242" spans="1:72" x14ac:dyDescent="0.25">
      <c r="B242" s="243" t="str">
        <f t="shared" si="246"/>
        <v>Small C&amp;I</v>
      </c>
      <c r="C242" s="243" t="str">
        <f t="shared" si="246"/>
        <v>Bills</v>
      </c>
      <c r="D242" s="244" t="str">
        <f t="shared" si="246"/>
        <v>Change in Bills</v>
      </c>
      <c r="E242" s="84" t="str">
        <f>'EE Inputs'!$N$16&amp;" Participant Annual Bill"</f>
        <v>High Savings Participant Annual Bill</v>
      </c>
      <c r="F242" s="84" t="s">
        <v>16</v>
      </c>
      <c r="G242" s="223">
        <f ca="1">IFERROR(G233/G224-1,0)</f>
        <v>0</v>
      </c>
      <c r="H242" s="223">
        <f t="shared" ref="H242:AG242" ca="1" si="269">IFERROR(H233/H224-1,0)</f>
        <v>2.7802033332200216E-2</v>
      </c>
      <c r="I242" s="223">
        <f t="shared" ca="1" si="269"/>
        <v>-7.0802022381789564E-2</v>
      </c>
      <c r="J242" s="223">
        <f t="shared" ca="1" si="269"/>
        <v>-7.0802022381789564E-2</v>
      </c>
      <c r="K242" s="223">
        <f t="shared" ca="1" si="269"/>
        <v>-7.0802022381789564E-2</v>
      </c>
      <c r="L242" s="223">
        <f t="shared" ca="1" si="269"/>
        <v>-7.0802022381789564E-2</v>
      </c>
      <c r="M242" s="223">
        <f t="shared" ca="1" si="269"/>
        <v>-7.0802022381789564E-2</v>
      </c>
      <c r="N242" s="223">
        <f t="shared" ca="1" si="269"/>
        <v>-7.0802022381789564E-2</v>
      </c>
      <c r="O242" s="223">
        <f t="shared" ca="1" si="269"/>
        <v>-7.0802022381789564E-2</v>
      </c>
      <c r="P242" s="223">
        <f t="shared" ca="1" si="269"/>
        <v>-7.0802022381789564E-2</v>
      </c>
      <c r="Q242" s="223">
        <f t="shared" ca="1" si="269"/>
        <v>-7.0802022381789564E-2</v>
      </c>
      <c r="R242" s="223">
        <f t="shared" ca="1" si="269"/>
        <v>-7.0802022381789564E-2</v>
      </c>
      <c r="S242" s="224">
        <f t="shared" ca="1" si="269"/>
        <v>-7.0802022381789564E-2</v>
      </c>
      <c r="T242" s="224">
        <f t="shared" ca="1" si="269"/>
        <v>-7.0802022381789564E-2</v>
      </c>
      <c r="U242" s="224">
        <f t="shared" ca="1" si="269"/>
        <v>-7.0802022381789564E-2</v>
      </c>
      <c r="V242" s="224">
        <f t="shared" ca="1" si="269"/>
        <v>-7.0802022381789564E-2</v>
      </c>
      <c r="W242" s="224">
        <f t="shared" ca="1" si="269"/>
        <v>-7.0802022381789564E-2</v>
      </c>
      <c r="X242" s="224">
        <f t="shared" ca="1" si="269"/>
        <v>0</v>
      </c>
      <c r="Y242" s="224">
        <f t="shared" ca="1" si="269"/>
        <v>0</v>
      </c>
      <c r="Z242" s="224">
        <f t="shared" ca="1" si="269"/>
        <v>0</v>
      </c>
      <c r="AA242" s="224">
        <f t="shared" ca="1" si="269"/>
        <v>0</v>
      </c>
      <c r="AB242" s="224">
        <f t="shared" ca="1" si="269"/>
        <v>0</v>
      </c>
      <c r="AC242" s="224">
        <f t="shared" ca="1" si="269"/>
        <v>0</v>
      </c>
      <c r="AD242" s="224">
        <f t="shared" ca="1" si="269"/>
        <v>0</v>
      </c>
      <c r="AE242" s="224">
        <f t="shared" ca="1" si="269"/>
        <v>0</v>
      </c>
      <c r="AF242" s="224">
        <f t="shared" ca="1" si="269"/>
        <v>0</v>
      </c>
      <c r="AG242" s="224">
        <f t="shared" ca="1" si="269"/>
        <v>0</v>
      </c>
      <c r="AH242" s="224"/>
      <c r="AI242" s="224"/>
      <c r="AJ242" s="224">
        <f t="shared" ref="AJ242" ca="1" si="270">IFERROR(AJ233/AJ224-1,0)</f>
        <v>-4.3479312085209054E-2</v>
      </c>
      <c r="AK242" s="212"/>
      <c r="AL242" s="212"/>
      <c r="AM242" s="504">
        <f ca="1">IFERROR(AM233/AM224-1,0)</f>
        <v>0</v>
      </c>
      <c r="AN242" s="504">
        <f t="shared" ref="AN242:BM242" ca="1" si="271">IFERROR(AN233/AN224-1,0)</f>
        <v>3.0430396591520248E-2</v>
      </c>
      <c r="AO242" s="504">
        <f t="shared" ca="1" si="271"/>
        <v>-8.5265028779561214E-2</v>
      </c>
      <c r="AP242" s="504">
        <f t="shared" ca="1" si="271"/>
        <v>-8.5265028779561214E-2</v>
      </c>
      <c r="AQ242" s="504">
        <f t="shared" ca="1" si="271"/>
        <v>-8.5265028779561214E-2</v>
      </c>
      <c r="AR242" s="504">
        <f t="shared" ca="1" si="271"/>
        <v>-8.5265028779561214E-2</v>
      </c>
      <c r="AS242" s="504">
        <f t="shared" ca="1" si="271"/>
        <v>-8.5265028779561214E-2</v>
      </c>
      <c r="AT242" s="504">
        <f t="shared" ca="1" si="271"/>
        <v>-8.5265028779561214E-2</v>
      </c>
      <c r="AU242" s="504">
        <f t="shared" ca="1" si="271"/>
        <v>-8.5265028779561214E-2</v>
      </c>
      <c r="AV242" s="504">
        <f t="shared" ca="1" si="271"/>
        <v>-8.5265028779561214E-2</v>
      </c>
      <c r="AW242" s="504">
        <f t="shared" ca="1" si="271"/>
        <v>-8.5265028779561214E-2</v>
      </c>
      <c r="AX242" s="504">
        <f t="shared" ca="1" si="271"/>
        <v>-8.5265028779561214E-2</v>
      </c>
      <c r="AY242" s="504">
        <f t="shared" ca="1" si="271"/>
        <v>-8.5265028779561214E-2</v>
      </c>
      <c r="AZ242" s="504">
        <f t="shared" ca="1" si="271"/>
        <v>-8.5265028779561214E-2</v>
      </c>
      <c r="BA242" s="504">
        <f t="shared" ca="1" si="271"/>
        <v>-8.5265028779561214E-2</v>
      </c>
      <c r="BB242" s="504">
        <f t="shared" ca="1" si="271"/>
        <v>-8.5265028779561214E-2</v>
      </c>
      <c r="BC242" s="504">
        <f t="shared" ca="1" si="271"/>
        <v>-8.5265028779561214E-2</v>
      </c>
      <c r="BD242" s="504">
        <f t="shared" ca="1" si="271"/>
        <v>0</v>
      </c>
      <c r="BE242" s="504">
        <f t="shared" ca="1" si="271"/>
        <v>0</v>
      </c>
      <c r="BF242" s="504">
        <f t="shared" ca="1" si="271"/>
        <v>0</v>
      </c>
      <c r="BG242" s="504">
        <f t="shared" ca="1" si="271"/>
        <v>0</v>
      </c>
      <c r="BH242" s="504">
        <f t="shared" ca="1" si="271"/>
        <v>0</v>
      </c>
      <c r="BI242" s="504">
        <f t="shared" ca="1" si="271"/>
        <v>0</v>
      </c>
      <c r="BJ242" s="504">
        <f t="shared" ca="1" si="271"/>
        <v>0</v>
      </c>
      <c r="BK242" s="504">
        <f t="shared" ca="1" si="271"/>
        <v>0</v>
      </c>
      <c r="BL242" s="504">
        <f t="shared" ca="1" si="271"/>
        <v>0</v>
      </c>
      <c r="BM242" s="504">
        <f t="shared" ca="1" si="271"/>
        <v>0</v>
      </c>
      <c r="BN242" s="504"/>
      <c r="BO242" s="504"/>
      <c r="BP242" s="504">
        <f t="shared" ref="BP242" ca="1" si="272">IFERROR(BP233/BP224-1,0)</f>
        <v>-5.2504700410671457E-2</v>
      </c>
      <c r="BS242" s="84" t="s">
        <v>242</v>
      </c>
      <c r="BT242" s="51" t="s">
        <v>17</v>
      </c>
    </row>
    <row r="243" spans="1:72" x14ac:dyDescent="0.25">
      <c r="B243" s="243" t="str">
        <f t="shared" si="246"/>
        <v>Small C&amp;I</v>
      </c>
      <c r="C243" s="243" t="str">
        <f t="shared" si="246"/>
        <v>Bills</v>
      </c>
      <c r="D243" s="244" t="str">
        <f t="shared" si="246"/>
        <v>Change in Bills</v>
      </c>
      <c r="E243" s="84" t="s">
        <v>17</v>
      </c>
      <c r="F243" s="84"/>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S243" s="84"/>
      <c r="BT243" s="51" t="s">
        <v>17</v>
      </c>
    </row>
    <row r="244" spans="1:72" x14ac:dyDescent="0.25">
      <c r="B244" t="s">
        <v>17</v>
      </c>
      <c r="BT244" s="51" t="s">
        <v>17</v>
      </c>
    </row>
    <row r="245" spans="1:72" x14ac:dyDescent="0.25">
      <c r="B245" t="s">
        <v>17</v>
      </c>
      <c r="BT245" s="51" t="s">
        <v>17</v>
      </c>
    </row>
    <row r="246" spans="1:72" s="51" customFormat="1" ht="23.25" x14ac:dyDescent="0.25">
      <c r="A246" s="52"/>
      <c r="B246" s="195" t="str">
        <f>Lookups!$D$29</f>
        <v>Large C&amp;I</v>
      </c>
      <c r="C246" s="196"/>
      <c r="D246" s="196"/>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51" t="s">
        <v>17</v>
      </c>
    </row>
    <row r="247" spans="1:72" s="5" customFormat="1" ht="15.75" x14ac:dyDescent="0.25">
      <c r="A247" s="52"/>
      <c r="B247" s="241" t="str">
        <f>B246</f>
        <v>Large C&amp;I</v>
      </c>
      <c r="C247" s="63" t="s">
        <v>3</v>
      </c>
      <c r="D247" s="61"/>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M247" s="63"/>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S247" s="62"/>
      <c r="BT247" s="51" t="s">
        <v>17</v>
      </c>
    </row>
    <row r="248" spans="1:72" s="5" customFormat="1" x14ac:dyDescent="0.25">
      <c r="A248" s="52"/>
      <c r="B248" s="242" t="str">
        <f t="shared" ref="B248:C259" si="273">B247</f>
        <v>Large C&amp;I</v>
      </c>
      <c r="C248" s="242" t="str">
        <f>C247</f>
        <v>Customers</v>
      </c>
      <c r="D248" s="244" t="s">
        <v>3</v>
      </c>
      <c r="E248" s="77" t="s">
        <v>3</v>
      </c>
      <c r="F248" s="76" t="s">
        <v>48</v>
      </c>
      <c r="G248" s="64">
        <f>IF(G$8=0,0,INDEX('Multi-Year Inputs'!$E$12:$AE$15,MATCH($B248,'Multi-Year Inputs'!$D$12:$D$15,0),MATCH(G$7,'Multi-Year Inputs'!$E$4:$AE$4,0)))</f>
        <v>0</v>
      </c>
      <c r="H248" s="64">
        <f>IF(H$8=0,0,INDEX('Multi-Year Inputs'!$E$12:$AE$15,MATCH($B248,'Multi-Year Inputs'!$D$12:$D$15,0),MATCH(H$7,'Multi-Year Inputs'!$E$4:$AE$4,0)))</f>
        <v>55.255527025440614</v>
      </c>
      <c r="I248" s="64">
        <f>IF(I$8=0,0,INDEX('Multi-Year Inputs'!$E$12:$AE$15,MATCH($B248,'Multi-Year Inputs'!$D$12:$D$15,0),MATCH(I$7,'Multi-Year Inputs'!$E$4:$AE$4,0)))</f>
        <v>55.255527025440614</v>
      </c>
      <c r="J248" s="64">
        <f>IF(J$8=0,0,INDEX('Multi-Year Inputs'!$E$12:$AE$15,MATCH($B248,'Multi-Year Inputs'!$D$12:$D$15,0),MATCH(J$7,'Multi-Year Inputs'!$E$4:$AE$4,0)))</f>
        <v>55.255527025440614</v>
      </c>
      <c r="K248" s="64">
        <f>IF(K$8=0,0,INDEX('Multi-Year Inputs'!$E$12:$AE$15,MATCH($B248,'Multi-Year Inputs'!$D$12:$D$15,0),MATCH(K$7,'Multi-Year Inputs'!$E$4:$AE$4,0)))</f>
        <v>55.255527025440614</v>
      </c>
      <c r="L248" s="64">
        <f>IF(L$8=0,0,INDEX('Multi-Year Inputs'!$E$12:$AE$15,MATCH($B248,'Multi-Year Inputs'!$D$12:$D$15,0),MATCH(L$7,'Multi-Year Inputs'!$E$4:$AE$4,0)))</f>
        <v>55.255527025440614</v>
      </c>
      <c r="M248" s="64">
        <f>IF(M$8=0,0,INDEX('Multi-Year Inputs'!$E$12:$AE$15,MATCH($B248,'Multi-Year Inputs'!$D$12:$D$15,0),MATCH(M$7,'Multi-Year Inputs'!$E$4:$AE$4,0)))</f>
        <v>55.255527025440614</v>
      </c>
      <c r="N248" s="64">
        <f>IF(N$8=0,0,INDEX('Multi-Year Inputs'!$E$12:$AE$15,MATCH($B248,'Multi-Year Inputs'!$D$12:$D$15,0),MATCH(N$7,'Multi-Year Inputs'!$E$4:$AE$4,0)))</f>
        <v>55.255527025440614</v>
      </c>
      <c r="O248" s="64">
        <f>IF(O$8=0,0,INDEX('Multi-Year Inputs'!$E$12:$AE$15,MATCH($B248,'Multi-Year Inputs'!$D$12:$D$15,0),MATCH(O$7,'Multi-Year Inputs'!$E$4:$AE$4,0)))</f>
        <v>55.255527025440614</v>
      </c>
      <c r="P248" s="64">
        <f>IF(P$8=0,0,INDEX('Multi-Year Inputs'!$E$12:$AE$15,MATCH($B248,'Multi-Year Inputs'!$D$12:$D$15,0),MATCH(P$7,'Multi-Year Inputs'!$E$4:$AE$4,0)))</f>
        <v>55.255527025440614</v>
      </c>
      <c r="Q248" s="64">
        <f>IF(Q$8=0,0,INDEX('Multi-Year Inputs'!$E$12:$AE$15,MATCH($B248,'Multi-Year Inputs'!$D$12:$D$15,0),MATCH(Q$7,'Multi-Year Inputs'!$E$4:$AE$4,0)))</f>
        <v>55.255527025440614</v>
      </c>
      <c r="R248" s="64">
        <f>IF(R$8=0,0,INDEX('Multi-Year Inputs'!$E$12:$AE$15,MATCH($B248,'Multi-Year Inputs'!$D$12:$D$15,0),MATCH(R$7,'Multi-Year Inputs'!$E$4:$AE$4,0)))</f>
        <v>55.255527025440614</v>
      </c>
      <c r="S248" s="64">
        <f>IF(S$8=0,0,INDEX('Multi-Year Inputs'!$E$12:$AE$15,MATCH($B248,'Multi-Year Inputs'!$D$12:$D$15,0),MATCH(S$7,'Multi-Year Inputs'!$E$4:$AE$4,0)))</f>
        <v>55.255527025440614</v>
      </c>
      <c r="T248" s="64">
        <f>IF(T$8=0,0,INDEX('Multi-Year Inputs'!$E$12:$AE$15,MATCH($B248,'Multi-Year Inputs'!$D$12:$D$15,0),MATCH(T$7,'Multi-Year Inputs'!$E$4:$AE$4,0)))</f>
        <v>55.255527025440614</v>
      </c>
      <c r="U248" s="64">
        <f>IF(U$8=0,0,INDEX('Multi-Year Inputs'!$E$12:$AE$15,MATCH($B248,'Multi-Year Inputs'!$D$12:$D$15,0),MATCH(U$7,'Multi-Year Inputs'!$E$4:$AE$4,0)))</f>
        <v>55.255527025440614</v>
      </c>
      <c r="V248" s="64">
        <f>IF(V$8=0,0,INDEX('Multi-Year Inputs'!$E$12:$AE$15,MATCH($B248,'Multi-Year Inputs'!$D$12:$D$15,0),MATCH(V$7,'Multi-Year Inputs'!$E$4:$AE$4,0)))</f>
        <v>55.255527025440614</v>
      </c>
      <c r="W248" s="64">
        <f>IF(W$8=0,0,INDEX('Multi-Year Inputs'!$E$12:$AE$15,MATCH($B248,'Multi-Year Inputs'!$D$12:$D$15,0),MATCH(W$7,'Multi-Year Inputs'!$E$4:$AE$4,0)))</f>
        <v>55.255527025440614</v>
      </c>
      <c r="X248" s="64">
        <f>IF(X$8=0,0,INDEX('Multi-Year Inputs'!$E$12:$AE$15,MATCH($B248,'Multi-Year Inputs'!$D$12:$D$15,0),MATCH(X$7,'Multi-Year Inputs'!$E$4:$AE$4,0)))</f>
        <v>55.255527025440614</v>
      </c>
      <c r="Y248" s="64">
        <f>IF(Y$8=0,0,INDEX('Multi-Year Inputs'!$E$12:$AE$15,MATCH($B248,'Multi-Year Inputs'!$D$12:$D$15,0),MATCH(Y$7,'Multi-Year Inputs'!$E$4:$AE$4,0)))</f>
        <v>55.255527025440614</v>
      </c>
      <c r="Z248" s="64">
        <f>IF(Z$8=0,0,INDEX('Multi-Year Inputs'!$E$12:$AE$15,MATCH($B248,'Multi-Year Inputs'!$D$12:$D$15,0),MATCH(Z$7,'Multi-Year Inputs'!$E$4:$AE$4,0)))</f>
        <v>55.255527025440614</v>
      </c>
      <c r="AA248" s="64">
        <f>IF(AA$8=0,0,INDEX('Multi-Year Inputs'!$E$12:$AE$15,MATCH($B248,'Multi-Year Inputs'!$D$12:$D$15,0),MATCH(AA$7,'Multi-Year Inputs'!$E$4:$AE$4,0)))</f>
        <v>55.255527025440614</v>
      </c>
      <c r="AB248" s="64">
        <f>IF(AB$8=0,0,INDEX('Multi-Year Inputs'!$E$12:$AE$15,MATCH($B248,'Multi-Year Inputs'!$D$12:$D$15,0),MATCH(AB$7,'Multi-Year Inputs'!$E$4:$AE$4,0)))</f>
        <v>55.255527025440614</v>
      </c>
      <c r="AC248" s="64">
        <f>IF(AC$8=0,0,INDEX('Multi-Year Inputs'!$E$12:$AE$15,MATCH($B248,'Multi-Year Inputs'!$D$12:$D$15,0),MATCH(AC$7,'Multi-Year Inputs'!$E$4:$AE$4,0)))</f>
        <v>55.255527025440614</v>
      </c>
      <c r="AD248" s="64">
        <f>IF(AD$8=0,0,INDEX('Multi-Year Inputs'!$E$12:$AE$15,MATCH($B248,'Multi-Year Inputs'!$D$12:$D$15,0),MATCH(AD$7,'Multi-Year Inputs'!$E$4:$AE$4,0)))</f>
        <v>55.255527025440614</v>
      </c>
      <c r="AE248" s="64">
        <f>IF(AE$8=0,0,INDEX('Multi-Year Inputs'!$E$12:$AE$15,MATCH($B248,'Multi-Year Inputs'!$D$12:$D$15,0),MATCH(AE$7,'Multi-Year Inputs'!$E$4:$AE$4,0)))</f>
        <v>55.255527025440614</v>
      </c>
      <c r="AF248" s="64">
        <f>IF(AF$8=0,0,INDEX('Multi-Year Inputs'!$E$12:$AE$15,MATCH($B248,'Multi-Year Inputs'!$D$12:$D$15,0),MATCH(AF$7,'Multi-Year Inputs'!$E$4:$AE$4,0)))</f>
        <v>55.255527025440614</v>
      </c>
      <c r="AG248" s="64">
        <f>IF(AG$8=0,0,INDEX('Multi-Year Inputs'!$E$12:$AE$15,MATCH($B248,'Multi-Year Inputs'!$D$12:$D$15,0),MATCH(AG$7,'Multi-Year Inputs'!$E$4:$AE$4,0)))</f>
        <v>55.255527025440614</v>
      </c>
      <c r="AH248" s="64"/>
      <c r="AI248" s="64"/>
      <c r="AJ248" s="64"/>
      <c r="AM248" s="71">
        <f>IF(AM$8=0,0,INDEX('Multi-Year Inputs'!$E$12:$AE$15,MATCH($B248,'Multi-Year Inputs'!$D$12:$D$15,0),MATCH(AM$7,'Multi-Year Inputs'!$E$4:$AE$4,0)))</f>
        <v>0</v>
      </c>
      <c r="AN248" s="71">
        <f>IF(AN$8=0,0,INDEX('Multi-Year Inputs'!$E$12:$AE$15,MATCH($B248,'Multi-Year Inputs'!$D$12:$D$15,0),MATCH(AN$7,'Multi-Year Inputs'!$E$4:$AE$4,0)))</f>
        <v>55.255527025440614</v>
      </c>
      <c r="AO248" s="71">
        <f>IF(AO$8=0,0,INDEX('Multi-Year Inputs'!$E$12:$AE$15,MATCH($B248,'Multi-Year Inputs'!$D$12:$D$15,0),MATCH(AO$7,'Multi-Year Inputs'!$E$4:$AE$4,0)))</f>
        <v>55.255527025440614</v>
      </c>
      <c r="AP248" s="71">
        <f>IF(AP$8=0,0,INDEX('Multi-Year Inputs'!$E$12:$AE$15,MATCH($B248,'Multi-Year Inputs'!$D$12:$D$15,0),MATCH(AP$7,'Multi-Year Inputs'!$E$4:$AE$4,0)))</f>
        <v>55.255527025440614</v>
      </c>
      <c r="AQ248" s="71">
        <f>IF(AQ$8=0,0,INDEX('Multi-Year Inputs'!$E$12:$AE$15,MATCH($B248,'Multi-Year Inputs'!$D$12:$D$15,0),MATCH(AQ$7,'Multi-Year Inputs'!$E$4:$AE$4,0)))</f>
        <v>55.255527025440614</v>
      </c>
      <c r="AR248" s="71">
        <f>IF(AR$8=0,0,INDEX('Multi-Year Inputs'!$E$12:$AE$15,MATCH($B248,'Multi-Year Inputs'!$D$12:$D$15,0),MATCH(AR$7,'Multi-Year Inputs'!$E$4:$AE$4,0)))</f>
        <v>55.255527025440614</v>
      </c>
      <c r="AS248" s="71">
        <f>IF(AS$8=0,0,INDEX('Multi-Year Inputs'!$E$12:$AE$15,MATCH($B248,'Multi-Year Inputs'!$D$12:$D$15,0),MATCH(AS$7,'Multi-Year Inputs'!$E$4:$AE$4,0)))</f>
        <v>55.255527025440614</v>
      </c>
      <c r="AT248" s="71">
        <f>IF(AT$8=0,0,INDEX('Multi-Year Inputs'!$E$12:$AE$15,MATCH($B248,'Multi-Year Inputs'!$D$12:$D$15,0),MATCH(AT$7,'Multi-Year Inputs'!$E$4:$AE$4,0)))</f>
        <v>55.255527025440614</v>
      </c>
      <c r="AU248" s="71">
        <f>IF(AU$8=0,0,INDEX('Multi-Year Inputs'!$E$12:$AE$15,MATCH($B248,'Multi-Year Inputs'!$D$12:$D$15,0),MATCH(AU$7,'Multi-Year Inputs'!$E$4:$AE$4,0)))</f>
        <v>55.255527025440614</v>
      </c>
      <c r="AV248" s="71">
        <f>IF(AV$8=0,0,INDEX('Multi-Year Inputs'!$E$12:$AE$15,MATCH($B248,'Multi-Year Inputs'!$D$12:$D$15,0),MATCH(AV$7,'Multi-Year Inputs'!$E$4:$AE$4,0)))</f>
        <v>55.255527025440614</v>
      </c>
      <c r="AW248" s="71">
        <f>IF(AW$8=0,0,INDEX('Multi-Year Inputs'!$E$12:$AE$15,MATCH($B248,'Multi-Year Inputs'!$D$12:$D$15,0),MATCH(AW$7,'Multi-Year Inputs'!$E$4:$AE$4,0)))</f>
        <v>55.255527025440614</v>
      </c>
      <c r="AX248" s="71">
        <f>IF(AX$8=0,0,INDEX('Multi-Year Inputs'!$E$12:$AE$15,MATCH($B248,'Multi-Year Inputs'!$D$12:$D$15,0),MATCH(AX$7,'Multi-Year Inputs'!$E$4:$AE$4,0)))</f>
        <v>55.255527025440614</v>
      </c>
      <c r="AY248" s="71">
        <f>IF(AY$8=0,0,INDEX('Multi-Year Inputs'!$E$12:$AE$15,MATCH($B248,'Multi-Year Inputs'!$D$12:$D$15,0),MATCH(AY$7,'Multi-Year Inputs'!$E$4:$AE$4,0)))</f>
        <v>55.255527025440614</v>
      </c>
      <c r="AZ248" s="71">
        <f>IF(AZ$8=0,0,INDEX('Multi-Year Inputs'!$E$12:$AE$15,MATCH($B248,'Multi-Year Inputs'!$D$12:$D$15,0),MATCH(AZ$7,'Multi-Year Inputs'!$E$4:$AE$4,0)))</f>
        <v>55.255527025440614</v>
      </c>
      <c r="BA248" s="71">
        <f>IF(BA$8=0,0,INDEX('Multi-Year Inputs'!$E$12:$AE$15,MATCH($B248,'Multi-Year Inputs'!$D$12:$D$15,0),MATCH(BA$7,'Multi-Year Inputs'!$E$4:$AE$4,0)))</f>
        <v>55.255527025440614</v>
      </c>
      <c r="BB248" s="71">
        <f>IF(BB$8=0,0,INDEX('Multi-Year Inputs'!$E$12:$AE$15,MATCH($B248,'Multi-Year Inputs'!$D$12:$D$15,0),MATCH(BB$7,'Multi-Year Inputs'!$E$4:$AE$4,0)))</f>
        <v>55.255527025440614</v>
      </c>
      <c r="BC248" s="71">
        <f>IF(BC$8=0,0,INDEX('Multi-Year Inputs'!$E$12:$AE$15,MATCH($B248,'Multi-Year Inputs'!$D$12:$D$15,0),MATCH(BC$7,'Multi-Year Inputs'!$E$4:$AE$4,0)))</f>
        <v>55.255527025440614</v>
      </c>
      <c r="BD248" s="71">
        <f>IF(BD$8=0,0,INDEX('Multi-Year Inputs'!$E$12:$AE$15,MATCH($B248,'Multi-Year Inputs'!$D$12:$D$15,0),MATCH(BD$7,'Multi-Year Inputs'!$E$4:$AE$4,0)))</f>
        <v>55.255527025440614</v>
      </c>
      <c r="BE248" s="71">
        <f>IF(BE$8=0,0,INDEX('Multi-Year Inputs'!$E$12:$AE$15,MATCH($B248,'Multi-Year Inputs'!$D$12:$D$15,0),MATCH(BE$7,'Multi-Year Inputs'!$E$4:$AE$4,0)))</f>
        <v>55.255527025440614</v>
      </c>
      <c r="BF248" s="71">
        <f>IF(BF$8=0,0,INDEX('Multi-Year Inputs'!$E$12:$AE$15,MATCH($B248,'Multi-Year Inputs'!$D$12:$D$15,0),MATCH(BF$7,'Multi-Year Inputs'!$E$4:$AE$4,0)))</f>
        <v>55.255527025440614</v>
      </c>
      <c r="BG248" s="71">
        <f>IF(BG$8=0,0,INDEX('Multi-Year Inputs'!$E$12:$AE$15,MATCH($B248,'Multi-Year Inputs'!$D$12:$D$15,0),MATCH(BG$7,'Multi-Year Inputs'!$E$4:$AE$4,0)))</f>
        <v>55.255527025440614</v>
      </c>
      <c r="BH248" s="71">
        <f>IF(BH$8=0,0,INDEX('Multi-Year Inputs'!$E$12:$AE$15,MATCH($B248,'Multi-Year Inputs'!$D$12:$D$15,0),MATCH(BH$7,'Multi-Year Inputs'!$E$4:$AE$4,0)))</f>
        <v>55.255527025440614</v>
      </c>
      <c r="BI248" s="71">
        <f>IF(BI$8=0,0,INDEX('Multi-Year Inputs'!$E$12:$AE$15,MATCH($B248,'Multi-Year Inputs'!$D$12:$D$15,0),MATCH(BI$7,'Multi-Year Inputs'!$E$4:$AE$4,0)))</f>
        <v>55.255527025440614</v>
      </c>
      <c r="BJ248" s="71">
        <f>IF(BJ$8=0,0,INDEX('Multi-Year Inputs'!$E$12:$AE$15,MATCH($B248,'Multi-Year Inputs'!$D$12:$D$15,0),MATCH(BJ$7,'Multi-Year Inputs'!$E$4:$AE$4,0)))</f>
        <v>55.255527025440614</v>
      </c>
      <c r="BK248" s="71">
        <f>IF(BK$8=0,0,INDEX('Multi-Year Inputs'!$E$12:$AE$15,MATCH($B248,'Multi-Year Inputs'!$D$12:$D$15,0),MATCH(BK$7,'Multi-Year Inputs'!$E$4:$AE$4,0)))</f>
        <v>55.255527025440614</v>
      </c>
      <c r="BL248" s="71">
        <f>IF(BL$8=0,0,INDEX('Multi-Year Inputs'!$E$12:$AE$15,MATCH($B248,'Multi-Year Inputs'!$D$12:$D$15,0),MATCH(BL$7,'Multi-Year Inputs'!$E$4:$AE$4,0)))</f>
        <v>55.255527025440614</v>
      </c>
      <c r="BM248" s="71">
        <f>IF(BM$8=0,0,INDEX('Multi-Year Inputs'!$E$12:$AE$15,MATCH($B248,'Multi-Year Inputs'!$D$12:$D$15,0),MATCH(BM$7,'Multi-Year Inputs'!$E$4:$AE$4,0)))</f>
        <v>55.255527025440614</v>
      </c>
      <c r="BN248" s="72"/>
      <c r="BO248" s="72"/>
      <c r="BP248" s="72"/>
      <c r="BS248" s="76" t="s">
        <v>89</v>
      </c>
      <c r="BT248" s="51" t="s">
        <v>17</v>
      </c>
    </row>
    <row r="249" spans="1:72" s="5" customFormat="1" x14ac:dyDescent="0.25">
      <c r="A249" s="52"/>
      <c r="B249" s="242" t="str">
        <f t="shared" si="273"/>
        <v>Large C&amp;I</v>
      </c>
      <c r="C249" s="242" t="str">
        <f>C248</f>
        <v>Customers</v>
      </c>
      <c r="D249" s="244" t="s">
        <v>40</v>
      </c>
      <c r="E249" s="77" t="s">
        <v>40</v>
      </c>
      <c r="F249" s="76" t="s">
        <v>2</v>
      </c>
      <c r="G249" s="65">
        <f ca="1">IF($C$4=Lookups!$D$40,IF(SUM(INDIRECT("'Yr1'!"&amp;ADDRESS(ROW(G249),COLUMN(G249))),INDIRECT("'Yr2'!"&amp;ADDRESS(ROW(G249),COLUMN(G249))),INDIRECT("'Yr3'!"&amp;ADDRESS(ROW(G249),COLUMN(G249))))&gt;0,"3 Yr. total",0),
IF(G$7&lt;$C$4,0,IF(G$8&lt;=SUMIFS('EE Inputs'!$V$9:$V$32,'EE Inputs'!$C$9:$C$32,$G$6,'EE Inputs'!$D$9:$D$32,$C$4,'EE Inputs'!$E$9:$E$32,$B249),SUMIFS('EE Inputs'!$V$9:$V$32,'EE Inputs'!$C$9:$C$32,$G$6,'EE Inputs'!$D$9:$D$32,$C$4,'EE Inputs'!$E$9:$E$32,$B249),0)))</f>
        <v>0</v>
      </c>
      <c r="H249" s="65">
        <f ca="1">IF($C$4=Lookups!$D$40,IF(SUM(INDIRECT("'Yr1'!"&amp;ADDRESS(ROW(H249),COLUMN(H249))),INDIRECT("'Yr2'!"&amp;ADDRESS(ROW(H249),COLUMN(H249))),INDIRECT("'Yr3'!"&amp;ADDRESS(ROW(H249),COLUMN(H249))))&gt;0,"3 Yr. total",0),
IF(H$7&lt;$C$4,0,IF(H$8&lt;=SUMIFS('EE Inputs'!$V$9:$V$32,'EE Inputs'!$C$9:$C$32,$G$6,'EE Inputs'!$D$9:$D$32,$C$4,'EE Inputs'!$E$9:$E$32,$B249),SUMIFS('EE Inputs'!$V$9:$V$32,'EE Inputs'!$C$9:$C$32,$G$6,'EE Inputs'!$D$9:$D$32,$C$4,'EE Inputs'!$E$9:$E$32,$B249),0)))</f>
        <v>13</v>
      </c>
      <c r="I249" s="65">
        <f ca="1">IF($C$4=Lookups!$D$40,IF(SUM(INDIRECT("'Yr1'!"&amp;ADDRESS(ROW(I249),COLUMN(I249))),INDIRECT("'Yr2'!"&amp;ADDRESS(ROW(I249),COLUMN(I249))),INDIRECT("'Yr3'!"&amp;ADDRESS(ROW(I249),COLUMN(I249))))&gt;0,"3 Yr. total",0),
IF(I$7&lt;$C$4,0,IF(I$8&lt;=SUMIFS('EE Inputs'!$V$9:$V$32,'EE Inputs'!$C$9:$C$32,$G$6,'EE Inputs'!$D$9:$D$32,$C$4,'EE Inputs'!$E$9:$E$32,$B249),SUMIFS('EE Inputs'!$V$9:$V$32,'EE Inputs'!$C$9:$C$32,$G$6,'EE Inputs'!$D$9:$D$32,$C$4,'EE Inputs'!$E$9:$E$32,$B249),0)))</f>
        <v>13</v>
      </c>
      <c r="J249" s="65">
        <f ca="1">IF($C$4=Lookups!$D$40,IF(SUM(INDIRECT("'Yr1'!"&amp;ADDRESS(ROW(J249),COLUMN(J249))),INDIRECT("'Yr2'!"&amp;ADDRESS(ROW(J249),COLUMN(J249))),INDIRECT("'Yr3'!"&amp;ADDRESS(ROW(J249),COLUMN(J249))))&gt;0,"3 Yr. total",0),
IF(J$7&lt;$C$4,0,IF(J$8&lt;=SUMIFS('EE Inputs'!$V$9:$V$32,'EE Inputs'!$C$9:$C$32,$G$6,'EE Inputs'!$D$9:$D$32,$C$4,'EE Inputs'!$E$9:$E$32,$B249),SUMIFS('EE Inputs'!$V$9:$V$32,'EE Inputs'!$C$9:$C$32,$G$6,'EE Inputs'!$D$9:$D$32,$C$4,'EE Inputs'!$E$9:$E$32,$B249),0)))</f>
        <v>13</v>
      </c>
      <c r="K249" s="65">
        <f ca="1">IF($C$4=Lookups!$D$40,IF(SUM(INDIRECT("'Yr1'!"&amp;ADDRESS(ROW(K249),COLUMN(K249))),INDIRECT("'Yr2'!"&amp;ADDRESS(ROW(K249),COLUMN(K249))),INDIRECT("'Yr3'!"&amp;ADDRESS(ROW(K249),COLUMN(K249))))&gt;0,"3 Yr. total",0),
IF(K$7&lt;$C$4,0,IF(K$8&lt;=SUMIFS('EE Inputs'!$V$9:$V$32,'EE Inputs'!$C$9:$C$32,$G$6,'EE Inputs'!$D$9:$D$32,$C$4,'EE Inputs'!$E$9:$E$32,$B249),SUMIFS('EE Inputs'!$V$9:$V$32,'EE Inputs'!$C$9:$C$32,$G$6,'EE Inputs'!$D$9:$D$32,$C$4,'EE Inputs'!$E$9:$E$32,$B249),0)))</f>
        <v>13</v>
      </c>
      <c r="L249" s="65">
        <f ca="1">IF($C$4=Lookups!$D$40,IF(SUM(INDIRECT("'Yr1'!"&amp;ADDRESS(ROW(L249),COLUMN(L249))),INDIRECT("'Yr2'!"&amp;ADDRESS(ROW(L249),COLUMN(L249))),INDIRECT("'Yr3'!"&amp;ADDRESS(ROW(L249),COLUMN(L249))))&gt;0,"3 Yr. total",0),
IF(L$7&lt;$C$4,0,IF(L$8&lt;=SUMIFS('EE Inputs'!$V$9:$V$32,'EE Inputs'!$C$9:$C$32,$G$6,'EE Inputs'!$D$9:$D$32,$C$4,'EE Inputs'!$E$9:$E$32,$B249),SUMIFS('EE Inputs'!$V$9:$V$32,'EE Inputs'!$C$9:$C$32,$G$6,'EE Inputs'!$D$9:$D$32,$C$4,'EE Inputs'!$E$9:$E$32,$B249),0)))</f>
        <v>13</v>
      </c>
      <c r="M249" s="65">
        <f ca="1">IF($C$4=Lookups!$D$40,IF(SUM(INDIRECT("'Yr1'!"&amp;ADDRESS(ROW(M249),COLUMN(M249))),INDIRECT("'Yr2'!"&amp;ADDRESS(ROW(M249),COLUMN(M249))),INDIRECT("'Yr3'!"&amp;ADDRESS(ROW(M249),COLUMN(M249))))&gt;0,"3 Yr. total",0),
IF(M$7&lt;$C$4,0,IF(M$8&lt;=SUMIFS('EE Inputs'!$V$9:$V$32,'EE Inputs'!$C$9:$C$32,$G$6,'EE Inputs'!$D$9:$D$32,$C$4,'EE Inputs'!$E$9:$E$32,$B249),SUMIFS('EE Inputs'!$V$9:$V$32,'EE Inputs'!$C$9:$C$32,$G$6,'EE Inputs'!$D$9:$D$32,$C$4,'EE Inputs'!$E$9:$E$32,$B249),0)))</f>
        <v>13</v>
      </c>
      <c r="N249" s="65">
        <f ca="1">IF($C$4=Lookups!$D$40,IF(SUM(INDIRECT("'Yr1'!"&amp;ADDRESS(ROW(N249),COLUMN(N249))),INDIRECT("'Yr2'!"&amp;ADDRESS(ROW(N249),COLUMN(N249))),INDIRECT("'Yr3'!"&amp;ADDRESS(ROW(N249),COLUMN(N249))))&gt;0,"3 Yr. total",0),
IF(N$7&lt;$C$4,0,IF(N$8&lt;=SUMIFS('EE Inputs'!$V$9:$V$32,'EE Inputs'!$C$9:$C$32,$G$6,'EE Inputs'!$D$9:$D$32,$C$4,'EE Inputs'!$E$9:$E$32,$B249),SUMIFS('EE Inputs'!$V$9:$V$32,'EE Inputs'!$C$9:$C$32,$G$6,'EE Inputs'!$D$9:$D$32,$C$4,'EE Inputs'!$E$9:$E$32,$B249),0)))</f>
        <v>13</v>
      </c>
      <c r="O249" s="65">
        <f ca="1">IF($C$4=Lookups!$D$40,IF(SUM(INDIRECT("'Yr1'!"&amp;ADDRESS(ROW(O249),COLUMN(O249))),INDIRECT("'Yr2'!"&amp;ADDRESS(ROW(O249),COLUMN(O249))),INDIRECT("'Yr3'!"&amp;ADDRESS(ROW(O249),COLUMN(O249))))&gt;0,"3 Yr. total",0),
IF(O$7&lt;$C$4,0,IF(O$8&lt;=SUMIFS('EE Inputs'!$V$9:$V$32,'EE Inputs'!$C$9:$C$32,$G$6,'EE Inputs'!$D$9:$D$32,$C$4,'EE Inputs'!$E$9:$E$32,$B249),SUMIFS('EE Inputs'!$V$9:$V$32,'EE Inputs'!$C$9:$C$32,$G$6,'EE Inputs'!$D$9:$D$32,$C$4,'EE Inputs'!$E$9:$E$32,$B249),0)))</f>
        <v>13</v>
      </c>
      <c r="P249" s="65">
        <f ca="1">IF($C$4=Lookups!$D$40,IF(SUM(INDIRECT("'Yr1'!"&amp;ADDRESS(ROW(P249),COLUMN(P249))),INDIRECT("'Yr2'!"&amp;ADDRESS(ROW(P249),COLUMN(P249))),INDIRECT("'Yr3'!"&amp;ADDRESS(ROW(P249),COLUMN(P249))))&gt;0,"3 Yr. total",0),
IF(P$7&lt;$C$4,0,IF(P$8&lt;=SUMIFS('EE Inputs'!$V$9:$V$32,'EE Inputs'!$C$9:$C$32,$G$6,'EE Inputs'!$D$9:$D$32,$C$4,'EE Inputs'!$E$9:$E$32,$B249),SUMIFS('EE Inputs'!$V$9:$V$32,'EE Inputs'!$C$9:$C$32,$G$6,'EE Inputs'!$D$9:$D$32,$C$4,'EE Inputs'!$E$9:$E$32,$B249),0)))</f>
        <v>13</v>
      </c>
      <c r="Q249" s="65">
        <f ca="1">IF($C$4=Lookups!$D$40,IF(SUM(INDIRECT("'Yr1'!"&amp;ADDRESS(ROW(Q249),COLUMN(Q249))),INDIRECT("'Yr2'!"&amp;ADDRESS(ROW(Q249),COLUMN(Q249))),INDIRECT("'Yr3'!"&amp;ADDRESS(ROW(Q249),COLUMN(Q249))))&gt;0,"3 Yr. total",0),
IF(Q$7&lt;$C$4,0,IF(Q$8&lt;=SUMIFS('EE Inputs'!$V$9:$V$32,'EE Inputs'!$C$9:$C$32,$G$6,'EE Inputs'!$D$9:$D$32,$C$4,'EE Inputs'!$E$9:$E$32,$B249),SUMIFS('EE Inputs'!$V$9:$V$32,'EE Inputs'!$C$9:$C$32,$G$6,'EE Inputs'!$D$9:$D$32,$C$4,'EE Inputs'!$E$9:$E$32,$B249),0)))</f>
        <v>13</v>
      </c>
      <c r="R249" s="65">
        <f ca="1">IF($C$4=Lookups!$D$40,IF(SUM(INDIRECT("'Yr1'!"&amp;ADDRESS(ROW(R249),COLUMN(R249))),INDIRECT("'Yr2'!"&amp;ADDRESS(ROW(R249),COLUMN(R249))),INDIRECT("'Yr3'!"&amp;ADDRESS(ROW(R249),COLUMN(R249))))&gt;0,"3 Yr. total",0),
IF(R$7&lt;$C$4,0,IF(R$8&lt;=SUMIFS('EE Inputs'!$V$9:$V$32,'EE Inputs'!$C$9:$C$32,$G$6,'EE Inputs'!$D$9:$D$32,$C$4,'EE Inputs'!$E$9:$E$32,$B249),SUMIFS('EE Inputs'!$V$9:$V$32,'EE Inputs'!$C$9:$C$32,$G$6,'EE Inputs'!$D$9:$D$32,$C$4,'EE Inputs'!$E$9:$E$32,$B249),0)))</f>
        <v>13</v>
      </c>
      <c r="S249" s="65">
        <f ca="1">IF($C$4=Lookups!$D$40,IF(SUM(INDIRECT("'Yr1'!"&amp;ADDRESS(ROW(S249),COLUMN(S249))),INDIRECT("'Yr2'!"&amp;ADDRESS(ROW(S249),COLUMN(S249))),INDIRECT("'Yr3'!"&amp;ADDRESS(ROW(S249),COLUMN(S249))))&gt;0,"3 Yr. total",0),
IF(S$7&lt;$C$4,0,IF(S$8&lt;=SUMIFS('EE Inputs'!$V$9:$V$32,'EE Inputs'!$C$9:$C$32,$G$6,'EE Inputs'!$D$9:$D$32,$C$4,'EE Inputs'!$E$9:$E$32,$B249),SUMIFS('EE Inputs'!$V$9:$V$32,'EE Inputs'!$C$9:$C$32,$G$6,'EE Inputs'!$D$9:$D$32,$C$4,'EE Inputs'!$E$9:$E$32,$B249),0)))</f>
        <v>13</v>
      </c>
      <c r="T249" s="65">
        <f ca="1">IF($C$4=Lookups!$D$40,IF(SUM(INDIRECT("'Yr1'!"&amp;ADDRESS(ROW(T249),COLUMN(T249))),INDIRECT("'Yr2'!"&amp;ADDRESS(ROW(T249),COLUMN(T249))),INDIRECT("'Yr3'!"&amp;ADDRESS(ROW(T249),COLUMN(T249))))&gt;0,"3 Yr. total",0),
IF(T$7&lt;$C$4,0,IF(T$8&lt;=SUMIFS('EE Inputs'!$V$9:$V$32,'EE Inputs'!$C$9:$C$32,$G$6,'EE Inputs'!$D$9:$D$32,$C$4,'EE Inputs'!$E$9:$E$32,$B249),SUMIFS('EE Inputs'!$V$9:$V$32,'EE Inputs'!$C$9:$C$32,$G$6,'EE Inputs'!$D$9:$D$32,$C$4,'EE Inputs'!$E$9:$E$32,$B249),0)))</f>
        <v>13</v>
      </c>
      <c r="U249" s="65">
        <f ca="1">IF($C$4=Lookups!$D$40,IF(SUM(INDIRECT("'Yr1'!"&amp;ADDRESS(ROW(U249),COLUMN(U249))),INDIRECT("'Yr2'!"&amp;ADDRESS(ROW(U249),COLUMN(U249))),INDIRECT("'Yr3'!"&amp;ADDRESS(ROW(U249),COLUMN(U249))))&gt;0,"3 Yr. total",0),
IF(U$7&lt;$C$4,0,IF(U$8&lt;=SUMIFS('EE Inputs'!$V$9:$V$32,'EE Inputs'!$C$9:$C$32,$G$6,'EE Inputs'!$D$9:$D$32,$C$4,'EE Inputs'!$E$9:$E$32,$B249),SUMIFS('EE Inputs'!$V$9:$V$32,'EE Inputs'!$C$9:$C$32,$G$6,'EE Inputs'!$D$9:$D$32,$C$4,'EE Inputs'!$E$9:$E$32,$B249),0)))</f>
        <v>0</v>
      </c>
      <c r="V249" s="65">
        <f ca="1">IF($C$4=Lookups!$D$40,IF(SUM(INDIRECT("'Yr1'!"&amp;ADDRESS(ROW(V249),COLUMN(V249))),INDIRECT("'Yr2'!"&amp;ADDRESS(ROW(V249),COLUMN(V249))),INDIRECT("'Yr3'!"&amp;ADDRESS(ROW(V249),COLUMN(V249))))&gt;0,"3 Yr. total",0),
IF(V$7&lt;$C$4,0,IF(V$8&lt;=SUMIFS('EE Inputs'!$V$9:$V$32,'EE Inputs'!$C$9:$C$32,$G$6,'EE Inputs'!$D$9:$D$32,$C$4,'EE Inputs'!$E$9:$E$32,$B249),SUMIFS('EE Inputs'!$V$9:$V$32,'EE Inputs'!$C$9:$C$32,$G$6,'EE Inputs'!$D$9:$D$32,$C$4,'EE Inputs'!$E$9:$E$32,$B249),0)))</f>
        <v>0</v>
      </c>
      <c r="W249" s="65">
        <f ca="1">IF($C$4=Lookups!$D$40,IF(SUM(INDIRECT("'Yr1'!"&amp;ADDRESS(ROW(W249),COLUMN(W249))),INDIRECT("'Yr2'!"&amp;ADDRESS(ROW(W249),COLUMN(W249))),INDIRECT("'Yr3'!"&amp;ADDRESS(ROW(W249),COLUMN(W249))))&gt;0,"3 Yr. total",0),
IF(W$7&lt;$C$4,0,IF(W$8&lt;=SUMIFS('EE Inputs'!$V$9:$V$32,'EE Inputs'!$C$9:$C$32,$G$6,'EE Inputs'!$D$9:$D$32,$C$4,'EE Inputs'!$E$9:$E$32,$B249),SUMIFS('EE Inputs'!$V$9:$V$32,'EE Inputs'!$C$9:$C$32,$G$6,'EE Inputs'!$D$9:$D$32,$C$4,'EE Inputs'!$E$9:$E$32,$B249),0)))</f>
        <v>0</v>
      </c>
      <c r="X249" s="65">
        <f ca="1">IF($C$4=Lookups!$D$40,IF(SUM(INDIRECT("'Yr1'!"&amp;ADDRESS(ROW(X249),COLUMN(X249))),INDIRECT("'Yr2'!"&amp;ADDRESS(ROW(X249),COLUMN(X249))),INDIRECT("'Yr3'!"&amp;ADDRESS(ROW(X249),COLUMN(X249))))&gt;0,"3 Yr. total",0),
IF(X$7&lt;$C$4,0,IF(X$8&lt;=SUMIFS('EE Inputs'!$V$9:$V$32,'EE Inputs'!$C$9:$C$32,$G$6,'EE Inputs'!$D$9:$D$32,$C$4,'EE Inputs'!$E$9:$E$32,$B249),SUMIFS('EE Inputs'!$V$9:$V$32,'EE Inputs'!$C$9:$C$32,$G$6,'EE Inputs'!$D$9:$D$32,$C$4,'EE Inputs'!$E$9:$E$32,$B249),0)))</f>
        <v>0</v>
      </c>
      <c r="Y249" s="65">
        <f ca="1">IF($C$4=Lookups!$D$40,IF(SUM(INDIRECT("'Yr1'!"&amp;ADDRESS(ROW(Y249),COLUMN(Y249))),INDIRECT("'Yr2'!"&amp;ADDRESS(ROW(Y249),COLUMN(Y249))),INDIRECT("'Yr3'!"&amp;ADDRESS(ROW(Y249),COLUMN(Y249))))&gt;0,"3 Yr. total",0),
IF(Y$7&lt;$C$4,0,IF(Y$8&lt;=SUMIFS('EE Inputs'!$V$9:$V$32,'EE Inputs'!$C$9:$C$32,$G$6,'EE Inputs'!$D$9:$D$32,$C$4,'EE Inputs'!$E$9:$E$32,$B249),SUMIFS('EE Inputs'!$V$9:$V$32,'EE Inputs'!$C$9:$C$32,$G$6,'EE Inputs'!$D$9:$D$32,$C$4,'EE Inputs'!$E$9:$E$32,$B249),0)))</f>
        <v>0</v>
      </c>
      <c r="Z249" s="65">
        <f ca="1">IF($C$4=Lookups!$D$40,IF(SUM(INDIRECT("'Yr1'!"&amp;ADDRESS(ROW(Z249),COLUMN(Z249))),INDIRECT("'Yr2'!"&amp;ADDRESS(ROW(Z249),COLUMN(Z249))),INDIRECT("'Yr3'!"&amp;ADDRESS(ROW(Z249),COLUMN(Z249))))&gt;0,"3 Yr. total",0),
IF(Z$7&lt;$C$4,0,IF(Z$8&lt;=SUMIFS('EE Inputs'!$V$9:$V$32,'EE Inputs'!$C$9:$C$32,$G$6,'EE Inputs'!$D$9:$D$32,$C$4,'EE Inputs'!$E$9:$E$32,$B249),SUMIFS('EE Inputs'!$V$9:$V$32,'EE Inputs'!$C$9:$C$32,$G$6,'EE Inputs'!$D$9:$D$32,$C$4,'EE Inputs'!$E$9:$E$32,$B249),0)))</f>
        <v>0</v>
      </c>
      <c r="AA249" s="65">
        <f ca="1">IF($C$4=Lookups!$D$40,IF(SUM(INDIRECT("'Yr1'!"&amp;ADDRESS(ROW(AA249),COLUMN(AA249))),INDIRECT("'Yr2'!"&amp;ADDRESS(ROW(AA249),COLUMN(AA249))),INDIRECT("'Yr3'!"&amp;ADDRESS(ROW(AA249),COLUMN(AA249))))&gt;0,"3 Yr. total",0),
IF(AA$7&lt;$C$4,0,IF(AA$8&lt;=SUMIFS('EE Inputs'!$V$9:$V$32,'EE Inputs'!$C$9:$C$32,$G$6,'EE Inputs'!$D$9:$D$32,$C$4,'EE Inputs'!$E$9:$E$32,$B249),SUMIFS('EE Inputs'!$V$9:$V$32,'EE Inputs'!$C$9:$C$32,$G$6,'EE Inputs'!$D$9:$D$32,$C$4,'EE Inputs'!$E$9:$E$32,$B249),0)))</f>
        <v>0</v>
      </c>
      <c r="AB249" s="65">
        <f ca="1">IF($C$4=Lookups!$D$40,IF(SUM(INDIRECT("'Yr1'!"&amp;ADDRESS(ROW(AB249),COLUMN(AB249))),INDIRECT("'Yr2'!"&amp;ADDRESS(ROW(AB249),COLUMN(AB249))),INDIRECT("'Yr3'!"&amp;ADDRESS(ROW(AB249),COLUMN(AB249))))&gt;0,"3 Yr. total",0),
IF(AB$7&lt;$C$4,0,IF(AB$8&lt;=SUMIFS('EE Inputs'!$V$9:$V$32,'EE Inputs'!$C$9:$C$32,$G$6,'EE Inputs'!$D$9:$D$32,$C$4,'EE Inputs'!$E$9:$E$32,$B249),SUMIFS('EE Inputs'!$V$9:$V$32,'EE Inputs'!$C$9:$C$32,$G$6,'EE Inputs'!$D$9:$D$32,$C$4,'EE Inputs'!$E$9:$E$32,$B249),0)))</f>
        <v>0</v>
      </c>
      <c r="AC249" s="65">
        <f ca="1">IF($C$4=Lookups!$D$40,IF(SUM(INDIRECT("'Yr1'!"&amp;ADDRESS(ROW(AC249),COLUMN(AC249))),INDIRECT("'Yr2'!"&amp;ADDRESS(ROW(AC249),COLUMN(AC249))),INDIRECT("'Yr3'!"&amp;ADDRESS(ROW(AC249),COLUMN(AC249))))&gt;0,"3 Yr. total",0),
IF(AC$7&lt;$C$4,0,IF(AC$8&lt;=SUMIFS('EE Inputs'!$V$9:$V$32,'EE Inputs'!$C$9:$C$32,$G$6,'EE Inputs'!$D$9:$D$32,$C$4,'EE Inputs'!$E$9:$E$32,$B249),SUMIFS('EE Inputs'!$V$9:$V$32,'EE Inputs'!$C$9:$C$32,$G$6,'EE Inputs'!$D$9:$D$32,$C$4,'EE Inputs'!$E$9:$E$32,$B249),0)))</f>
        <v>0</v>
      </c>
      <c r="AD249" s="65">
        <f ca="1">IF($C$4=Lookups!$D$40,IF(SUM(INDIRECT("'Yr1'!"&amp;ADDRESS(ROW(AD249),COLUMN(AD249))),INDIRECT("'Yr2'!"&amp;ADDRESS(ROW(AD249),COLUMN(AD249))),INDIRECT("'Yr3'!"&amp;ADDRESS(ROW(AD249),COLUMN(AD249))))&gt;0,"3 Yr. total",0),
IF(AD$7&lt;$C$4,0,IF(AD$8&lt;=SUMIFS('EE Inputs'!$V$9:$V$32,'EE Inputs'!$C$9:$C$32,$G$6,'EE Inputs'!$D$9:$D$32,$C$4,'EE Inputs'!$E$9:$E$32,$B249),SUMIFS('EE Inputs'!$V$9:$V$32,'EE Inputs'!$C$9:$C$32,$G$6,'EE Inputs'!$D$9:$D$32,$C$4,'EE Inputs'!$E$9:$E$32,$B249),0)))</f>
        <v>0</v>
      </c>
      <c r="AE249" s="65">
        <f ca="1">IF($C$4=Lookups!$D$40,IF(SUM(INDIRECT("'Yr1'!"&amp;ADDRESS(ROW(AE249),COLUMN(AE249))),INDIRECT("'Yr2'!"&amp;ADDRESS(ROW(AE249),COLUMN(AE249))),INDIRECT("'Yr3'!"&amp;ADDRESS(ROW(AE249),COLUMN(AE249))))&gt;0,"3 Yr. total",0),
IF(AE$7&lt;$C$4,0,IF(AE$8&lt;=SUMIFS('EE Inputs'!$V$9:$V$32,'EE Inputs'!$C$9:$C$32,$G$6,'EE Inputs'!$D$9:$D$32,$C$4,'EE Inputs'!$E$9:$E$32,$B249),SUMIFS('EE Inputs'!$V$9:$V$32,'EE Inputs'!$C$9:$C$32,$G$6,'EE Inputs'!$D$9:$D$32,$C$4,'EE Inputs'!$E$9:$E$32,$B249),0)))</f>
        <v>0</v>
      </c>
      <c r="AF249" s="65">
        <f ca="1">IF($C$4=Lookups!$D$40,IF(SUM(INDIRECT("'Yr1'!"&amp;ADDRESS(ROW(AF249),COLUMN(AF249))),INDIRECT("'Yr2'!"&amp;ADDRESS(ROW(AF249),COLUMN(AF249))),INDIRECT("'Yr3'!"&amp;ADDRESS(ROW(AF249),COLUMN(AF249))))&gt;0,"3 Yr. total",0),
IF(AF$7&lt;$C$4,0,IF(AF$8&lt;=SUMIFS('EE Inputs'!$V$9:$V$32,'EE Inputs'!$C$9:$C$32,$G$6,'EE Inputs'!$D$9:$D$32,$C$4,'EE Inputs'!$E$9:$E$32,$B249),SUMIFS('EE Inputs'!$V$9:$V$32,'EE Inputs'!$C$9:$C$32,$G$6,'EE Inputs'!$D$9:$D$32,$C$4,'EE Inputs'!$E$9:$E$32,$B249),0)))</f>
        <v>0</v>
      </c>
      <c r="AG249" s="65">
        <f ca="1">IF($C$4=Lookups!$D$40,IF(SUM(INDIRECT("'Yr1'!"&amp;ADDRESS(ROW(AG249),COLUMN(AG249))),INDIRECT("'Yr2'!"&amp;ADDRESS(ROW(AG249),COLUMN(AG249))),INDIRECT("'Yr3'!"&amp;ADDRESS(ROW(AG249),COLUMN(AG249))))&gt;0,"3 Yr. total",0),
IF(AG$7&lt;$C$4,0,IF(AG$8&lt;=SUMIFS('EE Inputs'!$V$9:$V$32,'EE Inputs'!$C$9:$C$32,$G$6,'EE Inputs'!$D$9:$D$32,$C$4,'EE Inputs'!$E$9:$E$32,$B249),SUMIFS('EE Inputs'!$V$9:$V$32,'EE Inputs'!$C$9:$C$32,$G$6,'EE Inputs'!$D$9:$D$32,$C$4,'EE Inputs'!$E$9:$E$32,$B249),0)))</f>
        <v>0</v>
      </c>
      <c r="AH249" s="65"/>
      <c r="AI249" s="65"/>
      <c r="AJ249" s="65"/>
      <c r="AM249" s="72">
        <f ca="1">IF($C$4=Lookups!$D$40,IF(SUM(INDIRECT("'Yr1'!"&amp;ADDRESS(ROW(AM249),COLUMN(AM249))),INDIRECT("'Yr2'!"&amp;ADDRESS(ROW(AM249),COLUMN(AM249))),INDIRECT("'Yr3'!"&amp;ADDRESS(ROW(AM249),COLUMN(AM249))))&gt;0,"3 Yr. total",0),
IF(AM$7&lt;$C$4,0,IF(AM$8&lt;=SUMIFS('EE Inputs'!$V$9:$V$32,'EE Inputs'!$C$9:$C$32,$AM$6,'EE Inputs'!$D$9:$D$32,$C$4,'EE Inputs'!$E$9:$E$32,$B249),SUMIFS('EE Inputs'!$V$9:$V$32,'EE Inputs'!$C$9:$C$32,$AM$6,'EE Inputs'!$D$9:$D$32,$C$4,'EE Inputs'!$E$9:$E$32,$B249),0)))</f>
        <v>0</v>
      </c>
      <c r="AN249" s="72">
        <f ca="1">IF($C$4=Lookups!$D$40,IF(SUM(INDIRECT("'Yr1'!"&amp;ADDRESS(ROW(AN249),COLUMN(AN249))),INDIRECT("'Yr2'!"&amp;ADDRESS(ROW(AN249),COLUMN(AN249))),INDIRECT("'Yr3'!"&amp;ADDRESS(ROW(AN249),COLUMN(AN249))))&gt;0,"3 Yr. total",0),
IF(AN$7&lt;$C$4,0,IF(AN$8&lt;=SUMIFS('EE Inputs'!$V$9:$V$32,'EE Inputs'!$C$9:$C$32,$AM$6,'EE Inputs'!$D$9:$D$32,$C$4,'EE Inputs'!$E$9:$E$32,$B249),SUMIFS('EE Inputs'!$V$9:$V$32,'EE Inputs'!$C$9:$C$32,$AM$6,'EE Inputs'!$D$9:$D$32,$C$4,'EE Inputs'!$E$9:$E$32,$B249),0)))</f>
        <v>13</v>
      </c>
      <c r="AO249" s="72">
        <f ca="1">IF($C$4=Lookups!$D$40,IF(SUM(INDIRECT("'Yr1'!"&amp;ADDRESS(ROW(AO249),COLUMN(AO249))),INDIRECT("'Yr2'!"&amp;ADDRESS(ROW(AO249),COLUMN(AO249))),INDIRECT("'Yr3'!"&amp;ADDRESS(ROW(AO249),COLUMN(AO249))))&gt;0,"3 Yr. total",0),
IF(AO$7&lt;$C$4,0,IF(AO$8&lt;=SUMIFS('EE Inputs'!$V$9:$V$32,'EE Inputs'!$C$9:$C$32,$AM$6,'EE Inputs'!$D$9:$D$32,$C$4,'EE Inputs'!$E$9:$E$32,$B249),SUMIFS('EE Inputs'!$V$9:$V$32,'EE Inputs'!$C$9:$C$32,$AM$6,'EE Inputs'!$D$9:$D$32,$C$4,'EE Inputs'!$E$9:$E$32,$B249),0)))</f>
        <v>13</v>
      </c>
      <c r="AP249" s="72">
        <f ca="1">IF($C$4=Lookups!$D$40,IF(SUM(INDIRECT("'Yr1'!"&amp;ADDRESS(ROW(AP249),COLUMN(AP249))),INDIRECT("'Yr2'!"&amp;ADDRESS(ROW(AP249),COLUMN(AP249))),INDIRECT("'Yr3'!"&amp;ADDRESS(ROW(AP249),COLUMN(AP249))))&gt;0,"3 Yr. total",0),
IF(AP$7&lt;$C$4,0,IF(AP$8&lt;=SUMIFS('EE Inputs'!$V$9:$V$32,'EE Inputs'!$C$9:$C$32,$AM$6,'EE Inputs'!$D$9:$D$32,$C$4,'EE Inputs'!$E$9:$E$32,$B249),SUMIFS('EE Inputs'!$V$9:$V$32,'EE Inputs'!$C$9:$C$32,$AM$6,'EE Inputs'!$D$9:$D$32,$C$4,'EE Inputs'!$E$9:$E$32,$B249),0)))</f>
        <v>13</v>
      </c>
      <c r="AQ249" s="72">
        <f ca="1">IF($C$4=Lookups!$D$40,IF(SUM(INDIRECT("'Yr1'!"&amp;ADDRESS(ROW(AQ249),COLUMN(AQ249))),INDIRECT("'Yr2'!"&amp;ADDRESS(ROW(AQ249),COLUMN(AQ249))),INDIRECT("'Yr3'!"&amp;ADDRESS(ROW(AQ249),COLUMN(AQ249))))&gt;0,"3 Yr. total",0),
IF(AQ$7&lt;$C$4,0,IF(AQ$8&lt;=SUMIFS('EE Inputs'!$V$9:$V$32,'EE Inputs'!$C$9:$C$32,$AM$6,'EE Inputs'!$D$9:$D$32,$C$4,'EE Inputs'!$E$9:$E$32,$B249),SUMIFS('EE Inputs'!$V$9:$V$32,'EE Inputs'!$C$9:$C$32,$AM$6,'EE Inputs'!$D$9:$D$32,$C$4,'EE Inputs'!$E$9:$E$32,$B249),0)))</f>
        <v>13</v>
      </c>
      <c r="AR249" s="72">
        <f ca="1">IF($C$4=Lookups!$D$40,IF(SUM(INDIRECT("'Yr1'!"&amp;ADDRESS(ROW(AR249),COLUMN(AR249))),INDIRECT("'Yr2'!"&amp;ADDRESS(ROW(AR249),COLUMN(AR249))),INDIRECT("'Yr3'!"&amp;ADDRESS(ROW(AR249),COLUMN(AR249))))&gt;0,"3 Yr. total",0),
IF(AR$7&lt;$C$4,0,IF(AR$8&lt;=SUMIFS('EE Inputs'!$V$9:$V$32,'EE Inputs'!$C$9:$C$32,$AM$6,'EE Inputs'!$D$9:$D$32,$C$4,'EE Inputs'!$E$9:$E$32,$B249),SUMIFS('EE Inputs'!$V$9:$V$32,'EE Inputs'!$C$9:$C$32,$AM$6,'EE Inputs'!$D$9:$D$32,$C$4,'EE Inputs'!$E$9:$E$32,$B249),0)))</f>
        <v>13</v>
      </c>
      <c r="AS249" s="72">
        <f ca="1">IF($C$4=Lookups!$D$40,IF(SUM(INDIRECT("'Yr1'!"&amp;ADDRESS(ROW(AS249),COLUMN(AS249))),INDIRECT("'Yr2'!"&amp;ADDRESS(ROW(AS249),COLUMN(AS249))),INDIRECT("'Yr3'!"&amp;ADDRESS(ROW(AS249),COLUMN(AS249))))&gt;0,"3 Yr. total",0),
IF(AS$7&lt;$C$4,0,IF(AS$8&lt;=SUMIFS('EE Inputs'!$V$9:$V$32,'EE Inputs'!$C$9:$C$32,$AM$6,'EE Inputs'!$D$9:$D$32,$C$4,'EE Inputs'!$E$9:$E$32,$B249),SUMIFS('EE Inputs'!$V$9:$V$32,'EE Inputs'!$C$9:$C$32,$AM$6,'EE Inputs'!$D$9:$D$32,$C$4,'EE Inputs'!$E$9:$E$32,$B249),0)))</f>
        <v>13</v>
      </c>
      <c r="AT249" s="72">
        <f ca="1">IF($C$4=Lookups!$D$40,IF(SUM(INDIRECT("'Yr1'!"&amp;ADDRESS(ROW(AT249),COLUMN(AT249))),INDIRECT("'Yr2'!"&amp;ADDRESS(ROW(AT249),COLUMN(AT249))),INDIRECT("'Yr3'!"&amp;ADDRESS(ROW(AT249),COLUMN(AT249))))&gt;0,"3 Yr. total",0),
IF(AT$7&lt;$C$4,0,IF(AT$8&lt;=SUMIFS('EE Inputs'!$V$9:$V$32,'EE Inputs'!$C$9:$C$32,$AM$6,'EE Inputs'!$D$9:$D$32,$C$4,'EE Inputs'!$E$9:$E$32,$B249),SUMIFS('EE Inputs'!$V$9:$V$32,'EE Inputs'!$C$9:$C$32,$AM$6,'EE Inputs'!$D$9:$D$32,$C$4,'EE Inputs'!$E$9:$E$32,$B249),0)))</f>
        <v>13</v>
      </c>
      <c r="AU249" s="72">
        <f ca="1">IF($C$4=Lookups!$D$40,IF(SUM(INDIRECT("'Yr1'!"&amp;ADDRESS(ROW(AU249),COLUMN(AU249))),INDIRECT("'Yr2'!"&amp;ADDRESS(ROW(AU249),COLUMN(AU249))),INDIRECT("'Yr3'!"&amp;ADDRESS(ROW(AU249),COLUMN(AU249))))&gt;0,"3 Yr. total",0),
IF(AU$7&lt;$C$4,0,IF(AU$8&lt;=SUMIFS('EE Inputs'!$V$9:$V$32,'EE Inputs'!$C$9:$C$32,$AM$6,'EE Inputs'!$D$9:$D$32,$C$4,'EE Inputs'!$E$9:$E$32,$B249),SUMIFS('EE Inputs'!$V$9:$V$32,'EE Inputs'!$C$9:$C$32,$AM$6,'EE Inputs'!$D$9:$D$32,$C$4,'EE Inputs'!$E$9:$E$32,$B249),0)))</f>
        <v>13</v>
      </c>
      <c r="AV249" s="72">
        <f ca="1">IF($C$4=Lookups!$D$40,IF(SUM(INDIRECT("'Yr1'!"&amp;ADDRESS(ROW(AV249),COLUMN(AV249))),INDIRECT("'Yr2'!"&amp;ADDRESS(ROW(AV249),COLUMN(AV249))),INDIRECT("'Yr3'!"&amp;ADDRESS(ROW(AV249),COLUMN(AV249))))&gt;0,"3 Yr. total",0),
IF(AV$7&lt;$C$4,0,IF(AV$8&lt;=SUMIFS('EE Inputs'!$V$9:$V$32,'EE Inputs'!$C$9:$C$32,$AM$6,'EE Inputs'!$D$9:$D$32,$C$4,'EE Inputs'!$E$9:$E$32,$B249),SUMIFS('EE Inputs'!$V$9:$V$32,'EE Inputs'!$C$9:$C$32,$AM$6,'EE Inputs'!$D$9:$D$32,$C$4,'EE Inputs'!$E$9:$E$32,$B249),0)))</f>
        <v>13</v>
      </c>
      <c r="AW249" s="72">
        <f ca="1">IF($C$4=Lookups!$D$40,IF(SUM(INDIRECT("'Yr1'!"&amp;ADDRESS(ROW(AW249),COLUMN(AW249))),INDIRECT("'Yr2'!"&amp;ADDRESS(ROW(AW249),COLUMN(AW249))),INDIRECT("'Yr3'!"&amp;ADDRESS(ROW(AW249),COLUMN(AW249))))&gt;0,"3 Yr. total",0),
IF(AW$7&lt;$C$4,0,IF(AW$8&lt;=SUMIFS('EE Inputs'!$V$9:$V$32,'EE Inputs'!$C$9:$C$32,$AM$6,'EE Inputs'!$D$9:$D$32,$C$4,'EE Inputs'!$E$9:$E$32,$B249),SUMIFS('EE Inputs'!$V$9:$V$32,'EE Inputs'!$C$9:$C$32,$AM$6,'EE Inputs'!$D$9:$D$32,$C$4,'EE Inputs'!$E$9:$E$32,$B249),0)))</f>
        <v>13</v>
      </c>
      <c r="AX249" s="72">
        <f ca="1">IF($C$4=Lookups!$D$40,IF(SUM(INDIRECT("'Yr1'!"&amp;ADDRESS(ROW(AX249),COLUMN(AX249))),INDIRECT("'Yr2'!"&amp;ADDRESS(ROW(AX249),COLUMN(AX249))),INDIRECT("'Yr3'!"&amp;ADDRESS(ROW(AX249),COLUMN(AX249))))&gt;0,"3 Yr. total",0),
IF(AX$7&lt;$C$4,0,IF(AX$8&lt;=SUMIFS('EE Inputs'!$V$9:$V$32,'EE Inputs'!$C$9:$C$32,$AM$6,'EE Inputs'!$D$9:$D$32,$C$4,'EE Inputs'!$E$9:$E$32,$B249),SUMIFS('EE Inputs'!$V$9:$V$32,'EE Inputs'!$C$9:$C$32,$AM$6,'EE Inputs'!$D$9:$D$32,$C$4,'EE Inputs'!$E$9:$E$32,$B249),0)))</f>
        <v>13</v>
      </c>
      <c r="AY249" s="72">
        <f ca="1">IF($C$4=Lookups!$D$40,IF(SUM(INDIRECT("'Yr1'!"&amp;ADDRESS(ROW(AY249),COLUMN(AY249))),INDIRECT("'Yr2'!"&amp;ADDRESS(ROW(AY249),COLUMN(AY249))),INDIRECT("'Yr3'!"&amp;ADDRESS(ROW(AY249),COLUMN(AY249))))&gt;0,"3 Yr. total",0),
IF(AY$7&lt;$C$4,0,IF(AY$8&lt;=SUMIFS('EE Inputs'!$V$9:$V$32,'EE Inputs'!$C$9:$C$32,$AM$6,'EE Inputs'!$D$9:$D$32,$C$4,'EE Inputs'!$E$9:$E$32,$B249),SUMIFS('EE Inputs'!$V$9:$V$32,'EE Inputs'!$C$9:$C$32,$AM$6,'EE Inputs'!$D$9:$D$32,$C$4,'EE Inputs'!$E$9:$E$32,$B249),0)))</f>
        <v>13</v>
      </c>
      <c r="AZ249" s="72">
        <f ca="1">IF($C$4=Lookups!$D$40,IF(SUM(INDIRECT("'Yr1'!"&amp;ADDRESS(ROW(AZ249),COLUMN(AZ249))),INDIRECT("'Yr2'!"&amp;ADDRESS(ROW(AZ249),COLUMN(AZ249))),INDIRECT("'Yr3'!"&amp;ADDRESS(ROW(AZ249),COLUMN(AZ249))))&gt;0,"3 Yr. total",0),
IF(AZ$7&lt;$C$4,0,IF(AZ$8&lt;=SUMIFS('EE Inputs'!$V$9:$V$32,'EE Inputs'!$C$9:$C$32,$AM$6,'EE Inputs'!$D$9:$D$32,$C$4,'EE Inputs'!$E$9:$E$32,$B249),SUMIFS('EE Inputs'!$V$9:$V$32,'EE Inputs'!$C$9:$C$32,$AM$6,'EE Inputs'!$D$9:$D$32,$C$4,'EE Inputs'!$E$9:$E$32,$B249),0)))</f>
        <v>13</v>
      </c>
      <c r="BA249" s="72">
        <f ca="1">IF($C$4=Lookups!$D$40,IF(SUM(INDIRECT("'Yr1'!"&amp;ADDRESS(ROW(BA249),COLUMN(BA249))),INDIRECT("'Yr2'!"&amp;ADDRESS(ROW(BA249),COLUMN(BA249))),INDIRECT("'Yr3'!"&amp;ADDRESS(ROW(BA249),COLUMN(BA249))))&gt;0,"3 Yr. total",0),
IF(BA$7&lt;$C$4,0,IF(BA$8&lt;=SUMIFS('EE Inputs'!$V$9:$V$32,'EE Inputs'!$C$9:$C$32,$AM$6,'EE Inputs'!$D$9:$D$32,$C$4,'EE Inputs'!$E$9:$E$32,$B249),SUMIFS('EE Inputs'!$V$9:$V$32,'EE Inputs'!$C$9:$C$32,$AM$6,'EE Inputs'!$D$9:$D$32,$C$4,'EE Inputs'!$E$9:$E$32,$B249),0)))</f>
        <v>0</v>
      </c>
      <c r="BB249" s="72">
        <f ca="1">IF($C$4=Lookups!$D$40,IF(SUM(INDIRECT("'Yr1'!"&amp;ADDRESS(ROW(BB249),COLUMN(BB249))),INDIRECT("'Yr2'!"&amp;ADDRESS(ROW(BB249),COLUMN(BB249))),INDIRECT("'Yr3'!"&amp;ADDRESS(ROW(BB249),COLUMN(BB249))))&gt;0,"3 Yr. total",0),
IF(BB$7&lt;$C$4,0,IF(BB$8&lt;=SUMIFS('EE Inputs'!$V$9:$V$32,'EE Inputs'!$C$9:$C$32,$AM$6,'EE Inputs'!$D$9:$D$32,$C$4,'EE Inputs'!$E$9:$E$32,$B249),SUMIFS('EE Inputs'!$V$9:$V$32,'EE Inputs'!$C$9:$C$32,$AM$6,'EE Inputs'!$D$9:$D$32,$C$4,'EE Inputs'!$E$9:$E$32,$B249),0)))</f>
        <v>0</v>
      </c>
      <c r="BC249" s="72">
        <f ca="1">IF($C$4=Lookups!$D$40,IF(SUM(INDIRECT("'Yr1'!"&amp;ADDRESS(ROW(BC249),COLUMN(BC249))),INDIRECT("'Yr2'!"&amp;ADDRESS(ROW(BC249),COLUMN(BC249))),INDIRECT("'Yr3'!"&amp;ADDRESS(ROW(BC249),COLUMN(BC249))))&gt;0,"3 Yr. total",0),
IF(BC$7&lt;$C$4,0,IF(BC$8&lt;=SUMIFS('EE Inputs'!$V$9:$V$32,'EE Inputs'!$C$9:$C$32,$AM$6,'EE Inputs'!$D$9:$D$32,$C$4,'EE Inputs'!$E$9:$E$32,$B249),SUMIFS('EE Inputs'!$V$9:$V$32,'EE Inputs'!$C$9:$C$32,$AM$6,'EE Inputs'!$D$9:$D$32,$C$4,'EE Inputs'!$E$9:$E$32,$B249),0)))</f>
        <v>0</v>
      </c>
      <c r="BD249" s="72">
        <f ca="1">IF($C$4=Lookups!$D$40,IF(SUM(INDIRECT("'Yr1'!"&amp;ADDRESS(ROW(BD249),COLUMN(BD249))),INDIRECT("'Yr2'!"&amp;ADDRESS(ROW(BD249),COLUMN(BD249))),INDIRECT("'Yr3'!"&amp;ADDRESS(ROW(BD249),COLUMN(BD249))))&gt;0,"3 Yr. total",0),
IF(BD$7&lt;$C$4,0,IF(BD$8&lt;=SUMIFS('EE Inputs'!$V$9:$V$32,'EE Inputs'!$C$9:$C$32,$AM$6,'EE Inputs'!$D$9:$D$32,$C$4,'EE Inputs'!$E$9:$E$32,$B249),SUMIFS('EE Inputs'!$V$9:$V$32,'EE Inputs'!$C$9:$C$32,$AM$6,'EE Inputs'!$D$9:$D$32,$C$4,'EE Inputs'!$E$9:$E$32,$B249),0)))</f>
        <v>0</v>
      </c>
      <c r="BE249" s="72">
        <f ca="1">IF($C$4=Lookups!$D$40,IF(SUM(INDIRECT("'Yr1'!"&amp;ADDRESS(ROW(BE249),COLUMN(BE249))),INDIRECT("'Yr2'!"&amp;ADDRESS(ROW(BE249),COLUMN(BE249))),INDIRECT("'Yr3'!"&amp;ADDRESS(ROW(BE249),COLUMN(BE249))))&gt;0,"3 Yr. total",0),
IF(BE$7&lt;$C$4,0,IF(BE$8&lt;=SUMIFS('EE Inputs'!$V$9:$V$32,'EE Inputs'!$C$9:$C$32,$AM$6,'EE Inputs'!$D$9:$D$32,$C$4,'EE Inputs'!$E$9:$E$32,$B249),SUMIFS('EE Inputs'!$V$9:$V$32,'EE Inputs'!$C$9:$C$32,$AM$6,'EE Inputs'!$D$9:$D$32,$C$4,'EE Inputs'!$E$9:$E$32,$B249),0)))</f>
        <v>0</v>
      </c>
      <c r="BF249" s="72">
        <f ca="1">IF($C$4=Lookups!$D$40,IF(SUM(INDIRECT("'Yr1'!"&amp;ADDRESS(ROW(BF249),COLUMN(BF249))),INDIRECT("'Yr2'!"&amp;ADDRESS(ROW(BF249),COLUMN(BF249))),INDIRECT("'Yr3'!"&amp;ADDRESS(ROW(BF249),COLUMN(BF249))))&gt;0,"3 Yr. total",0),
IF(BF$7&lt;$C$4,0,IF(BF$8&lt;=SUMIFS('EE Inputs'!$V$9:$V$32,'EE Inputs'!$C$9:$C$32,$AM$6,'EE Inputs'!$D$9:$D$32,$C$4,'EE Inputs'!$E$9:$E$32,$B249),SUMIFS('EE Inputs'!$V$9:$V$32,'EE Inputs'!$C$9:$C$32,$AM$6,'EE Inputs'!$D$9:$D$32,$C$4,'EE Inputs'!$E$9:$E$32,$B249),0)))</f>
        <v>0</v>
      </c>
      <c r="BG249" s="72">
        <f ca="1">IF($C$4=Lookups!$D$40,IF(SUM(INDIRECT("'Yr1'!"&amp;ADDRESS(ROW(BG249),COLUMN(BG249))),INDIRECT("'Yr2'!"&amp;ADDRESS(ROW(BG249),COLUMN(BG249))),INDIRECT("'Yr3'!"&amp;ADDRESS(ROW(BG249),COLUMN(BG249))))&gt;0,"3 Yr. total",0),
IF(BG$7&lt;$C$4,0,IF(BG$8&lt;=SUMIFS('EE Inputs'!$V$9:$V$32,'EE Inputs'!$C$9:$C$32,$AM$6,'EE Inputs'!$D$9:$D$32,$C$4,'EE Inputs'!$E$9:$E$32,$B249),SUMIFS('EE Inputs'!$V$9:$V$32,'EE Inputs'!$C$9:$C$32,$AM$6,'EE Inputs'!$D$9:$D$32,$C$4,'EE Inputs'!$E$9:$E$32,$B249),0)))</f>
        <v>0</v>
      </c>
      <c r="BH249" s="72">
        <f ca="1">IF($C$4=Lookups!$D$40,IF(SUM(INDIRECT("'Yr1'!"&amp;ADDRESS(ROW(BH249),COLUMN(BH249))),INDIRECT("'Yr2'!"&amp;ADDRESS(ROW(BH249),COLUMN(BH249))),INDIRECT("'Yr3'!"&amp;ADDRESS(ROW(BH249),COLUMN(BH249))))&gt;0,"3 Yr. total",0),
IF(BH$7&lt;$C$4,0,IF(BH$8&lt;=SUMIFS('EE Inputs'!$V$9:$V$32,'EE Inputs'!$C$9:$C$32,$AM$6,'EE Inputs'!$D$9:$D$32,$C$4,'EE Inputs'!$E$9:$E$32,$B249),SUMIFS('EE Inputs'!$V$9:$V$32,'EE Inputs'!$C$9:$C$32,$AM$6,'EE Inputs'!$D$9:$D$32,$C$4,'EE Inputs'!$E$9:$E$32,$B249),0)))</f>
        <v>0</v>
      </c>
      <c r="BI249" s="72">
        <f ca="1">IF($C$4=Lookups!$D$40,IF(SUM(INDIRECT("'Yr1'!"&amp;ADDRESS(ROW(BI249),COLUMN(BI249))),INDIRECT("'Yr2'!"&amp;ADDRESS(ROW(BI249),COLUMN(BI249))),INDIRECT("'Yr3'!"&amp;ADDRESS(ROW(BI249),COLUMN(BI249))))&gt;0,"3 Yr. total",0),
IF(BI$7&lt;$C$4,0,IF(BI$8&lt;=SUMIFS('EE Inputs'!$V$9:$V$32,'EE Inputs'!$C$9:$C$32,$AM$6,'EE Inputs'!$D$9:$D$32,$C$4,'EE Inputs'!$E$9:$E$32,$B249),SUMIFS('EE Inputs'!$V$9:$V$32,'EE Inputs'!$C$9:$C$32,$AM$6,'EE Inputs'!$D$9:$D$32,$C$4,'EE Inputs'!$E$9:$E$32,$B249),0)))</f>
        <v>0</v>
      </c>
      <c r="BJ249" s="72">
        <f ca="1">IF($C$4=Lookups!$D$40,IF(SUM(INDIRECT("'Yr1'!"&amp;ADDRESS(ROW(BJ249),COLUMN(BJ249))),INDIRECT("'Yr2'!"&amp;ADDRESS(ROW(BJ249),COLUMN(BJ249))),INDIRECT("'Yr3'!"&amp;ADDRESS(ROW(BJ249),COLUMN(BJ249))))&gt;0,"3 Yr. total",0),
IF(BJ$7&lt;$C$4,0,IF(BJ$8&lt;=SUMIFS('EE Inputs'!$V$9:$V$32,'EE Inputs'!$C$9:$C$32,$AM$6,'EE Inputs'!$D$9:$D$32,$C$4,'EE Inputs'!$E$9:$E$32,$B249),SUMIFS('EE Inputs'!$V$9:$V$32,'EE Inputs'!$C$9:$C$32,$AM$6,'EE Inputs'!$D$9:$D$32,$C$4,'EE Inputs'!$E$9:$E$32,$B249),0)))</f>
        <v>0</v>
      </c>
      <c r="BK249" s="72">
        <f ca="1">IF($C$4=Lookups!$D$40,IF(SUM(INDIRECT("'Yr1'!"&amp;ADDRESS(ROW(BK249),COLUMN(BK249))),INDIRECT("'Yr2'!"&amp;ADDRESS(ROW(BK249),COLUMN(BK249))),INDIRECT("'Yr3'!"&amp;ADDRESS(ROW(BK249),COLUMN(BK249))))&gt;0,"3 Yr. total",0),
IF(BK$7&lt;$C$4,0,IF(BK$8&lt;=SUMIFS('EE Inputs'!$V$9:$V$32,'EE Inputs'!$C$9:$C$32,$AM$6,'EE Inputs'!$D$9:$D$32,$C$4,'EE Inputs'!$E$9:$E$32,$B249),SUMIFS('EE Inputs'!$V$9:$V$32,'EE Inputs'!$C$9:$C$32,$AM$6,'EE Inputs'!$D$9:$D$32,$C$4,'EE Inputs'!$E$9:$E$32,$B249),0)))</f>
        <v>0</v>
      </c>
      <c r="BL249" s="72">
        <f ca="1">IF($C$4=Lookups!$D$40,IF(SUM(INDIRECT("'Yr1'!"&amp;ADDRESS(ROW(BL249),COLUMN(BL249))),INDIRECT("'Yr2'!"&amp;ADDRESS(ROW(BL249),COLUMN(BL249))),INDIRECT("'Yr3'!"&amp;ADDRESS(ROW(BL249),COLUMN(BL249))))&gt;0,"3 Yr. total",0),
IF(BL$7&lt;$C$4,0,IF(BL$8&lt;=SUMIFS('EE Inputs'!$V$9:$V$32,'EE Inputs'!$C$9:$C$32,$AM$6,'EE Inputs'!$D$9:$D$32,$C$4,'EE Inputs'!$E$9:$E$32,$B249),SUMIFS('EE Inputs'!$V$9:$V$32,'EE Inputs'!$C$9:$C$32,$AM$6,'EE Inputs'!$D$9:$D$32,$C$4,'EE Inputs'!$E$9:$E$32,$B249),0)))</f>
        <v>0</v>
      </c>
      <c r="BM249" s="72">
        <f ca="1">IF($C$4=Lookups!$D$40,IF(SUM(INDIRECT("'Yr1'!"&amp;ADDRESS(ROW(BM249),COLUMN(BM249))),INDIRECT("'Yr2'!"&amp;ADDRESS(ROW(BM249),COLUMN(BM249))),INDIRECT("'Yr3'!"&amp;ADDRESS(ROW(BM249),COLUMN(BM249))))&gt;0,"3 Yr. total",0),
IF(BM$7&lt;$C$4,0,IF(BM$8&lt;=SUMIFS('EE Inputs'!$V$9:$V$32,'EE Inputs'!$C$9:$C$32,$AM$6,'EE Inputs'!$D$9:$D$32,$C$4,'EE Inputs'!$E$9:$E$32,$B249),SUMIFS('EE Inputs'!$V$9:$V$32,'EE Inputs'!$C$9:$C$32,$AM$6,'EE Inputs'!$D$9:$D$32,$C$4,'EE Inputs'!$E$9:$E$32,$B249),0)))</f>
        <v>0</v>
      </c>
      <c r="BN249" s="72"/>
      <c r="BO249" s="72"/>
      <c r="BP249" s="72"/>
      <c r="BS249" s="76" t="s">
        <v>90</v>
      </c>
      <c r="BT249" s="51" t="s">
        <v>17</v>
      </c>
    </row>
    <row r="250" spans="1:72" s="5" customFormat="1" x14ac:dyDescent="0.25">
      <c r="A250" s="52"/>
      <c r="B250" s="242" t="str">
        <f t="shared" si="273"/>
        <v>Large C&amp;I</v>
      </c>
      <c r="C250" s="242" t="str">
        <f>C249</f>
        <v>Customers</v>
      </c>
      <c r="D250" s="77" t="s">
        <v>17</v>
      </c>
      <c r="E250" s="76"/>
      <c r="F250" s="76"/>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S250" s="76"/>
      <c r="BT250" s="51" t="s">
        <v>17</v>
      </c>
    </row>
    <row r="251" spans="1:72" s="5" customFormat="1" ht="15.75" x14ac:dyDescent="0.25">
      <c r="A251" s="52"/>
      <c r="B251" s="241" t="str">
        <f t="shared" si="273"/>
        <v>Large C&amp;I</v>
      </c>
      <c r="C251" s="63" t="s">
        <v>4</v>
      </c>
      <c r="D251" s="61"/>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2"/>
      <c r="BO251" s="62"/>
      <c r="BP251" s="62"/>
      <c r="BS251" s="62"/>
      <c r="BT251" s="51" t="s">
        <v>17</v>
      </c>
    </row>
    <row r="252" spans="1:72" x14ac:dyDescent="0.25">
      <c r="B252" s="243" t="str">
        <f t="shared" si="273"/>
        <v>Large C&amp;I</v>
      </c>
      <c r="C252" s="243" t="str">
        <f>C251</f>
        <v>Sales</v>
      </c>
      <c r="D252" s="244" t="str">
        <f>"Sales before DSM ("&amp;Lookups!$D$22&amp;" Scenario)"</f>
        <v>Sales before DSM (No EE Scenario)</v>
      </c>
      <c r="E252" s="85" t="str">
        <f>"Sales before DSM ("&amp;Lookups!$D$22&amp;" Scenario)"</f>
        <v>Sales before DSM (No EE Scenario)</v>
      </c>
      <c r="F252" s="84" t="s">
        <v>195</v>
      </c>
      <c r="G252" s="64">
        <f>IF(G$8=0,0,INDEX('Multi-Year Inputs'!$E$41:$AE$44,MATCH($B252,'Multi-Year Inputs'!$D$41:$D$44,0),MATCH(G$7,'Multi-Year Inputs'!$E$4:$AE$4,0)))</f>
        <v>0</v>
      </c>
      <c r="H252" s="64">
        <f>IF(H$8=0,0,INDEX('Multi-Year Inputs'!$E$41:$AE$44,MATCH($B252,'Multi-Year Inputs'!$D$41:$D$44,0),MATCH(H$7,'Multi-Year Inputs'!$E$4:$AE$4,0)))</f>
        <v>11263405.136430969</v>
      </c>
      <c r="I252" s="64">
        <f>IF(I$8=0,0,INDEX('Multi-Year Inputs'!$E$41:$AE$44,MATCH($B252,'Multi-Year Inputs'!$D$41:$D$44,0),MATCH(I$7,'Multi-Year Inputs'!$E$4:$AE$4,0)))</f>
        <v>11263405.136430969</v>
      </c>
      <c r="J252" s="64">
        <f>IF(J$8=0,0,INDEX('Multi-Year Inputs'!$E$41:$AE$44,MATCH($B252,'Multi-Year Inputs'!$D$41:$D$44,0),MATCH(J$7,'Multi-Year Inputs'!$E$4:$AE$4,0)))</f>
        <v>11263405.136430969</v>
      </c>
      <c r="K252" s="64">
        <f>IF(K$8=0,0,INDEX('Multi-Year Inputs'!$E$41:$AE$44,MATCH($B252,'Multi-Year Inputs'!$D$41:$D$44,0),MATCH(K$7,'Multi-Year Inputs'!$E$4:$AE$4,0)))</f>
        <v>11263405.136430969</v>
      </c>
      <c r="L252" s="64">
        <f>IF(L$8=0,0,INDEX('Multi-Year Inputs'!$E$41:$AE$44,MATCH($B252,'Multi-Year Inputs'!$D$41:$D$44,0),MATCH(L$7,'Multi-Year Inputs'!$E$4:$AE$4,0)))</f>
        <v>11263405.136430969</v>
      </c>
      <c r="M252" s="64">
        <f>IF(M$8=0,0,INDEX('Multi-Year Inputs'!$E$41:$AE$44,MATCH($B252,'Multi-Year Inputs'!$D$41:$D$44,0),MATCH(M$7,'Multi-Year Inputs'!$E$4:$AE$4,0)))</f>
        <v>11263405.136430969</v>
      </c>
      <c r="N252" s="64">
        <f>IF(N$8=0,0,INDEX('Multi-Year Inputs'!$E$41:$AE$44,MATCH($B252,'Multi-Year Inputs'!$D$41:$D$44,0),MATCH(N$7,'Multi-Year Inputs'!$E$4:$AE$4,0)))</f>
        <v>11263405.136430969</v>
      </c>
      <c r="O252" s="64">
        <f>IF(O$8=0,0,INDEX('Multi-Year Inputs'!$E$41:$AE$44,MATCH($B252,'Multi-Year Inputs'!$D$41:$D$44,0),MATCH(O$7,'Multi-Year Inputs'!$E$4:$AE$4,0)))</f>
        <v>11263405.136430969</v>
      </c>
      <c r="P252" s="64">
        <f>IF(P$8=0,0,INDEX('Multi-Year Inputs'!$E$41:$AE$44,MATCH($B252,'Multi-Year Inputs'!$D$41:$D$44,0),MATCH(P$7,'Multi-Year Inputs'!$E$4:$AE$4,0)))</f>
        <v>11263405.136430969</v>
      </c>
      <c r="Q252" s="64">
        <f>IF(Q$8=0,0,INDEX('Multi-Year Inputs'!$E$41:$AE$44,MATCH($B252,'Multi-Year Inputs'!$D$41:$D$44,0),MATCH(Q$7,'Multi-Year Inputs'!$E$4:$AE$4,0)))</f>
        <v>11263405.136430969</v>
      </c>
      <c r="R252" s="64">
        <f>IF(R$8=0,0,INDEX('Multi-Year Inputs'!$E$41:$AE$44,MATCH($B252,'Multi-Year Inputs'!$D$41:$D$44,0),MATCH(R$7,'Multi-Year Inputs'!$E$4:$AE$4,0)))</f>
        <v>11263405.136430969</v>
      </c>
      <c r="S252" s="64">
        <f>IF(S$8=0,0,INDEX('Multi-Year Inputs'!$E$41:$AE$44,MATCH($B252,'Multi-Year Inputs'!$D$41:$D$44,0),MATCH(S$7,'Multi-Year Inputs'!$E$4:$AE$4,0)))</f>
        <v>11263405.136430969</v>
      </c>
      <c r="T252" s="64">
        <f>IF(T$8=0,0,INDEX('Multi-Year Inputs'!$E$41:$AE$44,MATCH($B252,'Multi-Year Inputs'!$D$41:$D$44,0),MATCH(T$7,'Multi-Year Inputs'!$E$4:$AE$4,0)))</f>
        <v>11263405.136430969</v>
      </c>
      <c r="U252" s="64">
        <f>IF(U$8=0,0,INDEX('Multi-Year Inputs'!$E$41:$AE$44,MATCH($B252,'Multi-Year Inputs'!$D$41:$D$44,0),MATCH(U$7,'Multi-Year Inputs'!$E$4:$AE$4,0)))</f>
        <v>11263405.136430969</v>
      </c>
      <c r="V252" s="64">
        <f>IF(V$8=0,0,INDEX('Multi-Year Inputs'!$E$41:$AE$44,MATCH($B252,'Multi-Year Inputs'!$D$41:$D$44,0),MATCH(V$7,'Multi-Year Inputs'!$E$4:$AE$4,0)))</f>
        <v>11263405.136430969</v>
      </c>
      <c r="W252" s="64">
        <f>IF(W$8=0,0,INDEX('Multi-Year Inputs'!$E$41:$AE$44,MATCH($B252,'Multi-Year Inputs'!$D$41:$D$44,0),MATCH(W$7,'Multi-Year Inputs'!$E$4:$AE$4,0)))</f>
        <v>11263405.136430969</v>
      </c>
      <c r="X252" s="64">
        <f>IF(X$8=0,0,INDEX('Multi-Year Inputs'!$E$41:$AE$44,MATCH($B252,'Multi-Year Inputs'!$D$41:$D$44,0),MATCH(X$7,'Multi-Year Inputs'!$E$4:$AE$4,0)))</f>
        <v>11263405.136430969</v>
      </c>
      <c r="Y252" s="64">
        <f>IF(Y$8=0,0,INDEX('Multi-Year Inputs'!$E$41:$AE$44,MATCH($B252,'Multi-Year Inputs'!$D$41:$D$44,0),MATCH(Y$7,'Multi-Year Inputs'!$E$4:$AE$4,0)))</f>
        <v>11263405.136430969</v>
      </c>
      <c r="Z252" s="64">
        <f>IF(Z$8=0,0,INDEX('Multi-Year Inputs'!$E$41:$AE$44,MATCH($B252,'Multi-Year Inputs'!$D$41:$D$44,0),MATCH(Z$7,'Multi-Year Inputs'!$E$4:$AE$4,0)))</f>
        <v>11263405.136430969</v>
      </c>
      <c r="AA252" s="64">
        <f>IF(AA$8=0,0,INDEX('Multi-Year Inputs'!$E$41:$AE$44,MATCH($B252,'Multi-Year Inputs'!$D$41:$D$44,0),MATCH(AA$7,'Multi-Year Inputs'!$E$4:$AE$4,0)))</f>
        <v>11263405.136430969</v>
      </c>
      <c r="AB252" s="64">
        <f>IF(AB$8=0,0,INDEX('Multi-Year Inputs'!$E$41:$AE$44,MATCH($B252,'Multi-Year Inputs'!$D$41:$D$44,0),MATCH(AB$7,'Multi-Year Inputs'!$E$4:$AE$4,0)))</f>
        <v>11263405.136430969</v>
      </c>
      <c r="AC252" s="64">
        <f>IF(AC$8=0,0,INDEX('Multi-Year Inputs'!$E$41:$AE$44,MATCH($B252,'Multi-Year Inputs'!$D$41:$D$44,0),MATCH(AC$7,'Multi-Year Inputs'!$E$4:$AE$4,0)))</f>
        <v>11263405.136430969</v>
      </c>
      <c r="AD252" s="64">
        <f>IF(AD$8=0,0,INDEX('Multi-Year Inputs'!$E$41:$AE$44,MATCH($B252,'Multi-Year Inputs'!$D$41:$D$44,0),MATCH(AD$7,'Multi-Year Inputs'!$E$4:$AE$4,0)))</f>
        <v>11263405.136430969</v>
      </c>
      <c r="AE252" s="64">
        <f>IF(AE$8=0,0,INDEX('Multi-Year Inputs'!$E$41:$AE$44,MATCH($B252,'Multi-Year Inputs'!$D$41:$D$44,0),MATCH(AE$7,'Multi-Year Inputs'!$E$4:$AE$4,0)))</f>
        <v>11263405.136430969</v>
      </c>
      <c r="AF252" s="64">
        <f>IF(AF$8=0,0,INDEX('Multi-Year Inputs'!$E$41:$AE$44,MATCH($B252,'Multi-Year Inputs'!$D$41:$D$44,0),MATCH(AF$7,'Multi-Year Inputs'!$E$4:$AE$4,0)))</f>
        <v>11263405.136430969</v>
      </c>
      <c r="AG252" s="64">
        <f>IF(AG$8=0,0,INDEX('Multi-Year Inputs'!$E$41:$AE$44,MATCH($B252,'Multi-Year Inputs'!$D$41:$D$44,0),MATCH(AG$7,'Multi-Year Inputs'!$E$4:$AE$4,0)))</f>
        <v>11263405.136430969</v>
      </c>
      <c r="AH252" s="64"/>
      <c r="AI252" s="64">
        <f t="shared" ref="AI252:AI254" si="274">SUM(G252:AG252)</f>
        <v>292848533.54720527</v>
      </c>
      <c r="AJ252" s="64"/>
      <c r="AM252" s="71">
        <f>IF(AM$8=0,0,INDEX('Multi-Year Inputs'!$E$41:$AE$44,MATCH($B252,'Multi-Year Inputs'!$D$41:$D$44,0),MATCH(AM$7,'Multi-Year Inputs'!$E$4:$AE$4,0)))</f>
        <v>0</v>
      </c>
      <c r="AN252" s="71">
        <f>IF(AN$8=0,0,INDEX('Multi-Year Inputs'!$E$41:$AE$44,MATCH($B252,'Multi-Year Inputs'!$D$41:$D$44,0),MATCH(AN$7,'Multi-Year Inputs'!$E$4:$AE$4,0)))</f>
        <v>11263405.136430969</v>
      </c>
      <c r="AO252" s="71">
        <f>IF(AO$8=0,0,INDEX('Multi-Year Inputs'!$E$41:$AE$44,MATCH($B252,'Multi-Year Inputs'!$D$41:$D$44,0),MATCH(AO$7,'Multi-Year Inputs'!$E$4:$AE$4,0)))</f>
        <v>11263405.136430969</v>
      </c>
      <c r="AP252" s="71">
        <f>IF(AP$8=0,0,INDEX('Multi-Year Inputs'!$E$41:$AE$44,MATCH($B252,'Multi-Year Inputs'!$D$41:$D$44,0),MATCH(AP$7,'Multi-Year Inputs'!$E$4:$AE$4,0)))</f>
        <v>11263405.136430969</v>
      </c>
      <c r="AQ252" s="71">
        <f>IF(AQ$8=0,0,INDEX('Multi-Year Inputs'!$E$41:$AE$44,MATCH($B252,'Multi-Year Inputs'!$D$41:$D$44,0),MATCH(AQ$7,'Multi-Year Inputs'!$E$4:$AE$4,0)))</f>
        <v>11263405.136430969</v>
      </c>
      <c r="AR252" s="71">
        <f>IF(AR$8=0,0,INDEX('Multi-Year Inputs'!$E$41:$AE$44,MATCH($B252,'Multi-Year Inputs'!$D$41:$D$44,0),MATCH(AR$7,'Multi-Year Inputs'!$E$4:$AE$4,0)))</f>
        <v>11263405.136430969</v>
      </c>
      <c r="AS252" s="71">
        <f>IF(AS$8=0,0,INDEX('Multi-Year Inputs'!$E$41:$AE$44,MATCH($B252,'Multi-Year Inputs'!$D$41:$D$44,0),MATCH(AS$7,'Multi-Year Inputs'!$E$4:$AE$4,0)))</f>
        <v>11263405.136430969</v>
      </c>
      <c r="AT252" s="71">
        <f>IF(AT$8=0,0,INDEX('Multi-Year Inputs'!$E$41:$AE$44,MATCH($B252,'Multi-Year Inputs'!$D$41:$D$44,0),MATCH(AT$7,'Multi-Year Inputs'!$E$4:$AE$4,0)))</f>
        <v>11263405.136430969</v>
      </c>
      <c r="AU252" s="71">
        <f>IF(AU$8=0,0,INDEX('Multi-Year Inputs'!$E$41:$AE$44,MATCH($B252,'Multi-Year Inputs'!$D$41:$D$44,0),MATCH(AU$7,'Multi-Year Inputs'!$E$4:$AE$4,0)))</f>
        <v>11263405.136430969</v>
      </c>
      <c r="AV252" s="71">
        <f>IF(AV$8=0,0,INDEX('Multi-Year Inputs'!$E$41:$AE$44,MATCH($B252,'Multi-Year Inputs'!$D$41:$D$44,0),MATCH(AV$7,'Multi-Year Inputs'!$E$4:$AE$4,0)))</f>
        <v>11263405.136430969</v>
      </c>
      <c r="AW252" s="71">
        <f>IF(AW$8=0,0,INDEX('Multi-Year Inputs'!$E$41:$AE$44,MATCH($B252,'Multi-Year Inputs'!$D$41:$D$44,0),MATCH(AW$7,'Multi-Year Inputs'!$E$4:$AE$4,0)))</f>
        <v>11263405.136430969</v>
      </c>
      <c r="AX252" s="71">
        <f>IF(AX$8=0,0,INDEX('Multi-Year Inputs'!$E$41:$AE$44,MATCH($B252,'Multi-Year Inputs'!$D$41:$D$44,0),MATCH(AX$7,'Multi-Year Inputs'!$E$4:$AE$4,0)))</f>
        <v>11263405.136430969</v>
      </c>
      <c r="AY252" s="71">
        <f>IF(AY$8=0,0,INDEX('Multi-Year Inputs'!$E$41:$AE$44,MATCH($B252,'Multi-Year Inputs'!$D$41:$D$44,0),MATCH(AY$7,'Multi-Year Inputs'!$E$4:$AE$4,0)))</f>
        <v>11263405.136430969</v>
      </c>
      <c r="AZ252" s="71">
        <f>IF(AZ$8=0,0,INDEX('Multi-Year Inputs'!$E$41:$AE$44,MATCH($B252,'Multi-Year Inputs'!$D$41:$D$44,0),MATCH(AZ$7,'Multi-Year Inputs'!$E$4:$AE$4,0)))</f>
        <v>11263405.136430969</v>
      </c>
      <c r="BA252" s="71">
        <f>IF(BA$8=0,0,INDEX('Multi-Year Inputs'!$E$41:$AE$44,MATCH($B252,'Multi-Year Inputs'!$D$41:$D$44,0),MATCH(BA$7,'Multi-Year Inputs'!$E$4:$AE$4,0)))</f>
        <v>11263405.136430969</v>
      </c>
      <c r="BB252" s="71">
        <f>IF(BB$8=0,0,INDEX('Multi-Year Inputs'!$E$41:$AE$44,MATCH($B252,'Multi-Year Inputs'!$D$41:$D$44,0),MATCH(BB$7,'Multi-Year Inputs'!$E$4:$AE$4,0)))</f>
        <v>11263405.136430969</v>
      </c>
      <c r="BC252" s="71">
        <f>IF(BC$8=0,0,INDEX('Multi-Year Inputs'!$E$41:$AE$44,MATCH($B252,'Multi-Year Inputs'!$D$41:$D$44,0),MATCH(BC$7,'Multi-Year Inputs'!$E$4:$AE$4,0)))</f>
        <v>11263405.136430969</v>
      </c>
      <c r="BD252" s="71">
        <f>IF(BD$8=0,0,INDEX('Multi-Year Inputs'!$E$41:$AE$44,MATCH($B252,'Multi-Year Inputs'!$D$41:$D$44,0),MATCH(BD$7,'Multi-Year Inputs'!$E$4:$AE$4,0)))</f>
        <v>11263405.136430969</v>
      </c>
      <c r="BE252" s="71">
        <f>IF(BE$8=0,0,INDEX('Multi-Year Inputs'!$E$41:$AE$44,MATCH($B252,'Multi-Year Inputs'!$D$41:$D$44,0),MATCH(BE$7,'Multi-Year Inputs'!$E$4:$AE$4,0)))</f>
        <v>11263405.136430969</v>
      </c>
      <c r="BF252" s="71">
        <f>IF(BF$8=0,0,INDEX('Multi-Year Inputs'!$E$41:$AE$44,MATCH($B252,'Multi-Year Inputs'!$D$41:$D$44,0),MATCH(BF$7,'Multi-Year Inputs'!$E$4:$AE$4,0)))</f>
        <v>11263405.136430969</v>
      </c>
      <c r="BG252" s="71">
        <f>IF(BG$8=0,0,INDEX('Multi-Year Inputs'!$E$41:$AE$44,MATCH($B252,'Multi-Year Inputs'!$D$41:$D$44,0),MATCH(BG$7,'Multi-Year Inputs'!$E$4:$AE$4,0)))</f>
        <v>11263405.136430969</v>
      </c>
      <c r="BH252" s="71">
        <f>IF(BH$8=0,0,INDEX('Multi-Year Inputs'!$E$41:$AE$44,MATCH($B252,'Multi-Year Inputs'!$D$41:$D$44,0),MATCH(BH$7,'Multi-Year Inputs'!$E$4:$AE$4,0)))</f>
        <v>11263405.136430969</v>
      </c>
      <c r="BI252" s="71">
        <f>IF(BI$8=0,0,INDEX('Multi-Year Inputs'!$E$41:$AE$44,MATCH($B252,'Multi-Year Inputs'!$D$41:$D$44,0),MATCH(BI$7,'Multi-Year Inputs'!$E$4:$AE$4,0)))</f>
        <v>11263405.136430969</v>
      </c>
      <c r="BJ252" s="71">
        <f>IF(BJ$8=0,0,INDEX('Multi-Year Inputs'!$E$41:$AE$44,MATCH($B252,'Multi-Year Inputs'!$D$41:$D$44,0),MATCH(BJ$7,'Multi-Year Inputs'!$E$4:$AE$4,0)))</f>
        <v>11263405.136430969</v>
      </c>
      <c r="BK252" s="71">
        <f>IF(BK$8=0,0,INDEX('Multi-Year Inputs'!$E$41:$AE$44,MATCH($B252,'Multi-Year Inputs'!$D$41:$D$44,0),MATCH(BK$7,'Multi-Year Inputs'!$E$4:$AE$4,0)))</f>
        <v>11263405.136430969</v>
      </c>
      <c r="BL252" s="71">
        <f>IF(BL$8=0,0,INDEX('Multi-Year Inputs'!$E$41:$AE$44,MATCH($B252,'Multi-Year Inputs'!$D$41:$D$44,0),MATCH(BL$7,'Multi-Year Inputs'!$E$4:$AE$4,0)))</f>
        <v>11263405.136430969</v>
      </c>
      <c r="BM252" s="71">
        <f>IF(BM$8=0,0,INDEX('Multi-Year Inputs'!$E$41:$AE$44,MATCH($B252,'Multi-Year Inputs'!$D$41:$D$44,0),MATCH(BM$7,'Multi-Year Inputs'!$E$4:$AE$4,0)))</f>
        <v>11263405.136430969</v>
      </c>
      <c r="BN252" s="72"/>
      <c r="BO252" s="72">
        <f t="shared" ref="BO252:BO254" si="275">SUM(AM252:BM252)</f>
        <v>292848533.54720527</v>
      </c>
      <c r="BP252" s="72"/>
      <c r="BS252" s="76" t="s">
        <v>91</v>
      </c>
      <c r="BT252" s="51" t="s">
        <v>17</v>
      </c>
    </row>
    <row r="253" spans="1:72" x14ac:dyDescent="0.25">
      <c r="A253" s="246"/>
      <c r="B253" s="243" t="str">
        <f t="shared" si="273"/>
        <v>Large C&amp;I</v>
      </c>
      <c r="C253" s="243" t="str">
        <f>C252</f>
        <v>Sales</v>
      </c>
      <c r="D253" s="244" t="s">
        <v>108</v>
      </c>
      <c r="E253" s="85" t="s">
        <v>108</v>
      </c>
      <c r="F253" s="84" t="s">
        <v>195</v>
      </c>
      <c r="G253" s="64">
        <f ca="1">IF($C$4=Lookups!$D$40,SUM(INDIRECT("'Yr1'!"&amp;ADDRESS(ROW(G253),COLUMN(G253))),INDIRECT("'Yr2'!"&amp;ADDRESS(ROW(G253),COLUMN(G253))),INDIRECT("'Yr3'!"&amp;ADDRESS(ROW(G253),COLUMN(G253)))),
IF(G249&gt;0,SUMIFS('EE Inputs'!$I$9:$I$32,'EE Inputs'!$C$9:$C$32,$G$6,'EE Inputs'!$D$9:$D$32,$C$4,'EE Inputs'!$E$9:$E$32,$B253)/SUMIFS('EE Inputs'!$V$9:$V$32,'EE Inputs'!$C$9:$C$32,$G$6,'EE Inputs'!$D$9:$D$32,$C$4,'EE Inputs'!$E$9:$E$32,$B253)*10,0))</f>
        <v>0</v>
      </c>
      <c r="H253" s="64">
        <f ca="1">IF($C$4=Lookups!$D$40,SUM(INDIRECT("'Yr1'!"&amp;ADDRESS(ROW(H253),COLUMN(H253))),INDIRECT("'Yr2'!"&amp;ADDRESS(ROW(H253),COLUMN(H253))),INDIRECT("'Yr3'!"&amp;ADDRESS(ROW(H253),COLUMN(H253)))),
IF(H249&gt;0,SUMIFS('EE Inputs'!$I$9:$I$32,'EE Inputs'!$C$9:$C$32,$G$6,'EE Inputs'!$D$9:$D$32,$C$4,'EE Inputs'!$E$9:$E$32,$B253)/SUMIFS('EE Inputs'!$V$9:$V$32,'EE Inputs'!$C$9:$C$32,$G$6,'EE Inputs'!$D$9:$D$32,$C$4,'EE Inputs'!$E$9:$E$32,$B253)*10,0))</f>
        <v>972538.03088375065</v>
      </c>
      <c r="I253" s="64">
        <f ca="1">IF($C$4=Lookups!$D$40,SUM(INDIRECT("'Yr1'!"&amp;ADDRESS(ROW(I253),COLUMN(I253))),INDIRECT("'Yr2'!"&amp;ADDRESS(ROW(I253),COLUMN(I253))),INDIRECT("'Yr3'!"&amp;ADDRESS(ROW(I253),COLUMN(I253)))),
IF(I249&gt;0,SUMIFS('EE Inputs'!$I$9:$I$32,'EE Inputs'!$C$9:$C$32,$G$6,'EE Inputs'!$D$9:$D$32,$C$4,'EE Inputs'!$E$9:$E$32,$B253)/SUMIFS('EE Inputs'!$V$9:$V$32,'EE Inputs'!$C$9:$C$32,$G$6,'EE Inputs'!$D$9:$D$32,$C$4,'EE Inputs'!$E$9:$E$32,$B253)*10,0))</f>
        <v>972538.03088375065</v>
      </c>
      <c r="J253" s="64">
        <f ca="1">IF($C$4=Lookups!$D$40,SUM(INDIRECT("'Yr1'!"&amp;ADDRESS(ROW(J253),COLUMN(J253))),INDIRECT("'Yr2'!"&amp;ADDRESS(ROW(J253),COLUMN(J253))),INDIRECT("'Yr3'!"&amp;ADDRESS(ROW(J253),COLUMN(J253)))),
IF(J249&gt;0,SUMIFS('EE Inputs'!$I$9:$I$32,'EE Inputs'!$C$9:$C$32,$G$6,'EE Inputs'!$D$9:$D$32,$C$4,'EE Inputs'!$E$9:$E$32,$B253)/SUMIFS('EE Inputs'!$V$9:$V$32,'EE Inputs'!$C$9:$C$32,$G$6,'EE Inputs'!$D$9:$D$32,$C$4,'EE Inputs'!$E$9:$E$32,$B253)*10,0))</f>
        <v>972538.03088375065</v>
      </c>
      <c r="K253" s="64">
        <f ca="1">IF($C$4=Lookups!$D$40,SUM(INDIRECT("'Yr1'!"&amp;ADDRESS(ROW(K253),COLUMN(K253))),INDIRECT("'Yr2'!"&amp;ADDRESS(ROW(K253),COLUMN(K253))),INDIRECT("'Yr3'!"&amp;ADDRESS(ROW(K253),COLUMN(K253)))),
IF(K249&gt;0,SUMIFS('EE Inputs'!$I$9:$I$32,'EE Inputs'!$C$9:$C$32,$G$6,'EE Inputs'!$D$9:$D$32,$C$4,'EE Inputs'!$E$9:$E$32,$B253)/SUMIFS('EE Inputs'!$V$9:$V$32,'EE Inputs'!$C$9:$C$32,$G$6,'EE Inputs'!$D$9:$D$32,$C$4,'EE Inputs'!$E$9:$E$32,$B253)*10,0))</f>
        <v>972538.03088375065</v>
      </c>
      <c r="L253" s="64">
        <f ca="1">IF($C$4=Lookups!$D$40,SUM(INDIRECT("'Yr1'!"&amp;ADDRESS(ROW(L253),COLUMN(L253))),INDIRECT("'Yr2'!"&amp;ADDRESS(ROW(L253),COLUMN(L253))),INDIRECT("'Yr3'!"&amp;ADDRESS(ROW(L253),COLUMN(L253)))),
IF(L249&gt;0,SUMIFS('EE Inputs'!$I$9:$I$32,'EE Inputs'!$C$9:$C$32,$G$6,'EE Inputs'!$D$9:$D$32,$C$4,'EE Inputs'!$E$9:$E$32,$B253)/SUMIFS('EE Inputs'!$V$9:$V$32,'EE Inputs'!$C$9:$C$32,$G$6,'EE Inputs'!$D$9:$D$32,$C$4,'EE Inputs'!$E$9:$E$32,$B253)*10,0))</f>
        <v>972538.03088375065</v>
      </c>
      <c r="M253" s="64">
        <f ca="1">IF($C$4=Lookups!$D$40,SUM(INDIRECT("'Yr1'!"&amp;ADDRESS(ROW(M253),COLUMN(M253))),INDIRECT("'Yr2'!"&amp;ADDRESS(ROW(M253),COLUMN(M253))),INDIRECT("'Yr3'!"&amp;ADDRESS(ROW(M253),COLUMN(M253)))),
IF(M249&gt;0,SUMIFS('EE Inputs'!$I$9:$I$32,'EE Inputs'!$C$9:$C$32,$G$6,'EE Inputs'!$D$9:$D$32,$C$4,'EE Inputs'!$E$9:$E$32,$B253)/SUMIFS('EE Inputs'!$V$9:$V$32,'EE Inputs'!$C$9:$C$32,$G$6,'EE Inputs'!$D$9:$D$32,$C$4,'EE Inputs'!$E$9:$E$32,$B253)*10,0))</f>
        <v>972538.03088375065</v>
      </c>
      <c r="N253" s="64">
        <f ca="1">IF($C$4=Lookups!$D$40,SUM(INDIRECT("'Yr1'!"&amp;ADDRESS(ROW(N253),COLUMN(N253))),INDIRECT("'Yr2'!"&amp;ADDRESS(ROW(N253),COLUMN(N253))),INDIRECT("'Yr3'!"&amp;ADDRESS(ROW(N253),COLUMN(N253)))),
IF(N249&gt;0,SUMIFS('EE Inputs'!$I$9:$I$32,'EE Inputs'!$C$9:$C$32,$G$6,'EE Inputs'!$D$9:$D$32,$C$4,'EE Inputs'!$E$9:$E$32,$B253)/SUMIFS('EE Inputs'!$V$9:$V$32,'EE Inputs'!$C$9:$C$32,$G$6,'EE Inputs'!$D$9:$D$32,$C$4,'EE Inputs'!$E$9:$E$32,$B253)*10,0))</f>
        <v>972538.03088375065</v>
      </c>
      <c r="O253" s="64">
        <f ca="1">IF($C$4=Lookups!$D$40,SUM(INDIRECT("'Yr1'!"&amp;ADDRESS(ROW(O253),COLUMN(O253))),INDIRECT("'Yr2'!"&amp;ADDRESS(ROW(O253),COLUMN(O253))),INDIRECT("'Yr3'!"&amp;ADDRESS(ROW(O253),COLUMN(O253)))),
IF(O249&gt;0,SUMIFS('EE Inputs'!$I$9:$I$32,'EE Inputs'!$C$9:$C$32,$G$6,'EE Inputs'!$D$9:$D$32,$C$4,'EE Inputs'!$E$9:$E$32,$B253)/SUMIFS('EE Inputs'!$V$9:$V$32,'EE Inputs'!$C$9:$C$32,$G$6,'EE Inputs'!$D$9:$D$32,$C$4,'EE Inputs'!$E$9:$E$32,$B253)*10,0))</f>
        <v>972538.03088375065</v>
      </c>
      <c r="P253" s="64">
        <f ca="1">IF($C$4=Lookups!$D$40,SUM(INDIRECT("'Yr1'!"&amp;ADDRESS(ROW(P253),COLUMN(P253))),INDIRECT("'Yr2'!"&amp;ADDRESS(ROW(P253),COLUMN(P253))),INDIRECT("'Yr3'!"&amp;ADDRESS(ROW(P253),COLUMN(P253)))),
IF(P249&gt;0,SUMIFS('EE Inputs'!$I$9:$I$32,'EE Inputs'!$C$9:$C$32,$G$6,'EE Inputs'!$D$9:$D$32,$C$4,'EE Inputs'!$E$9:$E$32,$B253)/SUMIFS('EE Inputs'!$V$9:$V$32,'EE Inputs'!$C$9:$C$32,$G$6,'EE Inputs'!$D$9:$D$32,$C$4,'EE Inputs'!$E$9:$E$32,$B253)*10,0))</f>
        <v>972538.03088375065</v>
      </c>
      <c r="Q253" s="64">
        <f ca="1">IF($C$4=Lookups!$D$40,SUM(INDIRECT("'Yr1'!"&amp;ADDRESS(ROW(Q253),COLUMN(Q253))),INDIRECT("'Yr2'!"&amp;ADDRESS(ROW(Q253),COLUMN(Q253))),INDIRECT("'Yr3'!"&amp;ADDRESS(ROW(Q253),COLUMN(Q253)))),
IF(Q249&gt;0,SUMIFS('EE Inputs'!$I$9:$I$32,'EE Inputs'!$C$9:$C$32,$G$6,'EE Inputs'!$D$9:$D$32,$C$4,'EE Inputs'!$E$9:$E$32,$B253)/SUMIFS('EE Inputs'!$V$9:$V$32,'EE Inputs'!$C$9:$C$32,$G$6,'EE Inputs'!$D$9:$D$32,$C$4,'EE Inputs'!$E$9:$E$32,$B253)*10,0))</f>
        <v>972538.03088375065</v>
      </c>
      <c r="R253" s="64">
        <f ca="1">IF($C$4=Lookups!$D$40,SUM(INDIRECT("'Yr1'!"&amp;ADDRESS(ROW(R253),COLUMN(R253))),INDIRECT("'Yr2'!"&amp;ADDRESS(ROW(R253),COLUMN(R253))),INDIRECT("'Yr3'!"&amp;ADDRESS(ROW(R253),COLUMN(R253)))),
IF(R249&gt;0,SUMIFS('EE Inputs'!$I$9:$I$32,'EE Inputs'!$C$9:$C$32,$G$6,'EE Inputs'!$D$9:$D$32,$C$4,'EE Inputs'!$E$9:$E$32,$B253)/SUMIFS('EE Inputs'!$V$9:$V$32,'EE Inputs'!$C$9:$C$32,$G$6,'EE Inputs'!$D$9:$D$32,$C$4,'EE Inputs'!$E$9:$E$32,$B253)*10,0))</f>
        <v>972538.03088375065</v>
      </c>
      <c r="S253" s="64">
        <f ca="1">IF($C$4=Lookups!$D$40,SUM(INDIRECT("'Yr1'!"&amp;ADDRESS(ROW(S253),COLUMN(S253))),INDIRECT("'Yr2'!"&amp;ADDRESS(ROW(S253),COLUMN(S253))),INDIRECT("'Yr3'!"&amp;ADDRESS(ROW(S253),COLUMN(S253)))),
IF(S249&gt;0,SUMIFS('EE Inputs'!$I$9:$I$32,'EE Inputs'!$C$9:$C$32,$G$6,'EE Inputs'!$D$9:$D$32,$C$4,'EE Inputs'!$E$9:$E$32,$B253)/SUMIFS('EE Inputs'!$V$9:$V$32,'EE Inputs'!$C$9:$C$32,$G$6,'EE Inputs'!$D$9:$D$32,$C$4,'EE Inputs'!$E$9:$E$32,$B253)*10,0))</f>
        <v>972538.03088375065</v>
      </c>
      <c r="T253" s="64">
        <f ca="1">IF($C$4=Lookups!$D$40,SUM(INDIRECT("'Yr1'!"&amp;ADDRESS(ROW(T253),COLUMN(T253))),INDIRECT("'Yr2'!"&amp;ADDRESS(ROW(T253),COLUMN(T253))),INDIRECT("'Yr3'!"&amp;ADDRESS(ROW(T253),COLUMN(T253)))),
IF(T249&gt;0,SUMIFS('EE Inputs'!$I$9:$I$32,'EE Inputs'!$C$9:$C$32,$G$6,'EE Inputs'!$D$9:$D$32,$C$4,'EE Inputs'!$E$9:$E$32,$B253)/SUMIFS('EE Inputs'!$V$9:$V$32,'EE Inputs'!$C$9:$C$32,$G$6,'EE Inputs'!$D$9:$D$32,$C$4,'EE Inputs'!$E$9:$E$32,$B253)*10,0))</f>
        <v>972538.03088375065</v>
      </c>
      <c r="U253" s="64">
        <f ca="1">IF($C$4=Lookups!$D$40,SUM(INDIRECT("'Yr1'!"&amp;ADDRESS(ROW(U253),COLUMN(U253))),INDIRECT("'Yr2'!"&amp;ADDRESS(ROW(U253),COLUMN(U253))),INDIRECT("'Yr3'!"&amp;ADDRESS(ROW(U253),COLUMN(U253)))),
IF(U249&gt;0,SUMIFS('EE Inputs'!$I$9:$I$32,'EE Inputs'!$C$9:$C$32,$G$6,'EE Inputs'!$D$9:$D$32,$C$4,'EE Inputs'!$E$9:$E$32,$B253)/SUMIFS('EE Inputs'!$V$9:$V$32,'EE Inputs'!$C$9:$C$32,$G$6,'EE Inputs'!$D$9:$D$32,$C$4,'EE Inputs'!$E$9:$E$32,$B253)*10,0))</f>
        <v>0</v>
      </c>
      <c r="V253" s="64">
        <f ca="1">IF($C$4=Lookups!$D$40,SUM(INDIRECT("'Yr1'!"&amp;ADDRESS(ROW(V253),COLUMN(V253))),INDIRECT("'Yr2'!"&amp;ADDRESS(ROW(V253),COLUMN(V253))),INDIRECT("'Yr3'!"&amp;ADDRESS(ROW(V253),COLUMN(V253)))),
IF(V249&gt;0,SUMIFS('EE Inputs'!$I$9:$I$32,'EE Inputs'!$C$9:$C$32,$G$6,'EE Inputs'!$D$9:$D$32,$C$4,'EE Inputs'!$E$9:$E$32,$B253)/SUMIFS('EE Inputs'!$V$9:$V$32,'EE Inputs'!$C$9:$C$32,$G$6,'EE Inputs'!$D$9:$D$32,$C$4,'EE Inputs'!$E$9:$E$32,$B253)*10,0))</f>
        <v>0</v>
      </c>
      <c r="W253" s="64">
        <f ca="1">IF($C$4=Lookups!$D$40,SUM(INDIRECT("'Yr1'!"&amp;ADDRESS(ROW(W253),COLUMN(W253))),INDIRECT("'Yr2'!"&amp;ADDRESS(ROW(W253),COLUMN(W253))),INDIRECT("'Yr3'!"&amp;ADDRESS(ROW(W253),COLUMN(W253)))),
IF(W249&gt;0,SUMIFS('EE Inputs'!$I$9:$I$32,'EE Inputs'!$C$9:$C$32,$G$6,'EE Inputs'!$D$9:$D$32,$C$4,'EE Inputs'!$E$9:$E$32,$B253)/SUMIFS('EE Inputs'!$V$9:$V$32,'EE Inputs'!$C$9:$C$32,$G$6,'EE Inputs'!$D$9:$D$32,$C$4,'EE Inputs'!$E$9:$E$32,$B253)*10,0))</f>
        <v>0</v>
      </c>
      <c r="X253" s="64">
        <f ca="1">IF($C$4=Lookups!$D$40,SUM(INDIRECT("'Yr1'!"&amp;ADDRESS(ROW(X253),COLUMN(X253))),INDIRECT("'Yr2'!"&amp;ADDRESS(ROW(X253),COLUMN(X253))),INDIRECT("'Yr3'!"&amp;ADDRESS(ROW(X253),COLUMN(X253)))),
IF(X249&gt;0,SUMIFS('EE Inputs'!$I$9:$I$32,'EE Inputs'!$C$9:$C$32,$G$6,'EE Inputs'!$D$9:$D$32,$C$4,'EE Inputs'!$E$9:$E$32,$B253)/SUMIFS('EE Inputs'!$V$9:$V$32,'EE Inputs'!$C$9:$C$32,$G$6,'EE Inputs'!$D$9:$D$32,$C$4,'EE Inputs'!$E$9:$E$32,$B253)*10,0))</f>
        <v>0</v>
      </c>
      <c r="Y253" s="64">
        <f ca="1">IF($C$4=Lookups!$D$40,SUM(INDIRECT("'Yr1'!"&amp;ADDRESS(ROW(Y253),COLUMN(Y253))),INDIRECT("'Yr2'!"&amp;ADDRESS(ROW(Y253),COLUMN(Y253))),INDIRECT("'Yr3'!"&amp;ADDRESS(ROW(Y253),COLUMN(Y253)))),
IF(Y249&gt;0,SUMIFS('EE Inputs'!$I$9:$I$32,'EE Inputs'!$C$9:$C$32,$G$6,'EE Inputs'!$D$9:$D$32,$C$4,'EE Inputs'!$E$9:$E$32,$B253)/SUMIFS('EE Inputs'!$V$9:$V$32,'EE Inputs'!$C$9:$C$32,$G$6,'EE Inputs'!$D$9:$D$32,$C$4,'EE Inputs'!$E$9:$E$32,$B253)*10,0))</f>
        <v>0</v>
      </c>
      <c r="Z253" s="64">
        <f ca="1">IF($C$4=Lookups!$D$40,SUM(INDIRECT("'Yr1'!"&amp;ADDRESS(ROW(Z253),COLUMN(Z253))),INDIRECT("'Yr2'!"&amp;ADDRESS(ROW(Z253),COLUMN(Z253))),INDIRECT("'Yr3'!"&amp;ADDRESS(ROW(Z253),COLUMN(Z253)))),
IF(Z249&gt;0,SUMIFS('EE Inputs'!$I$9:$I$32,'EE Inputs'!$C$9:$C$32,$G$6,'EE Inputs'!$D$9:$D$32,$C$4,'EE Inputs'!$E$9:$E$32,$B253)/SUMIFS('EE Inputs'!$V$9:$V$32,'EE Inputs'!$C$9:$C$32,$G$6,'EE Inputs'!$D$9:$D$32,$C$4,'EE Inputs'!$E$9:$E$32,$B253)*10,0))</f>
        <v>0</v>
      </c>
      <c r="AA253" s="64">
        <f ca="1">IF($C$4=Lookups!$D$40,SUM(INDIRECT("'Yr1'!"&amp;ADDRESS(ROW(AA253),COLUMN(AA253))),INDIRECT("'Yr2'!"&amp;ADDRESS(ROW(AA253),COLUMN(AA253))),INDIRECT("'Yr3'!"&amp;ADDRESS(ROW(AA253),COLUMN(AA253)))),
IF(AA249&gt;0,SUMIFS('EE Inputs'!$I$9:$I$32,'EE Inputs'!$C$9:$C$32,$G$6,'EE Inputs'!$D$9:$D$32,$C$4,'EE Inputs'!$E$9:$E$32,$B253)/SUMIFS('EE Inputs'!$V$9:$V$32,'EE Inputs'!$C$9:$C$32,$G$6,'EE Inputs'!$D$9:$D$32,$C$4,'EE Inputs'!$E$9:$E$32,$B253)*10,0))</f>
        <v>0</v>
      </c>
      <c r="AB253" s="64">
        <f ca="1">IF($C$4=Lookups!$D$40,SUM(INDIRECT("'Yr1'!"&amp;ADDRESS(ROW(AB253),COLUMN(AB253))),INDIRECT("'Yr2'!"&amp;ADDRESS(ROW(AB253),COLUMN(AB253))),INDIRECT("'Yr3'!"&amp;ADDRESS(ROW(AB253),COLUMN(AB253)))),
IF(AB249&gt;0,SUMIFS('EE Inputs'!$I$9:$I$32,'EE Inputs'!$C$9:$C$32,$G$6,'EE Inputs'!$D$9:$D$32,$C$4,'EE Inputs'!$E$9:$E$32,$B253)/SUMIFS('EE Inputs'!$V$9:$V$32,'EE Inputs'!$C$9:$C$32,$G$6,'EE Inputs'!$D$9:$D$32,$C$4,'EE Inputs'!$E$9:$E$32,$B253)*10,0))</f>
        <v>0</v>
      </c>
      <c r="AC253" s="64">
        <f ca="1">IF($C$4=Lookups!$D$40,SUM(INDIRECT("'Yr1'!"&amp;ADDRESS(ROW(AC253),COLUMN(AC253))),INDIRECT("'Yr2'!"&amp;ADDRESS(ROW(AC253),COLUMN(AC253))),INDIRECT("'Yr3'!"&amp;ADDRESS(ROW(AC253),COLUMN(AC253)))),
IF(AC249&gt;0,SUMIFS('EE Inputs'!$I$9:$I$32,'EE Inputs'!$C$9:$C$32,$G$6,'EE Inputs'!$D$9:$D$32,$C$4,'EE Inputs'!$E$9:$E$32,$B253)/SUMIFS('EE Inputs'!$V$9:$V$32,'EE Inputs'!$C$9:$C$32,$G$6,'EE Inputs'!$D$9:$D$32,$C$4,'EE Inputs'!$E$9:$E$32,$B253)*10,0))</f>
        <v>0</v>
      </c>
      <c r="AD253" s="64">
        <f ca="1">IF($C$4=Lookups!$D$40,SUM(INDIRECT("'Yr1'!"&amp;ADDRESS(ROW(AD253),COLUMN(AD253))),INDIRECT("'Yr2'!"&amp;ADDRESS(ROW(AD253),COLUMN(AD253))),INDIRECT("'Yr3'!"&amp;ADDRESS(ROW(AD253),COLUMN(AD253)))),
IF(AD249&gt;0,SUMIFS('EE Inputs'!$I$9:$I$32,'EE Inputs'!$C$9:$C$32,$G$6,'EE Inputs'!$D$9:$D$32,$C$4,'EE Inputs'!$E$9:$E$32,$B253)/SUMIFS('EE Inputs'!$V$9:$V$32,'EE Inputs'!$C$9:$C$32,$G$6,'EE Inputs'!$D$9:$D$32,$C$4,'EE Inputs'!$E$9:$E$32,$B253)*10,0))</f>
        <v>0</v>
      </c>
      <c r="AE253" s="64">
        <f ca="1">IF($C$4=Lookups!$D$40,SUM(INDIRECT("'Yr1'!"&amp;ADDRESS(ROW(AE253),COLUMN(AE253))),INDIRECT("'Yr2'!"&amp;ADDRESS(ROW(AE253),COLUMN(AE253))),INDIRECT("'Yr3'!"&amp;ADDRESS(ROW(AE253),COLUMN(AE253)))),
IF(AE249&gt;0,SUMIFS('EE Inputs'!$I$9:$I$32,'EE Inputs'!$C$9:$C$32,$G$6,'EE Inputs'!$D$9:$D$32,$C$4,'EE Inputs'!$E$9:$E$32,$B253)/SUMIFS('EE Inputs'!$V$9:$V$32,'EE Inputs'!$C$9:$C$32,$G$6,'EE Inputs'!$D$9:$D$32,$C$4,'EE Inputs'!$E$9:$E$32,$B253)*10,0))</f>
        <v>0</v>
      </c>
      <c r="AF253" s="64">
        <f ca="1">IF($C$4=Lookups!$D$40,SUM(INDIRECT("'Yr1'!"&amp;ADDRESS(ROW(AF253),COLUMN(AF253))),INDIRECT("'Yr2'!"&amp;ADDRESS(ROW(AF253),COLUMN(AF253))),INDIRECT("'Yr3'!"&amp;ADDRESS(ROW(AF253),COLUMN(AF253)))),
IF(AF249&gt;0,SUMIFS('EE Inputs'!$I$9:$I$32,'EE Inputs'!$C$9:$C$32,$G$6,'EE Inputs'!$D$9:$D$32,$C$4,'EE Inputs'!$E$9:$E$32,$B253)/SUMIFS('EE Inputs'!$V$9:$V$32,'EE Inputs'!$C$9:$C$32,$G$6,'EE Inputs'!$D$9:$D$32,$C$4,'EE Inputs'!$E$9:$E$32,$B253)*10,0))</f>
        <v>0</v>
      </c>
      <c r="AG253" s="64">
        <f ca="1">IF($C$4=Lookups!$D$40,SUM(INDIRECT("'Yr1'!"&amp;ADDRESS(ROW(AG253),COLUMN(AG253))),INDIRECT("'Yr2'!"&amp;ADDRESS(ROW(AG253),COLUMN(AG253))),INDIRECT("'Yr3'!"&amp;ADDRESS(ROW(AG253),COLUMN(AG253)))),
IF(AG249&gt;0,SUMIFS('EE Inputs'!$I$9:$I$32,'EE Inputs'!$C$9:$C$32,$G$6,'EE Inputs'!$D$9:$D$32,$C$4,'EE Inputs'!$E$9:$E$32,$B253)/SUMIFS('EE Inputs'!$V$9:$V$32,'EE Inputs'!$C$9:$C$32,$G$6,'EE Inputs'!$D$9:$D$32,$C$4,'EE Inputs'!$E$9:$E$32,$B253)*10,0))</f>
        <v>0</v>
      </c>
      <c r="AH253" s="64"/>
      <c r="AI253" s="64">
        <f t="shared" ca="1" si="274"/>
        <v>12642994.401488757</v>
      </c>
      <c r="AJ253" s="64"/>
      <c r="AM253" s="71">
        <f ca="1">IF($C$4=Lookups!$D$40,SUM(INDIRECT("'Yr1'!"&amp;ADDRESS(ROW(AM253),COLUMN(AM253))),INDIRECT("'Yr2'!"&amp;ADDRESS(ROW(AM253),COLUMN(AM253))),INDIRECT("'Yr3'!"&amp;ADDRESS(ROW(AM253),COLUMN(AM253)))),
IF(AM249&gt;0,SUMIFS('EE Inputs'!$I$9:$I$32,'EE Inputs'!$C$9:$C$32,$AM$6,'EE Inputs'!$D$9:$D$32,$C$4,'EE Inputs'!$E$9:$E$32,$B253)/SUMIFS('EE Inputs'!$V$9:$V$32,'EE Inputs'!$C$9:$C$32,$AM$6,'EE Inputs'!$D$9:$D$32,$C$4,'EE Inputs'!$E$9:$E$32,$B253)*10,0))</f>
        <v>0</v>
      </c>
      <c r="AN253" s="71">
        <f ca="1">IF($C$4=Lookups!$D$40,SUM(INDIRECT("'Yr1'!"&amp;ADDRESS(ROW(AN253),COLUMN(AN253))),INDIRECT("'Yr2'!"&amp;ADDRESS(ROW(AN253),COLUMN(AN253))),INDIRECT("'Yr3'!"&amp;ADDRESS(ROW(AN253),COLUMN(AN253)))),
IF(AN249&gt;0,SUMIFS('EE Inputs'!$I$9:$I$32,'EE Inputs'!$C$9:$C$32,$AM$6,'EE Inputs'!$D$9:$D$32,$C$4,'EE Inputs'!$E$9:$E$32,$B253)/SUMIFS('EE Inputs'!$V$9:$V$32,'EE Inputs'!$C$9:$C$32,$AM$6,'EE Inputs'!$D$9:$D$32,$C$4,'EE Inputs'!$E$9:$E$32,$B253)*10,0))</f>
        <v>1111472.0352957146</v>
      </c>
      <c r="AO253" s="71">
        <f ca="1">IF($C$4=Lookups!$D$40,SUM(INDIRECT("'Yr1'!"&amp;ADDRESS(ROW(AO253),COLUMN(AO253))),INDIRECT("'Yr2'!"&amp;ADDRESS(ROW(AO253),COLUMN(AO253))),INDIRECT("'Yr3'!"&amp;ADDRESS(ROW(AO253),COLUMN(AO253)))),
IF(AO249&gt;0,SUMIFS('EE Inputs'!$I$9:$I$32,'EE Inputs'!$C$9:$C$32,$AM$6,'EE Inputs'!$D$9:$D$32,$C$4,'EE Inputs'!$E$9:$E$32,$B253)/SUMIFS('EE Inputs'!$V$9:$V$32,'EE Inputs'!$C$9:$C$32,$AM$6,'EE Inputs'!$D$9:$D$32,$C$4,'EE Inputs'!$E$9:$E$32,$B253)*10,0))</f>
        <v>1111472.0352957146</v>
      </c>
      <c r="AP253" s="71">
        <f ca="1">IF($C$4=Lookups!$D$40,SUM(INDIRECT("'Yr1'!"&amp;ADDRESS(ROW(AP253),COLUMN(AP253))),INDIRECT("'Yr2'!"&amp;ADDRESS(ROW(AP253),COLUMN(AP253))),INDIRECT("'Yr3'!"&amp;ADDRESS(ROW(AP253),COLUMN(AP253)))),
IF(AP249&gt;0,SUMIFS('EE Inputs'!$I$9:$I$32,'EE Inputs'!$C$9:$C$32,$AM$6,'EE Inputs'!$D$9:$D$32,$C$4,'EE Inputs'!$E$9:$E$32,$B253)/SUMIFS('EE Inputs'!$V$9:$V$32,'EE Inputs'!$C$9:$C$32,$AM$6,'EE Inputs'!$D$9:$D$32,$C$4,'EE Inputs'!$E$9:$E$32,$B253)*10,0))</f>
        <v>1111472.0352957146</v>
      </c>
      <c r="AQ253" s="71">
        <f ca="1">IF($C$4=Lookups!$D$40,SUM(INDIRECT("'Yr1'!"&amp;ADDRESS(ROW(AQ253),COLUMN(AQ253))),INDIRECT("'Yr2'!"&amp;ADDRESS(ROW(AQ253),COLUMN(AQ253))),INDIRECT("'Yr3'!"&amp;ADDRESS(ROW(AQ253),COLUMN(AQ253)))),
IF(AQ249&gt;0,SUMIFS('EE Inputs'!$I$9:$I$32,'EE Inputs'!$C$9:$C$32,$AM$6,'EE Inputs'!$D$9:$D$32,$C$4,'EE Inputs'!$E$9:$E$32,$B253)/SUMIFS('EE Inputs'!$V$9:$V$32,'EE Inputs'!$C$9:$C$32,$AM$6,'EE Inputs'!$D$9:$D$32,$C$4,'EE Inputs'!$E$9:$E$32,$B253)*10,0))</f>
        <v>1111472.0352957146</v>
      </c>
      <c r="AR253" s="71">
        <f ca="1">IF($C$4=Lookups!$D$40,SUM(INDIRECT("'Yr1'!"&amp;ADDRESS(ROW(AR253),COLUMN(AR253))),INDIRECT("'Yr2'!"&amp;ADDRESS(ROW(AR253),COLUMN(AR253))),INDIRECT("'Yr3'!"&amp;ADDRESS(ROW(AR253),COLUMN(AR253)))),
IF(AR249&gt;0,SUMIFS('EE Inputs'!$I$9:$I$32,'EE Inputs'!$C$9:$C$32,$AM$6,'EE Inputs'!$D$9:$D$32,$C$4,'EE Inputs'!$E$9:$E$32,$B253)/SUMIFS('EE Inputs'!$V$9:$V$32,'EE Inputs'!$C$9:$C$32,$AM$6,'EE Inputs'!$D$9:$D$32,$C$4,'EE Inputs'!$E$9:$E$32,$B253)*10,0))</f>
        <v>1111472.0352957146</v>
      </c>
      <c r="AS253" s="71">
        <f ca="1">IF($C$4=Lookups!$D$40,SUM(INDIRECT("'Yr1'!"&amp;ADDRESS(ROW(AS253),COLUMN(AS253))),INDIRECT("'Yr2'!"&amp;ADDRESS(ROW(AS253),COLUMN(AS253))),INDIRECT("'Yr3'!"&amp;ADDRESS(ROW(AS253),COLUMN(AS253)))),
IF(AS249&gt;0,SUMIFS('EE Inputs'!$I$9:$I$32,'EE Inputs'!$C$9:$C$32,$AM$6,'EE Inputs'!$D$9:$D$32,$C$4,'EE Inputs'!$E$9:$E$32,$B253)/SUMIFS('EE Inputs'!$V$9:$V$32,'EE Inputs'!$C$9:$C$32,$AM$6,'EE Inputs'!$D$9:$D$32,$C$4,'EE Inputs'!$E$9:$E$32,$B253)*10,0))</f>
        <v>1111472.0352957146</v>
      </c>
      <c r="AT253" s="71">
        <f ca="1">IF($C$4=Lookups!$D$40,SUM(INDIRECT("'Yr1'!"&amp;ADDRESS(ROW(AT253),COLUMN(AT253))),INDIRECT("'Yr2'!"&amp;ADDRESS(ROW(AT253),COLUMN(AT253))),INDIRECT("'Yr3'!"&amp;ADDRESS(ROW(AT253),COLUMN(AT253)))),
IF(AT249&gt;0,SUMIFS('EE Inputs'!$I$9:$I$32,'EE Inputs'!$C$9:$C$32,$AM$6,'EE Inputs'!$D$9:$D$32,$C$4,'EE Inputs'!$E$9:$E$32,$B253)/SUMIFS('EE Inputs'!$V$9:$V$32,'EE Inputs'!$C$9:$C$32,$AM$6,'EE Inputs'!$D$9:$D$32,$C$4,'EE Inputs'!$E$9:$E$32,$B253)*10,0))</f>
        <v>1111472.0352957146</v>
      </c>
      <c r="AU253" s="71">
        <f ca="1">IF($C$4=Lookups!$D$40,SUM(INDIRECT("'Yr1'!"&amp;ADDRESS(ROW(AU253),COLUMN(AU253))),INDIRECT("'Yr2'!"&amp;ADDRESS(ROW(AU253),COLUMN(AU253))),INDIRECT("'Yr3'!"&amp;ADDRESS(ROW(AU253),COLUMN(AU253)))),
IF(AU249&gt;0,SUMIFS('EE Inputs'!$I$9:$I$32,'EE Inputs'!$C$9:$C$32,$AM$6,'EE Inputs'!$D$9:$D$32,$C$4,'EE Inputs'!$E$9:$E$32,$B253)/SUMIFS('EE Inputs'!$V$9:$V$32,'EE Inputs'!$C$9:$C$32,$AM$6,'EE Inputs'!$D$9:$D$32,$C$4,'EE Inputs'!$E$9:$E$32,$B253)*10,0))</f>
        <v>1111472.0352957146</v>
      </c>
      <c r="AV253" s="71">
        <f ca="1">IF($C$4=Lookups!$D$40,SUM(INDIRECT("'Yr1'!"&amp;ADDRESS(ROW(AV253),COLUMN(AV253))),INDIRECT("'Yr2'!"&amp;ADDRESS(ROW(AV253),COLUMN(AV253))),INDIRECT("'Yr3'!"&amp;ADDRESS(ROW(AV253),COLUMN(AV253)))),
IF(AV249&gt;0,SUMIFS('EE Inputs'!$I$9:$I$32,'EE Inputs'!$C$9:$C$32,$AM$6,'EE Inputs'!$D$9:$D$32,$C$4,'EE Inputs'!$E$9:$E$32,$B253)/SUMIFS('EE Inputs'!$V$9:$V$32,'EE Inputs'!$C$9:$C$32,$AM$6,'EE Inputs'!$D$9:$D$32,$C$4,'EE Inputs'!$E$9:$E$32,$B253)*10,0))</f>
        <v>1111472.0352957146</v>
      </c>
      <c r="AW253" s="71">
        <f ca="1">IF($C$4=Lookups!$D$40,SUM(INDIRECT("'Yr1'!"&amp;ADDRESS(ROW(AW253),COLUMN(AW253))),INDIRECT("'Yr2'!"&amp;ADDRESS(ROW(AW253),COLUMN(AW253))),INDIRECT("'Yr3'!"&amp;ADDRESS(ROW(AW253),COLUMN(AW253)))),
IF(AW249&gt;0,SUMIFS('EE Inputs'!$I$9:$I$32,'EE Inputs'!$C$9:$C$32,$AM$6,'EE Inputs'!$D$9:$D$32,$C$4,'EE Inputs'!$E$9:$E$32,$B253)/SUMIFS('EE Inputs'!$V$9:$V$32,'EE Inputs'!$C$9:$C$32,$AM$6,'EE Inputs'!$D$9:$D$32,$C$4,'EE Inputs'!$E$9:$E$32,$B253)*10,0))</f>
        <v>1111472.0352957146</v>
      </c>
      <c r="AX253" s="71">
        <f ca="1">IF($C$4=Lookups!$D$40,SUM(INDIRECT("'Yr1'!"&amp;ADDRESS(ROW(AX253),COLUMN(AX253))),INDIRECT("'Yr2'!"&amp;ADDRESS(ROW(AX253),COLUMN(AX253))),INDIRECT("'Yr3'!"&amp;ADDRESS(ROW(AX253),COLUMN(AX253)))),
IF(AX249&gt;0,SUMIFS('EE Inputs'!$I$9:$I$32,'EE Inputs'!$C$9:$C$32,$AM$6,'EE Inputs'!$D$9:$D$32,$C$4,'EE Inputs'!$E$9:$E$32,$B253)/SUMIFS('EE Inputs'!$V$9:$V$32,'EE Inputs'!$C$9:$C$32,$AM$6,'EE Inputs'!$D$9:$D$32,$C$4,'EE Inputs'!$E$9:$E$32,$B253)*10,0))</f>
        <v>1111472.0352957146</v>
      </c>
      <c r="AY253" s="71">
        <f ca="1">IF($C$4=Lookups!$D$40,SUM(INDIRECT("'Yr1'!"&amp;ADDRESS(ROW(AY253),COLUMN(AY253))),INDIRECT("'Yr2'!"&amp;ADDRESS(ROW(AY253),COLUMN(AY253))),INDIRECT("'Yr3'!"&amp;ADDRESS(ROW(AY253),COLUMN(AY253)))),
IF(AY249&gt;0,SUMIFS('EE Inputs'!$I$9:$I$32,'EE Inputs'!$C$9:$C$32,$AM$6,'EE Inputs'!$D$9:$D$32,$C$4,'EE Inputs'!$E$9:$E$32,$B253)/SUMIFS('EE Inputs'!$V$9:$V$32,'EE Inputs'!$C$9:$C$32,$AM$6,'EE Inputs'!$D$9:$D$32,$C$4,'EE Inputs'!$E$9:$E$32,$B253)*10,0))</f>
        <v>1111472.0352957146</v>
      </c>
      <c r="AZ253" s="71">
        <f ca="1">IF($C$4=Lookups!$D$40,SUM(INDIRECT("'Yr1'!"&amp;ADDRESS(ROW(AZ253),COLUMN(AZ253))),INDIRECT("'Yr2'!"&amp;ADDRESS(ROW(AZ253),COLUMN(AZ253))),INDIRECT("'Yr3'!"&amp;ADDRESS(ROW(AZ253),COLUMN(AZ253)))),
IF(AZ249&gt;0,SUMIFS('EE Inputs'!$I$9:$I$32,'EE Inputs'!$C$9:$C$32,$AM$6,'EE Inputs'!$D$9:$D$32,$C$4,'EE Inputs'!$E$9:$E$32,$B253)/SUMIFS('EE Inputs'!$V$9:$V$32,'EE Inputs'!$C$9:$C$32,$AM$6,'EE Inputs'!$D$9:$D$32,$C$4,'EE Inputs'!$E$9:$E$32,$B253)*10,0))</f>
        <v>1111472.0352957146</v>
      </c>
      <c r="BA253" s="71">
        <f ca="1">IF($C$4=Lookups!$D$40,SUM(INDIRECT("'Yr1'!"&amp;ADDRESS(ROW(BA253),COLUMN(BA253))),INDIRECT("'Yr2'!"&amp;ADDRESS(ROW(BA253),COLUMN(BA253))),INDIRECT("'Yr3'!"&amp;ADDRESS(ROW(BA253),COLUMN(BA253)))),
IF(BA249&gt;0,SUMIFS('EE Inputs'!$I$9:$I$32,'EE Inputs'!$C$9:$C$32,$AM$6,'EE Inputs'!$D$9:$D$32,$C$4,'EE Inputs'!$E$9:$E$32,$B253)/SUMIFS('EE Inputs'!$V$9:$V$32,'EE Inputs'!$C$9:$C$32,$AM$6,'EE Inputs'!$D$9:$D$32,$C$4,'EE Inputs'!$E$9:$E$32,$B253)*10,0))</f>
        <v>0</v>
      </c>
      <c r="BB253" s="71">
        <f ca="1">IF($C$4=Lookups!$D$40,SUM(INDIRECT("'Yr1'!"&amp;ADDRESS(ROW(BB253),COLUMN(BB253))),INDIRECT("'Yr2'!"&amp;ADDRESS(ROW(BB253),COLUMN(BB253))),INDIRECT("'Yr3'!"&amp;ADDRESS(ROW(BB253),COLUMN(BB253)))),
IF(BB249&gt;0,SUMIFS('EE Inputs'!$I$9:$I$32,'EE Inputs'!$C$9:$C$32,$AM$6,'EE Inputs'!$D$9:$D$32,$C$4,'EE Inputs'!$E$9:$E$32,$B253)/SUMIFS('EE Inputs'!$V$9:$V$32,'EE Inputs'!$C$9:$C$32,$AM$6,'EE Inputs'!$D$9:$D$32,$C$4,'EE Inputs'!$E$9:$E$32,$B253)*10,0))</f>
        <v>0</v>
      </c>
      <c r="BC253" s="71">
        <f ca="1">IF($C$4=Lookups!$D$40,SUM(INDIRECT("'Yr1'!"&amp;ADDRESS(ROW(BC253),COLUMN(BC253))),INDIRECT("'Yr2'!"&amp;ADDRESS(ROW(BC253),COLUMN(BC253))),INDIRECT("'Yr3'!"&amp;ADDRESS(ROW(BC253),COLUMN(BC253)))),
IF(BC249&gt;0,SUMIFS('EE Inputs'!$I$9:$I$32,'EE Inputs'!$C$9:$C$32,$AM$6,'EE Inputs'!$D$9:$D$32,$C$4,'EE Inputs'!$E$9:$E$32,$B253)/SUMIFS('EE Inputs'!$V$9:$V$32,'EE Inputs'!$C$9:$C$32,$AM$6,'EE Inputs'!$D$9:$D$32,$C$4,'EE Inputs'!$E$9:$E$32,$B253)*10,0))</f>
        <v>0</v>
      </c>
      <c r="BD253" s="71">
        <f ca="1">IF($C$4=Lookups!$D$40,SUM(INDIRECT("'Yr1'!"&amp;ADDRESS(ROW(BD253),COLUMN(BD253))),INDIRECT("'Yr2'!"&amp;ADDRESS(ROW(BD253),COLUMN(BD253))),INDIRECT("'Yr3'!"&amp;ADDRESS(ROW(BD253),COLUMN(BD253)))),
IF(BD249&gt;0,SUMIFS('EE Inputs'!$I$9:$I$32,'EE Inputs'!$C$9:$C$32,$AM$6,'EE Inputs'!$D$9:$D$32,$C$4,'EE Inputs'!$E$9:$E$32,$B253)/SUMIFS('EE Inputs'!$V$9:$V$32,'EE Inputs'!$C$9:$C$32,$AM$6,'EE Inputs'!$D$9:$D$32,$C$4,'EE Inputs'!$E$9:$E$32,$B253)*10,0))</f>
        <v>0</v>
      </c>
      <c r="BE253" s="71">
        <f ca="1">IF($C$4=Lookups!$D$40,SUM(INDIRECT("'Yr1'!"&amp;ADDRESS(ROW(BE253),COLUMN(BE253))),INDIRECT("'Yr2'!"&amp;ADDRESS(ROW(BE253),COLUMN(BE253))),INDIRECT("'Yr3'!"&amp;ADDRESS(ROW(BE253),COLUMN(BE253)))),
IF(BE249&gt;0,SUMIFS('EE Inputs'!$I$9:$I$32,'EE Inputs'!$C$9:$C$32,$AM$6,'EE Inputs'!$D$9:$D$32,$C$4,'EE Inputs'!$E$9:$E$32,$B253)/SUMIFS('EE Inputs'!$V$9:$V$32,'EE Inputs'!$C$9:$C$32,$AM$6,'EE Inputs'!$D$9:$D$32,$C$4,'EE Inputs'!$E$9:$E$32,$B253)*10,0))</f>
        <v>0</v>
      </c>
      <c r="BF253" s="71">
        <f ca="1">IF($C$4=Lookups!$D$40,SUM(INDIRECT("'Yr1'!"&amp;ADDRESS(ROW(BF253),COLUMN(BF253))),INDIRECT("'Yr2'!"&amp;ADDRESS(ROW(BF253),COLUMN(BF253))),INDIRECT("'Yr3'!"&amp;ADDRESS(ROW(BF253),COLUMN(BF253)))),
IF(BF249&gt;0,SUMIFS('EE Inputs'!$I$9:$I$32,'EE Inputs'!$C$9:$C$32,$AM$6,'EE Inputs'!$D$9:$D$32,$C$4,'EE Inputs'!$E$9:$E$32,$B253)/SUMIFS('EE Inputs'!$V$9:$V$32,'EE Inputs'!$C$9:$C$32,$AM$6,'EE Inputs'!$D$9:$D$32,$C$4,'EE Inputs'!$E$9:$E$32,$B253)*10,0))</f>
        <v>0</v>
      </c>
      <c r="BG253" s="71">
        <f ca="1">IF($C$4=Lookups!$D$40,SUM(INDIRECT("'Yr1'!"&amp;ADDRESS(ROW(BG253),COLUMN(BG253))),INDIRECT("'Yr2'!"&amp;ADDRESS(ROW(BG253),COLUMN(BG253))),INDIRECT("'Yr3'!"&amp;ADDRESS(ROW(BG253),COLUMN(BG253)))),
IF(BG249&gt;0,SUMIFS('EE Inputs'!$I$9:$I$32,'EE Inputs'!$C$9:$C$32,$AM$6,'EE Inputs'!$D$9:$D$32,$C$4,'EE Inputs'!$E$9:$E$32,$B253)/SUMIFS('EE Inputs'!$V$9:$V$32,'EE Inputs'!$C$9:$C$32,$AM$6,'EE Inputs'!$D$9:$D$32,$C$4,'EE Inputs'!$E$9:$E$32,$B253)*10,0))</f>
        <v>0</v>
      </c>
      <c r="BH253" s="71">
        <f ca="1">IF($C$4=Lookups!$D$40,SUM(INDIRECT("'Yr1'!"&amp;ADDRESS(ROW(BH253),COLUMN(BH253))),INDIRECT("'Yr2'!"&amp;ADDRESS(ROW(BH253),COLUMN(BH253))),INDIRECT("'Yr3'!"&amp;ADDRESS(ROW(BH253),COLUMN(BH253)))),
IF(BH249&gt;0,SUMIFS('EE Inputs'!$I$9:$I$32,'EE Inputs'!$C$9:$C$32,$AM$6,'EE Inputs'!$D$9:$D$32,$C$4,'EE Inputs'!$E$9:$E$32,$B253)/SUMIFS('EE Inputs'!$V$9:$V$32,'EE Inputs'!$C$9:$C$32,$AM$6,'EE Inputs'!$D$9:$D$32,$C$4,'EE Inputs'!$E$9:$E$32,$B253)*10,0))</f>
        <v>0</v>
      </c>
      <c r="BI253" s="71">
        <f ca="1">IF($C$4=Lookups!$D$40,SUM(INDIRECT("'Yr1'!"&amp;ADDRESS(ROW(BI253),COLUMN(BI253))),INDIRECT("'Yr2'!"&amp;ADDRESS(ROW(BI253),COLUMN(BI253))),INDIRECT("'Yr3'!"&amp;ADDRESS(ROW(BI253),COLUMN(BI253)))),
IF(BI249&gt;0,SUMIFS('EE Inputs'!$I$9:$I$32,'EE Inputs'!$C$9:$C$32,$AM$6,'EE Inputs'!$D$9:$D$32,$C$4,'EE Inputs'!$E$9:$E$32,$B253)/SUMIFS('EE Inputs'!$V$9:$V$32,'EE Inputs'!$C$9:$C$32,$AM$6,'EE Inputs'!$D$9:$D$32,$C$4,'EE Inputs'!$E$9:$E$32,$B253)*10,0))</f>
        <v>0</v>
      </c>
      <c r="BJ253" s="71">
        <f ca="1">IF($C$4=Lookups!$D$40,SUM(INDIRECT("'Yr1'!"&amp;ADDRESS(ROW(BJ253),COLUMN(BJ253))),INDIRECT("'Yr2'!"&amp;ADDRESS(ROW(BJ253),COLUMN(BJ253))),INDIRECT("'Yr3'!"&amp;ADDRESS(ROW(BJ253),COLUMN(BJ253)))),
IF(BJ249&gt;0,SUMIFS('EE Inputs'!$I$9:$I$32,'EE Inputs'!$C$9:$C$32,$AM$6,'EE Inputs'!$D$9:$D$32,$C$4,'EE Inputs'!$E$9:$E$32,$B253)/SUMIFS('EE Inputs'!$V$9:$V$32,'EE Inputs'!$C$9:$C$32,$AM$6,'EE Inputs'!$D$9:$D$32,$C$4,'EE Inputs'!$E$9:$E$32,$B253)*10,0))</f>
        <v>0</v>
      </c>
      <c r="BK253" s="71">
        <f ca="1">IF($C$4=Lookups!$D$40,SUM(INDIRECT("'Yr1'!"&amp;ADDRESS(ROW(BK253),COLUMN(BK253))),INDIRECT("'Yr2'!"&amp;ADDRESS(ROW(BK253),COLUMN(BK253))),INDIRECT("'Yr3'!"&amp;ADDRESS(ROW(BK253),COLUMN(BK253)))),
IF(BK249&gt;0,SUMIFS('EE Inputs'!$I$9:$I$32,'EE Inputs'!$C$9:$C$32,$AM$6,'EE Inputs'!$D$9:$D$32,$C$4,'EE Inputs'!$E$9:$E$32,$B253)/SUMIFS('EE Inputs'!$V$9:$V$32,'EE Inputs'!$C$9:$C$32,$AM$6,'EE Inputs'!$D$9:$D$32,$C$4,'EE Inputs'!$E$9:$E$32,$B253)*10,0))</f>
        <v>0</v>
      </c>
      <c r="BL253" s="71">
        <f ca="1">IF($C$4=Lookups!$D$40,SUM(INDIRECT("'Yr1'!"&amp;ADDRESS(ROW(BL253),COLUMN(BL253))),INDIRECT("'Yr2'!"&amp;ADDRESS(ROW(BL253),COLUMN(BL253))),INDIRECT("'Yr3'!"&amp;ADDRESS(ROW(BL253),COLUMN(BL253)))),
IF(BL249&gt;0,SUMIFS('EE Inputs'!$I$9:$I$32,'EE Inputs'!$C$9:$C$32,$AM$6,'EE Inputs'!$D$9:$D$32,$C$4,'EE Inputs'!$E$9:$E$32,$B253)/SUMIFS('EE Inputs'!$V$9:$V$32,'EE Inputs'!$C$9:$C$32,$AM$6,'EE Inputs'!$D$9:$D$32,$C$4,'EE Inputs'!$E$9:$E$32,$B253)*10,0))</f>
        <v>0</v>
      </c>
      <c r="BM253" s="71">
        <f ca="1">IF($C$4=Lookups!$D$40,SUM(INDIRECT("'Yr1'!"&amp;ADDRESS(ROW(BM253),COLUMN(BM253))),INDIRECT("'Yr2'!"&amp;ADDRESS(ROW(BM253),COLUMN(BM253))),INDIRECT("'Yr3'!"&amp;ADDRESS(ROW(BM253),COLUMN(BM253)))),
IF(BM249&gt;0,SUMIFS('EE Inputs'!$I$9:$I$32,'EE Inputs'!$C$9:$C$32,$AM$6,'EE Inputs'!$D$9:$D$32,$C$4,'EE Inputs'!$E$9:$E$32,$B253)/SUMIFS('EE Inputs'!$V$9:$V$32,'EE Inputs'!$C$9:$C$32,$AM$6,'EE Inputs'!$D$9:$D$32,$C$4,'EE Inputs'!$E$9:$E$32,$B253)*10,0))</f>
        <v>0</v>
      </c>
      <c r="BN253" s="71"/>
      <c r="BO253" s="71">
        <f t="shared" ca="1" si="275"/>
        <v>14449136.458844285</v>
      </c>
      <c r="BP253" s="71"/>
      <c r="BS253" s="84" t="s">
        <v>92</v>
      </c>
      <c r="BT253" s="51" t="s">
        <v>17</v>
      </c>
    </row>
    <row r="254" spans="1:72" x14ac:dyDescent="0.25">
      <c r="B254" s="243" t="str">
        <f t="shared" si="273"/>
        <v>Large C&amp;I</v>
      </c>
      <c r="C254" s="243" t="str">
        <f>C253</f>
        <v>Sales</v>
      </c>
      <c r="D254" s="244" t="s">
        <v>109</v>
      </c>
      <c r="E254" s="85" t="s">
        <v>109</v>
      </c>
      <c r="F254" s="84" t="s">
        <v>195</v>
      </c>
      <c r="G254" s="65">
        <f ca="1">G252-G253</f>
        <v>0</v>
      </c>
      <c r="H254" s="65">
        <f t="shared" ref="H254:AG254" ca="1" si="276">H252-H253</f>
        <v>10290867.10554722</v>
      </c>
      <c r="I254" s="65">
        <f t="shared" ca="1" si="276"/>
        <v>10290867.10554722</v>
      </c>
      <c r="J254" s="65">
        <f t="shared" ca="1" si="276"/>
        <v>10290867.10554722</v>
      </c>
      <c r="K254" s="65">
        <f t="shared" ca="1" si="276"/>
        <v>10290867.10554722</v>
      </c>
      <c r="L254" s="65">
        <f t="shared" ca="1" si="276"/>
        <v>10290867.10554722</v>
      </c>
      <c r="M254" s="65">
        <f t="shared" ca="1" si="276"/>
        <v>10290867.10554722</v>
      </c>
      <c r="N254" s="65">
        <f t="shared" ca="1" si="276"/>
        <v>10290867.10554722</v>
      </c>
      <c r="O254" s="65">
        <f t="shared" ca="1" si="276"/>
        <v>10290867.10554722</v>
      </c>
      <c r="P254" s="65">
        <f t="shared" ca="1" si="276"/>
        <v>10290867.10554722</v>
      </c>
      <c r="Q254" s="65">
        <f t="shared" ca="1" si="276"/>
        <v>10290867.10554722</v>
      </c>
      <c r="R254" s="65">
        <f t="shared" ca="1" si="276"/>
        <v>10290867.10554722</v>
      </c>
      <c r="S254" s="65">
        <f t="shared" ca="1" si="276"/>
        <v>10290867.10554722</v>
      </c>
      <c r="T254" s="65">
        <f t="shared" ca="1" si="276"/>
        <v>10290867.10554722</v>
      </c>
      <c r="U254" s="65">
        <f t="shared" ca="1" si="276"/>
        <v>11263405.136430969</v>
      </c>
      <c r="V254" s="65">
        <f t="shared" ca="1" si="276"/>
        <v>11263405.136430969</v>
      </c>
      <c r="W254" s="65">
        <f t="shared" ca="1" si="276"/>
        <v>11263405.136430969</v>
      </c>
      <c r="X254" s="65">
        <f t="shared" ca="1" si="276"/>
        <v>11263405.136430969</v>
      </c>
      <c r="Y254" s="65">
        <f t="shared" ca="1" si="276"/>
        <v>11263405.136430969</v>
      </c>
      <c r="Z254" s="65">
        <f t="shared" ca="1" si="276"/>
        <v>11263405.136430969</v>
      </c>
      <c r="AA254" s="65">
        <f t="shared" ca="1" si="276"/>
        <v>11263405.136430969</v>
      </c>
      <c r="AB254" s="65">
        <f t="shared" ca="1" si="276"/>
        <v>11263405.136430969</v>
      </c>
      <c r="AC254" s="65">
        <f t="shared" ca="1" si="276"/>
        <v>11263405.136430969</v>
      </c>
      <c r="AD254" s="65">
        <f t="shared" ca="1" si="276"/>
        <v>11263405.136430969</v>
      </c>
      <c r="AE254" s="65">
        <f t="shared" ca="1" si="276"/>
        <v>11263405.136430969</v>
      </c>
      <c r="AF254" s="65">
        <f t="shared" ca="1" si="276"/>
        <v>11263405.136430969</v>
      </c>
      <c r="AG254" s="65">
        <f t="shared" ca="1" si="276"/>
        <v>11263405.136430969</v>
      </c>
      <c r="AH254" s="65"/>
      <c r="AI254" s="65">
        <f t="shared" ca="1" si="274"/>
        <v>280205539.14571655</v>
      </c>
      <c r="AJ254" s="65"/>
      <c r="AM254" s="72">
        <f ca="1">AM252-AM253</f>
        <v>0</v>
      </c>
      <c r="AN254" s="72">
        <f t="shared" ref="AN254:BM254" ca="1" si="277">AN252-AN253</f>
        <v>10151933.101135254</v>
      </c>
      <c r="AO254" s="72">
        <f t="shared" ca="1" si="277"/>
        <v>10151933.101135254</v>
      </c>
      <c r="AP254" s="72">
        <f t="shared" ca="1" si="277"/>
        <v>10151933.101135254</v>
      </c>
      <c r="AQ254" s="72">
        <f t="shared" ca="1" si="277"/>
        <v>10151933.101135254</v>
      </c>
      <c r="AR254" s="72">
        <f t="shared" ca="1" si="277"/>
        <v>10151933.101135254</v>
      </c>
      <c r="AS254" s="72">
        <f t="shared" ca="1" si="277"/>
        <v>10151933.101135254</v>
      </c>
      <c r="AT254" s="72">
        <f t="shared" ca="1" si="277"/>
        <v>10151933.101135254</v>
      </c>
      <c r="AU254" s="72">
        <f t="shared" ca="1" si="277"/>
        <v>10151933.101135254</v>
      </c>
      <c r="AV254" s="72">
        <f t="shared" ca="1" si="277"/>
        <v>10151933.101135254</v>
      </c>
      <c r="AW254" s="72">
        <f t="shared" ca="1" si="277"/>
        <v>10151933.101135254</v>
      </c>
      <c r="AX254" s="72">
        <f t="shared" ca="1" si="277"/>
        <v>10151933.101135254</v>
      </c>
      <c r="AY254" s="72">
        <f t="shared" ca="1" si="277"/>
        <v>10151933.101135254</v>
      </c>
      <c r="AZ254" s="72">
        <f t="shared" ca="1" si="277"/>
        <v>10151933.101135254</v>
      </c>
      <c r="BA254" s="72">
        <f t="shared" ca="1" si="277"/>
        <v>11263405.136430969</v>
      </c>
      <c r="BB254" s="72">
        <f t="shared" ca="1" si="277"/>
        <v>11263405.136430969</v>
      </c>
      <c r="BC254" s="72">
        <f t="shared" ca="1" si="277"/>
        <v>11263405.136430969</v>
      </c>
      <c r="BD254" s="72">
        <f t="shared" ca="1" si="277"/>
        <v>11263405.136430969</v>
      </c>
      <c r="BE254" s="72">
        <f t="shared" ca="1" si="277"/>
        <v>11263405.136430969</v>
      </c>
      <c r="BF254" s="72">
        <f t="shared" ca="1" si="277"/>
        <v>11263405.136430969</v>
      </c>
      <c r="BG254" s="72">
        <f t="shared" ca="1" si="277"/>
        <v>11263405.136430969</v>
      </c>
      <c r="BH254" s="72">
        <f t="shared" ca="1" si="277"/>
        <v>11263405.136430969</v>
      </c>
      <c r="BI254" s="72">
        <f t="shared" ca="1" si="277"/>
        <v>11263405.136430969</v>
      </c>
      <c r="BJ254" s="72">
        <f t="shared" ca="1" si="277"/>
        <v>11263405.136430969</v>
      </c>
      <c r="BK254" s="72">
        <f t="shared" ca="1" si="277"/>
        <v>11263405.136430969</v>
      </c>
      <c r="BL254" s="72">
        <f t="shared" ca="1" si="277"/>
        <v>11263405.136430969</v>
      </c>
      <c r="BM254" s="72">
        <f t="shared" ca="1" si="277"/>
        <v>11263405.136430969</v>
      </c>
      <c r="BN254" s="72"/>
      <c r="BO254" s="72">
        <f t="shared" ca="1" si="275"/>
        <v>278399397.08836102</v>
      </c>
      <c r="BP254" s="72"/>
      <c r="BS254" s="84" t="s">
        <v>93</v>
      </c>
      <c r="BT254" s="51" t="s">
        <v>17</v>
      </c>
    </row>
    <row r="255" spans="1:72" s="5" customFormat="1" x14ac:dyDescent="0.25">
      <c r="A255" s="52"/>
      <c r="B255" s="242" t="str">
        <f t="shared" si="273"/>
        <v>Large C&amp;I</v>
      </c>
      <c r="C255" s="243" t="str">
        <f>C254</f>
        <v>Sales</v>
      </c>
      <c r="D255" s="77" t="s">
        <v>17</v>
      </c>
      <c r="E255" s="76"/>
      <c r="F255" s="76"/>
      <c r="G255" s="468"/>
      <c r="H255" s="468"/>
      <c r="I255" s="468"/>
      <c r="J255" s="468"/>
      <c r="K255" s="468"/>
      <c r="L255" s="468"/>
      <c r="M255" s="468"/>
      <c r="N255" s="468"/>
      <c r="O255" s="468"/>
      <c r="P255" s="468"/>
      <c r="Q255" s="468"/>
      <c r="R255" s="468"/>
      <c r="S255" s="468"/>
      <c r="T255" s="468"/>
      <c r="U255" s="468"/>
      <c r="V255" s="468"/>
      <c r="W255" s="468"/>
      <c r="X255" s="468"/>
      <c r="Y255" s="468"/>
      <c r="Z255" s="468"/>
      <c r="AA255" s="468"/>
      <c r="AB255" s="468"/>
      <c r="AC255" s="468"/>
      <c r="AD255" s="468"/>
      <c r="AE255" s="468"/>
      <c r="AF255" s="468"/>
      <c r="AG255" s="468"/>
      <c r="AH255" s="48"/>
      <c r="AI255" s="235"/>
      <c r="AJ255" s="48"/>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S255" s="76"/>
      <c r="BT255" s="51" t="s">
        <v>17</v>
      </c>
    </row>
    <row r="256" spans="1:72" s="5" customFormat="1" ht="15.75" x14ac:dyDescent="0.25">
      <c r="A256" s="52"/>
      <c r="B256" s="241" t="str">
        <f t="shared" si="273"/>
        <v>Large C&amp;I</v>
      </c>
      <c r="C256" s="63" t="s">
        <v>124</v>
      </c>
      <c r="D256" s="61"/>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2"/>
      <c r="BO256" s="62"/>
      <c r="BP256" s="62"/>
      <c r="BS256" s="62"/>
      <c r="BT256" s="51" t="s">
        <v>17</v>
      </c>
    </row>
    <row r="257" spans="1:72" x14ac:dyDescent="0.25">
      <c r="B257" s="243" t="str">
        <f t="shared" si="273"/>
        <v>Large C&amp;I</v>
      </c>
      <c r="C257" s="243" t="str">
        <f t="shared" si="273"/>
        <v>Revenue Requirements</v>
      </c>
      <c r="D257" s="114" t="str">
        <f>"Revenue Requirement before DSM ("&amp;Lookups!$D$22&amp;" Scenario)"</f>
        <v>Revenue Requirement before DSM (No EE Scenario)</v>
      </c>
      <c r="E257" s="84"/>
      <c r="F257" s="84"/>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S257" s="84"/>
      <c r="BT257" s="51" t="s">
        <v>17</v>
      </c>
    </row>
    <row r="258" spans="1:72" x14ac:dyDescent="0.25">
      <c r="B258" s="243" t="str">
        <f t="shared" si="273"/>
        <v>Large C&amp;I</v>
      </c>
      <c r="C258" s="243" t="str">
        <f t="shared" si="273"/>
        <v>Revenue Requirements</v>
      </c>
      <c r="D258" s="244" t="str">
        <f>D257</f>
        <v>Revenue Requirement before DSM (No EE Scenario)</v>
      </c>
      <c r="E258" s="84" t="s">
        <v>26</v>
      </c>
      <c r="F258" s="84" t="s">
        <v>32</v>
      </c>
      <c r="G258" s="65">
        <f>G275*G252</f>
        <v>0</v>
      </c>
      <c r="H258" s="65">
        <f t="shared" ref="H258:AG258" si="278">H275*H252</f>
        <v>1330208.1466124975</v>
      </c>
      <c r="I258" s="65">
        <f t="shared" si="278"/>
        <v>1330208.1466124975</v>
      </c>
      <c r="J258" s="65">
        <f t="shared" si="278"/>
        <v>1330208.1466124975</v>
      </c>
      <c r="K258" s="65">
        <f t="shared" si="278"/>
        <v>1330208.1466124975</v>
      </c>
      <c r="L258" s="65">
        <f t="shared" si="278"/>
        <v>1330208.1466124975</v>
      </c>
      <c r="M258" s="65">
        <f t="shared" si="278"/>
        <v>1330208.1466124975</v>
      </c>
      <c r="N258" s="65">
        <f t="shared" si="278"/>
        <v>1330208.1466124975</v>
      </c>
      <c r="O258" s="65">
        <f t="shared" si="278"/>
        <v>1330208.1466124975</v>
      </c>
      <c r="P258" s="65">
        <f t="shared" si="278"/>
        <v>1330208.1466124975</v>
      </c>
      <c r="Q258" s="65">
        <f t="shared" si="278"/>
        <v>1330208.1466124975</v>
      </c>
      <c r="R258" s="65">
        <f t="shared" si="278"/>
        <v>1330208.1466124975</v>
      </c>
      <c r="S258" s="65">
        <f t="shared" si="278"/>
        <v>1330208.1466124975</v>
      </c>
      <c r="T258" s="65">
        <f t="shared" si="278"/>
        <v>1330208.1466124975</v>
      </c>
      <c r="U258" s="65">
        <f t="shared" si="278"/>
        <v>1330208.1466124975</v>
      </c>
      <c r="V258" s="65">
        <f t="shared" si="278"/>
        <v>1330208.1466124975</v>
      </c>
      <c r="W258" s="65">
        <f t="shared" si="278"/>
        <v>1330208.1466124975</v>
      </c>
      <c r="X258" s="65">
        <f t="shared" si="278"/>
        <v>1330208.1466124975</v>
      </c>
      <c r="Y258" s="65">
        <f t="shared" si="278"/>
        <v>1330208.1466124975</v>
      </c>
      <c r="Z258" s="65">
        <f t="shared" si="278"/>
        <v>1330208.1466124975</v>
      </c>
      <c r="AA258" s="65">
        <f t="shared" si="278"/>
        <v>1330208.1466124975</v>
      </c>
      <c r="AB258" s="65">
        <f t="shared" si="278"/>
        <v>1330208.1466124975</v>
      </c>
      <c r="AC258" s="65">
        <f t="shared" si="278"/>
        <v>1330208.1466124975</v>
      </c>
      <c r="AD258" s="65">
        <f t="shared" si="278"/>
        <v>1330208.1466124975</v>
      </c>
      <c r="AE258" s="65">
        <f t="shared" si="278"/>
        <v>1330208.1466124975</v>
      </c>
      <c r="AF258" s="65">
        <f t="shared" si="278"/>
        <v>1330208.1466124975</v>
      </c>
      <c r="AG258" s="65">
        <f t="shared" si="278"/>
        <v>1330208.1466124975</v>
      </c>
      <c r="AH258" s="65"/>
      <c r="AI258" s="65">
        <f>NPV(Lookups!$E$17,G258:AG258)</f>
        <v>28369728.071294609</v>
      </c>
      <c r="AJ258" s="65"/>
      <c r="AM258" s="72">
        <f>AM275*AM252</f>
        <v>0</v>
      </c>
      <c r="AN258" s="72">
        <f t="shared" ref="AN258:BM258" si="279">AN275*AN252</f>
        <v>1330208.1466124975</v>
      </c>
      <c r="AO258" s="72">
        <f t="shared" si="279"/>
        <v>1330208.1466124975</v>
      </c>
      <c r="AP258" s="72">
        <f t="shared" si="279"/>
        <v>1330208.1466124975</v>
      </c>
      <c r="AQ258" s="72">
        <f t="shared" si="279"/>
        <v>1330208.1466124975</v>
      </c>
      <c r="AR258" s="72">
        <f t="shared" si="279"/>
        <v>1330208.1466124975</v>
      </c>
      <c r="AS258" s="72">
        <f t="shared" si="279"/>
        <v>1330208.1466124975</v>
      </c>
      <c r="AT258" s="72">
        <f t="shared" si="279"/>
        <v>1330208.1466124975</v>
      </c>
      <c r="AU258" s="72">
        <f t="shared" si="279"/>
        <v>1330208.1466124975</v>
      </c>
      <c r="AV258" s="72">
        <f t="shared" si="279"/>
        <v>1330208.1466124975</v>
      </c>
      <c r="AW258" s="72">
        <f t="shared" si="279"/>
        <v>1330208.1466124975</v>
      </c>
      <c r="AX258" s="72">
        <f t="shared" si="279"/>
        <v>1330208.1466124975</v>
      </c>
      <c r="AY258" s="72">
        <f t="shared" si="279"/>
        <v>1330208.1466124975</v>
      </c>
      <c r="AZ258" s="72">
        <f t="shared" si="279"/>
        <v>1330208.1466124975</v>
      </c>
      <c r="BA258" s="72">
        <f t="shared" si="279"/>
        <v>1330208.1466124975</v>
      </c>
      <c r="BB258" s="72">
        <f t="shared" si="279"/>
        <v>1330208.1466124975</v>
      </c>
      <c r="BC258" s="72">
        <f t="shared" si="279"/>
        <v>1330208.1466124975</v>
      </c>
      <c r="BD258" s="72">
        <f t="shared" si="279"/>
        <v>1330208.1466124975</v>
      </c>
      <c r="BE258" s="72">
        <f t="shared" si="279"/>
        <v>1330208.1466124975</v>
      </c>
      <c r="BF258" s="72">
        <f t="shared" si="279"/>
        <v>1330208.1466124975</v>
      </c>
      <c r="BG258" s="72">
        <f t="shared" si="279"/>
        <v>1330208.1466124975</v>
      </c>
      <c r="BH258" s="72">
        <f t="shared" si="279"/>
        <v>1330208.1466124975</v>
      </c>
      <c r="BI258" s="72">
        <f t="shared" si="279"/>
        <v>1330208.1466124975</v>
      </c>
      <c r="BJ258" s="72">
        <f t="shared" si="279"/>
        <v>1330208.1466124975</v>
      </c>
      <c r="BK258" s="72">
        <f t="shared" si="279"/>
        <v>1330208.1466124975</v>
      </c>
      <c r="BL258" s="72">
        <f t="shared" si="279"/>
        <v>1330208.1466124975</v>
      </c>
      <c r="BM258" s="72">
        <f t="shared" si="279"/>
        <v>1330208.1466124975</v>
      </c>
      <c r="BN258" s="72"/>
      <c r="BO258" s="72">
        <f>NPV(Lookups!$E$17,AM258:BM258)</f>
        <v>28369728.071294609</v>
      </c>
      <c r="BP258" s="72"/>
      <c r="BS258" s="84" t="str">
        <f>"No EE Scenario "&amp;E258&amp;" rate multiplied by No EE Scenario sales."</f>
        <v>No EE Scenario Distribution rate multiplied by No EE Scenario sales.</v>
      </c>
      <c r="BT258" s="51" t="s">
        <v>17</v>
      </c>
    </row>
    <row r="259" spans="1:72" x14ac:dyDescent="0.25">
      <c r="B259" s="243" t="str">
        <f t="shared" si="273"/>
        <v>Large C&amp;I</v>
      </c>
      <c r="C259" s="243" t="str">
        <f t="shared" si="273"/>
        <v>Revenue Requirements</v>
      </c>
      <c r="D259" s="244" t="str">
        <f>D258</f>
        <v>Revenue Requirement before DSM (No EE Scenario)</v>
      </c>
      <c r="E259" s="84" t="s">
        <v>407</v>
      </c>
      <c r="F259" s="84" t="s">
        <v>32</v>
      </c>
      <c r="G259" s="65">
        <f>G276*G252</f>
        <v>0</v>
      </c>
      <c r="H259" s="65">
        <f t="shared" ref="H259:AG259" si="280">H276*H252</f>
        <v>58569.706709441074</v>
      </c>
      <c r="I259" s="65">
        <f t="shared" si="280"/>
        <v>58569.706709441074</v>
      </c>
      <c r="J259" s="65">
        <f t="shared" si="280"/>
        <v>58569.706709441074</v>
      </c>
      <c r="K259" s="65">
        <f t="shared" si="280"/>
        <v>58569.706709441074</v>
      </c>
      <c r="L259" s="65">
        <f t="shared" si="280"/>
        <v>58569.706709441074</v>
      </c>
      <c r="M259" s="65">
        <f t="shared" si="280"/>
        <v>58569.706709441074</v>
      </c>
      <c r="N259" s="65">
        <f t="shared" si="280"/>
        <v>58569.706709441074</v>
      </c>
      <c r="O259" s="65">
        <f t="shared" si="280"/>
        <v>58569.706709441074</v>
      </c>
      <c r="P259" s="65">
        <f t="shared" si="280"/>
        <v>58569.706709441074</v>
      </c>
      <c r="Q259" s="65">
        <f t="shared" si="280"/>
        <v>58569.706709441074</v>
      </c>
      <c r="R259" s="65">
        <f t="shared" si="280"/>
        <v>58569.706709441074</v>
      </c>
      <c r="S259" s="65">
        <f t="shared" si="280"/>
        <v>58569.706709441074</v>
      </c>
      <c r="T259" s="65">
        <f t="shared" si="280"/>
        <v>58569.706709441074</v>
      </c>
      <c r="U259" s="65">
        <f t="shared" si="280"/>
        <v>58569.706709441074</v>
      </c>
      <c r="V259" s="65">
        <f t="shared" si="280"/>
        <v>58569.706709441074</v>
      </c>
      <c r="W259" s="65">
        <f t="shared" si="280"/>
        <v>58569.706709441074</v>
      </c>
      <c r="X259" s="65">
        <f t="shared" si="280"/>
        <v>58569.706709441074</v>
      </c>
      <c r="Y259" s="65">
        <f t="shared" si="280"/>
        <v>58569.706709441074</v>
      </c>
      <c r="Z259" s="65">
        <f t="shared" si="280"/>
        <v>58569.706709441074</v>
      </c>
      <c r="AA259" s="65">
        <f t="shared" si="280"/>
        <v>58569.706709441074</v>
      </c>
      <c r="AB259" s="65">
        <f t="shared" si="280"/>
        <v>58569.706709441074</v>
      </c>
      <c r="AC259" s="65">
        <f t="shared" si="280"/>
        <v>58569.706709441074</v>
      </c>
      <c r="AD259" s="65">
        <f t="shared" si="280"/>
        <v>58569.706709441074</v>
      </c>
      <c r="AE259" s="65">
        <f t="shared" si="280"/>
        <v>58569.706709441074</v>
      </c>
      <c r="AF259" s="65">
        <f t="shared" si="280"/>
        <v>58569.706709441074</v>
      </c>
      <c r="AG259" s="65">
        <f t="shared" si="280"/>
        <v>58569.706709441074</v>
      </c>
      <c r="AH259" s="65"/>
      <c r="AI259" s="65">
        <f>NPV(Lookups!$E$17,G259:AG259)</f>
        <v>1249132.8193965456</v>
      </c>
      <c r="AJ259" s="65"/>
      <c r="AM259" s="72">
        <f>AM276*AM252</f>
        <v>0</v>
      </c>
      <c r="AN259" s="72">
        <f t="shared" ref="AN259:BM259" si="281">AN276*AN252</f>
        <v>58569.706709441074</v>
      </c>
      <c r="AO259" s="72">
        <f t="shared" si="281"/>
        <v>58569.706709441074</v>
      </c>
      <c r="AP259" s="72">
        <f t="shared" si="281"/>
        <v>58569.706709441074</v>
      </c>
      <c r="AQ259" s="72">
        <f t="shared" si="281"/>
        <v>58569.706709441074</v>
      </c>
      <c r="AR259" s="72">
        <f t="shared" si="281"/>
        <v>58569.706709441074</v>
      </c>
      <c r="AS259" s="72">
        <f t="shared" si="281"/>
        <v>58569.706709441074</v>
      </c>
      <c r="AT259" s="72">
        <f t="shared" si="281"/>
        <v>58569.706709441074</v>
      </c>
      <c r="AU259" s="72">
        <f t="shared" si="281"/>
        <v>58569.706709441074</v>
      </c>
      <c r="AV259" s="72">
        <f t="shared" si="281"/>
        <v>58569.706709441074</v>
      </c>
      <c r="AW259" s="72">
        <f t="shared" si="281"/>
        <v>58569.706709441074</v>
      </c>
      <c r="AX259" s="72">
        <f t="shared" si="281"/>
        <v>58569.706709441074</v>
      </c>
      <c r="AY259" s="72">
        <f t="shared" si="281"/>
        <v>58569.706709441074</v>
      </c>
      <c r="AZ259" s="72">
        <f t="shared" si="281"/>
        <v>58569.706709441074</v>
      </c>
      <c r="BA259" s="72">
        <f t="shared" si="281"/>
        <v>58569.706709441074</v>
      </c>
      <c r="BB259" s="72">
        <f t="shared" si="281"/>
        <v>58569.706709441074</v>
      </c>
      <c r="BC259" s="72">
        <f t="shared" si="281"/>
        <v>58569.706709441074</v>
      </c>
      <c r="BD259" s="72">
        <f t="shared" si="281"/>
        <v>58569.706709441074</v>
      </c>
      <c r="BE259" s="72">
        <f t="shared" si="281"/>
        <v>58569.706709441074</v>
      </c>
      <c r="BF259" s="72">
        <f t="shared" si="281"/>
        <v>58569.706709441074</v>
      </c>
      <c r="BG259" s="72">
        <f t="shared" si="281"/>
        <v>58569.706709441074</v>
      </c>
      <c r="BH259" s="72">
        <f t="shared" si="281"/>
        <v>58569.706709441074</v>
      </c>
      <c r="BI259" s="72">
        <f t="shared" si="281"/>
        <v>58569.706709441074</v>
      </c>
      <c r="BJ259" s="72">
        <f t="shared" si="281"/>
        <v>58569.706709441074</v>
      </c>
      <c r="BK259" s="72">
        <f t="shared" si="281"/>
        <v>58569.706709441074</v>
      </c>
      <c r="BL259" s="72">
        <f t="shared" si="281"/>
        <v>58569.706709441074</v>
      </c>
      <c r="BM259" s="72">
        <f t="shared" si="281"/>
        <v>58569.706709441074</v>
      </c>
      <c r="BN259" s="72"/>
      <c r="BO259" s="72">
        <f>NPV(Lookups!$E$17,AM259:BM259)</f>
        <v>1249132.8193965456</v>
      </c>
      <c r="BP259" s="72"/>
      <c r="BS259" s="84" t="str">
        <f>"No EE Scenario "&amp;E259&amp;" rate multiplied by No EE Scenario sales."</f>
        <v>No EE Scenario LDAC, Non-EE rate multiplied by No EE Scenario sales.</v>
      </c>
      <c r="BT259" s="51" t="s">
        <v>17</v>
      </c>
    </row>
    <row r="260" spans="1:72" x14ac:dyDescent="0.25">
      <c r="A260" s="1"/>
      <c r="B260" s="243" t="str">
        <f>B258</f>
        <v>Large C&amp;I</v>
      </c>
      <c r="C260" s="243" t="str">
        <f>C258</f>
        <v>Revenue Requirements</v>
      </c>
      <c r="D260" s="244" t="str">
        <f>D258</f>
        <v>Revenue Requirement before DSM (No EE Scenario)</v>
      </c>
      <c r="E260" s="84" t="s">
        <v>197</v>
      </c>
      <c r="F260" s="84" t="s">
        <v>32</v>
      </c>
      <c r="G260" s="65">
        <f>G277*G252</f>
        <v>0</v>
      </c>
      <c r="H260" s="65">
        <f t="shared" ref="H260:AG260" si="282">H277*H252</f>
        <v>6972047.7794507705</v>
      </c>
      <c r="I260" s="65">
        <f t="shared" si="282"/>
        <v>6972047.7794507705</v>
      </c>
      <c r="J260" s="65">
        <f t="shared" si="282"/>
        <v>6972047.7794507705</v>
      </c>
      <c r="K260" s="65">
        <f t="shared" si="282"/>
        <v>6972047.7794507705</v>
      </c>
      <c r="L260" s="65">
        <f t="shared" si="282"/>
        <v>6972047.7794507705</v>
      </c>
      <c r="M260" s="65">
        <f t="shared" si="282"/>
        <v>6972047.7794507705</v>
      </c>
      <c r="N260" s="65">
        <f t="shared" si="282"/>
        <v>6972047.7794507705</v>
      </c>
      <c r="O260" s="65">
        <f t="shared" si="282"/>
        <v>6972047.7794507705</v>
      </c>
      <c r="P260" s="65">
        <f t="shared" si="282"/>
        <v>6972047.7794507705</v>
      </c>
      <c r="Q260" s="65">
        <f t="shared" si="282"/>
        <v>6972047.7794507705</v>
      </c>
      <c r="R260" s="65">
        <f t="shared" si="282"/>
        <v>6972047.7794507705</v>
      </c>
      <c r="S260" s="65">
        <f t="shared" si="282"/>
        <v>6972047.7794507705</v>
      </c>
      <c r="T260" s="65">
        <f t="shared" si="282"/>
        <v>6972047.7794507705</v>
      </c>
      <c r="U260" s="65">
        <f t="shared" si="282"/>
        <v>6972047.7794507705</v>
      </c>
      <c r="V260" s="65">
        <f t="shared" si="282"/>
        <v>6972047.7794507705</v>
      </c>
      <c r="W260" s="65">
        <f t="shared" si="282"/>
        <v>6972047.7794507705</v>
      </c>
      <c r="X260" s="65">
        <f t="shared" si="282"/>
        <v>6972047.7794507705</v>
      </c>
      <c r="Y260" s="65">
        <f t="shared" si="282"/>
        <v>6972047.7794507705</v>
      </c>
      <c r="Z260" s="65">
        <f t="shared" si="282"/>
        <v>6972047.7794507705</v>
      </c>
      <c r="AA260" s="65">
        <f t="shared" si="282"/>
        <v>6972047.7794507705</v>
      </c>
      <c r="AB260" s="65">
        <f t="shared" si="282"/>
        <v>6972047.7794507705</v>
      </c>
      <c r="AC260" s="65">
        <f t="shared" si="282"/>
        <v>6972047.7794507705</v>
      </c>
      <c r="AD260" s="65">
        <f t="shared" si="282"/>
        <v>6972047.7794507705</v>
      </c>
      <c r="AE260" s="65">
        <f t="shared" si="282"/>
        <v>6972047.7794507705</v>
      </c>
      <c r="AF260" s="65">
        <f t="shared" si="282"/>
        <v>6972047.7794507705</v>
      </c>
      <c r="AG260" s="65">
        <f t="shared" si="282"/>
        <v>6972047.7794507705</v>
      </c>
      <c r="AH260" s="65"/>
      <c r="AI260" s="65">
        <f>NPV(Lookups!$E$17,G260:AG260)</f>
        <v>148694849.07816565</v>
      </c>
      <c r="AJ260" s="65"/>
      <c r="AM260" s="72">
        <f>AM277*AM252</f>
        <v>0</v>
      </c>
      <c r="AN260" s="72">
        <f t="shared" ref="AN260:BM260" si="283">AN277*AN252</f>
        <v>6972047.7794507705</v>
      </c>
      <c r="AO260" s="72">
        <f t="shared" si="283"/>
        <v>6972047.7794507705</v>
      </c>
      <c r="AP260" s="72">
        <f t="shared" si="283"/>
        <v>6972047.7794507705</v>
      </c>
      <c r="AQ260" s="72">
        <f t="shared" si="283"/>
        <v>6972047.7794507705</v>
      </c>
      <c r="AR260" s="72">
        <f t="shared" si="283"/>
        <v>6972047.7794507705</v>
      </c>
      <c r="AS260" s="72">
        <f t="shared" si="283"/>
        <v>6972047.7794507705</v>
      </c>
      <c r="AT260" s="72">
        <f t="shared" si="283"/>
        <v>6972047.7794507705</v>
      </c>
      <c r="AU260" s="72">
        <f t="shared" si="283"/>
        <v>6972047.7794507705</v>
      </c>
      <c r="AV260" s="72">
        <f t="shared" si="283"/>
        <v>6972047.7794507705</v>
      </c>
      <c r="AW260" s="72">
        <f t="shared" si="283"/>
        <v>6972047.7794507705</v>
      </c>
      <c r="AX260" s="72">
        <f t="shared" si="283"/>
        <v>6972047.7794507705</v>
      </c>
      <c r="AY260" s="72">
        <f t="shared" si="283"/>
        <v>6972047.7794507705</v>
      </c>
      <c r="AZ260" s="72">
        <f t="shared" si="283"/>
        <v>6972047.7794507705</v>
      </c>
      <c r="BA260" s="72">
        <f t="shared" si="283"/>
        <v>6972047.7794507705</v>
      </c>
      <c r="BB260" s="72">
        <f t="shared" si="283"/>
        <v>6972047.7794507705</v>
      </c>
      <c r="BC260" s="72">
        <f t="shared" si="283"/>
        <v>6972047.7794507705</v>
      </c>
      <c r="BD260" s="72">
        <f t="shared" si="283"/>
        <v>6972047.7794507705</v>
      </c>
      <c r="BE260" s="72">
        <f t="shared" si="283"/>
        <v>6972047.7794507705</v>
      </c>
      <c r="BF260" s="72">
        <f t="shared" si="283"/>
        <v>6972047.7794507705</v>
      </c>
      <c r="BG260" s="72">
        <f t="shared" si="283"/>
        <v>6972047.7794507705</v>
      </c>
      <c r="BH260" s="72">
        <f t="shared" si="283"/>
        <v>6972047.7794507705</v>
      </c>
      <c r="BI260" s="72">
        <f t="shared" si="283"/>
        <v>6972047.7794507705</v>
      </c>
      <c r="BJ260" s="72">
        <f t="shared" si="283"/>
        <v>6972047.7794507705</v>
      </c>
      <c r="BK260" s="72">
        <f t="shared" si="283"/>
        <v>6972047.7794507705</v>
      </c>
      <c r="BL260" s="72">
        <f t="shared" si="283"/>
        <v>6972047.7794507705</v>
      </c>
      <c r="BM260" s="72">
        <f t="shared" si="283"/>
        <v>6972047.7794507705</v>
      </c>
      <c r="BN260" s="72"/>
      <c r="BO260" s="72">
        <f>NPV(Lookups!$E$17,AM260:BM260)</f>
        <v>148694849.07816565</v>
      </c>
      <c r="BP260" s="72"/>
      <c r="BS260" s="84" t="str">
        <f>"No EE Scenario "&amp;E260&amp;" rate multiplied by No EE Scenario sales."</f>
        <v>No EE Scenario Cost of Gas rate multiplied by No EE Scenario sales.</v>
      </c>
      <c r="BT260" s="51" t="s">
        <v>17</v>
      </c>
    </row>
    <row r="261" spans="1:72" x14ac:dyDescent="0.25">
      <c r="B261" s="243" t="str">
        <f t="shared" ref="B261:C263" si="284">B260</f>
        <v>Large C&amp;I</v>
      </c>
      <c r="C261" s="243" t="str">
        <f t="shared" si="284"/>
        <v>Revenue Requirements</v>
      </c>
      <c r="D261" s="114" t="s">
        <v>24</v>
      </c>
      <c r="E261" s="84"/>
      <c r="F261" s="84"/>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S261" s="84"/>
      <c r="BT261" s="51" t="s">
        <v>17</v>
      </c>
    </row>
    <row r="262" spans="1:72" x14ac:dyDescent="0.25">
      <c r="A262" s="246"/>
      <c r="B262" s="243" t="str">
        <f t="shared" si="284"/>
        <v>Large C&amp;I</v>
      </c>
      <c r="C262" s="243" t="str">
        <f t="shared" si="284"/>
        <v>Revenue Requirements</v>
      </c>
      <c r="D262" s="244" t="str">
        <f>D261</f>
        <v>Avoided Costs</v>
      </c>
      <c r="E262" s="84" t="s">
        <v>45</v>
      </c>
      <c r="F262" s="84" t="s">
        <v>32</v>
      </c>
      <c r="G262" s="65">
        <f ca="1">IF($C$4=Lookups!$D$40,SUM(INDIRECT("'Yr1'!"&amp;ADDRESS(ROW(G262),COLUMN(G262))),INDIRECT("'Yr2'!"&amp;ADDRESS(ROW(G262),COLUMN(G262))),INDIRECT("'Yr3'!"&amp;ADDRESS(ROW(G262),COLUMN(G262)))),
IF(G249=0,0,-PMT(INDEX(Lookups!$E$17:$G$17,MATCH($C$4,Lookups!$E$14:$G$14,0)),G249,SUMIFS('EE Inputs'!$J$9:$J$32,'EE Inputs'!$C$9:$C$32,$G$6,'EE Inputs'!$D$9:$D$32,$C$4,'EE Inputs'!$E$9:$E$32,$B262),0,1)))-G263</f>
        <v>0</v>
      </c>
      <c r="H262" s="65">
        <f ca="1">IF($C$4=Lookups!$D$40,SUM(INDIRECT("'Yr1'!"&amp;ADDRESS(ROW(H262),COLUMN(H262))),INDIRECT("'Yr2'!"&amp;ADDRESS(ROW(H262),COLUMN(H262))),INDIRECT("'Yr3'!"&amp;ADDRESS(ROW(H262),COLUMN(H262)))),
IF(H249=0,0,-PMT(INDEX(Lookups!$E$17:$G$17,MATCH($C$4,Lookups!$E$14:$G$14,0)),H249,SUMIFS('EE Inputs'!$J$9:$J$32,'EE Inputs'!$C$9:$C$32,$G$6,'EE Inputs'!$D$9:$D$32,$C$4,'EE Inputs'!$E$9:$E$32,$B262),0,1)))-H263</f>
        <v>655417.72295495507</v>
      </c>
      <c r="I262" s="65">
        <f ca="1">IF($C$4=Lookups!$D$40,SUM(INDIRECT("'Yr1'!"&amp;ADDRESS(ROW(I262),COLUMN(I262))),INDIRECT("'Yr2'!"&amp;ADDRESS(ROW(I262),COLUMN(I262))),INDIRECT("'Yr3'!"&amp;ADDRESS(ROW(I262),COLUMN(I262)))),
IF(I249=0,0,-PMT(INDEX(Lookups!$E$17:$G$17,MATCH($C$4,Lookups!$E$14:$G$14,0)),I249,SUMIFS('EE Inputs'!$J$9:$J$32,'EE Inputs'!$C$9:$C$32,$G$6,'EE Inputs'!$D$9:$D$32,$C$4,'EE Inputs'!$E$9:$E$32,$B262),0,1)))-I263</f>
        <v>655417.72295495507</v>
      </c>
      <c r="J262" s="65">
        <f ca="1">IF($C$4=Lookups!$D$40,SUM(INDIRECT("'Yr1'!"&amp;ADDRESS(ROW(J262),COLUMN(J262))),INDIRECT("'Yr2'!"&amp;ADDRESS(ROW(J262),COLUMN(J262))),INDIRECT("'Yr3'!"&amp;ADDRESS(ROW(J262),COLUMN(J262)))),
IF(J249=0,0,-PMT(INDEX(Lookups!$E$17:$G$17,MATCH($C$4,Lookups!$E$14:$G$14,0)),J249,SUMIFS('EE Inputs'!$J$9:$J$32,'EE Inputs'!$C$9:$C$32,$G$6,'EE Inputs'!$D$9:$D$32,$C$4,'EE Inputs'!$E$9:$E$32,$B262),0,1)))-J263</f>
        <v>655417.72295495507</v>
      </c>
      <c r="K262" s="65">
        <f ca="1">IF($C$4=Lookups!$D$40,SUM(INDIRECT("'Yr1'!"&amp;ADDRESS(ROW(K262),COLUMN(K262))),INDIRECT("'Yr2'!"&amp;ADDRESS(ROW(K262),COLUMN(K262))),INDIRECT("'Yr3'!"&amp;ADDRESS(ROW(K262),COLUMN(K262)))),
IF(K249=0,0,-PMT(INDEX(Lookups!$E$17:$G$17,MATCH($C$4,Lookups!$E$14:$G$14,0)),K249,SUMIFS('EE Inputs'!$J$9:$J$32,'EE Inputs'!$C$9:$C$32,$G$6,'EE Inputs'!$D$9:$D$32,$C$4,'EE Inputs'!$E$9:$E$32,$B262),0,1)))-K263</f>
        <v>655417.72295495507</v>
      </c>
      <c r="L262" s="65">
        <f ca="1">IF($C$4=Lookups!$D$40,SUM(INDIRECT("'Yr1'!"&amp;ADDRESS(ROW(L262),COLUMN(L262))),INDIRECT("'Yr2'!"&amp;ADDRESS(ROW(L262),COLUMN(L262))),INDIRECT("'Yr3'!"&amp;ADDRESS(ROW(L262),COLUMN(L262)))),
IF(L249=0,0,-PMT(INDEX(Lookups!$E$17:$G$17,MATCH($C$4,Lookups!$E$14:$G$14,0)),L249,SUMIFS('EE Inputs'!$J$9:$J$32,'EE Inputs'!$C$9:$C$32,$G$6,'EE Inputs'!$D$9:$D$32,$C$4,'EE Inputs'!$E$9:$E$32,$B262),0,1)))-L263</f>
        <v>655417.72295495507</v>
      </c>
      <c r="M262" s="65">
        <f ca="1">IF($C$4=Lookups!$D$40,SUM(INDIRECT("'Yr1'!"&amp;ADDRESS(ROW(M262),COLUMN(M262))),INDIRECT("'Yr2'!"&amp;ADDRESS(ROW(M262),COLUMN(M262))),INDIRECT("'Yr3'!"&amp;ADDRESS(ROW(M262),COLUMN(M262)))),
IF(M249=0,0,-PMT(INDEX(Lookups!$E$17:$G$17,MATCH($C$4,Lookups!$E$14:$G$14,0)),M249,SUMIFS('EE Inputs'!$J$9:$J$32,'EE Inputs'!$C$9:$C$32,$G$6,'EE Inputs'!$D$9:$D$32,$C$4,'EE Inputs'!$E$9:$E$32,$B262),0,1)))-M263</f>
        <v>655417.72295495507</v>
      </c>
      <c r="N262" s="65">
        <f ca="1">IF($C$4=Lookups!$D$40,SUM(INDIRECT("'Yr1'!"&amp;ADDRESS(ROW(N262),COLUMN(N262))),INDIRECT("'Yr2'!"&amp;ADDRESS(ROW(N262),COLUMN(N262))),INDIRECT("'Yr3'!"&amp;ADDRESS(ROW(N262),COLUMN(N262)))),
IF(N249=0,0,-PMT(INDEX(Lookups!$E$17:$G$17,MATCH($C$4,Lookups!$E$14:$G$14,0)),N249,SUMIFS('EE Inputs'!$J$9:$J$32,'EE Inputs'!$C$9:$C$32,$G$6,'EE Inputs'!$D$9:$D$32,$C$4,'EE Inputs'!$E$9:$E$32,$B262),0,1)))-N263</f>
        <v>655417.72295495507</v>
      </c>
      <c r="O262" s="65">
        <f ca="1">IF($C$4=Lookups!$D$40,SUM(INDIRECT("'Yr1'!"&amp;ADDRESS(ROW(O262),COLUMN(O262))),INDIRECT("'Yr2'!"&amp;ADDRESS(ROW(O262),COLUMN(O262))),INDIRECT("'Yr3'!"&amp;ADDRESS(ROW(O262),COLUMN(O262)))),
IF(O249=0,0,-PMT(INDEX(Lookups!$E$17:$G$17,MATCH($C$4,Lookups!$E$14:$G$14,0)),O249,SUMIFS('EE Inputs'!$J$9:$J$32,'EE Inputs'!$C$9:$C$32,$G$6,'EE Inputs'!$D$9:$D$32,$C$4,'EE Inputs'!$E$9:$E$32,$B262),0,1)))-O263</f>
        <v>655417.72295495507</v>
      </c>
      <c r="P262" s="65">
        <f ca="1">IF($C$4=Lookups!$D$40,SUM(INDIRECT("'Yr1'!"&amp;ADDRESS(ROW(P262),COLUMN(P262))),INDIRECT("'Yr2'!"&amp;ADDRESS(ROW(P262),COLUMN(P262))),INDIRECT("'Yr3'!"&amp;ADDRESS(ROW(P262),COLUMN(P262)))),
IF(P249=0,0,-PMT(INDEX(Lookups!$E$17:$G$17,MATCH($C$4,Lookups!$E$14:$G$14,0)),P249,SUMIFS('EE Inputs'!$J$9:$J$32,'EE Inputs'!$C$9:$C$32,$G$6,'EE Inputs'!$D$9:$D$32,$C$4,'EE Inputs'!$E$9:$E$32,$B262),0,1)))-P263</f>
        <v>655417.72295495507</v>
      </c>
      <c r="Q262" s="65">
        <f ca="1">IF($C$4=Lookups!$D$40,SUM(INDIRECT("'Yr1'!"&amp;ADDRESS(ROW(Q262),COLUMN(Q262))),INDIRECT("'Yr2'!"&amp;ADDRESS(ROW(Q262),COLUMN(Q262))),INDIRECT("'Yr3'!"&amp;ADDRESS(ROW(Q262),COLUMN(Q262)))),
IF(Q249=0,0,-PMT(INDEX(Lookups!$E$17:$G$17,MATCH($C$4,Lookups!$E$14:$G$14,0)),Q249,SUMIFS('EE Inputs'!$J$9:$J$32,'EE Inputs'!$C$9:$C$32,$G$6,'EE Inputs'!$D$9:$D$32,$C$4,'EE Inputs'!$E$9:$E$32,$B262),0,1)))-Q263</f>
        <v>655417.72295495507</v>
      </c>
      <c r="R262" s="65">
        <f ca="1">IF($C$4=Lookups!$D$40,SUM(INDIRECT("'Yr1'!"&amp;ADDRESS(ROW(R262),COLUMN(R262))),INDIRECT("'Yr2'!"&amp;ADDRESS(ROW(R262),COLUMN(R262))),INDIRECT("'Yr3'!"&amp;ADDRESS(ROW(R262),COLUMN(R262)))),
IF(R249=0,0,-PMT(INDEX(Lookups!$E$17:$G$17,MATCH($C$4,Lookups!$E$14:$G$14,0)),R249,SUMIFS('EE Inputs'!$J$9:$J$32,'EE Inputs'!$C$9:$C$32,$G$6,'EE Inputs'!$D$9:$D$32,$C$4,'EE Inputs'!$E$9:$E$32,$B262),0,1)))-R263</f>
        <v>655417.72295495507</v>
      </c>
      <c r="S262" s="65">
        <f ca="1">IF($C$4=Lookups!$D$40,SUM(INDIRECT("'Yr1'!"&amp;ADDRESS(ROW(S262),COLUMN(S262))),INDIRECT("'Yr2'!"&amp;ADDRESS(ROW(S262),COLUMN(S262))),INDIRECT("'Yr3'!"&amp;ADDRESS(ROW(S262),COLUMN(S262)))),
IF(S249=0,0,-PMT(INDEX(Lookups!$E$17:$G$17,MATCH($C$4,Lookups!$E$14:$G$14,0)),S249,SUMIFS('EE Inputs'!$J$9:$J$32,'EE Inputs'!$C$9:$C$32,$G$6,'EE Inputs'!$D$9:$D$32,$C$4,'EE Inputs'!$E$9:$E$32,$B262),0,1)))-S263</f>
        <v>655417.72295495507</v>
      </c>
      <c r="T262" s="65">
        <f ca="1">IF($C$4=Lookups!$D$40,SUM(INDIRECT("'Yr1'!"&amp;ADDRESS(ROW(T262),COLUMN(T262))),INDIRECT("'Yr2'!"&amp;ADDRESS(ROW(T262),COLUMN(T262))),INDIRECT("'Yr3'!"&amp;ADDRESS(ROW(T262),COLUMN(T262)))),
IF(T249=0,0,-PMT(INDEX(Lookups!$E$17:$G$17,MATCH($C$4,Lookups!$E$14:$G$14,0)),T249,SUMIFS('EE Inputs'!$J$9:$J$32,'EE Inputs'!$C$9:$C$32,$G$6,'EE Inputs'!$D$9:$D$32,$C$4,'EE Inputs'!$E$9:$E$32,$B262),0,1)))-T263</f>
        <v>655417.72295495507</v>
      </c>
      <c r="U262" s="65">
        <f ca="1">IF($C$4=Lookups!$D$40,SUM(INDIRECT("'Yr1'!"&amp;ADDRESS(ROW(U262),COLUMN(U262))),INDIRECT("'Yr2'!"&amp;ADDRESS(ROW(U262),COLUMN(U262))),INDIRECT("'Yr3'!"&amp;ADDRESS(ROW(U262),COLUMN(U262)))),
IF(U249=0,0,-PMT(INDEX(Lookups!$E$17:$G$17,MATCH($C$4,Lookups!$E$14:$G$14,0)),U249,SUMIFS('EE Inputs'!$J$9:$J$32,'EE Inputs'!$C$9:$C$32,$G$6,'EE Inputs'!$D$9:$D$32,$C$4,'EE Inputs'!$E$9:$E$32,$B262),0,1)))-U263</f>
        <v>0</v>
      </c>
      <c r="V262" s="65">
        <f ca="1">IF($C$4=Lookups!$D$40,SUM(INDIRECT("'Yr1'!"&amp;ADDRESS(ROW(V262),COLUMN(V262))),INDIRECT("'Yr2'!"&amp;ADDRESS(ROW(V262),COLUMN(V262))),INDIRECT("'Yr3'!"&amp;ADDRESS(ROW(V262),COLUMN(V262)))),
IF(V249=0,0,-PMT(INDEX(Lookups!$E$17:$G$17,MATCH($C$4,Lookups!$E$14:$G$14,0)),V249,SUMIFS('EE Inputs'!$J$9:$J$32,'EE Inputs'!$C$9:$C$32,$G$6,'EE Inputs'!$D$9:$D$32,$C$4,'EE Inputs'!$E$9:$E$32,$B262),0,1)))-V263</f>
        <v>0</v>
      </c>
      <c r="W262" s="65">
        <f ca="1">IF($C$4=Lookups!$D$40,SUM(INDIRECT("'Yr1'!"&amp;ADDRESS(ROW(W262),COLUMN(W262))),INDIRECT("'Yr2'!"&amp;ADDRESS(ROW(W262),COLUMN(W262))),INDIRECT("'Yr3'!"&amp;ADDRESS(ROW(W262),COLUMN(W262)))),
IF(W249=0,0,-PMT(INDEX(Lookups!$E$17:$G$17,MATCH($C$4,Lookups!$E$14:$G$14,0)),W249,SUMIFS('EE Inputs'!$J$9:$J$32,'EE Inputs'!$C$9:$C$32,$G$6,'EE Inputs'!$D$9:$D$32,$C$4,'EE Inputs'!$E$9:$E$32,$B262),0,1)))-W263</f>
        <v>0</v>
      </c>
      <c r="X262" s="65">
        <f ca="1">IF($C$4=Lookups!$D$40,SUM(INDIRECT("'Yr1'!"&amp;ADDRESS(ROW(X262),COLUMN(X262))),INDIRECT("'Yr2'!"&amp;ADDRESS(ROW(X262),COLUMN(X262))),INDIRECT("'Yr3'!"&amp;ADDRESS(ROW(X262),COLUMN(X262)))),
IF(X249=0,0,-PMT(INDEX(Lookups!$E$17:$G$17,MATCH($C$4,Lookups!$E$14:$G$14,0)),X249,SUMIFS('EE Inputs'!$J$9:$J$32,'EE Inputs'!$C$9:$C$32,$G$6,'EE Inputs'!$D$9:$D$32,$C$4,'EE Inputs'!$E$9:$E$32,$B262),0,1)))-X263</f>
        <v>0</v>
      </c>
      <c r="Y262" s="65">
        <f ca="1">IF($C$4=Lookups!$D$40,SUM(INDIRECT("'Yr1'!"&amp;ADDRESS(ROW(Y262),COLUMN(Y262))),INDIRECT("'Yr2'!"&amp;ADDRESS(ROW(Y262),COLUMN(Y262))),INDIRECT("'Yr3'!"&amp;ADDRESS(ROW(Y262),COLUMN(Y262)))),
IF(Y249=0,0,-PMT(INDEX(Lookups!$E$17:$G$17,MATCH($C$4,Lookups!$E$14:$G$14,0)),Y249,SUMIFS('EE Inputs'!$J$9:$J$32,'EE Inputs'!$C$9:$C$32,$G$6,'EE Inputs'!$D$9:$D$32,$C$4,'EE Inputs'!$E$9:$E$32,$B262),0,1)))-Y263</f>
        <v>0</v>
      </c>
      <c r="Z262" s="65">
        <f ca="1">IF($C$4=Lookups!$D$40,SUM(INDIRECT("'Yr1'!"&amp;ADDRESS(ROW(Z262),COLUMN(Z262))),INDIRECT("'Yr2'!"&amp;ADDRESS(ROW(Z262),COLUMN(Z262))),INDIRECT("'Yr3'!"&amp;ADDRESS(ROW(Z262),COLUMN(Z262)))),
IF(Z249=0,0,-PMT(INDEX(Lookups!$E$17:$G$17,MATCH($C$4,Lookups!$E$14:$G$14,0)),Z249,SUMIFS('EE Inputs'!$J$9:$J$32,'EE Inputs'!$C$9:$C$32,$G$6,'EE Inputs'!$D$9:$D$32,$C$4,'EE Inputs'!$E$9:$E$32,$B262),0,1)))-Z263</f>
        <v>0</v>
      </c>
      <c r="AA262" s="65">
        <f ca="1">IF($C$4=Lookups!$D$40,SUM(INDIRECT("'Yr1'!"&amp;ADDRESS(ROW(AA262),COLUMN(AA262))),INDIRECT("'Yr2'!"&amp;ADDRESS(ROW(AA262),COLUMN(AA262))),INDIRECT("'Yr3'!"&amp;ADDRESS(ROW(AA262),COLUMN(AA262)))),
IF(AA249=0,0,-PMT(INDEX(Lookups!$E$17:$G$17,MATCH($C$4,Lookups!$E$14:$G$14,0)),AA249,SUMIFS('EE Inputs'!$J$9:$J$32,'EE Inputs'!$C$9:$C$32,$G$6,'EE Inputs'!$D$9:$D$32,$C$4,'EE Inputs'!$E$9:$E$32,$B262),0,1)))-AA263</f>
        <v>0</v>
      </c>
      <c r="AB262" s="65">
        <f ca="1">IF($C$4=Lookups!$D$40,SUM(INDIRECT("'Yr1'!"&amp;ADDRESS(ROW(AB262),COLUMN(AB262))),INDIRECT("'Yr2'!"&amp;ADDRESS(ROW(AB262),COLUMN(AB262))),INDIRECT("'Yr3'!"&amp;ADDRESS(ROW(AB262),COLUMN(AB262)))),
IF(AB249=0,0,-PMT(INDEX(Lookups!$E$17:$G$17,MATCH($C$4,Lookups!$E$14:$G$14,0)),AB249,SUMIFS('EE Inputs'!$J$9:$J$32,'EE Inputs'!$C$9:$C$32,$G$6,'EE Inputs'!$D$9:$D$32,$C$4,'EE Inputs'!$E$9:$E$32,$B262),0,1)))-AB263</f>
        <v>0</v>
      </c>
      <c r="AC262" s="65">
        <f ca="1">IF($C$4=Lookups!$D$40,SUM(INDIRECT("'Yr1'!"&amp;ADDRESS(ROW(AC262),COLUMN(AC262))),INDIRECT("'Yr2'!"&amp;ADDRESS(ROW(AC262),COLUMN(AC262))),INDIRECT("'Yr3'!"&amp;ADDRESS(ROW(AC262),COLUMN(AC262)))),
IF(AC249=0,0,-PMT(INDEX(Lookups!$E$17:$G$17,MATCH($C$4,Lookups!$E$14:$G$14,0)),AC249,SUMIFS('EE Inputs'!$J$9:$J$32,'EE Inputs'!$C$9:$C$32,$G$6,'EE Inputs'!$D$9:$D$32,$C$4,'EE Inputs'!$E$9:$E$32,$B262),0,1)))-AC263</f>
        <v>0</v>
      </c>
      <c r="AD262" s="65">
        <f ca="1">IF($C$4=Lookups!$D$40,SUM(INDIRECT("'Yr1'!"&amp;ADDRESS(ROW(AD262),COLUMN(AD262))),INDIRECT("'Yr2'!"&amp;ADDRESS(ROW(AD262),COLUMN(AD262))),INDIRECT("'Yr3'!"&amp;ADDRESS(ROW(AD262),COLUMN(AD262)))),
IF(AD249=0,0,-PMT(INDEX(Lookups!$E$17:$G$17,MATCH($C$4,Lookups!$E$14:$G$14,0)),AD249,SUMIFS('EE Inputs'!$J$9:$J$32,'EE Inputs'!$C$9:$C$32,$G$6,'EE Inputs'!$D$9:$D$32,$C$4,'EE Inputs'!$E$9:$E$32,$B262),0,1)))-AD263</f>
        <v>0</v>
      </c>
      <c r="AE262" s="65">
        <f ca="1">IF($C$4=Lookups!$D$40,SUM(INDIRECT("'Yr1'!"&amp;ADDRESS(ROW(AE262),COLUMN(AE262))),INDIRECT("'Yr2'!"&amp;ADDRESS(ROW(AE262),COLUMN(AE262))),INDIRECT("'Yr3'!"&amp;ADDRESS(ROW(AE262),COLUMN(AE262)))),
IF(AE249=0,0,-PMT(INDEX(Lookups!$E$17:$G$17,MATCH($C$4,Lookups!$E$14:$G$14,0)),AE249,SUMIFS('EE Inputs'!$J$9:$J$32,'EE Inputs'!$C$9:$C$32,$G$6,'EE Inputs'!$D$9:$D$32,$C$4,'EE Inputs'!$E$9:$E$32,$B262),0,1)))-AE263</f>
        <v>0</v>
      </c>
      <c r="AF262" s="65">
        <f ca="1">IF($C$4=Lookups!$D$40,SUM(INDIRECT("'Yr1'!"&amp;ADDRESS(ROW(AF262),COLUMN(AF262))),INDIRECT("'Yr2'!"&amp;ADDRESS(ROW(AF262),COLUMN(AF262))),INDIRECT("'Yr3'!"&amp;ADDRESS(ROW(AF262),COLUMN(AF262)))),
IF(AF249=0,0,-PMT(INDEX(Lookups!$E$17:$G$17,MATCH($C$4,Lookups!$E$14:$G$14,0)),AF249,SUMIFS('EE Inputs'!$J$9:$J$32,'EE Inputs'!$C$9:$C$32,$G$6,'EE Inputs'!$D$9:$D$32,$C$4,'EE Inputs'!$E$9:$E$32,$B262),0,1)))-AF263</f>
        <v>0</v>
      </c>
      <c r="AG262" s="65">
        <f ca="1">IF($C$4=Lookups!$D$40,SUM(INDIRECT("'Yr1'!"&amp;ADDRESS(ROW(AG262),COLUMN(AG262))),INDIRECT("'Yr2'!"&amp;ADDRESS(ROW(AG262),COLUMN(AG262))),INDIRECT("'Yr3'!"&amp;ADDRESS(ROW(AG262),COLUMN(AG262)))),
IF(AG249=0,0,-PMT(INDEX(Lookups!$E$17:$G$17,MATCH($C$4,Lookups!$E$14:$G$14,0)),AG249,SUMIFS('EE Inputs'!$J$9:$J$32,'EE Inputs'!$C$9:$C$32,$G$6,'EE Inputs'!$D$9:$D$32,$C$4,'EE Inputs'!$E$9:$E$32,$B262),0,1)))-AG263</f>
        <v>0</v>
      </c>
      <c r="AH262" s="65"/>
      <c r="AI262" s="65">
        <f ca="1">NPV(Lookups!$E$17,G262:AG262)</f>
        <v>7625425.1553938324</v>
      </c>
      <c r="AJ262" s="65"/>
      <c r="AM262" s="72">
        <f ca="1">IF($C$4=Lookups!$D$40,SUM(INDIRECT("'Yr1'!"&amp;ADDRESS(ROW(AM262),COLUMN(AM262))),INDIRECT("'Yr2'!"&amp;ADDRESS(ROW(AM262),COLUMN(AM262))),INDIRECT("'Yr3'!"&amp;ADDRESS(ROW(AM262),COLUMN(AM262)))),
IF(AM249=0,0,-PMT(INDEX(Lookups!$E$17:$G$17,MATCH($C$4,Lookups!$E$14:$G$14,0)),AM249,SUMIFS('EE Inputs'!$J$9:$J$32,'EE Inputs'!$C$9:$C$32,$AM$6,'EE Inputs'!$D$9:$D$32,$C$4,'EE Inputs'!$E$9:$E$32,$B262),0,1)))-AM263</f>
        <v>0</v>
      </c>
      <c r="AN262" s="72">
        <f ca="1">IF($C$4=Lookups!$D$40,SUM(INDIRECT("'Yr1'!"&amp;ADDRESS(ROW(AN262),COLUMN(AN262))),INDIRECT("'Yr2'!"&amp;ADDRESS(ROW(AN262),COLUMN(AN262))),INDIRECT("'Yr3'!"&amp;ADDRESS(ROW(AN262),COLUMN(AN262)))),
IF(AN249=0,0,-PMT(INDEX(Lookups!$E$17:$G$17,MATCH($C$4,Lookups!$E$14:$G$14,0)),AN249,SUMIFS('EE Inputs'!$J$9:$J$32,'EE Inputs'!$C$9:$C$32,$AM$6,'EE Inputs'!$D$9:$D$32,$C$4,'EE Inputs'!$E$9:$E$32,$B262),0,1)))-AN263</f>
        <v>749048.82623423403</v>
      </c>
      <c r="AO262" s="72">
        <f ca="1">IF($C$4=Lookups!$D$40,SUM(INDIRECT("'Yr1'!"&amp;ADDRESS(ROW(AO262),COLUMN(AO262))),INDIRECT("'Yr2'!"&amp;ADDRESS(ROW(AO262),COLUMN(AO262))),INDIRECT("'Yr3'!"&amp;ADDRESS(ROW(AO262),COLUMN(AO262)))),
IF(AO249=0,0,-PMT(INDEX(Lookups!$E$17:$G$17,MATCH($C$4,Lookups!$E$14:$G$14,0)),AO249,SUMIFS('EE Inputs'!$J$9:$J$32,'EE Inputs'!$C$9:$C$32,$AM$6,'EE Inputs'!$D$9:$D$32,$C$4,'EE Inputs'!$E$9:$E$32,$B262),0,1)))-AO263</f>
        <v>749048.82623423403</v>
      </c>
      <c r="AP262" s="72">
        <f ca="1">IF($C$4=Lookups!$D$40,SUM(INDIRECT("'Yr1'!"&amp;ADDRESS(ROW(AP262),COLUMN(AP262))),INDIRECT("'Yr2'!"&amp;ADDRESS(ROW(AP262),COLUMN(AP262))),INDIRECT("'Yr3'!"&amp;ADDRESS(ROW(AP262),COLUMN(AP262)))),
IF(AP249=0,0,-PMT(INDEX(Lookups!$E$17:$G$17,MATCH($C$4,Lookups!$E$14:$G$14,0)),AP249,SUMIFS('EE Inputs'!$J$9:$J$32,'EE Inputs'!$C$9:$C$32,$AM$6,'EE Inputs'!$D$9:$D$32,$C$4,'EE Inputs'!$E$9:$E$32,$B262),0,1)))-AP263</f>
        <v>749048.82623423403</v>
      </c>
      <c r="AQ262" s="72">
        <f ca="1">IF($C$4=Lookups!$D$40,SUM(INDIRECT("'Yr1'!"&amp;ADDRESS(ROW(AQ262),COLUMN(AQ262))),INDIRECT("'Yr2'!"&amp;ADDRESS(ROW(AQ262),COLUMN(AQ262))),INDIRECT("'Yr3'!"&amp;ADDRESS(ROW(AQ262),COLUMN(AQ262)))),
IF(AQ249=0,0,-PMT(INDEX(Lookups!$E$17:$G$17,MATCH($C$4,Lookups!$E$14:$G$14,0)),AQ249,SUMIFS('EE Inputs'!$J$9:$J$32,'EE Inputs'!$C$9:$C$32,$AM$6,'EE Inputs'!$D$9:$D$32,$C$4,'EE Inputs'!$E$9:$E$32,$B262),0,1)))-AQ263</f>
        <v>749048.82623423403</v>
      </c>
      <c r="AR262" s="72">
        <f ca="1">IF($C$4=Lookups!$D$40,SUM(INDIRECT("'Yr1'!"&amp;ADDRESS(ROW(AR262),COLUMN(AR262))),INDIRECT("'Yr2'!"&amp;ADDRESS(ROW(AR262),COLUMN(AR262))),INDIRECT("'Yr3'!"&amp;ADDRESS(ROW(AR262),COLUMN(AR262)))),
IF(AR249=0,0,-PMT(INDEX(Lookups!$E$17:$G$17,MATCH($C$4,Lookups!$E$14:$G$14,0)),AR249,SUMIFS('EE Inputs'!$J$9:$J$32,'EE Inputs'!$C$9:$C$32,$AM$6,'EE Inputs'!$D$9:$D$32,$C$4,'EE Inputs'!$E$9:$E$32,$B262),0,1)))-AR263</f>
        <v>749048.82623423403</v>
      </c>
      <c r="AS262" s="72">
        <f ca="1">IF($C$4=Lookups!$D$40,SUM(INDIRECT("'Yr1'!"&amp;ADDRESS(ROW(AS262),COLUMN(AS262))),INDIRECT("'Yr2'!"&amp;ADDRESS(ROW(AS262),COLUMN(AS262))),INDIRECT("'Yr3'!"&amp;ADDRESS(ROW(AS262),COLUMN(AS262)))),
IF(AS249=0,0,-PMT(INDEX(Lookups!$E$17:$G$17,MATCH($C$4,Lookups!$E$14:$G$14,0)),AS249,SUMIFS('EE Inputs'!$J$9:$J$32,'EE Inputs'!$C$9:$C$32,$AM$6,'EE Inputs'!$D$9:$D$32,$C$4,'EE Inputs'!$E$9:$E$32,$B262),0,1)))-AS263</f>
        <v>749048.82623423403</v>
      </c>
      <c r="AT262" s="72">
        <f ca="1">IF($C$4=Lookups!$D$40,SUM(INDIRECT("'Yr1'!"&amp;ADDRESS(ROW(AT262),COLUMN(AT262))),INDIRECT("'Yr2'!"&amp;ADDRESS(ROW(AT262),COLUMN(AT262))),INDIRECT("'Yr3'!"&amp;ADDRESS(ROW(AT262),COLUMN(AT262)))),
IF(AT249=0,0,-PMT(INDEX(Lookups!$E$17:$G$17,MATCH($C$4,Lookups!$E$14:$G$14,0)),AT249,SUMIFS('EE Inputs'!$J$9:$J$32,'EE Inputs'!$C$9:$C$32,$AM$6,'EE Inputs'!$D$9:$D$32,$C$4,'EE Inputs'!$E$9:$E$32,$B262),0,1)))-AT263</f>
        <v>749048.82623423403</v>
      </c>
      <c r="AU262" s="72">
        <f ca="1">IF($C$4=Lookups!$D$40,SUM(INDIRECT("'Yr1'!"&amp;ADDRESS(ROW(AU262),COLUMN(AU262))),INDIRECT("'Yr2'!"&amp;ADDRESS(ROW(AU262),COLUMN(AU262))),INDIRECT("'Yr3'!"&amp;ADDRESS(ROW(AU262),COLUMN(AU262)))),
IF(AU249=0,0,-PMT(INDEX(Lookups!$E$17:$G$17,MATCH($C$4,Lookups!$E$14:$G$14,0)),AU249,SUMIFS('EE Inputs'!$J$9:$J$32,'EE Inputs'!$C$9:$C$32,$AM$6,'EE Inputs'!$D$9:$D$32,$C$4,'EE Inputs'!$E$9:$E$32,$B262),0,1)))-AU263</f>
        <v>749048.82623423403</v>
      </c>
      <c r="AV262" s="72">
        <f ca="1">IF($C$4=Lookups!$D$40,SUM(INDIRECT("'Yr1'!"&amp;ADDRESS(ROW(AV262),COLUMN(AV262))),INDIRECT("'Yr2'!"&amp;ADDRESS(ROW(AV262),COLUMN(AV262))),INDIRECT("'Yr3'!"&amp;ADDRESS(ROW(AV262),COLUMN(AV262)))),
IF(AV249=0,0,-PMT(INDEX(Lookups!$E$17:$G$17,MATCH($C$4,Lookups!$E$14:$G$14,0)),AV249,SUMIFS('EE Inputs'!$J$9:$J$32,'EE Inputs'!$C$9:$C$32,$AM$6,'EE Inputs'!$D$9:$D$32,$C$4,'EE Inputs'!$E$9:$E$32,$B262),0,1)))-AV263</f>
        <v>749048.82623423403</v>
      </c>
      <c r="AW262" s="72">
        <f ca="1">IF($C$4=Lookups!$D$40,SUM(INDIRECT("'Yr1'!"&amp;ADDRESS(ROW(AW262),COLUMN(AW262))),INDIRECT("'Yr2'!"&amp;ADDRESS(ROW(AW262),COLUMN(AW262))),INDIRECT("'Yr3'!"&amp;ADDRESS(ROW(AW262),COLUMN(AW262)))),
IF(AW249=0,0,-PMT(INDEX(Lookups!$E$17:$G$17,MATCH($C$4,Lookups!$E$14:$G$14,0)),AW249,SUMIFS('EE Inputs'!$J$9:$J$32,'EE Inputs'!$C$9:$C$32,$AM$6,'EE Inputs'!$D$9:$D$32,$C$4,'EE Inputs'!$E$9:$E$32,$B262),0,1)))-AW263</f>
        <v>749048.82623423403</v>
      </c>
      <c r="AX262" s="72">
        <f ca="1">IF($C$4=Lookups!$D$40,SUM(INDIRECT("'Yr1'!"&amp;ADDRESS(ROW(AX262),COLUMN(AX262))),INDIRECT("'Yr2'!"&amp;ADDRESS(ROW(AX262),COLUMN(AX262))),INDIRECT("'Yr3'!"&amp;ADDRESS(ROW(AX262),COLUMN(AX262)))),
IF(AX249=0,0,-PMT(INDEX(Lookups!$E$17:$G$17,MATCH($C$4,Lookups!$E$14:$G$14,0)),AX249,SUMIFS('EE Inputs'!$J$9:$J$32,'EE Inputs'!$C$9:$C$32,$AM$6,'EE Inputs'!$D$9:$D$32,$C$4,'EE Inputs'!$E$9:$E$32,$B262),0,1)))-AX263</f>
        <v>749048.82623423403</v>
      </c>
      <c r="AY262" s="72">
        <f ca="1">IF($C$4=Lookups!$D$40,SUM(INDIRECT("'Yr1'!"&amp;ADDRESS(ROW(AY262),COLUMN(AY262))),INDIRECT("'Yr2'!"&amp;ADDRESS(ROW(AY262),COLUMN(AY262))),INDIRECT("'Yr3'!"&amp;ADDRESS(ROW(AY262),COLUMN(AY262)))),
IF(AY249=0,0,-PMT(INDEX(Lookups!$E$17:$G$17,MATCH($C$4,Lookups!$E$14:$G$14,0)),AY249,SUMIFS('EE Inputs'!$J$9:$J$32,'EE Inputs'!$C$9:$C$32,$AM$6,'EE Inputs'!$D$9:$D$32,$C$4,'EE Inputs'!$E$9:$E$32,$B262),0,1)))-AY263</f>
        <v>749048.82623423403</v>
      </c>
      <c r="AZ262" s="72">
        <f ca="1">IF($C$4=Lookups!$D$40,SUM(INDIRECT("'Yr1'!"&amp;ADDRESS(ROW(AZ262),COLUMN(AZ262))),INDIRECT("'Yr2'!"&amp;ADDRESS(ROW(AZ262),COLUMN(AZ262))),INDIRECT("'Yr3'!"&amp;ADDRESS(ROW(AZ262),COLUMN(AZ262)))),
IF(AZ249=0,0,-PMT(INDEX(Lookups!$E$17:$G$17,MATCH($C$4,Lookups!$E$14:$G$14,0)),AZ249,SUMIFS('EE Inputs'!$J$9:$J$32,'EE Inputs'!$C$9:$C$32,$AM$6,'EE Inputs'!$D$9:$D$32,$C$4,'EE Inputs'!$E$9:$E$32,$B262),0,1)))-AZ263</f>
        <v>749048.82623423403</v>
      </c>
      <c r="BA262" s="72">
        <f ca="1">IF($C$4=Lookups!$D$40,SUM(INDIRECT("'Yr1'!"&amp;ADDRESS(ROW(BA262),COLUMN(BA262))),INDIRECT("'Yr2'!"&amp;ADDRESS(ROW(BA262),COLUMN(BA262))),INDIRECT("'Yr3'!"&amp;ADDRESS(ROW(BA262),COLUMN(BA262)))),
IF(BA249=0,0,-PMT(INDEX(Lookups!$E$17:$G$17,MATCH($C$4,Lookups!$E$14:$G$14,0)),BA249,SUMIFS('EE Inputs'!$J$9:$J$32,'EE Inputs'!$C$9:$C$32,$AM$6,'EE Inputs'!$D$9:$D$32,$C$4,'EE Inputs'!$E$9:$E$32,$B262),0,1)))-BA263</f>
        <v>0</v>
      </c>
      <c r="BB262" s="72">
        <f ca="1">IF($C$4=Lookups!$D$40,SUM(INDIRECT("'Yr1'!"&amp;ADDRESS(ROW(BB262),COLUMN(BB262))),INDIRECT("'Yr2'!"&amp;ADDRESS(ROW(BB262),COLUMN(BB262))),INDIRECT("'Yr3'!"&amp;ADDRESS(ROW(BB262),COLUMN(BB262)))),
IF(BB249=0,0,-PMT(INDEX(Lookups!$E$17:$G$17,MATCH($C$4,Lookups!$E$14:$G$14,0)),BB249,SUMIFS('EE Inputs'!$J$9:$J$32,'EE Inputs'!$C$9:$C$32,$AM$6,'EE Inputs'!$D$9:$D$32,$C$4,'EE Inputs'!$E$9:$E$32,$B262),0,1)))-BB263</f>
        <v>0</v>
      </c>
      <c r="BC262" s="72">
        <f ca="1">IF($C$4=Lookups!$D$40,SUM(INDIRECT("'Yr1'!"&amp;ADDRESS(ROW(BC262),COLUMN(BC262))),INDIRECT("'Yr2'!"&amp;ADDRESS(ROW(BC262),COLUMN(BC262))),INDIRECT("'Yr3'!"&amp;ADDRESS(ROW(BC262),COLUMN(BC262)))),
IF(BC249=0,0,-PMT(INDEX(Lookups!$E$17:$G$17,MATCH($C$4,Lookups!$E$14:$G$14,0)),BC249,SUMIFS('EE Inputs'!$J$9:$J$32,'EE Inputs'!$C$9:$C$32,$AM$6,'EE Inputs'!$D$9:$D$32,$C$4,'EE Inputs'!$E$9:$E$32,$B262),0,1)))-BC263</f>
        <v>0</v>
      </c>
      <c r="BD262" s="72">
        <f ca="1">IF($C$4=Lookups!$D$40,SUM(INDIRECT("'Yr1'!"&amp;ADDRESS(ROW(BD262),COLUMN(BD262))),INDIRECT("'Yr2'!"&amp;ADDRESS(ROW(BD262),COLUMN(BD262))),INDIRECT("'Yr3'!"&amp;ADDRESS(ROW(BD262),COLUMN(BD262)))),
IF(BD249=0,0,-PMT(INDEX(Lookups!$E$17:$G$17,MATCH($C$4,Lookups!$E$14:$G$14,0)),BD249,SUMIFS('EE Inputs'!$J$9:$J$32,'EE Inputs'!$C$9:$C$32,$AM$6,'EE Inputs'!$D$9:$D$32,$C$4,'EE Inputs'!$E$9:$E$32,$B262),0,1)))-BD263</f>
        <v>0</v>
      </c>
      <c r="BE262" s="72">
        <f ca="1">IF($C$4=Lookups!$D$40,SUM(INDIRECT("'Yr1'!"&amp;ADDRESS(ROW(BE262),COLUMN(BE262))),INDIRECT("'Yr2'!"&amp;ADDRESS(ROW(BE262),COLUMN(BE262))),INDIRECT("'Yr3'!"&amp;ADDRESS(ROW(BE262),COLUMN(BE262)))),
IF(BE249=0,0,-PMT(INDEX(Lookups!$E$17:$G$17,MATCH($C$4,Lookups!$E$14:$G$14,0)),BE249,SUMIFS('EE Inputs'!$J$9:$J$32,'EE Inputs'!$C$9:$C$32,$AM$6,'EE Inputs'!$D$9:$D$32,$C$4,'EE Inputs'!$E$9:$E$32,$B262),0,1)))-BE263</f>
        <v>0</v>
      </c>
      <c r="BF262" s="72">
        <f ca="1">IF($C$4=Lookups!$D$40,SUM(INDIRECT("'Yr1'!"&amp;ADDRESS(ROW(BF262),COLUMN(BF262))),INDIRECT("'Yr2'!"&amp;ADDRESS(ROW(BF262),COLUMN(BF262))),INDIRECT("'Yr3'!"&amp;ADDRESS(ROW(BF262),COLUMN(BF262)))),
IF(BF249=0,0,-PMT(INDEX(Lookups!$E$17:$G$17,MATCH($C$4,Lookups!$E$14:$G$14,0)),BF249,SUMIFS('EE Inputs'!$J$9:$J$32,'EE Inputs'!$C$9:$C$32,$AM$6,'EE Inputs'!$D$9:$D$32,$C$4,'EE Inputs'!$E$9:$E$32,$B262),0,1)))-BF263</f>
        <v>0</v>
      </c>
      <c r="BG262" s="72">
        <f ca="1">IF($C$4=Lookups!$D$40,SUM(INDIRECT("'Yr1'!"&amp;ADDRESS(ROW(BG262),COLUMN(BG262))),INDIRECT("'Yr2'!"&amp;ADDRESS(ROW(BG262),COLUMN(BG262))),INDIRECT("'Yr3'!"&amp;ADDRESS(ROW(BG262),COLUMN(BG262)))),
IF(BG249=0,0,-PMT(INDEX(Lookups!$E$17:$G$17,MATCH($C$4,Lookups!$E$14:$G$14,0)),BG249,SUMIFS('EE Inputs'!$J$9:$J$32,'EE Inputs'!$C$9:$C$32,$AM$6,'EE Inputs'!$D$9:$D$32,$C$4,'EE Inputs'!$E$9:$E$32,$B262),0,1)))-BG263</f>
        <v>0</v>
      </c>
      <c r="BH262" s="72">
        <f ca="1">IF($C$4=Lookups!$D$40,SUM(INDIRECT("'Yr1'!"&amp;ADDRESS(ROW(BH262),COLUMN(BH262))),INDIRECT("'Yr2'!"&amp;ADDRESS(ROW(BH262),COLUMN(BH262))),INDIRECT("'Yr3'!"&amp;ADDRESS(ROW(BH262),COLUMN(BH262)))),
IF(BH249=0,0,-PMT(INDEX(Lookups!$E$17:$G$17,MATCH($C$4,Lookups!$E$14:$G$14,0)),BH249,SUMIFS('EE Inputs'!$J$9:$J$32,'EE Inputs'!$C$9:$C$32,$AM$6,'EE Inputs'!$D$9:$D$32,$C$4,'EE Inputs'!$E$9:$E$32,$B262),0,1)))-BH263</f>
        <v>0</v>
      </c>
      <c r="BI262" s="72">
        <f ca="1">IF($C$4=Lookups!$D$40,SUM(INDIRECT("'Yr1'!"&amp;ADDRESS(ROW(BI262),COLUMN(BI262))),INDIRECT("'Yr2'!"&amp;ADDRESS(ROW(BI262),COLUMN(BI262))),INDIRECT("'Yr3'!"&amp;ADDRESS(ROW(BI262),COLUMN(BI262)))),
IF(BI249=0,0,-PMT(INDEX(Lookups!$E$17:$G$17,MATCH($C$4,Lookups!$E$14:$G$14,0)),BI249,SUMIFS('EE Inputs'!$J$9:$J$32,'EE Inputs'!$C$9:$C$32,$AM$6,'EE Inputs'!$D$9:$D$32,$C$4,'EE Inputs'!$E$9:$E$32,$B262),0,1)))-BI263</f>
        <v>0</v>
      </c>
      <c r="BJ262" s="72">
        <f ca="1">IF($C$4=Lookups!$D$40,SUM(INDIRECT("'Yr1'!"&amp;ADDRESS(ROW(BJ262),COLUMN(BJ262))),INDIRECT("'Yr2'!"&amp;ADDRESS(ROW(BJ262),COLUMN(BJ262))),INDIRECT("'Yr3'!"&amp;ADDRESS(ROW(BJ262),COLUMN(BJ262)))),
IF(BJ249=0,0,-PMT(INDEX(Lookups!$E$17:$G$17,MATCH($C$4,Lookups!$E$14:$G$14,0)),BJ249,SUMIFS('EE Inputs'!$J$9:$J$32,'EE Inputs'!$C$9:$C$32,$AM$6,'EE Inputs'!$D$9:$D$32,$C$4,'EE Inputs'!$E$9:$E$32,$B262),0,1)))-BJ263</f>
        <v>0</v>
      </c>
      <c r="BK262" s="72">
        <f ca="1">IF($C$4=Lookups!$D$40,SUM(INDIRECT("'Yr1'!"&amp;ADDRESS(ROW(BK262),COLUMN(BK262))),INDIRECT("'Yr2'!"&amp;ADDRESS(ROW(BK262),COLUMN(BK262))),INDIRECT("'Yr3'!"&amp;ADDRESS(ROW(BK262),COLUMN(BK262)))),
IF(BK249=0,0,-PMT(INDEX(Lookups!$E$17:$G$17,MATCH($C$4,Lookups!$E$14:$G$14,0)),BK249,SUMIFS('EE Inputs'!$J$9:$J$32,'EE Inputs'!$C$9:$C$32,$AM$6,'EE Inputs'!$D$9:$D$32,$C$4,'EE Inputs'!$E$9:$E$32,$B262),0,1)))-BK263</f>
        <v>0</v>
      </c>
      <c r="BL262" s="72">
        <f ca="1">IF($C$4=Lookups!$D$40,SUM(INDIRECT("'Yr1'!"&amp;ADDRESS(ROW(BL262),COLUMN(BL262))),INDIRECT("'Yr2'!"&amp;ADDRESS(ROW(BL262),COLUMN(BL262))),INDIRECT("'Yr3'!"&amp;ADDRESS(ROW(BL262),COLUMN(BL262)))),
IF(BL249=0,0,-PMT(INDEX(Lookups!$E$17:$G$17,MATCH($C$4,Lookups!$E$14:$G$14,0)),BL249,SUMIFS('EE Inputs'!$J$9:$J$32,'EE Inputs'!$C$9:$C$32,$AM$6,'EE Inputs'!$D$9:$D$32,$C$4,'EE Inputs'!$E$9:$E$32,$B262),0,1)))-BL263</f>
        <v>0</v>
      </c>
      <c r="BM262" s="72">
        <f ca="1">IF($C$4=Lookups!$D$40,SUM(INDIRECT("'Yr1'!"&amp;ADDRESS(ROW(BM262),COLUMN(BM262))),INDIRECT("'Yr2'!"&amp;ADDRESS(ROW(BM262),COLUMN(BM262))),INDIRECT("'Yr3'!"&amp;ADDRESS(ROW(BM262),COLUMN(BM262)))),
IF(BM249=0,0,-PMT(INDEX(Lookups!$E$17:$G$17,MATCH($C$4,Lookups!$E$14:$G$14,0)),BM249,SUMIFS('EE Inputs'!$J$9:$J$32,'EE Inputs'!$C$9:$C$32,$AM$6,'EE Inputs'!$D$9:$D$32,$C$4,'EE Inputs'!$E$9:$E$32,$B262),0,1)))-BM263</f>
        <v>0</v>
      </c>
      <c r="BN262" s="72"/>
      <c r="BO262" s="72">
        <f ca="1">NPV(Lookups!$E$17,AM262:BM262)</f>
        <v>8714771.6061643753</v>
      </c>
      <c r="BP262" s="72"/>
      <c r="BS262" s="84" t="str">
        <f>"Avoided "&amp;E262&amp;" costs, less the retail margin."</f>
        <v>Avoided Gas costs, less the retail margin.</v>
      </c>
      <c r="BT262" s="51" t="s">
        <v>17</v>
      </c>
    </row>
    <row r="263" spans="1:72" x14ac:dyDescent="0.25">
      <c r="A263" s="246"/>
      <c r="B263" s="243" t="str">
        <f t="shared" si="284"/>
        <v>Large C&amp;I</v>
      </c>
      <c r="C263" s="243" t="str">
        <f t="shared" si="284"/>
        <v>Revenue Requirements</v>
      </c>
      <c r="D263" s="244" t="str">
        <f>D262</f>
        <v>Avoided Costs</v>
      </c>
      <c r="E263" s="84" t="s">
        <v>412</v>
      </c>
      <c r="F263" s="84" t="s">
        <v>32</v>
      </c>
      <c r="G263" s="65">
        <f ca="1">IF($C$4=Lookups!$D$40,SUM(INDIRECT("'Yr1'!"&amp;ADDRESS(ROW(G263),COLUMN(G263))),INDIRECT("'Yr2'!"&amp;ADDRESS(ROW(G263),COLUMN(G263))),INDIRECT("'Yr3'!"&amp;ADDRESS(ROW(G263),COLUMN(G263)))),
IF(G249=0,0,-PMT(INDEX(Lookups!$E$17:$G$17,MATCH($C$4,Lookups!$E$14:$G$14,0)),G249,SUMIFS('EE Inputs'!$W$9:$W$32,'EE Inputs'!$C$9:$C$32,$G$6,'EE Inputs'!$D$9:$D$32,$C$4,'EE Inputs'!$E$9:$E$32,$B263),0,1)))</f>
        <v>0</v>
      </c>
      <c r="H263" s="65">
        <f ca="1">IF($C$4=Lookups!$D$40,SUM(INDIRECT("'Yr1'!"&amp;ADDRESS(ROW(H263),COLUMN(H263))),INDIRECT("'Yr2'!"&amp;ADDRESS(ROW(H263),COLUMN(H263))),INDIRECT("'Yr3'!"&amp;ADDRESS(ROW(H263),COLUMN(H263)))),
IF(H249=0,0,-PMT(INDEX(Lookups!$E$17:$G$17,MATCH($C$4,Lookups!$E$14:$G$14,0)),H249,SUMIFS('EE Inputs'!$W$9:$W$32,'EE Inputs'!$C$9:$C$32,$G$6,'EE Inputs'!$D$9:$D$32,$C$4,'EE Inputs'!$E$9:$E$32,$B263),0,1)))</f>
        <v>41835.173805635422</v>
      </c>
      <c r="I263" s="65">
        <f ca="1">IF($C$4=Lookups!$D$40,SUM(INDIRECT("'Yr1'!"&amp;ADDRESS(ROW(I263),COLUMN(I263))),INDIRECT("'Yr2'!"&amp;ADDRESS(ROW(I263),COLUMN(I263))),INDIRECT("'Yr3'!"&amp;ADDRESS(ROW(I263),COLUMN(I263)))),
IF(I249=0,0,-PMT(INDEX(Lookups!$E$17:$G$17,MATCH($C$4,Lookups!$E$14:$G$14,0)),I249,SUMIFS('EE Inputs'!$W$9:$W$32,'EE Inputs'!$C$9:$C$32,$G$6,'EE Inputs'!$D$9:$D$32,$C$4,'EE Inputs'!$E$9:$E$32,$B263),0,1)))</f>
        <v>41835.173805635422</v>
      </c>
      <c r="J263" s="65">
        <f ca="1">IF($C$4=Lookups!$D$40,SUM(INDIRECT("'Yr1'!"&amp;ADDRESS(ROW(J263),COLUMN(J263))),INDIRECT("'Yr2'!"&amp;ADDRESS(ROW(J263),COLUMN(J263))),INDIRECT("'Yr3'!"&amp;ADDRESS(ROW(J263),COLUMN(J263)))),
IF(J249=0,0,-PMT(INDEX(Lookups!$E$17:$G$17,MATCH($C$4,Lookups!$E$14:$G$14,0)),J249,SUMIFS('EE Inputs'!$W$9:$W$32,'EE Inputs'!$C$9:$C$32,$G$6,'EE Inputs'!$D$9:$D$32,$C$4,'EE Inputs'!$E$9:$E$32,$B263),0,1)))</f>
        <v>41835.173805635422</v>
      </c>
      <c r="K263" s="65">
        <f ca="1">IF($C$4=Lookups!$D$40,SUM(INDIRECT("'Yr1'!"&amp;ADDRESS(ROW(K263),COLUMN(K263))),INDIRECT("'Yr2'!"&amp;ADDRESS(ROW(K263),COLUMN(K263))),INDIRECT("'Yr3'!"&amp;ADDRESS(ROW(K263),COLUMN(K263)))),
IF(K249=0,0,-PMT(INDEX(Lookups!$E$17:$G$17,MATCH($C$4,Lookups!$E$14:$G$14,0)),K249,SUMIFS('EE Inputs'!$W$9:$W$32,'EE Inputs'!$C$9:$C$32,$G$6,'EE Inputs'!$D$9:$D$32,$C$4,'EE Inputs'!$E$9:$E$32,$B263),0,1)))</f>
        <v>41835.173805635422</v>
      </c>
      <c r="L263" s="65">
        <f ca="1">IF($C$4=Lookups!$D$40,SUM(INDIRECT("'Yr1'!"&amp;ADDRESS(ROW(L263),COLUMN(L263))),INDIRECT("'Yr2'!"&amp;ADDRESS(ROW(L263),COLUMN(L263))),INDIRECT("'Yr3'!"&amp;ADDRESS(ROW(L263),COLUMN(L263)))),
IF(L249=0,0,-PMT(INDEX(Lookups!$E$17:$G$17,MATCH($C$4,Lookups!$E$14:$G$14,0)),L249,SUMIFS('EE Inputs'!$W$9:$W$32,'EE Inputs'!$C$9:$C$32,$G$6,'EE Inputs'!$D$9:$D$32,$C$4,'EE Inputs'!$E$9:$E$32,$B263),0,1)))</f>
        <v>41835.173805635422</v>
      </c>
      <c r="M263" s="65">
        <f ca="1">IF($C$4=Lookups!$D$40,SUM(INDIRECT("'Yr1'!"&amp;ADDRESS(ROW(M263),COLUMN(M263))),INDIRECT("'Yr2'!"&amp;ADDRESS(ROW(M263),COLUMN(M263))),INDIRECT("'Yr3'!"&amp;ADDRESS(ROW(M263),COLUMN(M263)))),
IF(M249=0,0,-PMT(INDEX(Lookups!$E$17:$G$17,MATCH($C$4,Lookups!$E$14:$G$14,0)),M249,SUMIFS('EE Inputs'!$W$9:$W$32,'EE Inputs'!$C$9:$C$32,$G$6,'EE Inputs'!$D$9:$D$32,$C$4,'EE Inputs'!$E$9:$E$32,$B263),0,1)))</f>
        <v>41835.173805635422</v>
      </c>
      <c r="N263" s="65">
        <f ca="1">IF($C$4=Lookups!$D$40,SUM(INDIRECT("'Yr1'!"&amp;ADDRESS(ROW(N263),COLUMN(N263))),INDIRECT("'Yr2'!"&amp;ADDRESS(ROW(N263),COLUMN(N263))),INDIRECT("'Yr3'!"&amp;ADDRESS(ROW(N263),COLUMN(N263)))),
IF(N249=0,0,-PMT(INDEX(Lookups!$E$17:$G$17,MATCH($C$4,Lookups!$E$14:$G$14,0)),N249,SUMIFS('EE Inputs'!$W$9:$W$32,'EE Inputs'!$C$9:$C$32,$G$6,'EE Inputs'!$D$9:$D$32,$C$4,'EE Inputs'!$E$9:$E$32,$B263),0,1)))</f>
        <v>41835.173805635422</v>
      </c>
      <c r="O263" s="65">
        <f ca="1">IF($C$4=Lookups!$D$40,SUM(INDIRECT("'Yr1'!"&amp;ADDRESS(ROW(O263),COLUMN(O263))),INDIRECT("'Yr2'!"&amp;ADDRESS(ROW(O263),COLUMN(O263))),INDIRECT("'Yr3'!"&amp;ADDRESS(ROW(O263),COLUMN(O263)))),
IF(O249=0,0,-PMT(INDEX(Lookups!$E$17:$G$17,MATCH($C$4,Lookups!$E$14:$G$14,0)),O249,SUMIFS('EE Inputs'!$W$9:$W$32,'EE Inputs'!$C$9:$C$32,$G$6,'EE Inputs'!$D$9:$D$32,$C$4,'EE Inputs'!$E$9:$E$32,$B263),0,1)))</f>
        <v>41835.173805635422</v>
      </c>
      <c r="P263" s="65">
        <f ca="1">IF($C$4=Lookups!$D$40,SUM(INDIRECT("'Yr1'!"&amp;ADDRESS(ROW(P263),COLUMN(P263))),INDIRECT("'Yr2'!"&amp;ADDRESS(ROW(P263),COLUMN(P263))),INDIRECT("'Yr3'!"&amp;ADDRESS(ROW(P263),COLUMN(P263)))),
IF(P249=0,0,-PMT(INDEX(Lookups!$E$17:$G$17,MATCH($C$4,Lookups!$E$14:$G$14,0)),P249,SUMIFS('EE Inputs'!$W$9:$W$32,'EE Inputs'!$C$9:$C$32,$G$6,'EE Inputs'!$D$9:$D$32,$C$4,'EE Inputs'!$E$9:$E$32,$B263),0,1)))</f>
        <v>41835.173805635422</v>
      </c>
      <c r="Q263" s="65">
        <f ca="1">IF($C$4=Lookups!$D$40,SUM(INDIRECT("'Yr1'!"&amp;ADDRESS(ROW(Q263),COLUMN(Q263))),INDIRECT("'Yr2'!"&amp;ADDRESS(ROW(Q263),COLUMN(Q263))),INDIRECT("'Yr3'!"&amp;ADDRESS(ROW(Q263),COLUMN(Q263)))),
IF(Q249=0,0,-PMT(INDEX(Lookups!$E$17:$G$17,MATCH($C$4,Lookups!$E$14:$G$14,0)),Q249,SUMIFS('EE Inputs'!$W$9:$W$32,'EE Inputs'!$C$9:$C$32,$G$6,'EE Inputs'!$D$9:$D$32,$C$4,'EE Inputs'!$E$9:$E$32,$B263),0,1)))</f>
        <v>41835.173805635422</v>
      </c>
      <c r="R263" s="65">
        <f ca="1">IF($C$4=Lookups!$D$40,SUM(INDIRECT("'Yr1'!"&amp;ADDRESS(ROW(R263),COLUMN(R263))),INDIRECT("'Yr2'!"&amp;ADDRESS(ROW(R263),COLUMN(R263))),INDIRECT("'Yr3'!"&amp;ADDRESS(ROW(R263),COLUMN(R263)))),
IF(R249=0,0,-PMT(INDEX(Lookups!$E$17:$G$17,MATCH($C$4,Lookups!$E$14:$G$14,0)),R249,SUMIFS('EE Inputs'!$W$9:$W$32,'EE Inputs'!$C$9:$C$32,$G$6,'EE Inputs'!$D$9:$D$32,$C$4,'EE Inputs'!$E$9:$E$32,$B263),0,1)))</f>
        <v>41835.173805635422</v>
      </c>
      <c r="S263" s="65">
        <f ca="1">IF($C$4=Lookups!$D$40,SUM(INDIRECT("'Yr1'!"&amp;ADDRESS(ROW(S263),COLUMN(S263))),INDIRECT("'Yr2'!"&amp;ADDRESS(ROW(S263),COLUMN(S263))),INDIRECT("'Yr3'!"&amp;ADDRESS(ROW(S263),COLUMN(S263)))),
IF(S249=0,0,-PMT(INDEX(Lookups!$E$17:$G$17,MATCH($C$4,Lookups!$E$14:$G$14,0)),S249,SUMIFS('EE Inputs'!$W$9:$W$32,'EE Inputs'!$C$9:$C$32,$G$6,'EE Inputs'!$D$9:$D$32,$C$4,'EE Inputs'!$E$9:$E$32,$B263),0,1)))</f>
        <v>41835.173805635422</v>
      </c>
      <c r="T263" s="65">
        <f ca="1">IF($C$4=Lookups!$D$40,SUM(INDIRECT("'Yr1'!"&amp;ADDRESS(ROW(T263),COLUMN(T263))),INDIRECT("'Yr2'!"&amp;ADDRESS(ROW(T263),COLUMN(T263))),INDIRECT("'Yr3'!"&amp;ADDRESS(ROW(T263),COLUMN(T263)))),
IF(T249=0,0,-PMT(INDEX(Lookups!$E$17:$G$17,MATCH($C$4,Lookups!$E$14:$G$14,0)),T249,SUMIFS('EE Inputs'!$W$9:$W$32,'EE Inputs'!$C$9:$C$32,$G$6,'EE Inputs'!$D$9:$D$32,$C$4,'EE Inputs'!$E$9:$E$32,$B263),0,1)))</f>
        <v>41835.173805635422</v>
      </c>
      <c r="U263" s="65">
        <f ca="1">IF($C$4=Lookups!$D$40,SUM(INDIRECT("'Yr1'!"&amp;ADDRESS(ROW(U263),COLUMN(U263))),INDIRECT("'Yr2'!"&amp;ADDRESS(ROW(U263),COLUMN(U263))),INDIRECT("'Yr3'!"&amp;ADDRESS(ROW(U263),COLUMN(U263)))),
IF(U249=0,0,-PMT(INDEX(Lookups!$E$17:$G$17,MATCH($C$4,Lookups!$E$14:$G$14,0)),U249,SUMIFS('EE Inputs'!$W$9:$W$32,'EE Inputs'!$C$9:$C$32,$G$6,'EE Inputs'!$D$9:$D$32,$C$4,'EE Inputs'!$E$9:$E$32,$B263),0,1)))</f>
        <v>0</v>
      </c>
      <c r="V263" s="65">
        <f ca="1">IF($C$4=Lookups!$D$40,SUM(INDIRECT("'Yr1'!"&amp;ADDRESS(ROW(V263),COLUMN(V263))),INDIRECT("'Yr2'!"&amp;ADDRESS(ROW(V263),COLUMN(V263))),INDIRECT("'Yr3'!"&amp;ADDRESS(ROW(V263),COLUMN(V263)))),
IF(V249=0,0,-PMT(INDEX(Lookups!$E$17:$G$17,MATCH($C$4,Lookups!$E$14:$G$14,0)),V249,SUMIFS('EE Inputs'!$W$9:$W$32,'EE Inputs'!$C$9:$C$32,$G$6,'EE Inputs'!$D$9:$D$32,$C$4,'EE Inputs'!$E$9:$E$32,$B263),0,1)))</f>
        <v>0</v>
      </c>
      <c r="W263" s="65">
        <f ca="1">IF($C$4=Lookups!$D$40,SUM(INDIRECT("'Yr1'!"&amp;ADDRESS(ROW(W263),COLUMN(W263))),INDIRECT("'Yr2'!"&amp;ADDRESS(ROW(W263),COLUMN(W263))),INDIRECT("'Yr3'!"&amp;ADDRESS(ROW(W263),COLUMN(W263)))),
IF(W249=0,0,-PMT(INDEX(Lookups!$E$17:$G$17,MATCH($C$4,Lookups!$E$14:$G$14,0)),W249,SUMIFS('EE Inputs'!$W$9:$W$32,'EE Inputs'!$C$9:$C$32,$G$6,'EE Inputs'!$D$9:$D$32,$C$4,'EE Inputs'!$E$9:$E$32,$B263),0,1)))</f>
        <v>0</v>
      </c>
      <c r="X263" s="65">
        <f ca="1">IF($C$4=Lookups!$D$40,SUM(INDIRECT("'Yr1'!"&amp;ADDRESS(ROW(X263),COLUMN(X263))),INDIRECT("'Yr2'!"&amp;ADDRESS(ROW(X263),COLUMN(X263))),INDIRECT("'Yr3'!"&amp;ADDRESS(ROW(X263),COLUMN(X263)))),
IF(X249=0,0,-PMT(INDEX(Lookups!$E$17:$G$17,MATCH($C$4,Lookups!$E$14:$G$14,0)),X249,SUMIFS('EE Inputs'!$W$9:$W$32,'EE Inputs'!$C$9:$C$32,$G$6,'EE Inputs'!$D$9:$D$32,$C$4,'EE Inputs'!$E$9:$E$32,$B263),0,1)))</f>
        <v>0</v>
      </c>
      <c r="Y263" s="65">
        <f ca="1">IF($C$4=Lookups!$D$40,SUM(INDIRECT("'Yr1'!"&amp;ADDRESS(ROW(Y263),COLUMN(Y263))),INDIRECT("'Yr2'!"&amp;ADDRESS(ROW(Y263),COLUMN(Y263))),INDIRECT("'Yr3'!"&amp;ADDRESS(ROW(Y263),COLUMN(Y263)))),
IF(Y249=0,0,-PMT(INDEX(Lookups!$E$17:$G$17,MATCH($C$4,Lookups!$E$14:$G$14,0)),Y249,SUMIFS('EE Inputs'!$W$9:$W$32,'EE Inputs'!$C$9:$C$32,$G$6,'EE Inputs'!$D$9:$D$32,$C$4,'EE Inputs'!$E$9:$E$32,$B263),0,1)))</f>
        <v>0</v>
      </c>
      <c r="Z263" s="65">
        <f ca="1">IF($C$4=Lookups!$D$40,SUM(INDIRECT("'Yr1'!"&amp;ADDRESS(ROW(Z263),COLUMN(Z263))),INDIRECT("'Yr2'!"&amp;ADDRESS(ROW(Z263),COLUMN(Z263))),INDIRECT("'Yr3'!"&amp;ADDRESS(ROW(Z263),COLUMN(Z263)))),
IF(Z249=0,0,-PMT(INDEX(Lookups!$E$17:$G$17,MATCH($C$4,Lookups!$E$14:$G$14,0)),Z249,SUMIFS('EE Inputs'!$W$9:$W$32,'EE Inputs'!$C$9:$C$32,$G$6,'EE Inputs'!$D$9:$D$32,$C$4,'EE Inputs'!$E$9:$E$32,$B263),0,1)))</f>
        <v>0</v>
      </c>
      <c r="AA263" s="65">
        <f ca="1">IF($C$4=Lookups!$D$40,SUM(INDIRECT("'Yr1'!"&amp;ADDRESS(ROW(AA263),COLUMN(AA263))),INDIRECT("'Yr2'!"&amp;ADDRESS(ROW(AA263),COLUMN(AA263))),INDIRECT("'Yr3'!"&amp;ADDRESS(ROW(AA263),COLUMN(AA263)))),
IF(AA249=0,0,-PMT(INDEX(Lookups!$E$17:$G$17,MATCH($C$4,Lookups!$E$14:$G$14,0)),AA249,SUMIFS('EE Inputs'!$W$9:$W$32,'EE Inputs'!$C$9:$C$32,$G$6,'EE Inputs'!$D$9:$D$32,$C$4,'EE Inputs'!$E$9:$E$32,$B263),0,1)))</f>
        <v>0</v>
      </c>
      <c r="AB263" s="65">
        <f ca="1">IF($C$4=Lookups!$D$40,SUM(INDIRECT("'Yr1'!"&amp;ADDRESS(ROW(AB263),COLUMN(AB263))),INDIRECT("'Yr2'!"&amp;ADDRESS(ROW(AB263),COLUMN(AB263))),INDIRECT("'Yr3'!"&amp;ADDRESS(ROW(AB263),COLUMN(AB263)))),
IF(AB249=0,0,-PMT(INDEX(Lookups!$E$17:$G$17,MATCH($C$4,Lookups!$E$14:$G$14,0)),AB249,SUMIFS('EE Inputs'!$W$9:$W$32,'EE Inputs'!$C$9:$C$32,$G$6,'EE Inputs'!$D$9:$D$32,$C$4,'EE Inputs'!$E$9:$E$32,$B263),0,1)))</f>
        <v>0</v>
      </c>
      <c r="AC263" s="65">
        <f ca="1">IF($C$4=Lookups!$D$40,SUM(INDIRECT("'Yr1'!"&amp;ADDRESS(ROW(AC263),COLUMN(AC263))),INDIRECT("'Yr2'!"&amp;ADDRESS(ROW(AC263),COLUMN(AC263))),INDIRECT("'Yr3'!"&amp;ADDRESS(ROW(AC263),COLUMN(AC263)))),
IF(AC249=0,0,-PMT(INDEX(Lookups!$E$17:$G$17,MATCH($C$4,Lookups!$E$14:$G$14,0)),AC249,SUMIFS('EE Inputs'!$W$9:$W$32,'EE Inputs'!$C$9:$C$32,$G$6,'EE Inputs'!$D$9:$D$32,$C$4,'EE Inputs'!$E$9:$E$32,$B263),0,1)))</f>
        <v>0</v>
      </c>
      <c r="AD263" s="65">
        <f ca="1">IF($C$4=Lookups!$D$40,SUM(INDIRECT("'Yr1'!"&amp;ADDRESS(ROW(AD263),COLUMN(AD263))),INDIRECT("'Yr2'!"&amp;ADDRESS(ROW(AD263),COLUMN(AD263))),INDIRECT("'Yr3'!"&amp;ADDRESS(ROW(AD263),COLUMN(AD263)))),
IF(AD249=0,0,-PMT(INDEX(Lookups!$E$17:$G$17,MATCH($C$4,Lookups!$E$14:$G$14,0)),AD249,SUMIFS('EE Inputs'!$W$9:$W$32,'EE Inputs'!$C$9:$C$32,$G$6,'EE Inputs'!$D$9:$D$32,$C$4,'EE Inputs'!$E$9:$E$32,$B263),0,1)))</f>
        <v>0</v>
      </c>
      <c r="AE263" s="65">
        <f ca="1">IF($C$4=Lookups!$D$40,SUM(INDIRECT("'Yr1'!"&amp;ADDRESS(ROW(AE263),COLUMN(AE263))),INDIRECT("'Yr2'!"&amp;ADDRESS(ROW(AE263),COLUMN(AE263))),INDIRECT("'Yr3'!"&amp;ADDRESS(ROW(AE263),COLUMN(AE263)))),
IF(AE249=0,0,-PMT(INDEX(Lookups!$E$17:$G$17,MATCH($C$4,Lookups!$E$14:$G$14,0)),AE249,SUMIFS('EE Inputs'!$W$9:$W$32,'EE Inputs'!$C$9:$C$32,$G$6,'EE Inputs'!$D$9:$D$32,$C$4,'EE Inputs'!$E$9:$E$32,$B263),0,1)))</f>
        <v>0</v>
      </c>
      <c r="AF263" s="65">
        <f ca="1">IF($C$4=Lookups!$D$40,SUM(INDIRECT("'Yr1'!"&amp;ADDRESS(ROW(AF263),COLUMN(AF263))),INDIRECT("'Yr2'!"&amp;ADDRESS(ROW(AF263),COLUMN(AF263))),INDIRECT("'Yr3'!"&amp;ADDRESS(ROW(AF263),COLUMN(AF263)))),
IF(AF249=0,0,-PMT(INDEX(Lookups!$E$17:$G$17,MATCH($C$4,Lookups!$E$14:$G$14,0)),AF249,SUMIFS('EE Inputs'!$W$9:$W$32,'EE Inputs'!$C$9:$C$32,$G$6,'EE Inputs'!$D$9:$D$32,$C$4,'EE Inputs'!$E$9:$E$32,$B263),0,1)))</f>
        <v>0</v>
      </c>
      <c r="AG263" s="65">
        <f ca="1">IF($C$4=Lookups!$D$40,SUM(INDIRECT("'Yr1'!"&amp;ADDRESS(ROW(AG263),COLUMN(AG263))),INDIRECT("'Yr2'!"&amp;ADDRESS(ROW(AG263),COLUMN(AG263))),INDIRECT("'Yr3'!"&amp;ADDRESS(ROW(AG263),COLUMN(AG263)))),
IF(AG249=0,0,-PMT(INDEX(Lookups!$E$17:$G$17,MATCH($C$4,Lookups!$E$14:$G$14,0)),AG249,SUMIFS('EE Inputs'!$W$9:$W$32,'EE Inputs'!$C$9:$C$32,$G$6,'EE Inputs'!$D$9:$D$32,$C$4,'EE Inputs'!$E$9:$E$32,$B263),0,1)))</f>
        <v>0</v>
      </c>
      <c r="AH263" s="65"/>
      <c r="AI263" s="65">
        <f ca="1">NPV(Lookups!$E$17,G263:AG263)</f>
        <v>486729.2652379041</v>
      </c>
      <c r="AJ263" s="65"/>
      <c r="AM263" s="72">
        <f ca="1">IF($C$4=Lookups!$D$40,SUM(INDIRECT("'Yr1'!"&amp;ADDRESS(ROW(AM263),COLUMN(AM263))),INDIRECT("'Yr2'!"&amp;ADDRESS(ROW(AM263),COLUMN(AM263))),INDIRECT("'Yr3'!"&amp;ADDRESS(ROW(AM263),COLUMN(AM263)))),
IF(AM249=0,0,-PMT(INDEX(Lookups!$E$17:$G$17,MATCH($C$4,Lookups!$E$14:$G$14,0)),AM249,SUMIFS('EE Inputs'!$W$9:$W$32,'EE Inputs'!$C$9:$C$32,$AM$6,'EE Inputs'!$D$9:$D$32,$C$4,'EE Inputs'!$E$9:$E$32,$B263),0,1)))</f>
        <v>0</v>
      </c>
      <c r="AN263" s="72">
        <f ca="1">IF($C$4=Lookups!$D$40,SUM(INDIRECT("'Yr1'!"&amp;ADDRESS(ROW(AN263),COLUMN(AN263))),INDIRECT("'Yr2'!"&amp;ADDRESS(ROW(AN263),COLUMN(AN263))),INDIRECT("'Yr3'!"&amp;ADDRESS(ROW(AN263),COLUMN(AN263)))),
IF(AN249=0,0,-PMT(INDEX(Lookups!$E$17:$G$17,MATCH($C$4,Lookups!$E$14:$G$14,0)),AN249,SUMIFS('EE Inputs'!$W$9:$W$32,'EE Inputs'!$C$9:$C$32,$AM$6,'EE Inputs'!$D$9:$D$32,$C$4,'EE Inputs'!$E$9:$E$32,$B263),0,1)))</f>
        <v>47811.627206440469</v>
      </c>
      <c r="AO263" s="72">
        <f ca="1">IF($C$4=Lookups!$D$40,SUM(INDIRECT("'Yr1'!"&amp;ADDRESS(ROW(AO263),COLUMN(AO263))),INDIRECT("'Yr2'!"&amp;ADDRESS(ROW(AO263),COLUMN(AO263))),INDIRECT("'Yr3'!"&amp;ADDRESS(ROW(AO263),COLUMN(AO263)))),
IF(AO249=0,0,-PMT(INDEX(Lookups!$E$17:$G$17,MATCH($C$4,Lookups!$E$14:$G$14,0)),AO249,SUMIFS('EE Inputs'!$W$9:$W$32,'EE Inputs'!$C$9:$C$32,$AM$6,'EE Inputs'!$D$9:$D$32,$C$4,'EE Inputs'!$E$9:$E$32,$B263),0,1)))</f>
        <v>47811.627206440469</v>
      </c>
      <c r="AP263" s="72">
        <f ca="1">IF($C$4=Lookups!$D$40,SUM(INDIRECT("'Yr1'!"&amp;ADDRESS(ROW(AP263),COLUMN(AP263))),INDIRECT("'Yr2'!"&amp;ADDRESS(ROW(AP263),COLUMN(AP263))),INDIRECT("'Yr3'!"&amp;ADDRESS(ROW(AP263),COLUMN(AP263)))),
IF(AP249=0,0,-PMT(INDEX(Lookups!$E$17:$G$17,MATCH($C$4,Lookups!$E$14:$G$14,0)),AP249,SUMIFS('EE Inputs'!$W$9:$W$32,'EE Inputs'!$C$9:$C$32,$AM$6,'EE Inputs'!$D$9:$D$32,$C$4,'EE Inputs'!$E$9:$E$32,$B263),0,1)))</f>
        <v>47811.627206440469</v>
      </c>
      <c r="AQ263" s="72">
        <f ca="1">IF($C$4=Lookups!$D$40,SUM(INDIRECT("'Yr1'!"&amp;ADDRESS(ROW(AQ263),COLUMN(AQ263))),INDIRECT("'Yr2'!"&amp;ADDRESS(ROW(AQ263),COLUMN(AQ263))),INDIRECT("'Yr3'!"&amp;ADDRESS(ROW(AQ263),COLUMN(AQ263)))),
IF(AQ249=0,0,-PMT(INDEX(Lookups!$E$17:$G$17,MATCH($C$4,Lookups!$E$14:$G$14,0)),AQ249,SUMIFS('EE Inputs'!$W$9:$W$32,'EE Inputs'!$C$9:$C$32,$AM$6,'EE Inputs'!$D$9:$D$32,$C$4,'EE Inputs'!$E$9:$E$32,$B263),0,1)))</f>
        <v>47811.627206440469</v>
      </c>
      <c r="AR263" s="72">
        <f ca="1">IF($C$4=Lookups!$D$40,SUM(INDIRECT("'Yr1'!"&amp;ADDRESS(ROW(AR263),COLUMN(AR263))),INDIRECT("'Yr2'!"&amp;ADDRESS(ROW(AR263),COLUMN(AR263))),INDIRECT("'Yr3'!"&amp;ADDRESS(ROW(AR263),COLUMN(AR263)))),
IF(AR249=0,0,-PMT(INDEX(Lookups!$E$17:$G$17,MATCH($C$4,Lookups!$E$14:$G$14,0)),AR249,SUMIFS('EE Inputs'!$W$9:$W$32,'EE Inputs'!$C$9:$C$32,$AM$6,'EE Inputs'!$D$9:$D$32,$C$4,'EE Inputs'!$E$9:$E$32,$B263),0,1)))</f>
        <v>47811.627206440469</v>
      </c>
      <c r="AS263" s="72">
        <f ca="1">IF($C$4=Lookups!$D$40,SUM(INDIRECT("'Yr1'!"&amp;ADDRESS(ROW(AS263),COLUMN(AS263))),INDIRECT("'Yr2'!"&amp;ADDRESS(ROW(AS263),COLUMN(AS263))),INDIRECT("'Yr3'!"&amp;ADDRESS(ROW(AS263),COLUMN(AS263)))),
IF(AS249=0,0,-PMT(INDEX(Lookups!$E$17:$G$17,MATCH($C$4,Lookups!$E$14:$G$14,0)),AS249,SUMIFS('EE Inputs'!$W$9:$W$32,'EE Inputs'!$C$9:$C$32,$AM$6,'EE Inputs'!$D$9:$D$32,$C$4,'EE Inputs'!$E$9:$E$32,$B263),0,1)))</f>
        <v>47811.627206440469</v>
      </c>
      <c r="AT263" s="72">
        <f ca="1">IF($C$4=Lookups!$D$40,SUM(INDIRECT("'Yr1'!"&amp;ADDRESS(ROW(AT263),COLUMN(AT263))),INDIRECT("'Yr2'!"&amp;ADDRESS(ROW(AT263),COLUMN(AT263))),INDIRECT("'Yr3'!"&amp;ADDRESS(ROW(AT263),COLUMN(AT263)))),
IF(AT249=0,0,-PMT(INDEX(Lookups!$E$17:$G$17,MATCH($C$4,Lookups!$E$14:$G$14,0)),AT249,SUMIFS('EE Inputs'!$W$9:$W$32,'EE Inputs'!$C$9:$C$32,$AM$6,'EE Inputs'!$D$9:$D$32,$C$4,'EE Inputs'!$E$9:$E$32,$B263),0,1)))</f>
        <v>47811.627206440469</v>
      </c>
      <c r="AU263" s="72">
        <f ca="1">IF($C$4=Lookups!$D$40,SUM(INDIRECT("'Yr1'!"&amp;ADDRESS(ROW(AU263),COLUMN(AU263))),INDIRECT("'Yr2'!"&amp;ADDRESS(ROW(AU263),COLUMN(AU263))),INDIRECT("'Yr3'!"&amp;ADDRESS(ROW(AU263),COLUMN(AU263)))),
IF(AU249=0,0,-PMT(INDEX(Lookups!$E$17:$G$17,MATCH($C$4,Lookups!$E$14:$G$14,0)),AU249,SUMIFS('EE Inputs'!$W$9:$W$32,'EE Inputs'!$C$9:$C$32,$AM$6,'EE Inputs'!$D$9:$D$32,$C$4,'EE Inputs'!$E$9:$E$32,$B263),0,1)))</f>
        <v>47811.627206440469</v>
      </c>
      <c r="AV263" s="72">
        <f ca="1">IF($C$4=Lookups!$D$40,SUM(INDIRECT("'Yr1'!"&amp;ADDRESS(ROW(AV263),COLUMN(AV263))),INDIRECT("'Yr2'!"&amp;ADDRESS(ROW(AV263),COLUMN(AV263))),INDIRECT("'Yr3'!"&amp;ADDRESS(ROW(AV263),COLUMN(AV263)))),
IF(AV249=0,0,-PMT(INDEX(Lookups!$E$17:$G$17,MATCH($C$4,Lookups!$E$14:$G$14,0)),AV249,SUMIFS('EE Inputs'!$W$9:$W$32,'EE Inputs'!$C$9:$C$32,$AM$6,'EE Inputs'!$D$9:$D$32,$C$4,'EE Inputs'!$E$9:$E$32,$B263),0,1)))</f>
        <v>47811.627206440469</v>
      </c>
      <c r="AW263" s="72">
        <f ca="1">IF($C$4=Lookups!$D$40,SUM(INDIRECT("'Yr1'!"&amp;ADDRESS(ROW(AW263),COLUMN(AW263))),INDIRECT("'Yr2'!"&amp;ADDRESS(ROW(AW263),COLUMN(AW263))),INDIRECT("'Yr3'!"&amp;ADDRESS(ROW(AW263),COLUMN(AW263)))),
IF(AW249=0,0,-PMT(INDEX(Lookups!$E$17:$G$17,MATCH($C$4,Lookups!$E$14:$G$14,0)),AW249,SUMIFS('EE Inputs'!$W$9:$W$32,'EE Inputs'!$C$9:$C$32,$AM$6,'EE Inputs'!$D$9:$D$32,$C$4,'EE Inputs'!$E$9:$E$32,$B263),0,1)))</f>
        <v>47811.627206440469</v>
      </c>
      <c r="AX263" s="72">
        <f ca="1">IF($C$4=Lookups!$D$40,SUM(INDIRECT("'Yr1'!"&amp;ADDRESS(ROW(AX263),COLUMN(AX263))),INDIRECT("'Yr2'!"&amp;ADDRESS(ROW(AX263),COLUMN(AX263))),INDIRECT("'Yr3'!"&amp;ADDRESS(ROW(AX263),COLUMN(AX263)))),
IF(AX249=0,0,-PMT(INDEX(Lookups!$E$17:$G$17,MATCH($C$4,Lookups!$E$14:$G$14,0)),AX249,SUMIFS('EE Inputs'!$W$9:$W$32,'EE Inputs'!$C$9:$C$32,$AM$6,'EE Inputs'!$D$9:$D$32,$C$4,'EE Inputs'!$E$9:$E$32,$B263),0,1)))</f>
        <v>47811.627206440469</v>
      </c>
      <c r="AY263" s="72">
        <f ca="1">IF($C$4=Lookups!$D$40,SUM(INDIRECT("'Yr1'!"&amp;ADDRESS(ROW(AY263),COLUMN(AY263))),INDIRECT("'Yr2'!"&amp;ADDRESS(ROW(AY263),COLUMN(AY263))),INDIRECT("'Yr3'!"&amp;ADDRESS(ROW(AY263),COLUMN(AY263)))),
IF(AY249=0,0,-PMT(INDEX(Lookups!$E$17:$G$17,MATCH($C$4,Lookups!$E$14:$G$14,0)),AY249,SUMIFS('EE Inputs'!$W$9:$W$32,'EE Inputs'!$C$9:$C$32,$AM$6,'EE Inputs'!$D$9:$D$32,$C$4,'EE Inputs'!$E$9:$E$32,$B263),0,1)))</f>
        <v>47811.627206440469</v>
      </c>
      <c r="AZ263" s="72">
        <f ca="1">IF($C$4=Lookups!$D$40,SUM(INDIRECT("'Yr1'!"&amp;ADDRESS(ROW(AZ263),COLUMN(AZ263))),INDIRECT("'Yr2'!"&amp;ADDRESS(ROW(AZ263),COLUMN(AZ263))),INDIRECT("'Yr3'!"&amp;ADDRESS(ROW(AZ263),COLUMN(AZ263)))),
IF(AZ249=0,0,-PMT(INDEX(Lookups!$E$17:$G$17,MATCH($C$4,Lookups!$E$14:$G$14,0)),AZ249,SUMIFS('EE Inputs'!$W$9:$W$32,'EE Inputs'!$C$9:$C$32,$AM$6,'EE Inputs'!$D$9:$D$32,$C$4,'EE Inputs'!$E$9:$E$32,$B263),0,1)))</f>
        <v>47811.627206440469</v>
      </c>
      <c r="BA263" s="72">
        <f ca="1">IF($C$4=Lookups!$D$40,SUM(INDIRECT("'Yr1'!"&amp;ADDRESS(ROW(BA263),COLUMN(BA263))),INDIRECT("'Yr2'!"&amp;ADDRESS(ROW(BA263),COLUMN(BA263))),INDIRECT("'Yr3'!"&amp;ADDRESS(ROW(BA263),COLUMN(BA263)))),
IF(BA249=0,0,-PMT(INDEX(Lookups!$E$17:$G$17,MATCH($C$4,Lookups!$E$14:$G$14,0)),BA249,SUMIFS('EE Inputs'!$W$9:$W$32,'EE Inputs'!$C$9:$C$32,$AM$6,'EE Inputs'!$D$9:$D$32,$C$4,'EE Inputs'!$E$9:$E$32,$B263),0,1)))</f>
        <v>0</v>
      </c>
      <c r="BB263" s="72">
        <f ca="1">IF($C$4=Lookups!$D$40,SUM(INDIRECT("'Yr1'!"&amp;ADDRESS(ROW(BB263),COLUMN(BB263))),INDIRECT("'Yr2'!"&amp;ADDRESS(ROW(BB263),COLUMN(BB263))),INDIRECT("'Yr3'!"&amp;ADDRESS(ROW(BB263),COLUMN(BB263)))),
IF(BB249=0,0,-PMT(INDEX(Lookups!$E$17:$G$17,MATCH($C$4,Lookups!$E$14:$G$14,0)),BB249,SUMIFS('EE Inputs'!$W$9:$W$32,'EE Inputs'!$C$9:$C$32,$AM$6,'EE Inputs'!$D$9:$D$32,$C$4,'EE Inputs'!$E$9:$E$32,$B263),0,1)))</f>
        <v>0</v>
      </c>
      <c r="BC263" s="72">
        <f ca="1">IF($C$4=Lookups!$D$40,SUM(INDIRECT("'Yr1'!"&amp;ADDRESS(ROW(BC263),COLUMN(BC263))),INDIRECT("'Yr2'!"&amp;ADDRESS(ROW(BC263),COLUMN(BC263))),INDIRECT("'Yr3'!"&amp;ADDRESS(ROW(BC263),COLUMN(BC263)))),
IF(BC249=0,0,-PMT(INDEX(Lookups!$E$17:$G$17,MATCH($C$4,Lookups!$E$14:$G$14,0)),BC249,SUMIFS('EE Inputs'!$W$9:$W$32,'EE Inputs'!$C$9:$C$32,$AM$6,'EE Inputs'!$D$9:$D$32,$C$4,'EE Inputs'!$E$9:$E$32,$B263),0,1)))</f>
        <v>0</v>
      </c>
      <c r="BD263" s="72">
        <f ca="1">IF($C$4=Lookups!$D$40,SUM(INDIRECT("'Yr1'!"&amp;ADDRESS(ROW(BD263),COLUMN(BD263))),INDIRECT("'Yr2'!"&amp;ADDRESS(ROW(BD263),COLUMN(BD263))),INDIRECT("'Yr3'!"&amp;ADDRESS(ROW(BD263),COLUMN(BD263)))),
IF(BD249=0,0,-PMT(INDEX(Lookups!$E$17:$G$17,MATCH($C$4,Lookups!$E$14:$G$14,0)),BD249,SUMIFS('EE Inputs'!$W$9:$W$32,'EE Inputs'!$C$9:$C$32,$AM$6,'EE Inputs'!$D$9:$D$32,$C$4,'EE Inputs'!$E$9:$E$32,$B263),0,1)))</f>
        <v>0</v>
      </c>
      <c r="BE263" s="72">
        <f ca="1">IF($C$4=Lookups!$D$40,SUM(INDIRECT("'Yr1'!"&amp;ADDRESS(ROW(BE263),COLUMN(BE263))),INDIRECT("'Yr2'!"&amp;ADDRESS(ROW(BE263),COLUMN(BE263))),INDIRECT("'Yr3'!"&amp;ADDRESS(ROW(BE263),COLUMN(BE263)))),
IF(BE249=0,0,-PMT(INDEX(Lookups!$E$17:$G$17,MATCH($C$4,Lookups!$E$14:$G$14,0)),BE249,SUMIFS('EE Inputs'!$W$9:$W$32,'EE Inputs'!$C$9:$C$32,$AM$6,'EE Inputs'!$D$9:$D$32,$C$4,'EE Inputs'!$E$9:$E$32,$B263),0,1)))</f>
        <v>0</v>
      </c>
      <c r="BF263" s="72">
        <f ca="1">IF($C$4=Lookups!$D$40,SUM(INDIRECT("'Yr1'!"&amp;ADDRESS(ROW(BF263),COLUMN(BF263))),INDIRECT("'Yr2'!"&amp;ADDRESS(ROW(BF263),COLUMN(BF263))),INDIRECT("'Yr3'!"&amp;ADDRESS(ROW(BF263),COLUMN(BF263)))),
IF(BF249=0,0,-PMT(INDEX(Lookups!$E$17:$G$17,MATCH($C$4,Lookups!$E$14:$G$14,0)),BF249,SUMIFS('EE Inputs'!$W$9:$W$32,'EE Inputs'!$C$9:$C$32,$AM$6,'EE Inputs'!$D$9:$D$32,$C$4,'EE Inputs'!$E$9:$E$32,$B263),0,1)))</f>
        <v>0</v>
      </c>
      <c r="BG263" s="72">
        <f ca="1">IF($C$4=Lookups!$D$40,SUM(INDIRECT("'Yr1'!"&amp;ADDRESS(ROW(BG263),COLUMN(BG263))),INDIRECT("'Yr2'!"&amp;ADDRESS(ROW(BG263),COLUMN(BG263))),INDIRECT("'Yr3'!"&amp;ADDRESS(ROW(BG263),COLUMN(BG263)))),
IF(BG249=0,0,-PMT(INDEX(Lookups!$E$17:$G$17,MATCH($C$4,Lookups!$E$14:$G$14,0)),BG249,SUMIFS('EE Inputs'!$W$9:$W$32,'EE Inputs'!$C$9:$C$32,$AM$6,'EE Inputs'!$D$9:$D$32,$C$4,'EE Inputs'!$E$9:$E$32,$B263),0,1)))</f>
        <v>0</v>
      </c>
      <c r="BH263" s="72">
        <f ca="1">IF($C$4=Lookups!$D$40,SUM(INDIRECT("'Yr1'!"&amp;ADDRESS(ROW(BH263),COLUMN(BH263))),INDIRECT("'Yr2'!"&amp;ADDRESS(ROW(BH263),COLUMN(BH263))),INDIRECT("'Yr3'!"&amp;ADDRESS(ROW(BH263),COLUMN(BH263)))),
IF(BH249=0,0,-PMT(INDEX(Lookups!$E$17:$G$17,MATCH($C$4,Lookups!$E$14:$G$14,0)),BH249,SUMIFS('EE Inputs'!$W$9:$W$32,'EE Inputs'!$C$9:$C$32,$AM$6,'EE Inputs'!$D$9:$D$32,$C$4,'EE Inputs'!$E$9:$E$32,$B263),0,1)))</f>
        <v>0</v>
      </c>
      <c r="BI263" s="72">
        <f ca="1">IF($C$4=Lookups!$D$40,SUM(INDIRECT("'Yr1'!"&amp;ADDRESS(ROW(BI263),COLUMN(BI263))),INDIRECT("'Yr2'!"&amp;ADDRESS(ROW(BI263),COLUMN(BI263))),INDIRECT("'Yr3'!"&amp;ADDRESS(ROW(BI263),COLUMN(BI263)))),
IF(BI249=0,0,-PMT(INDEX(Lookups!$E$17:$G$17,MATCH($C$4,Lookups!$E$14:$G$14,0)),BI249,SUMIFS('EE Inputs'!$W$9:$W$32,'EE Inputs'!$C$9:$C$32,$AM$6,'EE Inputs'!$D$9:$D$32,$C$4,'EE Inputs'!$E$9:$E$32,$B263),0,1)))</f>
        <v>0</v>
      </c>
      <c r="BJ263" s="72">
        <f ca="1">IF($C$4=Lookups!$D$40,SUM(INDIRECT("'Yr1'!"&amp;ADDRESS(ROW(BJ263),COLUMN(BJ263))),INDIRECT("'Yr2'!"&amp;ADDRESS(ROW(BJ263),COLUMN(BJ263))),INDIRECT("'Yr3'!"&amp;ADDRESS(ROW(BJ263),COLUMN(BJ263)))),
IF(BJ249=0,0,-PMT(INDEX(Lookups!$E$17:$G$17,MATCH($C$4,Lookups!$E$14:$G$14,0)),BJ249,SUMIFS('EE Inputs'!$W$9:$W$32,'EE Inputs'!$C$9:$C$32,$AM$6,'EE Inputs'!$D$9:$D$32,$C$4,'EE Inputs'!$E$9:$E$32,$B263),0,1)))</f>
        <v>0</v>
      </c>
      <c r="BK263" s="72">
        <f ca="1">IF($C$4=Lookups!$D$40,SUM(INDIRECT("'Yr1'!"&amp;ADDRESS(ROW(BK263),COLUMN(BK263))),INDIRECT("'Yr2'!"&amp;ADDRESS(ROW(BK263),COLUMN(BK263))),INDIRECT("'Yr3'!"&amp;ADDRESS(ROW(BK263),COLUMN(BK263)))),
IF(BK249=0,0,-PMT(INDEX(Lookups!$E$17:$G$17,MATCH($C$4,Lookups!$E$14:$G$14,0)),BK249,SUMIFS('EE Inputs'!$W$9:$W$32,'EE Inputs'!$C$9:$C$32,$AM$6,'EE Inputs'!$D$9:$D$32,$C$4,'EE Inputs'!$E$9:$E$32,$B263),0,1)))</f>
        <v>0</v>
      </c>
      <c r="BL263" s="72">
        <f ca="1">IF($C$4=Lookups!$D$40,SUM(INDIRECT("'Yr1'!"&amp;ADDRESS(ROW(BL263),COLUMN(BL263))),INDIRECT("'Yr2'!"&amp;ADDRESS(ROW(BL263),COLUMN(BL263))),INDIRECT("'Yr3'!"&amp;ADDRESS(ROW(BL263),COLUMN(BL263)))),
IF(BL249=0,0,-PMT(INDEX(Lookups!$E$17:$G$17,MATCH($C$4,Lookups!$E$14:$G$14,0)),BL249,SUMIFS('EE Inputs'!$W$9:$W$32,'EE Inputs'!$C$9:$C$32,$AM$6,'EE Inputs'!$D$9:$D$32,$C$4,'EE Inputs'!$E$9:$E$32,$B263),0,1)))</f>
        <v>0</v>
      </c>
      <c r="BM263" s="72">
        <f ca="1">IF($C$4=Lookups!$D$40,SUM(INDIRECT("'Yr1'!"&amp;ADDRESS(ROW(BM263),COLUMN(BM263))),INDIRECT("'Yr2'!"&amp;ADDRESS(ROW(BM263),COLUMN(BM263))),INDIRECT("'Yr3'!"&amp;ADDRESS(ROW(BM263),COLUMN(BM263)))),
IF(BM249=0,0,-PMT(INDEX(Lookups!$E$17:$G$17,MATCH($C$4,Lookups!$E$14:$G$14,0)),BM249,SUMIFS('EE Inputs'!$W$9:$W$32,'EE Inputs'!$C$9:$C$32,$AM$6,'EE Inputs'!$D$9:$D$32,$C$4,'EE Inputs'!$E$9:$E$32,$B263),0,1)))</f>
        <v>0</v>
      </c>
      <c r="BN263" s="72"/>
      <c r="BO263" s="72">
        <f ca="1">NPV(Lookups!$E$17,AM263:BM263)</f>
        <v>556262.01741474739</v>
      </c>
      <c r="BP263" s="72"/>
      <c r="BS263" s="84" t="s">
        <v>413</v>
      </c>
      <c r="BT263" s="51"/>
    </row>
    <row r="264" spans="1:72" x14ac:dyDescent="0.25">
      <c r="A264" s="246"/>
      <c r="B264" s="243" t="str">
        <f t="shared" ref="B264:C264" si="285">B262</f>
        <v>Large C&amp;I</v>
      </c>
      <c r="C264" s="243" t="str">
        <f t="shared" si="285"/>
        <v>Revenue Requirements</v>
      </c>
      <c r="D264" s="244" t="str">
        <f>D262</f>
        <v>Avoided Costs</v>
      </c>
      <c r="E264" s="86" t="s">
        <v>175</v>
      </c>
      <c r="F264" s="84" t="s">
        <v>32</v>
      </c>
      <c r="G264" s="65">
        <f ca="1">IF($C$4=Lookups!$D$40,SUM(INDIRECT("'Yr1'!"&amp;ADDRESS(ROW(G264),COLUMN(G264))),INDIRECT("'Yr2'!"&amp;ADDRESS(ROW(G264),COLUMN(G264))),INDIRECT("'Yr3'!"&amp;ADDRESS(ROW(G264),COLUMN(G264)))),
IF(G249=0,0,-PMT(INDEX(Lookups!$E$17:$G$17,MATCH($C$4,Lookups!$E$14:$G$14,0)),G249,SUMIFS('EE Inputs'!$K$9:$K$32,'EE Inputs'!$C$9:$C$32,$G$6,'EE Inputs'!$D$9:$D$32,$C$4,'EE Inputs'!$E$9:$E$32,$B264),0,1)))</f>
        <v>0</v>
      </c>
      <c r="H264" s="65">
        <f ca="1">IF($C$4=Lookups!$D$40,SUM(INDIRECT("'Yr1'!"&amp;ADDRESS(ROW(H264),COLUMN(H264))),INDIRECT("'Yr2'!"&amp;ADDRESS(ROW(H264),COLUMN(H264))),INDIRECT("'Yr3'!"&amp;ADDRESS(ROW(H264),COLUMN(H264)))),
IF(H249=0,0,-PMT(INDEX(Lookups!$E$17:$G$17,MATCH($C$4,Lookups!$E$14:$G$14,0)),H249,SUMIFS('EE Inputs'!$K$9:$K$32,'EE Inputs'!$C$9:$C$32,$G$6,'EE Inputs'!$D$9:$D$32,$C$4,'EE Inputs'!$E$9:$E$32,$B264),0,1)))</f>
        <v>33254.872186848595</v>
      </c>
      <c r="I264" s="65">
        <f ca="1">IF($C$4=Lookups!$D$40,SUM(INDIRECT("'Yr1'!"&amp;ADDRESS(ROW(I264),COLUMN(I264))),INDIRECT("'Yr2'!"&amp;ADDRESS(ROW(I264),COLUMN(I264))),INDIRECT("'Yr3'!"&amp;ADDRESS(ROW(I264),COLUMN(I264)))),
IF(I249=0,0,-PMT(INDEX(Lookups!$E$17:$G$17,MATCH($C$4,Lookups!$E$14:$G$14,0)),I249,SUMIFS('EE Inputs'!$K$9:$K$32,'EE Inputs'!$C$9:$C$32,$G$6,'EE Inputs'!$D$9:$D$32,$C$4,'EE Inputs'!$E$9:$E$32,$B264),0,1)))</f>
        <v>33254.872186848595</v>
      </c>
      <c r="J264" s="65">
        <f ca="1">IF($C$4=Lookups!$D$40,SUM(INDIRECT("'Yr1'!"&amp;ADDRESS(ROW(J264),COLUMN(J264))),INDIRECT("'Yr2'!"&amp;ADDRESS(ROW(J264),COLUMN(J264))),INDIRECT("'Yr3'!"&amp;ADDRESS(ROW(J264),COLUMN(J264)))),
IF(J249=0,0,-PMT(INDEX(Lookups!$E$17:$G$17,MATCH($C$4,Lookups!$E$14:$G$14,0)),J249,SUMIFS('EE Inputs'!$K$9:$K$32,'EE Inputs'!$C$9:$C$32,$G$6,'EE Inputs'!$D$9:$D$32,$C$4,'EE Inputs'!$E$9:$E$32,$B264),0,1)))</f>
        <v>33254.872186848595</v>
      </c>
      <c r="K264" s="65">
        <f ca="1">IF($C$4=Lookups!$D$40,SUM(INDIRECT("'Yr1'!"&amp;ADDRESS(ROW(K264),COLUMN(K264))),INDIRECT("'Yr2'!"&amp;ADDRESS(ROW(K264),COLUMN(K264))),INDIRECT("'Yr3'!"&amp;ADDRESS(ROW(K264),COLUMN(K264)))),
IF(K249=0,0,-PMT(INDEX(Lookups!$E$17:$G$17,MATCH($C$4,Lookups!$E$14:$G$14,0)),K249,SUMIFS('EE Inputs'!$K$9:$K$32,'EE Inputs'!$C$9:$C$32,$G$6,'EE Inputs'!$D$9:$D$32,$C$4,'EE Inputs'!$E$9:$E$32,$B264),0,1)))</f>
        <v>33254.872186848595</v>
      </c>
      <c r="L264" s="65">
        <f ca="1">IF($C$4=Lookups!$D$40,SUM(INDIRECT("'Yr1'!"&amp;ADDRESS(ROW(L264),COLUMN(L264))),INDIRECT("'Yr2'!"&amp;ADDRESS(ROW(L264),COLUMN(L264))),INDIRECT("'Yr3'!"&amp;ADDRESS(ROW(L264),COLUMN(L264)))),
IF(L249=0,0,-PMT(INDEX(Lookups!$E$17:$G$17,MATCH($C$4,Lookups!$E$14:$G$14,0)),L249,SUMIFS('EE Inputs'!$K$9:$K$32,'EE Inputs'!$C$9:$C$32,$G$6,'EE Inputs'!$D$9:$D$32,$C$4,'EE Inputs'!$E$9:$E$32,$B264),0,1)))</f>
        <v>33254.872186848595</v>
      </c>
      <c r="M264" s="65">
        <f ca="1">IF($C$4=Lookups!$D$40,SUM(INDIRECT("'Yr1'!"&amp;ADDRESS(ROW(M264),COLUMN(M264))),INDIRECT("'Yr2'!"&amp;ADDRESS(ROW(M264),COLUMN(M264))),INDIRECT("'Yr3'!"&amp;ADDRESS(ROW(M264),COLUMN(M264)))),
IF(M249=0,0,-PMT(INDEX(Lookups!$E$17:$G$17,MATCH($C$4,Lookups!$E$14:$G$14,0)),M249,SUMIFS('EE Inputs'!$K$9:$K$32,'EE Inputs'!$C$9:$C$32,$G$6,'EE Inputs'!$D$9:$D$32,$C$4,'EE Inputs'!$E$9:$E$32,$B264),0,1)))</f>
        <v>33254.872186848595</v>
      </c>
      <c r="N264" s="65">
        <f ca="1">IF($C$4=Lookups!$D$40,SUM(INDIRECT("'Yr1'!"&amp;ADDRESS(ROW(N264),COLUMN(N264))),INDIRECT("'Yr2'!"&amp;ADDRESS(ROW(N264),COLUMN(N264))),INDIRECT("'Yr3'!"&amp;ADDRESS(ROW(N264),COLUMN(N264)))),
IF(N249=0,0,-PMT(INDEX(Lookups!$E$17:$G$17,MATCH($C$4,Lookups!$E$14:$G$14,0)),N249,SUMIFS('EE Inputs'!$K$9:$K$32,'EE Inputs'!$C$9:$C$32,$G$6,'EE Inputs'!$D$9:$D$32,$C$4,'EE Inputs'!$E$9:$E$32,$B264),0,1)))</f>
        <v>33254.872186848595</v>
      </c>
      <c r="O264" s="65">
        <f ca="1">IF($C$4=Lookups!$D$40,SUM(INDIRECT("'Yr1'!"&amp;ADDRESS(ROW(O264),COLUMN(O264))),INDIRECT("'Yr2'!"&amp;ADDRESS(ROW(O264),COLUMN(O264))),INDIRECT("'Yr3'!"&amp;ADDRESS(ROW(O264),COLUMN(O264)))),
IF(O249=0,0,-PMT(INDEX(Lookups!$E$17:$G$17,MATCH($C$4,Lookups!$E$14:$G$14,0)),O249,SUMIFS('EE Inputs'!$K$9:$K$32,'EE Inputs'!$C$9:$C$32,$G$6,'EE Inputs'!$D$9:$D$32,$C$4,'EE Inputs'!$E$9:$E$32,$B264),0,1)))</f>
        <v>33254.872186848595</v>
      </c>
      <c r="P264" s="65">
        <f ca="1">IF($C$4=Lookups!$D$40,SUM(INDIRECT("'Yr1'!"&amp;ADDRESS(ROW(P264),COLUMN(P264))),INDIRECT("'Yr2'!"&amp;ADDRESS(ROW(P264),COLUMN(P264))),INDIRECT("'Yr3'!"&amp;ADDRESS(ROW(P264),COLUMN(P264)))),
IF(P249=0,0,-PMT(INDEX(Lookups!$E$17:$G$17,MATCH($C$4,Lookups!$E$14:$G$14,0)),P249,SUMIFS('EE Inputs'!$K$9:$K$32,'EE Inputs'!$C$9:$C$32,$G$6,'EE Inputs'!$D$9:$D$32,$C$4,'EE Inputs'!$E$9:$E$32,$B264),0,1)))</f>
        <v>33254.872186848595</v>
      </c>
      <c r="Q264" s="65">
        <f ca="1">IF($C$4=Lookups!$D$40,SUM(INDIRECT("'Yr1'!"&amp;ADDRESS(ROW(Q264),COLUMN(Q264))),INDIRECT("'Yr2'!"&amp;ADDRESS(ROW(Q264),COLUMN(Q264))),INDIRECT("'Yr3'!"&amp;ADDRESS(ROW(Q264),COLUMN(Q264)))),
IF(Q249=0,0,-PMT(INDEX(Lookups!$E$17:$G$17,MATCH($C$4,Lookups!$E$14:$G$14,0)),Q249,SUMIFS('EE Inputs'!$K$9:$K$32,'EE Inputs'!$C$9:$C$32,$G$6,'EE Inputs'!$D$9:$D$32,$C$4,'EE Inputs'!$E$9:$E$32,$B264),0,1)))</f>
        <v>33254.872186848595</v>
      </c>
      <c r="R264" s="65">
        <f ca="1">IF($C$4=Lookups!$D$40,SUM(INDIRECT("'Yr1'!"&amp;ADDRESS(ROW(R264),COLUMN(R264))),INDIRECT("'Yr2'!"&amp;ADDRESS(ROW(R264),COLUMN(R264))),INDIRECT("'Yr3'!"&amp;ADDRESS(ROW(R264),COLUMN(R264)))),
IF(R249=0,0,-PMT(INDEX(Lookups!$E$17:$G$17,MATCH($C$4,Lookups!$E$14:$G$14,0)),R249,SUMIFS('EE Inputs'!$K$9:$K$32,'EE Inputs'!$C$9:$C$32,$G$6,'EE Inputs'!$D$9:$D$32,$C$4,'EE Inputs'!$E$9:$E$32,$B264),0,1)))</f>
        <v>33254.872186848595</v>
      </c>
      <c r="S264" s="65">
        <f ca="1">IF($C$4=Lookups!$D$40,SUM(INDIRECT("'Yr1'!"&amp;ADDRESS(ROW(S264),COLUMN(S264))),INDIRECT("'Yr2'!"&amp;ADDRESS(ROW(S264),COLUMN(S264))),INDIRECT("'Yr3'!"&amp;ADDRESS(ROW(S264),COLUMN(S264)))),
IF(S249=0,0,-PMT(INDEX(Lookups!$E$17:$G$17,MATCH($C$4,Lookups!$E$14:$G$14,0)),S249,SUMIFS('EE Inputs'!$K$9:$K$32,'EE Inputs'!$C$9:$C$32,$G$6,'EE Inputs'!$D$9:$D$32,$C$4,'EE Inputs'!$E$9:$E$32,$B264),0,1)))</f>
        <v>33254.872186848595</v>
      </c>
      <c r="T264" s="65">
        <f ca="1">IF($C$4=Lookups!$D$40,SUM(INDIRECT("'Yr1'!"&amp;ADDRESS(ROW(T264),COLUMN(T264))),INDIRECT("'Yr2'!"&amp;ADDRESS(ROW(T264),COLUMN(T264))),INDIRECT("'Yr3'!"&amp;ADDRESS(ROW(T264),COLUMN(T264)))),
IF(T249=0,0,-PMT(INDEX(Lookups!$E$17:$G$17,MATCH($C$4,Lookups!$E$14:$G$14,0)),T249,SUMIFS('EE Inputs'!$K$9:$K$32,'EE Inputs'!$C$9:$C$32,$G$6,'EE Inputs'!$D$9:$D$32,$C$4,'EE Inputs'!$E$9:$E$32,$B264),0,1)))</f>
        <v>33254.872186848595</v>
      </c>
      <c r="U264" s="65">
        <f ca="1">IF($C$4=Lookups!$D$40,SUM(INDIRECT("'Yr1'!"&amp;ADDRESS(ROW(U264),COLUMN(U264))),INDIRECT("'Yr2'!"&amp;ADDRESS(ROW(U264),COLUMN(U264))),INDIRECT("'Yr3'!"&amp;ADDRESS(ROW(U264),COLUMN(U264)))),
IF(U249=0,0,-PMT(INDEX(Lookups!$E$17:$G$17,MATCH($C$4,Lookups!$E$14:$G$14,0)),U249,SUMIFS('EE Inputs'!$K$9:$K$32,'EE Inputs'!$C$9:$C$32,$G$6,'EE Inputs'!$D$9:$D$32,$C$4,'EE Inputs'!$E$9:$E$32,$B264),0,1)))</f>
        <v>0</v>
      </c>
      <c r="V264" s="65">
        <f ca="1">IF($C$4=Lookups!$D$40,SUM(INDIRECT("'Yr1'!"&amp;ADDRESS(ROW(V264),COLUMN(V264))),INDIRECT("'Yr2'!"&amp;ADDRESS(ROW(V264),COLUMN(V264))),INDIRECT("'Yr3'!"&amp;ADDRESS(ROW(V264),COLUMN(V264)))),
IF(V249=0,0,-PMT(INDEX(Lookups!$E$17:$G$17,MATCH($C$4,Lookups!$E$14:$G$14,0)),V249,SUMIFS('EE Inputs'!$K$9:$K$32,'EE Inputs'!$C$9:$C$32,$G$6,'EE Inputs'!$D$9:$D$32,$C$4,'EE Inputs'!$E$9:$E$32,$B264),0,1)))</f>
        <v>0</v>
      </c>
      <c r="W264" s="65">
        <f ca="1">IF($C$4=Lookups!$D$40,SUM(INDIRECT("'Yr1'!"&amp;ADDRESS(ROW(W264),COLUMN(W264))),INDIRECT("'Yr2'!"&amp;ADDRESS(ROW(W264),COLUMN(W264))),INDIRECT("'Yr3'!"&amp;ADDRESS(ROW(W264),COLUMN(W264)))),
IF(W249=0,0,-PMT(INDEX(Lookups!$E$17:$G$17,MATCH($C$4,Lookups!$E$14:$G$14,0)),W249,SUMIFS('EE Inputs'!$K$9:$K$32,'EE Inputs'!$C$9:$C$32,$G$6,'EE Inputs'!$D$9:$D$32,$C$4,'EE Inputs'!$E$9:$E$32,$B264),0,1)))</f>
        <v>0</v>
      </c>
      <c r="X264" s="65">
        <f ca="1">IF($C$4=Lookups!$D$40,SUM(INDIRECT("'Yr1'!"&amp;ADDRESS(ROW(X264),COLUMN(X264))),INDIRECT("'Yr2'!"&amp;ADDRESS(ROW(X264),COLUMN(X264))),INDIRECT("'Yr3'!"&amp;ADDRESS(ROW(X264),COLUMN(X264)))),
IF(X249=0,0,-PMT(INDEX(Lookups!$E$17:$G$17,MATCH($C$4,Lookups!$E$14:$G$14,0)),X249,SUMIFS('EE Inputs'!$K$9:$K$32,'EE Inputs'!$C$9:$C$32,$G$6,'EE Inputs'!$D$9:$D$32,$C$4,'EE Inputs'!$E$9:$E$32,$B264),0,1)))</f>
        <v>0</v>
      </c>
      <c r="Y264" s="65">
        <f ca="1">IF($C$4=Lookups!$D$40,SUM(INDIRECT("'Yr1'!"&amp;ADDRESS(ROW(Y264),COLUMN(Y264))),INDIRECT("'Yr2'!"&amp;ADDRESS(ROW(Y264),COLUMN(Y264))),INDIRECT("'Yr3'!"&amp;ADDRESS(ROW(Y264),COLUMN(Y264)))),
IF(Y249=0,0,-PMT(INDEX(Lookups!$E$17:$G$17,MATCH($C$4,Lookups!$E$14:$G$14,0)),Y249,SUMIFS('EE Inputs'!$K$9:$K$32,'EE Inputs'!$C$9:$C$32,$G$6,'EE Inputs'!$D$9:$D$32,$C$4,'EE Inputs'!$E$9:$E$32,$B264),0,1)))</f>
        <v>0</v>
      </c>
      <c r="Z264" s="65">
        <f ca="1">IF($C$4=Lookups!$D$40,SUM(INDIRECT("'Yr1'!"&amp;ADDRESS(ROW(Z264),COLUMN(Z264))),INDIRECT("'Yr2'!"&amp;ADDRESS(ROW(Z264),COLUMN(Z264))),INDIRECT("'Yr3'!"&amp;ADDRESS(ROW(Z264),COLUMN(Z264)))),
IF(Z249=0,0,-PMT(INDEX(Lookups!$E$17:$G$17,MATCH($C$4,Lookups!$E$14:$G$14,0)),Z249,SUMIFS('EE Inputs'!$K$9:$K$32,'EE Inputs'!$C$9:$C$32,$G$6,'EE Inputs'!$D$9:$D$32,$C$4,'EE Inputs'!$E$9:$E$32,$B264),0,1)))</f>
        <v>0</v>
      </c>
      <c r="AA264" s="65">
        <f ca="1">IF($C$4=Lookups!$D$40,SUM(INDIRECT("'Yr1'!"&amp;ADDRESS(ROW(AA264),COLUMN(AA264))),INDIRECT("'Yr2'!"&amp;ADDRESS(ROW(AA264),COLUMN(AA264))),INDIRECT("'Yr3'!"&amp;ADDRESS(ROW(AA264),COLUMN(AA264)))),
IF(AA249=0,0,-PMT(INDEX(Lookups!$E$17:$G$17,MATCH($C$4,Lookups!$E$14:$G$14,0)),AA249,SUMIFS('EE Inputs'!$K$9:$K$32,'EE Inputs'!$C$9:$C$32,$G$6,'EE Inputs'!$D$9:$D$32,$C$4,'EE Inputs'!$E$9:$E$32,$B264),0,1)))</f>
        <v>0</v>
      </c>
      <c r="AB264" s="65">
        <f ca="1">IF($C$4=Lookups!$D$40,SUM(INDIRECT("'Yr1'!"&amp;ADDRESS(ROW(AB264),COLUMN(AB264))),INDIRECT("'Yr2'!"&amp;ADDRESS(ROW(AB264),COLUMN(AB264))),INDIRECT("'Yr3'!"&amp;ADDRESS(ROW(AB264),COLUMN(AB264)))),
IF(AB249=0,0,-PMT(INDEX(Lookups!$E$17:$G$17,MATCH($C$4,Lookups!$E$14:$G$14,0)),AB249,SUMIFS('EE Inputs'!$K$9:$K$32,'EE Inputs'!$C$9:$C$32,$G$6,'EE Inputs'!$D$9:$D$32,$C$4,'EE Inputs'!$E$9:$E$32,$B264),0,1)))</f>
        <v>0</v>
      </c>
      <c r="AC264" s="65">
        <f ca="1">IF($C$4=Lookups!$D$40,SUM(INDIRECT("'Yr1'!"&amp;ADDRESS(ROW(AC264),COLUMN(AC264))),INDIRECT("'Yr2'!"&amp;ADDRESS(ROW(AC264),COLUMN(AC264))),INDIRECT("'Yr3'!"&amp;ADDRESS(ROW(AC264),COLUMN(AC264)))),
IF(AC249=0,0,-PMT(INDEX(Lookups!$E$17:$G$17,MATCH($C$4,Lookups!$E$14:$G$14,0)),AC249,SUMIFS('EE Inputs'!$K$9:$K$32,'EE Inputs'!$C$9:$C$32,$G$6,'EE Inputs'!$D$9:$D$32,$C$4,'EE Inputs'!$E$9:$E$32,$B264),0,1)))</f>
        <v>0</v>
      </c>
      <c r="AD264" s="65">
        <f ca="1">IF($C$4=Lookups!$D$40,SUM(INDIRECT("'Yr1'!"&amp;ADDRESS(ROW(AD264),COLUMN(AD264))),INDIRECT("'Yr2'!"&amp;ADDRESS(ROW(AD264),COLUMN(AD264))),INDIRECT("'Yr3'!"&amp;ADDRESS(ROW(AD264),COLUMN(AD264)))),
IF(AD249=0,0,-PMT(INDEX(Lookups!$E$17:$G$17,MATCH($C$4,Lookups!$E$14:$G$14,0)),AD249,SUMIFS('EE Inputs'!$K$9:$K$32,'EE Inputs'!$C$9:$C$32,$G$6,'EE Inputs'!$D$9:$D$32,$C$4,'EE Inputs'!$E$9:$E$32,$B264),0,1)))</f>
        <v>0</v>
      </c>
      <c r="AE264" s="65">
        <f ca="1">IF($C$4=Lookups!$D$40,SUM(INDIRECT("'Yr1'!"&amp;ADDRESS(ROW(AE264),COLUMN(AE264))),INDIRECT("'Yr2'!"&amp;ADDRESS(ROW(AE264),COLUMN(AE264))),INDIRECT("'Yr3'!"&amp;ADDRESS(ROW(AE264),COLUMN(AE264)))),
IF(AE249=0,0,-PMT(INDEX(Lookups!$E$17:$G$17,MATCH($C$4,Lookups!$E$14:$G$14,0)),AE249,SUMIFS('EE Inputs'!$K$9:$K$32,'EE Inputs'!$C$9:$C$32,$G$6,'EE Inputs'!$D$9:$D$32,$C$4,'EE Inputs'!$E$9:$E$32,$B264),0,1)))</f>
        <v>0</v>
      </c>
      <c r="AF264" s="65">
        <f ca="1">IF($C$4=Lookups!$D$40,SUM(INDIRECT("'Yr1'!"&amp;ADDRESS(ROW(AF264),COLUMN(AF264))),INDIRECT("'Yr2'!"&amp;ADDRESS(ROW(AF264),COLUMN(AF264))),INDIRECT("'Yr3'!"&amp;ADDRESS(ROW(AF264),COLUMN(AF264)))),
IF(AF249=0,0,-PMT(INDEX(Lookups!$E$17:$G$17,MATCH($C$4,Lookups!$E$14:$G$14,0)),AF249,SUMIFS('EE Inputs'!$K$9:$K$32,'EE Inputs'!$C$9:$C$32,$G$6,'EE Inputs'!$D$9:$D$32,$C$4,'EE Inputs'!$E$9:$E$32,$B264),0,1)))</f>
        <v>0</v>
      </c>
      <c r="AG264" s="65">
        <f ca="1">IF($C$4=Lookups!$D$40,SUM(INDIRECT("'Yr1'!"&amp;ADDRESS(ROW(AG264),COLUMN(AG264))),INDIRECT("'Yr2'!"&amp;ADDRESS(ROW(AG264),COLUMN(AG264))),INDIRECT("'Yr3'!"&amp;ADDRESS(ROW(AG264),COLUMN(AG264)))),
IF(AG249=0,0,-PMT(INDEX(Lookups!$E$17:$G$17,MATCH($C$4,Lookups!$E$14:$G$14,0)),AG249,SUMIFS('EE Inputs'!$K$9:$K$32,'EE Inputs'!$C$9:$C$32,$G$6,'EE Inputs'!$D$9:$D$32,$C$4,'EE Inputs'!$E$9:$E$32,$B264),0,1)))</f>
        <v>0</v>
      </c>
      <c r="AH264" s="65"/>
      <c r="AI264" s="65">
        <f ca="1">NPV(Lookups!$E$17,G264:AG264)</f>
        <v>386902.16945877421</v>
      </c>
      <c r="AJ264" s="65"/>
      <c r="AM264" s="72">
        <f ca="1">IF($C$4=Lookups!$D$40,SUM(INDIRECT("'Yr1'!"&amp;ADDRESS(ROW(AM264),COLUMN(AM264))),INDIRECT("'Yr2'!"&amp;ADDRESS(ROW(AM264),COLUMN(AM264))),INDIRECT("'Yr3'!"&amp;ADDRESS(ROW(AM264),COLUMN(AM264)))),
IF(AM249=0,0,-PMT(INDEX(Lookups!$E$17:$G$17,MATCH($C$4,Lookups!$E$14:$G$14,0)),AM249,SUMIFS('EE Inputs'!$K$9:$K$32,'EE Inputs'!$C$9:$C$32,$AM$6,'EE Inputs'!$D$9:$D$32,$C$4,'EE Inputs'!$E$9:$E$32,$B264),0,1)))</f>
        <v>0</v>
      </c>
      <c r="AN264" s="72">
        <f ca="1">IF($C$4=Lookups!$D$40,SUM(INDIRECT("'Yr1'!"&amp;ADDRESS(ROW(AN264),COLUMN(AN264))),INDIRECT("'Yr2'!"&amp;ADDRESS(ROW(AN264),COLUMN(AN264))),INDIRECT("'Yr3'!"&amp;ADDRESS(ROW(AN264),COLUMN(AN264)))),
IF(AN249=0,0,-PMT(INDEX(Lookups!$E$17:$G$17,MATCH($C$4,Lookups!$E$14:$G$14,0)),AN249,SUMIFS('EE Inputs'!$K$9:$K$32,'EE Inputs'!$C$9:$C$32,$AM$6,'EE Inputs'!$D$9:$D$32,$C$4,'EE Inputs'!$E$9:$E$32,$B264),0,1)))</f>
        <v>38005.568213541243</v>
      </c>
      <c r="AO264" s="72">
        <f ca="1">IF($C$4=Lookups!$D$40,SUM(INDIRECT("'Yr1'!"&amp;ADDRESS(ROW(AO264),COLUMN(AO264))),INDIRECT("'Yr2'!"&amp;ADDRESS(ROW(AO264),COLUMN(AO264))),INDIRECT("'Yr3'!"&amp;ADDRESS(ROW(AO264),COLUMN(AO264)))),
IF(AO249=0,0,-PMT(INDEX(Lookups!$E$17:$G$17,MATCH($C$4,Lookups!$E$14:$G$14,0)),AO249,SUMIFS('EE Inputs'!$K$9:$K$32,'EE Inputs'!$C$9:$C$32,$AM$6,'EE Inputs'!$D$9:$D$32,$C$4,'EE Inputs'!$E$9:$E$32,$B264),0,1)))</f>
        <v>38005.568213541243</v>
      </c>
      <c r="AP264" s="72">
        <f ca="1">IF($C$4=Lookups!$D$40,SUM(INDIRECT("'Yr1'!"&amp;ADDRESS(ROW(AP264),COLUMN(AP264))),INDIRECT("'Yr2'!"&amp;ADDRESS(ROW(AP264),COLUMN(AP264))),INDIRECT("'Yr3'!"&amp;ADDRESS(ROW(AP264),COLUMN(AP264)))),
IF(AP249=0,0,-PMT(INDEX(Lookups!$E$17:$G$17,MATCH($C$4,Lookups!$E$14:$G$14,0)),AP249,SUMIFS('EE Inputs'!$K$9:$K$32,'EE Inputs'!$C$9:$C$32,$AM$6,'EE Inputs'!$D$9:$D$32,$C$4,'EE Inputs'!$E$9:$E$32,$B264),0,1)))</f>
        <v>38005.568213541243</v>
      </c>
      <c r="AQ264" s="72">
        <f ca="1">IF($C$4=Lookups!$D$40,SUM(INDIRECT("'Yr1'!"&amp;ADDRESS(ROW(AQ264),COLUMN(AQ264))),INDIRECT("'Yr2'!"&amp;ADDRESS(ROW(AQ264),COLUMN(AQ264))),INDIRECT("'Yr3'!"&amp;ADDRESS(ROW(AQ264),COLUMN(AQ264)))),
IF(AQ249=0,0,-PMT(INDEX(Lookups!$E$17:$G$17,MATCH($C$4,Lookups!$E$14:$G$14,0)),AQ249,SUMIFS('EE Inputs'!$K$9:$K$32,'EE Inputs'!$C$9:$C$32,$AM$6,'EE Inputs'!$D$9:$D$32,$C$4,'EE Inputs'!$E$9:$E$32,$B264),0,1)))</f>
        <v>38005.568213541243</v>
      </c>
      <c r="AR264" s="72">
        <f ca="1">IF($C$4=Lookups!$D$40,SUM(INDIRECT("'Yr1'!"&amp;ADDRESS(ROW(AR264),COLUMN(AR264))),INDIRECT("'Yr2'!"&amp;ADDRESS(ROW(AR264),COLUMN(AR264))),INDIRECT("'Yr3'!"&amp;ADDRESS(ROW(AR264),COLUMN(AR264)))),
IF(AR249=0,0,-PMT(INDEX(Lookups!$E$17:$G$17,MATCH($C$4,Lookups!$E$14:$G$14,0)),AR249,SUMIFS('EE Inputs'!$K$9:$K$32,'EE Inputs'!$C$9:$C$32,$AM$6,'EE Inputs'!$D$9:$D$32,$C$4,'EE Inputs'!$E$9:$E$32,$B264),0,1)))</f>
        <v>38005.568213541243</v>
      </c>
      <c r="AS264" s="72">
        <f ca="1">IF($C$4=Lookups!$D$40,SUM(INDIRECT("'Yr1'!"&amp;ADDRESS(ROW(AS264),COLUMN(AS264))),INDIRECT("'Yr2'!"&amp;ADDRESS(ROW(AS264),COLUMN(AS264))),INDIRECT("'Yr3'!"&amp;ADDRESS(ROW(AS264),COLUMN(AS264)))),
IF(AS249=0,0,-PMT(INDEX(Lookups!$E$17:$G$17,MATCH($C$4,Lookups!$E$14:$G$14,0)),AS249,SUMIFS('EE Inputs'!$K$9:$K$32,'EE Inputs'!$C$9:$C$32,$AM$6,'EE Inputs'!$D$9:$D$32,$C$4,'EE Inputs'!$E$9:$E$32,$B264),0,1)))</f>
        <v>38005.568213541243</v>
      </c>
      <c r="AT264" s="72">
        <f ca="1">IF($C$4=Lookups!$D$40,SUM(INDIRECT("'Yr1'!"&amp;ADDRESS(ROW(AT264),COLUMN(AT264))),INDIRECT("'Yr2'!"&amp;ADDRESS(ROW(AT264),COLUMN(AT264))),INDIRECT("'Yr3'!"&amp;ADDRESS(ROW(AT264),COLUMN(AT264)))),
IF(AT249=0,0,-PMT(INDEX(Lookups!$E$17:$G$17,MATCH($C$4,Lookups!$E$14:$G$14,0)),AT249,SUMIFS('EE Inputs'!$K$9:$K$32,'EE Inputs'!$C$9:$C$32,$AM$6,'EE Inputs'!$D$9:$D$32,$C$4,'EE Inputs'!$E$9:$E$32,$B264),0,1)))</f>
        <v>38005.568213541243</v>
      </c>
      <c r="AU264" s="72">
        <f ca="1">IF($C$4=Lookups!$D$40,SUM(INDIRECT("'Yr1'!"&amp;ADDRESS(ROW(AU264),COLUMN(AU264))),INDIRECT("'Yr2'!"&amp;ADDRESS(ROW(AU264),COLUMN(AU264))),INDIRECT("'Yr3'!"&amp;ADDRESS(ROW(AU264),COLUMN(AU264)))),
IF(AU249=0,0,-PMT(INDEX(Lookups!$E$17:$G$17,MATCH($C$4,Lookups!$E$14:$G$14,0)),AU249,SUMIFS('EE Inputs'!$K$9:$K$32,'EE Inputs'!$C$9:$C$32,$AM$6,'EE Inputs'!$D$9:$D$32,$C$4,'EE Inputs'!$E$9:$E$32,$B264),0,1)))</f>
        <v>38005.568213541243</v>
      </c>
      <c r="AV264" s="72">
        <f ca="1">IF($C$4=Lookups!$D$40,SUM(INDIRECT("'Yr1'!"&amp;ADDRESS(ROW(AV264),COLUMN(AV264))),INDIRECT("'Yr2'!"&amp;ADDRESS(ROW(AV264),COLUMN(AV264))),INDIRECT("'Yr3'!"&amp;ADDRESS(ROW(AV264),COLUMN(AV264)))),
IF(AV249=0,0,-PMT(INDEX(Lookups!$E$17:$G$17,MATCH($C$4,Lookups!$E$14:$G$14,0)),AV249,SUMIFS('EE Inputs'!$K$9:$K$32,'EE Inputs'!$C$9:$C$32,$AM$6,'EE Inputs'!$D$9:$D$32,$C$4,'EE Inputs'!$E$9:$E$32,$B264),0,1)))</f>
        <v>38005.568213541243</v>
      </c>
      <c r="AW264" s="72">
        <f ca="1">IF($C$4=Lookups!$D$40,SUM(INDIRECT("'Yr1'!"&amp;ADDRESS(ROW(AW264),COLUMN(AW264))),INDIRECT("'Yr2'!"&amp;ADDRESS(ROW(AW264),COLUMN(AW264))),INDIRECT("'Yr3'!"&amp;ADDRESS(ROW(AW264),COLUMN(AW264)))),
IF(AW249=0,0,-PMT(INDEX(Lookups!$E$17:$G$17,MATCH($C$4,Lookups!$E$14:$G$14,0)),AW249,SUMIFS('EE Inputs'!$K$9:$K$32,'EE Inputs'!$C$9:$C$32,$AM$6,'EE Inputs'!$D$9:$D$32,$C$4,'EE Inputs'!$E$9:$E$32,$B264),0,1)))</f>
        <v>38005.568213541243</v>
      </c>
      <c r="AX264" s="72">
        <f ca="1">IF($C$4=Lookups!$D$40,SUM(INDIRECT("'Yr1'!"&amp;ADDRESS(ROW(AX264),COLUMN(AX264))),INDIRECT("'Yr2'!"&amp;ADDRESS(ROW(AX264),COLUMN(AX264))),INDIRECT("'Yr3'!"&amp;ADDRESS(ROW(AX264),COLUMN(AX264)))),
IF(AX249=0,0,-PMT(INDEX(Lookups!$E$17:$G$17,MATCH($C$4,Lookups!$E$14:$G$14,0)),AX249,SUMIFS('EE Inputs'!$K$9:$K$32,'EE Inputs'!$C$9:$C$32,$AM$6,'EE Inputs'!$D$9:$D$32,$C$4,'EE Inputs'!$E$9:$E$32,$B264),0,1)))</f>
        <v>38005.568213541243</v>
      </c>
      <c r="AY264" s="72">
        <f ca="1">IF($C$4=Lookups!$D$40,SUM(INDIRECT("'Yr1'!"&amp;ADDRESS(ROW(AY264),COLUMN(AY264))),INDIRECT("'Yr2'!"&amp;ADDRESS(ROW(AY264),COLUMN(AY264))),INDIRECT("'Yr3'!"&amp;ADDRESS(ROW(AY264),COLUMN(AY264)))),
IF(AY249=0,0,-PMT(INDEX(Lookups!$E$17:$G$17,MATCH($C$4,Lookups!$E$14:$G$14,0)),AY249,SUMIFS('EE Inputs'!$K$9:$K$32,'EE Inputs'!$C$9:$C$32,$AM$6,'EE Inputs'!$D$9:$D$32,$C$4,'EE Inputs'!$E$9:$E$32,$B264),0,1)))</f>
        <v>38005.568213541243</v>
      </c>
      <c r="AZ264" s="72">
        <f ca="1">IF($C$4=Lookups!$D$40,SUM(INDIRECT("'Yr1'!"&amp;ADDRESS(ROW(AZ264),COLUMN(AZ264))),INDIRECT("'Yr2'!"&amp;ADDRESS(ROW(AZ264),COLUMN(AZ264))),INDIRECT("'Yr3'!"&amp;ADDRESS(ROW(AZ264),COLUMN(AZ264)))),
IF(AZ249=0,0,-PMT(INDEX(Lookups!$E$17:$G$17,MATCH($C$4,Lookups!$E$14:$G$14,0)),AZ249,SUMIFS('EE Inputs'!$K$9:$K$32,'EE Inputs'!$C$9:$C$32,$AM$6,'EE Inputs'!$D$9:$D$32,$C$4,'EE Inputs'!$E$9:$E$32,$B264),0,1)))</f>
        <v>38005.568213541243</v>
      </c>
      <c r="BA264" s="72">
        <f ca="1">IF($C$4=Lookups!$D$40,SUM(INDIRECT("'Yr1'!"&amp;ADDRESS(ROW(BA264),COLUMN(BA264))),INDIRECT("'Yr2'!"&amp;ADDRESS(ROW(BA264),COLUMN(BA264))),INDIRECT("'Yr3'!"&amp;ADDRESS(ROW(BA264),COLUMN(BA264)))),
IF(BA249=0,0,-PMT(INDEX(Lookups!$E$17:$G$17,MATCH($C$4,Lookups!$E$14:$G$14,0)),BA249,SUMIFS('EE Inputs'!$K$9:$K$32,'EE Inputs'!$C$9:$C$32,$AM$6,'EE Inputs'!$D$9:$D$32,$C$4,'EE Inputs'!$E$9:$E$32,$B264),0,1)))</f>
        <v>0</v>
      </c>
      <c r="BB264" s="72">
        <f ca="1">IF($C$4=Lookups!$D$40,SUM(INDIRECT("'Yr1'!"&amp;ADDRESS(ROW(BB264),COLUMN(BB264))),INDIRECT("'Yr2'!"&amp;ADDRESS(ROW(BB264),COLUMN(BB264))),INDIRECT("'Yr3'!"&amp;ADDRESS(ROW(BB264),COLUMN(BB264)))),
IF(BB249=0,0,-PMT(INDEX(Lookups!$E$17:$G$17,MATCH($C$4,Lookups!$E$14:$G$14,0)),BB249,SUMIFS('EE Inputs'!$K$9:$K$32,'EE Inputs'!$C$9:$C$32,$AM$6,'EE Inputs'!$D$9:$D$32,$C$4,'EE Inputs'!$E$9:$E$32,$B264),0,1)))</f>
        <v>0</v>
      </c>
      <c r="BC264" s="72">
        <f ca="1">IF($C$4=Lookups!$D$40,SUM(INDIRECT("'Yr1'!"&amp;ADDRESS(ROW(BC264),COLUMN(BC264))),INDIRECT("'Yr2'!"&amp;ADDRESS(ROW(BC264),COLUMN(BC264))),INDIRECT("'Yr3'!"&amp;ADDRESS(ROW(BC264),COLUMN(BC264)))),
IF(BC249=0,0,-PMT(INDEX(Lookups!$E$17:$G$17,MATCH($C$4,Lookups!$E$14:$G$14,0)),BC249,SUMIFS('EE Inputs'!$K$9:$K$32,'EE Inputs'!$C$9:$C$32,$AM$6,'EE Inputs'!$D$9:$D$32,$C$4,'EE Inputs'!$E$9:$E$32,$B264),0,1)))</f>
        <v>0</v>
      </c>
      <c r="BD264" s="72">
        <f ca="1">IF($C$4=Lookups!$D$40,SUM(INDIRECT("'Yr1'!"&amp;ADDRESS(ROW(BD264),COLUMN(BD264))),INDIRECT("'Yr2'!"&amp;ADDRESS(ROW(BD264),COLUMN(BD264))),INDIRECT("'Yr3'!"&amp;ADDRESS(ROW(BD264),COLUMN(BD264)))),
IF(BD249=0,0,-PMT(INDEX(Lookups!$E$17:$G$17,MATCH($C$4,Lookups!$E$14:$G$14,0)),BD249,SUMIFS('EE Inputs'!$K$9:$K$32,'EE Inputs'!$C$9:$C$32,$AM$6,'EE Inputs'!$D$9:$D$32,$C$4,'EE Inputs'!$E$9:$E$32,$B264),0,1)))</f>
        <v>0</v>
      </c>
      <c r="BE264" s="72">
        <f ca="1">IF($C$4=Lookups!$D$40,SUM(INDIRECT("'Yr1'!"&amp;ADDRESS(ROW(BE264),COLUMN(BE264))),INDIRECT("'Yr2'!"&amp;ADDRESS(ROW(BE264),COLUMN(BE264))),INDIRECT("'Yr3'!"&amp;ADDRESS(ROW(BE264),COLUMN(BE264)))),
IF(BE249=0,0,-PMT(INDEX(Lookups!$E$17:$G$17,MATCH($C$4,Lookups!$E$14:$G$14,0)),BE249,SUMIFS('EE Inputs'!$K$9:$K$32,'EE Inputs'!$C$9:$C$32,$AM$6,'EE Inputs'!$D$9:$D$32,$C$4,'EE Inputs'!$E$9:$E$32,$B264),0,1)))</f>
        <v>0</v>
      </c>
      <c r="BF264" s="72">
        <f ca="1">IF($C$4=Lookups!$D$40,SUM(INDIRECT("'Yr1'!"&amp;ADDRESS(ROW(BF264),COLUMN(BF264))),INDIRECT("'Yr2'!"&amp;ADDRESS(ROW(BF264),COLUMN(BF264))),INDIRECT("'Yr3'!"&amp;ADDRESS(ROW(BF264),COLUMN(BF264)))),
IF(BF249=0,0,-PMT(INDEX(Lookups!$E$17:$G$17,MATCH($C$4,Lookups!$E$14:$G$14,0)),BF249,SUMIFS('EE Inputs'!$K$9:$K$32,'EE Inputs'!$C$9:$C$32,$AM$6,'EE Inputs'!$D$9:$D$32,$C$4,'EE Inputs'!$E$9:$E$32,$B264),0,1)))</f>
        <v>0</v>
      </c>
      <c r="BG264" s="72">
        <f ca="1">IF($C$4=Lookups!$D$40,SUM(INDIRECT("'Yr1'!"&amp;ADDRESS(ROW(BG264),COLUMN(BG264))),INDIRECT("'Yr2'!"&amp;ADDRESS(ROW(BG264),COLUMN(BG264))),INDIRECT("'Yr3'!"&amp;ADDRESS(ROW(BG264),COLUMN(BG264)))),
IF(BG249=0,0,-PMT(INDEX(Lookups!$E$17:$G$17,MATCH($C$4,Lookups!$E$14:$G$14,0)),BG249,SUMIFS('EE Inputs'!$K$9:$K$32,'EE Inputs'!$C$9:$C$32,$AM$6,'EE Inputs'!$D$9:$D$32,$C$4,'EE Inputs'!$E$9:$E$32,$B264),0,1)))</f>
        <v>0</v>
      </c>
      <c r="BH264" s="72">
        <f ca="1">IF($C$4=Lookups!$D$40,SUM(INDIRECT("'Yr1'!"&amp;ADDRESS(ROW(BH264),COLUMN(BH264))),INDIRECT("'Yr2'!"&amp;ADDRESS(ROW(BH264),COLUMN(BH264))),INDIRECT("'Yr3'!"&amp;ADDRESS(ROW(BH264),COLUMN(BH264)))),
IF(BH249=0,0,-PMT(INDEX(Lookups!$E$17:$G$17,MATCH($C$4,Lookups!$E$14:$G$14,0)),BH249,SUMIFS('EE Inputs'!$K$9:$K$32,'EE Inputs'!$C$9:$C$32,$AM$6,'EE Inputs'!$D$9:$D$32,$C$4,'EE Inputs'!$E$9:$E$32,$B264),0,1)))</f>
        <v>0</v>
      </c>
      <c r="BI264" s="72">
        <f ca="1">IF($C$4=Lookups!$D$40,SUM(INDIRECT("'Yr1'!"&amp;ADDRESS(ROW(BI264),COLUMN(BI264))),INDIRECT("'Yr2'!"&amp;ADDRESS(ROW(BI264),COLUMN(BI264))),INDIRECT("'Yr3'!"&amp;ADDRESS(ROW(BI264),COLUMN(BI264)))),
IF(BI249=0,0,-PMT(INDEX(Lookups!$E$17:$G$17,MATCH($C$4,Lookups!$E$14:$G$14,0)),BI249,SUMIFS('EE Inputs'!$K$9:$K$32,'EE Inputs'!$C$9:$C$32,$AM$6,'EE Inputs'!$D$9:$D$32,$C$4,'EE Inputs'!$E$9:$E$32,$B264),0,1)))</f>
        <v>0</v>
      </c>
      <c r="BJ264" s="72">
        <f ca="1">IF($C$4=Lookups!$D$40,SUM(INDIRECT("'Yr1'!"&amp;ADDRESS(ROW(BJ264),COLUMN(BJ264))),INDIRECT("'Yr2'!"&amp;ADDRESS(ROW(BJ264),COLUMN(BJ264))),INDIRECT("'Yr3'!"&amp;ADDRESS(ROW(BJ264),COLUMN(BJ264)))),
IF(BJ249=0,0,-PMT(INDEX(Lookups!$E$17:$G$17,MATCH($C$4,Lookups!$E$14:$G$14,0)),BJ249,SUMIFS('EE Inputs'!$K$9:$K$32,'EE Inputs'!$C$9:$C$32,$AM$6,'EE Inputs'!$D$9:$D$32,$C$4,'EE Inputs'!$E$9:$E$32,$B264),0,1)))</f>
        <v>0</v>
      </c>
      <c r="BK264" s="72">
        <f ca="1">IF($C$4=Lookups!$D$40,SUM(INDIRECT("'Yr1'!"&amp;ADDRESS(ROW(BK264),COLUMN(BK264))),INDIRECT("'Yr2'!"&amp;ADDRESS(ROW(BK264),COLUMN(BK264))),INDIRECT("'Yr3'!"&amp;ADDRESS(ROW(BK264),COLUMN(BK264)))),
IF(BK249=0,0,-PMT(INDEX(Lookups!$E$17:$G$17,MATCH($C$4,Lookups!$E$14:$G$14,0)),BK249,SUMIFS('EE Inputs'!$K$9:$K$32,'EE Inputs'!$C$9:$C$32,$AM$6,'EE Inputs'!$D$9:$D$32,$C$4,'EE Inputs'!$E$9:$E$32,$B264),0,1)))</f>
        <v>0</v>
      </c>
      <c r="BL264" s="72">
        <f ca="1">IF($C$4=Lookups!$D$40,SUM(INDIRECT("'Yr1'!"&amp;ADDRESS(ROW(BL264),COLUMN(BL264))),INDIRECT("'Yr2'!"&amp;ADDRESS(ROW(BL264),COLUMN(BL264))),INDIRECT("'Yr3'!"&amp;ADDRESS(ROW(BL264),COLUMN(BL264)))),
IF(BL249=0,0,-PMT(INDEX(Lookups!$E$17:$G$17,MATCH($C$4,Lookups!$E$14:$G$14,0)),BL249,SUMIFS('EE Inputs'!$K$9:$K$32,'EE Inputs'!$C$9:$C$32,$AM$6,'EE Inputs'!$D$9:$D$32,$C$4,'EE Inputs'!$E$9:$E$32,$B264),0,1)))</f>
        <v>0</v>
      </c>
      <c r="BM264" s="72">
        <f ca="1">IF($C$4=Lookups!$D$40,SUM(INDIRECT("'Yr1'!"&amp;ADDRESS(ROW(BM264),COLUMN(BM264))),INDIRECT("'Yr2'!"&amp;ADDRESS(ROW(BM264),COLUMN(BM264))),INDIRECT("'Yr3'!"&amp;ADDRESS(ROW(BM264),COLUMN(BM264)))),
IF(BM249=0,0,-PMT(INDEX(Lookups!$E$17:$G$17,MATCH($C$4,Lookups!$E$14:$G$14,0)),BM249,SUMIFS('EE Inputs'!$K$9:$K$32,'EE Inputs'!$C$9:$C$32,$AM$6,'EE Inputs'!$D$9:$D$32,$C$4,'EE Inputs'!$E$9:$E$32,$B264),0,1)))</f>
        <v>0</v>
      </c>
      <c r="BN264" s="72"/>
      <c r="BO264" s="72">
        <f ca="1">NPV(Lookups!$E$17,AM264:BM264)</f>
        <v>442173.90795288479</v>
      </c>
      <c r="BP264" s="72"/>
      <c r="BS264" s="84" t="str">
        <f>"Avoided "&amp;E264&amp;" costs."</f>
        <v>Avoided Gas DRIPE costs.</v>
      </c>
      <c r="BT264" s="51" t="s">
        <v>17</v>
      </c>
    </row>
    <row r="265" spans="1:72" x14ac:dyDescent="0.25">
      <c r="B265" s="243" t="str">
        <f t="shared" ref="B265:C267" si="286">B264</f>
        <v>Large C&amp;I</v>
      </c>
      <c r="C265" s="243" t="str">
        <f t="shared" si="286"/>
        <v>Revenue Requirements</v>
      </c>
      <c r="D265" s="114" t="s">
        <v>165</v>
      </c>
      <c r="E265" s="84"/>
      <c r="F265" s="84"/>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S265" s="84"/>
      <c r="BT265" s="51" t="s">
        <v>17</v>
      </c>
    </row>
    <row r="266" spans="1:72" x14ac:dyDescent="0.25">
      <c r="A266" s="476"/>
      <c r="B266" s="243" t="str">
        <f t="shared" si="286"/>
        <v>Large C&amp;I</v>
      </c>
      <c r="C266" s="243" t="str">
        <f t="shared" si="286"/>
        <v>Revenue Requirements</v>
      </c>
      <c r="D266" s="244" t="str">
        <f>D265</f>
        <v>Increased Costs and Cost Shifting</v>
      </c>
      <c r="E266" s="84" t="s">
        <v>406</v>
      </c>
      <c r="F266" s="84" t="s">
        <v>32</v>
      </c>
      <c r="G266" s="64">
        <f ca="1">IF($C$4=Lookups!$D$40,SUM(INDIRECT("'Yr1'!"&amp;ADDRESS(ROW(G266),COLUMN(G266))),INDIRECT("'Yr2'!"&amp;ADDRESS(ROW(G266),COLUMN(G266))),INDIRECT("'Yr3'!"&amp;ADDRESS(ROW(G266),COLUMN(G266)))),
IF($C$4=G$7,G286*G254,0))</f>
        <v>0</v>
      </c>
      <c r="H266" s="64">
        <f ca="1">IF($C$4=Lookups!$D$40,SUM(INDIRECT("'Yr1'!"&amp;ADDRESS(ROW(H266),COLUMN(H266))),INDIRECT("'Yr2'!"&amp;ADDRESS(ROW(H266),COLUMN(H266))),INDIRECT("'Yr3'!"&amp;ADDRESS(ROW(H266),COLUMN(H266)))),
IF($C$4=H$7,H286*H254,0))</f>
        <v>1536108.6318140088</v>
      </c>
      <c r="I266" s="64">
        <f ca="1">IF($C$4=Lookups!$D$40,SUM(INDIRECT("'Yr1'!"&amp;ADDRESS(ROW(I266),COLUMN(I266))),INDIRECT("'Yr2'!"&amp;ADDRESS(ROW(I266),COLUMN(I266))),INDIRECT("'Yr3'!"&amp;ADDRESS(ROW(I266),COLUMN(I266)))),
IF($C$4=I$7,I286*I254,0))</f>
        <v>0</v>
      </c>
      <c r="J266" s="64">
        <f ca="1">IF($C$4=Lookups!$D$40,SUM(INDIRECT("'Yr1'!"&amp;ADDRESS(ROW(J266),COLUMN(J266))),INDIRECT("'Yr2'!"&amp;ADDRESS(ROW(J266),COLUMN(J266))),INDIRECT("'Yr3'!"&amp;ADDRESS(ROW(J266),COLUMN(J266)))),
IF($C$4=J$7,J286*J254,0))</f>
        <v>0</v>
      </c>
      <c r="K266" s="64">
        <f ca="1">IF($C$4=Lookups!$D$40,SUM(INDIRECT("'Yr1'!"&amp;ADDRESS(ROW(K266),COLUMN(K266))),INDIRECT("'Yr2'!"&amp;ADDRESS(ROW(K266),COLUMN(K266))),INDIRECT("'Yr3'!"&amp;ADDRESS(ROW(K266),COLUMN(K266)))),
IF($C$4=K$7,K286*K254,0))</f>
        <v>0</v>
      </c>
      <c r="L266" s="64">
        <f ca="1">IF($C$4=Lookups!$D$40,SUM(INDIRECT("'Yr1'!"&amp;ADDRESS(ROW(L266),COLUMN(L266))),INDIRECT("'Yr2'!"&amp;ADDRESS(ROW(L266),COLUMN(L266))),INDIRECT("'Yr3'!"&amp;ADDRESS(ROW(L266),COLUMN(L266)))),
IF($C$4=L$7,L286*L254,0))</f>
        <v>0</v>
      </c>
      <c r="M266" s="64">
        <f ca="1">IF($C$4=Lookups!$D$40,SUM(INDIRECT("'Yr1'!"&amp;ADDRESS(ROW(M266),COLUMN(M266))),INDIRECT("'Yr2'!"&amp;ADDRESS(ROW(M266),COLUMN(M266))),INDIRECT("'Yr3'!"&amp;ADDRESS(ROW(M266),COLUMN(M266)))),
IF($C$4=M$7,M286*M254,0))</f>
        <v>0</v>
      </c>
      <c r="N266" s="64">
        <f ca="1">IF($C$4=Lookups!$D$40,SUM(INDIRECT("'Yr1'!"&amp;ADDRESS(ROW(N266),COLUMN(N266))),INDIRECT("'Yr2'!"&amp;ADDRESS(ROW(N266),COLUMN(N266))),INDIRECT("'Yr3'!"&amp;ADDRESS(ROW(N266),COLUMN(N266)))),
IF($C$4=N$7,N286*N254,0))</f>
        <v>0</v>
      </c>
      <c r="O266" s="64">
        <f ca="1">IF($C$4=Lookups!$D$40,SUM(INDIRECT("'Yr1'!"&amp;ADDRESS(ROW(O266),COLUMN(O266))),INDIRECT("'Yr2'!"&amp;ADDRESS(ROW(O266),COLUMN(O266))),INDIRECT("'Yr3'!"&amp;ADDRESS(ROW(O266),COLUMN(O266)))),
IF($C$4=O$7,O286*O254,0))</f>
        <v>0</v>
      </c>
      <c r="P266" s="64">
        <f ca="1">IF($C$4=Lookups!$D$40,SUM(INDIRECT("'Yr1'!"&amp;ADDRESS(ROW(P266),COLUMN(P266))),INDIRECT("'Yr2'!"&amp;ADDRESS(ROW(P266),COLUMN(P266))),INDIRECT("'Yr3'!"&amp;ADDRESS(ROW(P266),COLUMN(P266)))),
IF($C$4=P$7,P286*P254,0))</f>
        <v>0</v>
      </c>
      <c r="Q266" s="64">
        <f ca="1">IF($C$4=Lookups!$D$40,SUM(INDIRECT("'Yr1'!"&amp;ADDRESS(ROW(Q266),COLUMN(Q266))),INDIRECT("'Yr2'!"&amp;ADDRESS(ROW(Q266),COLUMN(Q266))),INDIRECT("'Yr3'!"&amp;ADDRESS(ROW(Q266),COLUMN(Q266)))),
IF($C$4=Q$7,Q286*Q254,0))</f>
        <v>0</v>
      </c>
      <c r="R266" s="64">
        <f ca="1">IF($C$4=Lookups!$D$40,SUM(INDIRECT("'Yr1'!"&amp;ADDRESS(ROW(R266),COLUMN(R266))),INDIRECT("'Yr2'!"&amp;ADDRESS(ROW(R266),COLUMN(R266))),INDIRECT("'Yr3'!"&amp;ADDRESS(ROW(R266),COLUMN(R266)))),
IF($C$4=R$7,R286*R254,0))</f>
        <v>0</v>
      </c>
      <c r="S266" s="64">
        <f ca="1">IF($C$4=Lookups!$D$40,SUM(INDIRECT("'Yr1'!"&amp;ADDRESS(ROW(S266),COLUMN(S266))),INDIRECT("'Yr2'!"&amp;ADDRESS(ROW(S266),COLUMN(S266))),INDIRECT("'Yr3'!"&amp;ADDRESS(ROW(S266),COLUMN(S266)))),
IF($C$4=S$7,S286*S254,0))</f>
        <v>0</v>
      </c>
      <c r="T266" s="64">
        <f ca="1">IF($C$4=Lookups!$D$40,SUM(INDIRECT("'Yr1'!"&amp;ADDRESS(ROW(T266),COLUMN(T266))),INDIRECT("'Yr2'!"&amp;ADDRESS(ROW(T266),COLUMN(T266))),INDIRECT("'Yr3'!"&amp;ADDRESS(ROW(T266),COLUMN(T266)))),
IF($C$4=T$7,T286*T254,0))</f>
        <v>0</v>
      </c>
      <c r="U266" s="64">
        <f ca="1">IF($C$4=Lookups!$D$40,SUM(INDIRECT("'Yr1'!"&amp;ADDRESS(ROW(U266),COLUMN(U266))),INDIRECT("'Yr2'!"&amp;ADDRESS(ROW(U266),COLUMN(U266))),INDIRECT("'Yr3'!"&amp;ADDRESS(ROW(U266),COLUMN(U266)))),
IF($C$4=U$7,U286*U254,0))</f>
        <v>0</v>
      </c>
      <c r="V266" s="64">
        <f ca="1">IF($C$4=Lookups!$D$40,SUM(INDIRECT("'Yr1'!"&amp;ADDRESS(ROW(V266),COLUMN(V266))),INDIRECT("'Yr2'!"&amp;ADDRESS(ROW(V266),COLUMN(V266))),INDIRECT("'Yr3'!"&amp;ADDRESS(ROW(V266),COLUMN(V266)))),
IF($C$4=V$7,V286*V254,0))</f>
        <v>0</v>
      </c>
      <c r="W266" s="64">
        <f ca="1">IF($C$4=Lookups!$D$40,SUM(INDIRECT("'Yr1'!"&amp;ADDRESS(ROW(W266),COLUMN(W266))),INDIRECT("'Yr2'!"&amp;ADDRESS(ROW(W266),COLUMN(W266))),INDIRECT("'Yr3'!"&amp;ADDRESS(ROW(W266),COLUMN(W266)))),
IF($C$4=W$7,W286*W254,0))</f>
        <v>0</v>
      </c>
      <c r="X266" s="64">
        <f ca="1">IF($C$4=Lookups!$D$40,SUM(INDIRECT("'Yr1'!"&amp;ADDRESS(ROW(X266),COLUMN(X266))),INDIRECT("'Yr2'!"&amp;ADDRESS(ROW(X266),COLUMN(X266))),INDIRECT("'Yr3'!"&amp;ADDRESS(ROW(X266),COLUMN(X266)))),
IF($C$4=X$7,X286*X254,0))</f>
        <v>0</v>
      </c>
      <c r="Y266" s="64">
        <f ca="1">IF($C$4=Lookups!$D$40,SUM(INDIRECT("'Yr1'!"&amp;ADDRESS(ROW(Y266),COLUMN(Y266))),INDIRECT("'Yr2'!"&amp;ADDRESS(ROW(Y266),COLUMN(Y266))),INDIRECT("'Yr3'!"&amp;ADDRESS(ROW(Y266),COLUMN(Y266)))),
IF($C$4=Y$7,Y286*Y254,0))</f>
        <v>0</v>
      </c>
      <c r="Z266" s="64">
        <f ca="1">IF($C$4=Lookups!$D$40,SUM(INDIRECT("'Yr1'!"&amp;ADDRESS(ROW(Z266),COLUMN(Z266))),INDIRECT("'Yr2'!"&amp;ADDRESS(ROW(Z266),COLUMN(Z266))),INDIRECT("'Yr3'!"&amp;ADDRESS(ROW(Z266),COLUMN(Z266)))),
IF($C$4=Z$7,Z286*Z254,0))</f>
        <v>0</v>
      </c>
      <c r="AA266" s="64">
        <f ca="1">IF($C$4=Lookups!$D$40,SUM(INDIRECT("'Yr1'!"&amp;ADDRESS(ROW(AA266),COLUMN(AA266))),INDIRECT("'Yr2'!"&amp;ADDRESS(ROW(AA266),COLUMN(AA266))),INDIRECT("'Yr3'!"&amp;ADDRESS(ROW(AA266),COLUMN(AA266)))),
IF($C$4=AA$7,AA286*AA254,0))</f>
        <v>0</v>
      </c>
      <c r="AB266" s="64">
        <f ca="1">IF($C$4=Lookups!$D$40,SUM(INDIRECT("'Yr1'!"&amp;ADDRESS(ROW(AB266),COLUMN(AB266))),INDIRECT("'Yr2'!"&amp;ADDRESS(ROW(AB266),COLUMN(AB266))),INDIRECT("'Yr3'!"&amp;ADDRESS(ROW(AB266),COLUMN(AB266)))),
IF($C$4=AB$7,AB286*AB254,0))</f>
        <v>0</v>
      </c>
      <c r="AC266" s="64">
        <f ca="1">IF($C$4=Lookups!$D$40,SUM(INDIRECT("'Yr1'!"&amp;ADDRESS(ROW(AC266),COLUMN(AC266))),INDIRECT("'Yr2'!"&amp;ADDRESS(ROW(AC266),COLUMN(AC266))),INDIRECT("'Yr3'!"&amp;ADDRESS(ROW(AC266),COLUMN(AC266)))),
IF($C$4=AC$7,AC286*AC254,0))</f>
        <v>0</v>
      </c>
      <c r="AD266" s="64">
        <f ca="1">IF($C$4=Lookups!$D$40,SUM(INDIRECT("'Yr1'!"&amp;ADDRESS(ROW(AD266),COLUMN(AD266))),INDIRECT("'Yr2'!"&amp;ADDRESS(ROW(AD266),COLUMN(AD266))),INDIRECT("'Yr3'!"&amp;ADDRESS(ROW(AD266),COLUMN(AD266)))),
IF($C$4=AD$7,AD286*AD254,0))</f>
        <v>0</v>
      </c>
      <c r="AE266" s="64">
        <f ca="1">IF($C$4=Lookups!$D$40,SUM(INDIRECT("'Yr1'!"&amp;ADDRESS(ROW(AE266),COLUMN(AE266))),INDIRECT("'Yr2'!"&amp;ADDRESS(ROW(AE266),COLUMN(AE266))),INDIRECT("'Yr3'!"&amp;ADDRESS(ROW(AE266),COLUMN(AE266)))),
IF($C$4=AE$7,AE286*AE254,0))</f>
        <v>0</v>
      </c>
      <c r="AF266" s="64">
        <f ca="1">IF($C$4=Lookups!$D$40,SUM(INDIRECT("'Yr1'!"&amp;ADDRESS(ROW(AF266),COLUMN(AF266))),INDIRECT("'Yr2'!"&amp;ADDRESS(ROW(AF266),COLUMN(AF266))),INDIRECT("'Yr3'!"&amp;ADDRESS(ROW(AF266),COLUMN(AF266)))),
IF($C$4=AF$7,AF286*AF254,0))</f>
        <v>0</v>
      </c>
      <c r="AG266" s="64">
        <f ca="1">IF($C$4=Lookups!$D$40,SUM(INDIRECT("'Yr1'!"&amp;ADDRESS(ROW(AG266),COLUMN(AG266))),INDIRECT("'Yr2'!"&amp;ADDRESS(ROW(AG266),COLUMN(AG266))),INDIRECT("'Yr3'!"&amp;ADDRESS(ROW(AG266),COLUMN(AG266)))),
IF($C$4=AG$7,AG286*AG254,0))</f>
        <v>0</v>
      </c>
      <c r="AH266" s="49"/>
      <c r="AI266" s="64">
        <f ca="1">NPV(Lookups!$E$17,G266:AG266)</f>
        <v>1493560.0338486307</v>
      </c>
      <c r="AJ266" s="65"/>
      <c r="AM266" s="71">
        <f ca="1">IF($C$4=Lookups!$D$40,SUM(INDIRECT("'Yr1'!"&amp;ADDRESS(ROW(AM266),COLUMN(AM266))),INDIRECT("'Yr2'!"&amp;ADDRESS(ROW(AM266),COLUMN(AM266))),INDIRECT("'Yr3'!"&amp;ADDRESS(ROW(AM266),COLUMN(AM266)))),
IF($C$4=AM$7,AM286*AM254,0))</f>
        <v>0</v>
      </c>
      <c r="AN266" s="71">
        <f ca="1">IF($C$4=Lookups!$D$40,SUM(INDIRECT("'Yr1'!"&amp;ADDRESS(ROW(AN266),COLUMN(AN266))),INDIRECT("'Yr2'!"&amp;ADDRESS(ROW(AN266),COLUMN(AN266))),INDIRECT("'Yr3'!"&amp;ADDRESS(ROW(AN266),COLUMN(AN266)))),
IF($C$4=AN$7,AN286*AN254,0))</f>
        <v>1818444.0910149699</v>
      </c>
      <c r="AO266" s="71">
        <f ca="1">IF($C$4=Lookups!$D$40,SUM(INDIRECT("'Yr1'!"&amp;ADDRESS(ROW(AO266),COLUMN(AO266))),INDIRECT("'Yr2'!"&amp;ADDRESS(ROW(AO266),COLUMN(AO266))),INDIRECT("'Yr3'!"&amp;ADDRESS(ROW(AO266),COLUMN(AO266)))),
IF($C$4=AO$7,AO286*AO254,0))</f>
        <v>0</v>
      </c>
      <c r="AP266" s="71">
        <f ca="1">IF($C$4=Lookups!$D$40,SUM(INDIRECT("'Yr1'!"&amp;ADDRESS(ROW(AP266),COLUMN(AP266))),INDIRECT("'Yr2'!"&amp;ADDRESS(ROW(AP266),COLUMN(AP266))),INDIRECT("'Yr3'!"&amp;ADDRESS(ROW(AP266),COLUMN(AP266)))),
IF($C$4=AP$7,AP286*AP254,0))</f>
        <v>0</v>
      </c>
      <c r="AQ266" s="71">
        <f ca="1">IF($C$4=Lookups!$D$40,SUM(INDIRECT("'Yr1'!"&amp;ADDRESS(ROW(AQ266),COLUMN(AQ266))),INDIRECT("'Yr2'!"&amp;ADDRESS(ROW(AQ266),COLUMN(AQ266))),INDIRECT("'Yr3'!"&amp;ADDRESS(ROW(AQ266),COLUMN(AQ266)))),
IF($C$4=AQ$7,AQ286*AQ254,0))</f>
        <v>0</v>
      </c>
      <c r="AR266" s="71">
        <f ca="1">IF($C$4=Lookups!$D$40,SUM(INDIRECT("'Yr1'!"&amp;ADDRESS(ROW(AR266),COLUMN(AR266))),INDIRECT("'Yr2'!"&amp;ADDRESS(ROW(AR266),COLUMN(AR266))),INDIRECT("'Yr3'!"&amp;ADDRESS(ROW(AR266),COLUMN(AR266)))),
IF($C$4=AR$7,AR286*AR254,0))</f>
        <v>0</v>
      </c>
      <c r="AS266" s="71">
        <f ca="1">IF($C$4=Lookups!$D$40,SUM(INDIRECT("'Yr1'!"&amp;ADDRESS(ROW(AS266),COLUMN(AS266))),INDIRECT("'Yr2'!"&amp;ADDRESS(ROW(AS266),COLUMN(AS266))),INDIRECT("'Yr3'!"&amp;ADDRESS(ROW(AS266),COLUMN(AS266)))),
IF($C$4=AS$7,AS286*AS254,0))</f>
        <v>0</v>
      </c>
      <c r="AT266" s="71">
        <f ca="1">IF($C$4=Lookups!$D$40,SUM(INDIRECT("'Yr1'!"&amp;ADDRESS(ROW(AT266),COLUMN(AT266))),INDIRECT("'Yr2'!"&amp;ADDRESS(ROW(AT266),COLUMN(AT266))),INDIRECT("'Yr3'!"&amp;ADDRESS(ROW(AT266),COLUMN(AT266)))),
IF($C$4=AT$7,AT286*AT254,0))</f>
        <v>0</v>
      </c>
      <c r="AU266" s="71">
        <f ca="1">IF($C$4=Lookups!$D$40,SUM(INDIRECT("'Yr1'!"&amp;ADDRESS(ROW(AU266),COLUMN(AU266))),INDIRECT("'Yr2'!"&amp;ADDRESS(ROW(AU266),COLUMN(AU266))),INDIRECT("'Yr3'!"&amp;ADDRESS(ROW(AU266),COLUMN(AU266)))),
IF($C$4=AU$7,AU286*AU254,0))</f>
        <v>0</v>
      </c>
      <c r="AV266" s="71">
        <f ca="1">IF($C$4=Lookups!$D$40,SUM(INDIRECT("'Yr1'!"&amp;ADDRESS(ROW(AV266),COLUMN(AV266))),INDIRECT("'Yr2'!"&amp;ADDRESS(ROW(AV266),COLUMN(AV266))),INDIRECT("'Yr3'!"&amp;ADDRESS(ROW(AV266),COLUMN(AV266)))),
IF($C$4=AV$7,AV286*AV254,0))</f>
        <v>0</v>
      </c>
      <c r="AW266" s="71">
        <f ca="1">IF($C$4=Lookups!$D$40,SUM(INDIRECT("'Yr1'!"&amp;ADDRESS(ROW(AW266),COLUMN(AW266))),INDIRECT("'Yr2'!"&amp;ADDRESS(ROW(AW266),COLUMN(AW266))),INDIRECT("'Yr3'!"&amp;ADDRESS(ROW(AW266),COLUMN(AW266)))),
IF($C$4=AW$7,AW286*AW254,0))</f>
        <v>0</v>
      </c>
      <c r="AX266" s="71">
        <f ca="1">IF($C$4=Lookups!$D$40,SUM(INDIRECT("'Yr1'!"&amp;ADDRESS(ROW(AX266),COLUMN(AX266))),INDIRECT("'Yr2'!"&amp;ADDRESS(ROW(AX266),COLUMN(AX266))),INDIRECT("'Yr3'!"&amp;ADDRESS(ROW(AX266),COLUMN(AX266)))),
IF($C$4=AX$7,AX286*AX254,0))</f>
        <v>0</v>
      </c>
      <c r="AY266" s="71">
        <f ca="1">IF($C$4=Lookups!$D$40,SUM(INDIRECT("'Yr1'!"&amp;ADDRESS(ROW(AY266),COLUMN(AY266))),INDIRECT("'Yr2'!"&amp;ADDRESS(ROW(AY266),COLUMN(AY266))),INDIRECT("'Yr3'!"&amp;ADDRESS(ROW(AY266),COLUMN(AY266)))),
IF($C$4=AY$7,AY286*AY254,0))</f>
        <v>0</v>
      </c>
      <c r="AZ266" s="71">
        <f ca="1">IF($C$4=Lookups!$D$40,SUM(INDIRECT("'Yr1'!"&amp;ADDRESS(ROW(AZ266),COLUMN(AZ266))),INDIRECT("'Yr2'!"&amp;ADDRESS(ROW(AZ266),COLUMN(AZ266))),INDIRECT("'Yr3'!"&amp;ADDRESS(ROW(AZ266),COLUMN(AZ266)))),
IF($C$4=AZ$7,AZ286*AZ254,0))</f>
        <v>0</v>
      </c>
      <c r="BA266" s="71">
        <f ca="1">IF($C$4=Lookups!$D$40,SUM(INDIRECT("'Yr1'!"&amp;ADDRESS(ROW(BA266),COLUMN(BA266))),INDIRECT("'Yr2'!"&amp;ADDRESS(ROW(BA266),COLUMN(BA266))),INDIRECT("'Yr3'!"&amp;ADDRESS(ROW(BA266),COLUMN(BA266)))),
IF($C$4=BA$7,BA286*BA254,0))</f>
        <v>0</v>
      </c>
      <c r="BB266" s="71">
        <f ca="1">IF($C$4=Lookups!$D$40,SUM(INDIRECT("'Yr1'!"&amp;ADDRESS(ROW(BB266),COLUMN(BB266))),INDIRECT("'Yr2'!"&amp;ADDRESS(ROW(BB266),COLUMN(BB266))),INDIRECT("'Yr3'!"&amp;ADDRESS(ROW(BB266),COLUMN(BB266)))),
IF($C$4=BB$7,BB286*BB254,0))</f>
        <v>0</v>
      </c>
      <c r="BC266" s="71">
        <f ca="1">IF($C$4=Lookups!$D$40,SUM(INDIRECT("'Yr1'!"&amp;ADDRESS(ROW(BC266),COLUMN(BC266))),INDIRECT("'Yr2'!"&amp;ADDRESS(ROW(BC266),COLUMN(BC266))),INDIRECT("'Yr3'!"&amp;ADDRESS(ROW(BC266),COLUMN(BC266)))),
IF($C$4=BC$7,BC286*BC254,0))</f>
        <v>0</v>
      </c>
      <c r="BD266" s="71">
        <f ca="1">IF($C$4=Lookups!$D$40,SUM(INDIRECT("'Yr1'!"&amp;ADDRESS(ROW(BD266),COLUMN(BD266))),INDIRECT("'Yr2'!"&amp;ADDRESS(ROW(BD266),COLUMN(BD266))),INDIRECT("'Yr3'!"&amp;ADDRESS(ROW(BD266),COLUMN(BD266)))),
IF($C$4=BD$7,BD286*BD254,0))</f>
        <v>0</v>
      </c>
      <c r="BE266" s="71">
        <f ca="1">IF($C$4=Lookups!$D$40,SUM(INDIRECT("'Yr1'!"&amp;ADDRESS(ROW(BE266),COLUMN(BE266))),INDIRECT("'Yr2'!"&amp;ADDRESS(ROW(BE266),COLUMN(BE266))),INDIRECT("'Yr3'!"&amp;ADDRESS(ROW(BE266),COLUMN(BE266)))),
IF($C$4=BE$7,BE286*BE254,0))</f>
        <v>0</v>
      </c>
      <c r="BF266" s="71">
        <f ca="1">IF($C$4=Lookups!$D$40,SUM(INDIRECT("'Yr1'!"&amp;ADDRESS(ROW(BF266),COLUMN(BF266))),INDIRECT("'Yr2'!"&amp;ADDRESS(ROW(BF266),COLUMN(BF266))),INDIRECT("'Yr3'!"&amp;ADDRESS(ROW(BF266),COLUMN(BF266)))),
IF($C$4=BF$7,BF286*BF254,0))</f>
        <v>0</v>
      </c>
      <c r="BG266" s="71">
        <f ca="1">IF($C$4=Lookups!$D$40,SUM(INDIRECT("'Yr1'!"&amp;ADDRESS(ROW(BG266),COLUMN(BG266))),INDIRECT("'Yr2'!"&amp;ADDRESS(ROW(BG266),COLUMN(BG266))),INDIRECT("'Yr3'!"&amp;ADDRESS(ROW(BG266),COLUMN(BG266)))),
IF($C$4=BG$7,BG286*BG254,0))</f>
        <v>0</v>
      </c>
      <c r="BH266" s="71">
        <f ca="1">IF($C$4=Lookups!$D$40,SUM(INDIRECT("'Yr1'!"&amp;ADDRESS(ROW(BH266),COLUMN(BH266))),INDIRECT("'Yr2'!"&amp;ADDRESS(ROW(BH266),COLUMN(BH266))),INDIRECT("'Yr3'!"&amp;ADDRESS(ROW(BH266),COLUMN(BH266)))),
IF($C$4=BH$7,BH286*BH254,0))</f>
        <v>0</v>
      </c>
      <c r="BI266" s="71">
        <f ca="1">IF($C$4=Lookups!$D$40,SUM(INDIRECT("'Yr1'!"&amp;ADDRESS(ROW(BI266),COLUMN(BI266))),INDIRECT("'Yr2'!"&amp;ADDRESS(ROW(BI266),COLUMN(BI266))),INDIRECT("'Yr3'!"&amp;ADDRESS(ROW(BI266),COLUMN(BI266)))),
IF($C$4=BI$7,BI286*BI254,0))</f>
        <v>0</v>
      </c>
      <c r="BJ266" s="71">
        <f ca="1">IF($C$4=Lookups!$D$40,SUM(INDIRECT("'Yr1'!"&amp;ADDRESS(ROW(BJ266),COLUMN(BJ266))),INDIRECT("'Yr2'!"&amp;ADDRESS(ROW(BJ266),COLUMN(BJ266))),INDIRECT("'Yr3'!"&amp;ADDRESS(ROW(BJ266),COLUMN(BJ266)))),
IF($C$4=BJ$7,BJ286*BJ254,0))</f>
        <v>0</v>
      </c>
      <c r="BK266" s="71">
        <f ca="1">IF($C$4=Lookups!$D$40,SUM(INDIRECT("'Yr1'!"&amp;ADDRESS(ROW(BK266),COLUMN(BK266))),INDIRECT("'Yr2'!"&amp;ADDRESS(ROW(BK266),COLUMN(BK266))),INDIRECT("'Yr3'!"&amp;ADDRESS(ROW(BK266),COLUMN(BK266)))),
IF($C$4=BK$7,BK286*BK254,0))</f>
        <v>0</v>
      </c>
      <c r="BL266" s="71">
        <f ca="1">IF($C$4=Lookups!$D$40,SUM(INDIRECT("'Yr1'!"&amp;ADDRESS(ROW(BL266),COLUMN(BL266))),INDIRECT("'Yr2'!"&amp;ADDRESS(ROW(BL266),COLUMN(BL266))),INDIRECT("'Yr3'!"&amp;ADDRESS(ROW(BL266),COLUMN(BL266)))),
IF($C$4=BL$7,BL286*BL254,0))</f>
        <v>0</v>
      </c>
      <c r="BM266" s="71">
        <f ca="1">IF($C$4=Lookups!$D$40,SUM(INDIRECT("'Yr1'!"&amp;ADDRESS(ROW(BM266),COLUMN(BM266))),INDIRECT("'Yr2'!"&amp;ADDRESS(ROW(BM266),COLUMN(BM266))),INDIRECT("'Yr3'!"&amp;ADDRESS(ROW(BM266),COLUMN(BM266)))),
IF($C$4=BM$7,BM286*BM254,0))</f>
        <v>0</v>
      </c>
      <c r="BN266" s="71"/>
      <c r="BO266" s="71">
        <f ca="1">NPV(Lookups!$E$17,AM266:BM266)</f>
        <v>1768075.0969551271</v>
      </c>
      <c r="BP266" s="72"/>
      <c r="BS266" s="84" t="str">
        <f>E266&amp;" rate multiplied by After DSM sales."</f>
        <v>LDAC, EE Only rate multiplied by After DSM sales.</v>
      </c>
      <c r="BT266" s="51" t="s">
        <v>17</v>
      </c>
    </row>
    <row r="267" spans="1:72" x14ac:dyDescent="0.25">
      <c r="A267" s="476"/>
      <c r="B267" s="243" t="str">
        <f t="shared" si="286"/>
        <v>Large C&amp;I</v>
      </c>
      <c r="C267" s="243" t="str">
        <f t="shared" si="286"/>
        <v>Revenue Requirements</v>
      </c>
      <c r="D267" s="244" t="str">
        <f>D266</f>
        <v>Increased Costs and Cost Shifting</v>
      </c>
      <c r="E267" s="86" t="s">
        <v>198</v>
      </c>
      <c r="F267" s="84" t="s">
        <v>32</v>
      </c>
      <c r="G267" s="64">
        <f ca="1">IF($C$4=Lookups!$D$40,SUM(INDIRECT("'Yr1'!"&amp;ADDRESS(ROW(G267),COLUMN(G267))),INDIRECT("'Yr2'!"&amp;ADDRESS(ROW(G267),COLUMN(G267))),INDIRECT("'Yr3'!"&amp;ADDRESS(ROW(G267),COLUMN(G267)))),
G287*G254)</f>
        <v>0</v>
      </c>
      <c r="H267" s="64">
        <f ca="1">IF($C$4=Lookups!$D$40,SUM(INDIRECT("'Yr1'!"&amp;ADDRESS(ROW(H267),COLUMN(H267))),INDIRECT("'Yr2'!"&amp;ADDRESS(ROW(H267),COLUMN(H267))),INDIRECT("'Yr3'!"&amp;ADDRESS(ROW(H267),COLUMN(H267)))),
H287*H254)</f>
        <v>111244.48591169689</v>
      </c>
      <c r="I267" s="64">
        <f ca="1">IF($C$4=Lookups!$D$40,SUM(INDIRECT("'Yr1'!"&amp;ADDRESS(ROW(I267),COLUMN(I267))),INDIRECT("'Yr2'!"&amp;ADDRESS(ROW(I267),COLUMN(I267))),INDIRECT("'Yr3'!"&amp;ADDRESS(ROW(I267),COLUMN(I267)))),
I287*I254)</f>
        <v>111244.48591169689</v>
      </c>
      <c r="J267" s="64">
        <f ca="1">IF($C$4=Lookups!$D$40,SUM(INDIRECT("'Yr1'!"&amp;ADDRESS(ROW(J267),COLUMN(J267))),INDIRECT("'Yr2'!"&amp;ADDRESS(ROW(J267),COLUMN(J267))),INDIRECT("'Yr3'!"&amp;ADDRESS(ROW(J267),COLUMN(J267)))),
J287*J254)</f>
        <v>111244.48591169689</v>
      </c>
      <c r="K267" s="64">
        <f ca="1">IF($C$4=Lookups!$D$40,SUM(INDIRECT("'Yr1'!"&amp;ADDRESS(ROW(K267),COLUMN(K267))),INDIRECT("'Yr2'!"&amp;ADDRESS(ROW(K267),COLUMN(K267))),INDIRECT("'Yr3'!"&amp;ADDRESS(ROW(K267),COLUMN(K267)))),
K287*K254)</f>
        <v>111244.48591169689</v>
      </c>
      <c r="L267" s="64">
        <f ca="1">IF($C$4=Lookups!$D$40,SUM(INDIRECT("'Yr1'!"&amp;ADDRESS(ROW(L267),COLUMN(L267))),INDIRECT("'Yr2'!"&amp;ADDRESS(ROW(L267),COLUMN(L267))),INDIRECT("'Yr3'!"&amp;ADDRESS(ROW(L267),COLUMN(L267)))),
L287*L254)</f>
        <v>111244.48591169689</v>
      </c>
      <c r="M267" s="64">
        <f ca="1">IF($C$4=Lookups!$D$40,SUM(INDIRECT("'Yr1'!"&amp;ADDRESS(ROW(M267),COLUMN(M267))),INDIRECT("'Yr2'!"&amp;ADDRESS(ROW(M267),COLUMN(M267))),INDIRECT("'Yr3'!"&amp;ADDRESS(ROW(M267),COLUMN(M267)))),
M287*M254)</f>
        <v>111244.48591169689</v>
      </c>
      <c r="N267" s="64">
        <f ca="1">IF($C$4=Lookups!$D$40,SUM(INDIRECT("'Yr1'!"&amp;ADDRESS(ROW(N267),COLUMN(N267))),INDIRECT("'Yr2'!"&amp;ADDRESS(ROW(N267),COLUMN(N267))),INDIRECT("'Yr3'!"&amp;ADDRESS(ROW(N267),COLUMN(N267)))),
N287*N254)</f>
        <v>111244.48591169689</v>
      </c>
      <c r="O267" s="64">
        <f ca="1">IF($C$4=Lookups!$D$40,SUM(INDIRECT("'Yr1'!"&amp;ADDRESS(ROW(O267),COLUMN(O267))),INDIRECT("'Yr2'!"&amp;ADDRESS(ROW(O267),COLUMN(O267))),INDIRECT("'Yr3'!"&amp;ADDRESS(ROW(O267),COLUMN(O267)))),
O287*O254)</f>
        <v>111244.48591169689</v>
      </c>
      <c r="P267" s="64">
        <f ca="1">IF($C$4=Lookups!$D$40,SUM(INDIRECT("'Yr1'!"&amp;ADDRESS(ROW(P267),COLUMN(P267))),INDIRECT("'Yr2'!"&amp;ADDRESS(ROW(P267),COLUMN(P267))),INDIRECT("'Yr3'!"&amp;ADDRESS(ROW(P267),COLUMN(P267)))),
P287*P254)</f>
        <v>111244.48591169689</v>
      </c>
      <c r="Q267" s="64">
        <f ca="1">IF($C$4=Lookups!$D$40,SUM(INDIRECT("'Yr1'!"&amp;ADDRESS(ROW(Q267),COLUMN(Q267))),INDIRECT("'Yr2'!"&amp;ADDRESS(ROW(Q267),COLUMN(Q267))),INDIRECT("'Yr3'!"&amp;ADDRESS(ROW(Q267),COLUMN(Q267)))),
Q287*Q254)</f>
        <v>111244.48591169689</v>
      </c>
      <c r="R267" s="64">
        <f ca="1">IF($C$4=Lookups!$D$40,SUM(INDIRECT("'Yr1'!"&amp;ADDRESS(ROW(R267),COLUMN(R267))),INDIRECT("'Yr2'!"&amp;ADDRESS(ROW(R267),COLUMN(R267))),INDIRECT("'Yr3'!"&amp;ADDRESS(ROW(R267),COLUMN(R267)))),
R287*R254)</f>
        <v>111244.48591169689</v>
      </c>
      <c r="S267" s="64">
        <f ca="1">IF($C$4=Lookups!$D$40,SUM(INDIRECT("'Yr1'!"&amp;ADDRESS(ROW(S267),COLUMN(S267))),INDIRECT("'Yr2'!"&amp;ADDRESS(ROW(S267),COLUMN(S267))),INDIRECT("'Yr3'!"&amp;ADDRESS(ROW(S267),COLUMN(S267)))),
S287*S254)</f>
        <v>111244.48591169689</v>
      </c>
      <c r="T267" s="64">
        <f ca="1">IF($C$4=Lookups!$D$40,SUM(INDIRECT("'Yr1'!"&amp;ADDRESS(ROW(T267),COLUMN(T267))),INDIRECT("'Yr2'!"&amp;ADDRESS(ROW(T267),COLUMN(T267))),INDIRECT("'Yr3'!"&amp;ADDRESS(ROW(T267),COLUMN(T267)))),
T287*T254)</f>
        <v>111244.48591169689</v>
      </c>
      <c r="U267" s="64">
        <f ca="1">IF($C$4=Lookups!$D$40,SUM(INDIRECT("'Yr1'!"&amp;ADDRESS(ROW(U267),COLUMN(U267))),INDIRECT("'Yr2'!"&amp;ADDRESS(ROW(U267),COLUMN(U267))),INDIRECT("'Yr3'!"&amp;ADDRESS(ROW(U267),COLUMN(U267)))),
U287*U254)</f>
        <v>0</v>
      </c>
      <c r="V267" s="64">
        <f ca="1">IF($C$4=Lookups!$D$40,SUM(INDIRECT("'Yr1'!"&amp;ADDRESS(ROW(V267),COLUMN(V267))),INDIRECT("'Yr2'!"&amp;ADDRESS(ROW(V267),COLUMN(V267))),INDIRECT("'Yr3'!"&amp;ADDRESS(ROW(V267),COLUMN(V267)))),
V287*V254)</f>
        <v>0</v>
      </c>
      <c r="W267" s="64">
        <f ca="1">IF($C$4=Lookups!$D$40,SUM(INDIRECT("'Yr1'!"&amp;ADDRESS(ROW(W267),COLUMN(W267))),INDIRECT("'Yr2'!"&amp;ADDRESS(ROW(W267),COLUMN(W267))),INDIRECT("'Yr3'!"&amp;ADDRESS(ROW(W267),COLUMN(W267)))),
W287*W254)</f>
        <v>0</v>
      </c>
      <c r="X267" s="64">
        <f ca="1">IF($C$4=Lookups!$D$40,SUM(INDIRECT("'Yr1'!"&amp;ADDRESS(ROW(X267),COLUMN(X267))),INDIRECT("'Yr2'!"&amp;ADDRESS(ROW(X267),COLUMN(X267))),INDIRECT("'Yr3'!"&amp;ADDRESS(ROW(X267),COLUMN(X267)))),
X287*X254)</f>
        <v>0</v>
      </c>
      <c r="Y267" s="64">
        <f ca="1">IF($C$4=Lookups!$D$40,SUM(INDIRECT("'Yr1'!"&amp;ADDRESS(ROW(Y267),COLUMN(Y267))),INDIRECT("'Yr2'!"&amp;ADDRESS(ROW(Y267),COLUMN(Y267))),INDIRECT("'Yr3'!"&amp;ADDRESS(ROW(Y267),COLUMN(Y267)))),
Y287*Y254)</f>
        <v>0</v>
      </c>
      <c r="Z267" s="64">
        <f ca="1">IF($C$4=Lookups!$D$40,SUM(INDIRECT("'Yr1'!"&amp;ADDRESS(ROW(Z267),COLUMN(Z267))),INDIRECT("'Yr2'!"&amp;ADDRESS(ROW(Z267),COLUMN(Z267))),INDIRECT("'Yr3'!"&amp;ADDRESS(ROW(Z267),COLUMN(Z267)))),
Z287*Z254)</f>
        <v>0</v>
      </c>
      <c r="AA267" s="64">
        <f ca="1">IF($C$4=Lookups!$D$40,SUM(INDIRECT("'Yr1'!"&amp;ADDRESS(ROW(AA267),COLUMN(AA267))),INDIRECT("'Yr2'!"&amp;ADDRESS(ROW(AA267),COLUMN(AA267))),INDIRECT("'Yr3'!"&amp;ADDRESS(ROW(AA267),COLUMN(AA267)))),
AA287*AA254)</f>
        <v>0</v>
      </c>
      <c r="AB267" s="64">
        <f ca="1">IF($C$4=Lookups!$D$40,SUM(INDIRECT("'Yr1'!"&amp;ADDRESS(ROW(AB267),COLUMN(AB267))),INDIRECT("'Yr2'!"&amp;ADDRESS(ROW(AB267),COLUMN(AB267))),INDIRECT("'Yr3'!"&amp;ADDRESS(ROW(AB267),COLUMN(AB267)))),
AB287*AB254)</f>
        <v>0</v>
      </c>
      <c r="AC267" s="64">
        <f ca="1">IF($C$4=Lookups!$D$40,SUM(INDIRECT("'Yr1'!"&amp;ADDRESS(ROW(AC267),COLUMN(AC267))),INDIRECT("'Yr2'!"&amp;ADDRESS(ROW(AC267),COLUMN(AC267))),INDIRECT("'Yr3'!"&amp;ADDRESS(ROW(AC267),COLUMN(AC267)))),
AC287*AC254)</f>
        <v>0</v>
      </c>
      <c r="AD267" s="64">
        <f ca="1">IF($C$4=Lookups!$D$40,SUM(INDIRECT("'Yr1'!"&amp;ADDRESS(ROW(AD267),COLUMN(AD267))),INDIRECT("'Yr2'!"&amp;ADDRESS(ROW(AD267),COLUMN(AD267))),INDIRECT("'Yr3'!"&amp;ADDRESS(ROW(AD267),COLUMN(AD267)))),
AD287*AD254)</f>
        <v>0</v>
      </c>
      <c r="AE267" s="64">
        <f ca="1">IF($C$4=Lookups!$D$40,SUM(INDIRECT("'Yr1'!"&amp;ADDRESS(ROW(AE267),COLUMN(AE267))),INDIRECT("'Yr2'!"&amp;ADDRESS(ROW(AE267),COLUMN(AE267))),INDIRECT("'Yr3'!"&amp;ADDRESS(ROW(AE267),COLUMN(AE267)))),
AE287*AE254)</f>
        <v>0</v>
      </c>
      <c r="AF267" s="64">
        <f ca="1">IF($C$4=Lookups!$D$40,SUM(INDIRECT("'Yr1'!"&amp;ADDRESS(ROW(AF267),COLUMN(AF267))),INDIRECT("'Yr2'!"&amp;ADDRESS(ROW(AF267),COLUMN(AF267))),INDIRECT("'Yr3'!"&amp;ADDRESS(ROW(AF267),COLUMN(AF267)))),
AF287*AF254)</f>
        <v>0</v>
      </c>
      <c r="AG267" s="64">
        <f ca="1">IF($C$4=Lookups!$D$40,SUM(INDIRECT("'Yr1'!"&amp;ADDRESS(ROW(AG267),COLUMN(AG267))),INDIRECT("'Yr2'!"&amp;ADDRESS(ROW(AG267),COLUMN(AG267))),INDIRECT("'Yr3'!"&amp;ADDRESS(ROW(AG267),COLUMN(AG267)))),
AG287*AG254)</f>
        <v>0</v>
      </c>
      <c r="AH267" s="49"/>
      <c r="AI267" s="64">
        <f ca="1">NPV(Lookups!$E$17,G267:AG267)</f>
        <v>1294268.4818552099</v>
      </c>
      <c r="AJ267" s="65"/>
      <c r="AM267" s="71">
        <f ca="1">IF($C$4=Lookups!$D$40,SUM(INDIRECT("'Yr1'!"&amp;ADDRESS(ROW(AM267),COLUMN(AM267))),INDIRECT("'Yr2'!"&amp;ADDRESS(ROW(AM267),COLUMN(AM267))),INDIRECT("'Yr3'!"&amp;ADDRESS(ROW(AM267),COLUMN(AM267)))),
AM287*AM254)</f>
        <v>0</v>
      </c>
      <c r="AN267" s="71">
        <f ca="1">IF($C$4=Lookups!$D$40,SUM(INDIRECT("'Yr1'!"&amp;ADDRESS(ROW(AN267),COLUMN(AN267))),INDIRECT("'Yr2'!"&amp;ADDRESS(ROW(AN267),COLUMN(AN267))),INDIRECT("'Yr3'!"&amp;ADDRESS(ROW(AN267),COLUMN(AN267)))),
AN287*AN254)</f>
        <v>126546.79932182934</v>
      </c>
      <c r="AO267" s="71">
        <f ca="1">IF($C$4=Lookups!$D$40,SUM(INDIRECT("'Yr1'!"&amp;ADDRESS(ROW(AO267),COLUMN(AO267))),INDIRECT("'Yr2'!"&amp;ADDRESS(ROW(AO267),COLUMN(AO267))),INDIRECT("'Yr3'!"&amp;ADDRESS(ROW(AO267),COLUMN(AO267)))),
AO287*AO254)</f>
        <v>126546.79932182934</v>
      </c>
      <c r="AP267" s="71">
        <f ca="1">IF($C$4=Lookups!$D$40,SUM(INDIRECT("'Yr1'!"&amp;ADDRESS(ROW(AP267),COLUMN(AP267))),INDIRECT("'Yr2'!"&amp;ADDRESS(ROW(AP267),COLUMN(AP267))),INDIRECT("'Yr3'!"&amp;ADDRESS(ROW(AP267),COLUMN(AP267)))),
AP287*AP254)</f>
        <v>126546.79932182934</v>
      </c>
      <c r="AQ267" s="71">
        <f ca="1">IF($C$4=Lookups!$D$40,SUM(INDIRECT("'Yr1'!"&amp;ADDRESS(ROW(AQ267),COLUMN(AQ267))),INDIRECT("'Yr2'!"&amp;ADDRESS(ROW(AQ267),COLUMN(AQ267))),INDIRECT("'Yr3'!"&amp;ADDRESS(ROW(AQ267),COLUMN(AQ267)))),
AQ287*AQ254)</f>
        <v>126546.79932182934</v>
      </c>
      <c r="AR267" s="71">
        <f ca="1">IF($C$4=Lookups!$D$40,SUM(INDIRECT("'Yr1'!"&amp;ADDRESS(ROW(AR267),COLUMN(AR267))),INDIRECT("'Yr2'!"&amp;ADDRESS(ROW(AR267),COLUMN(AR267))),INDIRECT("'Yr3'!"&amp;ADDRESS(ROW(AR267),COLUMN(AR267)))),
AR287*AR254)</f>
        <v>126546.79932182934</v>
      </c>
      <c r="AS267" s="71">
        <f ca="1">IF($C$4=Lookups!$D$40,SUM(INDIRECT("'Yr1'!"&amp;ADDRESS(ROW(AS267),COLUMN(AS267))),INDIRECT("'Yr2'!"&amp;ADDRESS(ROW(AS267),COLUMN(AS267))),INDIRECT("'Yr3'!"&amp;ADDRESS(ROW(AS267),COLUMN(AS267)))),
AS287*AS254)</f>
        <v>126546.79932182934</v>
      </c>
      <c r="AT267" s="71">
        <f ca="1">IF($C$4=Lookups!$D$40,SUM(INDIRECT("'Yr1'!"&amp;ADDRESS(ROW(AT267),COLUMN(AT267))),INDIRECT("'Yr2'!"&amp;ADDRESS(ROW(AT267),COLUMN(AT267))),INDIRECT("'Yr3'!"&amp;ADDRESS(ROW(AT267),COLUMN(AT267)))),
AT287*AT254)</f>
        <v>126546.79932182934</v>
      </c>
      <c r="AU267" s="71">
        <f ca="1">IF($C$4=Lookups!$D$40,SUM(INDIRECT("'Yr1'!"&amp;ADDRESS(ROW(AU267),COLUMN(AU267))),INDIRECT("'Yr2'!"&amp;ADDRESS(ROW(AU267),COLUMN(AU267))),INDIRECT("'Yr3'!"&amp;ADDRESS(ROW(AU267),COLUMN(AU267)))),
AU287*AU254)</f>
        <v>126546.79932182934</v>
      </c>
      <c r="AV267" s="71">
        <f ca="1">IF($C$4=Lookups!$D$40,SUM(INDIRECT("'Yr1'!"&amp;ADDRESS(ROW(AV267),COLUMN(AV267))),INDIRECT("'Yr2'!"&amp;ADDRESS(ROW(AV267),COLUMN(AV267))),INDIRECT("'Yr3'!"&amp;ADDRESS(ROW(AV267),COLUMN(AV267)))),
AV287*AV254)</f>
        <v>126546.79932182934</v>
      </c>
      <c r="AW267" s="71">
        <f ca="1">IF($C$4=Lookups!$D$40,SUM(INDIRECT("'Yr1'!"&amp;ADDRESS(ROW(AW267),COLUMN(AW267))),INDIRECT("'Yr2'!"&amp;ADDRESS(ROW(AW267),COLUMN(AW267))),INDIRECT("'Yr3'!"&amp;ADDRESS(ROW(AW267),COLUMN(AW267)))),
AW287*AW254)</f>
        <v>126546.79932182934</v>
      </c>
      <c r="AX267" s="71">
        <f ca="1">IF($C$4=Lookups!$D$40,SUM(INDIRECT("'Yr1'!"&amp;ADDRESS(ROW(AX267),COLUMN(AX267))),INDIRECT("'Yr2'!"&amp;ADDRESS(ROW(AX267),COLUMN(AX267))),INDIRECT("'Yr3'!"&amp;ADDRESS(ROW(AX267),COLUMN(AX267)))),
AX287*AX254)</f>
        <v>126546.79932182934</v>
      </c>
      <c r="AY267" s="71">
        <f ca="1">IF($C$4=Lookups!$D$40,SUM(INDIRECT("'Yr1'!"&amp;ADDRESS(ROW(AY267),COLUMN(AY267))),INDIRECT("'Yr2'!"&amp;ADDRESS(ROW(AY267),COLUMN(AY267))),INDIRECT("'Yr3'!"&amp;ADDRESS(ROW(AY267),COLUMN(AY267)))),
AY287*AY254)</f>
        <v>126546.79932182934</v>
      </c>
      <c r="AZ267" s="71">
        <f ca="1">IF($C$4=Lookups!$D$40,SUM(INDIRECT("'Yr1'!"&amp;ADDRESS(ROW(AZ267),COLUMN(AZ267))),INDIRECT("'Yr2'!"&amp;ADDRESS(ROW(AZ267),COLUMN(AZ267))),INDIRECT("'Yr3'!"&amp;ADDRESS(ROW(AZ267),COLUMN(AZ267)))),
AZ287*AZ254)</f>
        <v>126546.79932182934</v>
      </c>
      <c r="BA267" s="71">
        <f ca="1">IF($C$4=Lookups!$D$40,SUM(INDIRECT("'Yr1'!"&amp;ADDRESS(ROW(BA267),COLUMN(BA267))),INDIRECT("'Yr2'!"&amp;ADDRESS(ROW(BA267),COLUMN(BA267))),INDIRECT("'Yr3'!"&amp;ADDRESS(ROW(BA267),COLUMN(BA267)))),
BA287*BA254)</f>
        <v>0</v>
      </c>
      <c r="BB267" s="71">
        <f ca="1">IF($C$4=Lookups!$D$40,SUM(INDIRECT("'Yr1'!"&amp;ADDRESS(ROW(BB267),COLUMN(BB267))),INDIRECT("'Yr2'!"&amp;ADDRESS(ROW(BB267),COLUMN(BB267))),INDIRECT("'Yr3'!"&amp;ADDRESS(ROW(BB267),COLUMN(BB267)))),
BB287*BB254)</f>
        <v>0</v>
      </c>
      <c r="BC267" s="71">
        <f ca="1">IF($C$4=Lookups!$D$40,SUM(INDIRECT("'Yr1'!"&amp;ADDRESS(ROW(BC267),COLUMN(BC267))),INDIRECT("'Yr2'!"&amp;ADDRESS(ROW(BC267),COLUMN(BC267))),INDIRECT("'Yr3'!"&amp;ADDRESS(ROW(BC267),COLUMN(BC267)))),
BC287*BC254)</f>
        <v>0</v>
      </c>
      <c r="BD267" s="71">
        <f ca="1">IF($C$4=Lookups!$D$40,SUM(INDIRECT("'Yr1'!"&amp;ADDRESS(ROW(BD267),COLUMN(BD267))),INDIRECT("'Yr2'!"&amp;ADDRESS(ROW(BD267),COLUMN(BD267))),INDIRECT("'Yr3'!"&amp;ADDRESS(ROW(BD267),COLUMN(BD267)))),
BD287*BD254)</f>
        <v>0</v>
      </c>
      <c r="BE267" s="71">
        <f ca="1">IF($C$4=Lookups!$D$40,SUM(INDIRECT("'Yr1'!"&amp;ADDRESS(ROW(BE267),COLUMN(BE267))),INDIRECT("'Yr2'!"&amp;ADDRESS(ROW(BE267),COLUMN(BE267))),INDIRECT("'Yr3'!"&amp;ADDRESS(ROW(BE267),COLUMN(BE267)))),
BE287*BE254)</f>
        <v>0</v>
      </c>
      <c r="BF267" s="71">
        <f ca="1">IF($C$4=Lookups!$D$40,SUM(INDIRECT("'Yr1'!"&amp;ADDRESS(ROW(BF267),COLUMN(BF267))),INDIRECT("'Yr2'!"&amp;ADDRESS(ROW(BF267),COLUMN(BF267))),INDIRECT("'Yr3'!"&amp;ADDRESS(ROW(BF267),COLUMN(BF267)))),
BF287*BF254)</f>
        <v>0</v>
      </c>
      <c r="BG267" s="71">
        <f ca="1">IF($C$4=Lookups!$D$40,SUM(INDIRECT("'Yr1'!"&amp;ADDRESS(ROW(BG267),COLUMN(BG267))),INDIRECT("'Yr2'!"&amp;ADDRESS(ROW(BG267),COLUMN(BG267))),INDIRECT("'Yr3'!"&amp;ADDRESS(ROW(BG267),COLUMN(BG267)))),
BG287*BG254)</f>
        <v>0</v>
      </c>
      <c r="BH267" s="71">
        <f ca="1">IF($C$4=Lookups!$D$40,SUM(INDIRECT("'Yr1'!"&amp;ADDRESS(ROW(BH267),COLUMN(BH267))),INDIRECT("'Yr2'!"&amp;ADDRESS(ROW(BH267),COLUMN(BH267))),INDIRECT("'Yr3'!"&amp;ADDRESS(ROW(BH267),COLUMN(BH267)))),
BH287*BH254)</f>
        <v>0</v>
      </c>
      <c r="BI267" s="71">
        <f ca="1">IF($C$4=Lookups!$D$40,SUM(INDIRECT("'Yr1'!"&amp;ADDRESS(ROW(BI267),COLUMN(BI267))),INDIRECT("'Yr2'!"&amp;ADDRESS(ROW(BI267),COLUMN(BI267))),INDIRECT("'Yr3'!"&amp;ADDRESS(ROW(BI267),COLUMN(BI267)))),
BI287*BI254)</f>
        <v>0</v>
      </c>
      <c r="BJ267" s="71">
        <f ca="1">IF($C$4=Lookups!$D$40,SUM(INDIRECT("'Yr1'!"&amp;ADDRESS(ROW(BJ267),COLUMN(BJ267))),INDIRECT("'Yr2'!"&amp;ADDRESS(ROW(BJ267),COLUMN(BJ267))),INDIRECT("'Yr3'!"&amp;ADDRESS(ROW(BJ267),COLUMN(BJ267)))),
BJ287*BJ254)</f>
        <v>0</v>
      </c>
      <c r="BK267" s="71">
        <f ca="1">IF($C$4=Lookups!$D$40,SUM(INDIRECT("'Yr1'!"&amp;ADDRESS(ROW(BK267),COLUMN(BK267))),INDIRECT("'Yr2'!"&amp;ADDRESS(ROW(BK267),COLUMN(BK267))),INDIRECT("'Yr3'!"&amp;ADDRESS(ROW(BK267),COLUMN(BK267)))),
BK287*BK254)</f>
        <v>0</v>
      </c>
      <c r="BL267" s="71">
        <f ca="1">IF($C$4=Lookups!$D$40,SUM(INDIRECT("'Yr1'!"&amp;ADDRESS(ROW(BL267),COLUMN(BL267))),INDIRECT("'Yr2'!"&amp;ADDRESS(ROW(BL267),COLUMN(BL267))),INDIRECT("'Yr3'!"&amp;ADDRESS(ROW(BL267),COLUMN(BL267)))),
BL287*BL254)</f>
        <v>0</v>
      </c>
      <c r="BM267" s="71">
        <f ca="1">IF($C$4=Lookups!$D$40,SUM(INDIRECT("'Yr1'!"&amp;ADDRESS(ROW(BM267),COLUMN(BM267))),INDIRECT("'Yr2'!"&amp;ADDRESS(ROW(BM267),COLUMN(BM267))),INDIRECT("'Yr3'!"&amp;ADDRESS(ROW(BM267),COLUMN(BM267)))),
BM287*BM254)</f>
        <v>0</v>
      </c>
      <c r="BN267" s="71"/>
      <c r="BO267" s="71">
        <f ca="1">NPV(Lookups!$E$17,AM267:BM267)</f>
        <v>1472302.492115509</v>
      </c>
      <c r="BP267" s="72"/>
      <c r="BS267" s="84" t="str">
        <f>E267&amp;" rate multiplied by After DSM sales."</f>
        <v>Distribution Lost Revenue rate multiplied by After DSM sales.</v>
      </c>
      <c r="BT267" s="51" t="s">
        <v>17</v>
      </c>
    </row>
    <row r="268" spans="1:72" x14ac:dyDescent="0.25">
      <c r="B268" s="243" t="str">
        <f>B266</f>
        <v>Large C&amp;I</v>
      </c>
      <c r="C268" s="243" t="str">
        <f>C266</f>
        <v>Revenue Requirements</v>
      </c>
      <c r="D268" s="114" t="s">
        <v>125</v>
      </c>
      <c r="E268" s="84"/>
      <c r="F268" s="84"/>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S268" s="84"/>
      <c r="BT268" s="51" t="s">
        <v>17</v>
      </c>
    </row>
    <row r="269" spans="1:72" x14ac:dyDescent="0.25">
      <c r="A269" s="1"/>
      <c r="B269" s="243" t="str">
        <f t="shared" ref="B269:C270" si="287">B268</f>
        <v>Large C&amp;I</v>
      </c>
      <c r="C269" s="243" t="str">
        <f t="shared" si="287"/>
        <v>Revenue Requirements</v>
      </c>
      <c r="D269" s="244" t="str">
        <f>D268</f>
        <v>Revenue Requirement after DSM Scenario</v>
      </c>
      <c r="E269" s="84" t="s">
        <v>26</v>
      </c>
      <c r="F269" s="84" t="s">
        <v>32</v>
      </c>
      <c r="G269" s="64">
        <f ca="1">G258-G263</f>
        <v>0</v>
      </c>
      <c r="H269" s="64">
        <f t="shared" ref="H269:AG269" ca="1" si="288">H258-H263</f>
        <v>1288372.9728068621</v>
      </c>
      <c r="I269" s="64">
        <f t="shared" ca="1" si="288"/>
        <v>1288372.9728068621</v>
      </c>
      <c r="J269" s="64">
        <f t="shared" ca="1" si="288"/>
        <v>1288372.9728068621</v>
      </c>
      <c r="K269" s="64">
        <f t="shared" ca="1" si="288"/>
        <v>1288372.9728068621</v>
      </c>
      <c r="L269" s="64">
        <f t="shared" ca="1" si="288"/>
        <v>1288372.9728068621</v>
      </c>
      <c r="M269" s="64">
        <f t="shared" ca="1" si="288"/>
        <v>1288372.9728068621</v>
      </c>
      <c r="N269" s="64">
        <f t="shared" ca="1" si="288"/>
        <v>1288372.9728068621</v>
      </c>
      <c r="O269" s="64">
        <f t="shared" ca="1" si="288"/>
        <v>1288372.9728068621</v>
      </c>
      <c r="P269" s="64">
        <f t="shared" ca="1" si="288"/>
        <v>1288372.9728068621</v>
      </c>
      <c r="Q269" s="64">
        <f t="shared" ca="1" si="288"/>
        <v>1288372.9728068621</v>
      </c>
      <c r="R269" s="64">
        <f t="shared" ca="1" si="288"/>
        <v>1288372.9728068621</v>
      </c>
      <c r="S269" s="64">
        <f t="shared" ca="1" si="288"/>
        <v>1288372.9728068621</v>
      </c>
      <c r="T269" s="64">
        <f t="shared" ca="1" si="288"/>
        <v>1288372.9728068621</v>
      </c>
      <c r="U269" s="64">
        <f t="shared" ca="1" si="288"/>
        <v>1330208.1466124975</v>
      </c>
      <c r="V269" s="64">
        <f t="shared" ca="1" si="288"/>
        <v>1330208.1466124975</v>
      </c>
      <c r="W269" s="64">
        <f t="shared" ca="1" si="288"/>
        <v>1330208.1466124975</v>
      </c>
      <c r="X269" s="64">
        <f t="shared" ca="1" si="288"/>
        <v>1330208.1466124975</v>
      </c>
      <c r="Y269" s="64">
        <f t="shared" ca="1" si="288"/>
        <v>1330208.1466124975</v>
      </c>
      <c r="Z269" s="64">
        <f t="shared" ca="1" si="288"/>
        <v>1330208.1466124975</v>
      </c>
      <c r="AA269" s="64">
        <f t="shared" ca="1" si="288"/>
        <v>1330208.1466124975</v>
      </c>
      <c r="AB269" s="64">
        <f t="shared" ca="1" si="288"/>
        <v>1330208.1466124975</v>
      </c>
      <c r="AC269" s="64">
        <f t="shared" ca="1" si="288"/>
        <v>1330208.1466124975</v>
      </c>
      <c r="AD269" s="64">
        <f t="shared" ca="1" si="288"/>
        <v>1330208.1466124975</v>
      </c>
      <c r="AE269" s="64">
        <f t="shared" ca="1" si="288"/>
        <v>1330208.1466124975</v>
      </c>
      <c r="AF269" s="64">
        <f t="shared" ca="1" si="288"/>
        <v>1330208.1466124975</v>
      </c>
      <c r="AG269" s="64">
        <f t="shared" ca="1" si="288"/>
        <v>1330208.1466124975</v>
      </c>
      <c r="AH269" s="64"/>
      <c r="AI269" s="64">
        <f ca="1">NPV(Lookups!$E$17,G269:AG269)</f>
        <v>27882998.806056701</v>
      </c>
      <c r="AJ269" s="64"/>
      <c r="AM269" s="71">
        <f ca="1">AM258-AM263</f>
        <v>0</v>
      </c>
      <c r="AN269" s="71">
        <f t="shared" ref="AN269:BM269" ca="1" si="289">AN258-AN263</f>
        <v>1282396.519406057</v>
      </c>
      <c r="AO269" s="71">
        <f t="shared" ca="1" si="289"/>
        <v>1282396.519406057</v>
      </c>
      <c r="AP269" s="71">
        <f t="shared" ca="1" si="289"/>
        <v>1282396.519406057</v>
      </c>
      <c r="AQ269" s="71">
        <f t="shared" ca="1" si="289"/>
        <v>1282396.519406057</v>
      </c>
      <c r="AR269" s="71">
        <f t="shared" ca="1" si="289"/>
        <v>1282396.519406057</v>
      </c>
      <c r="AS269" s="71">
        <f t="shared" ca="1" si="289"/>
        <v>1282396.519406057</v>
      </c>
      <c r="AT269" s="71">
        <f t="shared" ca="1" si="289"/>
        <v>1282396.519406057</v>
      </c>
      <c r="AU269" s="71">
        <f t="shared" ca="1" si="289"/>
        <v>1282396.519406057</v>
      </c>
      <c r="AV269" s="71">
        <f t="shared" ca="1" si="289"/>
        <v>1282396.519406057</v>
      </c>
      <c r="AW269" s="71">
        <f t="shared" ca="1" si="289"/>
        <v>1282396.519406057</v>
      </c>
      <c r="AX269" s="71">
        <f t="shared" ca="1" si="289"/>
        <v>1282396.519406057</v>
      </c>
      <c r="AY269" s="71">
        <f t="shared" ca="1" si="289"/>
        <v>1282396.519406057</v>
      </c>
      <c r="AZ269" s="71">
        <f t="shared" ca="1" si="289"/>
        <v>1282396.519406057</v>
      </c>
      <c r="BA269" s="71">
        <f t="shared" ca="1" si="289"/>
        <v>1330208.1466124975</v>
      </c>
      <c r="BB269" s="71">
        <f t="shared" ca="1" si="289"/>
        <v>1330208.1466124975</v>
      </c>
      <c r="BC269" s="71">
        <f t="shared" ca="1" si="289"/>
        <v>1330208.1466124975</v>
      </c>
      <c r="BD269" s="71">
        <f t="shared" ca="1" si="289"/>
        <v>1330208.1466124975</v>
      </c>
      <c r="BE269" s="71">
        <f t="shared" ca="1" si="289"/>
        <v>1330208.1466124975</v>
      </c>
      <c r="BF269" s="71">
        <f t="shared" ca="1" si="289"/>
        <v>1330208.1466124975</v>
      </c>
      <c r="BG269" s="71">
        <f t="shared" ca="1" si="289"/>
        <v>1330208.1466124975</v>
      </c>
      <c r="BH269" s="71">
        <f t="shared" ca="1" si="289"/>
        <v>1330208.1466124975</v>
      </c>
      <c r="BI269" s="71">
        <f t="shared" ca="1" si="289"/>
        <v>1330208.1466124975</v>
      </c>
      <c r="BJ269" s="71">
        <f t="shared" ca="1" si="289"/>
        <v>1330208.1466124975</v>
      </c>
      <c r="BK269" s="71">
        <f t="shared" ca="1" si="289"/>
        <v>1330208.1466124975</v>
      </c>
      <c r="BL269" s="71">
        <f t="shared" ca="1" si="289"/>
        <v>1330208.1466124975</v>
      </c>
      <c r="BM269" s="71">
        <f t="shared" ca="1" si="289"/>
        <v>1330208.1466124975</v>
      </c>
      <c r="BN269" s="71"/>
      <c r="BO269" s="71">
        <f ca="1">NPV(Lookups!$E$17,AM269:BM269)</f>
        <v>27813466.053879857</v>
      </c>
      <c r="BP269" s="71"/>
      <c r="BS269" s="84" t="s">
        <v>229</v>
      </c>
      <c r="BT269" s="51" t="s">
        <v>17</v>
      </c>
    </row>
    <row r="270" spans="1:72" x14ac:dyDescent="0.25">
      <c r="A270" s="1"/>
      <c r="B270" s="243" t="str">
        <f t="shared" si="287"/>
        <v>Large C&amp;I</v>
      </c>
      <c r="C270" s="243" t="str">
        <f t="shared" si="287"/>
        <v>Revenue Requirements</v>
      </c>
      <c r="D270" s="244" t="str">
        <f>D269</f>
        <v>Revenue Requirement after DSM Scenario</v>
      </c>
      <c r="E270" s="84" t="s">
        <v>407</v>
      </c>
      <c r="F270" s="84" t="s">
        <v>32</v>
      </c>
      <c r="G270" s="64">
        <f>G259</f>
        <v>0</v>
      </c>
      <c r="H270" s="64">
        <f t="shared" ref="H270:AG270" si="290">H259</f>
        <v>58569.706709441074</v>
      </c>
      <c r="I270" s="64">
        <f t="shared" si="290"/>
        <v>58569.706709441074</v>
      </c>
      <c r="J270" s="64">
        <f t="shared" si="290"/>
        <v>58569.706709441074</v>
      </c>
      <c r="K270" s="64">
        <f t="shared" si="290"/>
        <v>58569.706709441074</v>
      </c>
      <c r="L270" s="64">
        <f t="shared" si="290"/>
        <v>58569.706709441074</v>
      </c>
      <c r="M270" s="64">
        <f t="shared" si="290"/>
        <v>58569.706709441074</v>
      </c>
      <c r="N270" s="64">
        <f t="shared" si="290"/>
        <v>58569.706709441074</v>
      </c>
      <c r="O270" s="64">
        <f t="shared" si="290"/>
        <v>58569.706709441074</v>
      </c>
      <c r="P270" s="64">
        <f t="shared" si="290"/>
        <v>58569.706709441074</v>
      </c>
      <c r="Q270" s="64">
        <f t="shared" si="290"/>
        <v>58569.706709441074</v>
      </c>
      <c r="R270" s="64">
        <f t="shared" si="290"/>
        <v>58569.706709441074</v>
      </c>
      <c r="S270" s="64">
        <f t="shared" si="290"/>
        <v>58569.706709441074</v>
      </c>
      <c r="T270" s="64">
        <f t="shared" si="290"/>
        <v>58569.706709441074</v>
      </c>
      <c r="U270" s="64">
        <f t="shared" si="290"/>
        <v>58569.706709441074</v>
      </c>
      <c r="V270" s="64">
        <f t="shared" si="290"/>
        <v>58569.706709441074</v>
      </c>
      <c r="W270" s="64">
        <f t="shared" si="290"/>
        <v>58569.706709441074</v>
      </c>
      <c r="X270" s="64">
        <f t="shared" si="290"/>
        <v>58569.706709441074</v>
      </c>
      <c r="Y270" s="64">
        <f t="shared" si="290"/>
        <v>58569.706709441074</v>
      </c>
      <c r="Z270" s="64">
        <f t="shared" si="290"/>
        <v>58569.706709441074</v>
      </c>
      <c r="AA270" s="64">
        <f t="shared" si="290"/>
        <v>58569.706709441074</v>
      </c>
      <c r="AB270" s="64">
        <f t="shared" si="290"/>
        <v>58569.706709441074</v>
      </c>
      <c r="AC270" s="64">
        <f t="shared" si="290"/>
        <v>58569.706709441074</v>
      </c>
      <c r="AD270" s="64">
        <f t="shared" si="290"/>
        <v>58569.706709441074</v>
      </c>
      <c r="AE270" s="64">
        <f t="shared" si="290"/>
        <v>58569.706709441074</v>
      </c>
      <c r="AF270" s="64">
        <f t="shared" si="290"/>
        <v>58569.706709441074</v>
      </c>
      <c r="AG270" s="64">
        <f t="shared" si="290"/>
        <v>58569.706709441074</v>
      </c>
      <c r="AH270" s="64"/>
      <c r="AI270" s="64">
        <f>NPV(Lookups!$E$17,G270:AG270)</f>
        <v>1249132.8193965456</v>
      </c>
      <c r="AJ270" s="64"/>
      <c r="AM270" s="71">
        <f>AM259</f>
        <v>0</v>
      </c>
      <c r="AN270" s="71">
        <f t="shared" ref="AN270:BM270" si="291">AN259</f>
        <v>58569.706709441074</v>
      </c>
      <c r="AO270" s="71">
        <f t="shared" si="291"/>
        <v>58569.706709441074</v>
      </c>
      <c r="AP270" s="71">
        <f t="shared" si="291"/>
        <v>58569.706709441074</v>
      </c>
      <c r="AQ270" s="71">
        <f t="shared" si="291"/>
        <v>58569.706709441074</v>
      </c>
      <c r="AR270" s="71">
        <f t="shared" si="291"/>
        <v>58569.706709441074</v>
      </c>
      <c r="AS270" s="71">
        <f t="shared" si="291"/>
        <v>58569.706709441074</v>
      </c>
      <c r="AT270" s="71">
        <f t="shared" si="291"/>
        <v>58569.706709441074</v>
      </c>
      <c r="AU270" s="71">
        <f t="shared" si="291"/>
        <v>58569.706709441074</v>
      </c>
      <c r="AV270" s="71">
        <f t="shared" si="291"/>
        <v>58569.706709441074</v>
      </c>
      <c r="AW270" s="71">
        <f t="shared" si="291"/>
        <v>58569.706709441074</v>
      </c>
      <c r="AX270" s="71">
        <f t="shared" si="291"/>
        <v>58569.706709441074</v>
      </c>
      <c r="AY270" s="71">
        <f t="shared" si="291"/>
        <v>58569.706709441074</v>
      </c>
      <c r="AZ270" s="71">
        <f t="shared" si="291"/>
        <v>58569.706709441074</v>
      </c>
      <c r="BA270" s="71">
        <f t="shared" si="291"/>
        <v>58569.706709441074</v>
      </c>
      <c r="BB270" s="71">
        <f t="shared" si="291"/>
        <v>58569.706709441074</v>
      </c>
      <c r="BC270" s="71">
        <f t="shared" si="291"/>
        <v>58569.706709441074</v>
      </c>
      <c r="BD270" s="71">
        <f t="shared" si="291"/>
        <v>58569.706709441074</v>
      </c>
      <c r="BE270" s="71">
        <f t="shared" si="291"/>
        <v>58569.706709441074</v>
      </c>
      <c r="BF270" s="71">
        <f t="shared" si="291"/>
        <v>58569.706709441074</v>
      </c>
      <c r="BG270" s="71">
        <f t="shared" si="291"/>
        <v>58569.706709441074</v>
      </c>
      <c r="BH270" s="71">
        <f t="shared" si="291"/>
        <v>58569.706709441074</v>
      </c>
      <c r="BI270" s="71">
        <f t="shared" si="291"/>
        <v>58569.706709441074</v>
      </c>
      <c r="BJ270" s="71">
        <f t="shared" si="291"/>
        <v>58569.706709441074</v>
      </c>
      <c r="BK270" s="71">
        <f t="shared" si="291"/>
        <v>58569.706709441074</v>
      </c>
      <c r="BL270" s="71">
        <f t="shared" si="291"/>
        <v>58569.706709441074</v>
      </c>
      <c r="BM270" s="71">
        <f t="shared" si="291"/>
        <v>58569.706709441074</v>
      </c>
      <c r="BN270" s="71"/>
      <c r="BO270" s="71">
        <f>NPV(Lookups!$E$17,AM270:BM270)</f>
        <v>1249132.8193965456</v>
      </c>
      <c r="BP270" s="71"/>
      <c r="BS270" s="84" t="s">
        <v>230</v>
      </c>
      <c r="BT270" s="51" t="s">
        <v>17</v>
      </c>
    </row>
    <row r="271" spans="1:72" x14ac:dyDescent="0.25">
      <c r="A271" s="1"/>
      <c r="B271" s="243" t="str">
        <f>B269</f>
        <v>Large C&amp;I</v>
      </c>
      <c r="C271" s="243" t="str">
        <f>C269</f>
        <v>Revenue Requirements</v>
      </c>
      <c r="D271" s="244" t="str">
        <f>D269</f>
        <v>Revenue Requirement after DSM Scenario</v>
      </c>
      <c r="E271" s="84" t="s">
        <v>197</v>
      </c>
      <c r="F271" s="84" t="s">
        <v>32</v>
      </c>
      <c r="G271" s="64">
        <f ca="1">G260-G262-G264</f>
        <v>0</v>
      </c>
      <c r="H271" s="64">
        <f t="shared" ref="H271:AG271" ca="1" si="292">H260-H262-H264</f>
        <v>6283375.1843089666</v>
      </c>
      <c r="I271" s="64">
        <f t="shared" ca="1" si="292"/>
        <v>6283375.1843089666</v>
      </c>
      <c r="J271" s="64">
        <f t="shared" ca="1" si="292"/>
        <v>6283375.1843089666</v>
      </c>
      <c r="K271" s="64">
        <f t="shared" ca="1" si="292"/>
        <v>6283375.1843089666</v>
      </c>
      <c r="L271" s="64">
        <f t="shared" ca="1" si="292"/>
        <v>6283375.1843089666</v>
      </c>
      <c r="M271" s="64">
        <f t="shared" ca="1" si="292"/>
        <v>6283375.1843089666</v>
      </c>
      <c r="N271" s="64">
        <f t="shared" ca="1" si="292"/>
        <v>6283375.1843089666</v>
      </c>
      <c r="O271" s="64">
        <f t="shared" ca="1" si="292"/>
        <v>6283375.1843089666</v>
      </c>
      <c r="P271" s="64">
        <f t="shared" ca="1" si="292"/>
        <v>6283375.1843089666</v>
      </c>
      <c r="Q271" s="64">
        <f t="shared" ca="1" si="292"/>
        <v>6283375.1843089666</v>
      </c>
      <c r="R271" s="64">
        <f t="shared" ca="1" si="292"/>
        <v>6283375.1843089666</v>
      </c>
      <c r="S271" s="64">
        <f t="shared" ca="1" si="292"/>
        <v>6283375.1843089666</v>
      </c>
      <c r="T271" s="64">
        <f t="shared" ca="1" si="292"/>
        <v>6283375.1843089666</v>
      </c>
      <c r="U271" s="64">
        <f t="shared" ca="1" si="292"/>
        <v>6972047.7794507705</v>
      </c>
      <c r="V271" s="64">
        <f t="shared" ca="1" si="292"/>
        <v>6972047.7794507705</v>
      </c>
      <c r="W271" s="64">
        <f t="shared" ca="1" si="292"/>
        <v>6972047.7794507705</v>
      </c>
      <c r="X271" s="64">
        <f t="shared" ca="1" si="292"/>
        <v>6972047.7794507705</v>
      </c>
      <c r="Y271" s="64">
        <f t="shared" ca="1" si="292"/>
        <v>6972047.7794507705</v>
      </c>
      <c r="Z271" s="64">
        <f t="shared" ca="1" si="292"/>
        <v>6972047.7794507705</v>
      </c>
      <c r="AA271" s="64">
        <f t="shared" ca="1" si="292"/>
        <v>6972047.7794507705</v>
      </c>
      <c r="AB271" s="64">
        <f t="shared" ca="1" si="292"/>
        <v>6972047.7794507705</v>
      </c>
      <c r="AC271" s="64">
        <f t="shared" ca="1" si="292"/>
        <v>6972047.7794507705</v>
      </c>
      <c r="AD271" s="64">
        <f t="shared" ca="1" si="292"/>
        <v>6972047.7794507705</v>
      </c>
      <c r="AE271" s="64">
        <f t="shared" ca="1" si="292"/>
        <v>6972047.7794507705</v>
      </c>
      <c r="AF271" s="64">
        <f t="shared" ca="1" si="292"/>
        <v>6972047.7794507705</v>
      </c>
      <c r="AG271" s="64">
        <f t="shared" ca="1" si="292"/>
        <v>6972047.7794507705</v>
      </c>
      <c r="AH271" s="64"/>
      <c r="AI271" s="64">
        <f ca="1">NPV(Lookups!$E$17,G271:AG271)</f>
        <v>140682521.75331303</v>
      </c>
      <c r="AJ271" s="64"/>
      <c r="AM271" s="71">
        <f ca="1">AM260-AM262-AM264</f>
        <v>0</v>
      </c>
      <c r="AN271" s="71">
        <f t="shared" ref="AN271:BM271" ca="1" si="293">AN260-AN262-AN264</f>
        <v>6184993.3850029949</v>
      </c>
      <c r="AO271" s="71">
        <f t="shared" ca="1" si="293"/>
        <v>6184993.3850029949</v>
      </c>
      <c r="AP271" s="71">
        <f t="shared" ca="1" si="293"/>
        <v>6184993.3850029949</v>
      </c>
      <c r="AQ271" s="71">
        <f t="shared" ca="1" si="293"/>
        <v>6184993.3850029949</v>
      </c>
      <c r="AR271" s="71">
        <f t="shared" ca="1" si="293"/>
        <v>6184993.3850029949</v>
      </c>
      <c r="AS271" s="71">
        <f t="shared" ca="1" si="293"/>
        <v>6184993.3850029949</v>
      </c>
      <c r="AT271" s="71">
        <f t="shared" ca="1" si="293"/>
        <v>6184993.3850029949</v>
      </c>
      <c r="AU271" s="71">
        <f t="shared" ca="1" si="293"/>
        <v>6184993.3850029949</v>
      </c>
      <c r="AV271" s="71">
        <f t="shared" ca="1" si="293"/>
        <v>6184993.3850029949</v>
      </c>
      <c r="AW271" s="71">
        <f t="shared" ca="1" si="293"/>
        <v>6184993.3850029949</v>
      </c>
      <c r="AX271" s="71">
        <f t="shared" ca="1" si="293"/>
        <v>6184993.3850029949</v>
      </c>
      <c r="AY271" s="71">
        <f t="shared" ca="1" si="293"/>
        <v>6184993.3850029949</v>
      </c>
      <c r="AZ271" s="71">
        <f t="shared" ca="1" si="293"/>
        <v>6184993.3850029949</v>
      </c>
      <c r="BA271" s="71">
        <f t="shared" ca="1" si="293"/>
        <v>6972047.7794507705</v>
      </c>
      <c r="BB271" s="71">
        <f t="shared" ca="1" si="293"/>
        <v>6972047.7794507705</v>
      </c>
      <c r="BC271" s="71">
        <f t="shared" ca="1" si="293"/>
        <v>6972047.7794507705</v>
      </c>
      <c r="BD271" s="71">
        <f t="shared" ca="1" si="293"/>
        <v>6972047.7794507705</v>
      </c>
      <c r="BE271" s="71">
        <f t="shared" ca="1" si="293"/>
        <v>6972047.7794507705</v>
      </c>
      <c r="BF271" s="71">
        <f t="shared" ca="1" si="293"/>
        <v>6972047.7794507705</v>
      </c>
      <c r="BG271" s="71">
        <f t="shared" ca="1" si="293"/>
        <v>6972047.7794507705</v>
      </c>
      <c r="BH271" s="71">
        <f t="shared" ca="1" si="293"/>
        <v>6972047.7794507705</v>
      </c>
      <c r="BI271" s="71">
        <f t="shared" ca="1" si="293"/>
        <v>6972047.7794507705</v>
      </c>
      <c r="BJ271" s="71">
        <f t="shared" ca="1" si="293"/>
        <v>6972047.7794507705</v>
      </c>
      <c r="BK271" s="71">
        <f t="shared" ca="1" si="293"/>
        <v>6972047.7794507705</v>
      </c>
      <c r="BL271" s="71">
        <f t="shared" ca="1" si="293"/>
        <v>6972047.7794507705</v>
      </c>
      <c r="BM271" s="71">
        <f t="shared" ca="1" si="293"/>
        <v>6972047.7794507705</v>
      </c>
      <c r="BN271" s="71"/>
      <c r="BO271" s="71">
        <f ca="1">NPV(Lookups!$E$17,AM271:BM271)</f>
        <v>139537903.56404841</v>
      </c>
      <c r="BP271" s="71"/>
      <c r="BS271" s="84" t="s">
        <v>231</v>
      </c>
      <c r="BT271" s="51" t="s">
        <v>17</v>
      </c>
    </row>
    <row r="272" spans="1:72" x14ac:dyDescent="0.25">
      <c r="B272" s="243" t="str">
        <f t="shared" ref="B272:C276" si="294">B271</f>
        <v>Large C&amp;I</v>
      </c>
      <c r="C272" s="243" t="str">
        <f t="shared" si="294"/>
        <v>Revenue Requirements</v>
      </c>
      <c r="D272" s="244"/>
      <c r="E272" s="84" t="s">
        <v>17</v>
      </c>
      <c r="F272" s="84"/>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S272" s="84"/>
      <c r="BT272" s="51" t="s">
        <v>17</v>
      </c>
    </row>
    <row r="273" spans="1:72" s="5" customFormat="1" ht="15.75" x14ac:dyDescent="0.25">
      <c r="A273" s="52"/>
      <c r="B273" s="241" t="str">
        <f t="shared" si="294"/>
        <v>Large C&amp;I</v>
      </c>
      <c r="C273" s="63" t="s">
        <v>30</v>
      </c>
      <c r="D273" s="61"/>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2"/>
      <c r="BO273" s="62"/>
      <c r="BP273" s="62"/>
      <c r="BS273" s="62"/>
      <c r="BT273" s="51" t="s">
        <v>17</v>
      </c>
    </row>
    <row r="274" spans="1:72" x14ac:dyDescent="0.25">
      <c r="B274" s="243" t="str">
        <f t="shared" si="294"/>
        <v>Large C&amp;I</v>
      </c>
      <c r="C274" s="243" t="str">
        <f t="shared" si="294"/>
        <v>Rates</v>
      </c>
      <c r="D274" s="114" t="str">
        <f>"Rates before DSM ("&amp;Lookups!$D$22&amp;" Scenario)"</f>
        <v>Rates before DSM (No EE Scenario)</v>
      </c>
      <c r="E274" s="84"/>
      <c r="F274" s="84"/>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S274" s="84"/>
      <c r="BT274" s="51" t="s">
        <v>17</v>
      </c>
    </row>
    <row r="275" spans="1:72" x14ac:dyDescent="0.25">
      <c r="B275" s="243" t="str">
        <f t="shared" si="294"/>
        <v>Large C&amp;I</v>
      </c>
      <c r="C275" s="243" t="str">
        <f t="shared" si="294"/>
        <v>Rates</v>
      </c>
      <c r="D275" s="244" t="str">
        <f>D274</f>
        <v>Rates before DSM (No EE Scenario)</v>
      </c>
      <c r="E275" s="84" t="s">
        <v>26</v>
      </c>
      <c r="F275" s="84" t="s">
        <v>182</v>
      </c>
      <c r="G275" s="506">
        <f>IF(G$8=0,0,INDEX('R&amp;B Inputs'!$I$78:$V$78,MATCH($B275,'R&amp;B Inputs'!$I$4:$V$4,0))*(1+INDEX('R&amp;B Inputs'!$I$48:$V$48,MATCH($B275,'R&amp;B Inputs'!$I$4:$V$4,0)))^(G$7-Year1))</f>
        <v>0</v>
      </c>
      <c r="H275" s="506">
        <f>IF(H$8=0,0,INDEX('R&amp;B Inputs'!$I$78:$V$78,MATCH($B275,'R&amp;B Inputs'!$I$4:$V$4,0))*(1+INDEX('R&amp;B Inputs'!$I$48:$V$48,MATCH($B275,'R&amp;B Inputs'!$I$4:$V$4,0)))^(H$7-Year1))</f>
        <v>0.1181</v>
      </c>
      <c r="I275" s="506">
        <f>IF(I$8=0,0,INDEX('R&amp;B Inputs'!$I$78:$V$78,MATCH($B275,'R&amp;B Inputs'!$I$4:$V$4,0))*(1+INDEX('R&amp;B Inputs'!$I$48:$V$48,MATCH($B275,'R&amp;B Inputs'!$I$4:$V$4,0)))^(I$7-Year1))</f>
        <v>0.1181</v>
      </c>
      <c r="J275" s="506">
        <f>IF(J$8=0,0,INDEX('R&amp;B Inputs'!$I$78:$V$78,MATCH($B275,'R&amp;B Inputs'!$I$4:$V$4,0))*(1+INDEX('R&amp;B Inputs'!$I$48:$V$48,MATCH($B275,'R&amp;B Inputs'!$I$4:$V$4,0)))^(J$7-Year1))</f>
        <v>0.1181</v>
      </c>
      <c r="K275" s="506">
        <f>IF(K$8=0,0,INDEX('R&amp;B Inputs'!$I$78:$V$78,MATCH($B275,'R&amp;B Inputs'!$I$4:$V$4,0))*(1+INDEX('R&amp;B Inputs'!$I$48:$V$48,MATCH($B275,'R&amp;B Inputs'!$I$4:$V$4,0)))^(K$7-Year1))</f>
        <v>0.1181</v>
      </c>
      <c r="L275" s="506">
        <f>IF(L$8=0,0,INDEX('R&amp;B Inputs'!$I$78:$V$78,MATCH($B275,'R&amp;B Inputs'!$I$4:$V$4,0))*(1+INDEX('R&amp;B Inputs'!$I$48:$V$48,MATCH($B275,'R&amp;B Inputs'!$I$4:$V$4,0)))^(L$7-Year1))</f>
        <v>0.1181</v>
      </c>
      <c r="M275" s="506">
        <f>IF(M$8=0,0,INDEX('R&amp;B Inputs'!$I$78:$V$78,MATCH($B275,'R&amp;B Inputs'!$I$4:$V$4,0))*(1+INDEX('R&amp;B Inputs'!$I$48:$V$48,MATCH($B275,'R&amp;B Inputs'!$I$4:$V$4,0)))^(M$7-Year1))</f>
        <v>0.1181</v>
      </c>
      <c r="N275" s="506">
        <f>IF(N$8=0,0,INDEX('R&amp;B Inputs'!$I$78:$V$78,MATCH($B275,'R&amp;B Inputs'!$I$4:$V$4,0))*(1+INDEX('R&amp;B Inputs'!$I$48:$V$48,MATCH($B275,'R&amp;B Inputs'!$I$4:$V$4,0)))^(N$7-Year1))</f>
        <v>0.1181</v>
      </c>
      <c r="O275" s="506">
        <f>IF(O$8=0,0,INDEX('R&amp;B Inputs'!$I$78:$V$78,MATCH($B275,'R&amp;B Inputs'!$I$4:$V$4,0))*(1+INDEX('R&amp;B Inputs'!$I$48:$V$48,MATCH($B275,'R&amp;B Inputs'!$I$4:$V$4,0)))^(O$7-Year1))</f>
        <v>0.1181</v>
      </c>
      <c r="P275" s="506">
        <f>IF(P$8=0,0,INDEX('R&amp;B Inputs'!$I$78:$V$78,MATCH($B275,'R&amp;B Inputs'!$I$4:$V$4,0))*(1+INDEX('R&amp;B Inputs'!$I$48:$V$48,MATCH($B275,'R&amp;B Inputs'!$I$4:$V$4,0)))^(P$7-Year1))</f>
        <v>0.1181</v>
      </c>
      <c r="Q275" s="506">
        <f>IF(Q$8=0,0,INDEX('R&amp;B Inputs'!$I$78:$V$78,MATCH($B275,'R&amp;B Inputs'!$I$4:$V$4,0))*(1+INDEX('R&amp;B Inputs'!$I$48:$V$48,MATCH($B275,'R&amp;B Inputs'!$I$4:$V$4,0)))^(Q$7-Year1))</f>
        <v>0.1181</v>
      </c>
      <c r="R275" s="506">
        <f>IF(R$8=0,0,INDEX('R&amp;B Inputs'!$I$78:$V$78,MATCH($B275,'R&amp;B Inputs'!$I$4:$V$4,0))*(1+INDEX('R&amp;B Inputs'!$I$48:$V$48,MATCH($B275,'R&amp;B Inputs'!$I$4:$V$4,0)))^(R$7-Year1))</f>
        <v>0.1181</v>
      </c>
      <c r="S275" s="506">
        <f>IF(S$8=0,0,INDEX('R&amp;B Inputs'!$I$78:$V$78,MATCH($B275,'R&amp;B Inputs'!$I$4:$V$4,0))*(1+INDEX('R&amp;B Inputs'!$I$48:$V$48,MATCH($B275,'R&amp;B Inputs'!$I$4:$V$4,0)))^(S$7-Year1))</f>
        <v>0.1181</v>
      </c>
      <c r="T275" s="506">
        <f>IF(T$8=0,0,INDEX('R&amp;B Inputs'!$I$78:$V$78,MATCH($B275,'R&amp;B Inputs'!$I$4:$V$4,0))*(1+INDEX('R&amp;B Inputs'!$I$48:$V$48,MATCH($B275,'R&amp;B Inputs'!$I$4:$V$4,0)))^(T$7-Year1))</f>
        <v>0.1181</v>
      </c>
      <c r="U275" s="506">
        <f>IF(U$8=0,0,INDEX('R&amp;B Inputs'!$I$78:$V$78,MATCH($B275,'R&amp;B Inputs'!$I$4:$V$4,0))*(1+INDEX('R&amp;B Inputs'!$I$48:$V$48,MATCH($B275,'R&amp;B Inputs'!$I$4:$V$4,0)))^(U$7-Year1))</f>
        <v>0.1181</v>
      </c>
      <c r="V275" s="506">
        <f>IF(V$8=0,0,INDEX('R&amp;B Inputs'!$I$78:$V$78,MATCH($B275,'R&amp;B Inputs'!$I$4:$V$4,0))*(1+INDEX('R&amp;B Inputs'!$I$48:$V$48,MATCH($B275,'R&amp;B Inputs'!$I$4:$V$4,0)))^(V$7-Year1))</f>
        <v>0.1181</v>
      </c>
      <c r="W275" s="506">
        <f>IF(W$8=0,0,INDEX('R&amp;B Inputs'!$I$78:$V$78,MATCH($B275,'R&amp;B Inputs'!$I$4:$V$4,0))*(1+INDEX('R&amp;B Inputs'!$I$48:$V$48,MATCH($B275,'R&amp;B Inputs'!$I$4:$V$4,0)))^(W$7-Year1))</f>
        <v>0.1181</v>
      </c>
      <c r="X275" s="506">
        <f>IF(X$8=0,0,INDEX('R&amp;B Inputs'!$I$78:$V$78,MATCH($B275,'R&amp;B Inputs'!$I$4:$V$4,0))*(1+INDEX('R&amp;B Inputs'!$I$48:$V$48,MATCH($B275,'R&amp;B Inputs'!$I$4:$V$4,0)))^(X$7-Year1))</f>
        <v>0.1181</v>
      </c>
      <c r="Y275" s="506">
        <f>IF(Y$8=0,0,INDEX('R&amp;B Inputs'!$I$78:$V$78,MATCH($B275,'R&amp;B Inputs'!$I$4:$V$4,0))*(1+INDEX('R&amp;B Inputs'!$I$48:$V$48,MATCH($B275,'R&amp;B Inputs'!$I$4:$V$4,0)))^(Y$7-Year1))</f>
        <v>0.1181</v>
      </c>
      <c r="Z275" s="506">
        <f>IF(Z$8=0,0,INDEX('R&amp;B Inputs'!$I$78:$V$78,MATCH($B275,'R&amp;B Inputs'!$I$4:$V$4,0))*(1+INDEX('R&amp;B Inputs'!$I$48:$V$48,MATCH($B275,'R&amp;B Inputs'!$I$4:$V$4,0)))^(Z$7-Year1))</f>
        <v>0.1181</v>
      </c>
      <c r="AA275" s="506">
        <f>IF(AA$8=0,0,INDEX('R&amp;B Inputs'!$I$78:$V$78,MATCH($B275,'R&amp;B Inputs'!$I$4:$V$4,0))*(1+INDEX('R&amp;B Inputs'!$I$48:$V$48,MATCH($B275,'R&amp;B Inputs'!$I$4:$V$4,0)))^(AA$7-Year1))</f>
        <v>0.1181</v>
      </c>
      <c r="AB275" s="506">
        <f>IF(AB$8=0,0,INDEX('R&amp;B Inputs'!$I$78:$V$78,MATCH($B275,'R&amp;B Inputs'!$I$4:$V$4,0))*(1+INDEX('R&amp;B Inputs'!$I$48:$V$48,MATCH($B275,'R&amp;B Inputs'!$I$4:$V$4,0)))^(AB$7-Year1))</f>
        <v>0.1181</v>
      </c>
      <c r="AC275" s="506">
        <f>IF(AC$8=0,0,INDEX('R&amp;B Inputs'!$I$78:$V$78,MATCH($B275,'R&amp;B Inputs'!$I$4:$V$4,0))*(1+INDEX('R&amp;B Inputs'!$I$48:$V$48,MATCH($B275,'R&amp;B Inputs'!$I$4:$V$4,0)))^(AC$7-Year1))</f>
        <v>0.1181</v>
      </c>
      <c r="AD275" s="506">
        <f>IF(AD$8=0,0,INDEX('R&amp;B Inputs'!$I$78:$V$78,MATCH($B275,'R&amp;B Inputs'!$I$4:$V$4,0))*(1+INDEX('R&amp;B Inputs'!$I$48:$V$48,MATCH($B275,'R&amp;B Inputs'!$I$4:$V$4,0)))^(AD$7-Year1))</f>
        <v>0.1181</v>
      </c>
      <c r="AE275" s="506">
        <f>IF(AE$8=0,0,INDEX('R&amp;B Inputs'!$I$78:$V$78,MATCH($B275,'R&amp;B Inputs'!$I$4:$V$4,0))*(1+INDEX('R&amp;B Inputs'!$I$48:$V$48,MATCH($B275,'R&amp;B Inputs'!$I$4:$V$4,0)))^(AE$7-Year1))</f>
        <v>0.1181</v>
      </c>
      <c r="AF275" s="506">
        <f>IF(AF$8=0,0,INDEX('R&amp;B Inputs'!$I$78:$V$78,MATCH($B275,'R&amp;B Inputs'!$I$4:$V$4,0))*(1+INDEX('R&amp;B Inputs'!$I$48:$V$48,MATCH($B275,'R&amp;B Inputs'!$I$4:$V$4,0)))^(AF$7-Year1))</f>
        <v>0.1181</v>
      </c>
      <c r="AG275" s="506">
        <f>IF(AG$8=0,0,INDEX('R&amp;B Inputs'!$I$78:$V$78,MATCH($B275,'R&amp;B Inputs'!$I$4:$V$4,0))*(1+INDEX('R&amp;B Inputs'!$I$48:$V$48,MATCH($B275,'R&amp;B Inputs'!$I$4:$V$4,0)))^(AG$7-Year1))</f>
        <v>0.1181</v>
      </c>
      <c r="AH275" s="506"/>
      <c r="AI275" s="506"/>
      <c r="AJ275" s="506">
        <f>IF($C$4=Year1,-PMT(Lookups!$E$17,25,NPV(Lookups!$E$17,G275:AE275),0,1),IF($C$4=Year2,-PMT(Lookups!$F$17,25,NPV(Lookups!$F$17,H275:AF275),0,1),IF($C$4=Year3,-PMT(Lookups!$G$17,25,NPV(Lookups!$G$17,I275:AG275),0,1),-PMT(Lookups!$G$17,27,NPV(Lookups!$G$17,G275:AG275),0,1))))</f>
        <v>0.11645289104116224</v>
      </c>
      <c r="AK275" s="507"/>
      <c r="AL275" s="507"/>
      <c r="AM275" s="508">
        <f>IF(AM$8=0,0,INDEX('R&amp;B Inputs'!$I$78:$V$78,MATCH($B275,'R&amp;B Inputs'!$I$4:$V$4,0))*(1+INDEX('R&amp;B Inputs'!$I$48:$V$48,MATCH($B275,'R&amp;B Inputs'!$I$4:$V$4,0)))^(AM$7-Year1))</f>
        <v>0</v>
      </c>
      <c r="AN275" s="508">
        <f>IF(AN$8=0,0,INDEX('R&amp;B Inputs'!$I$78:$V$78,MATCH($B275,'R&amp;B Inputs'!$I$4:$V$4,0))*(1+INDEX('R&amp;B Inputs'!$I$48:$V$48,MATCH($B275,'R&amp;B Inputs'!$I$4:$V$4,0)))^(AN$7-Year1))</f>
        <v>0.1181</v>
      </c>
      <c r="AO275" s="508">
        <f>IF(AO$8=0,0,INDEX('R&amp;B Inputs'!$I$78:$V$78,MATCH($B275,'R&amp;B Inputs'!$I$4:$V$4,0))*(1+INDEX('R&amp;B Inputs'!$I$48:$V$48,MATCH($B275,'R&amp;B Inputs'!$I$4:$V$4,0)))^(AO$7-Year1))</f>
        <v>0.1181</v>
      </c>
      <c r="AP275" s="508">
        <f>IF(AP$8=0,0,INDEX('R&amp;B Inputs'!$I$78:$V$78,MATCH($B275,'R&amp;B Inputs'!$I$4:$V$4,0))*(1+INDEX('R&amp;B Inputs'!$I$48:$V$48,MATCH($B275,'R&amp;B Inputs'!$I$4:$V$4,0)))^(AP$7-Year1))</f>
        <v>0.1181</v>
      </c>
      <c r="AQ275" s="508">
        <f>IF(AQ$8=0,0,INDEX('R&amp;B Inputs'!$I$78:$V$78,MATCH($B275,'R&amp;B Inputs'!$I$4:$V$4,0))*(1+INDEX('R&amp;B Inputs'!$I$48:$V$48,MATCH($B275,'R&amp;B Inputs'!$I$4:$V$4,0)))^(AQ$7-Year1))</f>
        <v>0.1181</v>
      </c>
      <c r="AR275" s="508">
        <f>IF(AR$8=0,0,INDEX('R&amp;B Inputs'!$I$78:$V$78,MATCH($B275,'R&amp;B Inputs'!$I$4:$V$4,0))*(1+INDEX('R&amp;B Inputs'!$I$48:$V$48,MATCH($B275,'R&amp;B Inputs'!$I$4:$V$4,0)))^(AR$7-Year1))</f>
        <v>0.1181</v>
      </c>
      <c r="AS275" s="508">
        <f>IF(AS$8=0,0,INDEX('R&amp;B Inputs'!$I$78:$V$78,MATCH($B275,'R&amp;B Inputs'!$I$4:$V$4,0))*(1+INDEX('R&amp;B Inputs'!$I$48:$V$48,MATCH($B275,'R&amp;B Inputs'!$I$4:$V$4,0)))^(AS$7-Year1))</f>
        <v>0.1181</v>
      </c>
      <c r="AT275" s="508">
        <f>IF(AT$8=0,0,INDEX('R&amp;B Inputs'!$I$78:$V$78,MATCH($B275,'R&amp;B Inputs'!$I$4:$V$4,0))*(1+INDEX('R&amp;B Inputs'!$I$48:$V$48,MATCH($B275,'R&amp;B Inputs'!$I$4:$V$4,0)))^(AT$7-Year1))</f>
        <v>0.1181</v>
      </c>
      <c r="AU275" s="508">
        <f>IF(AU$8=0,0,INDEX('R&amp;B Inputs'!$I$78:$V$78,MATCH($B275,'R&amp;B Inputs'!$I$4:$V$4,0))*(1+INDEX('R&amp;B Inputs'!$I$48:$V$48,MATCH($B275,'R&amp;B Inputs'!$I$4:$V$4,0)))^(AU$7-Year1))</f>
        <v>0.1181</v>
      </c>
      <c r="AV275" s="508">
        <f>IF(AV$8=0,0,INDEX('R&amp;B Inputs'!$I$78:$V$78,MATCH($B275,'R&amp;B Inputs'!$I$4:$V$4,0))*(1+INDEX('R&amp;B Inputs'!$I$48:$V$48,MATCH($B275,'R&amp;B Inputs'!$I$4:$V$4,0)))^(AV$7-Year1))</f>
        <v>0.1181</v>
      </c>
      <c r="AW275" s="508">
        <f>IF(AW$8=0,0,INDEX('R&amp;B Inputs'!$I$78:$V$78,MATCH($B275,'R&amp;B Inputs'!$I$4:$V$4,0))*(1+INDEX('R&amp;B Inputs'!$I$48:$V$48,MATCH($B275,'R&amp;B Inputs'!$I$4:$V$4,0)))^(AW$7-Year1))</f>
        <v>0.1181</v>
      </c>
      <c r="AX275" s="508">
        <f>IF(AX$8=0,0,INDEX('R&amp;B Inputs'!$I$78:$V$78,MATCH($B275,'R&amp;B Inputs'!$I$4:$V$4,0))*(1+INDEX('R&amp;B Inputs'!$I$48:$V$48,MATCH($B275,'R&amp;B Inputs'!$I$4:$V$4,0)))^(AX$7-Year1))</f>
        <v>0.1181</v>
      </c>
      <c r="AY275" s="508">
        <f>IF(AY$8=0,0,INDEX('R&amp;B Inputs'!$I$78:$V$78,MATCH($B275,'R&amp;B Inputs'!$I$4:$V$4,0))*(1+INDEX('R&amp;B Inputs'!$I$48:$V$48,MATCH($B275,'R&amp;B Inputs'!$I$4:$V$4,0)))^(AY$7-Year1))</f>
        <v>0.1181</v>
      </c>
      <c r="AZ275" s="508">
        <f>IF(AZ$8=0,0,INDEX('R&amp;B Inputs'!$I$78:$V$78,MATCH($B275,'R&amp;B Inputs'!$I$4:$V$4,0))*(1+INDEX('R&amp;B Inputs'!$I$48:$V$48,MATCH($B275,'R&amp;B Inputs'!$I$4:$V$4,0)))^(AZ$7-Year1))</f>
        <v>0.1181</v>
      </c>
      <c r="BA275" s="508">
        <f>IF(BA$8=0,0,INDEX('R&amp;B Inputs'!$I$78:$V$78,MATCH($B275,'R&amp;B Inputs'!$I$4:$V$4,0))*(1+INDEX('R&amp;B Inputs'!$I$48:$V$48,MATCH($B275,'R&amp;B Inputs'!$I$4:$V$4,0)))^(BA$7-Year1))</f>
        <v>0.1181</v>
      </c>
      <c r="BB275" s="508">
        <f>IF(BB$8=0,0,INDEX('R&amp;B Inputs'!$I$78:$V$78,MATCH($B275,'R&amp;B Inputs'!$I$4:$V$4,0))*(1+INDEX('R&amp;B Inputs'!$I$48:$V$48,MATCH($B275,'R&amp;B Inputs'!$I$4:$V$4,0)))^(BB$7-Year1))</f>
        <v>0.1181</v>
      </c>
      <c r="BC275" s="508">
        <f>IF(BC$8=0,0,INDEX('R&amp;B Inputs'!$I$78:$V$78,MATCH($B275,'R&amp;B Inputs'!$I$4:$V$4,0))*(1+INDEX('R&amp;B Inputs'!$I$48:$V$48,MATCH($B275,'R&amp;B Inputs'!$I$4:$V$4,0)))^(BC$7-Year1))</f>
        <v>0.1181</v>
      </c>
      <c r="BD275" s="508">
        <f>IF(BD$8=0,0,INDEX('R&amp;B Inputs'!$I$78:$V$78,MATCH($B275,'R&amp;B Inputs'!$I$4:$V$4,0))*(1+INDEX('R&amp;B Inputs'!$I$48:$V$48,MATCH($B275,'R&amp;B Inputs'!$I$4:$V$4,0)))^(BD$7-Year1))</f>
        <v>0.1181</v>
      </c>
      <c r="BE275" s="508">
        <f>IF(BE$8=0,0,INDEX('R&amp;B Inputs'!$I$78:$V$78,MATCH($B275,'R&amp;B Inputs'!$I$4:$V$4,0))*(1+INDEX('R&amp;B Inputs'!$I$48:$V$48,MATCH($B275,'R&amp;B Inputs'!$I$4:$V$4,0)))^(BE$7-Year1))</f>
        <v>0.1181</v>
      </c>
      <c r="BF275" s="508">
        <f>IF(BF$8=0,0,INDEX('R&amp;B Inputs'!$I$78:$V$78,MATCH($B275,'R&amp;B Inputs'!$I$4:$V$4,0))*(1+INDEX('R&amp;B Inputs'!$I$48:$V$48,MATCH($B275,'R&amp;B Inputs'!$I$4:$V$4,0)))^(BF$7-Year1))</f>
        <v>0.1181</v>
      </c>
      <c r="BG275" s="508">
        <f>IF(BG$8=0,0,INDEX('R&amp;B Inputs'!$I$78:$V$78,MATCH($B275,'R&amp;B Inputs'!$I$4:$V$4,0))*(1+INDEX('R&amp;B Inputs'!$I$48:$V$48,MATCH($B275,'R&amp;B Inputs'!$I$4:$V$4,0)))^(BG$7-Year1))</f>
        <v>0.1181</v>
      </c>
      <c r="BH275" s="508">
        <f>IF(BH$8=0,0,INDEX('R&amp;B Inputs'!$I$78:$V$78,MATCH($B275,'R&amp;B Inputs'!$I$4:$V$4,0))*(1+INDEX('R&amp;B Inputs'!$I$48:$V$48,MATCH($B275,'R&amp;B Inputs'!$I$4:$V$4,0)))^(BH$7-Year1))</f>
        <v>0.1181</v>
      </c>
      <c r="BI275" s="508">
        <f>IF(BI$8=0,0,INDEX('R&amp;B Inputs'!$I$78:$V$78,MATCH($B275,'R&amp;B Inputs'!$I$4:$V$4,0))*(1+INDEX('R&amp;B Inputs'!$I$48:$V$48,MATCH($B275,'R&amp;B Inputs'!$I$4:$V$4,0)))^(BI$7-Year1))</f>
        <v>0.1181</v>
      </c>
      <c r="BJ275" s="508">
        <f>IF(BJ$8=0,0,INDEX('R&amp;B Inputs'!$I$78:$V$78,MATCH($B275,'R&amp;B Inputs'!$I$4:$V$4,0))*(1+INDEX('R&amp;B Inputs'!$I$48:$V$48,MATCH($B275,'R&amp;B Inputs'!$I$4:$V$4,0)))^(BJ$7-Year1))</f>
        <v>0.1181</v>
      </c>
      <c r="BK275" s="508">
        <f>IF(BK$8=0,0,INDEX('R&amp;B Inputs'!$I$78:$V$78,MATCH($B275,'R&amp;B Inputs'!$I$4:$V$4,0))*(1+INDEX('R&amp;B Inputs'!$I$48:$V$48,MATCH($B275,'R&amp;B Inputs'!$I$4:$V$4,0)))^(BK$7-Year1))</f>
        <v>0.1181</v>
      </c>
      <c r="BL275" s="508">
        <f>IF(BL$8=0,0,INDEX('R&amp;B Inputs'!$I$78:$V$78,MATCH($B275,'R&amp;B Inputs'!$I$4:$V$4,0))*(1+INDEX('R&amp;B Inputs'!$I$48:$V$48,MATCH($B275,'R&amp;B Inputs'!$I$4:$V$4,0)))^(BL$7-Year1))</f>
        <v>0.1181</v>
      </c>
      <c r="BM275" s="508">
        <f>IF(BM$8=0,0,INDEX('R&amp;B Inputs'!$I$78:$V$78,MATCH($B275,'R&amp;B Inputs'!$I$4:$V$4,0))*(1+INDEX('R&amp;B Inputs'!$I$48:$V$48,MATCH($B275,'R&amp;B Inputs'!$I$4:$V$4,0)))^(BM$7-Year1))</f>
        <v>0.1181</v>
      </c>
      <c r="BN275" s="508"/>
      <c r="BO275" s="508"/>
      <c r="BP275" s="508">
        <f>IF($C$4=Year1,-PMT(Lookups!$E$17,25,NPV(Lookups!$E$17,AM275:BK275),0,1),IF($C$4=Year2,-PMT(Lookups!$F$17,25,NPV(Lookups!$F$17,AN275:BL275),0,1),IF($C$4=Year3,-PMT(Lookups!$G$17,25,NPV(Lookups!$G$17,AO275:BM275),0,1),-PMT(Lookups!$G$17,27,NPV(Lookups!$G$17,AM275:BM275),0,1))))</f>
        <v>0.11645289104116224</v>
      </c>
      <c r="BS275" s="76" t="str">
        <f t="shared" ref="BS275:BS277" si="295">E275&amp;" charge from the R&amp;B Inputs tab, escalated annually by the growth rate included on the R&amp;B Inputs tab."</f>
        <v>Distribution charge from the R&amp;B Inputs tab, escalated annually by the growth rate included on the R&amp;B Inputs tab.</v>
      </c>
      <c r="BT275" s="51" t="s">
        <v>17</v>
      </c>
    </row>
    <row r="276" spans="1:72" x14ac:dyDescent="0.25">
      <c r="B276" s="243" t="str">
        <f t="shared" si="294"/>
        <v>Large C&amp;I</v>
      </c>
      <c r="C276" s="243" t="str">
        <f t="shared" si="294"/>
        <v>Rates</v>
      </c>
      <c r="D276" s="244" t="str">
        <f>D275</f>
        <v>Rates before DSM (No EE Scenario)</v>
      </c>
      <c r="E276" s="84" t="s">
        <v>407</v>
      </c>
      <c r="F276" s="84" t="s">
        <v>182</v>
      </c>
      <c r="G276" s="506">
        <f>IF(G$8=0,0,INDEX('R&amp;B Inputs'!$I$82:$V$82,MATCH($B276,'R&amp;B Inputs'!$I$4:$V$4,0))*(1+INDEX('R&amp;B Inputs'!$I$62:$V$62,MATCH($B276,'R&amp;B Inputs'!$I$4:$V$4,0)))^(G$7-Year1))</f>
        <v>0</v>
      </c>
      <c r="H276" s="506">
        <f>IF(H$8=0,0,INDEX('R&amp;B Inputs'!$I$82:$V$82,MATCH($B276,'R&amp;B Inputs'!$I$4:$V$4,0))*(1+INDEX('R&amp;B Inputs'!$I$62:$V$62,MATCH($B276,'R&amp;B Inputs'!$I$4:$V$4,0)))^(H$7-Year1))</f>
        <v>5.2000000000000032E-3</v>
      </c>
      <c r="I276" s="506">
        <f>IF(I$8=0,0,INDEX('R&amp;B Inputs'!$I$82:$V$82,MATCH($B276,'R&amp;B Inputs'!$I$4:$V$4,0))*(1+INDEX('R&amp;B Inputs'!$I$62:$V$62,MATCH($B276,'R&amp;B Inputs'!$I$4:$V$4,0)))^(I$7-Year1))</f>
        <v>5.2000000000000032E-3</v>
      </c>
      <c r="J276" s="506">
        <f>IF(J$8=0,0,INDEX('R&amp;B Inputs'!$I$82:$V$82,MATCH($B276,'R&amp;B Inputs'!$I$4:$V$4,0))*(1+INDEX('R&amp;B Inputs'!$I$62:$V$62,MATCH($B276,'R&amp;B Inputs'!$I$4:$V$4,0)))^(J$7-Year1))</f>
        <v>5.2000000000000032E-3</v>
      </c>
      <c r="K276" s="506">
        <f>IF(K$8=0,0,INDEX('R&amp;B Inputs'!$I$82:$V$82,MATCH($B276,'R&amp;B Inputs'!$I$4:$V$4,0))*(1+INDEX('R&amp;B Inputs'!$I$62:$V$62,MATCH($B276,'R&amp;B Inputs'!$I$4:$V$4,0)))^(K$7-Year1))</f>
        <v>5.2000000000000032E-3</v>
      </c>
      <c r="L276" s="506">
        <f>IF(L$8=0,0,INDEX('R&amp;B Inputs'!$I$82:$V$82,MATCH($B276,'R&amp;B Inputs'!$I$4:$V$4,0))*(1+INDEX('R&amp;B Inputs'!$I$62:$V$62,MATCH($B276,'R&amp;B Inputs'!$I$4:$V$4,0)))^(L$7-Year1))</f>
        <v>5.2000000000000032E-3</v>
      </c>
      <c r="M276" s="506">
        <f>IF(M$8=0,0,INDEX('R&amp;B Inputs'!$I$82:$V$82,MATCH($B276,'R&amp;B Inputs'!$I$4:$V$4,0))*(1+INDEX('R&amp;B Inputs'!$I$62:$V$62,MATCH($B276,'R&amp;B Inputs'!$I$4:$V$4,0)))^(M$7-Year1))</f>
        <v>5.2000000000000032E-3</v>
      </c>
      <c r="N276" s="506">
        <f>IF(N$8=0,0,INDEX('R&amp;B Inputs'!$I$82:$V$82,MATCH($B276,'R&amp;B Inputs'!$I$4:$V$4,0))*(1+INDEX('R&amp;B Inputs'!$I$62:$V$62,MATCH($B276,'R&amp;B Inputs'!$I$4:$V$4,0)))^(N$7-Year1))</f>
        <v>5.2000000000000032E-3</v>
      </c>
      <c r="O276" s="506">
        <f>IF(O$8=0,0,INDEX('R&amp;B Inputs'!$I$82:$V$82,MATCH($B276,'R&amp;B Inputs'!$I$4:$V$4,0))*(1+INDEX('R&amp;B Inputs'!$I$62:$V$62,MATCH($B276,'R&amp;B Inputs'!$I$4:$V$4,0)))^(O$7-Year1))</f>
        <v>5.2000000000000032E-3</v>
      </c>
      <c r="P276" s="506">
        <f>IF(P$8=0,0,INDEX('R&amp;B Inputs'!$I$82:$V$82,MATCH($B276,'R&amp;B Inputs'!$I$4:$V$4,0))*(1+INDEX('R&amp;B Inputs'!$I$62:$V$62,MATCH($B276,'R&amp;B Inputs'!$I$4:$V$4,0)))^(P$7-Year1))</f>
        <v>5.2000000000000032E-3</v>
      </c>
      <c r="Q276" s="506">
        <f>IF(Q$8=0,0,INDEX('R&amp;B Inputs'!$I$82:$V$82,MATCH($B276,'R&amp;B Inputs'!$I$4:$V$4,0))*(1+INDEX('R&amp;B Inputs'!$I$62:$V$62,MATCH($B276,'R&amp;B Inputs'!$I$4:$V$4,0)))^(Q$7-Year1))</f>
        <v>5.2000000000000032E-3</v>
      </c>
      <c r="R276" s="506">
        <f>IF(R$8=0,0,INDEX('R&amp;B Inputs'!$I$82:$V$82,MATCH($B276,'R&amp;B Inputs'!$I$4:$V$4,0))*(1+INDEX('R&amp;B Inputs'!$I$62:$V$62,MATCH($B276,'R&amp;B Inputs'!$I$4:$V$4,0)))^(R$7-Year1))</f>
        <v>5.2000000000000032E-3</v>
      </c>
      <c r="S276" s="506">
        <f>IF(S$8=0,0,INDEX('R&amp;B Inputs'!$I$82:$V$82,MATCH($B276,'R&amp;B Inputs'!$I$4:$V$4,0))*(1+INDEX('R&amp;B Inputs'!$I$62:$V$62,MATCH($B276,'R&amp;B Inputs'!$I$4:$V$4,0)))^(S$7-Year1))</f>
        <v>5.2000000000000032E-3</v>
      </c>
      <c r="T276" s="506">
        <f>IF(T$8=0,0,INDEX('R&amp;B Inputs'!$I$82:$V$82,MATCH($B276,'R&amp;B Inputs'!$I$4:$V$4,0))*(1+INDEX('R&amp;B Inputs'!$I$62:$V$62,MATCH($B276,'R&amp;B Inputs'!$I$4:$V$4,0)))^(T$7-Year1))</f>
        <v>5.2000000000000032E-3</v>
      </c>
      <c r="U276" s="506">
        <f>IF(U$8=0,0,INDEX('R&amp;B Inputs'!$I$82:$V$82,MATCH($B276,'R&amp;B Inputs'!$I$4:$V$4,0))*(1+INDEX('R&amp;B Inputs'!$I$62:$V$62,MATCH($B276,'R&amp;B Inputs'!$I$4:$V$4,0)))^(U$7-Year1))</f>
        <v>5.2000000000000032E-3</v>
      </c>
      <c r="V276" s="506">
        <f>IF(V$8=0,0,INDEX('R&amp;B Inputs'!$I$82:$V$82,MATCH($B276,'R&amp;B Inputs'!$I$4:$V$4,0))*(1+INDEX('R&amp;B Inputs'!$I$62:$V$62,MATCH($B276,'R&amp;B Inputs'!$I$4:$V$4,0)))^(V$7-Year1))</f>
        <v>5.2000000000000032E-3</v>
      </c>
      <c r="W276" s="506">
        <f>IF(W$8=0,0,INDEX('R&amp;B Inputs'!$I$82:$V$82,MATCH($B276,'R&amp;B Inputs'!$I$4:$V$4,0))*(1+INDEX('R&amp;B Inputs'!$I$62:$V$62,MATCH($B276,'R&amp;B Inputs'!$I$4:$V$4,0)))^(W$7-Year1))</f>
        <v>5.2000000000000032E-3</v>
      </c>
      <c r="X276" s="506">
        <f>IF(X$8=0,0,INDEX('R&amp;B Inputs'!$I$82:$V$82,MATCH($B276,'R&amp;B Inputs'!$I$4:$V$4,0))*(1+INDEX('R&amp;B Inputs'!$I$62:$V$62,MATCH($B276,'R&amp;B Inputs'!$I$4:$V$4,0)))^(X$7-Year1))</f>
        <v>5.2000000000000032E-3</v>
      </c>
      <c r="Y276" s="506">
        <f>IF(Y$8=0,0,INDEX('R&amp;B Inputs'!$I$82:$V$82,MATCH($B276,'R&amp;B Inputs'!$I$4:$V$4,0))*(1+INDEX('R&amp;B Inputs'!$I$62:$V$62,MATCH($B276,'R&amp;B Inputs'!$I$4:$V$4,0)))^(Y$7-Year1))</f>
        <v>5.2000000000000032E-3</v>
      </c>
      <c r="Z276" s="506">
        <f>IF(Z$8=0,0,INDEX('R&amp;B Inputs'!$I$82:$V$82,MATCH($B276,'R&amp;B Inputs'!$I$4:$V$4,0))*(1+INDEX('R&amp;B Inputs'!$I$62:$V$62,MATCH($B276,'R&amp;B Inputs'!$I$4:$V$4,0)))^(Z$7-Year1))</f>
        <v>5.2000000000000032E-3</v>
      </c>
      <c r="AA276" s="506">
        <f>IF(AA$8=0,0,INDEX('R&amp;B Inputs'!$I$82:$V$82,MATCH($B276,'R&amp;B Inputs'!$I$4:$V$4,0))*(1+INDEX('R&amp;B Inputs'!$I$62:$V$62,MATCH($B276,'R&amp;B Inputs'!$I$4:$V$4,0)))^(AA$7-Year1))</f>
        <v>5.2000000000000032E-3</v>
      </c>
      <c r="AB276" s="506">
        <f>IF(AB$8=0,0,INDEX('R&amp;B Inputs'!$I$82:$V$82,MATCH($B276,'R&amp;B Inputs'!$I$4:$V$4,0))*(1+INDEX('R&amp;B Inputs'!$I$62:$V$62,MATCH($B276,'R&amp;B Inputs'!$I$4:$V$4,0)))^(AB$7-Year1))</f>
        <v>5.2000000000000032E-3</v>
      </c>
      <c r="AC276" s="506">
        <f>IF(AC$8=0,0,INDEX('R&amp;B Inputs'!$I$82:$V$82,MATCH($B276,'R&amp;B Inputs'!$I$4:$V$4,0))*(1+INDEX('R&amp;B Inputs'!$I$62:$V$62,MATCH($B276,'R&amp;B Inputs'!$I$4:$V$4,0)))^(AC$7-Year1))</f>
        <v>5.2000000000000032E-3</v>
      </c>
      <c r="AD276" s="506">
        <f>IF(AD$8=0,0,INDEX('R&amp;B Inputs'!$I$82:$V$82,MATCH($B276,'R&amp;B Inputs'!$I$4:$V$4,0))*(1+INDEX('R&amp;B Inputs'!$I$62:$V$62,MATCH($B276,'R&amp;B Inputs'!$I$4:$V$4,0)))^(AD$7-Year1))</f>
        <v>5.2000000000000032E-3</v>
      </c>
      <c r="AE276" s="506">
        <f>IF(AE$8=0,0,INDEX('R&amp;B Inputs'!$I$82:$V$82,MATCH($B276,'R&amp;B Inputs'!$I$4:$V$4,0))*(1+INDEX('R&amp;B Inputs'!$I$62:$V$62,MATCH($B276,'R&amp;B Inputs'!$I$4:$V$4,0)))^(AE$7-Year1))</f>
        <v>5.2000000000000032E-3</v>
      </c>
      <c r="AF276" s="506">
        <f>IF(AF$8=0,0,INDEX('R&amp;B Inputs'!$I$82:$V$82,MATCH($B276,'R&amp;B Inputs'!$I$4:$V$4,0))*(1+INDEX('R&amp;B Inputs'!$I$62:$V$62,MATCH($B276,'R&amp;B Inputs'!$I$4:$V$4,0)))^(AF$7-Year1))</f>
        <v>5.2000000000000032E-3</v>
      </c>
      <c r="AG276" s="506">
        <f>IF(AG$8=0,0,INDEX('R&amp;B Inputs'!$I$82:$V$82,MATCH($B276,'R&amp;B Inputs'!$I$4:$V$4,0))*(1+INDEX('R&amp;B Inputs'!$I$62:$V$62,MATCH($B276,'R&amp;B Inputs'!$I$4:$V$4,0)))^(AG$7-Year1))</f>
        <v>5.2000000000000032E-3</v>
      </c>
      <c r="AH276" s="506"/>
      <c r="AI276" s="506"/>
      <c r="AJ276" s="506">
        <f>IF($C$4=Year1,-PMT(Lookups!$E$17,25,NPV(Lookups!$E$17,G276:AE276),0,1),IF($C$4=Year2,-PMT(Lookups!$F$17,25,NPV(Lookups!$F$17,H276:AF276),0,1),IF($C$4=Year3,-PMT(Lookups!$G$17,25,NPV(Lookups!$G$17,I276:AG276),0,1),-PMT(Lookups!$G$17,27,NPV(Lookups!$G$17,G276:AG276),0,1))))</f>
        <v>5.1274769975786939E-3</v>
      </c>
      <c r="AK276" s="507"/>
      <c r="AL276" s="507"/>
      <c r="AM276" s="508">
        <f>IF(AM$8=0,0,INDEX('R&amp;B Inputs'!$I$82:$V$82,MATCH($B276,'R&amp;B Inputs'!$I$4:$V$4,0))*(1+INDEX('R&amp;B Inputs'!$I$62:$V$62,MATCH($B276,'R&amp;B Inputs'!$I$4:$V$4,0)))^(AM$7-Year1))</f>
        <v>0</v>
      </c>
      <c r="AN276" s="508">
        <f>IF(AN$8=0,0,INDEX('R&amp;B Inputs'!$I$82:$V$82,MATCH($B276,'R&amp;B Inputs'!$I$4:$V$4,0))*(1+INDEX('R&amp;B Inputs'!$I$62:$V$62,MATCH($B276,'R&amp;B Inputs'!$I$4:$V$4,0)))^(AN$7-Year1))</f>
        <v>5.2000000000000032E-3</v>
      </c>
      <c r="AO276" s="508">
        <f>IF(AO$8=0,0,INDEX('R&amp;B Inputs'!$I$82:$V$82,MATCH($B276,'R&amp;B Inputs'!$I$4:$V$4,0))*(1+INDEX('R&amp;B Inputs'!$I$62:$V$62,MATCH($B276,'R&amp;B Inputs'!$I$4:$V$4,0)))^(AO$7-Year1))</f>
        <v>5.2000000000000032E-3</v>
      </c>
      <c r="AP276" s="508">
        <f>IF(AP$8=0,0,INDEX('R&amp;B Inputs'!$I$82:$V$82,MATCH($B276,'R&amp;B Inputs'!$I$4:$V$4,0))*(1+INDEX('R&amp;B Inputs'!$I$62:$V$62,MATCH($B276,'R&amp;B Inputs'!$I$4:$V$4,0)))^(AP$7-Year1))</f>
        <v>5.2000000000000032E-3</v>
      </c>
      <c r="AQ276" s="508">
        <f>IF(AQ$8=0,0,INDEX('R&amp;B Inputs'!$I$82:$V$82,MATCH($B276,'R&amp;B Inputs'!$I$4:$V$4,0))*(1+INDEX('R&amp;B Inputs'!$I$62:$V$62,MATCH($B276,'R&amp;B Inputs'!$I$4:$V$4,0)))^(AQ$7-Year1))</f>
        <v>5.2000000000000032E-3</v>
      </c>
      <c r="AR276" s="508">
        <f>IF(AR$8=0,0,INDEX('R&amp;B Inputs'!$I$82:$V$82,MATCH($B276,'R&amp;B Inputs'!$I$4:$V$4,0))*(1+INDEX('R&amp;B Inputs'!$I$62:$V$62,MATCH($B276,'R&amp;B Inputs'!$I$4:$V$4,0)))^(AR$7-Year1))</f>
        <v>5.2000000000000032E-3</v>
      </c>
      <c r="AS276" s="508">
        <f>IF(AS$8=0,0,INDEX('R&amp;B Inputs'!$I$82:$V$82,MATCH($B276,'R&amp;B Inputs'!$I$4:$V$4,0))*(1+INDEX('R&amp;B Inputs'!$I$62:$V$62,MATCH($B276,'R&amp;B Inputs'!$I$4:$V$4,0)))^(AS$7-Year1))</f>
        <v>5.2000000000000032E-3</v>
      </c>
      <c r="AT276" s="508">
        <f>IF(AT$8=0,0,INDEX('R&amp;B Inputs'!$I$82:$V$82,MATCH($B276,'R&amp;B Inputs'!$I$4:$V$4,0))*(1+INDEX('R&amp;B Inputs'!$I$62:$V$62,MATCH($B276,'R&amp;B Inputs'!$I$4:$V$4,0)))^(AT$7-Year1))</f>
        <v>5.2000000000000032E-3</v>
      </c>
      <c r="AU276" s="508">
        <f>IF(AU$8=0,0,INDEX('R&amp;B Inputs'!$I$82:$V$82,MATCH($B276,'R&amp;B Inputs'!$I$4:$V$4,0))*(1+INDEX('R&amp;B Inputs'!$I$62:$V$62,MATCH($B276,'R&amp;B Inputs'!$I$4:$V$4,0)))^(AU$7-Year1))</f>
        <v>5.2000000000000032E-3</v>
      </c>
      <c r="AV276" s="508">
        <f>IF(AV$8=0,0,INDEX('R&amp;B Inputs'!$I$82:$V$82,MATCH($B276,'R&amp;B Inputs'!$I$4:$V$4,0))*(1+INDEX('R&amp;B Inputs'!$I$62:$V$62,MATCH($B276,'R&amp;B Inputs'!$I$4:$V$4,0)))^(AV$7-Year1))</f>
        <v>5.2000000000000032E-3</v>
      </c>
      <c r="AW276" s="508">
        <f>IF(AW$8=0,0,INDEX('R&amp;B Inputs'!$I$82:$V$82,MATCH($B276,'R&amp;B Inputs'!$I$4:$V$4,0))*(1+INDEX('R&amp;B Inputs'!$I$62:$V$62,MATCH($B276,'R&amp;B Inputs'!$I$4:$V$4,0)))^(AW$7-Year1))</f>
        <v>5.2000000000000032E-3</v>
      </c>
      <c r="AX276" s="508">
        <f>IF(AX$8=0,0,INDEX('R&amp;B Inputs'!$I$82:$V$82,MATCH($B276,'R&amp;B Inputs'!$I$4:$V$4,0))*(1+INDEX('R&amp;B Inputs'!$I$62:$V$62,MATCH($B276,'R&amp;B Inputs'!$I$4:$V$4,0)))^(AX$7-Year1))</f>
        <v>5.2000000000000032E-3</v>
      </c>
      <c r="AY276" s="508">
        <f>IF(AY$8=0,0,INDEX('R&amp;B Inputs'!$I$82:$V$82,MATCH($B276,'R&amp;B Inputs'!$I$4:$V$4,0))*(1+INDEX('R&amp;B Inputs'!$I$62:$V$62,MATCH($B276,'R&amp;B Inputs'!$I$4:$V$4,0)))^(AY$7-Year1))</f>
        <v>5.2000000000000032E-3</v>
      </c>
      <c r="AZ276" s="508">
        <f>IF(AZ$8=0,0,INDEX('R&amp;B Inputs'!$I$82:$V$82,MATCH($B276,'R&amp;B Inputs'!$I$4:$V$4,0))*(1+INDEX('R&amp;B Inputs'!$I$62:$V$62,MATCH($B276,'R&amp;B Inputs'!$I$4:$V$4,0)))^(AZ$7-Year1))</f>
        <v>5.2000000000000032E-3</v>
      </c>
      <c r="BA276" s="508">
        <f>IF(BA$8=0,0,INDEX('R&amp;B Inputs'!$I$82:$V$82,MATCH($B276,'R&amp;B Inputs'!$I$4:$V$4,0))*(1+INDEX('R&amp;B Inputs'!$I$62:$V$62,MATCH($B276,'R&amp;B Inputs'!$I$4:$V$4,0)))^(BA$7-Year1))</f>
        <v>5.2000000000000032E-3</v>
      </c>
      <c r="BB276" s="508">
        <f>IF(BB$8=0,0,INDEX('R&amp;B Inputs'!$I$82:$V$82,MATCH($B276,'R&amp;B Inputs'!$I$4:$V$4,0))*(1+INDEX('R&amp;B Inputs'!$I$62:$V$62,MATCH($B276,'R&amp;B Inputs'!$I$4:$V$4,0)))^(BB$7-Year1))</f>
        <v>5.2000000000000032E-3</v>
      </c>
      <c r="BC276" s="508">
        <f>IF(BC$8=0,0,INDEX('R&amp;B Inputs'!$I$82:$V$82,MATCH($B276,'R&amp;B Inputs'!$I$4:$V$4,0))*(1+INDEX('R&amp;B Inputs'!$I$62:$V$62,MATCH($B276,'R&amp;B Inputs'!$I$4:$V$4,0)))^(BC$7-Year1))</f>
        <v>5.2000000000000032E-3</v>
      </c>
      <c r="BD276" s="508">
        <f>IF(BD$8=0,0,INDEX('R&amp;B Inputs'!$I$82:$V$82,MATCH($B276,'R&amp;B Inputs'!$I$4:$V$4,0))*(1+INDEX('R&amp;B Inputs'!$I$62:$V$62,MATCH($B276,'R&amp;B Inputs'!$I$4:$V$4,0)))^(BD$7-Year1))</f>
        <v>5.2000000000000032E-3</v>
      </c>
      <c r="BE276" s="508">
        <f>IF(BE$8=0,0,INDEX('R&amp;B Inputs'!$I$82:$V$82,MATCH($B276,'R&amp;B Inputs'!$I$4:$V$4,0))*(1+INDEX('R&amp;B Inputs'!$I$62:$V$62,MATCH($B276,'R&amp;B Inputs'!$I$4:$V$4,0)))^(BE$7-Year1))</f>
        <v>5.2000000000000032E-3</v>
      </c>
      <c r="BF276" s="508">
        <f>IF(BF$8=0,0,INDEX('R&amp;B Inputs'!$I$82:$V$82,MATCH($B276,'R&amp;B Inputs'!$I$4:$V$4,0))*(1+INDEX('R&amp;B Inputs'!$I$62:$V$62,MATCH($B276,'R&amp;B Inputs'!$I$4:$V$4,0)))^(BF$7-Year1))</f>
        <v>5.2000000000000032E-3</v>
      </c>
      <c r="BG276" s="508">
        <f>IF(BG$8=0,0,INDEX('R&amp;B Inputs'!$I$82:$V$82,MATCH($B276,'R&amp;B Inputs'!$I$4:$V$4,0))*(1+INDEX('R&amp;B Inputs'!$I$62:$V$62,MATCH($B276,'R&amp;B Inputs'!$I$4:$V$4,0)))^(BG$7-Year1))</f>
        <v>5.2000000000000032E-3</v>
      </c>
      <c r="BH276" s="508">
        <f>IF(BH$8=0,0,INDEX('R&amp;B Inputs'!$I$82:$V$82,MATCH($B276,'R&amp;B Inputs'!$I$4:$V$4,0))*(1+INDEX('R&amp;B Inputs'!$I$62:$V$62,MATCH($B276,'R&amp;B Inputs'!$I$4:$V$4,0)))^(BH$7-Year1))</f>
        <v>5.2000000000000032E-3</v>
      </c>
      <c r="BI276" s="508">
        <f>IF(BI$8=0,0,INDEX('R&amp;B Inputs'!$I$82:$V$82,MATCH($B276,'R&amp;B Inputs'!$I$4:$V$4,0))*(1+INDEX('R&amp;B Inputs'!$I$62:$V$62,MATCH($B276,'R&amp;B Inputs'!$I$4:$V$4,0)))^(BI$7-Year1))</f>
        <v>5.2000000000000032E-3</v>
      </c>
      <c r="BJ276" s="508">
        <f>IF(BJ$8=0,0,INDEX('R&amp;B Inputs'!$I$82:$V$82,MATCH($B276,'R&amp;B Inputs'!$I$4:$V$4,0))*(1+INDEX('R&amp;B Inputs'!$I$62:$V$62,MATCH($B276,'R&amp;B Inputs'!$I$4:$V$4,0)))^(BJ$7-Year1))</f>
        <v>5.2000000000000032E-3</v>
      </c>
      <c r="BK276" s="508">
        <f>IF(BK$8=0,0,INDEX('R&amp;B Inputs'!$I$82:$V$82,MATCH($B276,'R&amp;B Inputs'!$I$4:$V$4,0))*(1+INDEX('R&amp;B Inputs'!$I$62:$V$62,MATCH($B276,'R&amp;B Inputs'!$I$4:$V$4,0)))^(BK$7-Year1))</f>
        <v>5.2000000000000032E-3</v>
      </c>
      <c r="BL276" s="508">
        <f>IF(BL$8=0,0,INDEX('R&amp;B Inputs'!$I$82:$V$82,MATCH($B276,'R&amp;B Inputs'!$I$4:$V$4,0))*(1+INDEX('R&amp;B Inputs'!$I$62:$V$62,MATCH($B276,'R&amp;B Inputs'!$I$4:$V$4,0)))^(BL$7-Year1))</f>
        <v>5.2000000000000032E-3</v>
      </c>
      <c r="BM276" s="508">
        <f>IF(BM$8=0,0,INDEX('R&amp;B Inputs'!$I$82:$V$82,MATCH($B276,'R&amp;B Inputs'!$I$4:$V$4,0))*(1+INDEX('R&amp;B Inputs'!$I$62:$V$62,MATCH($B276,'R&amp;B Inputs'!$I$4:$V$4,0)))^(BM$7-Year1))</f>
        <v>5.2000000000000032E-3</v>
      </c>
      <c r="BN276" s="508"/>
      <c r="BO276" s="508"/>
      <c r="BP276" s="508">
        <f>IF($C$4=Year1,-PMT(Lookups!$E$17,25,NPV(Lookups!$E$17,AM276:BK276),0,1),IF($C$4=Year2,-PMT(Lookups!$F$17,25,NPV(Lookups!$F$17,AN276:BL276),0,1),IF($C$4=Year3,-PMT(Lookups!$G$17,25,NPV(Lookups!$G$17,AO276:BM276),0,1),-PMT(Lookups!$G$17,27,NPV(Lookups!$G$17,AM276:BM276),0,1))))</f>
        <v>5.1274769975786939E-3</v>
      </c>
      <c r="BS276" s="76" t="str">
        <f t="shared" si="295"/>
        <v>LDAC, Non-EE charge from the R&amp;B Inputs tab, escalated annually by the growth rate included on the R&amp;B Inputs tab.</v>
      </c>
      <c r="BT276" s="51" t="s">
        <v>17</v>
      </c>
    </row>
    <row r="277" spans="1:72" x14ac:dyDescent="0.25">
      <c r="B277" s="243" t="str">
        <f>B275</f>
        <v>Large C&amp;I</v>
      </c>
      <c r="C277" s="243" t="str">
        <f>C275</f>
        <v>Rates</v>
      </c>
      <c r="D277" s="244" t="str">
        <f>D275</f>
        <v>Rates before DSM (No EE Scenario)</v>
      </c>
      <c r="E277" s="84" t="s">
        <v>197</v>
      </c>
      <c r="F277" s="84" t="s">
        <v>182</v>
      </c>
      <c r="G277" s="506">
        <f>IF(G$8=0,0,INDEX('R&amp;B Inputs'!$I$86:$V$86,MATCH($B277,'R&amp;B Inputs'!$I$4:$V$4,0))*(1+INDEX('R&amp;B Inputs'!$I$66:$V$66,MATCH($B277,'R&amp;B Inputs'!$I$4:$V$4,0)))^(G$7-Year1))</f>
        <v>0</v>
      </c>
      <c r="H277" s="506">
        <f>IF(H$8=0,0,INDEX('R&amp;B Inputs'!$I$86:$V$86,MATCH($B277,'R&amp;B Inputs'!$I$4:$V$4,0))*(1+INDEX('R&amp;B Inputs'!$I$66:$V$66,MATCH($B277,'R&amp;B Inputs'!$I$4:$V$4,0)))^(H$7-Year1))</f>
        <v>0.61899999999999999</v>
      </c>
      <c r="I277" s="506">
        <f>IF(I$8=0,0,INDEX('R&amp;B Inputs'!$I$86:$V$86,MATCH($B277,'R&amp;B Inputs'!$I$4:$V$4,0))*(1+INDEX('R&amp;B Inputs'!$I$66:$V$66,MATCH($B277,'R&amp;B Inputs'!$I$4:$V$4,0)))^(I$7-Year1))</f>
        <v>0.61899999999999999</v>
      </c>
      <c r="J277" s="506">
        <f>IF(J$8=0,0,INDEX('R&amp;B Inputs'!$I$86:$V$86,MATCH($B277,'R&amp;B Inputs'!$I$4:$V$4,0))*(1+INDEX('R&amp;B Inputs'!$I$66:$V$66,MATCH($B277,'R&amp;B Inputs'!$I$4:$V$4,0)))^(J$7-Year1))</f>
        <v>0.61899999999999999</v>
      </c>
      <c r="K277" s="506">
        <f>IF(K$8=0,0,INDEX('R&amp;B Inputs'!$I$86:$V$86,MATCH($B277,'R&amp;B Inputs'!$I$4:$V$4,0))*(1+INDEX('R&amp;B Inputs'!$I$66:$V$66,MATCH($B277,'R&amp;B Inputs'!$I$4:$V$4,0)))^(K$7-Year1))</f>
        <v>0.61899999999999999</v>
      </c>
      <c r="L277" s="506">
        <f>IF(L$8=0,0,INDEX('R&amp;B Inputs'!$I$86:$V$86,MATCH($B277,'R&amp;B Inputs'!$I$4:$V$4,0))*(1+INDEX('R&amp;B Inputs'!$I$66:$V$66,MATCH($B277,'R&amp;B Inputs'!$I$4:$V$4,0)))^(L$7-Year1))</f>
        <v>0.61899999999999999</v>
      </c>
      <c r="M277" s="506">
        <f>IF(M$8=0,0,INDEX('R&amp;B Inputs'!$I$86:$V$86,MATCH($B277,'R&amp;B Inputs'!$I$4:$V$4,0))*(1+INDEX('R&amp;B Inputs'!$I$66:$V$66,MATCH($B277,'R&amp;B Inputs'!$I$4:$V$4,0)))^(M$7-Year1))</f>
        <v>0.61899999999999999</v>
      </c>
      <c r="N277" s="506">
        <f>IF(N$8=0,0,INDEX('R&amp;B Inputs'!$I$86:$V$86,MATCH($B277,'R&amp;B Inputs'!$I$4:$V$4,0))*(1+INDEX('R&amp;B Inputs'!$I$66:$V$66,MATCH($B277,'R&amp;B Inputs'!$I$4:$V$4,0)))^(N$7-Year1))</f>
        <v>0.61899999999999999</v>
      </c>
      <c r="O277" s="506">
        <f>IF(O$8=0,0,INDEX('R&amp;B Inputs'!$I$86:$V$86,MATCH($B277,'R&amp;B Inputs'!$I$4:$V$4,0))*(1+INDEX('R&amp;B Inputs'!$I$66:$V$66,MATCH($B277,'R&amp;B Inputs'!$I$4:$V$4,0)))^(O$7-Year1))</f>
        <v>0.61899999999999999</v>
      </c>
      <c r="P277" s="506">
        <f>IF(P$8=0,0,INDEX('R&amp;B Inputs'!$I$86:$V$86,MATCH($B277,'R&amp;B Inputs'!$I$4:$V$4,0))*(1+INDEX('R&amp;B Inputs'!$I$66:$V$66,MATCH($B277,'R&amp;B Inputs'!$I$4:$V$4,0)))^(P$7-Year1))</f>
        <v>0.61899999999999999</v>
      </c>
      <c r="Q277" s="506">
        <f>IF(Q$8=0,0,INDEX('R&amp;B Inputs'!$I$86:$V$86,MATCH($B277,'R&amp;B Inputs'!$I$4:$V$4,0))*(1+INDEX('R&amp;B Inputs'!$I$66:$V$66,MATCH($B277,'R&amp;B Inputs'!$I$4:$V$4,0)))^(Q$7-Year1))</f>
        <v>0.61899999999999999</v>
      </c>
      <c r="R277" s="506">
        <f>IF(R$8=0,0,INDEX('R&amp;B Inputs'!$I$86:$V$86,MATCH($B277,'R&amp;B Inputs'!$I$4:$V$4,0))*(1+INDEX('R&amp;B Inputs'!$I$66:$V$66,MATCH($B277,'R&amp;B Inputs'!$I$4:$V$4,0)))^(R$7-Year1))</f>
        <v>0.61899999999999999</v>
      </c>
      <c r="S277" s="506">
        <f>IF(S$8=0,0,INDEX('R&amp;B Inputs'!$I$86:$V$86,MATCH($B277,'R&amp;B Inputs'!$I$4:$V$4,0))*(1+INDEX('R&amp;B Inputs'!$I$66:$V$66,MATCH($B277,'R&amp;B Inputs'!$I$4:$V$4,0)))^(S$7-Year1))</f>
        <v>0.61899999999999999</v>
      </c>
      <c r="T277" s="506">
        <f>IF(T$8=0,0,INDEX('R&amp;B Inputs'!$I$86:$V$86,MATCH($B277,'R&amp;B Inputs'!$I$4:$V$4,0))*(1+INDEX('R&amp;B Inputs'!$I$66:$V$66,MATCH($B277,'R&amp;B Inputs'!$I$4:$V$4,0)))^(T$7-Year1))</f>
        <v>0.61899999999999999</v>
      </c>
      <c r="U277" s="506">
        <f>IF(U$8=0,0,INDEX('R&amp;B Inputs'!$I$86:$V$86,MATCH($B277,'R&amp;B Inputs'!$I$4:$V$4,0))*(1+INDEX('R&amp;B Inputs'!$I$66:$V$66,MATCH($B277,'R&amp;B Inputs'!$I$4:$V$4,0)))^(U$7-Year1))</f>
        <v>0.61899999999999999</v>
      </c>
      <c r="V277" s="506">
        <f>IF(V$8=0,0,INDEX('R&amp;B Inputs'!$I$86:$V$86,MATCH($B277,'R&amp;B Inputs'!$I$4:$V$4,0))*(1+INDEX('R&amp;B Inputs'!$I$66:$V$66,MATCH($B277,'R&amp;B Inputs'!$I$4:$V$4,0)))^(V$7-Year1))</f>
        <v>0.61899999999999999</v>
      </c>
      <c r="W277" s="506">
        <f>IF(W$8=0,0,INDEX('R&amp;B Inputs'!$I$86:$V$86,MATCH($B277,'R&amp;B Inputs'!$I$4:$V$4,0))*(1+INDEX('R&amp;B Inputs'!$I$66:$V$66,MATCH($B277,'R&amp;B Inputs'!$I$4:$V$4,0)))^(W$7-Year1))</f>
        <v>0.61899999999999999</v>
      </c>
      <c r="X277" s="506">
        <f>IF(X$8=0,0,INDEX('R&amp;B Inputs'!$I$86:$V$86,MATCH($B277,'R&amp;B Inputs'!$I$4:$V$4,0))*(1+INDEX('R&amp;B Inputs'!$I$66:$V$66,MATCH($B277,'R&amp;B Inputs'!$I$4:$V$4,0)))^(X$7-Year1))</f>
        <v>0.61899999999999999</v>
      </c>
      <c r="Y277" s="506">
        <f>IF(Y$8=0,0,INDEX('R&amp;B Inputs'!$I$86:$V$86,MATCH($B277,'R&amp;B Inputs'!$I$4:$V$4,0))*(1+INDEX('R&amp;B Inputs'!$I$66:$V$66,MATCH($B277,'R&amp;B Inputs'!$I$4:$V$4,0)))^(Y$7-Year1))</f>
        <v>0.61899999999999999</v>
      </c>
      <c r="Z277" s="506">
        <f>IF(Z$8=0,0,INDEX('R&amp;B Inputs'!$I$86:$V$86,MATCH($B277,'R&amp;B Inputs'!$I$4:$V$4,0))*(1+INDEX('R&amp;B Inputs'!$I$66:$V$66,MATCH($B277,'R&amp;B Inputs'!$I$4:$V$4,0)))^(Z$7-Year1))</f>
        <v>0.61899999999999999</v>
      </c>
      <c r="AA277" s="506">
        <f>IF(AA$8=0,0,INDEX('R&amp;B Inputs'!$I$86:$V$86,MATCH($B277,'R&amp;B Inputs'!$I$4:$V$4,0))*(1+INDEX('R&amp;B Inputs'!$I$66:$V$66,MATCH($B277,'R&amp;B Inputs'!$I$4:$V$4,0)))^(AA$7-Year1))</f>
        <v>0.61899999999999999</v>
      </c>
      <c r="AB277" s="506">
        <f>IF(AB$8=0,0,INDEX('R&amp;B Inputs'!$I$86:$V$86,MATCH($B277,'R&amp;B Inputs'!$I$4:$V$4,0))*(1+INDEX('R&amp;B Inputs'!$I$66:$V$66,MATCH($B277,'R&amp;B Inputs'!$I$4:$V$4,0)))^(AB$7-Year1))</f>
        <v>0.61899999999999999</v>
      </c>
      <c r="AC277" s="506">
        <f>IF(AC$8=0,0,INDEX('R&amp;B Inputs'!$I$86:$V$86,MATCH($B277,'R&amp;B Inputs'!$I$4:$V$4,0))*(1+INDEX('R&amp;B Inputs'!$I$66:$V$66,MATCH($B277,'R&amp;B Inputs'!$I$4:$V$4,0)))^(AC$7-Year1))</f>
        <v>0.61899999999999999</v>
      </c>
      <c r="AD277" s="506">
        <f>IF(AD$8=0,0,INDEX('R&amp;B Inputs'!$I$86:$V$86,MATCH($B277,'R&amp;B Inputs'!$I$4:$V$4,0))*(1+INDEX('R&amp;B Inputs'!$I$66:$V$66,MATCH($B277,'R&amp;B Inputs'!$I$4:$V$4,0)))^(AD$7-Year1))</f>
        <v>0.61899999999999999</v>
      </c>
      <c r="AE277" s="506">
        <f>IF(AE$8=0,0,INDEX('R&amp;B Inputs'!$I$86:$V$86,MATCH($B277,'R&amp;B Inputs'!$I$4:$V$4,0))*(1+INDEX('R&amp;B Inputs'!$I$66:$V$66,MATCH($B277,'R&amp;B Inputs'!$I$4:$V$4,0)))^(AE$7-Year1))</f>
        <v>0.61899999999999999</v>
      </c>
      <c r="AF277" s="506">
        <f>IF(AF$8=0,0,INDEX('R&amp;B Inputs'!$I$86:$V$86,MATCH($B277,'R&amp;B Inputs'!$I$4:$V$4,0))*(1+INDEX('R&amp;B Inputs'!$I$66:$V$66,MATCH($B277,'R&amp;B Inputs'!$I$4:$V$4,0)))^(AF$7-Year1))</f>
        <v>0.61899999999999999</v>
      </c>
      <c r="AG277" s="506">
        <f>IF(AG$8=0,0,INDEX('R&amp;B Inputs'!$I$86:$V$86,MATCH($B277,'R&amp;B Inputs'!$I$4:$V$4,0))*(1+INDEX('R&amp;B Inputs'!$I$66:$V$66,MATCH($B277,'R&amp;B Inputs'!$I$4:$V$4,0)))^(AG$7-Year1))</f>
        <v>0.61899999999999999</v>
      </c>
      <c r="AH277" s="506"/>
      <c r="AI277" s="506"/>
      <c r="AJ277" s="506">
        <f>IF($C$4=Year1,-PMT(Lookups!$E$17,25,NPV(Lookups!$E$17,G277:AE277),0,1),IF($C$4=Year2,-PMT(Lookups!$F$17,25,NPV(Lookups!$F$17,H277:AF277),0,1),IF($C$4=Year3,-PMT(Lookups!$G$17,25,NPV(Lookups!$G$17,I277:AG277),0,1),-PMT(Lookups!$G$17,27,NPV(Lookups!$G$17,G277:AG277),0,1))))</f>
        <v>0.61036697336561752</v>
      </c>
      <c r="AK277" s="507"/>
      <c r="AL277" s="507"/>
      <c r="AM277" s="508">
        <f>IF(AM$8=0,0,INDEX('R&amp;B Inputs'!$I$86:$V$86,MATCH($B277,'R&amp;B Inputs'!$I$4:$V$4,0))*(1+INDEX('R&amp;B Inputs'!$I$66:$V$66,MATCH($B277,'R&amp;B Inputs'!$I$4:$V$4,0)))^(AM$7-Year1))</f>
        <v>0</v>
      </c>
      <c r="AN277" s="508">
        <f>IF(AN$8=0,0,INDEX('R&amp;B Inputs'!$I$86:$V$86,MATCH($B277,'R&amp;B Inputs'!$I$4:$V$4,0))*(1+INDEX('R&amp;B Inputs'!$I$66:$V$66,MATCH($B277,'R&amp;B Inputs'!$I$4:$V$4,0)))^(AN$7-Year1))</f>
        <v>0.61899999999999999</v>
      </c>
      <c r="AO277" s="508">
        <f>IF(AO$8=0,0,INDEX('R&amp;B Inputs'!$I$86:$V$86,MATCH($B277,'R&amp;B Inputs'!$I$4:$V$4,0))*(1+INDEX('R&amp;B Inputs'!$I$66:$V$66,MATCH($B277,'R&amp;B Inputs'!$I$4:$V$4,0)))^(AO$7-Year1))</f>
        <v>0.61899999999999999</v>
      </c>
      <c r="AP277" s="508">
        <f>IF(AP$8=0,0,INDEX('R&amp;B Inputs'!$I$86:$V$86,MATCH($B277,'R&amp;B Inputs'!$I$4:$V$4,0))*(1+INDEX('R&amp;B Inputs'!$I$66:$V$66,MATCH($B277,'R&amp;B Inputs'!$I$4:$V$4,0)))^(AP$7-Year1))</f>
        <v>0.61899999999999999</v>
      </c>
      <c r="AQ277" s="508">
        <f>IF(AQ$8=0,0,INDEX('R&amp;B Inputs'!$I$86:$V$86,MATCH($B277,'R&amp;B Inputs'!$I$4:$V$4,0))*(1+INDEX('R&amp;B Inputs'!$I$66:$V$66,MATCH($B277,'R&amp;B Inputs'!$I$4:$V$4,0)))^(AQ$7-Year1))</f>
        <v>0.61899999999999999</v>
      </c>
      <c r="AR277" s="508">
        <f>IF(AR$8=0,0,INDEX('R&amp;B Inputs'!$I$86:$V$86,MATCH($B277,'R&amp;B Inputs'!$I$4:$V$4,0))*(1+INDEX('R&amp;B Inputs'!$I$66:$V$66,MATCH($B277,'R&amp;B Inputs'!$I$4:$V$4,0)))^(AR$7-Year1))</f>
        <v>0.61899999999999999</v>
      </c>
      <c r="AS277" s="508">
        <f>IF(AS$8=0,0,INDEX('R&amp;B Inputs'!$I$86:$V$86,MATCH($B277,'R&amp;B Inputs'!$I$4:$V$4,0))*(1+INDEX('R&amp;B Inputs'!$I$66:$V$66,MATCH($B277,'R&amp;B Inputs'!$I$4:$V$4,0)))^(AS$7-Year1))</f>
        <v>0.61899999999999999</v>
      </c>
      <c r="AT277" s="508">
        <f>IF(AT$8=0,0,INDEX('R&amp;B Inputs'!$I$86:$V$86,MATCH($B277,'R&amp;B Inputs'!$I$4:$V$4,0))*(1+INDEX('R&amp;B Inputs'!$I$66:$V$66,MATCH($B277,'R&amp;B Inputs'!$I$4:$V$4,0)))^(AT$7-Year1))</f>
        <v>0.61899999999999999</v>
      </c>
      <c r="AU277" s="508">
        <f>IF(AU$8=0,0,INDEX('R&amp;B Inputs'!$I$86:$V$86,MATCH($B277,'R&amp;B Inputs'!$I$4:$V$4,0))*(1+INDEX('R&amp;B Inputs'!$I$66:$V$66,MATCH($B277,'R&amp;B Inputs'!$I$4:$V$4,0)))^(AU$7-Year1))</f>
        <v>0.61899999999999999</v>
      </c>
      <c r="AV277" s="508">
        <f>IF(AV$8=0,0,INDEX('R&amp;B Inputs'!$I$86:$V$86,MATCH($B277,'R&amp;B Inputs'!$I$4:$V$4,0))*(1+INDEX('R&amp;B Inputs'!$I$66:$V$66,MATCH($B277,'R&amp;B Inputs'!$I$4:$V$4,0)))^(AV$7-Year1))</f>
        <v>0.61899999999999999</v>
      </c>
      <c r="AW277" s="508">
        <f>IF(AW$8=0,0,INDEX('R&amp;B Inputs'!$I$86:$V$86,MATCH($B277,'R&amp;B Inputs'!$I$4:$V$4,0))*(1+INDEX('R&amp;B Inputs'!$I$66:$V$66,MATCH($B277,'R&amp;B Inputs'!$I$4:$V$4,0)))^(AW$7-Year1))</f>
        <v>0.61899999999999999</v>
      </c>
      <c r="AX277" s="508">
        <f>IF(AX$8=0,0,INDEX('R&amp;B Inputs'!$I$86:$V$86,MATCH($B277,'R&amp;B Inputs'!$I$4:$V$4,0))*(1+INDEX('R&amp;B Inputs'!$I$66:$V$66,MATCH($B277,'R&amp;B Inputs'!$I$4:$V$4,0)))^(AX$7-Year1))</f>
        <v>0.61899999999999999</v>
      </c>
      <c r="AY277" s="508">
        <f>IF(AY$8=0,0,INDEX('R&amp;B Inputs'!$I$86:$V$86,MATCH($B277,'R&amp;B Inputs'!$I$4:$V$4,0))*(1+INDEX('R&amp;B Inputs'!$I$66:$V$66,MATCH($B277,'R&amp;B Inputs'!$I$4:$V$4,0)))^(AY$7-Year1))</f>
        <v>0.61899999999999999</v>
      </c>
      <c r="AZ277" s="508">
        <f>IF(AZ$8=0,0,INDEX('R&amp;B Inputs'!$I$86:$V$86,MATCH($B277,'R&amp;B Inputs'!$I$4:$V$4,0))*(1+INDEX('R&amp;B Inputs'!$I$66:$V$66,MATCH($B277,'R&amp;B Inputs'!$I$4:$V$4,0)))^(AZ$7-Year1))</f>
        <v>0.61899999999999999</v>
      </c>
      <c r="BA277" s="508">
        <f>IF(BA$8=0,0,INDEX('R&amp;B Inputs'!$I$86:$V$86,MATCH($B277,'R&amp;B Inputs'!$I$4:$V$4,0))*(1+INDEX('R&amp;B Inputs'!$I$66:$V$66,MATCH($B277,'R&amp;B Inputs'!$I$4:$V$4,0)))^(BA$7-Year1))</f>
        <v>0.61899999999999999</v>
      </c>
      <c r="BB277" s="508">
        <f>IF(BB$8=0,0,INDEX('R&amp;B Inputs'!$I$86:$V$86,MATCH($B277,'R&amp;B Inputs'!$I$4:$V$4,0))*(1+INDEX('R&amp;B Inputs'!$I$66:$V$66,MATCH($B277,'R&amp;B Inputs'!$I$4:$V$4,0)))^(BB$7-Year1))</f>
        <v>0.61899999999999999</v>
      </c>
      <c r="BC277" s="508">
        <f>IF(BC$8=0,0,INDEX('R&amp;B Inputs'!$I$86:$V$86,MATCH($B277,'R&amp;B Inputs'!$I$4:$V$4,0))*(1+INDEX('R&amp;B Inputs'!$I$66:$V$66,MATCH($B277,'R&amp;B Inputs'!$I$4:$V$4,0)))^(BC$7-Year1))</f>
        <v>0.61899999999999999</v>
      </c>
      <c r="BD277" s="508">
        <f>IF(BD$8=0,0,INDEX('R&amp;B Inputs'!$I$86:$V$86,MATCH($B277,'R&amp;B Inputs'!$I$4:$V$4,0))*(1+INDEX('R&amp;B Inputs'!$I$66:$V$66,MATCH($B277,'R&amp;B Inputs'!$I$4:$V$4,0)))^(BD$7-Year1))</f>
        <v>0.61899999999999999</v>
      </c>
      <c r="BE277" s="508">
        <f>IF(BE$8=0,0,INDEX('R&amp;B Inputs'!$I$86:$V$86,MATCH($B277,'R&amp;B Inputs'!$I$4:$V$4,0))*(1+INDEX('R&amp;B Inputs'!$I$66:$V$66,MATCH($B277,'R&amp;B Inputs'!$I$4:$V$4,0)))^(BE$7-Year1))</f>
        <v>0.61899999999999999</v>
      </c>
      <c r="BF277" s="508">
        <f>IF(BF$8=0,0,INDEX('R&amp;B Inputs'!$I$86:$V$86,MATCH($B277,'R&amp;B Inputs'!$I$4:$V$4,0))*(1+INDEX('R&amp;B Inputs'!$I$66:$V$66,MATCH($B277,'R&amp;B Inputs'!$I$4:$V$4,0)))^(BF$7-Year1))</f>
        <v>0.61899999999999999</v>
      </c>
      <c r="BG277" s="508">
        <f>IF(BG$8=0,0,INDEX('R&amp;B Inputs'!$I$86:$V$86,MATCH($B277,'R&amp;B Inputs'!$I$4:$V$4,0))*(1+INDEX('R&amp;B Inputs'!$I$66:$V$66,MATCH($B277,'R&amp;B Inputs'!$I$4:$V$4,0)))^(BG$7-Year1))</f>
        <v>0.61899999999999999</v>
      </c>
      <c r="BH277" s="508">
        <f>IF(BH$8=0,0,INDEX('R&amp;B Inputs'!$I$86:$V$86,MATCH($B277,'R&amp;B Inputs'!$I$4:$V$4,0))*(1+INDEX('R&amp;B Inputs'!$I$66:$V$66,MATCH($B277,'R&amp;B Inputs'!$I$4:$V$4,0)))^(BH$7-Year1))</f>
        <v>0.61899999999999999</v>
      </c>
      <c r="BI277" s="508">
        <f>IF(BI$8=0,0,INDEX('R&amp;B Inputs'!$I$86:$V$86,MATCH($B277,'R&amp;B Inputs'!$I$4:$V$4,0))*(1+INDEX('R&amp;B Inputs'!$I$66:$V$66,MATCH($B277,'R&amp;B Inputs'!$I$4:$V$4,0)))^(BI$7-Year1))</f>
        <v>0.61899999999999999</v>
      </c>
      <c r="BJ277" s="508">
        <f>IF(BJ$8=0,0,INDEX('R&amp;B Inputs'!$I$86:$V$86,MATCH($B277,'R&amp;B Inputs'!$I$4:$V$4,0))*(1+INDEX('R&amp;B Inputs'!$I$66:$V$66,MATCH($B277,'R&amp;B Inputs'!$I$4:$V$4,0)))^(BJ$7-Year1))</f>
        <v>0.61899999999999999</v>
      </c>
      <c r="BK277" s="508">
        <f>IF(BK$8=0,0,INDEX('R&amp;B Inputs'!$I$86:$V$86,MATCH($B277,'R&amp;B Inputs'!$I$4:$V$4,0))*(1+INDEX('R&amp;B Inputs'!$I$66:$V$66,MATCH($B277,'R&amp;B Inputs'!$I$4:$V$4,0)))^(BK$7-Year1))</f>
        <v>0.61899999999999999</v>
      </c>
      <c r="BL277" s="508">
        <f>IF(BL$8=0,0,INDEX('R&amp;B Inputs'!$I$86:$V$86,MATCH($B277,'R&amp;B Inputs'!$I$4:$V$4,0))*(1+INDEX('R&amp;B Inputs'!$I$66:$V$66,MATCH($B277,'R&amp;B Inputs'!$I$4:$V$4,0)))^(BL$7-Year1))</f>
        <v>0.61899999999999999</v>
      </c>
      <c r="BM277" s="508">
        <f>IF(BM$8=0,0,INDEX('R&amp;B Inputs'!$I$86:$V$86,MATCH($B277,'R&amp;B Inputs'!$I$4:$V$4,0))*(1+INDEX('R&amp;B Inputs'!$I$66:$V$66,MATCH($B277,'R&amp;B Inputs'!$I$4:$V$4,0)))^(BM$7-Year1))</f>
        <v>0.61899999999999999</v>
      </c>
      <c r="BN277" s="508"/>
      <c r="BO277" s="508"/>
      <c r="BP277" s="508">
        <f>IF($C$4=Year1,-PMT(Lookups!$E$17,25,NPV(Lookups!$E$17,AM277:BK277),0,1),IF($C$4=Year2,-PMT(Lookups!$F$17,25,NPV(Lookups!$F$17,AN277:BL277),0,1),IF($C$4=Year3,-PMT(Lookups!$G$17,25,NPV(Lookups!$G$17,AO277:BM277),0,1),-PMT(Lookups!$G$17,27,NPV(Lookups!$G$17,AM277:BM277),0,1))))</f>
        <v>0.61036697336561752</v>
      </c>
      <c r="BS277" s="76" t="str">
        <f t="shared" si="295"/>
        <v>Cost of Gas charge from the R&amp;B Inputs tab, escalated annually by the growth rate included on the R&amp;B Inputs tab.</v>
      </c>
      <c r="BT277" s="51" t="s">
        <v>17</v>
      </c>
    </row>
    <row r="278" spans="1:72" x14ac:dyDescent="0.25">
      <c r="B278" s="243" t="str">
        <f>B279</f>
        <v>Large C&amp;I</v>
      </c>
      <c r="C278" s="243" t="str">
        <f>C279</f>
        <v>Rates</v>
      </c>
      <c r="D278" s="244" t="str">
        <f>D279</f>
        <v>Rates before DSM (No EE Scenario)</v>
      </c>
      <c r="E278" s="86" t="s">
        <v>75</v>
      </c>
      <c r="F278" s="84" t="s">
        <v>182</v>
      </c>
      <c r="G278" s="506">
        <f>IF(G$8=0,0,INDEX('R&amp;B Inputs'!$H$73:$U$73,MATCH($B277,'R&amp;B Inputs'!$H$4:$U$4,0))*(1+INDEX('R&amp;B Inputs'!$H$46:$U$46,MATCH($B277,'R&amp;B Inputs'!$H$4:$U$4,0)))^(G$7-Year1))</f>
        <v>0</v>
      </c>
      <c r="H278" s="506">
        <f>IF(H$8=0,0,INDEX('R&amp;B Inputs'!$H$73:$U$73,MATCH($B277,'R&amp;B Inputs'!$H$4:$U$4,0))*(1+INDEX('R&amp;B Inputs'!$H$46:$U$46,MATCH($B277,'R&amp;B Inputs'!$H$4:$U$4,0)))^(H$7-Year1))</f>
        <v>4.271893828439878E-2</v>
      </c>
      <c r="I278" s="506">
        <f>IF(I$8=0,0,INDEX('R&amp;B Inputs'!$H$73:$U$73,MATCH($B277,'R&amp;B Inputs'!$H$4:$U$4,0))*(1+INDEX('R&amp;B Inputs'!$H$46:$U$46,MATCH($B277,'R&amp;B Inputs'!$H$4:$U$4,0)))^(I$7-Year1))</f>
        <v>4.271893828439878E-2</v>
      </c>
      <c r="J278" s="506">
        <f>IF(J$8=0,0,INDEX('R&amp;B Inputs'!$H$73:$U$73,MATCH($B277,'R&amp;B Inputs'!$H$4:$U$4,0))*(1+INDEX('R&amp;B Inputs'!$H$46:$U$46,MATCH($B277,'R&amp;B Inputs'!$H$4:$U$4,0)))^(J$7-Year1))</f>
        <v>4.271893828439878E-2</v>
      </c>
      <c r="K278" s="506">
        <f>IF(K$8=0,0,INDEX('R&amp;B Inputs'!$H$73:$U$73,MATCH($B277,'R&amp;B Inputs'!$H$4:$U$4,0))*(1+INDEX('R&amp;B Inputs'!$H$46:$U$46,MATCH($B277,'R&amp;B Inputs'!$H$4:$U$4,0)))^(K$7-Year1))</f>
        <v>4.271893828439878E-2</v>
      </c>
      <c r="L278" s="506">
        <f>IF(L$8=0,0,INDEX('R&amp;B Inputs'!$H$73:$U$73,MATCH($B277,'R&amp;B Inputs'!$H$4:$U$4,0))*(1+INDEX('R&amp;B Inputs'!$H$46:$U$46,MATCH($B277,'R&amp;B Inputs'!$H$4:$U$4,0)))^(L$7-Year1))</f>
        <v>4.271893828439878E-2</v>
      </c>
      <c r="M278" s="506">
        <f>IF(M$8=0,0,INDEX('R&amp;B Inputs'!$H$73:$U$73,MATCH($B277,'R&amp;B Inputs'!$H$4:$U$4,0))*(1+INDEX('R&amp;B Inputs'!$H$46:$U$46,MATCH($B277,'R&amp;B Inputs'!$H$4:$U$4,0)))^(M$7-Year1))</f>
        <v>4.271893828439878E-2</v>
      </c>
      <c r="N278" s="506">
        <f>IF(N$8=0,0,INDEX('R&amp;B Inputs'!$H$73:$U$73,MATCH($B277,'R&amp;B Inputs'!$H$4:$U$4,0))*(1+INDEX('R&amp;B Inputs'!$H$46:$U$46,MATCH($B277,'R&amp;B Inputs'!$H$4:$U$4,0)))^(N$7-Year1))</f>
        <v>4.271893828439878E-2</v>
      </c>
      <c r="O278" s="506">
        <f>IF(O$8=0,0,INDEX('R&amp;B Inputs'!$H$73:$U$73,MATCH($B277,'R&amp;B Inputs'!$H$4:$U$4,0))*(1+INDEX('R&amp;B Inputs'!$H$46:$U$46,MATCH($B277,'R&amp;B Inputs'!$H$4:$U$4,0)))^(O$7-Year1))</f>
        <v>4.271893828439878E-2</v>
      </c>
      <c r="P278" s="506">
        <f>IF(P$8=0,0,INDEX('R&amp;B Inputs'!$H$73:$U$73,MATCH($B277,'R&amp;B Inputs'!$H$4:$U$4,0))*(1+INDEX('R&amp;B Inputs'!$H$46:$U$46,MATCH($B277,'R&amp;B Inputs'!$H$4:$U$4,0)))^(P$7-Year1))</f>
        <v>4.271893828439878E-2</v>
      </c>
      <c r="Q278" s="506">
        <f>IF(Q$8=0,0,INDEX('R&amp;B Inputs'!$H$73:$U$73,MATCH($B277,'R&amp;B Inputs'!$H$4:$U$4,0))*(1+INDEX('R&amp;B Inputs'!$H$46:$U$46,MATCH($B277,'R&amp;B Inputs'!$H$4:$U$4,0)))^(Q$7-Year1))</f>
        <v>4.271893828439878E-2</v>
      </c>
      <c r="R278" s="506">
        <f>IF(R$8=0,0,INDEX('R&amp;B Inputs'!$H$73:$U$73,MATCH($B277,'R&amp;B Inputs'!$H$4:$U$4,0))*(1+INDEX('R&amp;B Inputs'!$H$46:$U$46,MATCH($B277,'R&amp;B Inputs'!$H$4:$U$4,0)))^(R$7-Year1))</f>
        <v>4.271893828439878E-2</v>
      </c>
      <c r="S278" s="506">
        <f>IF(S$8=0,0,INDEX('R&amp;B Inputs'!$H$73:$U$73,MATCH($B277,'R&amp;B Inputs'!$H$4:$U$4,0))*(1+INDEX('R&amp;B Inputs'!$H$46:$U$46,MATCH($B277,'R&amp;B Inputs'!$H$4:$U$4,0)))^(S$7-Year1))</f>
        <v>4.271893828439878E-2</v>
      </c>
      <c r="T278" s="506">
        <f>IF(T$8=0,0,INDEX('R&amp;B Inputs'!$H$73:$U$73,MATCH($B277,'R&amp;B Inputs'!$H$4:$U$4,0))*(1+INDEX('R&amp;B Inputs'!$H$46:$U$46,MATCH($B277,'R&amp;B Inputs'!$H$4:$U$4,0)))^(T$7-Year1))</f>
        <v>4.271893828439878E-2</v>
      </c>
      <c r="U278" s="506">
        <f>IF(U$8=0,0,INDEX('R&amp;B Inputs'!$H$73:$U$73,MATCH($B277,'R&amp;B Inputs'!$H$4:$U$4,0))*(1+INDEX('R&amp;B Inputs'!$H$46:$U$46,MATCH($B277,'R&amp;B Inputs'!$H$4:$U$4,0)))^(U$7-Year1))</f>
        <v>4.271893828439878E-2</v>
      </c>
      <c r="V278" s="506">
        <f>IF(V$8=0,0,INDEX('R&amp;B Inputs'!$H$73:$U$73,MATCH($B277,'R&amp;B Inputs'!$H$4:$U$4,0))*(1+INDEX('R&amp;B Inputs'!$H$46:$U$46,MATCH($B277,'R&amp;B Inputs'!$H$4:$U$4,0)))^(V$7-Year1))</f>
        <v>4.271893828439878E-2</v>
      </c>
      <c r="W278" s="506">
        <f>IF(W$8=0,0,INDEX('R&amp;B Inputs'!$H$73:$U$73,MATCH($B277,'R&amp;B Inputs'!$H$4:$U$4,0))*(1+INDEX('R&amp;B Inputs'!$H$46:$U$46,MATCH($B277,'R&amp;B Inputs'!$H$4:$U$4,0)))^(W$7-Year1))</f>
        <v>4.271893828439878E-2</v>
      </c>
      <c r="X278" s="506">
        <f>IF(X$8=0,0,INDEX('R&amp;B Inputs'!$H$73:$U$73,MATCH($B277,'R&amp;B Inputs'!$H$4:$U$4,0))*(1+INDEX('R&amp;B Inputs'!$H$46:$U$46,MATCH($B277,'R&amp;B Inputs'!$H$4:$U$4,0)))^(X$7-Year1))</f>
        <v>4.271893828439878E-2</v>
      </c>
      <c r="Y278" s="506">
        <f>IF(Y$8=0,0,INDEX('R&amp;B Inputs'!$H$73:$U$73,MATCH($B277,'R&amp;B Inputs'!$H$4:$U$4,0))*(1+INDEX('R&amp;B Inputs'!$H$46:$U$46,MATCH($B277,'R&amp;B Inputs'!$H$4:$U$4,0)))^(Y$7-Year1))</f>
        <v>4.271893828439878E-2</v>
      </c>
      <c r="Z278" s="506">
        <f>IF(Z$8=0,0,INDEX('R&amp;B Inputs'!$H$73:$U$73,MATCH($B277,'R&amp;B Inputs'!$H$4:$U$4,0))*(1+INDEX('R&amp;B Inputs'!$H$46:$U$46,MATCH($B277,'R&amp;B Inputs'!$H$4:$U$4,0)))^(Z$7-Year1))</f>
        <v>4.271893828439878E-2</v>
      </c>
      <c r="AA278" s="506">
        <f>IF(AA$8=0,0,INDEX('R&amp;B Inputs'!$H$73:$U$73,MATCH($B277,'R&amp;B Inputs'!$H$4:$U$4,0))*(1+INDEX('R&amp;B Inputs'!$H$46:$U$46,MATCH($B277,'R&amp;B Inputs'!$H$4:$U$4,0)))^(AA$7-Year1))</f>
        <v>4.271893828439878E-2</v>
      </c>
      <c r="AB278" s="506">
        <f>IF(AB$8=0,0,INDEX('R&amp;B Inputs'!$H$73:$U$73,MATCH($B277,'R&amp;B Inputs'!$H$4:$U$4,0))*(1+INDEX('R&amp;B Inputs'!$H$46:$U$46,MATCH($B277,'R&amp;B Inputs'!$H$4:$U$4,0)))^(AB$7-Year1))</f>
        <v>4.271893828439878E-2</v>
      </c>
      <c r="AC278" s="506">
        <f>IF(AC$8=0,0,INDEX('R&amp;B Inputs'!$H$73:$U$73,MATCH($B277,'R&amp;B Inputs'!$H$4:$U$4,0))*(1+INDEX('R&amp;B Inputs'!$H$46:$U$46,MATCH($B277,'R&amp;B Inputs'!$H$4:$U$4,0)))^(AC$7-Year1))</f>
        <v>4.271893828439878E-2</v>
      </c>
      <c r="AD278" s="506">
        <f>IF(AD$8=0,0,INDEX('R&amp;B Inputs'!$H$73:$U$73,MATCH($B277,'R&amp;B Inputs'!$H$4:$U$4,0))*(1+INDEX('R&amp;B Inputs'!$H$46:$U$46,MATCH($B277,'R&amp;B Inputs'!$H$4:$U$4,0)))^(AD$7-Year1))</f>
        <v>4.271893828439878E-2</v>
      </c>
      <c r="AE278" s="506">
        <f>IF(AE$8=0,0,INDEX('R&amp;B Inputs'!$H$73:$U$73,MATCH($B277,'R&amp;B Inputs'!$H$4:$U$4,0))*(1+INDEX('R&amp;B Inputs'!$H$46:$U$46,MATCH($B277,'R&amp;B Inputs'!$H$4:$U$4,0)))^(AE$7-Year1))</f>
        <v>4.271893828439878E-2</v>
      </c>
      <c r="AF278" s="506">
        <f>IF(AF$8=0,0,INDEX('R&amp;B Inputs'!$H$73:$U$73,MATCH($B277,'R&amp;B Inputs'!$H$4:$U$4,0))*(1+INDEX('R&amp;B Inputs'!$H$46:$U$46,MATCH($B277,'R&amp;B Inputs'!$H$4:$U$4,0)))^(AF$7-Year1))</f>
        <v>4.271893828439878E-2</v>
      </c>
      <c r="AG278" s="506">
        <f>IF(AG$8=0,0,INDEX('R&amp;B Inputs'!$H$73:$U$73,MATCH($B277,'R&amp;B Inputs'!$H$4:$U$4,0))*(1+INDEX('R&amp;B Inputs'!$H$46:$U$46,MATCH($B277,'R&amp;B Inputs'!$H$4:$U$4,0)))^(AG$7-Year1))</f>
        <v>4.271893828439878E-2</v>
      </c>
      <c r="AH278" s="506"/>
      <c r="AI278" s="506"/>
      <c r="AJ278" s="506">
        <f>IF($C$4=Year1,-PMT(Lookups!$E$17,25,NPV(Lookups!$E$17,G278:AE278),0,1),IF($C$4=Year2,-PMT(Lookups!$F$17,25,NPV(Lookups!$F$17,H278:AF278),0,1),IF($C$4=Year3,-PMT(Lookups!$G$17,25,NPV(Lookups!$G$17,I278:AG278),0,1),-PMT(Lookups!$G$17,27,NPV(Lookups!$G$17,G278:AG278),0,1))))</f>
        <v>4.2123148733507407E-2</v>
      </c>
      <c r="AK278" s="507"/>
      <c r="AL278" s="507"/>
      <c r="AM278" s="508">
        <f>IF(AM$8=0,0,INDEX('R&amp;B Inputs'!$H$73:$U$73,MATCH($B277,'R&amp;B Inputs'!$H$4:$U$4,0))*(1+INDEX('R&amp;B Inputs'!$H$46:$U$46,MATCH($B277,'R&amp;B Inputs'!$H$4:$U$4,0)))^(AM$7-Year1))</f>
        <v>0</v>
      </c>
      <c r="AN278" s="508">
        <f>IF(AN$8=0,0,INDEX('R&amp;B Inputs'!$H$73:$U$73,MATCH($B277,'R&amp;B Inputs'!$H$4:$U$4,0))*(1+INDEX('R&amp;B Inputs'!$H$46:$U$46,MATCH($B277,'R&amp;B Inputs'!$H$4:$U$4,0)))^(AN$7-Year1))</f>
        <v>4.271893828439878E-2</v>
      </c>
      <c r="AO278" s="508">
        <f>IF(AO$8=0,0,INDEX('R&amp;B Inputs'!$H$73:$U$73,MATCH($B277,'R&amp;B Inputs'!$H$4:$U$4,0))*(1+INDEX('R&amp;B Inputs'!$H$46:$U$46,MATCH($B277,'R&amp;B Inputs'!$H$4:$U$4,0)))^(AO$7-Year1))</f>
        <v>4.271893828439878E-2</v>
      </c>
      <c r="AP278" s="508">
        <f>IF(AP$8=0,0,INDEX('R&amp;B Inputs'!$H$73:$U$73,MATCH($B277,'R&amp;B Inputs'!$H$4:$U$4,0))*(1+INDEX('R&amp;B Inputs'!$H$46:$U$46,MATCH($B277,'R&amp;B Inputs'!$H$4:$U$4,0)))^(AP$7-Year1))</f>
        <v>4.271893828439878E-2</v>
      </c>
      <c r="AQ278" s="508">
        <f>IF(AQ$8=0,0,INDEX('R&amp;B Inputs'!$H$73:$U$73,MATCH($B277,'R&amp;B Inputs'!$H$4:$U$4,0))*(1+INDEX('R&amp;B Inputs'!$H$46:$U$46,MATCH($B277,'R&amp;B Inputs'!$H$4:$U$4,0)))^(AQ$7-Year1))</f>
        <v>4.271893828439878E-2</v>
      </c>
      <c r="AR278" s="508">
        <f>IF(AR$8=0,0,INDEX('R&amp;B Inputs'!$H$73:$U$73,MATCH($B277,'R&amp;B Inputs'!$H$4:$U$4,0))*(1+INDEX('R&amp;B Inputs'!$H$46:$U$46,MATCH($B277,'R&amp;B Inputs'!$H$4:$U$4,0)))^(AR$7-Year1))</f>
        <v>4.271893828439878E-2</v>
      </c>
      <c r="AS278" s="508">
        <f>IF(AS$8=0,0,INDEX('R&amp;B Inputs'!$H$73:$U$73,MATCH($B277,'R&amp;B Inputs'!$H$4:$U$4,0))*(1+INDEX('R&amp;B Inputs'!$H$46:$U$46,MATCH($B277,'R&amp;B Inputs'!$H$4:$U$4,0)))^(AS$7-Year1))</f>
        <v>4.271893828439878E-2</v>
      </c>
      <c r="AT278" s="508">
        <f>IF(AT$8=0,0,INDEX('R&amp;B Inputs'!$H$73:$U$73,MATCH($B277,'R&amp;B Inputs'!$H$4:$U$4,0))*(1+INDEX('R&amp;B Inputs'!$H$46:$U$46,MATCH($B277,'R&amp;B Inputs'!$H$4:$U$4,0)))^(AT$7-Year1))</f>
        <v>4.271893828439878E-2</v>
      </c>
      <c r="AU278" s="508">
        <f>IF(AU$8=0,0,INDEX('R&amp;B Inputs'!$H$73:$U$73,MATCH($B277,'R&amp;B Inputs'!$H$4:$U$4,0))*(1+INDEX('R&amp;B Inputs'!$H$46:$U$46,MATCH($B277,'R&amp;B Inputs'!$H$4:$U$4,0)))^(AU$7-Year1))</f>
        <v>4.271893828439878E-2</v>
      </c>
      <c r="AV278" s="508">
        <f>IF(AV$8=0,0,INDEX('R&amp;B Inputs'!$H$73:$U$73,MATCH($B277,'R&amp;B Inputs'!$H$4:$U$4,0))*(1+INDEX('R&amp;B Inputs'!$H$46:$U$46,MATCH($B277,'R&amp;B Inputs'!$H$4:$U$4,0)))^(AV$7-Year1))</f>
        <v>4.271893828439878E-2</v>
      </c>
      <c r="AW278" s="508">
        <f>IF(AW$8=0,0,INDEX('R&amp;B Inputs'!$H$73:$U$73,MATCH($B277,'R&amp;B Inputs'!$H$4:$U$4,0))*(1+INDEX('R&amp;B Inputs'!$H$46:$U$46,MATCH($B277,'R&amp;B Inputs'!$H$4:$U$4,0)))^(AW$7-Year1))</f>
        <v>4.271893828439878E-2</v>
      </c>
      <c r="AX278" s="508">
        <f>IF(AX$8=0,0,INDEX('R&amp;B Inputs'!$H$73:$U$73,MATCH($B277,'R&amp;B Inputs'!$H$4:$U$4,0))*(1+INDEX('R&amp;B Inputs'!$H$46:$U$46,MATCH($B277,'R&amp;B Inputs'!$H$4:$U$4,0)))^(AX$7-Year1))</f>
        <v>4.271893828439878E-2</v>
      </c>
      <c r="AY278" s="508">
        <f>IF(AY$8=0,0,INDEX('R&amp;B Inputs'!$H$73:$U$73,MATCH($B277,'R&amp;B Inputs'!$H$4:$U$4,0))*(1+INDEX('R&amp;B Inputs'!$H$46:$U$46,MATCH($B277,'R&amp;B Inputs'!$H$4:$U$4,0)))^(AY$7-Year1))</f>
        <v>4.271893828439878E-2</v>
      </c>
      <c r="AZ278" s="508">
        <f>IF(AZ$8=0,0,INDEX('R&amp;B Inputs'!$H$73:$U$73,MATCH($B277,'R&amp;B Inputs'!$H$4:$U$4,0))*(1+INDEX('R&amp;B Inputs'!$H$46:$U$46,MATCH($B277,'R&amp;B Inputs'!$H$4:$U$4,0)))^(AZ$7-Year1))</f>
        <v>4.271893828439878E-2</v>
      </c>
      <c r="BA278" s="508">
        <f>IF(BA$8=0,0,INDEX('R&amp;B Inputs'!$H$73:$U$73,MATCH($B277,'R&amp;B Inputs'!$H$4:$U$4,0))*(1+INDEX('R&amp;B Inputs'!$H$46:$U$46,MATCH($B277,'R&amp;B Inputs'!$H$4:$U$4,0)))^(BA$7-Year1))</f>
        <v>4.271893828439878E-2</v>
      </c>
      <c r="BB278" s="508">
        <f>IF(BB$8=0,0,INDEX('R&amp;B Inputs'!$H$73:$U$73,MATCH($B277,'R&amp;B Inputs'!$H$4:$U$4,0))*(1+INDEX('R&amp;B Inputs'!$H$46:$U$46,MATCH($B277,'R&amp;B Inputs'!$H$4:$U$4,0)))^(BB$7-Year1))</f>
        <v>4.271893828439878E-2</v>
      </c>
      <c r="BC278" s="508">
        <f>IF(BC$8=0,0,INDEX('R&amp;B Inputs'!$H$73:$U$73,MATCH($B277,'R&amp;B Inputs'!$H$4:$U$4,0))*(1+INDEX('R&amp;B Inputs'!$H$46:$U$46,MATCH($B277,'R&amp;B Inputs'!$H$4:$U$4,0)))^(BC$7-Year1))</f>
        <v>4.271893828439878E-2</v>
      </c>
      <c r="BD278" s="508">
        <f>IF(BD$8=0,0,INDEX('R&amp;B Inputs'!$H$73:$U$73,MATCH($B277,'R&amp;B Inputs'!$H$4:$U$4,0))*(1+INDEX('R&amp;B Inputs'!$H$46:$U$46,MATCH($B277,'R&amp;B Inputs'!$H$4:$U$4,0)))^(BD$7-Year1))</f>
        <v>4.271893828439878E-2</v>
      </c>
      <c r="BE278" s="508">
        <f>IF(BE$8=0,0,INDEX('R&amp;B Inputs'!$H$73:$U$73,MATCH($B277,'R&amp;B Inputs'!$H$4:$U$4,0))*(1+INDEX('R&amp;B Inputs'!$H$46:$U$46,MATCH($B277,'R&amp;B Inputs'!$H$4:$U$4,0)))^(BE$7-Year1))</f>
        <v>4.271893828439878E-2</v>
      </c>
      <c r="BF278" s="508">
        <f>IF(BF$8=0,0,INDEX('R&amp;B Inputs'!$H$73:$U$73,MATCH($B277,'R&amp;B Inputs'!$H$4:$U$4,0))*(1+INDEX('R&amp;B Inputs'!$H$46:$U$46,MATCH($B277,'R&amp;B Inputs'!$H$4:$U$4,0)))^(BF$7-Year1))</f>
        <v>4.271893828439878E-2</v>
      </c>
      <c r="BG278" s="508">
        <f>IF(BG$8=0,0,INDEX('R&amp;B Inputs'!$H$73:$U$73,MATCH($B277,'R&amp;B Inputs'!$H$4:$U$4,0))*(1+INDEX('R&amp;B Inputs'!$H$46:$U$46,MATCH($B277,'R&amp;B Inputs'!$H$4:$U$4,0)))^(BG$7-Year1))</f>
        <v>4.271893828439878E-2</v>
      </c>
      <c r="BH278" s="508">
        <f>IF(BH$8=0,0,INDEX('R&amp;B Inputs'!$H$73:$U$73,MATCH($B277,'R&amp;B Inputs'!$H$4:$U$4,0))*(1+INDEX('R&amp;B Inputs'!$H$46:$U$46,MATCH($B277,'R&amp;B Inputs'!$H$4:$U$4,0)))^(BH$7-Year1))</f>
        <v>4.271893828439878E-2</v>
      </c>
      <c r="BI278" s="508">
        <f>IF(BI$8=0,0,INDEX('R&amp;B Inputs'!$H$73:$U$73,MATCH($B277,'R&amp;B Inputs'!$H$4:$U$4,0))*(1+INDEX('R&amp;B Inputs'!$H$46:$U$46,MATCH($B277,'R&amp;B Inputs'!$H$4:$U$4,0)))^(BI$7-Year1))</f>
        <v>4.271893828439878E-2</v>
      </c>
      <c r="BJ278" s="508">
        <f>IF(BJ$8=0,0,INDEX('R&amp;B Inputs'!$H$73:$U$73,MATCH($B277,'R&amp;B Inputs'!$H$4:$U$4,0))*(1+INDEX('R&amp;B Inputs'!$H$46:$U$46,MATCH($B277,'R&amp;B Inputs'!$H$4:$U$4,0)))^(BJ$7-Year1))</f>
        <v>4.271893828439878E-2</v>
      </c>
      <c r="BK278" s="508">
        <f>IF(BK$8=0,0,INDEX('R&amp;B Inputs'!$H$73:$U$73,MATCH($B277,'R&amp;B Inputs'!$H$4:$U$4,0))*(1+INDEX('R&amp;B Inputs'!$H$46:$U$46,MATCH($B277,'R&amp;B Inputs'!$H$4:$U$4,0)))^(BK$7-Year1))</f>
        <v>4.271893828439878E-2</v>
      </c>
      <c r="BL278" s="508">
        <f>IF(BL$8=0,0,INDEX('R&amp;B Inputs'!$H$73:$U$73,MATCH($B277,'R&amp;B Inputs'!$H$4:$U$4,0))*(1+INDEX('R&amp;B Inputs'!$H$46:$U$46,MATCH($B277,'R&amp;B Inputs'!$H$4:$U$4,0)))^(BL$7-Year1))</f>
        <v>4.271893828439878E-2</v>
      </c>
      <c r="BM278" s="508">
        <f>IF(BM$8=0,0,INDEX('R&amp;B Inputs'!$H$73:$U$73,MATCH($B277,'R&amp;B Inputs'!$H$4:$U$4,0))*(1+INDEX('R&amp;B Inputs'!$H$46:$U$46,MATCH($B277,'R&amp;B Inputs'!$H$4:$U$4,0)))^(BM$7-Year1))</f>
        <v>4.271893828439878E-2</v>
      </c>
      <c r="BN278" s="508"/>
      <c r="BO278" s="508"/>
      <c r="BP278" s="508">
        <f>IF($C$4=Year1,-PMT(Lookups!$E$17,25,NPV(Lookups!$E$17,AM278:BK278),0,1),IF($C$4=Year2,-PMT(Lookups!$F$17,25,NPV(Lookups!$F$17,AN278:BL278),0,1),IF($C$4=Year3,-PMT(Lookups!$G$17,25,NPV(Lookups!$G$17,AO278:BM278),0,1),-PMT(Lookups!$G$17,27,NPV(Lookups!$G$17,AM278:BM278),0,1))))</f>
        <v>4.2123148733507407E-2</v>
      </c>
      <c r="BS278" s="84" t="str">
        <f>E278&amp;" charge from the R&amp;B Inputs tab, escalated annually by the growth rate included on the R&amp;B Inputs tab."</f>
        <v>Customer Charge charge from the R&amp;B Inputs tab, escalated annually by the growth rate included on the R&amp;B Inputs tab.</v>
      </c>
      <c r="BT278" s="51" t="s">
        <v>17</v>
      </c>
    </row>
    <row r="279" spans="1:72" x14ac:dyDescent="0.25">
      <c r="B279" s="243" t="str">
        <f>B277</f>
        <v>Large C&amp;I</v>
      </c>
      <c r="C279" s="243" t="str">
        <f>C277</f>
        <v>Rates</v>
      </c>
      <c r="D279" s="244" t="str">
        <f>D277</f>
        <v>Rates before DSM (No EE Scenario)</v>
      </c>
      <c r="E279" s="84" t="s">
        <v>76</v>
      </c>
      <c r="F279" s="84" t="s">
        <v>182</v>
      </c>
      <c r="G279" s="506">
        <f>SUM(G275:G278)</f>
        <v>0</v>
      </c>
      <c r="H279" s="506">
        <f t="shared" ref="H279:AG279" si="296">SUM(H275:H278)</f>
        <v>0.78501893828439873</v>
      </c>
      <c r="I279" s="506">
        <f t="shared" si="296"/>
        <v>0.78501893828439873</v>
      </c>
      <c r="J279" s="506">
        <f t="shared" si="296"/>
        <v>0.78501893828439873</v>
      </c>
      <c r="K279" s="506">
        <f t="shared" si="296"/>
        <v>0.78501893828439873</v>
      </c>
      <c r="L279" s="506">
        <f t="shared" si="296"/>
        <v>0.78501893828439873</v>
      </c>
      <c r="M279" s="506">
        <f t="shared" si="296"/>
        <v>0.78501893828439873</v>
      </c>
      <c r="N279" s="506">
        <f t="shared" si="296"/>
        <v>0.78501893828439873</v>
      </c>
      <c r="O279" s="506">
        <f t="shared" si="296"/>
        <v>0.78501893828439873</v>
      </c>
      <c r="P279" s="506">
        <f t="shared" si="296"/>
        <v>0.78501893828439873</v>
      </c>
      <c r="Q279" s="506">
        <f t="shared" si="296"/>
        <v>0.78501893828439873</v>
      </c>
      <c r="R279" s="506">
        <f t="shared" si="296"/>
        <v>0.78501893828439873</v>
      </c>
      <c r="S279" s="506">
        <f t="shared" si="296"/>
        <v>0.78501893828439873</v>
      </c>
      <c r="T279" s="506">
        <f t="shared" si="296"/>
        <v>0.78501893828439873</v>
      </c>
      <c r="U279" s="506">
        <f t="shared" si="296"/>
        <v>0.78501893828439873</v>
      </c>
      <c r="V279" s="506">
        <f t="shared" si="296"/>
        <v>0.78501893828439873</v>
      </c>
      <c r="W279" s="506">
        <f t="shared" si="296"/>
        <v>0.78501893828439873</v>
      </c>
      <c r="X279" s="506">
        <f t="shared" si="296"/>
        <v>0.78501893828439873</v>
      </c>
      <c r="Y279" s="506">
        <f t="shared" si="296"/>
        <v>0.78501893828439873</v>
      </c>
      <c r="Z279" s="506">
        <f t="shared" si="296"/>
        <v>0.78501893828439873</v>
      </c>
      <c r="AA279" s="506">
        <f t="shared" si="296"/>
        <v>0.78501893828439873</v>
      </c>
      <c r="AB279" s="506">
        <f t="shared" si="296"/>
        <v>0.78501893828439873</v>
      </c>
      <c r="AC279" s="506">
        <f t="shared" si="296"/>
        <v>0.78501893828439873</v>
      </c>
      <c r="AD279" s="506">
        <f t="shared" si="296"/>
        <v>0.78501893828439873</v>
      </c>
      <c r="AE279" s="506">
        <f t="shared" si="296"/>
        <v>0.78501893828439873</v>
      </c>
      <c r="AF279" s="506">
        <f t="shared" si="296"/>
        <v>0.78501893828439873</v>
      </c>
      <c r="AG279" s="506">
        <f t="shared" si="296"/>
        <v>0.78501893828439873</v>
      </c>
      <c r="AH279" s="506"/>
      <c r="AI279" s="506"/>
      <c r="AJ279" s="506">
        <f>IF($C$4=Year1,-PMT(Lookups!$E$17,25,NPV(Lookups!$E$17,G279:AE279),0,1),IF($C$4=Year2,-PMT(Lookups!$F$17,25,NPV(Lookups!$F$17,H279:AF279),0,1),IF($C$4=Year3,-PMT(Lookups!$G$17,25,NPV(Lookups!$G$17,I279:AG279),0,1),-PMT(Lookups!$G$17,27,NPV(Lookups!$G$17,G279:AG279),0,1))))</f>
        <v>0.77407049013786566</v>
      </c>
      <c r="AK279" s="507"/>
      <c r="AL279" s="507"/>
      <c r="AM279" s="508">
        <f>SUM(AM275:AM278)</f>
        <v>0</v>
      </c>
      <c r="AN279" s="508">
        <f>SUM(AN275:AN278)</f>
        <v>0.78501893828439873</v>
      </c>
      <c r="AO279" s="508">
        <f t="shared" ref="AO279:BM279" si="297">SUM(AO275:AO278)</f>
        <v>0.78501893828439873</v>
      </c>
      <c r="AP279" s="508">
        <f t="shared" si="297"/>
        <v>0.78501893828439873</v>
      </c>
      <c r="AQ279" s="508">
        <f t="shared" si="297"/>
        <v>0.78501893828439873</v>
      </c>
      <c r="AR279" s="508">
        <f t="shared" si="297"/>
        <v>0.78501893828439873</v>
      </c>
      <c r="AS279" s="508">
        <f t="shared" si="297"/>
        <v>0.78501893828439873</v>
      </c>
      <c r="AT279" s="508">
        <f t="shared" si="297"/>
        <v>0.78501893828439873</v>
      </c>
      <c r="AU279" s="508">
        <f t="shared" si="297"/>
        <v>0.78501893828439873</v>
      </c>
      <c r="AV279" s="508">
        <f t="shared" si="297"/>
        <v>0.78501893828439873</v>
      </c>
      <c r="AW279" s="508">
        <f t="shared" si="297"/>
        <v>0.78501893828439873</v>
      </c>
      <c r="AX279" s="508">
        <f t="shared" si="297"/>
        <v>0.78501893828439873</v>
      </c>
      <c r="AY279" s="508">
        <f t="shared" si="297"/>
        <v>0.78501893828439873</v>
      </c>
      <c r="AZ279" s="508">
        <f t="shared" si="297"/>
        <v>0.78501893828439873</v>
      </c>
      <c r="BA279" s="508">
        <f t="shared" si="297"/>
        <v>0.78501893828439873</v>
      </c>
      <c r="BB279" s="508">
        <f t="shared" si="297"/>
        <v>0.78501893828439873</v>
      </c>
      <c r="BC279" s="508">
        <f t="shared" si="297"/>
        <v>0.78501893828439873</v>
      </c>
      <c r="BD279" s="508">
        <f t="shared" si="297"/>
        <v>0.78501893828439873</v>
      </c>
      <c r="BE279" s="508">
        <f t="shared" si="297"/>
        <v>0.78501893828439873</v>
      </c>
      <c r="BF279" s="508">
        <f t="shared" si="297"/>
        <v>0.78501893828439873</v>
      </c>
      <c r="BG279" s="508">
        <f t="shared" si="297"/>
        <v>0.78501893828439873</v>
      </c>
      <c r="BH279" s="508">
        <f t="shared" si="297"/>
        <v>0.78501893828439873</v>
      </c>
      <c r="BI279" s="508">
        <f t="shared" si="297"/>
        <v>0.78501893828439873</v>
      </c>
      <c r="BJ279" s="508">
        <f t="shared" si="297"/>
        <v>0.78501893828439873</v>
      </c>
      <c r="BK279" s="508">
        <f t="shared" si="297"/>
        <v>0.78501893828439873</v>
      </c>
      <c r="BL279" s="508">
        <f t="shared" si="297"/>
        <v>0.78501893828439873</v>
      </c>
      <c r="BM279" s="508">
        <f t="shared" si="297"/>
        <v>0.78501893828439873</v>
      </c>
      <c r="BN279" s="508"/>
      <c r="BO279" s="508"/>
      <c r="BP279" s="508">
        <f>IF($C$4=Year1,-PMT(Lookups!$E$17,25,NPV(Lookups!$E$17,AM279:BK279),0,1),IF($C$4=Year2,-PMT(Lookups!$F$17,25,NPV(Lookups!$F$17,AN279:BL279),0,1),IF($C$4=Year3,-PMT(Lookups!$G$17,25,NPV(Lookups!$G$17,AO279:BM279),0,1),-PMT(Lookups!$G$17,27,NPV(Lookups!$G$17,AM279:BM279),0,1))))</f>
        <v>0.77407049013786566</v>
      </c>
      <c r="BS279" s="84" t="s">
        <v>94</v>
      </c>
      <c r="BT279" s="51" t="s">
        <v>17</v>
      </c>
    </row>
    <row r="280" spans="1:72" x14ac:dyDescent="0.25">
      <c r="B280" s="243" t="str">
        <f>B278</f>
        <v>Large C&amp;I</v>
      </c>
      <c r="C280" s="243" t="str">
        <f>C278</f>
        <v>Rates</v>
      </c>
      <c r="D280" s="114" t="s">
        <v>24</v>
      </c>
      <c r="E280" s="86"/>
      <c r="F280" s="8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89"/>
      <c r="AM280" s="75"/>
      <c r="AN280" s="75"/>
      <c r="AO280" s="75"/>
      <c r="AP280" s="75"/>
      <c r="AQ280" s="75"/>
      <c r="AR280" s="75"/>
      <c r="AS280" s="75"/>
      <c r="AT280" s="75"/>
      <c r="AU280" s="75"/>
      <c r="AV280" s="75"/>
      <c r="AW280" s="75"/>
      <c r="AX280" s="75"/>
      <c r="AY280" s="75"/>
      <c r="AZ280" s="75"/>
      <c r="BA280" s="75"/>
      <c r="BB280" s="75"/>
      <c r="BC280" s="75"/>
      <c r="BD280" s="75"/>
      <c r="BE280" s="75"/>
      <c r="BF280" s="75"/>
      <c r="BG280" s="75"/>
      <c r="BH280" s="75"/>
      <c r="BI280" s="75"/>
      <c r="BJ280" s="75"/>
      <c r="BK280" s="75"/>
      <c r="BL280" s="75"/>
      <c r="BM280" s="75"/>
      <c r="BN280" s="75"/>
      <c r="BO280" s="75"/>
      <c r="BP280" s="75"/>
      <c r="BS280" s="84"/>
      <c r="BT280" s="51" t="s">
        <v>17</v>
      </c>
    </row>
    <row r="281" spans="1:72" x14ac:dyDescent="0.25">
      <c r="B281" s="243" t="str">
        <f t="shared" ref="B281:D282" si="298">B280</f>
        <v>Large C&amp;I</v>
      </c>
      <c r="C281" s="243" t="str">
        <f t="shared" si="298"/>
        <v>Rates</v>
      </c>
      <c r="D281" s="244" t="str">
        <f t="shared" si="298"/>
        <v>Avoided Costs</v>
      </c>
      <c r="E281" s="84" t="s">
        <v>45</v>
      </c>
      <c r="F281" s="84" t="s">
        <v>182</v>
      </c>
      <c r="G281" s="506">
        <f ca="1">IFERROR(-G262/G254,0)</f>
        <v>0</v>
      </c>
      <c r="H281" s="506">
        <f t="shared" ref="H281:AG281" ca="1" si="299">IFERROR(-H262/H254,0)</f>
        <v>-6.3689261189823043E-2</v>
      </c>
      <c r="I281" s="506">
        <f t="shared" ca="1" si="299"/>
        <v>-6.3689261189823043E-2</v>
      </c>
      <c r="J281" s="506">
        <f t="shared" ca="1" si="299"/>
        <v>-6.3689261189823043E-2</v>
      </c>
      <c r="K281" s="506">
        <f t="shared" ca="1" si="299"/>
        <v>-6.3689261189823043E-2</v>
      </c>
      <c r="L281" s="506">
        <f t="shared" ca="1" si="299"/>
        <v>-6.3689261189823043E-2</v>
      </c>
      <c r="M281" s="506">
        <f t="shared" ca="1" si="299"/>
        <v>-6.3689261189823043E-2</v>
      </c>
      <c r="N281" s="506">
        <f t="shared" ca="1" si="299"/>
        <v>-6.3689261189823043E-2</v>
      </c>
      <c r="O281" s="506">
        <f t="shared" ca="1" si="299"/>
        <v>-6.3689261189823043E-2</v>
      </c>
      <c r="P281" s="506">
        <f t="shared" ca="1" si="299"/>
        <v>-6.3689261189823043E-2</v>
      </c>
      <c r="Q281" s="506">
        <f t="shared" ca="1" si="299"/>
        <v>-6.3689261189823043E-2</v>
      </c>
      <c r="R281" s="506">
        <f t="shared" ca="1" si="299"/>
        <v>-6.3689261189823043E-2</v>
      </c>
      <c r="S281" s="506">
        <f t="shared" ca="1" si="299"/>
        <v>-6.3689261189823043E-2</v>
      </c>
      <c r="T281" s="506">
        <f t="shared" ca="1" si="299"/>
        <v>-6.3689261189823043E-2</v>
      </c>
      <c r="U281" s="506">
        <f t="shared" ca="1" si="299"/>
        <v>0</v>
      </c>
      <c r="V281" s="506">
        <f t="shared" ca="1" si="299"/>
        <v>0</v>
      </c>
      <c r="W281" s="506">
        <f t="shared" ca="1" si="299"/>
        <v>0</v>
      </c>
      <c r="X281" s="506">
        <f t="shared" ca="1" si="299"/>
        <v>0</v>
      </c>
      <c r="Y281" s="506">
        <f t="shared" ca="1" si="299"/>
        <v>0</v>
      </c>
      <c r="Z281" s="506">
        <f t="shared" ca="1" si="299"/>
        <v>0</v>
      </c>
      <c r="AA281" s="506">
        <f t="shared" ca="1" si="299"/>
        <v>0</v>
      </c>
      <c r="AB281" s="506">
        <f t="shared" ca="1" si="299"/>
        <v>0</v>
      </c>
      <c r="AC281" s="506">
        <f t="shared" ca="1" si="299"/>
        <v>0</v>
      </c>
      <c r="AD281" s="506">
        <f t="shared" ca="1" si="299"/>
        <v>0</v>
      </c>
      <c r="AE281" s="506">
        <f t="shared" ca="1" si="299"/>
        <v>0</v>
      </c>
      <c r="AF281" s="506">
        <f t="shared" ca="1" si="299"/>
        <v>0</v>
      </c>
      <c r="AG281" s="506">
        <f t="shared" ca="1" si="299"/>
        <v>0</v>
      </c>
      <c r="AH281" s="506"/>
      <c r="AI281" s="506"/>
      <c r="AJ281" s="506">
        <f ca="1">IF($C$4=Year1,-PMT(Lookups!$E$17,25,NPV(Lookups!$E$17,G281:AE281),0,1),IF($C$4=Year2,-PMT(Lookups!$F$17,25,NPV(Lookups!$F$17,H281:AF281),0,1),IF($C$4=Year3,-PMT(Lookups!$G$17,25,NPV(Lookups!$G$17,I281:AG281),0,1),-PMT(Lookups!$G$17,27,NPV(Lookups!$G$17,G281:AG281),0,1))))</f>
        <v>-3.5395013782596206E-2</v>
      </c>
      <c r="AK281" s="507"/>
      <c r="AL281" s="507"/>
      <c r="AM281" s="508">
        <f ca="1">IFERROR(-AM262/AM254,0)</f>
        <v>0</v>
      </c>
      <c r="AN281" s="508">
        <f t="shared" ref="AN281:BM281" ca="1" si="300">IFERROR(-AN262/AN254,0)</f>
        <v>-7.3783861533767453E-2</v>
      </c>
      <c r="AO281" s="508">
        <f t="shared" ca="1" si="300"/>
        <v>-7.3783861533767453E-2</v>
      </c>
      <c r="AP281" s="508">
        <f t="shared" ca="1" si="300"/>
        <v>-7.3783861533767453E-2</v>
      </c>
      <c r="AQ281" s="508">
        <f t="shared" ca="1" si="300"/>
        <v>-7.3783861533767453E-2</v>
      </c>
      <c r="AR281" s="508">
        <f t="shared" ca="1" si="300"/>
        <v>-7.3783861533767453E-2</v>
      </c>
      <c r="AS281" s="508">
        <f t="shared" ca="1" si="300"/>
        <v>-7.3783861533767453E-2</v>
      </c>
      <c r="AT281" s="508">
        <f t="shared" ca="1" si="300"/>
        <v>-7.3783861533767453E-2</v>
      </c>
      <c r="AU281" s="508">
        <f t="shared" ca="1" si="300"/>
        <v>-7.3783861533767453E-2</v>
      </c>
      <c r="AV281" s="508">
        <f t="shared" ca="1" si="300"/>
        <v>-7.3783861533767453E-2</v>
      </c>
      <c r="AW281" s="508">
        <f t="shared" ca="1" si="300"/>
        <v>-7.3783861533767453E-2</v>
      </c>
      <c r="AX281" s="508">
        <f t="shared" ca="1" si="300"/>
        <v>-7.3783861533767453E-2</v>
      </c>
      <c r="AY281" s="508">
        <f t="shared" ca="1" si="300"/>
        <v>-7.3783861533767453E-2</v>
      </c>
      <c r="AZ281" s="508">
        <f t="shared" ca="1" si="300"/>
        <v>-7.3783861533767453E-2</v>
      </c>
      <c r="BA281" s="508">
        <f t="shared" ca="1" si="300"/>
        <v>0</v>
      </c>
      <c r="BB281" s="508">
        <f t="shared" ca="1" si="300"/>
        <v>0</v>
      </c>
      <c r="BC281" s="508">
        <f t="shared" ca="1" si="300"/>
        <v>0</v>
      </c>
      <c r="BD281" s="508">
        <f t="shared" ca="1" si="300"/>
        <v>0</v>
      </c>
      <c r="BE281" s="508">
        <f t="shared" ca="1" si="300"/>
        <v>0</v>
      </c>
      <c r="BF281" s="508">
        <f t="shared" ca="1" si="300"/>
        <v>0</v>
      </c>
      <c r="BG281" s="508">
        <f t="shared" ca="1" si="300"/>
        <v>0</v>
      </c>
      <c r="BH281" s="508">
        <f t="shared" ca="1" si="300"/>
        <v>0</v>
      </c>
      <c r="BI281" s="508">
        <f t="shared" ca="1" si="300"/>
        <v>0</v>
      </c>
      <c r="BJ281" s="508">
        <f t="shared" ca="1" si="300"/>
        <v>0</v>
      </c>
      <c r="BK281" s="508">
        <f t="shared" ca="1" si="300"/>
        <v>0</v>
      </c>
      <c r="BL281" s="508">
        <f t="shared" ca="1" si="300"/>
        <v>0</v>
      </c>
      <c r="BM281" s="508">
        <f t="shared" ca="1" si="300"/>
        <v>0</v>
      </c>
      <c r="BN281" s="508"/>
      <c r="BO281" s="508"/>
      <c r="BP281" s="508">
        <f ca="1">IF($C$4=Year1,-PMT(Lookups!$E$17,25,NPV(Lookups!$E$17,AM281:BK281),0,1),IF($C$4=Year2,-PMT(Lookups!$F$17,25,NPV(Lookups!$F$17,AN281:BL281),0,1),IF($C$4=Year3,-PMT(Lookups!$G$17,25,NPV(Lookups!$G$17,AO281:BM281),0,1),-PMT(Lookups!$G$17,27,NPV(Lookups!$G$17,AM281:BM281),0,1))))</f>
        <v>-4.1005041464324231E-2</v>
      </c>
      <c r="BS281" s="84" t="str">
        <f t="shared" ref="BS281:BS283" si="301">"Avoided "&amp;E281&amp;" avoided costs divided by After Scenario sales."</f>
        <v>Avoided Gas avoided costs divided by After Scenario sales.</v>
      </c>
      <c r="BT281" s="51" t="s">
        <v>17</v>
      </c>
    </row>
    <row r="282" spans="1:72" x14ac:dyDescent="0.25">
      <c r="B282" s="243" t="str">
        <f t="shared" si="298"/>
        <v>Large C&amp;I</v>
      </c>
      <c r="C282" s="243" t="str">
        <f t="shared" si="298"/>
        <v>Rates</v>
      </c>
      <c r="D282" s="244" t="str">
        <f t="shared" si="298"/>
        <v>Avoided Costs</v>
      </c>
      <c r="E282" s="86" t="s">
        <v>412</v>
      </c>
      <c r="F282" s="84" t="s">
        <v>182</v>
      </c>
      <c r="G282" s="506">
        <f ca="1">IFERROR(-G263/G254,0)</f>
        <v>0</v>
      </c>
      <c r="H282" s="506">
        <f t="shared" ref="H282:AG282" ca="1" si="302">IFERROR(-H263/H254,0)</f>
        <v>-4.0652719908397675E-3</v>
      </c>
      <c r="I282" s="506">
        <f t="shared" ca="1" si="302"/>
        <v>-4.0652719908397675E-3</v>
      </c>
      <c r="J282" s="506">
        <f t="shared" ca="1" si="302"/>
        <v>-4.0652719908397675E-3</v>
      </c>
      <c r="K282" s="506">
        <f t="shared" ca="1" si="302"/>
        <v>-4.0652719908397675E-3</v>
      </c>
      <c r="L282" s="506">
        <f t="shared" ca="1" si="302"/>
        <v>-4.0652719908397675E-3</v>
      </c>
      <c r="M282" s="506">
        <f t="shared" ca="1" si="302"/>
        <v>-4.0652719908397675E-3</v>
      </c>
      <c r="N282" s="506">
        <f t="shared" ca="1" si="302"/>
        <v>-4.0652719908397675E-3</v>
      </c>
      <c r="O282" s="506">
        <f t="shared" ca="1" si="302"/>
        <v>-4.0652719908397675E-3</v>
      </c>
      <c r="P282" s="506">
        <f t="shared" ca="1" si="302"/>
        <v>-4.0652719908397675E-3</v>
      </c>
      <c r="Q282" s="506">
        <f t="shared" ca="1" si="302"/>
        <v>-4.0652719908397675E-3</v>
      </c>
      <c r="R282" s="506">
        <f t="shared" ca="1" si="302"/>
        <v>-4.0652719908397675E-3</v>
      </c>
      <c r="S282" s="506">
        <f t="shared" ca="1" si="302"/>
        <v>-4.0652719908397675E-3</v>
      </c>
      <c r="T282" s="506">
        <f t="shared" ca="1" si="302"/>
        <v>-4.0652719908397675E-3</v>
      </c>
      <c r="U282" s="506">
        <f t="shared" ca="1" si="302"/>
        <v>0</v>
      </c>
      <c r="V282" s="506">
        <f t="shared" ca="1" si="302"/>
        <v>0</v>
      </c>
      <c r="W282" s="506">
        <f t="shared" ca="1" si="302"/>
        <v>0</v>
      </c>
      <c r="X282" s="506">
        <f t="shared" ca="1" si="302"/>
        <v>0</v>
      </c>
      <c r="Y282" s="506">
        <f t="shared" ca="1" si="302"/>
        <v>0</v>
      </c>
      <c r="Z282" s="506">
        <f t="shared" ca="1" si="302"/>
        <v>0</v>
      </c>
      <c r="AA282" s="506">
        <f t="shared" ca="1" si="302"/>
        <v>0</v>
      </c>
      <c r="AB282" s="506">
        <f t="shared" ca="1" si="302"/>
        <v>0</v>
      </c>
      <c r="AC282" s="506">
        <f t="shared" ca="1" si="302"/>
        <v>0</v>
      </c>
      <c r="AD282" s="506">
        <f t="shared" ca="1" si="302"/>
        <v>0</v>
      </c>
      <c r="AE282" s="506">
        <f t="shared" ca="1" si="302"/>
        <v>0</v>
      </c>
      <c r="AF282" s="506">
        <f t="shared" ca="1" si="302"/>
        <v>0</v>
      </c>
      <c r="AG282" s="506">
        <f t="shared" ca="1" si="302"/>
        <v>0</v>
      </c>
      <c r="AH282" s="506"/>
      <c r="AI282" s="506"/>
      <c r="AJ282" s="506">
        <f ca="1">IF($C$4=Year1,-PMT(Lookups!$E$17,25,NPV(Lookups!$E$17,G282:AE282),0,1),IF($C$4=Year2,-PMT(Lookups!$F$17,25,NPV(Lookups!$F$17,H282:AF282),0,1),IF($C$4=Year3,-PMT(Lookups!$G$17,25,NPV(Lookups!$G$17,I282:AG282),0,1),-PMT(Lookups!$G$17,27,NPV(Lookups!$G$17,G282:AG282),0,1))))</f>
        <v>-2.2592561988891194E-3</v>
      </c>
      <c r="AK282" s="507"/>
      <c r="AL282" s="507"/>
      <c r="AM282" s="508">
        <f ca="1">IFERROR(-AM263/AM254,0)</f>
        <v>0</v>
      </c>
      <c r="AN282" s="508">
        <f t="shared" ref="AN282:BM282" ca="1" si="303">IFERROR(-AN263/AN254,0)</f>
        <v>-4.7096081830064335E-3</v>
      </c>
      <c r="AO282" s="508">
        <f t="shared" ca="1" si="303"/>
        <v>-4.7096081830064335E-3</v>
      </c>
      <c r="AP282" s="508">
        <f t="shared" ca="1" si="303"/>
        <v>-4.7096081830064335E-3</v>
      </c>
      <c r="AQ282" s="508">
        <f t="shared" ca="1" si="303"/>
        <v>-4.7096081830064335E-3</v>
      </c>
      <c r="AR282" s="508">
        <f t="shared" ca="1" si="303"/>
        <v>-4.7096081830064335E-3</v>
      </c>
      <c r="AS282" s="508">
        <f t="shared" ca="1" si="303"/>
        <v>-4.7096081830064335E-3</v>
      </c>
      <c r="AT282" s="508">
        <f t="shared" ca="1" si="303"/>
        <v>-4.7096081830064335E-3</v>
      </c>
      <c r="AU282" s="508">
        <f t="shared" ca="1" si="303"/>
        <v>-4.7096081830064335E-3</v>
      </c>
      <c r="AV282" s="508">
        <f t="shared" ca="1" si="303"/>
        <v>-4.7096081830064335E-3</v>
      </c>
      <c r="AW282" s="508">
        <f t="shared" ca="1" si="303"/>
        <v>-4.7096081830064335E-3</v>
      </c>
      <c r="AX282" s="508">
        <f t="shared" ca="1" si="303"/>
        <v>-4.7096081830064335E-3</v>
      </c>
      <c r="AY282" s="508">
        <f t="shared" ca="1" si="303"/>
        <v>-4.7096081830064335E-3</v>
      </c>
      <c r="AZ282" s="508">
        <f t="shared" ca="1" si="303"/>
        <v>-4.7096081830064335E-3</v>
      </c>
      <c r="BA282" s="508">
        <f t="shared" ca="1" si="303"/>
        <v>0</v>
      </c>
      <c r="BB282" s="508">
        <f t="shared" ca="1" si="303"/>
        <v>0</v>
      </c>
      <c r="BC282" s="508">
        <f t="shared" ca="1" si="303"/>
        <v>0</v>
      </c>
      <c r="BD282" s="508">
        <f t="shared" ca="1" si="303"/>
        <v>0</v>
      </c>
      <c r="BE282" s="508">
        <f t="shared" ca="1" si="303"/>
        <v>0</v>
      </c>
      <c r="BF282" s="508">
        <f t="shared" ca="1" si="303"/>
        <v>0</v>
      </c>
      <c r="BG282" s="508">
        <f t="shared" ca="1" si="303"/>
        <v>0</v>
      </c>
      <c r="BH282" s="508">
        <f t="shared" ca="1" si="303"/>
        <v>0</v>
      </c>
      <c r="BI282" s="508">
        <f t="shared" ca="1" si="303"/>
        <v>0</v>
      </c>
      <c r="BJ282" s="508">
        <f t="shared" ca="1" si="303"/>
        <v>0</v>
      </c>
      <c r="BK282" s="508">
        <f t="shared" ca="1" si="303"/>
        <v>0</v>
      </c>
      <c r="BL282" s="508">
        <f t="shared" ca="1" si="303"/>
        <v>0</v>
      </c>
      <c r="BM282" s="508">
        <f t="shared" ca="1" si="303"/>
        <v>0</v>
      </c>
      <c r="BN282" s="508"/>
      <c r="BO282" s="508"/>
      <c r="BP282" s="508">
        <f ca="1">IF($C$4=Year1,-PMT(Lookups!$E$17,25,NPV(Lookups!$E$17,AM282:BK282),0,1),IF($C$4=Year2,-PMT(Lookups!$F$17,25,NPV(Lookups!$F$17,AN282:BL282),0,1),IF($C$4=Year3,-PMT(Lookups!$G$17,25,NPV(Lookups!$G$17,AO282:BM282),0,1),-PMT(Lookups!$G$17,27,NPV(Lookups!$G$17,AM282:BM282),0,1))))</f>
        <v>-2.617343072190908E-3</v>
      </c>
      <c r="BS282" s="84" t="str">
        <f t="shared" si="301"/>
        <v>Avoided Gas, Retail Margin avoided costs divided by After Scenario sales.</v>
      </c>
      <c r="BT282" s="51"/>
    </row>
    <row r="283" spans="1:72" x14ac:dyDescent="0.25">
      <c r="B283" s="243" t="str">
        <f t="shared" ref="B283:D283" si="304">B281</f>
        <v>Large C&amp;I</v>
      </c>
      <c r="C283" s="243" t="str">
        <f t="shared" si="304"/>
        <v>Rates</v>
      </c>
      <c r="D283" s="244" t="str">
        <f t="shared" si="304"/>
        <v>Avoided Costs</v>
      </c>
      <c r="E283" s="86" t="s">
        <v>175</v>
      </c>
      <c r="F283" s="84" t="s">
        <v>182</v>
      </c>
      <c r="G283" s="506">
        <f ca="1">IFERROR(-G264/G254,0)</f>
        <v>0</v>
      </c>
      <c r="H283" s="506">
        <f t="shared" ref="H283:AG283" ca="1" si="305">IFERROR(-H264/H254,0)</f>
        <v>-3.2314936968647462E-3</v>
      </c>
      <c r="I283" s="506">
        <f t="shared" ca="1" si="305"/>
        <v>-3.2314936968647462E-3</v>
      </c>
      <c r="J283" s="506">
        <f t="shared" ca="1" si="305"/>
        <v>-3.2314936968647462E-3</v>
      </c>
      <c r="K283" s="506">
        <f t="shared" ca="1" si="305"/>
        <v>-3.2314936968647462E-3</v>
      </c>
      <c r="L283" s="506">
        <f t="shared" ca="1" si="305"/>
        <v>-3.2314936968647462E-3</v>
      </c>
      <c r="M283" s="506">
        <f t="shared" ca="1" si="305"/>
        <v>-3.2314936968647462E-3</v>
      </c>
      <c r="N283" s="506">
        <f t="shared" ca="1" si="305"/>
        <v>-3.2314936968647462E-3</v>
      </c>
      <c r="O283" s="506">
        <f t="shared" ca="1" si="305"/>
        <v>-3.2314936968647462E-3</v>
      </c>
      <c r="P283" s="506">
        <f t="shared" ca="1" si="305"/>
        <v>-3.2314936968647462E-3</v>
      </c>
      <c r="Q283" s="506">
        <f t="shared" ca="1" si="305"/>
        <v>-3.2314936968647462E-3</v>
      </c>
      <c r="R283" s="506">
        <f t="shared" ca="1" si="305"/>
        <v>-3.2314936968647462E-3</v>
      </c>
      <c r="S283" s="506">
        <f t="shared" ca="1" si="305"/>
        <v>-3.2314936968647462E-3</v>
      </c>
      <c r="T283" s="506">
        <f t="shared" ca="1" si="305"/>
        <v>-3.2314936968647462E-3</v>
      </c>
      <c r="U283" s="506">
        <f t="shared" ca="1" si="305"/>
        <v>0</v>
      </c>
      <c r="V283" s="506">
        <f t="shared" ca="1" si="305"/>
        <v>0</v>
      </c>
      <c r="W283" s="506">
        <f t="shared" ca="1" si="305"/>
        <v>0</v>
      </c>
      <c r="X283" s="506">
        <f t="shared" ca="1" si="305"/>
        <v>0</v>
      </c>
      <c r="Y283" s="506">
        <f t="shared" ca="1" si="305"/>
        <v>0</v>
      </c>
      <c r="Z283" s="506">
        <f t="shared" ca="1" si="305"/>
        <v>0</v>
      </c>
      <c r="AA283" s="506">
        <f t="shared" ca="1" si="305"/>
        <v>0</v>
      </c>
      <c r="AB283" s="506">
        <f t="shared" ca="1" si="305"/>
        <v>0</v>
      </c>
      <c r="AC283" s="506">
        <f t="shared" ca="1" si="305"/>
        <v>0</v>
      </c>
      <c r="AD283" s="506">
        <f t="shared" ca="1" si="305"/>
        <v>0</v>
      </c>
      <c r="AE283" s="506">
        <f t="shared" ca="1" si="305"/>
        <v>0</v>
      </c>
      <c r="AF283" s="506">
        <f t="shared" ca="1" si="305"/>
        <v>0</v>
      </c>
      <c r="AG283" s="506">
        <f t="shared" ca="1" si="305"/>
        <v>0</v>
      </c>
      <c r="AH283" s="506"/>
      <c r="AI283" s="506"/>
      <c r="AJ283" s="506">
        <f ca="1">IF($C$4=Year1,-PMT(Lookups!$E$17,25,NPV(Lookups!$E$17,G283:AE283),0,1),IF($C$4=Year2,-PMT(Lookups!$F$17,25,NPV(Lookups!$F$17,H283:AF283),0,1),IF($C$4=Year3,-PMT(Lookups!$G$17,25,NPV(Lookups!$G$17,I283:AG283),0,1),-PMT(Lookups!$G$17,27,NPV(Lookups!$G$17,G283:AG283),0,1))))</f>
        <v>-1.7958877493962388E-3</v>
      </c>
      <c r="AK283" s="507"/>
      <c r="AL283" s="507"/>
      <c r="AM283" s="508">
        <f ca="1">IFERROR(-AM264/AM254,0)</f>
        <v>0</v>
      </c>
      <c r="AN283" s="508">
        <f t="shared" ref="AN283:BM283" ca="1" si="306">IFERROR(-AN264/AN254,0)</f>
        <v>-3.7436779611255732E-3</v>
      </c>
      <c r="AO283" s="508">
        <f t="shared" ca="1" si="306"/>
        <v>-3.7436779611255732E-3</v>
      </c>
      <c r="AP283" s="508">
        <f t="shared" ca="1" si="306"/>
        <v>-3.7436779611255732E-3</v>
      </c>
      <c r="AQ283" s="508">
        <f t="shared" ca="1" si="306"/>
        <v>-3.7436779611255732E-3</v>
      </c>
      <c r="AR283" s="508">
        <f t="shared" ca="1" si="306"/>
        <v>-3.7436779611255732E-3</v>
      </c>
      <c r="AS283" s="508">
        <f t="shared" ca="1" si="306"/>
        <v>-3.7436779611255732E-3</v>
      </c>
      <c r="AT283" s="508">
        <f t="shared" ca="1" si="306"/>
        <v>-3.7436779611255732E-3</v>
      </c>
      <c r="AU283" s="508">
        <f t="shared" ca="1" si="306"/>
        <v>-3.7436779611255732E-3</v>
      </c>
      <c r="AV283" s="508">
        <f t="shared" ca="1" si="306"/>
        <v>-3.7436779611255732E-3</v>
      </c>
      <c r="AW283" s="508">
        <f t="shared" ca="1" si="306"/>
        <v>-3.7436779611255732E-3</v>
      </c>
      <c r="AX283" s="508">
        <f t="shared" ca="1" si="306"/>
        <v>-3.7436779611255732E-3</v>
      </c>
      <c r="AY283" s="508">
        <f t="shared" ca="1" si="306"/>
        <v>-3.7436779611255732E-3</v>
      </c>
      <c r="AZ283" s="508">
        <f t="shared" ca="1" si="306"/>
        <v>-3.7436779611255732E-3</v>
      </c>
      <c r="BA283" s="508">
        <f t="shared" ca="1" si="306"/>
        <v>0</v>
      </c>
      <c r="BB283" s="508">
        <f t="shared" ca="1" si="306"/>
        <v>0</v>
      </c>
      <c r="BC283" s="508">
        <f t="shared" ca="1" si="306"/>
        <v>0</v>
      </c>
      <c r="BD283" s="508">
        <f t="shared" ca="1" si="306"/>
        <v>0</v>
      </c>
      <c r="BE283" s="508">
        <f t="shared" ca="1" si="306"/>
        <v>0</v>
      </c>
      <c r="BF283" s="508">
        <f t="shared" ca="1" si="306"/>
        <v>0</v>
      </c>
      <c r="BG283" s="508">
        <f t="shared" ca="1" si="306"/>
        <v>0</v>
      </c>
      <c r="BH283" s="508">
        <f t="shared" ca="1" si="306"/>
        <v>0</v>
      </c>
      <c r="BI283" s="508">
        <f t="shared" ca="1" si="306"/>
        <v>0</v>
      </c>
      <c r="BJ283" s="508">
        <f t="shared" ca="1" si="306"/>
        <v>0</v>
      </c>
      <c r="BK283" s="508">
        <f t="shared" ca="1" si="306"/>
        <v>0</v>
      </c>
      <c r="BL283" s="508">
        <f t="shared" ca="1" si="306"/>
        <v>0</v>
      </c>
      <c r="BM283" s="508">
        <f t="shared" ca="1" si="306"/>
        <v>0</v>
      </c>
      <c r="BN283" s="508"/>
      <c r="BO283" s="508"/>
      <c r="BP283" s="508">
        <f ca="1">IF($C$4=Year1,-PMT(Lookups!$E$17,25,NPV(Lookups!$E$17,AM283:BK283),0,1),IF($C$4=Year2,-PMT(Lookups!$F$17,25,NPV(Lookups!$F$17,AN283:BL283),0,1),IF($C$4=Year3,-PMT(Lookups!$G$17,25,NPV(Lookups!$G$17,AO283:BM283),0,1),-PMT(Lookups!$G$17,27,NPV(Lookups!$G$17,AM283:BM283),0,1))))</f>
        <v>-2.0805317969807887E-3</v>
      </c>
      <c r="BS283" s="84" t="str">
        <f t="shared" si="301"/>
        <v>Avoided Gas DRIPE avoided costs divided by After Scenario sales.</v>
      </c>
      <c r="BT283" s="51" t="s">
        <v>17</v>
      </c>
    </row>
    <row r="284" spans="1:72" x14ac:dyDescent="0.25">
      <c r="B284" s="243" t="str">
        <f t="shared" ref="B284:D292" si="307">B283</f>
        <v>Large C&amp;I</v>
      </c>
      <c r="C284" s="243" t="str">
        <f t="shared" si="307"/>
        <v>Rates</v>
      </c>
      <c r="D284" s="244" t="str">
        <f t="shared" si="307"/>
        <v>Avoided Costs</v>
      </c>
      <c r="E284" s="86" t="s">
        <v>76</v>
      </c>
      <c r="F284" s="84" t="s">
        <v>182</v>
      </c>
      <c r="G284" s="506">
        <f ca="1">SUM(G281:G283)</f>
        <v>0</v>
      </c>
      <c r="H284" s="506">
        <f t="shared" ref="H284:AG284" ca="1" si="308">SUM(H281:H283)</f>
        <v>-7.0986026877527558E-2</v>
      </c>
      <c r="I284" s="506">
        <f t="shared" ca="1" si="308"/>
        <v>-7.0986026877527558E-2</v>
      </c>
      <c r="J284" s="506">
        <f t="shared" ca="1" si="308"/>
        <v>-7.0986026877527558E-2</v>
      </c>
      <c r="K284" s="506">
        <f t="shared" ca="1" si="308"/>
        <v>-7.0986026877527558E-2</v>
      </c>
      <c r="L284" s="506">
        <f t="shared" ca="1" si="308"/>
        <v>-7.0986026877527558E-2</v>
      </c>
      <c r="M284" s="506">
        <f t="shared" ca="1" si="308"/>
        <v>-7.0986026877527558E-2</v>
      </c>
      <c r="N284" s="506">
        <f t="shared" ca="1" si="308"/>
        <v>-7.0986026877527558E-2</v>
      </c>
      <c r="O284" s="506">
        <f t="shared" ca="1" si="308"/>
        <v>-7.0986026877527558E-2</v>
      </c>
      <c r="P284" s="506">
        <f t="shared" ca="1" si="308"/>
        <v>-7.0986026877527558E-2</v>
      </c>
      <c r="Q284" s="506">
        <f t="shared" ca="1" si="308"/>
        <v>-7.0986026877527558E-2</v>
      </c>
      <c r="R284" s="506">
        <f t="shared" ca="1" si="308"/>
        <v>-7.0986026877527558E-2</v>
      </c>
      <c r="S284" s="506">
        <f t="shared" ca="1" si="308"/>
        <v>-7.0986026877527558E-2</v>
      </c>
      <c r="T284" s="506">
        <f t="shared" ca="1" si="308"/>
        <v>-7.0986026877527558E-2</v>
      </c>
      <c r="U284" s="506">
        <f t="shared" ca="1" si="308"/>
        <v>0</v>
      </c>
      <c r="V284" s="506">
        <f t="shared" ca="1" si="308"/>
        <v>0</v>
      </c>
      <c r="W284" s="506">
        <f t="shared" ca="1" si="308"/>
        <v>0</v>
      </c>
      <c r="X284" s="506">
        <f t="shared" ca="1" si="308"/>
        <v>0</v>
      </c>
      <c r="Y284" s="506">
        <f t="shared" ca="1" si="308"/>
        <v>0</v>
      </c>
      <c r="Z284" s="506">
        <f t="shared" ca="1" si="308"/>
        <v>0</v>
      </c>
      <c r="AA284" s="506">
        <f t="shared" ca="1" si="308"/>
        <v>0</v>
      </c>
      <c r="AB284" s="506">
        <f t="shared" ca="1" si="308"/>
        <v>0</v>
      </c>
      <c r="AC284" s="506">
        <f t="shared" ca="1" si="308"/>
        <v>0</v>
      </c>
      <c r="AD284" s="506">
        <f t="shared" ca="1" si="308"/>
        <v>0</v>
      </c>
      <c r="AE284" s="506">
        <f t="shared" ca="1" si="308"/>
        <v>0</v>
      </c>
      <c r="AF284" s="506">
        <f t="shared" ca="1" si="308"/>
        <v>0</v>
      </c>
      <c r="AG284" s="506">
        <f t="shared" ca="1" si="308"/>
        <v>0</v>
      </c>
      <c r="AH284" s="506"/>
      <c r="AI284" s="506"/>
      <c r="AJ284" s="506">
        <f ca="1">IF($C$4=Year1,-PMT(Lookups!$E$17,25,NPV(Lookups!$E$17,G284:AE284),0,1),IF($C$4=Year2,-PMT(Lookups!$F$17,25,NPV(Lookups!$F$17,H284:AF284),0,1),IF($C$4=Year3,-PMT(Lookups!$G$17,25,NPV(Lookups!$G$17,I284:AG284),0,1),-PMT(Lookups!$G$17,27,NPV(Lookups!$G$17,G284:AG284),0,1))))</f>
        <v>-3.9450157730881577E-2</v>
      </c>
      <c r="AK284" s="507"/>
      <c r="AL284" s="507"/>
      <c r="AM284" s="508">
        <f ca="1">SUM(AM281:AM283)</f>
        <v>0</v>
      </c>
      <c r="AN284" s="508">
        <f t="shared" ref="AN284:BM284" ca="1" si="309">SUM(AN281:AN283)</f>
        <v>-8.2237147677899455E-2</v>
      </c>
      <c r="AO284" s="508">
        <f t="shared" ca="1" si="309"/>
        <v>-8.2237147677899455E-2</v>
      </c>
      <c r="AP284" s="508">
        <f t="shared" ca="1" si="309"/>
        <v>-8.2237147677899455E-2</v>
      </c>
      <c r="AQ284" s="508">
        <f t="shared" ca="1" si="309"/>
        <v>-8.2237147677899455E-2</v>
      </c>
      <c r="AR284" s="508">
        <f t="shared" ca="1" si="309"/>
        <v>-8.2237147677899455E-2</v>
      </c>
      <c r="AS284" s="508">
        <f t="shared" ca="1" si="309"/>
        <v>-8.2237147677899455E-2</v>
      </c>
      <c r="AT284" s="508">
        <f t="shared" ca="1" si="309"/>
        <v>-8.2237147677899455E-2</v>
      </c>
      <c r="AU284" s="508">
        <f t="shared" ca="1" si="309"/>
        <v>-8.2237147677899455E-2</v>
      </c>
      <c r="AV284" s="508">
        <f t="shared" ca="1" si="309"/>
        <v>-8.2237147677899455E-2</v>
      </c>
      <c r="AW284" s="508">
        <f t="shared" ca="1" si="309"/>
        <v>-8.2237147677899455E-2</v>
      </c>
      <c r="AX284" s="508">
        <f t="shared" ca="1" si="309"/>
        <v>-8.2237147677899455E-2</v>
      </c>
      <c r="AY284" s="508">
        <f t="shared" ca="1" si="309"/>
        <v>-8.2237147677899455E-2</v>
      </c>
      <c r="AZ284" s="508">
        <f t="shared" ca="1" si="309"/>
        <v>-8.2237147677899455E-2</v>
      </c>
      <c r="BA284" s="508">
        <f t="shared" ca="1" si="309"/>
        <v>0</v>
      </c>
      <c r="BB284" s="508">
        <f t="shared" ca="1" si="309"/>
        <v>0</v>
      </c>
      <c r="BC284" s="508">
        <f t="shared" ca="1" si="309"/>
        <v>0</v>
      </c>
      <c r="BD284" s="508">
        <f t="shared" ca="1" si="309"/>
        <v>0</v>
      </c>
      <c r="BE284" s="508">
        <f t="shared" ca="1" si="309"/>
        <v>0</v>
      </c>
      <c r="BF284" s="508">
        <f t="shared" ca="1" si="309"/>
        <v>0</v>
      </c>
      <c r="BG284" s="508">
        <f t="shared" ca="1" si="309"/>
        <v>0</v>
      </c>
      <c r="BH284" s="508">
        <f t="shared" ca="1" si="309"/>
        <v>0</v>
      </c>
      <c r="BI284" s="508">
        <f t="shared" ca="1" si="309"/>
        <v>0</v>
      </c>
      <c r="BJ284" s="508">
        <f t="shared" ca="1" si="309"/>
        <v>0</v>
      </c>
      <c r="BK284" s="508">
        <f t="shared" ca="1" si="309"/>
        <v>0</v>
      </c>
      <c r="BL284" s="508">
        <f t="shared" ca="1" si="309"/>
        <v>0</v>
      </c>
      <c r="BM284" s="508">
        <f t="shared" ca="1" si="309"/>
        <v>0</v>
      </c>
      <c r="BN284" s="508"/>
      <c r="BO284" s="508"/>
      <c r="BP284" s="508">
        <f ca="1">IF($C$4=Year1,-PMT(Lookups!$E$17,25,NPV(Lookups!$E$17,AM284:BK284),0,1),IF($C$4=Year2,-PMT(Lookups!$F$17,25,NPV(Lookups!$F$17,AN284:BL284),0,1),IF($C$4=Year3,-PMT(Lookups!$G$17,25,NPV(Lookups!$G$17,AO284:BM284),0,1),-PMT(Lookups!$G$17,27,NPV(Lookups!$G$17,AM284:BM284),0,1))))</f>
        <v>-4.5702916333495915E-2</v>
      </c>
      <c r="BS284" s="84" t="s">
        <v>232</v>
      </c>
      <c r="BT284" s="51" t="s">
        <v>17</v>
      </c>
    </row>
    <row r="285" spans="1:72" x14ac:dyDescent="0.25">
      <c r="B285" s="243" t="str">
        <f t="shared" si="307"/>
        <v>Large C&amp;I</v>
      </c>
      <c r="C285" s="243" t="str">
        <f t="shared" si="307"/>
        <v>Rates</v>
      </c>
      <c r="D285" s="114" t="s">
        <v>165</v>
      </c>
      <c r="E285" s="86"/>
      <c r="F285" s="86"/>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S285" s="84"/>
      <c r="BT285" s="51" t="s">
        <v>17</v>
      </c>
    </row>
    <row r="286" spans="1:72" x14ac:dyDescent="0.25">
      <c r="A286" s="246"/>
      <c r="B286" s="243" t="str">
        <f t="shared" si="307"/>
        <v>Large C&amp;I</v>
      </c>
      <c r="C286" s="243" t="str">
        <f t="shared" si="307"/>
        <v>Rates</v>
      </c>
      <c r="D286" s="244" t="str">
        <f t="shared" si="307"/>
        <v>Increased Costs and Cost Shifting</v>
      </c>
      <c r="E286" s="84" t="s">
        <v>406</v>
      </c>
      <c r="F286" s="84" t="s">
        <v>182</v>
      </c>
      <c r="G286" s="509">
        <f ca="1">IF($C$4=Lookups!$D$40,SUM(INDIRECT("'Yr1'!"&amp;ADDRESS(ROW(G286),COLUMN(G286))),INDIRECT("'Yr2'!"&amp;ADDRESS(ROW(G286),COLUMN(G286))),INDIRECT("'Yr3'!"&amp;ADDRESS(ROW(G286),COLUMN(G286)))),
IF($C$4=G$7,SUMIFS('EE Inputs'!$L$9:$L$32,'EE Inputs'!$C$9:$C$32,$G$6,'EE Inputs'!$D$9:$D$32,$C$4,'EE Inputs'!$E$9:$E$32,$B286),0))</f>
        <v>0</v>
      </c>
      <c r="H286" s="509">
        <f ca="1">IF($C$4=Lookups!$D$40,SUM(INDIRECT("'Yr1'!"&amp;ADDRESS(ROW(H286),COLUMN(H286))),INDIRECT("'Yr2'!"&amp;ADDRESS(ROW(H286),COLUMN(H286))),INDIRECT("'Yr3'!"&amp;ADDRESS(ROW(H286),COLUMN(H286)))),
IF($C$4=H$7,SUMIFS('EE Inputs'!$L$9:$L$32,'EE Inputs'!$C$9:$C$32,$G$6,'EE Inputs'!$D$9:$D$32,$C$4,'EE Inputs'!$E$9:$E$32,$B286),0))</f>
        <v>0.14926911562058559</v>
      </c>
      <c r="I286" s="509">
        <f ca="1">IF($C$4=Lookups!$D$40,SUM(INDIRECT("'Yr1'!"&amp;ADDRESS(ROW(I286),COLUMN(I286))),INDIRECT("'Yr2'!"&amp;ADDRESS(ROW(I286),COLUMN(I286))),INDIRECT("'Yr3'!"&amp;ADDRESS(ROW(I286),COLUMN(I286)))),
IF($C$4=I$7,SUMIFS('EE Inputs'!$L$9:$L$32,'EE Inputs'!$C$9:$C$32,$G$6,'EE Inputs'!$D$9:$D$32,$C$4,'EE Inputs'!$E$9:$E$32,$B286),0))</f>
        <v>0</v>
      </c>
      <c r="J286" s="509">
        <f ca="1">IF($C$4=Lookups!$D$40,SUM(INDIRECT("'Yr1'!"&amp;ADDRESS(ROW(J286),COLUMN(J286))),INDIRECT("'Yr2'!"&amp;ADDRESS(ROW(J286),COLUMN(J286))),INDIRECT("'Yr3'!"&amp;ADDRESS(ROW(J286),COLUMN(J286)))),
IF($C$4=J$7,SUMIFS('EE Inputs'!$L$9:$L$32,'EE Inputs'!$C$9:$C$32,$G$6,'EE Inputs'!$D$9:$D$32,$C$4,'EE Inputs'!$E$9:$E$32,$B286),0))</f>
        <v>0</v>
      </c>
      <c r="K286" s="509">
        <f ca="1">IF($C$4=Lookups!$D$40,SUM(INDIRECT("'Yr1'!"&amp;ADDRESS(ROW(K286),COLUMN(K286))),INDIRECT("'Yr2'!"&amp;ADDRESS(ROW(K286),COLUMN(K286))),INDIRECT("'Yr3'!"&amp;ADDRESS(ROW(K286),COLUMN(K286)))),
IF($C$4=K$7,SUMIFS('EE Inputs'!$L$9:$L$32,'EE Inputs'!$C$9:$C$32,$G$6,'EE Inputs'!$D$9:$D$32,$C$4,'EE Inputs'!$E$9:$E$32,$B286),0))</f>
        <v>0</v>
      </c>
      <c r="L286" s="509">
        <f ca="1">IF($C$4=Lookups!$D$40,SUM(INDIRECT("'Yr1'!"&amp;ADDRESS(ROW(L286),COLUMN(L286))),INDIRECT("'Yr2'!"&amp;ADDRESS(ROW(L286),COLUMN(L286))),INDIRECT("'Yr3'!"&amp;ADDRESS(ROW(L286),COLUMN(L286)))),
IF($C$4=L$7,SUMIFS('EE Inputs'!$L$9:$L$32,'EE Inputs'!$C$9:$C$32,$G$6,'EE Inputs'!$D$9:$D$32,$C$4,'EE Inputs'!$E$9:$E$32,$B286),0))</f>
        <v>0</v>
      </c>
      <c r="M286" s="509">
        <f ca="1">IF($C$4=Lookups!$D$40,SUM(INDIRECT("'Yr1'!"&amp;ADDRESS(ROW(M286),COLUMN(M286))),INDIRECT("'Yr2'!"&amp;ADDRESS(ROW(M286),COLUMN(M286))),INDIRECT("'Yr3'!"&amp;ADDRESS(ROW(M286),COLUMN(M286)))),
IF($C$4=M$7,SUMIFS('EE Inputs'!$L$9:$L$32,'EE Inputs'!$C$9:$C$32,$G$6,'EE Inputs'!$D$9:$D$32,$C$4,'EE Inputs'!$E$9:$E$32,$B286),0))</f>
        <v>0</v>
      </c>
      <c r="N286" s="509">
        <f ca="1">IF($C$4=Lookups!$D$40,SUM(INDIRECT("'Yr1'!"&amp;ADDRESS(ROW(N286),COLUMN(N286))),INDIRECT("'Yr2'!"&amp;ADDRESS(ROW(N286),COLUMN(N286))),INDIRECT("'Yr3'!"&amp;ADDRESS(ROW(N286),COLUMN(N286)))),
IF($C$4=N$7,SUMIFS('EE Inputs'!$L$9:$L$32,'EE Inputs'!$C$9:$C$32,$G$6,'EE Inputs'!$D$9:$D$32,$C$4,'EE Inputs'!$E$9:$E$32,$B286),0))</f>
        <v>0</v>
      </c>
      <c r="O286" s="509">
        <f ca="1">IF($C$4=Lookups!$D$40,SUM(INDIRECT("'Yr1'!"&amp;ADDRESS(ROW(O286),COLUMN(O286))),INDIRECT("'Yr2'!"&amp;ADDRESS(ROW(O286),COLUMN(O286))),INDIRECT("'Yr3'!"&amp;ADDRESS(ROW(O286),COLUMN(O286)))),
IF($C$4=O$7,SUMIFS('EE Inputs'!$L$9:$L$32,'EE Inputs'!$C$9:$C$32,$G$6,'EE Inputs'!$D$9:$D$32,$C$4,'EE Inputs'!$E$9:$E$32,$B286),0))</f>
        <v>0</v>
      </c>
      <c r="P286" s="509">
        <f ca="1">IF($C$4=Lookups!$D$40,SUM(INDIRECT("'Yr1'!"&amp;ADDRESS(ROW(P286),COLUMN(P286))),INDIRECT("'Yr2'!"&amp;ADDRESS(ROW(P286),COLUMN(P286))),INDIRECT("'Yr3'!"&amp;ADDRESS(ROW(P286),COLUMN(P286)))),
IF($C$4=P$7,SUMIFS('EE Inputs'!$L$9:$L$32,'EE Inputs'!$C$9:$C$32,$G$6,'EE Inputs'!$D$9:$D$32,$C$4,'EE Inputs'!$E$9:$E$32,$B286),0))</f>
        <v>0</v>
      </c>
      <c r="Q286" s="509">
        <f ca="1">IF($C$4=Lookups!$D$40,SUM(INDIRECT("'Yr1'!"&amp;ADDRESS(ROW(Q286),COLUMN(Q286))),INDIRECT("'Yr2'!"&amp;ADDRESS(ROW(Q286),COLUMN(Q286))),INDIRECT("'Yr3'!"&amp;ADDRESS(ROW(Q286),COLUMN(Q286)))),
IF($C$4=Q$7,SUMIFS('EE Inputs'!$L$9:$L$32,'EE Inputs'!$C$9:$C$32,$G$6,'EE Inputs'!$D$9:$D$32,$C$4,'EE Inputs'!$E$9:$E$32,$B286),0))</f>
        <v>0</v>
      </c>
      <c r="R286" s="509">
        <f ca="1">IF($C$4=Lookups!$D$40,SUM(INDIRECT("'Yr1'!"&amp;ADDRESS(ROW(R286),COLUMN(R286))),INDIRECT("'Yr2'!"&amp;ADDRESS(ROW(R286),COLUMN(R286))),INDIRECT("'Yr3'!"&amp;ADDRESS(ROW(R286),COLUMN(R286)))),
IF($C$4=R$7,SUMIFS('EE Inputs'!$L$9:$L$32,'EE Inputs'!$C$9:$C$32,$G$6,'EE Inputs'!$D$9:$D$32,$C$4,'EE Inputs'!$E$9:$E$32,$B286),0))</f>
        <v>0</v>
      </c>
      <c r="S286" s="509">
        <f ca="1">IF($C$4=Lookups!$D$40,SUM(INDIRECT("'Yr1'!"&amp;ADDRESS(ROW(S286),COLUMN(S286))),INDIRECT("'Yr2'!"&amp;ADDRESS(ROW(S286),COLUMN(S286))),INDIRECT("'Yr3'!"&amp;ADDRESS(ROW(S286),COLUMN(S286)))),
IF($C$4=S$7,SUMIFS('EE Inputs'!$L$9:$L$32,'EE Inputs'!$C$9:$C$32,$G$6,'EE Inputs'!$D$9:$D$32,$C$4,'EE Inputs'!$E$9:$E$32,$B286),0))</f>
        <v>0</v>
      </c>
      <c r="T286" s="509">
        <f ca="1">IF($C$4=Lookups!$D$40,SUM(INDIRECT("'Yr1'!"&amp;ADDRESS(ROW(T286),COLUMN(T286))),INDIRECT("'Yr2'!"&amp;ADDRESS(ROW(T286),COLUMN(T286))),INDIRECT("'Yr3'!"&amp;ADDRESS(ROW(T286),COLUMN(T286)))),
IF($C$4=T$7,SUMIFS('EE Inputs'!$L$9:$L$32,'EE Inputs'!$C$9:$C$32,$G$6,'EE Inputs'!$D$9:$D$32,$C$4,'EE Inputs'!$E$9:$E$32,$B286),0))</f>
        <v>0</v>
      </c>
      <c r="U286" s="509">
        <f ca="1">IF($C$4=Lookups!$D$40,SUM(INDIRECT("'Yr1'!"&amp;ADDRESS(ROW(U286),COLUMN(U286))),INDIRECT("'Yr2'!"&amp;ADDRESS(ROW(U286),COLUMN(U286))),INDIRECT("'Yr3'!"&amp;ADDRESS(ROW(U286),COLUMN(U286)))),
IF($C$4=U$7,SUMIFS('EE Inputs'!$L$9:$L$32,'EE Inputs'!$C$9:$C$32,$G$6,'EE Inputs'!$D$9:$D$32,$C$4,'EE Inputs'!$E$9:$E$32,$B286),0))</f>
        <v>0</v>
      </c>
      <c r="V286" s="509">
        <f ca="1">IF($C$4=Lookups!$D$40,SUM(INDIRECT("'Yr1'!"&amp;ADDRESS(ROW(V286),COLUMN(V286))),INDIRECT("'Yr2'!"&amp;ADDRESS(ROW(V286),COLUMN(V286))),INDIRECT("'Yr3'!"&amp;ADDRESS(ROW(V286),COLUMN(V286)))),
IF($C$4=V$7,SUMIFS('EE Inputs'!$L$9:$L$32,'EE Inputs'!$C$9:$C$32,$G$6,'EE Inputs'!$D$9:$D$32,$C$4,'EE Inputs'!$E$9:$E$32,$B286),0))</f>
        <v>0</v>
      </c>
      <c r="W286" s="509">
        <f ca="1">IF($C$4=Lookups!$D$40,SUM(INDIRECT("'Yr1'!"&amp;ADDRESS(ROW(W286),COLUMN(W286))),INDIRECT("'Yr2'!"&amp;ADDRESS(ROW(W286),COLUMN(W286))),INDIRECT("'Yr3'!"&amp;ADDRESS(ROW(W286),COLUMN(W286)))),
IF($C$4=W$7,SUMIFS('EE Inputs'!$L$9:$L$32,'EE Inputs'!$C$9:$C$32,$G$6,'EE Inputs'!$D$9:$D$32,$C$4,'EE Inputs'!$E$9:$E$32,$B286),0))</f>
        <v>0</v>
      </c>
      <c r="X286" s="509">
        <f ca="1">IF($C$4=Lookups!$D$40,SUM(INDIRECT("'Yr1'!"&amp;ADDRESS(ROW(X286),COLUMN(X286))),INDIRECT("'Yr2'!"&amp;ADDRESS(ROW(X286),COLUMN(X286))),INDIRECT("'Yr3'!"&amp;ADDRESS(ROW(X286),COLUMN(X286)))),
IF($C$4=X$7,SUMIFS('EE Inputs'!$L$9:$L$32,'EE Inputs'!$C$9:$C$32,$G$6,'EE Inputs'!$D$9:$D$32,$C$4,'EE Inputs'!$E$9:$E$32,$B286),0))</f>
        <v>0</v>
      </c>
      <c r="Y286" s="509">
        <f ca="1">IF($C$4=Lookups!$D$40,SUM(INDIRECT("'Yr1'!"&amp;ADDRESS(ROW(Y286),COLUMN(Y286))),INDIRECT("'Yr2'!"&amp;ADDRESS(ROW(Y286),COLUMN(Y286))),INDIRECT("'Yr3'!"&amp;ADDRESS(ROW(Y286),COLUMN(Y286)))),
IF($C$4=Y$7,SUMIFS('EE Inputs'!$L$9:$L$32,'EE Inputs'!$C$9:$C$32,$G$6,'EE Inputs'!$D$9:$D$32,$C$4,'EE Inputs'!$E$9:$E$32,$B286),0))</f>
        <v>0</v>
      </c>
      <c r="Z286" s="509">
        <f ca="1">IF($C$4=Lookups!$D$40,SUM(INDIRECT("'Yr1'!"&amp;ADDRESS(ROW(Z286),COLUMN(Z286))),INDIRECT("'Yr2'!"&amp;ADDRESS(ROW(Z286),COLUMN(Z286))),INDIRECT("'Yr3'!"&amp;ADDRESS(ROW(Z286),COLUMN(Z286)))),
IF($C$4=Z$7,SUMIFS('EE Inputs'!$L$9:$L$32,'EE Inputs'!$C$9:$C$32,$G$6,'EE Inputs'!$D$9:$D$32,$C$4,'EE Inputs'!$E$9:$E$32,$B286),0))</f>
        <v>0</v>
      </c>
      <c r="AA286" s="509">
        <f ca="1">IF($C$4=Lookups!$D$40,SUM(INDIRECT("'Yr1'!"&amp;ADDRESS(ROW(AA286),COLUMN(AA286))),INDIRECT("'Yr2'!"&amp;ADDRESS(ROW(AA286),COLUMN(AA286))),INDIRECT("'Yr3'!"&amp;ADDRESS(ROW(AA286),COLUMN(AA286)))),
IF($C$4=AA$7,SUMIFS('EE Inputs'!$L$9:$L$32,'EE Inputs'!$C$9:$C$32,$G$6,'EE Inputs'!$D$9:$D$32,$C$4,'EE Inputs'!$E$9:$E$32,$B286),0))</f>
        <v>0</v>
      </c>
      <c r="AB286" s="509">
        <f ca="1">IF($C$4=Lookups!$D$40,SUM(INDIRECT("'Yr1'!"&amp;ADDRESS(ROW(AB286),COLUMN(AB286))),INDIRECT("'Yr2'!"&amp;ADDRESS(ROW(AB286),COLUMN(AB286))),INDIRECT("'Yr3'!"&amp;ADDRESS(ROW(AB286),COLUMN(AB286)))),
IF($C$4=AB$7,SUMIFS('EE Inputs'!$L$9:$L$32,'EE Inputs'!$C$9:$C$32,$G$6,'EE Inputs'!$D$9:$D$32,$C$4,'EE Inputs'!$E$9:$E$32,$B286),0))</f>
        <v>0</v>
      </c>
      <c r="AC286" s="509">
        <f ca="1">IF($C$4=Lookups!$D$40,SUM(INDIRECT("'Yr1'!"&amp;ADDRESS(ROW(AC286),COLUMN(AC286))),INDIRECT("'Yr2'!"&amp;ADDRESS(ROW(AC286),COLUMN(AC286))),INDIRECT("'Yr3'!"&amp;ADDRESS(ROW(AC286),COLUMN(AC286)))),
IF($C$4=AC$7,SUMIFS('EE Inputs'!$L$9:$L$32,'EE Inputs'!$C$9:$C$32,$G$6,'EE Inputs'!$D$9:$D$32,$C$4,'EE Inputs'!$E$9:$E$32,$B286),0))</f>
        <v>0</v>
      </c>
      <c r="AD286" s="509">
        <f ca="1">IF($C$4=Lookups!$D$40,SUM(INDIRECT("'Yr1'!"&amp;ADDRESS(ROW(AD286),COLUMN(AD286))),INDIRECT("'Yr2'!"&amp;ADDRESS(ROW(AD286),COLUMN(AD286))),INDIRECT("'Yr3'!"&amp;ADDRESS(ROW(AD286),COLUMN(AD286)))),
IF($C$4=AD$7,SUMIFS('EE Inputs'!$L$9:$L$32,'EE Inputs'!$C$9:$C$32,$G$6,'EE Inputs'!$D$9:$D$32,$C$4,'EE Inputs'!$E$9:$E$32,$B286),0))</f>
        <v>0</v>
      </c>
      <c r="AE286" s="509">
        <f ca="1">IF($C$4=Lookups!$D$40,SUM(INDIRECT("'Yr1'!"&amp;ADDRESS(ROW(AE286),COLUMN(AE286))),INDIRECT("'Yr2'!"&amp;ADDRESS(ROW(AE286),COLUMN(AE286))),INDIRECT("'Yr3'!"&amp;ADDRESS(ROW(AE286),COLUMN(AE286)))),
IF($C$4=AE$7,SUMIFS('EE Inputs'!$L$9:$L$32,'EE Inputs'!$C$9:$C$32,$G$6,'EE Inputs'!$D$9:$D$32,$C$4,'EE Inputs'!$E$9:$E$32,$B286),0))</f>
        <v>0</v>
      </c>
      <c r="AF286" s="509">
        <f ca="1">IF($C$4=Lookups!$D$40,SUM(INDIRECT("'Yr1'!"&amp;ADDRESS(ROW(AF286),COLUMN(AF286))),INDIRECT("'Yr2'!"&amp;ADDRESS(ROW(AF286),COLUMN(AF286))),INDIRECT("'Yr3'!"&amp;ADDRESS(ROW(AF286),COLUMN(AF286)))),
IF($C$4=AF$7,SUMIFS('EE Inputs'!$L$9:$L$32,'EE Inputs'!$C$9:$C$32,$G$6,'EE Inputs'!$D$9:$D$32,$C$4,'EE Inputs'!$E$9:$E$32,$B286),0))</f>
        <v>0</v>
      </c>
      <c r="AG286" s="509">
        <f ca="1">IF($C$4=Lookups!$D$40,SUM(INDIRECT("'Yr1'!"&amp;ADDRESS(ROW(AG286),COLUMN(AG286))),INDIRECT("'Yr2'!"&amp;ADDRESS(ROW(AG286),COLUMN(AG286))),INDIRECT("'Yr3'!"&amp;ADDRESS(ROW(AG286),COLUMN(AG286)))),
IF($C$4=AG$7,SUMIFS('EE Inputs'!$L$9:$L$32,'EE Inputs'!$C$9:$C$32,$G$6,'EE Inputs'!$D$9:$D$32,$C$4,'EE Inputs'!$E$9:$E$32,$B286),0))</f>
        <v>0</v>
      </c>
      <c r="AH286" s="509"/>
      <c r="AI286" s="509"/>
      <c r="AJ286" s="509">
        <f ca="1">IF($C$4=Year1,-PMT(Lookups!$E$17,25,NPV(Lookups!$E$17,G286:AE286),0,1),IF($C$4=Year2,-PMT(Lookups!$F$17,25,NPV(Lookups!$F$17,H286:AF286),0,1),IF($C$4=Year3,-PMT(Lookups!$G$17,25,NPV(Lookups!$G$17,I286:AG286),0,1),-PMT(Lookups!$G$17,27,NPV(Lookups!$G$17,G286:AG286),0,1))))</f>
        <v>6.932672855075297E-3</v>
      </c>
      <c r="AK286" s="507"/>
      <c r="AL286" s="507"/>
      <c r="AM286" s="508">
        <f ca="1">IF($C$4=Lookups!$D$40,SUM(INDIRECT("'Yr1'!"&amp;ADDRESS(ROW(AM286),COLUMN(AM286))),INDIRECT("'Yr2'!"&amp;ADDRESS(ROW(AM286),COLUMN(AM286))),INDIRECT("'Yr3'!"&amp;ADDRESS(ROW(AM286),COLUMN(AM286)))),
IF($C$4=AM$7,SUMIFS('EE Inputs'!$L$9:$L$32,'EE Inputs'!$C$9:$C$32,$AM$6,'EE Inputs'!$D$9:$D$32,$C$4,'EE Inputs'!$E$9:$E$32,$B286),0))</f>
        <v>0</v>
      </c>
      <c r="AN286" s="508">
        <f ca="1">IF($C$4=Lookups!$D$40,SUM(INDIRECT("'Yr1'!"&amp;ADDRESS(ROW(AN286),COLUMN(AN286))),INDIRECT("'Yr2'!"&amp;ADDRESS(ROW(AN286),COLUMN(AN286))),INDIRECT("'Yr3'!"&amp;ADDRESS(ROW(AN286),COLUMN(AN286)))),
IF($C$4=AN$7,SUMIFS('EE Inputs'!$L$9:$L$32,'EE Inputs'!$C$9:$C$32,$AM$6,'EE Inputs'!$D$9:$D$32,$C$4,'EE Inputs'!$E$9:$E$32,$B286),0))</f>
        <v>0.1791229387447027</v>
      </c>
      <c r="AO286" s="508">
        <f ca="1">IF($C$4=Lookups!$D$40,SUM(INDIRECT("'Yr1'!"&amp;ADDRESS(ROW(AO286),COLUMN(AO286))),INDIRECT("'Yr2'!"&amp;ADDRESS(ROW(AO286),COLUMN(AO286))),INDIRECT("'Yr3'!"&amp;ADDRESS(ROW(AO286),COLUMN(AO286)))),
IF($C$4=AO$7,SUMIFS('EE Inputs'!$L$9:$L$32,'EE Inputs'!$C$9:$C$32,$AM$6,'EE Inputs'!$D$9:$D$32,$C$4,'EE Inputs'!$E$9:$E$32,$B286),0))</f>
        <v>0</v>
      </c>
      <c r="AP286" s="508">
        <f ca="1">IF($C$4=Lookups!$D$40,SUM(INDIRECT("'Yr1'!"&amp;ADDRESS(ROW(AP286),COLUMN(AP286))),INDIRECT("'Yr2'!"&amp;ADDRESS(ROW(AP286),COLUMN(AP286))),INDIRECT("'Yr3'!"&amp;ADDRESS(ROW(AP286),COLUMN(AP286)))),
IF($C$4=AP$7,SUMIFS('EE Inputs'!$L$9:$L$32,'EE Inputs'!$C$9:$C$32,$AM$6,'EE Inputs'!$D$9:$D$32,$C$4,'EE Inputs'!$E$9:$E$32,$B286),0))</f>
        <v>0</v>
      </c>
      <c r="AQ286" s="508">
        <f ca="1">IF($C$4=Lookups!$D$40,SUM(INDIRECT("'Yr1'!"&amp;ADDRESS(ROW(AQ286),COLUMN(AQ286))),INDIRECT("'Yr2'!"&amp;ADDRESS(ROW(AQ286),COLUMN(AQ286))),INDIRECT("'Yr3'!"&amp;ADDRESS(ROW(AQ286),COLUMN(AQ286)))),
IF($C$4=AQ$7,SUMIFS('EE Inputs'!$L$9:$L$32,'EE Inputs'!$C$9:$C$32,$AM$6,'EE Inputs'!$D$9:$D$32,$C$4,'EE Inputs'!$E$9:$E$32,$B286),0))</f>
        <v>0</v>
      </c>
      <c r="AR286" s="508">
        <f ca="1">IF($C$4=Lookups!$D$40,SUM(INDIRECT("'Yr1'!"&amp;ADDRESS(ROW(AR286),COLUMN(AR286))),INDIRECT("'Yr2'!"&amp;ADDRESS(ROW(AR286),COLUMN(AR286))),INDIRECT("'Yr3'!"&amp;ADDRESS(ROW(AR286),COLUMN(AR286)))),
IF($C$4=AR$7,SUMIFS('EE Inputs'!$L$9:$L$32,'EE Inputs'!$C$9:$C$32,$AM$6,'EE Inputs'!$D$9:$D$32,$C$4,'EE Inputs'!$E$9:$E$32,$B286),0))</f>
        <v>0</v>
      </c>
      <c r="AS286" s="508">
        <f ca="1">IF($C$4=Lookups!$D$40,SUM(INDIRECT("'Yr1'!"&amp;ADDRESS(ROW(AS286),COLUMN(AS286))),INDIRECT("'Yr2'!"&amp;ADDRESS(ROW(AS286),COLUMN(AS286))),INDIRECT("'Yr3'!"&amp;ADDRESS(ROW(AS286),COLUMN(AS286)))),
IF($C$4=AS$7,SUMIFS('EE Inputs'!$L$9:$L$32,'EE Inputs'!$C$9:$C$32,$AM$6,'EE Inputs'!$D$9:$D$32,$C$4,'EE Inputs'!$E$9:$E$32,$B286),0))</f>
        <v>0</v>
      </c>
      <c r="AT286" s="508">
        <f ca="1">IF($C$4=Lookups!$D$40,SUM(INDIRECT("'Yr1'!"&amp;ADDRESS(ROW(AT286),COLUMN(AT286))),INDIRECT("'Yr2'!"&amp;ADDRESS(ROW(AT286),COLUMN(AT286))),INDIRECT("'Yr3'!"&amp;ADDRESS(ROW(AT286),COLUMN(AT286)))),
IF($C$4=AT$7,SUMIFS('EE Inputs'!$L$9:$L$32,'EE Inputs'!$C$9:$C$32,$AM$6,'EE Inputs'!$D$9:$D$32,$C$4,'EE Inputs'!$E$9:$E$32,$B286),0))</f>
        <v>0</v>
      </c>
      <c r="AU286" s="508">
        <f ca="1">IF($C$4=Lookups!$D$40,SUM(INDIRECT("'Yr1'!"&amp;ADDRESS(ROW(AU286),COLUMN(AU286))),INDIRECT("'Yr2'!"&amp;ADDRESS(ROW(AU286),COLUMN(AU286))),INDIRECT("'Yr3'!"&amp;ADDRESS(ROW(AU286),COLUMN(AU286)))),
IF($C$4=AU$7,SUMIFS('EE Inputs'!$L$9:$L$32,'EE Inputs'!$C$9:$C$32,$AM$6,'EE Inputs'!$D$9:$D$32,$C$4,'EE Inputs'!$E$9:$E$32,$B286),0))</f>
        <v>0</v>
      </c>
      <c r="AV286" s="508">
        <f ca="1">IF($C$4=Lookups!$D$40,SUM(INDIRECT("'Yr1'!"&amp;ADDRESS(ROW(AV286),COLUMN(AV286))),INDIRECT("'Yr2'!"&amp;ADDRESS(ROW(AV286),COLUMN(AV286))),INDIRECT("'Yr3'!"&amp;ADDRESS(ROW(AV286),COLUMN(AV286)))),
IF($C$4=AV$7,SUMIFS('EE Inputs'!$L$9:$L$32,'EE Inputs'!$C$9:$C$32,$AM$6,'EE Inputs'!$D$9:$D$32,$C$4,'EE Inputs'!$E$9:$E$32,$B286),0))</f>
        <v>0</v>
      </c>
      <c r="AW286" s="508">
        <f ca="1">IF($C$4=Lookups!$D$40,SUM(INDIRECT("'Yr1'!"&amp;ADDRESS(ROW(AW286),COLUMN(AW286))),INDIRECT("'Yr2'!"&amp;ADDRESS(ROW(AW286),COLUMN(AW286))),INDIRECT("'Yr3'!"&amp;ADDRESS(ROW(AW286),COLUMN(AW286)))),
IF($C$4=AW$7,SUMIFS('EE Inputs'!$L$9:$L$32,'EE Inputs'!$C$9:$C$32,$AM$6,'EE Inputs'!$D$9:$D$32,$C$4,'EE Inputs'!$E$9:$E$32,$B286),0))</f>
        <v>0</v>
      </c>
      <c r="AX286" s="508">
        <f ca="1">IF($C$4=Lookups!$D$40,SUM(INDIRECT("'Yr1'!"&amp;ADDRESS(ROW(AX286),COLUMN(AX286))),INDIRECT("'Yr2'!"&amp;ADDRESS(ROW(AX286),COLUMN(AX286))),INDIRECT("'Yr3'!"&amp;ADDRESS(ROW(AX286),COLUMN(AX286)))),
IF($C$4=AX$7,SUMIFS('EE Inputs'!$L$9:$L$32,'EE Inputs'!$C$9:$C$32,$AM$6,'EE Inputs'!$D$9:$D$32,$C$4,'EE Inputs'!$E$9:$E$32,$B286),0))</f>
        <v>0</v>
      </c>
      <c r="AY286" s="508">
        <f ca="1">IF($C$4=Lookups!$D$40,SUM(INDIRECT("'Yr1'!"&amp;ADDRESS(ROW(AY286),COLUMN(AY286))),INDIRECT("'Yr2'!"&amp;ADDRESS(ROW(AY286),COLUMN(AY286))),INDIRECT("'Yr3'!"&amp;ADDRESS(ROW(AY286),COLUMN(AY286)))),
IF($C$4=AY$7,SUMIFS('EE Inputs'!$L$9:$L$32,'EE Inputs'!$C$9:$C$32,$AM$6,'EE Inputs'!$D$9:$D$32,$C$4,'EE Inputs'!$E$9:$E$32,$B286),0))</f>
        <v>0</v>
      </c>
      <c r="AZ286" s="508">
        <f ca="1">IF($C$4=Lookups!$D$40,SUM(INDIRECT("'Yr1'!"&amp;ADDRESS(ROW(AZ286),COLUMN(AZ286))),INDIRECT("'Yr2'!"&amp;ADDRESS(ROW(AZ286),COLUMN(AZ286))),INDIRECT("'Yr3'!"&amp;ADDRESS(ROW(AZ286),COLUMN(AZ286)))),
IF($C$4=AZ$7,SUMIFS('EE Inputs'!$L$9:$L$32,'EE Inputs'!$C$9:$C$32,$AM$6,'EE Inputs'!$D$9:$D$32,$C$4,'EE Inputs'!$E$9:$E$32,$B286),0))</f>
        <v>0</v>
      </c>
      <c r="BA286" s="508">
        <f ca="1">IF($C$4=Lookups!$D$40,SUM(INDIRECT("'Yr1'!"&amp;ADDRESS(ROW(BA286),COLUMN(BA286))),INDIRECT("'Yr2'!"&amp;ADDRESS(ROW(BA286),COLUMN(BA286))),INDIRECT("'Yr3'!"&amp;ADDRESS(ROW(BA286),COLUMN(BA286)))),
IF($C$4=BA$7,SUMIFS('EE Inputs'!$L$9:$L$32,'EE Inputs'!$C$9:$C$32,$AM$6,'EE Inputs'!$D$9:$D$32,$C$4,'EE Inputs'!$E$9:$E$32,$B286),0))</f>
        <v>0</v>
      </c>
      <c r="BB286" s="508">
        <f ca="1">IF($C$4=Lookups!$D$40,SUM(INDIRECT("'Yr1'!"&amp;ADDRESS(ROW(BB286),COLUMN(BB286))),INDIRECT("'Yr2'!"&amp;ADDRESS(ROW(BB286),COLUMN(BB286))),INDIRECT("'Yr3'!"&amp;ADDRESS(ROW(BB286),COLUMN(BB286)))),
IF($C$4=BB$7,SUMIFS('EE Inputs'!$L$9:$L$32,'EE Inputs'!$C$9:$C$32,$AM$6,'EE Inputs'!$D$9:$D$32,$C$4,'EE Inputs'!$E$9:$E$32,$B286),0))</f>
        <v>0</v>
      </c>
      <c r="BC286" s="508">
        <f ca="1">IF($C$4=Lookups!$D$40,SUM(INDIRECT("'Yr1'!"&amp;ADDRESS(ROW(BC286),COLUMN(BC286))),INDIRECT("'Yr2'!"&amp;ADDRESS(ROW(BC286),COLUMN(BC286))),INDIRECT("'Yr3'!"&amp;ADDRESS(ROW(BC286),COLUMN(BC286)))),
IF($C$4=BC$7,SUMIFS('EE Inputs'!$L$9:$L$32,'EE Inputs'!$C$9:$C$32,$AM$6,'EE Inputs'!$D$9:$D$32,$C$4,'EE Inputs'!$E$9:$E$32,$B286),0))</f>
        <v>0</v>
      </c>
      <c r="BD286" s="508">
        <f ca="1">IF($C$4=Lookups!$D$40,SUM(INDIRECT("'Yr1'!"&amp;ADDRESS(ROW(BD286),COLUMN(BD286))),INDIRECT("'Yr2'!"&amp;ADDRESS(ROW(BD286),COLUMN(BD286))),INDIRECT("'Yr3'!"&amp;ADDRESS(ROW(BD286),COLUMN(BD286)))),
IF($C$4=BD$7,SUMIFS('EE Inputs'!$L$9:$L$32,'EE Inputs'!$C$9:$C$32,$AM$6,'EE Inputs'!$D$9:$D$32,$C$4,'EE Inputs'!$E$9:$E$32,$B286),0))</f>
        <v>0</v>
      </c>
      <c r="BE286" s="508">
        <f ca="1">IF($C$4=Lookups!$D$40,SUM(INDIRECT("'Yr1'!"&amp;ADDRESS(ROW(BE286),COLUMN(BE286))),INDIRECT("'Yr2'!"&amp;ADDRESS(ROW(BE286),COLUMN(BE286))),INDIRECT("'Yr3'!"&amp;ADDRESS(ROW(BE286),COLUMN(BE286)))),
IF($C$4=BE$7,SUMIFS('EE Inputs'!$L$9:$L$32,'EE Inputs'!$C$9:$C$32,$AM$6,'EE Inputs'!$D$9:$D$32,$C$4,'EE Inputs'!$E$9:$E$32,$B286),0))</f>
        <v>0</v>
      </c>
      <c r="BF286" s="508">
        <f ca="1">IF($C$4=Lookups!$D$40,SUM(INDIRECT("'Yr1'!"&amp;ADDRESS(ROW(BF286),COLUMN(BF286))),INDIRECT("'Yr2'!"&amp;ADDRESS(ROW(BF286),COLUMN(BF286))),INDIRECT("'Yr3'!"&amp;ADDRESS(ROW(BF286),COLUMN(BF286)))),
IF($C$4=BF$7,SUMIFS('EE Inputs'!$L$9:$L$32,'EE Inputs'!$C$9:$C$32,$AM$6,'EE Inputs'!$D$9:$D$32,$C$4,'EE Inputs'!$E$9:$E$32,$B286),0))</f>
        <v>0</v>
      </c>
      <c r="BG286" s="508">
        <f ca="1">IF($C$4=Lookups!$D$40,SUM(INDIRECT("'Yr1'!"&amp;ADDRESS(ROW(BG286),COLUMN(BG286))),INDIRECT("'Yr2'!"&amp;ADDRESS(ROW(BG286),COLUMN(BG286))),INDIRECT("'Yr3'!"&amp;ADDRESS(ROW(BG286),COLUMN(BG286)))),
IF($C$4=BG$7,SUMIFS('EE Inputs'!$L$9:$L$32,'EE Inputs'!$C$9:$C$32,$AM$6,'EE Inputs'!$D$9:$D$32,$C$4,'EE Inputs'!$E$9:$E$32,$B286),0))</f>
        <v>0</v>
      </c>
      <c r="BH286" s="508">
        <f ca="1">IF($C$4=Lookups!$D$40,SUM(INDIRECT("'Yr1'!"&amp;ADDRESS(ROW(BH286),COLUMN(BH286))),INDIRECT("'Yr2'!"&amp;ADDRESS(ROW(BH286),COLUMN(BH286))),INDIRECT("'Yr3'!"&amp;ADDRESS(ROW(BH286),COLUMN(BH286)))),
IF($C$4=BH$7,SUMIFS('EE Inputs'!$L$9:$L$32,'EE Inputs'!$C$9:$C$32,$AM$6,'EE Inputs'!$D$9:$D$32,$C$4,'EE Inputs'!$E$9:$E$32,$B286),0))</f>
        <v>0</v>
      </c>
      <c r="BI286" s="508">
        <f ca="1">IF($C$4=Lookups!$D$40,SUM(INDIRECT("'Yr1'!"&amp;ADDRESS(ROW(BI286),COLUMN(BI286))),INDIRECT("'Yr2'!"&amp;ADDRESS(ROW(BI286),COLUMN(BI286))),INDIRECT("'Yr3'!"&amp;ADDRESS(ROW(BI286),COLUMN(BI286)))),
IF($C$4=BI$7,SUMIFS('EE Inputs'!$L$9:$L$32,'EE Inputs'!$C$9:$C$32,$AM$6,'EE Inputs'!$D$9:$D$32,$C$4,'EE Inputs'!$E$9:$E$32,$B286),0))</f>
        <v>0</v>
      </c>
      <c r="BJ286" s="508">
        <f ca="1">IF($C$4=Lookups!$D$40,SUM(INDIRECT("'Yr1'!"&amp;ADDRESS(ROW(BJ286),COLUMN(BJ286))),INDIRECT("'Yr2'!"&amp;ADDRESS(ROW(BJ286),COLUMN(BJ286))),INDIRECT("'Yr3'!"&amp;ADDRESS(ROW(BJ286),COLUMN(BJ286)))),
IF($C$4=BJ$7,SUMIFS('EE Inputs'!$L$9:$L$32,'EE Inputs'!$C$9:$C$32,$AM$6,'EE Inputs'!$D$9:$D$32,$C$4,'EE Inputs'!$E$9:$E$32,$B286),0))</f>
        <v>0</v>
      </c>
      <c r="BK286" s="508">
        <f ca="1">IF($C$4=Lookups!$D$40,SUM(INDIRECT("'Yr1'!"&amp;ADDRESS(ROW(BK286),COLUMN(BK286))),INDIRECT("'Yr2'!"&amp;ADDRESS(ROW(BK286),COLUMN(BK286))),INDIRECT("'Yr3'!"&amp;ADDRESS(ROW(BK286),COLUMN(BK286)))),
IF($C$4=BK$7,SUMIFS('EE Inputs'!$L$9:$L$32,'EE Inputs'!$C$9:$C$32,$AM$6,'EE Inputs'!$D$9:$D$32,$C$4,'EE Inputs'!$E$9:$E$32,$B286),0))</f>
        <v>0</v>
      </c>
      <c r="BL286" s="508">
        <f ca="1">IF($C$4=Lookups!$D$40,SUM(INDIRECT("'Yr1'!"&amp;ADDRESS(ROW(BL286),COLUMN(BL286))),INDIRECT("'Yr2'!"&amp;ADDRESS(ROW(BL286),COLUMN(BL286))),INDIRECT("'Yr3'!"&amp;ADDRESS(ROW(BL286),COLUMN(BL286)))),
IF($C$4=BL$7,SUMIFS('EE Inputs'!$L$9:$L$32,'EE Inputs'!$C$9:$C$32,$AM$6,'EE Inputs'!$D$9:$D$32,$C$4,'EE Inputs'!$E$9:$E$32,$B286),0))</f>
        <v>0</v>
      </c>
      <c r="BM286" s="508">
        <f ca="1">IF($C$4=Lookups!$D$40,SUM(INDIRECT("'Yr1'!"&amp;ADDRESS(ROW(BM286),COLUMN(BM286))),INDIRECT("'Yr2'!"&amp;ADDRESS(ROW(BM286),COLUMN(BM286))),INDIRECT("'Yr3'!"&amp;ADDRESS(ROW(BM286),COLUMN(BM286)))),
IF($C$4=BM$7,SUMIFS('EE Inputs'!$L$9:$L$32,'EE Inputs'!$C$9:$C$32,$AM$6,'EE Inputs'!$D$9:$D$32,$C$4,'EE Inputs'!$E$9:$E$32,$B286),0))</f>
        <v>0</v>
      </c>
      <c r="BN286" s="508"/>
      <c r="BO286" s="508"/>
      <c r="BP286" s="508">
        <f ca="1">IF($C$4=Year1,-PMT(Lookups!$E$17,25,NPV(Lookups!$E$17,AM286:BK286),0,1),IF($C$4=Year2,-PMT(Lookups!$F$17,25,NPV(Lookups!$F$17,AN286:BL286),0,1),IF($C$4=Year3,-PMT(Lookups!$G$17,25,NPV(Lookups!$G$17,AO286:BM286),0,1),-PMT(Lookups!$G$17,27,NPV(Lookups!$G$17,AM286:BM286),0,1))))</f>
        <v>8.319207426090356E-3</v>
      </c>
      <c r="BS286" s="86" t="s">
        <v>402</v>
      </c>
      <c r="BT286" s="51" t="s">
        <v>17</v>
      </c>
    </row>
    <row r="287" spans="1:72" x14ac:dyDescent="0.25">
      <c r="A287" s="246"/>
      <c r="B287" s="243" t="str">
        <f t="shared" si="307"/>
        <v>Large C&amp;I</v>
      </c>
      <c r="C287" s="243" t="str">
        <f t="shared" si="307"/>
        <v>Rates</v>
      </c>
      <c r="D287" s="244" t="str">
        <f t="shared" si="307"/>
        <v>Increased Costs and Cost Shifting</v>
      </c>
      <c r="E287" s="86" t="s">
        <v>198</v>
      </c>
      <c r="F287" s="84" t="s">
        <v>182</v>
      </c>
      <c r="G287" s="506">
        <f ca="1">IFERROR((G269/G254)-(G269/G252),0)</f>
        <v>0</v>
      </c>
      <c r="H287" s="506">
        <f t="shared" ref="H287:AG287" ca="1" si="310">IFERROR((H269/H254)-(H269/H252),0)</f>
        <v>1.081002064944861E-2</v>
      </c>
      <c r="I287" s="506">
        <f t="shared" ca="1" si="310"/>
        <v>1.081002064944861E-2</v>
      </c>
      <c r="J287" s="506">
        <f t="shared" ca="1" si="310"/>
        <v>1.081002064944861E-2</v>
      </c>
      <c r="K287" s="506">
        <f t="shared" ca="1" si="310"/>
        <v>1.081002064944861E-2</v>
      </c>
      <c r="L287" s="506">
        <f t="shared" ca="1" si="310"/>
        <v>1.081002064944861E-2</v>
      </c>
      <c r="M287" s="506">
        <f t="shared" ca="1" si="310"/>
        <v>1.081002064944861E-2</v>
      </c>
      <c r="N287" s="506">
        <f t="shared" ca="1" si="310"/>
        <v>1.081002064944861E-2</v>
      </c>
      <c r="O287" s="506">
        <f t="shared" ca="1" si="310"/>
        <v>1.081002064944861E-2</v>
      </c>
      <c r="P287" s="506">
        <f t="shared" ca="1" si="310"/>
        <v>1.081002064944861E-2</v>
      </c>
      <c r="Q287" s="506">
        <f t="shared" ca="1" si="310"/>
        <v>1.081002064944861E-2</v>
      </c>
      <c r="R287" s="506">
        <f t="shared" ca="1" si="310"/>
        <v>1.081002064944861E-2</v>
      </c>
      <c r="S287" s="506">
        <f t="shared" ca="1" si="310"/>
        <v>1.081002064944861E-2</v>
      </c>
      <c r="T287" s="506">
        <f t="shared" ca="1" si="310"/>
        <v>1.081002064944861E-2</v>
      </c>
      <c r="U287" s="506">
        <f t="shared" ca="1" si="310"/>
        <v>0</v>
      </c>
      <c r="V287" s="506">
        <f t="shared" ca="1" si="310"/>
        <v>0</v>
      </c>
      <c r="W287" s="506">
        <f t="shared" ca="1" si="310"/>
        <v>0</v>
      </c>
      <c r="X287" s="506">
        <f t="shared" ca="1" si="310"/>
        <v>0</v>
      </c>
      <c r="Y287" s="506">
        <f t="shared" ca="1" si="310"/>
        <v>0</v>
      </c>
      <c r="Z287" s="506">
        <f t="shared" ca="1" si="310"/>
        <v>0</v>
      </c>
      <c r="AA287" s="506">
        <f t="shared" ca="1" si="310"/>
        <v>0</v>
      </c>
      <c r="AB287" s="506">
        <f t="shared" ca="1" si="310"/>
        <v>0</v>
      </c>
      <c r="AC287" s="506">
        <f t="shared" ca="1" si="310"/>
        <v>0</v>
      </c>
      <c r="AD287" s="506">
        <f t="shared" ca="1" si="310"/>
        <v>0</v>
      </c>
      <c r="AE287" s="506">
        <f t="shared" ca="1" si="310"/>
        <v>0</v>
      </c>
      <c r="AF287" s="506">
        <f t="shared" ca="1" si="310"/>
        <v>0</v>
      </c>
      <c r="AG287" s="506">
        <f t="shared" ca="1" si="310"/>
        <v>0</v>
      </c>
      <c r="AH287" s="506"/>
      <c r="AI287" s="506"/>
      <c r="AJ287" s="506">
        <f ca="1">IF($C$4=Year1,-PMT(Lookups!$E$17,25,NPV(Lookups!$E$17,G287:AE287),0,1),IF($C$4=Year2,-PMT(Lookups!$F$17,25,NPV(Lookups!$F$17,H287:AF287),0,1),IF($C$4=Year3,-PMT(Lookups!$G$17,25,NPV(Lookups!$G$17,I287:AG287),0,1),-PMT(Lookups!$G$17,27,NPV(Lookups!$G$17,G287:AG287),0,1))))</f>
        <v>6.0076192238593977E-3</v>
      </c>
      <c r="AK287" s="507"/>
      <c r="AL287" s="507"/>
      <c r="AM287" s="508">
        <f ca="1">IFERROR((AM269/AM254)-(AM269/AM252),0)</f>
        <v>0</v>
      </c>
      <c r="AN287" s="508">
        <f t="shared" ref="AN287:BM287" ca="1" si="311">IFERROR((AN269/AN254)-(AN269/AN252),0)</f>
        <v>1.2465290901855733E-2</v>
      </c>
      <c r="AO287" s="508">
        <f t="shared" ca="1" si="311"/>
        <v>1.2465290901855733E-2</v>
      </c>
      <c r="AP287" s="508">
        <f t="shared" ca="1" si="311"/>
        <v>1.2465290901855733E-2</v>
      </c>
      <c r="AQ287" s="508">
        <f t="shared" ca="1" si="311"/>
        <v>1.2465290901855733E-2</v>
      </c>
      <c r="AR287" s="508">
        <f t="shared" ca="1" si="311"/>
        <v>1.2465290901855733E-2</v>
      </c>
      <c r="AS287" s="508">
        <f t="shared" ca="1" si="311"/>
        <v>1.2465290901855733E-2</v>
      </c>
      <c r="AT287" s="508">
        <f t="shared" ca="1" si="311"/>
        <v>1.2465290901855733E-2</v>
      </c>
      <c r="AU287" s="508">
        <f t="shared" ca="1" si="311"/>
        <v>1.2465290901855733E-2</v>
      </c>
      <c r="AV287" s="508">
        <f t="shared" ca="1" si="311"/>
        <v>1.2465290901855733E-2</v>
      </c>
      <c r="AW287" s="508">
        <f t="shared" ca="1" si="311"/>
        <v>1.2465290901855733E-2</v>
      </c>
      <c r="AX287" s="508">
        <f t="shared" ca="1" si="311"/>
        <v>1.2465290901855733E-2</v>
      </c>
      <c r="AY287" s="508">
        <f t="shared" ca="1" si="311"/>
        <v>1.2465290901855733E-2</v>
      </c>
      <c r="AZ287" s="508">
        <f t="shared" ca="1" si="311"/>
        <v>1.2465290901855733E-2</v>
      </c>
      <c r="BA287" s="508">
        <f t="shared" ca="1" si="311"/>
        <v>0</v>
      </c>
      <c r="BB287" s="508">
        <f t="shared" ca="1" si="311"/>
        <v>0</v>
      </c>
      <c r="BC287" s="508">
        <f t="shared" ca="1" si="311"/>
        <v>0</v>
      </c>
      <c r="BD287" s="508">
        <f t="shared" ca="1" si="311"/>
        <v>0</v>
      </c>
      <c r="BE287" s="508">
        <f t="shared" ca="1" si="311"/>
        <v>0</v>
      </c>
      <c r="BF287" s="508">
        <f t="shared" ca="1" si="311"/>
        <v>0</v>
      </c>
      <c r="BG287" s="508">
        <f t="shared" ca="1" si="311"/>
        <v>0</v>
      </c>
      <c r="BH287" s="508">
        <f t="shared" ca="1" si="311"/>
        <v>0</v>
      </c>
      <c r="BI287" s="508">
        <f t="shared" ca="1" si="311"/>
        <v>0</v>
      </c>
      <c r="BJ287" s="508">
        <f t="shared" ca="1" si="311"/>
        <v>0</v>
      </c>
      <c r="BK287" s="508">
        <f t="shared" ca="1" si="311"/>
        <v>0</v>
      </c>
      <c r="BL287" s="508">
        <f t="shared" ca="1" si="311"/>
        <v>0</v>
      </c>
      <c r="BM287" s="508">
        <f t="shared" ca="1" si="311"/>
        <v>0</v>
      </c>
      <c r="BN287" s="508"/>
      <c r="BO287" s="508"/>
      <c r="BP287" s="508">
        <f ca="1">IF($C$4=Year1,-PMT(Lookups!$E$17,25,NPV(Lookups!$E$17,AM287:BK287),0,1),IF($C$4=Year2,-PMT(Lookups!$F$17,25,NPV(Lookups!$F$17,AN287:BL287),0,1),IF($C$4=Year3,-PMT(Lookups!$G$17,25,NPV(Lookups!$G$17,AO287:BM287),0,1),-PMT(Lookups!$G$17,27,NPV(Lookups!$G$17,AM287:BM287),0,1))))</f>
        <v>6.9275280484138524E-3</v>
      </c>
      <c r="BS287" s="84" t="s">
        <v>103</v>
      </c>
      <c r="BT287" s="51" t="s">
        <v>17</v>
      </c>
    </row>
    <row r="288" spans="1:72" x14ac:dyDescent="0.25">
      <c r="B288" s="243" t="str">
        <f t="shared" si="307"/>
        <v>Large C&amp;I</v>
      </c>
      <c r="C288" s="243" t="str">
        <f t="shared" si="307"/>
        <v>Rates</v>
      </c>
      <c r="D288" s="114" t="s">
        <v>110</v>
      </c>
      <c r="E288" s="86"/>
      <c r="F288" s="86"/>
      <c r="G288" s="238"/>
      <c r="H288" s="238"/>
      <c r="I288" s="238"/>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49"/>
      <c r="AI288" s="238"/>
      <c r="AJ288" s="49"/>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S288" s="84"/>
      <c r="BT288" s="51" t="s">
        <v>17</v>
      </c>
    </row>
    <row r="289" spans="1:72" x14ac:dyDescent="0.25">
      <c r="B289" s="243" t="str">
        <f t="shared" si="307"/>
        <v>Large C&amp;I</v>
      </c>
      <c r="C289" s="243" t="str">
        <f t="shared" si="307"/>
        <v>Rates</v>
      </c>
      <c r="D289" s="244" t="str">
        <f>D288</f>
        <v>Rates after DSM Scenario</v>
      </c>
      <c r="E289" s="86" t="s">
        <v>26</v>
      </c>
      <c r="F289" s="84" t="s">
        <v>182</v>
      </c>
      <c r="G289" s="506">
        <f ca="1">IFERROR(G269/G254,0)</f>
        <v>0</v>
      </c>
      <c r="H289" s="506">
        <f t="shared" ref="H289:AG289" ca="1" si="312">IFERROR(H269/H254,0)</f>
        <v>0.12519576432119833</v>
      </c>
      <c r="I289" s="506">
        <f t="shared" ca="1" si="312"/>
        <v>0.12519576432119833</v>
      </c>
      <c r="J289" s="506">
        <f t="shared" ca="1" si="312"/>
        <v>0.12519576432119833</v>
      </c>
      <c r="K289" s="506">
        <f t="shared" ca="1" si="312"/>
        <v>0.12519576432119833</v>
      </c>
      <c r="L289" s="506">
        <f t="shared" ca="1" si="312"/>
        <v>0.12519576432119833</v>
      </c>
      <c r="M289" s="506">
        <f t="shared" ca="1" si="312"/>
        <v>0.12519576432119833</v>
      </c>
      <c r="N289" s="506">
        <f t="shared" ca="1" si="312"/>
        <v>0.12519576432119833</v>
      </c>
      <c r="O289" s="506">
        <f t="shared" ca="1" si="312"/>
        <v>0.12519576432119833</v>
      </c>
      <c r="P289" s="506">
        <f t="shared" ca="1" si="312"/>
        <v>0.12519576432119833</v>
      </c>
      <c r="Q289" s="506">
        <f t="shared" ca="1" si="312"/>
        <v>0.12519576432119833</v>
      </c>
      <c r="R289" s="506">
        <f t="shared" ca="1" si="312"/>
        <v>0.12519576432119833</v>
      </c>
      <c r="S289" s="506">
        <f t="shared" ca="1" si="312"/>
        <v>0.12519576432119833</v>
      </c>
      <c r="T289" s="506">
        <f t="shared" ca="1" si="312"/>
        <v>0.12519576432119833</v>
      </c>
      <c r="U289" s="506">
        <f t="shared" ca="1" si="312"/>
        <v>0.1181</v>
      </c>
      <c r="V289" s="506">
        <f t="shared" ca="1" si="312"/>
        <v>0.1181</v>
      </c>
      <c r="W289" s="506">
        <f t="shared" ca="1" si="312"/>
        <v>0.1181</v>
      </c>
      <c r="X289" s="506">
        <f t="shared" ca="1" si="312"/>
        <v>0.1181</v>
      </c>
      <c r="Y289" s="506">
        <f t="shared" ca="1" si="312"/>
        <v>0.1181</v>
      </c>
      <c r="Z289" s="506">
        <f t="shared" ca="1" si="312"/>
        <v>0.1181</v>
      </c>
      <c r="AA289" s="506">
        <f t="shared" ca="1" si="312"/>
        <v>0.1181</v>
      </c>
      <c r="AB289" s="506">
        <f t="shared" ca="1" si="312"/>
        <v>0.1181</v>
      </c>
      <c r="AC289" s="506">
        <f t="shared" ca="1" si="312"/>
        <v>0.1181</v>
      </c>
      <c r="AD289" s="506">
        <f t="shared" ca="1" si="312"/>
        <v>0.1181</v>
      </c>
      <c r="AE289" s="506">
        <f t="shared" ca="1" si="312"/>
        <v>0.1181</v>
      </c>
      <c r="AF289" s="506">
        <f t="shared" ca="1" si="312"/>
        <v>0.1181</v>
      </c>
      <c r="AG289" s="506">
        <f t="shared" ca="1" si="312"/>
        <v>0.1181</v>
      </c>
      <c r="AH289" s="509"/>
      <c r="AI289" s="506"/>
      <c r="AJ289" s="509">
        <f ca="1">IF($C$4=Year1,-PMT(Lookups!$E$17,25,NPV(Lookups!$E$17,G289:AE289),0,1),IF($C$4=Year2,-PMT(Lookups!$F$17,25,NPV(Lookups!$F$17,H289:AF289),0,1),IF($C$4=Year3,-PMT(Lookups!$G$17,25,NPV(Lookups!$G$17,I289:AG289),0,1),-PMT(Lookups!$G$17,27,NPV(Lookups!$G$17,G289:AG289),0,1))))</f>
        <v>0.12039632940510106</v>
      </c>
      <c r="AK289" s="507"/>
      <c r="AL289" s="507"/>
      <c r="AM289" s="508">
        <f ca="1">IFERROR(AM269/AM254,0)</f>
        <v>0</v>
      </c>
      <c r="AN289" s="508">
        <f t="shared" ref="AN289:BM289" ca="1" si="313">IFERROR(AN269/AN254,0)</f>
        <v>0.12632042652671255</v>
      </c>
      <c r="AO289" s="508">
        <f t="shared" ca="1" si="313"/>
        <v>0.12632042652671255</v>
      </c>
      <c r="AP289" s="508">
        <f t="shared" ca="1" si="313"/>
        <v>0.12632042652671255</v>
      </c>
      <c r="AQ289" s="508">
        <f t="shared" ca="1" si="313"/>
        <v>0.12632042652671255</v>
      </c>
      <c r="AR289" s="508">
        <f t="shared" ca="1" si="313"/>
        <v>0.12632042652671255</v>
      </c>
      <c r="AS289" s="508">
        <f t="shared" ca="1" si="313"/>
        <v>0.12632042652671255</v>
      </c>
      <c r="AT289" s="508">
        <f t="shared" ca="1" si="313"/>
        <v>0.12632042652671255</v>
      </c>
      <c r="AU289" s="508">
        <f t="shared" ca="1" si="313"/>
        <v>0.12632042652671255</v>
      </c>
      <c r="AV289" s="508">
        <f t="shared" ca="1" si="313"/>
        <v>0.12632042652671255</v>
      </c>
      <c r="AW289" s="508">
        <f t="shared" ca="1" si="313"/>
        <v>0.12632042652671255</v>
      </c>
      <c r="AX289" s="508">
        <f t="shared" ca="1" si="313"/>
        <v>0.12632042652671255</v>
      </c>
      <c r="AY289" s="508">
        <f t="shared" ca="1" si="313"/>
        <v>0.12632042652671255</v>
      </c>
      <c r="AZ289" s="508">
        <f t="shared" ca="1" si="313"/>
        <v>0.12632042652671255</v>
      </c>
      <c r="BA289" s="508">
        <f t="shared" ca="1" si="313"/>
        <v>0.1181</v>
      </c>
      <c r="BB289" s="508">
        <f t="shared" ca="1" si="313"/>
        <v>0.1181</v>
      </c>
      <c r="BC289" s="508">
        <f t="shared" ca="1" si="313"/>
        <v>0.1181</v>
      </c>
      <c r="BD289" s="508">
        <f t="shared" ca="1" si="313"/>
        <v>0.1181</v>
      </c>
      <c r="BE289" s="508">
        <f t="shared" ca="1" si="313"/>
        <v>0.1181</v>
      </c>
      <c r="BF289" s="508">
        <f t="shared" ca="1" si="313"/>
        <v>0.1181</v>
      </c>
      <c r="BG289" s="508">
        <f t="shared" ca="1" si="313"/>
        <v>0.1181</v>
      </c>
      <c r="BH289" s="508">
        <f t="shared" ca="1" si="313"/>
        <v>0.1181</v>
      </c>
      <c r="BI289" s="508">
        <f t="shared" ca="1" si="313"/>
        <v>0.1181</v>
      </c>
      <c r="BJ289" s="508">
        <f t="shared" ca="1" si="313"/>
        <v>0.1181</v>
      </c>
      <c r="BK289" s="508">
        <f t="shared" ca="1" si="313"/>
        <v>0.1181</v>
      </c>
      <c r="BL289" s="508">
        <f t="shared" ca="1" si="313"/>
        <v>0.1181</v>
      </c>
      <c r="BM289" s="508">
        <f t="shared" ca="1" si="313"/>
        <v>0.1181</v>
      </c>
      <c r="BN289" s="508"/>
      <c r="BO289" s="508"/>
      <c r="BP289" s="508">
        <f ca="1">IF($C$4=Year1,-PMT(Lookups!$E$17,25,NPV(Lookups!$E$17,AM289:BK289),0,1),IF($C$4=Year2,-PMT(Lookups!$F$17,25,NPV(Lookups!$F$17,AN289:BL289),0,1),IF($C$4=Year3,-PMT(Lookups!$G$17,25,NPV(Lookups!$G$17,AO289:BM289),0,1),-PMT(Lookups!$G$17,27,NPV(Lookups!$G$17,AM289:BM289),0,1))))</f>
        <v>0.12102135524966685</v>
      </c>
      <c r="BS289" s="84" t="s">
        <v>238</v>
      </c>
      <c r="BT289" s="51" t="s">
        <v>17</v>
      </c>
    </row>
    <row r="290" spans="1:72" x14ac:dyDescent="0.25">
      <c r="B290" s="243" t="str">
        <f t="shared" si="307"/>
        <v>Large C&amp;I</v>
      </c>
      <c r="C290" s="243" t="str">
        <f t="shared" si="307"/>
        <v>Rates</v>
      </c>
      <c r="D290" s="244" t="str">
        <f>D289</f>
        <v>Rates after DSM Scenario</v>
      </c>
      <c r="E290" s="84" t="s">
        <v>407</v>
      </c>
      <c r="F290" s="84" t="s">
        <v>182</v>
      </c>
      <c r="G290" s="506">
        <f ca="1">IFERROR(G270/G254,0)</f>
        <v>0</v>
      </c>
      <c r="H290" s="506">
        <f t="shared" ref="H290:AG290" ca="1" si="314">IFERROR(H270/H254,0)</f>
        <v>5.691425815602019E-3</v>
      </c>
      <c r="I290" s="506">
        <f t="shared" ca="1" si="314"/>
        <v>5.691425815602019E-3</v>
      </c>
      <c r="J290" s="506">
        <f t="shared" ca="1" si="314"/>
        <v>5.691425815602019E-3</v>
      </c>
      <c r="K290" s="506">
        <f t="shared" ca="1" si="314"/>
        <v>5.691425815602019E-3</v>
      </c>
      <c r="L290" s="506">
        <f t="shared" ca="1" si="314"/>
        <v>5.691425815602019E-3</v>
      </c>
      <c r="M290" s="506">
        <f t="shared" ca="1" si="314"/>
        <v>5.691425815602019E-3</v>
      </c>
      <c r="N290" s="506">
        <f t="shared" ca="1" si="314"/>
        <v>5.691425815602019E-3</v>
      </c>
      <c r="O290" s="506">
        <f t="shared" ca="1" si="314"/>
        <v>5.691425815602019E-3</v>
      </c>
      <c r="P290" s="506">
        <f t="shared" ca="1" si="314"/>
        <v>5.691425815602019E-3</v>
      </c>
      <c r="Q290" s="506">
        <f t="shared" ca="1" si="314"/>
        <v>5.691425815602019E-3</v>
      </c>
      <c r="R290" s="506">
        <f t="shared" ca="1" si="314"/>
        <v>5.691425815602019E-3</v>
      </c>
      <c r="S290" s="506">
        <f t="shared" ca="1" si="314"/>
        <v>5.691425815602019E-3</v>
      </c>
      <c r="T290" s="506">
        <f t="shared" ca="1" si="314"/>
        <v>5.691425815602019E-3</v>
      </c>
      <c r="U290" s="506">
        <f t="shared" ca="1" si="314"/>
        <v>5.2000000000000032E-3</v>
      </c>
      <c r="V290" s="506">
        <f t="shared" ca="1" si="314"/>
        <v>5.2000000000000032E-3</v>
      </c>
      <c r="W290" s="506">
        <f t="shared" ca="1" si="314"/>
        <v>5.2000000000000032E-3</v>
      </c>
      <c r="X290" s="506">
        <f t="shared" ca="1" si="314"/>
        <v>5.2000000000000032E-3</v>
      </c>
      <c r="Y290" s="506">
        <f t="shared" ca="1" si="314"/>
        <v>5.2000000000000032E-3</v>
      </c>
      <c r="Z290" s="506">
        <f t="shared" ca="1" si="314"/>
        <v>5.2000000000000032E-3</v>
      </c>
      <c r="AA290" s="506">
        <f t="shared" ca="1" si="314"/>
        <v>5.2000000000000032E-3</v>
      </c>
      <c r="AB290" s="506">
        <f t="shared" ca="1" si="314"/>
        <v>5.2000000000000032E-3</v>
      </c>
      <c r="AC290" s="506">
        <f t="shared" ca="1" si="314"/>
        <v>5.2000000000000032E-3</v>
      </c>
      <c r="AD290" s="506">
        <f t="shared" ca="1" si="314"/>
        <v>5.2000000000000032E-3</v>
      </c>
      <c r="AE290" s="506">
        <f t="shared" ca="1" si="314"/>
        <v>5.2000000000000032E-3</v>
      </c>
      <c r="AF290" s="506">
        <f t="shared" ca="1" si="314"/>
        <v>5.2000000000000032E-3</v>
      </c>
      <c r="AG290" s="506">
        <f t="shared" ca="1" si="314"/>
        <v>5.2000000000000032E-3</v>
      </c>
      <c r="AH290" s="509"/>
      <c r="AI290" s="506"/>
      <c r="AJ290" s="509">
        <f ca="1">IF($C$4=Year1,-PMT(Lookups!$E$17,25,NPV(Lookups!$E$17,G290:AE290),0,1),IF($C$4=Year2,-PMT(Lookups!$F$17,25,NPV(Lookups!$F$17,H290:AF290),0,1),IF($C$4=Year3,-PMT(Lookups!$G$17,25,NPV(Lookups!$G$17,I290:AG290),0,1),-PMT(Lookups!$G$17,27,NPV(Lookups!$G$17,G290:AG290),0,1))))</f>
        <v>5.4005846328598573E-3</v>
      </c>
      <c r="AK290" s="507"/>
      <c r="AL290" s="507"/>
      <c r="AM290" s="508">
        <f ca="1">IFERROR(AM270/AM254,0)</f>
        <v>0</v>
      </c>
      <c r="AN290" s="508">
        <f t="shared" ref="AN290:BM290" ca="1" si="315">IFERROR(AN270/AN254,0)</f>
        <v>5.7693156688445315E-3</v>
      </c>
      <c r="AO290" s="508">
        <f t="shared" ca="1" si="315"/>
        <v>5.7693156688445315E-3</v>
      </c>
      <c r="AP290" s="508">
        <f t="shared" ca="1" si="315"/>
        <v>5.7693156688445315E-3</v>
      </c>
      <c r="AQ290" s="508">
        <f t="shared" ca="1" si="315"/>
        <v>5.7693156688445315E-3</v>
      </c>
      <c r="AR290" s="508">
        <f t="shared" ca="1" si="315"/>
        <v>5.7693156688445315E-3</v>
      </c>
      <c r="AS290" s="508">
        <f t="shared" ca="1" si="315"/>
        <v>5.7693156688445315E-3</v>
      </c>
      <c r="AT290" s="508">
        <f t="shared" ca="1" si="315"/>
        <v>5.7693156688445315E-3</v>
      </c>
      <c r="AU290" s="508">
        <f t="shared" ca="1" si="315"/>
        <v>5.7693156688445315E-3</v>
      </c>
      <c r="AV290" s="508">
        <f t="shared" ca="1" si="315"/>
        <v>5.7693156688445315E-3</v>
      </c>
      <c r="AW290" s="508">
        <f t="shared" ca="1" si="315"/>
        <v>5.7693156688445315E-3</v>
      </c>
      <c r="AX290" s="508">
        <f t="shared" ca="1" si="315"/>
        <v>5.7693156688445315E-3</v>
      </c>
      <c r="AY290" s="508">
        <f t="shared" ca="1" si="315"/>
        <v>5.7693156688445315E-3</v>
      </c>
      <c r="AZ290" s="508">
        <f t="shared" ca="1" si="315"/>
        <v>5.7693156688445315E-3</v>
      </c>
      <c r="BA290" s="508">
        <f t="shared" ca="1" si="315"/>
        <v>5.2000000000000032E-3</v>
      </c>
      <c r="BB290" s="508">
        <f t="shared" ca="1" si="315"/>
        <v>5.2000000000000032E-3</v>
      </c>
      <c r="BC290" s="508">
        <f t="shared" ca="1" si="315"/>
        <v>5.2000000000000032E-3</v>
      </c>
      <c r="BD290" s="508">
        <f t="shared" ca="1" si="315"/>
        <v>5.2000000000000032E-3</v>
      </c>
      <c r="BE290" s="508">
        <f t="shared" ca="1" si="315"/>
        <v>5.2000000000000032E-3</v>
      </c>
      <c r="BF290" s="508">
        <f t="shared" ca="1" si="315"/>
        <v>5.2000000000000032E-3</v>
      </c>
      <c r="BG290" s="508">
        <f t="shared" ca="1" si="315"/>
        <v>5.2000000000000032E-3</v>
      </c>
      <c r="BH290" s="508">
        <f t="shared" ca="1" si="315"/>
        <v>5.2000000000000032E-3</v>
      </c>
      <c r="BI290" s="508">
        <f t="shared" ca="1" si="315"/>
        <v>5.2000000000000032E-3</v>
      </c>
      <c r="BJ290" s="508">
        <f t="shared" ca="1" si="315"/>
        <v>5.2000000000000032E-3</v>
      </c>
      <c r="BK290" s="508">
        <f t="shared" ca="1" si="315"/>
        <v>5.2000000000000032E-3</v>
      </c>
      <c r="BL290" s="508">
        <f t="shared" ca="1" si="315"/>
        <v>5.2000000000000032E-3</v>
      </c>
      <c r="BM290" s="508">
        <f t="shared" ca="1" si="315"/>
        <v>5.2000000000000032E-3</v>
      </c>
      <c r="BN290" s="508"/>
      <c r="BO290" s="508"/>
      <c r="BP290" s="508">
        <f ca="1">IF($C$4=Year1,-PMT(Lookups!$E$17,25,NPV(Lookups!$E$17,AM290:BK290),0,1),IF($C$4=Year2,-PMT(Lookups!$F$17,25,NPV(Lookups!$F$17,AN290:BL290),0,1),IF($C$4=Year3,-PMT(Lookups!$G$17,25,NPV(Lookups!$G$17,AO290:BM290),0,1),-PMT(Lookups!$G$17,27,NPV(Lookups!$G$17,AM290:BM290),0,1))))</f>
        <v>5.4438715603188879E-3</v>
      </c>
      <c r="BS290" s="84" t="s">
        <v>237</v>
      </c>
      <c r="BT290" s="51" t="s">
        <v>17</v>
      </c>
    </row>
    <row r="291" spans="1:72" x14ac:dyDescent="0.25">
      <c r="B291" s="243" t="str">
        <f t="shared" si="307"/>
        <v>Large C&amp;I</v>
      </c>
      <c r="C291" s="243" t="str">
        <f t="shared" si="307"/>
        <v>Rates</v>
      </c>
      <c r="D291" s="244" t="str">
        <f t="shared" si="307"/>
        <v>Rates after DSM Scenario</v>
      </c>
      <c r="E291" s="84" t="s">
        <v>197</v>
      </c>
      <c r="F291" s="84" t="s">
        <v>182</v>
      </c>
      <c r="G291" s="506">
        <f ca="1">IFERROR(G277+G283,0)</f>
        <v>0</v>
      </c>
      <c r="H291" s="506">
        <f t="shared" ref="H291:AG291" ca="1" si="316">IFERROR(H277+H283,0)</f>
        <v>0.61576850630313529</v>
      </c>
      <c r="I291" s="506">
        <f t="shared" ca="1" si="316"/>
        <v>0.61576850630313529</v>
      </c>
      <c r="J291" s="506">
        <f t="shared" ca="1" si="316"/>
        <v>0.61576850630313529</v>
      </c>
      <c r="K291" s="506">
        <f t="shared" ca="1" si="316"/>
        <v>0.61576850630313529</v>
      </c>
      <c r="L291" s="506">
        <f t="shared" ca="1" si="316"/>
        <v>0.61576850630313529</v>
      </c>
      <c r="M291" s="506">
        <f t="shared" ca="1" si="316"/>
        <v>0.61576850630313529</v>
      </c>
      <c r="N291" s="506">
        <f t="shared" ca="1" si="316"/>
        <v>0.61576850630313529</v>
      </c>
      <c r="O291" s="506">
        <f t="shared" ca="1" si="316"/>
        <v>0.61576850630313529</v>
      </c>
      <c r="P291" s="506">
        <f t="shared" ca="1" si="316"/>
        <v>0.61576850630313529</v>
      </c>
      <c r="Q291" s="506">
        <f t="shared" ca="1" si="316"/>
        <v>0.61576850630313529</v>
      </c>
      <c r="R291" s="506">
        <f t="shared" ca="1" si="316"/>
        <v>0.61576850630313529</v>
      </c>
      <c r="S291" s="506">
        <f t="shared" ca="1" si="316"/>
        <v>0.61576850630313529</v>
      </c>
      <c r="T291" s="506">
        <f t="shared" ca="1" si="316"/>
        <v>0.61576850630313529</v>
      </c>
      <c r="U291" s="506">
        <f t="shared" ca="1" si="316"/>
        <v>0.61899999999999999</v>
      </c>
      <c r="V291" s="506">
        <f t="shared" ca="1" si="316"/>
        <v>0.61899999999999999</v>
      </c>
      <c r="W291" s="506">
        <f t="shared" ca="1" si="316"/>
        <v>0.61899999999999999</v>
      </c>
      <c r="X291" s="506">
        <f t="shared" ca="1" si="316"/>
        <v>0.61899999999999999</v>
      </c>
      <c r="Y291" s="506">
        <f t="shared" ca="1" si="316"/>
        <v>0.61899999999999999</v>
      </c>
      <c r="Z291" s="506">
        <f t="shared" ca="1" si="316"/>
        <v>0.61899999999999999</v>
      </c>
      <c r="AA291" s="506">
        <f t="shared" ca="1" si="316"/>
        <v>0.61899999999999999</v>
      </c>
      <c r="AB291" s="506">
        <f t="shared" ca="1" si="316"/>
        <v>0.61899999999999999</v>
      </c>
      <c r="AC291" s="506">
        <f t="shared" ca="1" si="316"/>
        <v>0.61899999999999999</v>
      </c>
      <c r="AD291" s="506">
        <f t="shared" ca="1" si="316"/>
        <v>0.61899999999999999</v>
      </c>
      <c r="AE291" s="506">
        <f t="shared" ca="1" si="316"/>
        <v>0.61899999999999999</v>
      </c>
      <c r="AF291" s="506">
        <f t="shared" ca="1" si="316"/>
        <v>0.61899999999999999</v>
      </c>
      <c r="AG291" s="506">
        <f t="shared" ca="1" si="316"/>
        <v>0.61899999999999999</v>
      </c>
      <c r="AH291" s="509"/>
      <c r="AI291" s="506"/>
      <c r="AJ291" s="509">
        <f ca="1">IF($C$4=Year1,-PMT(Lookups!$E$17,25,NPV(Lookups!$E$17,G291:AE291),0,1),IF($C$4=Year2,-PMT(Lookups!$F$17,25,NPV(Lookups!$F$17,H291:AF291),0,1),IF($C$4=Year3,-PMT(Lookups!$G$17,25,NPV(Lookups!$G$17,I291:AG291),0,1),-PMT(Lookups!$G$17,27,NPV(Lookups!$G$17,G291:AG291),0,1))))</f>
        <v>0.60857108561622131</v>
      </c>
      <c r="AK291" s="507"/>
      <c r="AL291" s="507"/>
      <c r="AM291" s="508">
        <f ca="1">IFERROR(AM277+AM283,0)</f>
        <v>0</v>
      </c>
      <c r="AN291" s="508">
        <f t="shared" ref="AN291:BM291" ca="1" si="317">IFERROR(AN277+AN283,0)</f>
        <v>0.61525632203887437</v>
      </c>
      <c r="AO291" s="508">
        <f t="shared" ca="1" si="317"/>
        <v>0.61525632203887437</v>
      </c>
      <c r="AP291" s="508">
        <f t="shared" ca="1" si="317"/>
        <v>0.61525632203887437</v>
      </c>
      <c r="AQ291" s="508">
        <f t="shared" ca="1" si="317"/>
        <v>0.61525632203887437</v>
      </c>
      <c r="AR291" s="508">
        <f t="shared" ca="1" si="317"/>
        <v>0.61525632203887437</v>
      </c>
      <c r="AS291" s="508">
        <f t="shared" ca="1" si="317"/>
        <v>0.61525632203887437</v>
      </c>
      <c r="AT291" s="508">
        <f t="shared" ca="1" si="317"/>
        <v>0.61525632203887437</v>
      </c>
      <c r="AU291" s="508">
        <f t="shared" ca="1" si="317"/>
        <v>0.61525632203887437</v>
      </c>
      <c r="AV291" s="508">
        <f t="shared" ca="1" si="317"/>
        <v>0.61525632203887437</v>
      </c>
      <c r="AW291" s="508">
        <f t="shared" ca="1" si="317"/>
        <v>0.61525632203887437</v>
      </c>
      <c r="AX291" s="508">
        <f t="shared" ca="1" si="317"/>
        <v>0.61525632203887437</v>
      </c>
      <c r="AY291" s="508">
        <f t="shared" ca="1" si="317"/>
        <v>0.61525632203887437</v>
      </c>
      <c r="AZ291" s="508">
        <f t="shared" ca="1" si="317"/>
        <v>0.61525632203887437</v>
      </c>
      <c r="BA291" s="508">
        <f t="shared" ca="1" si="317"/>
        <v>0.61899999999999999</v>
      </c>
      <c r="BB291" s="508">
        <f t="shared" ca="1" si="317"/>
        <v>0.61899999999999999</v>
      </c>
      <c r="BC291" s="508">
        <f t="shared" ca="1" si="317"/>
        <v>0.61899999999999999</v>
      </c>
      <c r="BD291" s="508">
        <f t="shared" ca="1" si="317"/>
        <v>0.61899999999999999</v>
      </c>
      <c r="BE291" s="508">
        <f t="shared" ca="1" si="317"/>
        <v>0.61899999999999999</v>
      </c>
      <c r="BF291" s="508">
        <f t="shared" ca="1" si="317"/>
        <v>0.61899999999999999</v>
      </c>
      <c r="BG291" s="508">
        <f t="shared" ca="1" si="317"/>
        <v>0.61899999999999999</v>
      </c>
      <c r="BH291" s="508">
        <f t="shared" ca="1" si="317"/>
        <v>0.61899999999999999</v>
      </c>
      <c r="BI291" s="508">
        <f t="shared" ca="1" si="317"/>
        <v>0.61899999999999999</v>
      </c>
      <c r="BJ291" s="508">
        <f t="shared" ca="1" si="317"/>
        <v>0.61899999999999999</v>
      </c>
      <c r="BK291" s="508">
        <f t="shared" ca="1" si="317"/>
        <v>0.61899999999999999</v>
      </c>
      <c r="BL291" s="508">
        <f t="shared" ca="1" si="317"/>
        <v>0.61899999999999999</v>
      </c>
      <c r="BM291" s="508">
        <f t="shared" ca="1" si="317"/>
        <v>0.61899999999999999</v>
      </c>
      <c r="BN291" s="508"/>
      <c r="BO291" s="508"/>
      <c r="BP291" s="508">
        <f ca="1">IF($C$4=Year1,-PMT(Lookups!$E$17,25,NPV(Lookups!$E$17,AM291:BK291),0,1),IF($C$4=Year2,-PMT(Lookups!$F$17,25,NPV(Lookups!$F$17,AN291:BL291),0,1),IF($C$4=Year3,-PMT(Lookups!$G$17,25,NPV(Lookups!$G$17,AO291:BM291),0,1),-PMT(Lookups!$G$17,27,NPV(Lookups!$G$17,AM291:BM291),0,1))))</f>
        <v>0.60828644156863665</v>
      </c>
      <c r="BS291" s="86" t="s">
        <v>236</v>
      </c>
      <c r="BT291" s="51" t="s">
        <v>17</v>
      </c>
    </row>
    <row r="292" spans="1:72" x14ac:dyDescent="0.25">
      <c r="B292" s="243" t="str">
        <f t="shared" si="307"/>
        <v>Large C&amp;I</v>
      </c>
      <c r="C292" s="243" t="str">
        <f t="shared" si="307"/>
        <v>Rates</v>
      </c>
      <c r="D292" s="244" t="str">
        <f t="shared" si="307"/>
        <v>Rates after DSM Scenario</v>
      </c>
      <c r="E292" s="84" t="s">
        <v>406</v>
      </c>
      <c r="F292" s="84" t="s">
        <v>182</v>
      </c>
      <c r="G292" s="509">
        <f ca="1">G286</f>
        <v>0</v>
      </c>
      <c r="H292" s="509">
        <f t="shared" ref="H292:AG292" ca="1" si="318">H286</f>
        <v>0.14926911562058559</v>
      </c>
      <c r="I292" s="509">
        <f t="shared" ca="1" si="318"/>
        <v>0</v>
      </c>
      <c r="J292" s="509">
        <f t="shared" ca="1" si="318"/>
        <v>0</v>
      </c>
      <c r="K292" s="509">
        <f t="shared" ca="1" si="318"/>
        <v>0</v>
      </c>
      <c r="L292" s="509">
        <f t="shared" ca="1" si="318"/>
        <v>0</v>
      </c>
      <c r="M292" s="509">
        <f t="shared" ca="1" si="318"/>
        <v>0</v>
      </c>
      <c r="N292" s="509">
        <f t="shared" ca="1" si="318"/>
        <v>0</v>
      </c>
      <c r="O292" s="509">
        <f t="shared" ca="1" si="318"/>
        <v>0</v>
      </c>
      <c r="P292" s="509">
        <f t="shared" ca="1" si="318"/>
        <v>0</v>
      </c>
      <c r="Q292" s="509">
        <f t="shared" ca="1" si="318"/>
        <v>0</v>
      </c>
      <c r="R292" s="509">
        <f t="shared" ca="1" si="318"/>
        <v>0</v>
      </c>
      <c r="S292" s="509">
        <f t="shared" ca="1" si="318"/>
        <v>0</v>
      </c>
      <c r="T292" s="509">
        <f t="shared" ca="1" si="318"/>
        <v>0</v>
      </c>
      <c r="U292" s="509">
        <f t="shared" ca="1" si="318"/>
        <v>0</v>
      </c>
      <c r="V292" s="509">
        <f t="shared" ca="1" si="318"/>
        <v>0</v>
      </c>
      <c r="W292" s="509">
        <f t="shared" ca="1" si="318"/>
        <v>0</v>
      </c>
      <c r="X292" s="509">
        <f t="shared" ca="1" si="318"/>
        <v>0</v>
      </c>
      <c r="Y292" s="509">
        <f t="shared" ca="1" si="318"/>
        <v>0</v>
      </c>
      <c r="Z292" s="509">
        <f t="shared" ca="1" si="318"/>
        <v>0</v>
      </c>
      <c r="AA292" s="509">
        <f t="shared" ca="1" si="318"/>
        <v>0</v>
      </c>
      <c r="AB292" s="509">
        <f t="shared" ca="1" si="318"/>
        <v>0</v>
      </c>
      <c r="AC292" s="509">
        <f t="shared" ca="1" si="318"/>
        <v>0</v>
      </c>
      <c r="AD292" s="509">
        <f t="shared" ca="1" si="318"/>
        <v>0</v>
      </c>
      <c r="AE292" s="509">
        <f t="shared" ca="1" si="318"/>
        <v>0</v>
      </c>
      <c r="AF292" s="509">
        <f t="shared" ca="1" si="318"/>
        <v>0</v>
      </c>
      <c r="AG292" s="509">
        <f t="shared" ca="1" si="318"/>
        <v>0</v>
      </c>
      <c r="AH292" s="509"/>
      <c r="AI292" s="509"/>
      <c r="AJ292" s="509">
        <f ca="1">IF($C$4=Year1,-PMT(Lookups!$E$17,25,NPV(Lookups!$E$17,G292:AE292),0,1),IF($C$4=Year2,-PMT(Lookups!$F$17,25,NPV(Lookups!$F$17,H292:AF292),0,1),IF($C$4=Year3,-PMT(Lookups!$G$17,25,NPV(Lookups!$G$17,I292:AG292),0,1),-PMT(Lookups!$G$17,27,NPV(Lookups!$G$17,G292:AG292),0,1))))</f>
        <v>6.932672855075297E-3</v>
      </c>
      <c r="AK292" s="507"/>
      <c r="AL292" s="507"/>
      <c r="AM292" s="508">
        <f ca="1">AM286</f>
        <v>0</v>
      </c>
      <c r="AN292" s="508">
        <f t="shared" ref="AN292:BM292" ca="1" si="319">AN286</f>
        <v>0.1791229387447027</v>
      </c>
      <c r="AO292" s="508">
        <f t="shared" ca="1" si="319"/>
        <v>0</v>
      </c>
      <c r="AP292" s="508">
        <f t="shared" ca="1" si="319"/>
        <v>0</v>
      </c>
      <c r="AQ292" s="508">
        <f t="shared" ca="1" si="319"/>
        <v>0</v>
      </c>
      <c r="AR292" s="508">
        <f t="shared" ca="1" si="319"/>
        <v>0</v>
      </c>
      <c r="AS292" s="508">
        <f t="shared" ca="1" si="319"/>
        <v>0</v>
      </c>
      <c r="AT292" s="508">
        <f t="shared" ca="1" si="319"/>
        <v>0</v>
      </c>
      <c r="AU292" s="508">
        <f t="shared" ca="1" si="319"/>
        <v>0</v>
      </c>
      <c r="AV292" s="508">
        <f t="shared" ca="1" si="319"/>
        <v>0</v>
      </c>
      <c r="AW292" s="508">
        <f t="shared" ca="1" si="319"/>
        <v>0</v>
      </c>
      <c r="AX292" s="508">
        <f t="shared" ca="1" si="319"/>
        <v>0</v>
      </c>
      <c r="AY292" s="508">
        <f t="shared" ca="1" si="319"/>
        <v>0</v>
      </c>
      <c r="AZ292" s="508">
        <f t="shared" ca="1" si="319"/>
        <v>0</v>
      </c>
      <c r="BA292" s="508">
        <f t="shared" ca="1" si="319"/>
        <v>0</v>
      </c>
      <c r="BB292" s="508">
        <f t="shared" ca="1" si="319"/>
        <v>0</v>
      </c>
      <c r="BC292" s="508">
        <f t="shared" ca="1" si="319"/>
        <v>0</v>
      </c>
      <c r="BD292" s="508">
        <f t="shared" ca="1" si="319"/>
        <v>0</v>
      </c>
      <c r="BE292" s="508">
        <f t="shared" ca="1" si="319"/>
        <v>0</v>
      </c>
      <c r="BF292" s="508">
        <f t="shared" ca="1" si="319"/>
        <v>0</v>
      </c>
      <c r="BG292" s="508">
        <f t="shared" ca="1" si="319"/>
        <v>0</v>
      </c>
      <c r="BH292" s="508">
        <f t="shared" ca="1" si="319"/>
        <v>0</v>
      </c>
      <c r="BI292" s="508">
        <f t="shared" ca="1" si="319"/>
        <v>0</v>
      </c>
      <c r="BJ292" s="508">
        <f t="shared" ca="1" si="319"/>
        <v>0</v>
      </c>
      <c r="BK292" s="508">
        <f t="shared" ca="1" si="319"/>
        <v>0</v>
      </c>
      <c r="BL292" s="508">
        <f t="shared" ca="1" si="319"/>
        <v>0</v>
      </c>
      <c r="BM292" s="508">
        <f t="shared" ca="1" si="319"/>
        <v>0</v>
      </c>
      <c r="BN292" s="508"/>
      <c r="BO292" s="508"/>
      <c r="BP292" s="508">
        <f ca="1">IF($C$4=Year1,-PMT(Lookups!$E$17,25,NPV(Lookups!$E$17,AM292:BK292),0,1),IF($C$4=Year2,-PMT(Lookups!$F$17,25,NPV(Lookups!$F$17,AN292:BL292),0,1),IF($C$4=Year3,-PMT(Lookups!$G$17,25,NPV(Lookups!$G$17,AO292:BM292),0,1),-PMT(Lookups!$G$17,27,NPV(Lookups!$G$17,AM292:BM292),0,1))))</f>
        <v>8.319207426090356E-3</v>
      </c>
      <c r="BS292" s="84" t="s">
        <v>403</v>
      </c>
      <c r="BT292" s="51" t="s">
        <v>17</v>
      </c>
    </row>
    <row r="293" spans="1:72" x14ac:dyDescent="0.25">
      <c r="B293" s="243" t="str">
        <f>B294</f>
        <v>Large C&amp;I</v>
      </c>
      <c r="C293" s="243" t="str">
        <f>C294</f>
        <v>Rates</v>
      </c>
      <c r="D293" s="244" t="str">
        <f>D294</f>
        <v>Rates after DSM Scenario</v>
      </c>
      <c r="E293" s="86" t="s">
        <v>75</v>
      </c>
      <c r="F293" s="84" t="s">
        <v>182</v>
      </c>
      <c r="G293" s="506">
        <f>G278</f>
        <v>0</v>
      </c>
      <c r="H293" s="506">
        <f t="shared" ref="H293:AG293" si="320">H278</f>
        <v>4.271893828439878E-2</v>
      </c>
      <c r="I293" s="506">
        <f t="shared" si="320"/>
        <v>4.271893828439878E-2</v>
      </c>
      <c r="J293" s="506">
        <f t="shared" si="320"/>
        <v>4.271893828439878E-2</v>
      </c>
      <c r="K293" s="506">
        <f t="shared" si="320"/>
        <v>4.271893828439878E-2</v>
      </c>
      <c r="L293" s="506">
        <f t="shared" si="320"/>
        <v>4.271893828439878E-2</v>
      </c>
      <c r="M293" s="506">
        <f t="shared" si="320"/>
        <v>4.271893828439878E-2</v>
      </c>
      <c r="N293" s="506">
        <f t="shared" si="320"/>
        <v>4.271893828439878E-2</v>
      </c>
      <c r="O293" s="506">
        <f t="shared" si="320"/>
        <v>4.271893828439878E-2</v>
      </c>
      <c r="P293" s="506">
        <f t="shared" si="320"/>
        <v>4.271893828439878E-2</v>
      </c>
      <c r="Q293" s="506">
        <f t="shared" si="320"/>
        <v>4.271893828439878E-2</v>
      </c>
      <c r="R293" s="506">
        <f t="shared" si="320"/>
        <v>4.271893828439878E-2</v>
      </c>
      <c r="S293" s="506">
        <f t="shared" si="320"/>
        <v>4.271893828439878E-2</v>
      </c>
      <c r="T293" s="506">
        <f t="shared" si="320"/>
        <v>4.271893828439878E-2</v>
      </c>
      <c r="U293" s="506">
        <f t="shared" si="320"/>
        <v>4.271893828439878E-2</v>
      </c>
      <c r="V293" s="506">
        <f t="shared" si="320"/>
        <v>4.271893828439878E-2</v>
      </c>
      <c r="W293" s="506">
        <f t="shared" si="320"/>
        <v>4.271893828439878E-2</v>
      </c>
      <c r="X293" s="506">
        <f t="shared" si="320"/>
        <v>4.271893828439878E-2</v>
      </c>
      <c r="Y293" s="506">
        <f t="shared" si="320"/>
        <v>4.271893828439878E-2</v>
      </c>
      <c r="Z293" s="506">
        <f t="shared" si="320"/>
        <v>4.271893828439878E-2</v>
      </c>
      <c r="AA293" s="506">
        <f t="shared" si="320"/>
        <v>4.271893828439878E-2</v>
      </c>
      <c r="AB293" s="506">
        <f t="shared" si="320"/>
        <v>4.271893828439878E-2</v>
      </c>
      <c r="AC293" s="506">
        <f t="shared" si="320"/>
        <v>4.271893828439878E-2</v>
      </c>
      <c r="AD293" s="506">
        <f t="shared" si="320"/>
        <v>4.271893828439878E-2</v>
      </c>
      <c r="AE293" s="506">
        <f t="shared" si="320"/>
        <v>4.271893828439878E-2</v>
      </c>
      <c r="AF293" s="506">
        <f t="shared" si="320"/>
        <v>4.271893828439878E-2</v>
      </c>
      <c r="AG293" s="506">
        <f t="shared" si="320"/>
        <v>4.271893828439878E-2</v>
      </c>
      <c r="AH293" s="506"/>
      <c r="AI293" s="506"/>
      <c r="AJ293" s="506">
        <f>IF($C$4=Year1,-PMT(Lookups!$E$17,25,NPV(Lookups!$E$17,G293:AE293),0,1),IF($C$4=Year2,-PMT(Lookups!$F$17,25,NPV(Lookups!$F$17,H293:AF293),0,1),IF($C$4=Year3,-PMT(Lookups!$G$17,25,NPV(Lookups!$G$17,I293:AG293),0,1),-PMT(Lookups!$G$17,27,NPV(Lookups!$G$17,G293:AG293),0,1))))</f>
        <v>4.2123148733507407E-2</v>
      </c>
      <c r="AK293" s="507"/>
      <c r="AL293" s="507"/>
      <c r="AM293" s="508">
        <f>AM278</f>
        <v>0</v>
      </c>
      <c r="AN293" s="508">
        <f t="shared" ref="AN293:BM293" si="321">AN278</f>
        <v>4.271893828439878E-2</v>
      </c>
      <c r="AO293" s="508">
        <f t="shared" si="321"/>
        <v>4.271893828439878E-2</v>
      </c>
      <c r="AP293" s="508">
        <f t="shared" si="321"/>
        <v>4.271893828439878E-2</v>
      </c>
      <c r="AQ293" s="508">
        <f t="shared" si="321"/>
        <v>4.271893828439878E-2</v>
      </c>
      <c r="AR293" s="508">
        <f t="shared" si="321"/>
        <v>4.271893828439878E-2</v>
      </c>
      <c r="AS293" s="508">
        <f t="shared" si="321"/>
        <v>4.271893828439878E-2</v>
      </c>
      <c r="AT293" s="508">
        <f t="shared" si="321"/>
        <v>4.271893828439878E-2</v>
      </c>
      <c r="AU293" s="508">
        <f t="shared" si="321"/>
        <v>4.271893828439878E-2</v>
      </c>
      <c r="AV293" s="508">
        <f t="shared" si="321"/>
        <v>4.271893828439878E-2</v>
      </c>
      <c r="AW293" s="508">
        <f t="shared" si="321"/>
        <v>4.271893828439878E-2</v>
      </c>
      <c r="AX293" s="508">
        <f t="shared" si="321"/>
        <v>4.271893828439878E-2</v>
      </c>
      <c r="AY293" s="508">
        <f t="shared" si="321"/>
        <v>4.271893828439878E-2</v>
      </c>
      <c r="AZ293" s="508">
        <f t="shared" si="321"/>
        <v>4.271893828439878E-2</v>
      </c>
      <c r="BA293" s="508">
        <f t="shared" si="321"/>
        <v>4.271893828439878E-2</v>
      </c>
      <c r="BB293" s="508">
        <f t="shared" si="321"/>
        <v>4.271893828439878E-2</v>
      </c>
      <c r="BC293" s="508">
        <f t="shared" si="321"/>
        <v>4.271893828439878E-2</v>
      </c>
      <c r="BD293" s="508">
        <f t="shared" si="321"/>
        <v>4.271893828439878E-2</v>
      </c>
      <c r="BE293" s="508">
        <f t="shared" si="321"/>
        <v>4.271893828439878E-2</v>
      </c>
      <c r="BF293" s="508">
        <f t="shared" si="321"/>
        <v>4.271893828439878E-2</v>
      </c>
      <c r="BG293" s="508">
        <f t="shared" si="321"/>
        <v>4.271893828439878E-2</v>
      </c>
      <c r="BH293" s="508">
        <f t="shared" si="321"/>
        <v>4.271893828439878E-2</v>
      </c>
      <c r="BI293" s="508">
        <f t="shared" si="321"/>
        <v>4.271893828439878E-2</v>
      </c>
      <c r="BJ293" s="508">
        <f t="shared" si="321"/>
        <v>4.271893828439878E-2</v>
      </c>
      <c r="BK293" s="508">
        <f t="shared" si="321"/>
        <v>4.271893828439878E-2</v>
      </c>
      <c r="BL293" s="508">
        <f t="shared" si="321"/>
        <v>4.271893828439878E-2</v>
      </c>
      <c r="BM293" s="508">
        <f t="shared" si="321"/>
        <v>4.271893828439878E-2</v>
      </c>
      <c r="BN293" s="508"/>
      <c r="BO293" s="508"/>
      <c r="BP293" s="508">
        <f>IF($C$4=Year1,-PMT(Lookups!$E$17,25,NPV(Lookups!$E$17,AM293:BK293),0,1),IF($C$4=Year2,-PMT(Lookups!$F$17,25,NPV(Lookups!$F$17,AN293:BL293),0,1),IF($C$4=Year3,-PMT(Lookups!$G$17,25,NPV(Lookups!$G$17,AO293:BM293),0,1),-PMT(Lookups!$G$17,27,NPV(Lookups!$G$17,AM293:BM293),0,1))))</f>
        <v>4.2123148733507407E-2</v>
      </c>
      <c r="BS293" s="84" t="s">
        <v>171</v>
      </c>
      <c r="BT293" s="51" t="s">
        <v>17</v>
      </c>
    </row>
    <row r="294" spans="1:72" x14ac:dyDescent="0.25">
      <c r="B294" s="243" t="str">
        <f>B292</f>
        <v>Large C&amp;I</v>
      </c>
      <c r="C294" s="243" t="str">
        <f>C292</f>
        <v>Rates</v>
      </c>
      <c r="D294" s="244" t="str">
        <f>D292</f>
        <v>Rates after DSM Scenario</v>
      </c>
      <c r="E294" s="84" t="s">
        <v>76</v>
      </c>
      <c r="F294" s="84" t="s">
        <v>182</v>
      </c>
      <c r="G294" s="506">
        <f ca="1">SUM(G289:G293)</f>
        <v>0</v>
      </c>
      <c r="H294" s="506">
        <f t="shared" ref="H294:AG294" ca="1" si="322">SUM(H289:H293)</f>
        <v>0.93864375034491998</v>
      </c>
      <c r="I294" s="506">
        <f t="shared" ca="1" si="322"/>
        <v>0.78937463472433445</v>
      </c>
      <c r="J294" s="506">
        <f t="shared" ca="1" si="322"/>
        <v>0.78937463472433445</v>
      </c>
      <c r="K294" s="506">
        <f t="shared" ca="1" si="322"/>
        <v>0.78937463472433445</v>
      </c>
      <c r="L294" s="506">
        <f t="shared" ca="1" si="322"/>
        <v>0.78937463472433445</v>
      </c>
      <c r="M294" s="506">
        <f t="shared" ca="1" si="322"/>
        <v>0.78937463472433445</v>
      </c>
      <c r="N294" s="506">
        <f t="shared" ca="1" si="322"/>
        <v>0.78937463472433445</v>
      </c>
      <c r="O294" s="506">
        <f t="shared" ca="1" si="322"/>
        <v>0.78937463472433445</v>
      </c>
      <c r="P294" s="506">
        <f t="shared" ca="1" si="322"/>
        <v>0.78937463472433445</v>
      </c>
      <c r="Q294" s="506">
        <f t="shared" ca="1" si="322"/>
        <v>0.78937463472433445</v>
      </c>
      <c r="R294" s="506">
        <f t="shared" ca="1" si="322"/>
        <v>0.78937463472433445</v>
      </c>
      <c r="S294" s="506">
        <f t="shared" ca="1" si="322"/>
        <v>0.78937463472433445</v>
      </c>
      <c r="T294" s="506">
        <f t="shared" ca="1" si="322"/>
        <v>0.78937463472433445</v>
      </c>
      <c r="U294" s="506">
        <f t="shared" ca="1" si="322"/>
        <v>0.78501893828439873</v>
      </c>
      <c r="V294" s="506">
        <f t="shared" ca="1" si="322"/>
        <v>0.78501893828439873</v>
      </c>
      <c r="W294" s="506">
        <f t="shared" ca="1" si="322"/>
        <v>0.78501893828439873</v>
      </c>
      <c r="X294" s="506">
        <f t="shared" ca="1" si="322"/>
        <v>0.78501893828439873</v>
      </c>
      <c r="Y294" s="506">
        <f t="shared" ca="1" si="322"/>
        <v>0.78501893828439873</v>
      </c>
      <c r="Z294" s="506">
        <f t="shared" ca="1" si="322"/>
        <v>0.78501893828439873</v>
      </c>
      <c r="AA294" s="506">
        <f t="shared" ca="1" si="322"/>
        <v>0.78501893828439873</v>
      </c>
      <c r="AB294" s="506">
        <f t="shared" ca="1" si="322"/>
        <v>0.78501893828439873</v>
      </c>
      <c r="AC294" s="506">
        <f t="shared" ca="1" si="322"/>
        <v>0.78501893828439873</v>
      </c>
      <c r="AD294" s="506">
        <f t="shared" ca="1" si="322"/>
        <v>0.78501893828439873</v>
      </c>
      <c r="AE294" s="506">
        <f t="shared" ca="1" si="322"/>
        <v>0.78501893828439873</v>
      </c>
      <c r="AF294" s="506">
        <f t="shared" ca="1" si="322"/>
        <v>0.78501893828439873</v>
      </c>
      <c r="AG294" s="506">
        <f t="shared" ca="1" si="322"/>
        <v>0.78501893828439873</v>
      </c>
      <c r="AH294" s="506"/>
      <c r="AI294" s="506"/>
      <c r="AJ294" s="506">
        <f ca="1">IF($C$4=Year1,-PMT(Lookups!$E$17,25,NPV(Lookups!$E$17,G294:AE294),0,1),IF($C$4=Year2,-PMT(Lookups!$F$17,25,NPV(Lookups!$F$17,H294:AF294),0,1),IF($C$4=Year3,-PMT(Lookups!$G$17,25,NPV(Lookups!$G$17,I294:AG294),0,1),-PMT(Lookups!$G$17,27,NPV(Lookups!$G$17,G294:AG294),0,1))))</f>
        <v>0.78342382124276477</v>
      </c>
      <c r="AK294" s="507"/>
      <c r="AL294" s="507"/>
      <c r="AM294" s="508">
        <f ca="1">SUM(AM289:AM293)</f>
        <v>0</v>
      </c>
      <c r="AN294" s="508">
        <f ca="1">SUM(AN289:AN293)</f>
        <v>0.9691879412635328</v>
      </c>
      <c r="AO294" s="508">
        <f t="shared" ref="AO294:BM294" ca="1" si="323">SUM(AO289:AO293)</f>
        <v>0.79006500251883016</v>
      </c>
      <c r="AP294" s="508">
        <f t="shared" ca="1" si="323"/>
        <v>0.79006500251883016</v>
      </c>
      <c r="AQ294" s="508">
        <f t="shared" ca="1" si="323"/>
        <v>0.79006500251883016</v>
      </c>
      <c r="AR294" s="508">
        <f t="shared" ca="1" si="323"/>
        <v>0.79006500251883016</v>
      </c>
      <c r="AS294" s="508">
        <f t="shared" ca="1" si="323"/>
        <v>0.79006500251883016</v>
      </c>
      <c r="AT294" s="508">
        <f t="shared" ca="1" si="323"/>
        <v>0.79006500251883016</v>
      </c>
      <c r="AU294" s="508">
        <f t="shared" ca="1" si="323"/>
        <v>0.79006500251883016</v>
      </c>
      <c r="AV294" s="508">
        <f t="shared" ca="1" si="323"/>
        <v>0.79006500251883016</v>
      </c>
      <c r="AW294" s="508">
        <f t="shared" ca="1" si="323"/>
        <v>0.79006500251883016</v>
      </c>
      <c r="AX294" s="508">
        <f t="shared" ca="1" si="323"/>
        <v>0.79006500251883016</v>
      </c>
      <c r="AY294" s="508">
        <f t="shared" ca="1" si="323"/>
        <v>0.79006500251883016</v>
      </c>
      <c r="AZ294" s="508">
        <f t="shared" ca="1" si="323"/>
        <v>0.79006500251883016</v>
      </c>
      <c r="BA294" s="508">
        <f t="shared" ca="1" si="323"/>
        <v>0.78501893828439873</v>
      </c>
      <c r="BB294" s="508">
        <f t="shared" ca="1" si="323"/>
        <v>0.78501893828439873</v>
      </c>
      <c r="BC294" s="508">
        <f t="shared" ca="1" si="323"/>
        <v>0.78501893828439873</v>
      </c>
      <c r="BD294" s="508">
        <f t="shared" ca="1" si="323"/>
        <v>0.78501893828439873</v>
      </c>
      <c r="BE294" s="508">
        <f t="shared" ca="1" si="323"/>
        <v>0.78501893828439873</v>
      </c>
      <c r="BF294" s="508">
        <f t="shared" ca="1" si="323"/>
        <v>0.78501893828439873</v>
      </c>
      <c r="BG294" s="508">
        <f t="shared" ca="1" si="323"/>
        <v>0.78501893828439873</v>
      </c>
      <c r="BH294" s="508">
        <f t="shared" ca="1" si="323"/>
        <v>0.78501893828439873</v>
      </c>
      <c r="BI294" s="508">
        <f t="shared" ca="1" si="323"/>
        <v>0.78501893828439873</v>
      </c>
      <c r="BJ294" s="508">
        <f t="shared" ca="1" si="323"/>
        <v>0.78501893828439873</v>
      </c>
      <c r="BK294" s="508">
        <f t="shared" ca="1" si="323"/>
        <v>0.78501893828439873</v>
      </c>
      <c r="BL294" s="508">
        <f t="shared" ca="1" si="323"/>
        <v>0.78501893828439873</v>
      </c>
      <c r="BM294" s="508">
        <f t="shared" ca="1" si="323"/>
        <v>0.78501893828439873</v>
      </c>
      <c r="BN294" s="508"/>
      <c r="BO294" s="508"/>
      <c r="BP294" s="508">
        <f ca="1">IF($C$4=Year1,-PMT(Lookups!$E$17,25,NPV(Lookups!$E$17,AM294:BK294),0,1),IF($C$4=Year2,-PMT(Lookups!$F$17,25,NPV(Lookups!$F$17,AN294:BL294),0,1),IF($C$4=Year3,-PMT(Lookups!$G$17,25,NPV(Lookups!$G$17,AO294:BM294),0,1),-PMT(Lookups!$G$17,27,NPV(Lookups!$G$17,AM294:BM294),0,1))))</f>
        <v>0.78519402453821996</v>
      </c>
      <c r="BS294" s="84" t="s">
        <v>235</v>
      </c>
      <c r="BT294" s="51" t="s">
        <v>17</v>
      </c>
    </row>
    <row r="295" spans="1:72" x14ac:dyDescent="0.25">
      <c r="B295" s="243" t="str">
        <f>B293</f>
        <v>Large C&amp;I</v>
      </c>
      <c r="C295" s="243" t="str">
        <f>C293</f>
        <v>Rates</v>
      </c>
      <c r="D295" s="114" t="s">
        <v>114</v>
      </c>
      <c r="E295" s="84"/>
      <c r="F295" s="84"/>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49"/>
      <c r="AI295" s="109"/>
      <c r="AJ295" s="49"/>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c r="BM295" s="75"/>
      <c r="BN295" s="75"/>
      <c r="BO295" s="75"/>
      <c r="BP295" s="75"/>
      <c r="BS295" s="84"/>
      <c r="BT295" s="51" t="s">
        <v>17</v>
      </c>
    </row>
    <row r="296" spans="1:72" x14ac:dyDescent="0.25">
      <c r="B296" s="243" t="str">
        <f t="shared" ref="B296:D311" si="324">B295</f>
        <v>Large C&amp;I</v>
      </c>
      <c r="C296" s="243" t="str">
        <f t="shared" si="324"/>
        <v>Rates</v>
      </c>
      <c r="D296" s="244" t="str">
        <f t="shared" si="324"/>
        <v>Change in Rates after DSM Scenario</v>
      </c>
      <c r="E296" s="84" t="s">
        <v>76</v>
      </c>
      <c r="F296" s="84" t="s">
        <v>182</v>
      </c>
      <c r="G296" s="510">
        <f ca="1">G294-G279</f>
        <v>0</v>
      </c>
      <c r="H296" s="510">
        <f t="shared" ref="H296:AG296" ca="1" si="325">H294-H279</f>
        <v>0.15362481206052125</v>
      </c>
      <c r="I296" s="510">
        <f t="shared" ca="1" si="325"/>
        <v>4.355696439935719E-3</v>
      </c>
      <c r="J296" s="510">
        <f t="shared" ca="1" si="325"/>
        <v>4.355696439935719E-3</v>
      </c>
      <c r="K296" s="510">
        <f t="shared" ca="1" si="325"/>
        <v>4.355696439935719E-3</v>
      </c>
      <c r="L296" s="510">
        <f t="shared" ca="1" si="325"/>
        <v>4.355696439935719E-3</v>
      </c>
      <c r="M296" s="510">
        <f t="shared" ca="1" si="325"/>
        <v>4.355696439935719E-3</v>
      </c>
      <c r="N296" s="510">
        <f t="shared" ca="1" si="325"/>
        <v>4.355696439935719E-3</v>
      </c>
      <c r="O296" s="510">
        <f t="shared" ca="1" si="325"/>
        <v>4.355696439935719E-3</v>
      </c>
      <c r="P296" s="510">
        <f t="shared" ca="1" si="325"/>
        <v>4.355696439935719E-3</v>
      </c>
      <c r="Q296" s="510">
        <f t="shared" ca="1" si="325"/>
        <v>4.355696439935719E-3</v>
      </c>
      <c r="R296" s="510">
        <f t="shared" ca="1" si="325"/>
        <v>4.355696439935719E-3</v>
      </c>
      <c r="S296" s="510">
        <f t="shared" ca="1" si="325"/>
        <v>4.355696439935719E-3</v>
      </c>
      <c r="T296" s="510">
        <f t="shared" ca="1" si="325"/>
        <v>4.355696439935719E-3</v>
      </c>
      <c r="U296" s="510">
        <f t="shared" ca="1" si="325"/>
        <v>0</v>
      </c>
      <c r="V296" s="510">
        <f t="shared" ca="1" si="325"/>
        <v>0</v>
      </c>
      <c r="W296" s="510">
        <f t="shared" ca="1" si="325"/>
        <v>0</v>
      </c>
      <c r="X296" s="510">
        <f t="shared" ca="1" si="325"/>
        <v>0</v>
      </c>
      <c r="Y296" s="510">
        <f t="shared" ca="1" si="325"/>
        <v>0</v>
      </c>
      <c r="Z296" s="510">
        <f t="shared" ca="1" si="325"/>
        <v>0</v>
      </c>
      <c r="AA296" s="510">
        <f t="shared" ca="1" si="325"/>
        <v>0</v>
      </c>
      <c r="AB296" s="510">
        <f t="shared" ca="1" si="325"/>
        <v>0</v>
      </c>
      <c r="AC296" s="510">
        <f t="shared" ca="1" si="325"/>
        <v>0</v>
      </c>
      <c r="AD296" s="510">
        <f t="shared" ca="1" si="325"/>
        <v>0</v>
      </c>
      <c r="AE296" s="510">
        <f t="shared" ca="1" si="325"/>
        <v>0</v>
      </c>
      <c r="AF296" s="510">
        <f t="shared" ca="1" si="325"/>
        <v>0</v>
      </c>
      <c r="AG296" s="510">
        <f t="shared" ca="1" si="325"/>
        <v>0</v>
      </c>
      <c r="AH296" s="510"/>
      <c r="AI296" s="510"/>
      <c r="AJ296" s="510">
        <f ca="1">IF($C$4=Year1,-PMT(Lookups!$E$17,25,NPV(Lookups!$E$17,G296:AE296),0,1),IF($C$4=Year2,-PMT(Lookups!$F$17,25,NPV(Lookups!$F$17,H296:AF296),0,1),IF($C$4=Year3,-PMT(Lookups!$G$17,25,NPV(Lookups!$G$17,I296:AG296),0,1),-PMT(Lookups!$G$17,27,NPV(Lookups!$G$17,G296:AG296),0,1))))</f>
        <v>9.353331104899127E-3</v>
      </c>
      <c r="AK296" s="507"/>
      <c r="AL296" s="507"/>
      <c r="AM296" s="508">
        <f ca="1">AM294-AM279</f>
        <v>0</v>
      </c>
      <c r="AN296" s="508">
        <f t="shared" ref="AN296:BM296" ca="1" si="326">AN294-AN279</f>
        <v>0.18416900297913408</v>
      </c>
      <c r="AO296" s="508">
        <f t="shared" ca="1" si="326"/>
        <v>5.0460642344314355E-3</v>
      </c>
      <c r="AP296" s="508">
        <f t="shared" ca="1" si="326"/>
        <v>5.0460642344314355E-3</v>
      </c>
      <c r="AQ296" s="508">
        <f t="shared" ca="1" si="326"/>
        <v>5.0460642344314355E-3</v>
      </c>
      <c r="AR296" s="508">
        <f t="shared" ca="1" si="326"/>
        <v>5.0460642344314355E-3</v>
      </c>
      <c r="AS296" s="508">
        <f t="shared" ca="1" si="326"/>
        <v>5.0460642344314355E-3</v>
      </c>
      <c r="AT296" s="508">
        <f t="shared" ca="1" si="326"/>
        <v>5.0460642344314355E-3</v>
      </c>
      <c r="AU296" s="508">
        <f t="shared" ca="1" si="326"/>
        <v>5.0460642344314355E-3</v>
      </c>
      <c r="AV296" s="508">
        <f t="shared" ca="1" si="326"/>
        <v>5.0460642344314355E-3</v>
      </c>
      <c r="AW296" s="508">
        <f t="shared" ca="1" si="326"/>
        <v>5.0460642344314355E-3</v>
      </c>
      <c r="AX296" s="508">
        <f t="shared" ca="1" si="326"/>
        <v>5.0460642344314355E-3</v>
      </c>
      <c r="AY296" s="508">
        <f t="shared" ca="1" si="326"/>
        <v>5.0460642344314355E-3</v>
      </c>
      <c r="AZ296" s="508">
        <f t="shared" ca="1" si="326"/>
        <v>5.0460642344314355E-3</v>
      </c>
      <c r="BA296" s="508">
        <f t="shared" ca="1" si="326"/>
        <v>0</v>
      </c>
      <c r="BB296" s="508">
        <f t="shared" ca="1" si="326"/>
        <v>0</v>
      </c>
      <c r="BC296" s="508">
        <f t="shared" ca="1" si="326"/>
        <v>0</v>
      </c>
      <c r="BD296" s="508">
        <f t="shared" ca="1" si="326"/>
        <v>0</v>
      </c>
      <c r="BE296" s="508">
        <f t="shared" ca="1" si="326"/>
        <v>0</v>
      </c>
      <c r="BF296" s="508">
        <f t="shared" ca="1" si="326"/>
        <v>0</v>
      </c>
      <c r="BG296" s="508">
        <f t="shared" ca="1" si="326"/>
        <v>0</v>
      </c>
      <c r="BH296" s="508">
        <f t="shared" ca="1" si="326"/>
        <v>0</v>
      </c>
      <c r="BI296" s="508">
        <f t="shared" ca="1" si="326"/>
        <v>0</v>
      </c>
      <c r="BJ296" s="508">
        <f t="shared" ca="1" si="326"/>
        <v>0</v>
      </c>
      <c r="BK296" s="508">
        <f t="shared" ca="1" si="326"/>
        <v>0</v>
      </c>
      <c r="BL296" s="508">
        <f t="shared" ca="1" si="326"/>
        <v>0</v>
      </c>
      <c r="BM296" s="508">
        <f t="shared" ca="1" si="326"/>
        <v>0</v>
      </c>
      <c r="BN296" s="508"/>
      <c r="BO296" s="508"/>
      <c r="BP296" s="508">
        <f ca="1">IF($C$4=Year1,-PMT(Lookups!$E$17,25,NPV(Lookups!$E$17,AM296:BK296),0,1),IF($C$4=Year2,-PMT(Lookups!$F$17,25,NPV(Lookups!$F$17,AN296:BL296),0,1),IF($C$4=Year3,-PMT(Lookups!$G$17,25,NPV(Lookups!$G$17,AO296:BM296),0,1),-PMT(Lookups!$G$17,27,NPV(Lookups!$G$17,AM296:BM296),0,1))))</f>
        <v>1.112353440035436E-2</v>
      </c>
      <c r="BS296" s="84" t="s">
        <v>233</v>
      </c>
      <c r="BT296" s="51" t="s">
        <v>17</v>
      </c>
    </row>
    <row r="297" spans="1:72" x14ac:dyDescent="0.25">
      <c r="B297" s="243" t="str">
        <f t="shared" si="324"/>
        <v>Large C&amp;I</v>
      </c>
      <c r="C297" s="243" t="str">
        <f t="shared" si="324"/>
        <v>Rates</v>
      </c>
      <c r="D297" s="244" t="str">
        <f t="shared" si="324"/>
        <v>Change in Rates after DSM Scenario</v>
      </c>
      <c r="E297" s="84" t="s">
        <v>76</v>
      </c>
      <c r="F297" s="84" t="s">
        <v>16</v>
      </c>
      <c r="G297" s="224">
        <f ca="1">IFERROR(G294/G279-1,0)</f>
        <v>0</v>
      </c>
      <c r="H297" s="224">
        <f t="shared" ref="H297:AG297" ca="1" si="327">IFERROR(H294/H279-1,0)</f>
        <v>0.19569567633139773</v>
      </c>
      <c r="I297" s="224">
        <f t="shared" ca="1" si="327"/>
        <v>5.5485240259995905E-3</v>
      </c>
      <c r="J297" s="224">
        <f t="shared" ca="1" si="327"/>
        <v>5.5485240259995905E-3</v>
      </c>
      <c r="K297" s="224">
        <f t="shared" ca="1" si="327"/>
        <v>5.5485240259995905E-3</v>
      </c>
      <c r="L297" s="224">
        <f t="shared" ca="1" si="327"/>
        <v>5.5485240259995905E-3</v>
      </c>
      <c r="M297" s="224">
        <f t="shared" ca="1" si="327"/>
        <v>5.5485240259995905E-3</v>
      </c>
      <c r="N297" s="224">
        <f t="shared" ca="1" si="327"/>
        <v>5.5485240259995905E-3</v>
      </c>
      <c r="O297" s="224">
        <f t="shared" ca="1" si="327"/>
        <v>5.5485240259995905E-3</v>
      </c>
      <c r="P297" s="224">
        <f t="shared" ca="1" si="327"/>
        <v>5.5485240259995905E-3</v>
      </c>
      <c r="Q297" s="224">
        <f t="shared" ca="1" si="327"/>
        <v>5.5485240259995905E-3</v>
      </c>
      <c r="R297" s="224">
        <f t="shared" ca="1" si="327"/>
        <v>5.5485240259995905E-3</v>
      </c>
      <c r="S297" s="224">
        <f t="shared" ca="1" si="327"/>
        <v>5.5485240259995905E-3</v>
      </c>
      <c r="T297" s="224">
        <f t="shared" ca="1" si="327"/>
        <v>5.5485240259995905E-3</v>
      </c>
      <c r="U297" s="224">
        <f t="shared" ca="1" si="327"/>
        <v>0</v>
      </c>
      <c r="V297" s="224">
        <f t="shared" ca="1" si="327"/>
        <v>0</v>
      </c>
      <c r="W297" s="224">
        <f t="shared" ca="1" si="327"/>
        <v>0</v>
      </c>
      <c r="X297" s="224">
        <f t="shared" ca="1" si="327"/>
        <v>0</v>
      </c>
      <c r="Y297" s="224">
        <f t="shared" ca="1" si="327"/>
        <v>0</v>
      </c>
      <c r="Z297" s="224">
        <f t="shared" ca="1" si="327"/>
        <v>0</v>
      </c>
      <c r="AA297" s="224">
        <f t="shared" ca="1" si="327"/>
        <v>0</v>
      </c>
      <c r="AB297" s="224">
        <f t="shared" ca="1" si="327"/>
        <v>0</v>
      </c>
      <c r="AC297" s="224">
        <f t="shared" ca="1" si="327"/>
        <v>0</v>
      </c>
      <c r="AD297" s="224">
        <f t="shared" ca="1" si="327"/>
        <v>0</v>
      </c>
      <c r="AE297" s="224">
        <f t="shared" ca="1" si="327"/>
        <v>0</v>
      </c>
      <c r="AF297" s="224">
        <f t="shared" ca="1" si="327"/>
        <v>0</v>
      </c>
      <c r="AG297" s="224">
        <f t="shared" ca="1" si="327"/>
        <v>0</v>
      </c>
      <c r="AH297" s="224"/>
      <c r="AI297" s="224"/>
      <c r="AJ297" s="224">
        <f ca="1">IFERROR(AJ294/AJ279-1,0)</f>
        <v>1.2083306654970372E-2</v>
      </c>
      <c r="AK297" s="212"/>
      <c r="AL297" s="212"/>
      <c r="AM297" s="504">
        <f ca="1">IFERROR(AM294/AM279-1,0)</f>
        <v>0</v>
      </c>
      <c r="AN297" s="504">
        <f ca="1">IFERROR(AN294/AN279-1,0)</f>
        <v>0.23460453499583322</v>
      </c>
      <c r="AO297" s="504">
        <f t="shared" ref="AO297:BM297" ca="1" si="328">IFERROR(AO294/AO279-1,0)</f>
        <v>6.4279522293553271E-3</v>
      </c>
      <c r="AP297" s="504">
        <f t="shared" ca="1" si="328"/>
        <v>6.4279522293553271E-3</v>
      </c>
      <c r="AQ297" s="504">
        <f t="shared" ca="1" si="328"/>
        <v>6.4279522293553271E-3</v>
      </c>
      <c r="AR297" s="504">
        <f t="shared" ca="1" si="328"/>
        <v>6.4279522293553271E-3</v>
      </c>
      <c r="AS297" s="504">
        <f t="shared" ca="1" si="328"/>
        <v>6.4279522293553271E-3</v>
      </c>
      <c r="AT297" s="504">
        <f t="shared" ca="1" si="328"/>
        <v>6.4279522293553271E-3</v>
      </c>
      <c r="AU297" s="504">
        <f t="shared" ca="1" si="328"/>
        <v>6.4279522293553271E-3</v>
      </c>
      <c r="AV297" s="504">
        <f t="shared" ca="1" si="328"/>
        <v>6.4279522293553271E-3</v>
      </c>
      <c r="AW297" s="504">
        <f t="shared" ca="1" si="328"/>
        <v>6.4279522293553271E-3</v>
      </c>
      <c r="AX297" s="504">
        <f t="shared" ca="1" si="328"/>
        <v>6.4279522293553271E-3</v>
      </c>
      <c r="AY297" s="504">
        <f t="shared" ca="1" si="328"/>
        <v>6.4279522293553271E-3</v>
      </c>
      <c r="AZ297" s="504">
        <f t="shared" ca="1" si="328"/>
        <v>6.4279522293553271E-3</v>
      </c>
      <c r="BA297" s="504">
        <f t="shared" ca="1" si="328"/>
        <v>0</v>
      </c>
      <c r="BB297" s="504">
        <f t="shared" ca="1" si="328"/>
        <v>0</v>
      </c>
      <c r="BC297" s="504">
        <f t="shared" ca="1" si="328"/>
        <v>0</v>
      </c>
      <c r="BD297" s="504">
        <f t="shared" ca="1" si="328"/>
        <v>0</v>
      </c>
      <c r="BE297" s="504">
        <f t="shared" ca="1" si="328"/>
        <v>0</v>
      </c>
      <c r="BF297" s="504">
        <f t="shared" ca="1" si="328"/>
        <v>0</v>
      </c>
      <c r="BG297" s="504">
        <f t="shared" ca="1" si="328"/>
        <v>0</v>
      </c>
      <c r="BH297" s="504">
        <f t="shared" ca="1" si="328"/>
        <v>0</v>
      </c>
      <c r="BI297" s="504">
        <f t="shared" ca="1" si="328"/>
        <v>0</v>
      </c>
      <c r="BJ297" s="504">
        <f t="shared" ca="1" si="328"/>
        <v>0</v>
      </c>
      <c r="BK297" s="504">
        <f t="shared" ca="1" si="328"/>
        <v>0</v>
      </c>
      <c r="BL297" s="504">
        <f t="shared" ca="1" si="328"/>
        <v>0</v>
      </c>
      <c r="BM297" s="504">
        <f t="shared" ca="1" si="328"/>
        <v>0</v>
      </c>
      <c r="BN297" s="504"/>
      <c r="BO297" s="504"/>
      <c r="BP297" s="504">
        <f ca="1">IFERROR(BP294/BP279-1,0)</f>
        <v>1.4370182744433357E-2</v>
      </c>
      <c r="BS297" s="84" t="s">
        <v>234</v>
      </c>
      <c r="BT297" s="51" t="s">
        <v>17</v>
      </c>
    </row>
    <row r="298" spans="1:72" x14ac:dyDescent="0.25">
      <c r="B298" s="243" t="str">
        <f t="shared" si="324"/>
        <v>Large C&amp;I</v>
      </c>
      <c r="C298" s="243" t="str">
        <f t="shared" si="324"/>
        <v>Rates</v>
      </c>
      <c r="D298" s="85"/>
      <c r="E298" s="84" t="s">
        <v>17</v>
      </c>
      <c r="F298" s="84"/>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S298" s="84"/>
      <c r="BT298" s="51" t="s">
        <v>17</v>
      </c>
    </row>
    <row r="299" spans="1:72" s="5" customFormat="1" ht="15.75" x14ac:dyDescent="0.25">
      <c r="A299" s="52"/>
      <c r="B299" s="241" t="str">
        <f t="shared" si="324"/>
        <v>Large C&amp;I</v>
      </c>
      <c r="C299" s="63" t="s">
        <v>51</v>
      </c>
      <c r="D299" s="61"/>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2"/>
      <c r="BO299" s="62"/>
      <c r="BP299" s="62"/>
      <c r="BS299" s="62"/>
      <c r="BT299" s="51" t="s">
        <v>17</v>
      </c>
    </row>
    <row r="300" spans="1:72" x14ac:dyDescent="0.25">
      <c r="B300" s="243" t="str">
        <f t="shared" si="324"/>
        <v>Large C&amp;I</v>
      </c>
      <c r="C300" s="243" t="str">
        <f>C299</f>
        <v>Bills</v>
      </c>
      <c r="D300" s="114" t="str">
        <f>"Bills before DSM ("&amp;Lookups!$D$22&amp;" Scenario, Non-Participant)"</f>
        <v>Bills before DSM (No EE Scenario, Non-Participant)</v>
      </c>
      <c r="E300" s="86"/>
      <c r="F300" s="84"/>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S300" s="84"/>
      <c r="BT300" s="51" t="s">
        <v>17</v>
      </c>
    </row>
    <row r="301" spans="1:72" x14ac:dyDescent="0.25">
      <c r="B301" s="243" t="str">
        <f t="shared" si="324"/>
        <v>Large C&amp;I</v>
      </c>
      <c r="C301" s="243" t="str">
        <f t="shared" si="324"/>
        <v>Bills</v>
      </c>
      <c r="D301" s="244" t="str">
        <f>D300</f>
        <v>Bills before DSM (No EE Scenario, Non-Participant)</v>
      </c>
      <c r="E301" s="86" t="s">
        <v>75</v>
      </c>
      <c r="F301" s="84" t="s">
        <v>31</v>
      </c>
      <c r="G301" s="659">
        <f>IF(G$8=0,0,INDEX('R&amp;B Inputs'!$H$45:$U$45,MATCH($B301,'R&amp;B Inputs'!$H$4:$U$4,0))*(1+INDEX('R&amp;B Inputs'!$H$46:$U$46,MATCH($B301,'R&amp;B Inputs'!$H$4:$U$4,0)))^(G$7-Year1)*12)</f>
        <v>0</v>
      </c>
      <c r="H301" s="659">
        <f>IF(H$8=0,0,INDEX('R&amp;B Inputs'!$H$45:$U$45,MATCH($B301,'R&amp;B Inputs'!$H$4:$U$4,0))*(1+INDEX('R&amp;B Inputs'!$H$46:$U$46,MATCH($B301,'R&amp;B Inputs'!$H$4:$U$4,0)))^(H$7-Year1)*12)</f>
        <v>8707.92</v>
      </c>
      <c r="I301" s="659">
        <f>IF(I$8=0,0,INDEX('R&amp;B Inputs'!$H$45:$U$45,MATCH($B301,'R&amp;B Inputs'!$H$4:$U$4,0))*(1+INDEX('R&amp;B Inputs'!$H$46:$U$46,MATCH($B301,'R&amp;B Inputs'!$H$4:$U$4,0)))^(I$7-Year1)*12)</f>
        <v>8707.92</v>
      </c>
      <c r="J301" s="659">
        <f>IF(J$8=0,0,INDEX('R&amp;B Inputs'!$H$45:$U$45,MATCH($B301,'R&amp;B Inputs'!$H$4:$U$4,0))*(1+INDEX('R&amp;B Inputs'!$H$46:$U$46,MATCH($B301,'R&amp;B Inputs'!$H$4:$U$4,0)))^(J$7-Year1)*12)</f>
        <v>8707.92</v>
      </c>
      <c r="K301" s="659">
        <f>IF(K$8=0,0,INDEX('R&amp;B Inputs'!$H$45:$U$45,MATCH($B301,'R&amp;B Inputs'!$H$4:$U$4,0))*(1+INDEX('R&amp;B Inputs'!$H$46:$U$46,MATCH($B301,'R&amp;B Inputs'!$H$4:$U$4,0)))^(K$7-Year1)*12)</f>
        <v>8707.92</v>
      </c>
      <c r="L301" s="659">
        <f>IF(L$8=0,0,INDEX('R&amp;B Inputs'!$H$45:$U$45,MATCH($B301,'R&amp;B Inputs'!$H$4:$U$4,0))*(1+INDEX('R&amp;B Inputs'!$H$46:$U$46,MATCH($B301,'R&amp;B Inputs'!$H$4:$U$4,0)))^(L$7-Year1)*12)</f>
        <v>8707.92</v>
      </c>
      <c r="M301" s="659">
        <f>IF(M$8=0,0,INDEX('R&amp;B Inputs'!$H$45:$U$45,MATCH($B301,'R&amp;B Inputs'!$H$4:$U$4,0))*(1+INDEX('R&amp;B Inputs'!$H$46:$U$46,MATCH($B301,'R&amp;B Inputs'!$H$4:$U$4,0)))^(M$7-Year1)*12)</f>
        <v>8707.92</v>
      </c>
      <c r="N301" s="659">
        <f>IF(N$8=0,0,INDEX('R&amp;B Inputs'!$H$45:$U$45,MATCH($B301,'R&amp;B Inputs'!$H$4:$U$4,0))*(1+INDEX('R&amp;B Inputs'!$H$46:$U$46,MATCH($B301,'R&amp;B Inputs'!$H$4:$U$4,0)))^(N$7-Year1)*12)</f>
        <v>8707.92</v>
      </c>
      <c r="O301" s="659">
        <f>IF(O$8=0,0,INDEX('R&amp;B Inputs'!$H$45:$U$45,MATCH($B301,'R&amp;B Inputs'!$H$4:$U$4,0))*(1+INDEX('R&amp;B Inputs'!$H$46:$U$46,MATCH($B301,'R&amp;B Inputs'!$H$4:$U$4,0)))^(O$7-Year1)*12)</f>
        <v>8707.92</v>
      </c>
      <c r="P301" s="659">
        <f>IF(P$8=0,0,INDEX('R&amp;B Inputs'!$H$45:$U$45,MATCH($B301,'R&amp;B Inputs'!$H$4:$U$4,0))*(1+INDEX('R&amp;B Inputs'!$H$46:$U$46,MATCH($B301,'R&amp;B Inputs'!$H$4:$U$4,0)))^(P$7-Year1)*12)</f>
        <v>8707.92</v>
      </c>
      <c r="Q301" s="659">
        <f>IF(Q$8=0,0,INDEX('R&amp;B Inputs'!$H$45:$U$45,MATCH($B301,'R&amp;B Inputs'!$H$4:$U$4,0))*(1+INDEX('R&amp;B Inputs'!$H$46:$U$46,MATCH($B301,'R&amp;B Inputs'!$H$4:$U$4,0)))^(Q$7-Year1)*12)</f>
        <v>8707.92</v>
      </c>
      <c r="R301" s="659">
        <f>IF(R$8=0,0,INDEX('R&amp;B Inputs'!$H$45:$U$45,MATCH($B301,'R&amp;B Inputs'!$H$4:$U$4,0))*(1+INDEX('R&amp;B Inputs'!$H$46:$U$46,MATCH($B301,'R&amp;B Inputs'!$H$4:$U$4,0)))^(R$7-Year1)*12)</f>
        <v>8707.92</v>
      </c>
      <c r="S301" s="659">
        <f>IF(S$8=0,0,INDEX('R&amp;B Inputs'!$H$45:$U$45,MATCH($B301,'R&amp;B Inputs'!$H$4:$U$4,0))*(1+INDEX('R&amp;B Inputs'!$H$46:$U$46,MATCH($B301,'R&amp;B Inputs'!$H$4:$U$4,0)))^(S$7-Year1)*12)</f>
        <v>8707.92</v>
      </c>
      <c r="T301" s="659">
        <f>IF(T$8=0,0,INDEX('R&amp;B Inputs'!$H$45:$U$45,MATCH($B301,'R&amp;B Inputs'!$H$4:$U$4,0))*(1+INDEX('R&amp;B Inputs'!$H$46:$U$46,MATCH($B301,'R&amp;B Inputs'!$H$4:$U$4,0)))^(T$7-Year1)*12)</f>
        <v>8707.92</v>
      </c>
      <c r="U301" s="659">
        <f>IF(U$8=0,0,INDEX('R&amp;B Inputs'!$H$45:$U$45,MATCH($B301,'R&amp;B Inputs'!$H$4:$U$4,0))*(1+INDEX('R&amp;B Inputs'!$H$46:$U$46,MATCH($B301,'R&amp;B Inputs'!$H$4:$U$4,0)))^(U$7-Year1)*12)</f>
        <v>8707.92</v>
      </c>
      <c r="V301" s="659">
        <f>IF(V$8=0,0,INDEX('R&amp;B Inputs'!$H$45:$U$45,MATCH($B301,'R&amp;B Inputs'!$H$4:$U$4,0))*(1+INDEX('R&amp;B Inputs'!$H$46:$U$46,MATCH($B301,'R&amp;B Inputs'!$H$4:$U$4,0)))^(V$7-Year1)*12)</f>
        <v>8707.92</v>
      </c>
      <c r="W301" s="659">
        <f>IF(W$8=0,0,INDEX('R&amp;B Inputs'!$H$45:$U$45,MATCH($B301,'R&amp;B Inputs'!$H$4:$U$4,0))*(1+INDEX('R&amp;B Inputs'!$H$46:$U$46,MATCH($B301,'R&amp;B Inputs'!$H$4:$U$4,0)))^(W$7-Year1)*12)</f>
        <v>8707.92</v>
      </c>
      <c r="X301" s="659">
        <f>IF(X$8=0,0,INDEX('R&amp;B Inputs'!$H$45:$U$45,MATCH($B301,'R&amp;B Inputs'!$H$4:$U$4,0))*(1+INDEX('R&amp;B Inputs'!$H$46:$U$46,MATCH($B301,'R&amp;B Inputs'!$H$4:$U$4,0)))^(X$7-Year1)*12)</f>
        <v>8707.92</v>
      </c>
      <c r="Y301" s="659">
        <f>IF(Y$8=0,0,INDEX('R&amp;B Inputs'!$H$45:$U$45,MATCH($B301,'R&amp;B Inputs'!$H$4:$U$4,0))*(1+INDEX('R&amp;B Inputs'!$H$46:$U$46,MATCH($B301,'R&amp;B Inputs'!$H$4:$U$4,0)))^(Y$7-Year1)*12)</f>
        <v>8707.92</v>
      </c>
      <c r="Z301" s="659">
        <f>IF(Z$8=0,0,INDEX('R&amp;B Inputs'!$H$45:$U$45,MATCH($B301,'R&amp;B Inputs'!$H$4:$U$4,0))*(1+INDEX('R&amp;B Inputs'!$H$46:$U$46,MATCH($B301,'R&amp;B Inputs'!$H$4:$U$4,0)))^(Z$7-Year1)*12)</f>
        <v>8707.92</v>
      </c>
      <c r="AA301" s="659">
        <f>IF(AA$8=0,0,INDEX('R&amp;B Inputs'!$H$45:$U$45,MATCH($B301,'R&amp;B Inputs'!$H$4:$U$4,0))*(1+INDEX('R&amp;B Inputs'!$H$46:$U$46,MATCH($B301,'R&amp;B Inputs'!$H$4:$U$4,0)))^(AA$7-Year1)*12)</f>
        <v>8707.92</v>
      </c>
      <c r="AB301" s="659">
        <f>IF(AB$8=0,0,INDEX('R&amp;B Inputs'!$H$45:$U$45,MATCH($B301,'R&amp;B Inputs'!$H$4:$U$4,0))*(1+INDEX('R&amp;B Inputs'!$H$46:$U$46,MATCH($B301,'R&amp;B Inputs'!$H$4:$U$4,0)))^(AB$7-Year1)*12)</f>
        <v>8707.92</v>
      </c>
      <c r="AC301" s="659">
        <f>IF(AC$8=0,0,INDEX('R&amp;B Inputs'!$H$45:$U$45,MATCH($B301,'R&amp;B Inputs'!$H$4:$U$4,0))*(1+INDEX('R&amp;B Inputs'!$H$46:$U$46,MATCH($B301,'R&amp;B Inputs'!$H$4:$U$4,0)))^(AC$7-Year1)*12)</f>
        <v>8707.92</v>
      </c>
      <c r="AD301" s="659">
        <f>IF(AD$8=0,0,INDEX('R&amp;B Inputs'!$H$45:$U$45,MATCH($B301,'R&amp;B Inputs'!$H$4:$U$4,0))*(1+INDEX('R&amp;B Inputs'!$H$46:$U$46,MATCH($B301,'R&amp;B Inputs'!$H$4:$U$4,0)))^(AD$7-Year1)*12)</f>
        <v>8707.92</v>
      </c>
      <c r="AE301" s="659">
        <f>IF(AE$8=0,0,INDEX('R&amp;B Inputs'!$H$45:$U$45,MATCH($B301,'R&amp;B Inputs'!$H$4:$U$4,0))*(1+INDEX('R&amp;B Inputs'!$H$46:$U$46,MATCH($B301,'R&amp;B Inputs'!$H$4:$U$4,0)))^(AE$7-Year1)*12)</f>
        <v>8707.92</v>
      </c>
      <c r="AF301" s="659">
        <f>IF(AF$8=0,0,INDEX('R&amp;B Inputs'!$H$45:$U$45,MATCH($B301,'R&amp;B Inputs'!$H$4:$U$4,0))*(1+INDEX('R&amp;B Inputs'!$H$46:$U$46,MATCH($B301,'R&amp;B Inputs'!$H$4:$U$4,0)))^(AF$7-Year1)*12)</f>
        <v>8707.92</v>
      </c>
      <c r="AG301" s="659">
        <f>IF(AG$8=0,0,INDEX('R&amp;B Inputs'!$H$45:$U$45,MATCH($B301,'R&amp;B Inputs'!$H$4:$U$4,0))*(1+INDEX('R&amp;B Inputs'!$H$46:$U$46,MATCH($B301,'R&amp;B Inputs'!$H$4:$U$4,0)))^(AG$7-Year1)*12)</f>
        <v>8707.92</v>
      </c>
      <c r="AH301" s="49"/>
      <c r="AI301" s="49"/>
      <c r="AJ301" s="103">
        <f>IF($C$4=Year1,-PMT(Lookups!$E$17,25,NPV(Lookups!$E$17,G301:AE301),0,1),IF($C$4=Year2,-PMT(Lookups!$F$17,25,NPV(Lookups!$F$17,H301:AF301),0,1),IF($C$4=Year3,-PMT(Lookups!$G$17,25,NPV(Lookups!$G$17,I301:AG301),0,1),-PMT(Lookups!$G$17,27,NPV(Lookups!$G$17,G301:AG301),0,1))))</f>
        <v>8586.4729801452795</v>
      </c>
      <c r="AM301" s="705">
        <f>IF(AM$8=0,0,INDEX('R&amp;B Inputs'!$H$45:$U$45,MATCH($B301,'R&amp;B Inputs'!$H$4:$U$4,0))*(1+INDEX('R&amp;B Inputs'!$H$46:$U$46,MATCH($B301,'R&amp;B Inputs'!$H$4:$U$4,0)))^(AM$7-Year1)*12)</f>
        <v>0</v>
      </c>
      <c r="AN301" s="705">
        <f>IF(AN$8=0,0,INDEX('R&amp;B Inputs'!$H$45:$U$45,MATCH($B301,'R&amp;B Inputs'!$H$4:$U$4,0))*(1+INDEX('R&amp;B Inputs'!$H$46:$U$46,MATCH($B301,'R&amp;B Inputs'!$H$4:$U$4,0)))^(AN$7-Year1)*12)</f>
        <v>8707.92</v>
      </c>
      <c r="AO301" s="705">
        <f>IF(AO$8=0,0,INDEX('R&amp;B Inputs'!$H$45:$U$45,MATCH($B301,'R&amp;B Inputs'!$H$4:$U$4,0))*(1+INDEX('R&amp;B Inputs'!$H$46:$U$46,MATCH($B301,'R&amp;B Inputs'!$H$4:$U$4,0)))^(AO$7-Year1)*12)</f>
        <v>8707.92</v>
      </c>
      <c r="AP301" s="705">
        <f>IF(AP$8=0,0,INDEX('R&amp;B Inputs'!$H$45:$U$45,MATCH($B301,'R&amp;B Inputs'!$H$4:$U$4,0))*(1+INDEX('R&amp;B Inputs'!$H$46:$U$46,MATCH($B301,'R&amp;B Inputs'!$H$4:$U$4,0)))^(AP$7-Year1)*12)</f>
        <v>8707.92</v>
      </c>
      <c r="AQ301" s="705">
        <f>IF(AQ$8=0,0,INDEX('R&amp;B Inputs'!$H$45:$U$45,MATCH($B301,'R&amp;B Inputs'!$H$4:$U$4,0))*(1+INDEX('R&amp;B Inputs'!$H$46:$U$46,MATCH($B301,'R&amp;B Inputs'!$H$4:$U$4,0)))^(AQ$7-Year1)*12)</f>
        <v>8707.92</v>
      </c>
      <c r="AR301" s="705">
        <f>IF(AR$8=0,0,INDEX('R&amp;B Inputs'!$H$45:$U$45,MATCH($B301,'R&amp;B Inputs'!$H$4:$U$4,0))*(1+INDEX('R&amp;B Inputs'!$H$46:$U$46,MATCH($B301,'R&amp;B Inputs'!$H$4:$U$4,0)))^(AR$7-Year1)*12)</f>
        <v>8707.92</v>
      </c>
      <c r="AS301" s="705">
        <f>IF(AS$8=0,0,INDEX('R&amp;B Inputs'!$H$45:$U$45,MATCH($B301,'R&amp;B Inputs'!$H$4:$U$4,0))*(1+INDEX('R&amp;B Inputs'!$H$46:$U$46,MATCH($B301,'R&amp;B Inputs'!$H$4:$U$4,0)))^(AS$7-Year1)*12)</f>
        <v>8707.92</v>
      </c>
      <c r="AT301" s="705">
        <f>IF(AT$8=0,0,INDEX('R&amp;B Inputs'!$H$45:$U$45,MATCH($B301,'R&amp;B Inputs'!$H$4:$U$4,0))*(1+INDEX('R&amp;B Inputs'!$H$46:$U$46,MATCH($B301,'R&amp;B Inputs'!$H$4:$U$4,0)))^(AT$7-Year1)*12)</f>
        <v>8707.92</v>
      </c>
      <c r="AU301" s="705">
        <f>IF(AU$8=0,0,INDEX('R&amp;B Inputs'!$H$45:$U$45,MATCH($B301,'R&amp;B Inputs'!$H$4:$U$4,0))*(1+INDEX('R&amp;B Inputs'!$H$46:$U$46,MATCH($B301,'R&amp;B Inputs'!$H$4:$U$4,0)))^(AU$7-Year1)*12)</f>
        <v>8707.92</v>
      </c>
      <c r="AV301" s="705">
        <f>IF(AV$8=0,0,INDEX('R&amp;B Inputs'!$H$45:$U$45,MATCH($B301,'R&amp;B Inputs'!$H$4:$U$4,0))*(1+INDEX('R&amp;B Inputs'!$H$46:$U$46,MATCH($B301,'R&amp;B Inputs'!$H$4:$U$4,0)))^(AV$7-Year1)*12)</f>
        <v>8707.92</v>
      </c>
      <c r="AW301" s="705">
        <f>IF(AW$8=0,0,INDEX('R&amp;B Inputs'!$H$45:$U$45,MATCH($B301,'R&amp;B Inputs'!$H$4:$U$4,0))*(1+INDEX('R&amp;B Inputs'!$H$46:$U$46,MATCH($B301,'R&amp;B Inputs'!$H$4:$U$4,0)))^(AW$7-Year1)*12)</f>
        <v>8707.92</v>
      </c>
      <c r="AX301" s="705">
        <f>IF(AX$8=0,0,INDEX('R&amp;B Inputs'!$H$45:$U$45,MATCH($B301,'R&amp;B Inputs'!$H$4:$U$4,0))*(1+INDEX('R&amp;B Inputs'!$H$46:$U$46,MATCH($B301,'R&amp;B Inputs'!$H$4:$U$4,0)))^(AX$7-Year1)*12)</f>
        <v>8707.92</v>
      </c>
      <c r="AY301" s="705">
        <f>IF(AY$8=0,0,INDEX('R&amp;B Inputs'!$H$45:$U$45,MATCH($B301,'R&amp;B Inputs'!$H$4:$U$4,0))*(1+INDEX('R&amp;B Inputs'!$H$46:$U$46,MATCH($B301,'R&amp;B Inputs'!$H$4:$U$4,0)))^(AY$7-Year1)*12)</f>
        <v>8707.92</v>
      </c>
      <c r="AZ301" s="705">
        <f>IF(AZ$8=0,0,INDEX('R&amp;B Inputs'!$H$45:$U$45,MATCH($B301,'R&amp;B Inputs'!$H$4:$U$4,0))*(1+INDEX('R&amp;B Inputs'!$H$46:$U$46,MATCH($B301,'R&amp;B Inputs'!$H$4:$U$4,0)))^(AZ$7-Year1)*12)</f>
        <v>8707.92</v>
      </c>
      <c r="BA301" s="705">
        <f>IF(BA$8=0,0,INDEX('R&amp;B Inputs'!$H$45:$U$45,MATCH($B301,'R&amp;B Inputs'!$H$4:$U$4,0))*(1+INDEX('R&amp;B Inputs'!$H$46:$U$46,MATCH($B301,'R&amp;B Inputs'!$H$4:$U$4,0)))^(BA$7-Year1)*12)</f>
        <v>8707.92</v>
      </c>
      <c r="BB301" s="705">
        <f>IF(BB$8=0,0,INDEX('R&amp;B Inputs'!$H$45:$U$45,MATCH($B301,'R&amp;B Inputs'!$H$4:$U$4,0))*(1+INDEX('R&amp;B Inputs'!$H$46:$U$46,MATCH($B301,'R&amp;B Inputs'!$H$4:$U$4,0)))^(BB$7-Year1)*12)</f>
        <v>8707.92</v>
      </c>
      <c r="BC301" s="705">
        <f>IF(BC$8=0,0,INDEX('R&amp;B Inputs'!$H$45:$U$45,MATCH($B301,'R&amp;B Inputs'!$H$4:$U$4,0))*(1+INDEX('R&amp;B Inputs'!$H$46:$U$46,MATCH($B301,'R&amp;B Inputs'!$H$4:$U$4,0)))^(BC$7-Year1)*12)</f>
        <v>8707.92</v>
      </c>
      <c r="BD301" s="705">
        <f>IF(BD$8=0,0,INDEX('R&amp;B Inputs'!$H$45:$U$45,MATCH($B301,'R&amp;B Inputs'!$H$4:$U$4,0))*(1+INDEX('R&amp;B Inputs'!$H$46:$U$46,MATCH($B301,'R&amp;B Inputs'!$H$4:$U$4,0)))^(BD$7-Year1)*12)</f>
        <v>8707.92</v>
      </c>
      <c r="BE301" s="705">
        <f>IF(BE$8=0,0,INDEX('R&amp;B Inputs'!$H$45:$U$45,MATCH($B301,'R&amp;B Inputs'!$H$4:$U$4,0))*(1+INDEX('R&amp;B Inputs'!$H$46:$U$46,MATCH($B301,'R&amp;B Inputs'!$H$4:$U$4,0)))^(BE$7-Year1)*12)</f>
        <v>8707.92</v>
      </c>
      <c r="BF301" s="705">
        <f>IF(BF$8=0,0,INDEX('R&amp;B Inputs'!$H$45:$U$45,MATCH($B301,'R&amp;B Inputs'!$H$4:$U$4,0))*(1+INDEX('R&amp;B Inputs'!$H$46:$U$46,MATCH($B301,'R&amp;B Inputs'!$H$4:$U$4,0)))^(BF$7-Year1)*12)</f>
        <v>8707.92</v>
      </c>
      <c r="BG301" s="705">
        <f>IF(BG$8=0,0,INDEX('R&amp;B Inputs'!$H$45:$U$45,MATCH($B301,'R&amp;B Inputs'!$H$4:$U$4,0))*(1+INDEX('R&amp;B Inputs'!$H$46:$U$46,MATCH($B301,'R&amp;B Inputs'!$H$4:$U$4,0)))^(BG$7-Year1)*12)</f>
        <v>8707.92</v>
      </c>
      <c r="BH301" s="705">
        <f>IF(BH$8=0,0,INDEX('R&amp;B Inputs'!$H$45:$U$45,MATCH($B301,'R&amp;B Inputs'!$H$4:$U$4,0))*(1+INDEX('R&amp;B Inputs'!$H$46:$U$46,MATCH($B301,'R&amp;B Inputs'!$H$4:$U$4,0)))^(BH$7-Year1)*12)</f>
        <v>8707.92</v>
      </c>
      <c r="BI301" s="705">
        <f>IF(BI$8=0,0,INDEX('R&amp;B Inputs'!$H$45:$U$45,MATCH($B301,'R&amp;B Inputs'!$H$4:$U$4,0))*(1+INDEX('R&amp;B Inputs'!$H$46:$U$46,MATCH($B301,'R&amp;B Inputs'!$H$4:$U$4,0)))^(BI$7-Year1)*12)</f>
        <v>8707.92</v>
      </c>
      <c r="BJ301" s="705">
        <f>IF(BJ$8=0,0,INDEX('R&amp;B Inputs'!$H$45:$U$45,MATCH($B301,'R&amp;B Inputs'!$H$4:$U$4,0))*(1+INDEX('R&amp;B Inputs'!$H$46:$U$46,MATCH($B301,'R&amp;B Inputs'!$H$4:$U$4,0)))^(BJ$7-Year1)*12)</f>
        <v>8707.92</v>
      </c>
      <c r="BK301" s="705">
        <f>IF(BK$8=0,0,INDEX('R&amp;B Inputs'!$H$45:$U$45,MATCH($B301,'R&amp;B Inputs'!$H$4:$U$4,0))*(1+INDEX('R&amp;B Inputs'!$H$46:$U$46,MATCH($B301,'R&amp;B Inputs'!$H$4:$U$4,0)))^(BK$7-Year1)*12)</f>
        <v>8707.92</v>
      </c>
      <c r="BL301" s="705">
        <f>IF(BL$8=0,0,INDEX('R&amp;B Inputs'!$H$45:$U$45,MATCH($B301,'R&amp;B Inputs'!$H$4:$U$4,0))*(1+INDEX('R&amp;B Inputs'!$H$46:$U$46,MATCH($B301,'R&amp;B Inputs'!$H$4:$U$4,0)))^(BL$7-Year1)*12)</f>
        <v>8707.92</v>
      </c>
      <c r="BM301" s="705">
        <f>IF(BM$8=0,0,INDEX('R&amp;B Inputs'!$H$45:$U$45,MATCH($B301,'R&amp;B Inputs'!$H$4:$U$4,0))*(1+INDEX('R&amp;B Inputs'!$H$46:$U$46,MATCH($B301,'R&amp;B Inputs'!$H$4:$U$4,0)))^(BM$7-Year1)*12)</f>
        <v>8707.92</v>
      </c>
      <c r="BN301" s="74"/>
      <c r="BO301" s="74"/>
      <c r="BP301" s="149">
        <f>IF($C$4=Year1,-PMT(Lookups!$E$17,25,NPV(Lookups!$E$17,AM301:BK301),0,1),IF($C$4=Year2,-PMT(Lookups!$F$17,25,NPV(Lookups!$F$17,AN301:BL301),0,1),IF($C$4=Year3,-PMT(Lookups!$G$17,25,NPV(Lookups!$G$17,AO301:BM301),0,1),-PMT(Lookups!$G$17,27,NPV(Lookups!$G$17,AM301:BM301),0,1))))</f>
        <v>8586.4729801452795</v>
      </c>
      <c r="BS301" s="84" t="str">
        <f t="shared" ref="BS301" si="329">E301&amp;" charge from the R&amp;B Inputs tab, escalated annually by the growth rate included on the R&amp;B Inputs tab."</f>
        <v>Customer Charge charge from the R&amp;B Inputs tab, escalated annually by the growth rate included on the R&amp;B Inputs tab.</v>
      </c>
      <c r="BT301" s="51" t="s">
        <v>17</v>
      </c>
    </row>
    <row r="302" spans="1:72" x14ac:dyDescent="0.25">
      <c r="B302" s="243" t="str">
        <f t="shared" si="324"/>
        <v>Large C&amp;I</v>
      </c>
      <c r="C302" s="243" t="str">
        <f t="shared" si="324"/>
        <v>Bills</v>
      </c>
      <c r="D302" s="244" t="str">
        <f>D301</f>
        <v>Bills before DSM (No EE Scenario, Non-Participant)</v>
      </c>
      <c r="E302" s="84" t="s">
        <v>309</v>
      </c>
      <c r="F302" s="84" t="s">
        <v>195</v>
      </c>
      <c r="G302" s="64">
        <f>IF(G$8=0,0,INDEX('R&amp;B Inputs'!$I$27:$V$27,MATCH($B302,'R&amp;B Inputs'!$I$4:$V$4,0))+INDEX('R&amp;B Inputs'!$I$28:$V$28,MATCH($B302,'R&amp;B Inputs'!$I$4:$V$4,0)))</f>
        <v>0</v>
      </c>
      <c r="H302" s="64">
        <f>IF(H$8=0,0,INDEX('R&amp;B Inputs'!$I$27:$V$27,MATCH($B302,'R&amp;B Inputs'!$I$4:$V$4,0))+INDEX('R&amp;B Inputs'!$I$28:$V$28,MATCH($B302,'R&amp;B Inputs'!$I$4:$V$4,0)))</f>
        <v>192845.93356180895</v>
      </c>
      <c r="I302" s="64">
        <f>IF(I$8=0,0,INDEX('R&amp;B Inputs'!$I$27:$V$27,MATCH($B302,'R&amp;B Inputs'!$I$4:$V$4,0))+INDEX('R&amp;B Inputs'!$I$28:$V$28,MATCH($B302,'R&amp;B Inputs'!$I$4:$V$4,0)))</f>
        <v>192845.93356180895</v>
      </c>
      <c r="J302" s="64">
        <f>IF(J$8=0,0,INDEX('R&amp;B Inputs'!$I$27:$V$27,MATCH($B302,'R&amp;B Inputs'!$I$4:$V$4,0))+INDEX('R&amp;B Inputs'!$I$28:$V$28,MATCH($B302,'R&amp;B Inputs'!$I$4:$V$4,0)))</f>
        <v>192845.93356180895</v>
      </c>
      <c r="K302" s="64">
        <f>IF(K$8=0,0,INDEX('R&amp;B Inputs'!$I$27:$V$27,MATCH($B302,'R&amp;B Inputs'!$I$4:$V$4,0))+INDEX('R&amp;B Inputs'!$I$28:$V$28,MATCH($B302,'R&amp;B Inputs'!$I$4:$V$4,0)))</f>
        <v>192845.93356180895</v>
      </c>
      <c r="L302" s="64">
        <f>IF(L$8=0,0,INDEX('R&amp;B Inputs'!$I$27:$V$27,MATCH($B302,'R&amp;B Inputs'!$I$4:$V$4,0))+INDEX('R&amp;B Inputs'!$I$28:$V$28,MATCH($B302,'R&amp;B Inputs'!$I$4:$V$4,0)))</f>
        <v>192845.93356180895</v>
      </c>
      <c r="M302" s="64">
        <f>IF(M$8=0,0,INDEX('R&amp;B Inputs'!$I$27:$V$27,MATCH($B302,'R&amp;B Inputs'!$I$4:$V$4,0))+INDEX('R&amp;B Inputs'!$I$28:$V$28,MATCH($B302,'R&amp;B Inputs'!$I$4:$V$4,0)))</f>
        <v>192845.93356180895</v>
      </c>
      <c r="N302" s="64">
        <f>IF(N$8=0,0,INDEX('R&amp;B Inputs'!$I$27:$V$27,MATCH($B302,'R&amp;B Inputs'!$I$4:$V$4,0))+INDEX('R&amp;B Inputs'!$I$28:$V$28,MATCH($B302,'R&amp;B Inputs'!$I$4:$V$4,0)))</f>
        <v>192845.93356180895</v>
      </c>
      <c r="O302" s="64">
        <f>IF(O$8=0,0,INDEX('R&amp;B Inputs'!$I$27:$V$27,MATCH($B302,'R&amp;B Inputs'!$I$4:$V$4,0))+INDEX('R&amp;B Inputs'!$I$28:$V$28,MATCH($B302,'R&amp;B Inputs'!$I$4:$V$4,0)))</f>
        <v>192845.93356180895</v>
      </c>
      <c r="P302" s="64">
        <f>IF(P$8=0,0,INDEX('R&amp;B Inputs'!$I$27:$V$27,MATCH($B302,'R&amp;B Inputs'!$I$4:$V$4,0))+INDEX('R&amp;B Inputs'!$I$28:$V$28,MATCH($B302,'R&amp;B Inputs'!$I$4:$V$4,0)))</f>
        <v>192845.93356180895</v>
      </c>
      <c r="Q302" s="64">
        <f>IF(Q$8=0,0,INDEX('R&amp;B Inputs'!$I$27:$V$27,MATCH($B302,'R&amp;B Inputs'!$I$4:$V$4,0))+INDEX('R&amp;B Inputs'!$I$28:$V$28,MATCH($B302,'R&amp;B Inputs'!$I$4:$V$4,0)))</f>
        <v>192845.93356180895</v>
      </c>
      <c r="R302" s="64">
        <f>IF(R$8=0,0,INDEX('R&amp;B Inputs'!$I$27:$V$27,MATCH($B302,'R&amp;B Inputs'!$I$4:$V$4,0))+INDEX('R&amp;B Inputs'!$I$28:$V$28,MATCH($B302,'R&amp;B Inputs'!$I$4:$V$4,0)))</f>
        <v>192845.93356180895</v>
      </c>
      <c r="S302" s="64">
        <f>IF(S$8=0,0,INDEX('R&amp;B Inputs'!$I$27:$V$27,MATCH($B302,'R&amp;B Inputs'!$I$4:$V$4,0))+INDEX('R&amp;B Inputs'!$I$28:$V$28,MATCH($B302,'R&amp;B Inputs'!$I$4:$V$4,0)))</f>
        <v>192845.93356180895</v>
      </c>
      <c r="T302" s="64">
        <f>IF(T$8=0,0,INDEX('R&amp;B Inputs'!$I$27:$V$27,MATCH($B302,'R&amp;B Inputs'!$I$4:$V$4,0))+INDEX('R&amp;B Inputs'!$I$28:$V$28,MATCH($B302,'R&amp;B Inputs'!$I$4:$V$4,0)))</f>
        <v>192845.93356180895</v>
      </c>
      <c r="U302" s="64">
        <f>IF(U$8=0,0,INDEX('R&amp;B Inputs'!$I$27:$V$27,MATCH($B302,'R&amp;B Inputs'!$I$4:$V$4,0))+INDEX('R&amp;B Inputs'!$I$28:$V$28,MATCH($B302,'R&amp;B Inputs'!$I$4:$V$4,0)))</f>
        <v>192845.93356180895</v>
      </c>
      <c r="V302" s="64">
        <f>IF(V$8=0,0,INDEX('R&amp;B Inputs'!$I$27:$V$27,MATCH($B302,'R&amp;B Inputs'!$I$4:$V$4,0))+INDEX('R&amp;B Inputs'!$I$28:$V$28,MATCH($B302,'R&amp;B Inputs'!$I$4:$V$4,0)))</f>
        <v>192845.93356180895</v>
      </c>
      <c r="W302" s="64">
        <f>IF(W$8=0,0,INDEX('R&amp;B Inputs'!$I$27:$V$27,MATCH($B302,'R&amp;B Inputs'!$I$4:$V$4,0))+INDEX('R&amp;B Inputs'!$I$28:$V$28,MATCH($B302,'R&amp;B Inputs'!$I$4:$V$4,0)))</f>
        <v>192845.93356180895</v>
      </c>
      <c r="X302" s="64">
        <f>IF(X$8=0,0,INDEX('R&amp;B Inputs'!$I$27:$V$27,MATCH($B302,'R&amp;B Inputs'!$I$4:$V$4,0))+INDEX('R&amp;B Inputs'!$I$28:$V$28,MATCH($B302,'R&amp;B Inputs'!$I$4:$V$4,0)))</f>
        <v>192845.93356180895</v>
      </c>
      <c r="Y302" s="64">
        <f>IF(Y$8=0,0,INDEX('R&amp;B Inputs'!$I$27:$V$27,MATCH($B302,'R&amp;B Inputs'!$I$4:$V$4,0))+INDEX('R&amp;B Inputs'!$I$28:$V$28,MATCH($B302,'R&amp;B Inputs'!$I$4:$V$4,0)))</f>
        <v>192845.93356180895</v>
      </c>
      <c r="Z302" s="64">
        <f>IF(Z$8=0,0,INDEX('R&amp;B Inputs'!$I$27:$V$27,MATCH($B302,'R&amp;B Inputs'!$I$4:$V$4,0))+INDEX('R&amp;B Inputs'!$I$28:$V$28,MATCH($B302,'R&amp;B Inputs'!$I$4:$V$4,0)))</f>
        <v>192845.93356180895</v>
      </c>
      <c r="AA302" s="64">
        <f>IF(AA$8=0,0,INDEX('R&amp;B Inputs'!$I$27:$V$27,MATCH($B302,'R&amp;B Inputs'!$I$4:$V$4,0))+INDEX('R&amp;B Inputs'!$I$28:$V$28,MATCH($B302,'R&amp;B Inputs'!$I$4:$V$4,0)))</f>
        <v>192845.93356180895</v>
      </c>
      <c r="AB302" s="64">
        <f>IF(AB$8=0,0,INDEX('R&amp;B Inputs'!$I$27:$V$27,MATCH($B302,'R&amp;B Inputs'!$I$4:$V$4,0))+INDEX('R&amp;B Inputs'!$I$28:$V$28,MATCH($B302,'R&amp;B Inputs'!$I$4:$V$4,0)))</f>
        <v>192845.93356180895</v>
      </c>
      <c r="AC302" s="64">
        <f>IF(AC$8=0,0,INDEX('R&amp;B Inputs'!$I$27:$V$27,MATCH($B302,'R&amp;B Inputs'!$I$4:$V$4,0))+INDEX('R&amp;B Inputs'!$I$28:$V$28,MATCH($B302,'R&amp;B Inputs'!$I$4:$V$4,0)))</f>
        <v>192845.93356180895</v>
      </c>
      <c r="AD302" s="64">
        <f>IF(AD$8=0,0,INDEX('R&amp;B Inputs'!$I$27:$V$27,MATCH($B302,'R&amp;B Inputs'!$I$4:$V$4,0))+INDEX('R&amp;B Inputs'!$I$28:$V$28,MATCH($B302,'R&amp;B Inputs'!$I$4:$V$4,0)))</f>
        <v>192845.93356180895</v>
      </c>
      <c r="AE302" s="64">
        <f>IF(AE$8=0,0,INDEX('R&amp;B Inputs'!$I$27:$V$27,MATCH($B302,'R&amp;B Inputs'!$I$4:$V$4,0))+INDEX('R&amp;B Inputs'!$I$28:$V$28,MATCH($B302,'R&amp;B Inputs'!$I$4:$V$4,0)))</f>
        <v>192845.93356180895</v>
      </c>
      <c r="AF302" s="64">
        <f>IF(AF$8=0,0,INDEX('R&amp;B Inputs'!$I$27:$V$27,MATCH($B302,'R&amp;B Inputs'!$I$4:$V$4,0))+INDEX('R&amp;B Inputs'!$I$28:$V$28,MATCH($B302,'R&amp;B Inputs'!$I$4:$V$4,0)))</f>
        <v>192845.93356180895</v>
      </c>
      <c r="AG302" s="64">
        <f>IF(AG$8=0,0,INDEX('R&amp;B Inputs'!$I$27:$V$27,MATCH($B302,'R&amp;B Inputs'!$I$4:$V$4,0))+INDEX('R&amp;B Inputs'!$I$28:$V$28,MATCH($B302,'R&amp;B Inputs'!$I$4:$V$4,0)))</f>
        <v>192845.93356180895</v>
      </c>
      <c r="AH302" s="64"/>
      <c r="AI302" s="64"/>
      <c r="AJ302" s="103"/>
      <c r="AM302" s="71">
        <f>IF(AM$8=0,0,INDEX('R&amp;B Inputs'!$I$27:$V$27,MATCH($B302,'R&amp;B Inputs'!$I$4:$V$4,0))+INDEX('R&amp;B Inputs'!$I$28:$V$28,MATCH($B302,'R&amp;B Inputs'!$I$4:$V$4,0)))</f>
        <v>0</v>
      </c>
      <c r="AN302" s="71">
        <f>IF(AN$8=0,0,INDEX('R&amp;B Inputs'!$I$27:$V$27,MATCH($B302,'R&amp;B Inputs'!$I$4:$V$4,0))+INDEX('R&amp;B Inputs'!$I$28:$V$28,MATCH($B302,'R&amp;B Inputs'!$I$4:$V$4,0)))</f>
        <v>192845.93356180895</v>
      </c>
      <c r="AO302" s="71">
        <f>IF(AO$8=0,0,INDEX('R&amp;B Inputs'!$I$27:$V$27,MATCH($B302,'R&amp;B Inputs'!$I$4:$V$4,0))+INDEX('R&amp;B Inputs'!$I$28:$V$28,MATCH($B302,'R&amp;B Inputs'!$I$4:$V$4,0)))</f>
        <v>192845.93356180895</v>
      </c>
      <c r="AP302" s="71">
        <f>IF(AP$8=0,0,INDEX('R&amp;B Inputs'!$I$27:$V$27,MATCH($B302,'R&amp;B Inputs'!$I$4:$V$4,0))+INDEX('R&amp;B Inputs'!$I$28:$V$28,MATCH($B302,'R&amp;B Inputs'!$I$4:$V$4,0)))</f>
        <v>192845.93356180895</v>
      </c>
      <c r="AQ302" s="71">
        <f>IF(AQ$8=0,0,INDEX('R&amp;B Inputs'!$I$27:$V$27,MATCH($B302,'R&amp;B Inputs'!$I$4:$V$4,0))+INDEX('R&amp;B Inputs'!$I$28:$V$28,MATCH($B302,'R&amp;B Inputs'!$I$4:$V$4,0)))</f>
        <v>192845.93356180895</v>
      </c>
      <c r="AR302" s="71">
        <f>IF(AR$8=0,0,INDEX('R&amp;B Inputs'!$I$27:$V$27,MATCH($B302,'R&amp;B Inputs'!$I$4:$V$4,0))+INDEX('R&amp;B Inputs'!$I$28:$V$28,MATCH($B302,'R&amp;B Inputs'!$I$4:$V$4,0)))</f>
        <v>192845.93356180895</v>
      </c>
      <c r="AS302" s="71">
        <f>IF(AS$8=0,0,INDEX('R&amp;B Inputs'!$I$27:$V$27,MATCH($B302,'R&amp;B Inputs'!$I$4:$V$4,0))+INDEX('R&amp;B Inputs'!$I$28:$V$28,MATCH($B302,'R&amp;B Inputs'!$I$4:$V$4,0)))</f>
        <v>192845.93356180895</v>
      </c>
      <c r="AT302" s="71">
        <f>IF(AT$8=0,0,INDEX('R&amp;B Inputs'!$I$27:$V$27,MATCH($B302,'R&amp;B Inputs'!$I$4:$V$4,0))+INDEX('R&amp;B Inputs'!$I$28:$V$28,MATCH($B302,'R&amp;B Inputs'!$I$4:$V$4,0)))</f>
        <v>192845.93356180895</v>
      </c>
      <c r="AU302" s="71">
        <f>IF(AU$8=0,0,INDEX('R&amp;B Inputs'!$I$27:$V$27,MATCH($B302,'R&amp;B Inputs'!$I$4:$V$4,0))+INDEX('R&amp;B Inputs'!$I$28:$V$28,MATCH($B302,'R&amp;B Inputs'!$I$4:$V$4,0)))</f>
        <v>192845.93356180895</v>
      </c>
      <c r="AV302" s="71">
        <f>IF(AV$8=0,0,INDEX('R&amp;B Inputs'!$I$27:$V$27,MATCH($B302,'R&amp;B Inputs'!$I$4:$V$4,0))+INDEX('R&amp;B Inputs'!$I$28:$V$28,MATCH($B302,'R&amp;B Inputs'!$I$4:$V$4,0)))</f>
        <v>192845.93356180895</v>
      </c>
      <c r="AW302" s="71">
        <f>IF(AW$8=0,0,INDEX('R&amp;B Inputs'!$I$27:$V$27,MATCH($B302,'R&amp;B Inputs'!$I$4:$V$4,0))+INDEX('R&amp;B Inputs'!$I$28:$V$28,MATCH($B302,'R&amp;B Inputs'!$I$4:$V$4,0)))</f>
        <v>192845.93356180895</v>
      </c>
      <c r="AX302" s="71">
        <f>IF(AX$8=0,0,INDEX('R&amp;B Inputs'!$I$27:$V$27,MATCH($B302,'R&amp;B Inputs'!$I$4:$V$4,0))+INDEX('R&amp;B Inputs'!$I$28:$V$28,MATCH($B302,'R&amp;B Inputs'!$I$4:$V$4,0)))</f>
        <v>192845.93356180895</v>
      </c>
      <c r="AY302" s="71">
        <f>IF(AY$8=0,0,INDEX('R&amp;B Inputs'!$I$27:$V$27,MATCH($B302,'R&amp;B Inputs'!$I$4:$V$4,0))+INDEX('R&amp;B Inputs'!$I$28:$V$28,MATCH($B302,'R&amp;B Inputs'!$I$4:$V$4,0)))</f>
        <v>192845.93356180895</v>
      </c>
      <c r="AZ302" s="71">
        <f>IF(AZ$8=0,0,INDEX('R&amp;B Inputs'!$I$27:$V$27,MATCH($B302,'R&amp;B Inputs'!$I$4:$V$4,0))+INDEX('R&amp;B Inputs'!$I$28:$V$28,MATCH($B302,'R&amp;B Inputs'!$I$4:$V$4,0)))</f>
        <v>192845.93356180895</v>
      </c>
      <c r="BA302" s="71">
        <f>IF(BA$8=0,0,INDEX('R&amp;B Inputs'!$I$27:$V$27,MATCH($B302,'R&amp;B Inputs'!$I$4:$V$4,0))+INDEX('R&amp;B Inputs'!$I$28:$V$28,MATCH($B302,'R&amp;B Inputs'!$I$4:$V$4,0)))</f>
        <v>192845.93356180895</v>
      </c>
      <c r="BB302" s="71">
        <f>IF(BB$8=0,0,INDEX('R&amp;B Inputs'!$I$27:$V$27,MATCH($B302,'R&amp;B Inputs'!$I$4:$V$4,0))+INDEX('R&amp;B Inputs'!$I$28:$V$28,MATCH($B302,'R&amp;B Inputs'!$I$4:$V$4,0)))</f>
        <v>192845.93356180895</v>
      </c>
      <c r="BC302" s="71">
        <f>IF(BC$8=0,0,INDEX('R&amp;B Inputs'!$I$27:$V$27,MATCH($B302,'R&amp;B Inputs'!$I$4:$V$4,0))+INDEX('R&amp;B Inputs'!$I$28:$V$28,MATCH($B302,'R&amp;B Inputs'!$I$4:$V$4,0)))</f>
        <v>192845.93356180895</v>
      </c>
      <c r="BD302" s="71">
        <f>IF(BD$8=0,0,INDEX('R&amp;B Inputs'!$I$27:$V$27,MATCH($B302,'R&amp;B Inputs'!$I$4:$V$4,0))+INDEX('R&amp;B Inputs'!$I$28:$V$28,MATCH($B302,'R&amp;B Inputs'!$I$4:$V$4,0)))</f>
        <v>192845.93356180895</v>
      </c>
      <c r="BE302" s="71">
        <f>IF(BE$8=0,0,INDEX('R&amp;B Inputs'!$I$27:$V$27,MATCH($B302,'R&amp;B Inputs'!$I$4:$V$4,0))+INDEX('R&amp;B Inputs'!$I$28:$V$28,MATCH($B302,'R&amp;B Inputs'!$I$4:$V$4,0)))</f>
        <v>192845.93356180895</v>
      </c>
      <c r="BF302" s="71">
        <f>IF(BF$8=0,0,INDEX('R&amp;B Inputs'!$I$27:$V$27,MATCH($B302,'R&amp;B Inputs'!$I$4:$V$4,0))+INDEX('R&amp;B Inputs'!$I$28:$V$28,MATCH($B302,'R&amp;B Inputs'!$I$4:$V$4,0)))</f>
        <v>192845.93356180895</v>
      </c>
      <c r="BG302" s="71">
        <f>IF(BG$8=0,0,INDEX('R&amp;B Inputs'!$I$27:$V$27,MATCH($B302,'R&amp;B Inputs'!$I$4:$V$4,0))+INDEX('R&amp;B Inputs'!$I$28:$V$28,MATCH($B302,'R&amp;B Inputs'!$I$4:$V$4,0)))</f>
        <v>192845.93356180895</v>
      </c>
      <c r="BH302" s="71">
        <f>IF(BH$8=0,0,INDEX('R&amp;B Inputs'!$I$27:$V$27,MATCH($B302,'R&amp;B Inputs'!$I$4:$V$4,0))+INDEX('R&amp;B Inputs'!$I$28:$V$28,MATCH($B302,'R&amp;B Inputs'!$I$4:$V$4,0)))</f>
        <v>192845.93356180895</v>
      </c>
      <c r="BI302" s="71">
        <f>IF(BI$8=0,0,INDEX('R&amp;B Inputs'!$I$27:$V$27,MATCH($B302,'R&amp;B Inputs'!$I$4:$V$4,0))+INDEX('R&amp;B Inputs'!$I$28:$V$28,MATCH($B302,'R&amp;B Inputs'!$I$4:$V$4,0)))</f>
        <v>192845.93356180895</v>
      </c>
      <c r="BJ302" s="71">
        <f>IF(BJ$8=0,0,INDEX('R&amp;B Inputs'!$I$27:$V$27,MATCH($B302,'R&amp;B Inputs'!$I$4:$V$4,0))+INDEX('R&amp;B Inputs'!$I$28:$V$28,MATCH($B302,'R&amp;B Inputs'!$I$4:$V$4,0)))</f>
        <v>192845.93356180895</v>
      </c>
      <c r="BK302" s="71">
        <f>IF(BK$8=0,0,INDEX('R&amp;B Inputs'!$I$27:$V$27,MATCH($B302,'R&amp;B Inputs'!$I$4:$V$4,0))+INDEX('R&amp;B Inputs'!$I$28:$V$28,MATCH($B302,'R&amp;B Inputs'!$I$4:$V$4,0)))</f>
        <v>192845.93356180895</v>
      </c>
      <c r="BL302" s="71">
        <f>IF(BL$8=0,0,INDEX('R&amp;B Inputs'!$I$27:$V$27,MATCH($B302,'R&amp;B Inputs'!$I$4:$V$4,0))+INDEX('R&amp;B Inputs'!$I$28:$V$28,MATCH($B302,'R&amp;B Inputs'!$I$4:$V$4,0)))</f>
        <v>192845.93356180895</v>
      </c>
      <c r="BM302" s="71">
        <f>IF(BM$8=0,0,INDEX('R&amp;B Inputs'!$I$27:$V$27,MATCH($B302,'R&amp;B Inputs'!$I$4:$V$4,0))+INDEX('R&amp;B Inputs'!$I$28:$V$28,MATCH($B302,'R&amp;B Inputs'!$I$4:$V$4,0)))</f>
        <v>192845.93356180895</v>
      </c>
      <c r="BN302" s="71"/>
      <c r="BO302" s="71"/>
      <c r="BP302" s="149"/>
      <c r="BS302" s="76" t="s">
        <v>96</v>
      </c>
      <c r="BT302" s="51" t="s">
        <v>17</v>
      </c>
    </row>
    <row r="303" spans="1:72" x14ac:dyDescent="0.25">
      <c r="B303" s="243" t="str">
        <f t="shared" si="324"/>
        <v>Large C&amp;I</v>
      </c>
      <c r="C303" s="243" t="str">
        <f t="shared" si="324"/>
        <v>Bills</v>
      </c>
      <c r="D303" s="244" t="str">
        <f>D302</f>
        <v>Bills before DSM (No EE Scenario, Non-Participant)</v>
      </c>
      <c r="E303" s="84" t="s">
        <v>77</v>
      </c>
      <c r="F303" s="84" t="s">
        <v>32</v>
      </c>
      <c r="G303" s="103">
        <f>G301+G302*(G279-G278)</f>
        <v>0</v>
      </c>
      <c r="H303" s="103">
        <f>H301+H302*(H279-H278)</f>
        <v>151857.45648293078</v>
      </c>
      <c r="I303" s="103">
        <f t="shared" ref="I303:AG303" si="330">I301+I302*(I279-I278)</f>
        <v>151857.45648293078</v>
      </c>
      <c r="J303" s="103">
        <f t="shared" si="330"/>
        <v>151857.45648293078</v>
      </c>
      <c r="K303" s="103">
        <f t="shared" si="330"/>
        <v>151857.45648293078</v>
      </c>
      <c r="L303" s="103">
        <f t="shared" si="330"/>
        <v>151857.45648293078</v>
      </c>
      <c r="M303" s="103">
        <f t="shared" si="330"/>
        <v>151857.45648293078</v>
      </c>
      <c r="N303" s="103">
        <f t="shared" si="330"/>
        <v>151857.45648293078</v>
      </c>
      <c r="O303" s="103">
        <f t="shared" si="330"/>
        <v>151857.45648293078</v>
      </c>
      <c r="P303" s="103">
        <f t="shared" si="330"/>
        <v>151857.45648293078</v>
      </c>
      <c r="Q303" s="103">
        <f t="shared" si="330"/>
        <v>151857.45648293078</v>
      </c>
      <c r="R303" s="103">
        <f t="shared" si="330"/>
        <v>151857.45648293078</v>
      </c>
      <c r="S303" s="103">
        <f t="shared" si="330"/>
        <v>151857.45648293078</v>
      </c>
      <c r="T303" s="103">
        <f t="shared" si="330"/>
        <v>151857.45648293078</v>
      </c>
      <c r="U303" s="103">
        <f t="shared" si="330"/>
        <v>151857.45648293078</v>
      </c>
      <c r="V303" s="103">
        <f t="shared" si="330"/>
        <v>151857.45648293078</v>
      </c>
      <c r="W303" s="103">
        <f t="shared" si="330"/>
        <v>151857.45648293078</v>
      </c>
      <c r="X303" s="103">
        <f t="shared" si="330"/>
        <v>151857.45648293078</v>
      </c>
      <c r="Y303" s="103">
        <f t="shared" si="330"/>
        <v>151857.45648293078</v>
      </c>
      <c r="Z303" s="103">
        <f t="shared" si="330"/>
        <v>151857.45648293078</v>
      </c>
      <c r="AA303" s="103">
        <f t="shared" si="330"/>
        <v>151857.45648293078</v>
      </c>
      <c r="AB303" s="103">
        <f t="shared" si="330"/>
        <v>151857.45648293078</v>
      </c>
      <c r="AC303" s="103">
        <f t="shared" si="330"/>
        <v>151857.45648293078</v>
      </c>
      <c r="AD303" s="103">
        <f t="shared" si="330"/>
        <v>151857.45648293078</v>
      </c>
      <c r="AE303" s="103">
        <f t="shared" si="330"/>
        <v>151857.45648293078</v>
      </c>
      <c r="AF303" s="103">
        <f t="shared" si="330"/>
        <v>151857.45648293078</v>
      </c>
      <c r="AG303" s="103">
        <f t="shared" si="330"/>
        <v>151857.45648293078</v>
      </c>
      <c r="AH303" s="103"/>
      <c r="AI303" s="103"/>
      <c r="AJ303" s="103">
        <f>IF($C$4=Year1,-PMT(Lookups!$E$17,25,NPV(Lookups!$E$17,G303:AE303),0,1),IF($C$4=Year2,-PMT(Lookups!$F$17,25,NPV(Lookups!$F$17,H303:AF303),0,1),IF($C$4=Year3,-PMT(Lookups!$G$17,25,NPV(Lookups!$G$17,I303:AG303),0,1),-PMT(Lookups!$G$17,27,NPV(Lookups!$G$17,G303:AG303),0,1))))</f>
        <v>149739.54135135285</v>
      </c>
      <c r="AM303" s="149">
        <f>AM301+AM302*(AM279-AM278)</f>
        <v>0</v>
      </c>
      <c r="AN303" s="149">
        <f t="shared" ref="AN303:BM303" si="331">AN301+AN302*(AN279-AN278)</f>
        <v>151857.45648293078</v>
      </c>
      <c r="AO303" s="149">
        <f t="shared" si="331"/>
        <v>151857.45648293078</v>
      </c>
      <c r="AP303" s="149">
        <f t="shared" si="331"/>
        <v>151857.45648293078</v>
      </c>
      <c r="AQ303" s="149">
        <f t="shared" si="331"/>
        <v>151857.45648293078</v>
      </c>
      <c r="AR303" s="149">
        <f t="shared" si="331"/>
        <v>151857.45648293078</v>
      </c>
      <c r="AS303" s="149">
        <f t="shared" si="331"/>
        <v>151857.45648293078</v>
      </c>
      <c r="AT303" s="149">
        <f t="shared" si="331"/>
        <v>151857.45648293078</v>
      </c>
      <c r="AU303" s="149">
        <f t="shared" si="331"/>
        <v>151857.45648293078</v>
      </c>
      <c r="AV303" s="149">
        <f t="shared" si="331"/>
        <v>151857.45648293078</v>
      </c>
      <c r="AW303" s="149">
        <f t="shared" si="331"/>
        <v>151857.45648293078</v>
      </c>
      <c r="AX303" s="149">
        <f t="shared" si="331"/>
        <v>151857.45648293078</v>
      </c>
      <c r="AY303" s="149">
        <f t="shared" si="331"/>
        <v>151857.45648293078</v>
      </c>
      <c r="AZ303" s="149">
        <f t="shared" si="331"/>
        <v>151857.45648293078</v>
      </c>
      <c r="BA303" s="149">
        <f t="shared" si="331"/>
        <v>151857.45648293078</v>
      </c>
      <c r="BB303" s="149">
        <f t="shared" si="331"/>
        <v>151857.45648293078</v>
      </c>
      <c r="BC303" s="149">
        <f t="shared" si="331"/>
        <v>151857.45648293078</v>
      </c>
      <c r="BD303" s="149">
        <f t="shared" si="331"/>
        <v>151857.45648293078</v>
      </c>
      <c r="BE303" s="149">
        <f t="shared" si="331"/>
        <v>151857.45648293078</v>
      </c>
      <c r="BF303" s="149">
        <f t="shared" si="331"/>
        <v>151857.45648293078</v>
      </c>
      <c r="BG303" s="149">
        <f t="shared" si="331"/>
        <v>151857.45648293078</v>
      </c>
      <c r="BH303" s="149">
        <f t="shared" si="331"/>
        <v>151857.45648293078</v>
      </c>
      <c r="BI303" s="149">
        <f t="shared" si="331"/>
        <v>151857.45648293078</v>
      </c>
      <c r="BJ303" s="149">
        <f t="shared" si="331"/>
        <v>151857.45648293078</v>
      </c>
      <c r="BK303" s="149">
        <f t="shared" si="331"/>
        <v>151857.45648293078</v>
      </c>
      <c r="BL303" s="149">
        <f t="shared" si="331"/>
        <v>151857.45648293078</v>
      </c>
      <c r="BM303" s="149">
        <f t="shared" si="331"/>
        <v>151857.45648293078</v>
      </c>
      <c r="BN303" s="149"/>
      <c r="BO303" s="149"/>
      <c r="BP303" s="149">
        <f>IF($C$4=Year1,-PMT(Lookups!$E$17,25,NPV(Lookups!$E$17,AM303:BK303),0,1),IF($C$4=Year2,-PMT(Lookups!$F$17,25,NPV(Lookups!$F$17,AN303:BL303),0,1),IF($C$4=Year3,-PMT(Lookups!$G$17,25,NPV(Lookups!$G$17,AO303:BM303),0,1),-PMT(Lookups!$G$17,27,NPV(Lookups!$G$17,AM303:BM303),0,1))))</f>
        <v>149739.54135135285</v>
      </c>
      <c r="BS303" s="84" t="s">
        <v>97</v>
      </c>
      <c r="BT303" s="51" t="s">
        <v>17</v>
      </c>
    </row>
    <row r="304" spans="1:72" x14ac:dyDescent="0.25">
      <c r="B304" s="243" t="str">
        <f t="shared" si="324"/>
        <v>Large C&amp;I</v>
      </c>
      <c r="C304" s="243" t="str">
        <f t="shared" si="324"/>
        <v>Bills</v>
      </c>
      <c r="D304" s="114" t="s">
        <v>347</v>
      </c>
      <c r="E304" s="84"/>
      <c r="F304" s="84"/>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S304" s="84"/>
      <c r="BT304" s="51" t="s">
        <v>17</v>
      </c>
    </row>
    <row r="305" spans="1:72" x14ac:dyDescent="0.25">
      <c r="B305" s="243" t="str">
        <f t="shared" si="324"/>
        <v>Large C&amp;I</v>
      </c>
      <c r="C305" s="243" t="str">
        <f t="shared" si="324"/>
        <v>Bills</v>
      </c>
      <c r="D305" s="244" t="str">
        <f>D304</f>
        <v>Annual Savings from DSM Scenario</v>
      </c>
      <c r="E305" s="84" t="s">
        <v>78</v>
      </c>
      <c r="F305" s="84" t="s">
        <v>195</v>
      </c>
      <c r="G305" s="65">
        <f t="shared" ref="G305:AG305" ca="1" si="332">IFERROR(G253/G248,0)</f>
        <v>0</v>
      </c>
      <c r="H305" s="65">
        <f t="shared" ca="1" si="332"/>
        <v>17600.737577545449</v>
      </c>
      <c r="I305" s="65">
        <f t="shared" ca="1" si="332"/>
        <v>17600.737577545449</v>
      </c>
      <c r="J305" s="65">
        <f t="shared" ca="1" si="332"/>
        <v>17600.737577545449</v>
      </c>
      <c r="K305" s="65">
        <f t="shared" ca="1" si="332"/>
        <v>17600.737577545449</v>
      </c>
      <c r="L305" s="65">
        <f t="shared" ca="1" si="332"/>
        <v>17600.737577545449</v>
      </c>
      <c r="M305" s="65">
        <f t="shared" ca="1" si="332"/>
        <v>17600.737577545449</v>
      </c>
      <c r="N305" s="65">
        <f t="shared" ca="1" si="332"/>
        <v>17600.737577545449</v>
      </c>
      <c r="O305" s="65">
        <f t="shared" ca="1" si="332"/>
        <v>17600.737577545449</v>
      </c>
      <c r="P305" s="65">
        <f t="shared" ca="1" si="332"/>
        <v>17600.737577545449</v>
      </c>
      <c r="Q305" s="65">
        <f t="shared" ca="1" si="332"/>
        <v>17600.737577545449</v>
      </c>
      <c r="R305" s="65">
        <f t="shared" ca="1" si="332"/>
        <v>17600.737577545449</v>
      </c>
      <c r="S305" s="65">
        <f t="shared" ca="1" si="332"/>
        <v>17600.737577545449</v>
      </c>
      <c r="T305" s="65">
        <f t="shared" ca="1" si="332"/>
        <v>17600.737577545449</v>
      </c>
      <c r="U305" s="65">
        <f t="shared" ca="1" si="332"/>
        <v>0</v>
      </c>
      <c r="V305" s="65">
        <f t="shared" ca="1" si="332"/>
        <v>0</v>
      </c>
      <c r="W305" s="65">
        <f t="shared" ca="1" si="332"/>
        <v>0</v>
      </c>
      <c r="X305" s="65">
        <f t="shared" ca="1" si="332"/>
        <v>0</v>
      </c>
      <c r="Y305" s="65">
        <f t="shared" ca="1" si="332"/>
        <v>0</v>
      </c>
      <c r="Z305" s="65">
        <f t="shared" ca="1" si="332"/>
        <v>0</v>
      </c>
      <c r="AA305" s="65">
        <f t="shared" ca="1" si="332"/>
        <v>0</v>
      </c>
      <c r="AB305" s="65">
        <f t="shared" ca="1" si="332"/>
        <v>0</v>
      </c>
      <c r="AC305" s="65">
        <f t="shared" ca="1" si="332"/>
        <v>0</v>
      </c>
      <c r="AD305" s="65">
        <f t="shared" ca="1" si="332"/>
        <v>0</v>
      </c>
      <c r="AE305" s="65">
        <f t="shared" ca="1" si="332"/>
        <v>0</v>
      </c>
      <c r="AF305" s="65">
        <f t="shared" ca="1" si="332"/>
        <v>0</v>
      </c>
      <c r="AG305" s="65">
        <f t="shared" ca="1" si="332"/>
        <v>0</v>
      </c>
      <c r="AH305" s="65"/>
      <c r="AI305" s="65"/>
      <c r="AJ305" s="65"/>
      <c r="AM305" s="645">
        <f ca="1">IFERROR(AM253/AM248,0)</f>
        <v>0</v>
      </c>
      <c r="AN305" s="645">
        <f t="shared" ref="AN305:BM305" ca="1" si="333">IFERROR(AN253/AN248,0)</f>
        <v>20115.128660051934</v>
      </c>
      <c r="AO305" s="645">
        <f t="shared" ca="1" si="333"/>
        <v>20115.128660051934</v>
      </c>
      <c r="AP305" s="645">
        <f t="shared" ca="1" si="333"/>
        <v>20115.128660051934</v>
      </c>
      <c r="AQ305" s="645">
        <f t="shared" ca="1" si="333"/>
        <v>20115.128660051934</v>
      </c>
      <c r="AR305" s="645">
        <f t="shared" ca="1" si="333"/>
        <v>20115.128660051934</v>
      </c>
      <c r="AS305" s="645">
        <f t="shared" ca="1" si="333"/>
        <v>20115.128660051934</v>
      </c>
      <c r="AT305" s="645">
        <f t="shared" ca="1" si="333"/>
        <v>20115.128660051934</v>
      </c>
      <c r="AU305" s="645">
        <f t="shared" ca="1" si="333"/>
        <v>20115.128660051934</v>
      </c>
      <c r="AV305" s="645">
        <f t="shared" ca="1" si="333"/>
        <v>20115.128660051934</v>
      </c>
      <c r="AW305" s="645">
        <f t="shared" ca="1" si="333"/>
        <v>20115.128660051934</v>
      </c>
      <c r="AX305" s="645">
        <f t="shared" ca="1" si="333"/>
        <v>20115.128660051934</v>
      </c>
      <c r="AY305" s="645">
        <f t="shared" ca="1" si="333"/>
        <v>20115.128660051934</v>
      </c>
      <c r="AZ305" s="645">
        <f t="shared" ca="1" si="333"/>
        <v>20115.128660051934</v>
      </c>
      <c r="BA305" s="645">
        <f t="shared" ca="1" si="333"/>
        <v>0</v>
      </c>
      <c r="BB305" s="645">
        <f t="shared" ca="1" si="333"/>
        <v>0</v>
      </c>
      <c r="BC305" s="645">
        <f t="shared" ca="1" si="333"/>
        <v>0</v>
      </c>
      <c r="BD305" s="645">
        <f t="shared" ca="1" si="333"/>
        <v>0</v>
      </c>
      <c r="BE305" s="645">
        <f t="shared" ca="1" si="333"/>
        <v>0</v>
      </c>
      <c r="BF305" s="645">
        <f t="shared" ca="1" si="333"/>
        <v>0</v>
      </c>
      <c r="BG305" s="645">
        <f t="shared" ca="1" si="333"/>
        <v>0</v>
      </c>
      <c r="BH305" s="645">
        <f t="shared" ca="1" si="333"/>
        <v>0</v>
      </c>
      <c r="BI305" s="645">
        <f t="shared" ca="1" si="333"/>
        <v>0</v>
      </c>
      <c r="BJ305" s="645">
        <f t="shared" ca="1" si="333"/>
        <v>0</v>
      </c>
      <c r="BK305" s="645">
        <f t="shared" ca="1" si="333"/>
        <v>0</v>
      </c>
      <c r="BL305" s="645">
        <f t="shared" ca="1" si="333"/>
        <v>0</v>
      </c>
      <c r="BM305" s="645">
        <f t="shared" ca="1" si="333"/>
        <v>0</v>
      </c>
      <c r="BN305" s="71"/>
      <c r="BO305" s="71"/>
      <c r="BP305" s="71"/>
      <c r="BS305" s="84" t="s">
        <v>104</v>
      </c>
      <c r="BT305" s="51" t="s">
        <v>17</v>
      </c>
    </row>
    <row r="306" spans="1:72" x14ac:dyDescent="0.25">
      <c r="A306" s="246"/>
      <c r="B306" s="243" t="str">
        <f t="shared" si="324"/>
        <v>Large C&amp;I</v>
      </c>
      <c r="C306" s="243" t="str">
        <f t="shared" si="324"/>
        <v>Bills</v>
      </c>
      <c r="D306" s="244" t="str">
        <f>D305</f>
        <v>Annual Savings from DSM Scenario</v>
      </c>
      <c r="E306" s="84" t="str">
        <f>'EE Inputs'!$N$15&amp;" Participant"</f>
        <v>Low Savings Participant</v>
      </c>
      <c r="F306" s="84" t="s">
        <v>195</v>
      </c>
      <c r="G306" s="64" cm="1">
        <f t="array" aca="1" ref="G306" ca="1">IF($C$4=Lookups!$D$40,INDIRECT("'Yr1'!"&amp;ADDRESS(ROW(G306),COLUMN(G306))),
IF(G249=0,0,SUMIFS('EE Inputs'!$S$9:$S$32,'EE Inputs'!$C$9:$C$32,$G$6,'EE Inputs'!$D$9:$D$32,$C$4,'EE Inputs'!$E$9:$E$32,$B306)))</f>
        <v>0</v>
      </c>
      <c r="H306" s="64" cm="1">
        <f t="array" aca="1" ref="H306" ca="1">IF($C$4=Lookups!$D$40,INDIRECT("'Yr1'!"&amp;ADDRESS(ROW(H306),COLUMN(H306))),
IF(H249=0,0,SUMIFS('EE Inputs'!$S$9:$S$32,'EE Inputs'!$C$9:$C$32,$G$6,'EE Inputs'!$D$9:$D$32,$C$4,'EE Inputs'!$E$9:$E$32,$B306)))</f>
        <v>9642.296678090448</v>
      </c>
      <c r="I306" s="64" cm="1">
        <f t="array" aca="1" ref="I306" ca="1">IF($C$4=Lookups!$D$40,INDIRECT("'Yr1'!"&amp;ADDRESS(ROW(I306),COLUMN(I306))),
IF(I249=0,0,SUMIFS('EE Inputs'!$S$9:$S$32,'EE Inputs'!$C$9:$C$32,$G$6,'EE Inputs'!$D$9:$D$32,$C$4,'EE Inputs'!$E$9:$E$32,$B306)))</f>
        <v>9642.296678090448</v>
      </c>
      <c r="J306" s="64" cm="1">
        <f t="array" aca="1" ref="J306" ca="1">IF($C$4=Lookups!$D$40,INDIRECT("'Yr1'!"&amp;ADDRESS(ROW(J306),COLUMN(J306))),
IF(J249=0,0,SUMIFS('EE Inputs'!$S$9:$S$32,'EE Inputs'!$C$9:$C$32,$G$6,'EE Inputs'!$D$9:$D$32,$C$4,'EE Inputs'!$E$9:$E$32,$B306)))</f>
        <v>9642.296678090448</v>
      </c>
      <c r="K306" s="64" cm="1">
        <f t="array" aca="1" ref="K306" ca="1">IF($C$4=Lookups!$D$40,INDIRECT("'Yr1'!"&amp;ADDRESS(ROW(K306),COLUMN(K306))),
IF(K249=0,0,SUMIFS('EE Inputs'!$S$9:$S$32,'EE Inputs'!$C$9:$C$32,$G$6,'EE Inputs'!$D$9:$D$32,$C$4,'EE Inputs'!$E$9:$E$32,$B306)))</f>
        <v>9642.296678090448</v>
      </c>
      <c r="L306" s="64" cm="1">
        <f t="array" aca="1" ref="L306" ca="1">IF($C$4=Lookups!$D$40,INDIRECT("'Yr1'!"&amp;ADDRESS(ROW(L306),COLUMN(L306))),
IF(L249=0,0,SUMIFS('EE Inputs'!$S$9:$S$32,'EE Inputs'!$C$9:$C$32,$G$6,'EE Inputs'!$D$9:$D$32,$C$4,'EE Inputs'!$E$9:$E$32,$B306)))</f>
        <v>9642.296678090448</v>
      </c>
      <c r="M306" s="64" cm="1">
        <f t="array" aca="1" ref="M306" ca="1">IF($C$4=Lookups!$D$40,INDIRECT("'Yr1'!"&amp;ADDRESS(ROW(M306),COLUMN(M306))),
IF(M249=0,0,SUMIFS('EE Inputs'!$S$9:$S$32,'EE Inputs'!$C$9:$C$32,$G$6,'EE Inputs'!$D$9:$D$32,$C$4,'EE Inputs'!$E$9:$E$32,$B306)))</f>
        <v>9642.296678090448</v>
      </c>
      <c r="N306" s="64" cm="1">
        <f t="array" aca="1" ref="N306" ca="1">IF($C$4=Lookups!$D$40,INDIRECT("'Yr1'!"&amp;ADDRESS(ROW(N306),COLUMN(N306))),
IF(N249=0,0,SUMIFS('EE Inputs'!$S$9:$S$32,'EE Inputs'!$C$9:$C$32,$G$6,'EE Inputs'!$D$9:$D$32,$C$4,'EE Inputs'!$E$9:$E$32,$B306)))</f>
        <v>9642.296678090448</v>
      </c>
      <c r="O306" s="64" cm="1">
        <f t="array" aca="1" ref="O306" ca="1">IF($C$4=Lookups!$D$40,INDIRECT("'Yr1'!"&amp;ADDRESS(ROW(O306),COLUMN(O306))),
IF(O249=0,0,SUMIFS('EE Inputs'!$S$9:$S$32,'EE Inputs'!$C$9:$C$32,$G$6,'EE Inputs'!$D$9:$D$32,$C$4,'EE Inputs'!$E$9:$E$32,$B306)))</f>
        <v>9642.296678090448</v>
      </c>
      <c r="P306" s="64" cm="1">
        <f t="array" aca="1" ref="P306" ca="1">IF($C$4=Lookups!$D$40,INDIRECT("'Yr1'!"&amp;ADDRESS(ROW(P306),COLUMN(P306))),
IF(P249=0,0,SUMIFS('EE Inputs'!$S$9:$S$32,'EE Inputs'!$C$9:$C$32,$G$6,'EE Inputs'!$D$9:$D$32,$C$4,'EE Inputs'!$E$9:$E$32,$B306)))</f>
        <v>9642.296678090448</v>
      </c>
      <c r="Q306" s="64" cm="1">
        <f t="array" aca="1" ref="Q306" ca="1">IF($C$4=Lookups!$D$40,INDIRECT("'Yr1'!"&amp;ADDRESS(ROW(Q306),COLUMN(Q306))),
IF(Q249=0,0,SUMIFS('EE Inputs'!$S$9:$S$32,'EE Inputs'!$C$9:$C$32,$G$6,'EE Inputs'!$D$9:$D$32,$C$4,'EE Inputs'!$E$9:$E$32,$B306)))</f>
        <v>9642.296678090448</v>
      </c>
      <c r="R306" s="64" cm="1">
        <f t="array" aca="1" ref="R306" ca="1">IF($C$4=Lookups!$D$40,INDIRECT("'Yr1'!"&amp;ADDRESS(ROW(R306),COLUMN(R306))),
IF(R249=0,0,SUMIFS('EE Inputs'!$S$9:$S$32,'EE Inputs'!$C$9:$C$32,$G$6,'EE Inputs'!$D$9:$D$32,$C$4,'EE Inputs'!$E$9:$E$32,$B306)))</f>
        <v>9642.296678090448</v>
      </c>
      <c r="S306" s="64" cm="1">
        <f t="array" aca="1" ref="S306" ca="1">IF($C$4=Lookups!$D$40,INDIRECT("'Yr1'!"&amp;ADDRESS(ROW(S306),COLUMN(S306))),
IF(S249=0,0,SUMIFS('EE Inputs'!$S$9:$S$32,'EE Inputs'!$C$9:$C$32,$G$6,'EE Inputs'!$D$9:$D$32,$C$4,'EE Inputs'!$E$9:$E$32,$B306)))</f>
        <v>9642.296678090448</v>
      </c>
      <c r="T306" s="64" cm="1">
        <f t="array" aca="1" ref="T306" ca="1">IF($C$4=Lookups!$D$40,INDIRECT("'Yr1'!"&amp;ADDRESS(ROW(T306),COLUMN(T306))),
IF(T249=0,0,SUMIFS('EE Inputs'!$S$9:$S$32,'EE Inputs'!$C$9:$C$32,$G$6,'EE Inputs'!$D$9:$D$32,$C$4,'EE Inputs'!$E$9:$E$32,$B306)))</f>
        <v>9642.296678090448</v>
      </c>
      <c r="U306" s="64" cm="1">
        <f t="array" aca="1" ref="U306" ca="1">IF($C$4=Lookups!$D$40,INDIRECT("'Yr1'!"&amp;ADDRESS(ROW(U306),COLUMN(U306))),
IF(U249=0,0,SUMIFS('EE Inputs'!$S$9:$S$32,'EE Inputs'!$C$9:$C$32,$G$6,'EE Inputs'!$D$9:$D$32,$C$4,'EE Inputs'!$E$9:$E$32,$B306)))</f>
        <v>0</v>
      </c>
      <c r="V306" s="64" cm="1">
        <f t="array" aca="1" ref="V306" ca="1">IF($C$4=Lookups!$D$40,INDIRECT("'Yr1'!"&amp;ADDRESS(ROW(V306),COLUMN(V306))),
IF(V249=0,0,SUMIFS('EE Inputs'!$S$9:$S$32,'EE Inputs'!$C$9:$C$32,$G$6,'EE Inputs'!$D$9:$D$32,$C$4,'EE Inputs'!$E$9:$E$32,$B306)))</f>
        <v>0</v>
      </c>
      <c r="W306" s="64" cm="1">
        <f t="array" aca="1" ref="W306" ca="1">IF($C$4=Lookups!$D$40,INDIRECT("'Yr1'!"&amp;ADDRESS(ROW(W306),COLUMN(W306))),
IF(W249=0,0,SUMIFS('EE Inputs'!$S$9:$S$32,'EE Inputs'!$C$9:$C$32,$G$6,'EE Inputs'!$D$9:$D$32,$C$4,'EE Inputs'!$E$9:$E$32,$B306)))</f>
        <v>0</v>
      </c>
      <c r="X306" s="64" cm="1">
        <f t="array" aca="1" ref="X306" ca="1">IF($C$4=Lookups!$D$40,INDIRECT("'Yr1'!"&amp;ADDRESS(ROW(X306),COLUMN(X306))),
IF(X249=0,0,SUMIFS('EE Inputs'!$S$9:$S$32,'EE Inputs'!$C$9:$C$32,$G$6,'EE Inputs'!$D$9:$D$32,$C$4,'EE Inputs'!$E$9:$E$32,$B306)))</f>
        <v>0</v>
      </c>
      <c r="Y306" s="64" cm="1">
        <f t="array" aca="1" ref="Y306" ca="1">IF($C$4=Lookups!$D$40,INDIRECT("'Yr1'!"&amp;ADDRESS(ROW(Y306),COLUMN(Y306))),
IF(Y249=0,0,SUMIFS('EE Inputs'!$S$9:$S$32,'EE Inputs'!$C$9:$C$32,$G$6,'EE Inputs'!$D$9:$D$32,$C$4,'EE Inputs'!$E$9:$E$32,$B306)))</f>
        <v>0</v>
      </c>
      <c r="Z306" s="64" cm="1">
        <f t="array" aca="1" ref="Z306" ca="1">IF($C$4=Lookups!$D$40,INDIRECT("'Yr1'!"&amp;ADDRESS(ROW(Z306),COLUMN(Z306))),
IF(Z249=0,0,SUMIFS('EE Inputs'!$S$9:$S$32,'EE Inputs'!$C$9:$C$32,$G$6,'EE Inputs'!$D$9:$D$32,$C$4,'EE Inputs'!$E$9:$E$32,$B306)))</f>
        <v>0</v>
      </c>
      <c r="AA306" s="64" cm="1">
        <f t="array" aca="1" ref="AA306" ca="1">IF($C$4=Lookups!$D$40,INDIRECT("'Yr1'!"&amp;ADDRESS(ROW(AA306),COLUMN(AA306))),
IF(AA249=0,0,SUMIFS('EE Inputs'!$S$9:$S$32,'EE Inputs'!$C$9:$C$32,$G$6,'EE Inputs'!$D$9:$D$32,$C$4,'EE Inputs'!$E$9:$E$32,$B306)))</f>
        <v>0</v>
      </c>
      <c r="AB306" s="64" cm="1">
        <f t="array" aca="1" ref="AB306" ca="1">IF($C$4=Lookups!$D$40,INDIRECT("'Yr1'!"&amp;ADDRESS(ROW(AB306),COLUMN(AB306))),
IF(AB249=0,0,SUMIFS('EE Inputs'!$S$9:$S$32,'EE Inputs'!$C$9:$C$32,$G$6,'EE Inputs'!$D$9:$D$32,$C$4,'EE Inputs'!$E$9:$E$32,$B306)))</f>
        <v>0</v>
      </c>
      <c r="AC306" s="64" cm="1">
        <f t="array" aca="1" ref="AC306" ca="1">IF($C$4=Lookups!$D$40,INDIRECT("'Yr1'!"&amp;ADDRESS(ROW(AC306),COLUMN(AC306))),
IF(AC249=0,0,SUMIFS('EE Inputs'!$S$9:$S$32,'EE Inputs'!$C$9:$C$32,$G$6,'EE Inputs'!$D$9:$D$32,$C$4,'EE Inputs'!$E$9:$E$32,$B306)))</f>
        <v>0</v>
      </c>
      <c r="AD306" s="64" cm="1">
        <f t="array" aca="1" ref="AD306" ca="1">IF($C$4=Lookups!$D$40,INDIRECT("'Yr1'!"&amp;ADDRESS(ROW(AD306),COLUMN(AD306))),
IF(AD249=0,0,SUMIFS('EE Inputs'!$S$9:$S$32,'EE Inputs'!$C$9:$C$32,$G$6,'EE Inputs'!$D$9:$D$32,$C$4,'EE Inputs'!$E$9:$E$32,$B306)))</f>
        <v>0</v>
      </c>
      <c r="AE306" s="64" cm="1">
        <f t="array" aca="1" ref="AE306" ca="1">IF($C$4=Lookups!$D$40,INDIRECT("'Yr1'!"&amp;ADDRESS(ROW(AE306),COLUMN(AE306))),
IF(AE249=0,0,SUMIFS('EE Inputs'!$S$9:$S$32,'EE Inputs'!$C$9:$C$32,$G$6,'EE Inputs'!$D$9:$D$32,$C$4,'EE Inputs'!$E$9:$E$32,$B306)))</f>
        <v>0</v>
      </c>
      <c r="AF306" s="64" cm="1">
        <f t="array" aca="1" ref="AF306" ca="1">IF($C$4=Lookups!$D$40,INDIRECT("'Yr1'!"&amp;ADDRESS(ROW(AF306),COLUMN(AF306))),
IF(AF249=0,0,SUMIFS('EE Inputs'!$S$9:$S$32,'EE Inputs'!$C$9:$C$32,$G$6,'EE Inputs'!$D$9:$D$32,$C$4,'EE Inputs'!$E$9:$E$32,$B306)))</f>
        <v>0</v>
      </c>
      <c r="AG306" s="64" cm="1">
        <f t="array" aca="1" ref="AG306" ca="1">IF($C$4=Lookups!$D$40,INDIRECT("'Yr1'!"&amp;ADDRESS(ROW(AG306),COLUMN(AG306))),
IF(AG249=0,0,SUMIFS('EE Inputs'!$S$9:$S$32,'EE Inputs'!$C$9:$C$32,$G$6,'EE Inputs'!$D$9:$D$32,$C$4,'EE Inputs'!$E$9:$E$32,$B306)))</f>
        <v>0</v>
      </c>
      <c r="AH306" s="64"/>
      <c r="AI306" s="64"/>
      <c r="AJ306" s="64"/>
      <c r="AM306" s="645" cm="1">
        <f t="array" aca="1" ref="AM306" ca="1">IF($C$4=Lookups!$D$40,INDIRECT("'Yr1'!"&amp;ADDRESS(ROW(AM306),COLUMN(AM306))),
IF(AM249=0,0,SUMIFS('EE Inputs'!$S$9:$S$32,'EE Inputs'!$C$9:$C$32,$AM$6,'EE Inputs'!$D$9:$D$32,$C$4,'EE Inputs'!$E$9:$E$32,$B306)))</f>
        <v>0</v>
      </c>
      <c r="AN306" s="645" cm="1">
        <f t="array" aca="1" ref="AN306" ca="1">IF($C$4=Lookups!$D$40,INDIRECT("'Yr1'!"&amp;ADDRESS(ROW(AN306),COLUMN(AN306))),
IF(AN249=0,0,SUMIFS('EE Inputs'!$S$9:$S$32,'EE Inputs'!$C$9:$C$32,$AM$6,'EE Inputs'!$D$9:$D$32,$C$4,'EE Inputs'!$E$9:$E$32,$B306)))</f>
        <v>11570.756013708537</v>
      </c>
      <c r="AO306" s="645" cm="1">
        <f t="array" aca="1" ref="AO306" ca="1">IF($C$4=Lookups!$D$40,INDIRECT("'Yr1'!"&amp;ADDRESS(ROW(AO306),COLUMN(AO306))),
IF(AO249=0,0,SUMIFS('EE Inputs'!$S$9:$S$32,'EE Inputs'!$C$9:$C$32,$AM$6,'EE Inputs'!$D$9:$D$32,$C$4,'EE Inputs'!$E$9:$E$32,$B306)))</f>
        <v>11570.756013708537</v>
      </c>
      <c r="AP306" s="645" cm="1">
        <f t="array" aca="1" ref="AP306" ca="1">IF($C$4=Lookups!$D$40,INDIRECT("'Yr1'!"&amp;ADDRESS(ROW(AP306),COLUMN(AP306))),
IF(AP249=0,0,SUMIFS('EE Inputs'!$S$9:$S$32,'EE Inputs'!$C$9:$C$32,$AM$6,'EE Inputs'!$D$9:$D$32,$C$4,'EE Inputs'!$E$9:$E$32,$B306)))</f>
        <v>11570.756013708537</v>
      </c>
      <c r="AQ306" s="645" cm="1">
        <f t="array" aca="1" ref="AQ306" ca="1">IF($C$4=Lookups!$D$40,INDIRECT("'Yr1'!"&amp;ADDRESS(ROW(AQ306),COLUMN(AQ306))),
IF(AQ249=0,0,SUMIFS('EE Inputs'!$S$9:$S$32,'EE Inputs'!$C$9:$C$32,$AM$6,'EE Inputs'!$D$9:$D$32,$C$4,'EE Inputs'!$E$9:$E$32,$B306)))</f>
        <v>11570.756013708537</v>
      </c>
      <c r="AR306" s="645" cm="1">
        <f t="array" aca="1" ref="AR306" ca="1">IF($C$4=Lookups!$D$40,INDIRECT("'Yr1'!"&amp;ADDRESS(ROW(AR306),COLUMN(AR306))),
IF(AR249=0,0,SUMIFS('EE Inputs'!$S$9:$S$32,'EE Inputs'!$C$9:$C$32,$AM$6,'EE Inputs'!$D$9:$D$32,$C$4,'EE Inputs'!$E$9:$E$32,$B306)))</f>
        <v>11570.756013708537</v>
      </c>
      <c r="AS306" s="645" cm="1">
        <f t="array" aca="1" ref="AS306" ca="1">IF($C$4=Lookups!$D$40,INDIRECT("'Yr1'!"&amp;ADDRESS(ROW(AS306),COLUMN(AS306))),
IF(AS249=0,0,SUMIFS('EE Inputs'!$S$9:$S$32,'EE Inputs'!$C$9:$C$32,$AM$6,'EE Inputs'!$D$9:$D$32,$C$4,'EE Inputs'!$E$9:$E$32,$B306)))</f>
        <v>11570.756013708537</v>
      </c>
      <c r="AT306" s="645" cm="1">
        <f t="array" aca="1" ref="AT306" ca="1">IF($C$4=Lookups!$D$40,INDIRECT("'Yr1'!"&amp;ADDRESS(ROW(AT306),COLUMN(AT306))),
IF(AT249=0,0,SUMIFS('EE Inputs'!$S$9:$S$32,'EE Inputs'!$C$9:$C$32,$AM$6,'EE Inputs'!$D$9:$D$32,$C$4,'EE Inputs'!$E$9:$E$32,$B306)))</f>
        <v>11570.756013708537</v>
      </c>
      <c r="AU306" s="645" cm="1">
        <f t="array" aca="1" ref="AU306" ca="1">IF($C$4=Lookups!$D$40,INDIRECT("'Yr1'!"&amp;ADDRESS(ROW(AU306),COLUMN(AU306))),
IF(AU249=0,0,SUMIFS('EE Inputs'!$S$9:$S$32,'EE Inputs'!$C$9:$C$32,$AM$6,'EE Inputs'!$D$9:$D$32,$C$4,'EE Inputs'!$E$9:$E$32,$B306)))</f>
        <v>11570.756013708537</v>
      </c>
      <c r="AV306" s="645" cm="1">
        <f t="array" aca="1" ref="AV306" ca="1">IF($C$4=Lookups!$D$40,INDIRECT("'Yr1'!"&amp;ADDRESS(ROW(AV306),COLUMN(AV306))),
IF(AV249=0,0,SUMIFS('EE Inputs'!$S$9:$S$32,'EE Inputs'!$C$9:$C$32,$AM$6,'EE Inputs'!$D$9:$D$32,$C$4,'EE Inputs'!$E$9:$E$32,$B306)))</f>
        <v>11570.756013708537</v>
      </c>
      <c r="AW306" s="645" cm="1">
        <f t="array" aca="1" ref="AW306" ca="1">IF($C$4=Lookups!$D$40,INDIRECT("'Yr1'!"&amp;ADDRESS(ROW(AW306),COLUMN(AW306))),
IF(AW249=0,0,SUMIFS('EE Inputs'!$S$9:$S$32,'EE Inputs'!$C$9:$C$32,$AM$6,'EE Inputs'!$D$9:$D$32,$C$4,'EE Inputs'!$E$9:$E$32,$B306)))</f>
        <v>11570.756013708537</v>
      </c>
      <c r="AX306" s="645" cm="1">
        <f t="array" aca="1" ref="AX306" ca="1">IF($C$4=Lookups!$D$40,INDIRECT("'Yr1'!"&amp;ADDRESS(ROW(AX306),COLUMN(AX306))),
IF(AX249=0,0,SUMIFS('EE Inputs'!$S$9:$S$32,'EE Inputs'!$C$9:$C$32,$AM$6,'EE Inputs'!$D$9:$D$32,$C$4,'EE Inputs'!$E$9:$E$32,$B306)))</f>
        <v>11570.756013708537</v>
      </c>
      <c r="AY306" s="645" cm="1">
        <f t="array" aca="1" ref="AY306" ca="1">IF($C$4=Lookups!$D$40,INDIRECT("'Yr1'!"&amp;ADDRESS(ROW(AY306),COLUMN(AY306))),
IF(AY249=0,0,SUMIFS('EE Inputs'!$S$9:$S$32,'EE Inputs'!$C$9:$C$32,$AM$6,'EE Inputs'!$D$9:$D$32,$C$4,'EE Inputs'!$E$9:$E$32,$B306)))</f>
        <v>11570.756013708537</v>
      </c>
      <c r="AZ306" s="645" cm="1">
        <f t="array" aca="1" ref="AZ306" ca="1">IF($C$4=Lookups!$D$40,INDIRECT("'Yr1'!"&amp;ADDRESS(ROW(AZ306),COLUMN(AZ306))),
IF(AZ249=0,0,SUMIFS('EE Inputs'!$S$9:$S$32,'EE Inputs'!$C$9:$C$32,$AM$6,'EE Inputs'!$D$9:$D$32,$C$4,'EE Inputs'!$E$9:$E$32,$B306)))</f>
        <v>11570.756013708537</v>
      </c>
      <c r="BA306" s="645" cm="1">
        <f t="array" aca="1" ref="BA306" ca="1">IF($C$4=Lookups!$D$40,INDIRECT("'Yr1'!"&amp;ADDRESS(ROW(BA306),COLUMN(BA306))),
IF(BA249=0,0,SUMIFS('EE Inputs'!$S$9:$S$32,'EE Inputs'!$C$9:$C$32,$AM$6,'EE Inputs'!$D$9:$D$32,$C$4,'EE Inputs'!$E$9:$E$32,$B306)))</f>
        <v>0</v>
      </c>
      <c r="BB306" s="645" cm="1">
        <f t="array" aca="1" ref="BB306" ca="1">IF($C$4=Lookups!$D$40,INDIRECT("'Yr1'!"&amp;ADDRESS(ROW(BB306),COLUMN(BB306))),
IF(BB249=0,0,SUMIFS('EE Inputs'!$S$9:$S$32,'EE Inputs'!$C$9:$C$32,$AM$6,'EE Inputs'!$D$9:$D$32,$C$4,'EE Inputs'!$E$9:$E$32,$B306)))</f>
        <v>0</v>
      </c>
      <c r="BC306" s="645" cm="1">
        <f t="array" aca="1" ref="BC306" ca="1">IF($C$4=Lookups!$D$40,INDIRECT("'Yr1'!"&amp;ADDRESS(ROW(BC306),COLUMN(BC306))),
IF(BC249=0,0,SUMIFS('EE Inputs'!$S$9:$S$32,'EE Inputs'!$C$9:$C$32,$AM$6,'EE Inputs'!$D$9:$D$32,$C$4,'EE Inputs'!$E$9:$E$32,$B306)))</f>
        <v>0</v>
      </c>
      <c r="BD306" s="645" cm="1">
        <f t="array" aca="1" ref="BD306" ca="1">IF($C$4=Lookups!$D$40,INDIRECT("'Yr1'!"&amp;ADDRESS(ROW(BD306),COLUMN(BD306))),
IF(BD249=0,0,SUMIFS('EE Inputs'!$S$9:$S$32,'EE Inputs'!$C$9:$C$32,$AM$6,'EE Inputs'!$D$9:$D$32,$C$4,'EE Inputs'!$E$9:$E$32,$B306)))</f>
        <v>0</v>
      </c>
      <c r="BE306" s="645" cm="1">
        <f t="array" aca="1" ref="BE306" ca="1">IF($C$4=Lookups!$D$40,INDIRECT("'Yr1'!"&amp;ADDRESS(ROW(BE306),COLUMN(BE306))),
IF(BE249=0,0,SUMIFS('EE Inputs'!$S$9:$S$32,'EE Inputs'!$C$9:$C$32,$AM$6,'EE Inputs'!$D$9:$D$32,$C$4,'EE Inputs'!$E$9:$E$32,$B306)))</f>
        <v>0</v>
      </c>
      <c r="BF306" s="645" cm="1">
        <f t="array" aca="1" ref="BF306" ca="1">IF($C$4=Lookups!$D$40,INDIRECT("'Yr1'!"&amp;ADDRESS(ROW(BF306),COLUMN(BF306))),
IF(BF249=0,0,SUMIFS('EE Inputs'!$S$9:$S$32,'EE Inputs'!$C$9:$C$32,$AM$6,'EE Inputs'!$D$9:$D$32,$C$4,'EE Inputs'!$E$9:$E$32,$B306)))</f>
        <v>0</v>
      </c>
      <c r="BG306" s="645" cm="1">
        <f t="array" aca="1" ref="BG306" ca="1">IF($C$4=Lookups!$D$40,INDIRECT("'Yr1'!"&amp;ADDRESS(ROW(BG306),COLUMN(BG306))),
IF(BG249=0,0,SUMIFS('EE Inputs'!$S$9:$S$32,'EE Inputs'!$C$9:$C$32,$AM$6,'EE Inputs'!$D$9:$D$32,$C$4,'EE Inputs'!$E$9:$E$32,$B306)))</f>
        <v>0</v>
      </c>
      <c r="BH306" s="645" cm="1">
        <f t="array" aca="1" ref="BH306" ca="1">IF($C$4=Lookups!$D$40,INDIRECT("'Yr1'!"&amp;ADDRESS(ROW(BH306),COLUMN(BH306))),
IF(BH249=0,0,SUMIFS('EE Inputs'!$S$9:$S$32,'EE Inputs'!$C$9:$C$32,$AM$6,'EE Inputs'!$D$9:$D$32,$C$4,'EE Inputs'!$E$9:$E$32,$B306)))</f>
        <v>0</v>
      </c>
      <c r="BI306" s="645" cm="1">
        <f t="array" aca="1" ref="BI306" ca="1">IF($C$4=Lookups!$D$40,INDIRECT("'Yr1'!"&amp;ADDRESS(ROW(BI306),COLUMN(BI306))),
IF(BI249=0,0,SUMIFS('EE Inputs'!$S$9:$S$32,'EE Inputs'!$C$9:$C$32,$AM$6,'EE Inputs'!$D$9:$D$32,$C$4,'EE Inputs'!$E$9:$E$32,$B306)))</f>
        <v>0</v>
      </c>
      <c r="BJ306" s="645" cm="1">
        <f t="array" aca="1" ref="BJ306" ca="1">IF($C$4=Lookups!$D$40,INDIRECT("'Yr1'!"&amp;ADDRESS(ROW(BJ306),COLUMN(BJ306))),
IF(BJ249=0,0,SUMIFS('EE Inputs'!$S$9:$S$32,'EE Inputs'!$C$9:$C$32,$AM$6,'EE Inputs'!$D$9:$D$32,$C$4,'EE Inputs'!$E$9:$E$32,$B306)))</f>
        <v>0</v>
      </c>
      <c r="BK306" s="645" cm="1">
        <f t="array" aca="1" ref="BK306" ca="1">IF($C$4=Lookups!$D$40,INDIRECT("'Yr1'!"&amp;ADDRESS(ROW(BK306),COLUMN(BK306))),
IF(BK249=0,0,SUMIFS('EE Inputs'!$S$9:$S$32,'EE Inputs'!$C$9:$C$32,$AM$6,'EE Inputs'!$D$9:$D$32,$C$4,'EE Inputs'!$E$9:$E$32,$B306)))</f>
        <v>0</v>
      </c>
      <c r="BL306" s="645" cm="1">
        <f t="array" aca="1" ref="BL306" ca="1">IF($C$4=Lookups!$D$40,INDIRECT("'Yr1'!"&amp;ADDRESS(ROW(BL306),COLUMN(BL306))),
IF(BL249=0,0,SUMIFS('EE Inputs'!$S$9:$S$32,'EE Inputs'!$C$9:$C$32,$AM$6,'EE Inputs'!$D$9:$D$32,$C$4,'EE Inputs'!$E$9:$E$32,$B306)))</f>
        <v>0</v>
      </c>
      <c r="BM306" s="645" cm="1">
        <f t="array" aca="1" ref="BM306" ca="1">IF($C$4=Lookups!$D$40,INDIRECT("'Yr1'!"&amp;ADDRESS(ROW(BM306),COLUMN(BM306))),
IF(BM249=0,0,SUMIFS('EE Inputs'!$S$9:$S$32,'EE Inputs'!$C$9:$C$32,$AM$6,'EE Inputs'!$D$9:$D$32,$C$4,'EE Inputs'!$E$9:$E$32,$B306)))</f>
        <v>0</v>
      </c>
      <c r="BN306" s="71"/>
      <c r="BO306" s="71"/>
      <c r="BP306" s="71"/>
      <c r="BS306" s="76" t="s">
        <v>96</v>
      </c>
      <c r="BT306" s="51" t="s">
        <v>17</v>
      </c>
    </row>
    <row r="307" spans="1:72" x14ac:dyDescent="0.25">
      <c r="A307" s="246"/>
      <c r="B307" s="243" t="str">
        <f t="shared" si="324"/>
        <v>Large C&amp;I</v>
      </c>
      <c r="C307" s="243" t="str">
        <f t="shared" si="324"/>
        <v>Bills</v>
      </c>
      <c r="D307" s="244" t="str">
        <f t="shared" si="324"/>
        <v>Annual Savings from DSM Scenario</v>
      </c>
      <c r="E307" s="84" t="str">
        <f>'EE Inputs'!$N$16&amp;" Participant"</f>
        <v>High Savings Participant</v>
      </c>
      <c r="F307" s="84" t="s">
        <v>195</v>
      </c>
      <c r="G307" s="704" cm="1">
        <f t="array" aca="1" ref="G307" ca="1">IF($C$4=Lookups!$D$40,INDIRECT("'Yr1'!"&amp;ADDRESS(ROW(G307),COLUMN(G307))),
IF(G249=0,0,SUMIFS('EE Inputs'!$T$9:$T$32,'EE Inputs'!$C$9:$C$32,$G$6,'EE Inputs'!$D$9:$D$32,$C$4,'EE Inputs'!$E$9:$E$32,$B307)))</f>
        <v>0</v>
      </c>
      <c r="H307" s="704" cm="1">
        <f t="array" aca="1" ref="H307" ca="1">IF($C$4=Lookups!$D$40,INDIRECT("'Yr1'!"&amp;ADDRESS(ROW(H307),COLUMN(H307))),
IF(H249=0,0,SUMIFS('EE Inputs'!$T$9:$T$32,'EE Inputs'!$C$9:$C$32,$G$6,'EE Inputs'!$D$9:$D$32,$C$4,'EE Inputs'!$E$9:$E$32,$B307)))</f>
        <v>19284.593356180896</v>
      </c>
      <c r="I307" s="704" cm="1">
        <f t="array" aca="1" ref="I307" ca="1">IF($C$4=Lookups!$D$40,INDIRECT("'Yr1'!"&amp;ADDRESS(ROW(I307),COLUMN(I307))),
IF(I249=0,0,SUMIFS('EE Inputs'!$T$9:$T$32,'EE Inputs'!$C$9:$C$32,$G$6,'EE Inputs'!$D$9:$D$32,$C$4,'EE Inputs'!$E$9:$E$32,$B307)))</f>
        <v>19284.593356180896</v>
      </c>
      <c r="J307" s="704" cm="1">
        <f t="array" aca="1" ref="J307" ca="1">IF($C$4=Lookups!$D$40,INDIRECT("'Yr1'!"&amp;ADDRESS(ROW(J307),COLUMN(J307))),
IF(J249=0,0,SUMIFS('EE Inputs'!$T$9:$T$32,'EE Inputs'!$C$9:$C$32,$G$6,'EE Inputs'!$D$9:$D$32,$C$4,'EE Inputs'!$E$9:$E$32,$B307)))</f>
        <v>19284.593356180896</v>
      </c>
      <c r="K307" s="704" cm="1">
        <f t="array" aca="1" ref="K307" ca="1">IF($C$4=Lookups!$D$40,INDIRECT("'Yr1'!"&amp;ADDRESS(ROW(K307),COLUMN(K307))),
IF(K249=0,0,SUMIFS('EE Inputs'!$T$9:$T$32,'EE Inputs'!$C$9:$C$32,$G$6,'EE Inputs'!$D$9:$D$32,$C$4,'EE Inputs'!$E$9:$E$32,$B307)))</f>
        <v>19284.593356180896</v>
      </c>
      <c r="L307" s="704" cm="1">
        <f t="array" aca="1" ref="L307" ca="1">IF($C$4=Lookups!$D$40,INDIRECT("'Yr1'!"&amp;ADDRESS(ROW(L307),COLUMN(L307))),
IF(L249=0,0,SUMIFS('EE Inputs'!$T$9:$T$32,'EE Inputs'!$C$9:$C$32,$G$6,'EE Inputs'!$D$9:$D$32,$C$4,'EE Inputs'!$E$9:$E$32,$B307)))</f>
        <v>19284.593356180896</v>
      </c>
      <c r="M307" s="704" cm="1">
        <f t="array" aca="1" ref="M307" ca="1">IF($C$4=Lookups!$D$40,INDIRECT("'Yr1'!"&amp;ADDRESS(ROW(M307),COLUMN(M307))),
IF(M249=0,0,SUMIFS('EE Inputs'!$T$9:$T$32,'EE Inputs'!$C$9:$C$32,$G$6,'EE Inputs'!$D$9:$D$32,$C$4,'EE Inputs'!$E$9:$E$32,$B307)))</f>
        <v>19284.593356180896</v>
      </c>
      <c r="N307" s="704" cm="1">
        <f t="array" aca="1" ref="N307" ca="1">IF($C$4=Lookups!$D$40,INDIRECT("'Yr1'!"&amp;ADDRESS(ROW(N307),COLUMN(N307))),
IF(N249=0,0,SUMIFS('EE Inputs'!$T$9:$T$32,'EE Inputs'!$C$9:$C$32,$G$6,'EE Inputs'!$D$9:$D$32,$C$4,'EE Inputs'!$E$9:$E$32,$B307)))</f>
        <v>19284.593356180896</v>
      </c>
      <c r="O307" s="704" cm="1">
        <f t="array" aca="1" ref="O307" ca="1">IF($C$4=Lookups!$D$40,INDIRECT("'Yr1'!"&amp;ADDRESS(ROW(O307),COLUMN(O307))),
IF(O249=0,0,SUMIFS('EE Inputs'!$T$9:$T$32,'EE Inputs'!$C$9:$C$32,$G$6,'EE Inputs'!$D$9:$D$32,$C$4,'EE Inputs'!$E$9:$E$32,$B307)))</f>
        <v>19284.593356180896</v>
      </c>
      <c r="P307" s="704" cm="1">
        <f t="array" aca="1" ref="P307" ca="1">IF($C$4=Lookups!$D$40,INDIRECT("'Yr1'!"&amp;ADDRESS(ROW(P307),COLUMN(P307))),
IF(P249=0,0,SUMIFS('EE Inputs'!$T$9:$T$32,'EE Inputs'!$C$9:$C$32,$G$6,'EE Inputs'!$D$9:$D$32,$C$4,'EE Inputs'!$E$9:$E$32,$B307)))</f>
        <v>19284.593356180896</v>
      </c>
      <c r="Q307" s="704" cm="1">
        <f t="array" aca="1" ref="Q307" ca="1">IF($C$4=Lookups!$D$40,INDIRECT("'Yr1'!"&amp;ADDRESS(ROW(Q307),COLUMN(Q307))),
IF(Q249=0,0,SUMIFS('EE Inputs'!$T$9:$T$32,'EE Inputs'!$C$9:$C$32,$G$6,'EE Inputs'!$D$9:$D$32,$C$4,'EE Inputs'!$E$9:$E$32,$B307)))</f>
        <v>19284.593356180896</v>
      </c>
      <c r="R307" s="704" cm="1">
        <f t="array" aca="1" ref="R307" ca="1">IF($C$4=Lookups!$D$40,INDIRECT("'Yr1'!"&amp;ADDRESS(ROW(R307),COLUMN(R307))),
IF(R249=0,0,SUMIFS('EE Inputs'!$T$9:$T$32,'EE Inputs'!$C$9:$C$32,$G$6,'EE Inputs'!$D$9:$D$32,$C$4,'EE Inputs'!$E$9:$E$32,$B307)))</f>
        <v>19284.593356180896</v>
      </c>
      <c r="S307" s="704" cm="1">
        <f t="array" aca="1" ref="S307" ca="1">IF($C$4=Lookups!$D$40,INDIRECT("'Yr1'!"&amp;ADDRESS(ROW(S307),COLUMN(S307))),
IF(S249=0,0,SUMIFS('EE Inputs'!$T$9:$T$32,'EE Inputs'!$C$9:$C$32,$G$6,'EE Inputs'!$D$9:$D$32,$C$4,'EE Inputs'!$E$9:$E$32,$B307)))</f>
        <v>19284.593356180896</v>
      </c>
      <c r="T307" s="704" cm="1">
        <f t="array" aca="1" ref="T307" ca="1">IF($C$4=Lookups!$D$40,INDIRECT("'Yr1'!"&amp;ADDRESS(ROW(T307),COLUMN(T307))),
IF(T249=0,0,SUMIFS('EE Inputs'!$T$9:$T$32,'EE Inputs'!$C$9:$C$32,$G$6,'EE Inputs'!$D$9:$D$32,$C$4,'EE Inputs'!$E$9:$E$32,$B307)))</f>
        <v>19284.593356180896</v>
      </c>
      <c r="U307" s="704" cm="1">
        <f t="array" aca="1" ref="U307" ca="1">IF($C$4=Lookups!$D$40,INDIRECT("'Yr1'!"&amp;ADDRESS(ROW(U307),COLUMN(U307))),
IF(U249=0,0,SUMIFS('EE Inputs'!$T$9:$T$32,'EE Inputs'!$C$9:$C$32,$G$6,'EE Inputs'!$D$9:$D$32,$C$4,'EE Inputs'!$E$9:$E$32,$B307)))</f>
        <v>0</v>
      </c>
      <c r="V307" s="704" cm="1">
        <f t="array" aca="1" ref="V307" ca="1">IF($C$4=Lookups!$D$40,INDIRECT("'Yr1'!"&amp;ADDRESS(ROW(V307),COLUMN(V307))),
IF(V249=0,0,SUMIFS('EE Inputs'!$T$9:$T$32,'EE Inputs'!$C$9:$C$32,$G$6,'EE Inputs'!$D$9:$D$32,$C$4,'EE Inputs'!$E$9:$E$32,$B307)))</f>
        <v>0</v>
      </c>
      <c r="W307" s="704" cm="1">
        <f t="array" aca="1" ref="W307" ca="1">IF($C$4=Lookups!$D$40,INDIRECT("'Yr1'!"&amp;ADDRESS(ROW(W307),COLUMN(W307))),
IF(W249=0,0,SUMIFS('EE Inputs'!$T$9:$T$32,'EE Inputs'!$C$9:$C$32,$G$6,'EE Inputs'!$D$9:$D$32,$C$4,'EE Inputs'!$E$9:$E$32,$B307)))</f>
        <v>0</v>
      </c>
      <c r="X307" s="704" cm="1">
        <f t="array" aca="1" ref="X307" ca="1">IF($C$4=Lookups!$D$40,INDIRECT("'Yr1'!"&amp;ADDRESS(ROW(X307),COLUMN(X307))),
IF(X249=0,0,SUMIFS('EE Inputs'!$T$9:$T$32,'EE Inputs'!$C$9:$C$32,$G$6,'EE Inputs'!$D$9:$D$32,$C$4,'EE Inputs'!$E$9:$E$32,$B307)))</f>
        <v>0</v>
      </c>
      <c r="Y307" s="704" cm="1">
        <f t="array" aca="1" ref="Y307" ca="1">IF($C$4=Lookups!$D$40,INDIRECT("'Yr1'!"&amp;ADDRESS(ROW(Y307),COLUMN(Y307))),
IF(Y249=0,0,SUMIFS('EE Inputs'!$T$9:$T$32,'EE Inputs'!$C$9:$C$32,$G$6,'EE Inputs'!$D$9:$D$32,$C$4,'EE Inputs'!$E$9:$E$32,$B307)))</f>
        <v>0</v>
      </c>
      <c r="Z307" s="704" cm="1">
        <f t="array" aca="1" ref="Z307" ca="1">IF($C$4=Lookups!$D$40,INDIRECT("'Yr1'!"&amp;ADDRESS(ROW(Z307),COLUMN(Z307))),
IF(Z249=0,0,SUMIFS('EE Inputs'!$T$9:$T$32,'EE Inputs'!$C$9:$C$32,$G$6,'EE Inputs'!$D$9:$D$32,$C$4,'EE Inputs'!$E$9:$E$32,$B307)))</f>
        <v>0</v>
      </c>
      <c r="AA307" s="704" cm="1">
        <f t="array" aca="1" ref="AA307" ca="1">IF($C$4=Lookups!$D$40,INDIRECT("'Yr1'!"&amp;ADDRESS(ROW(AA307),COLUMN(AA307))),
IF(AA249=0,0,SUMIFS('EE Inputs'!$T$9:$T$32,'EE Inputs'!$C$9:$C$32,$G$6,'EE Inputs'!$D$9:$D$32,$C$4,'EE Inputs'!$E$9:$E$32,$B307)))</f>
        <v>0</v>
      </c>
      <c r="AB307" s="704" cm="1">
        <f t="array" aca="1" ref="AB307" ca="1">IF($C$4=Lookups!$D$40,INDIRECT("'Yr1'!"&amp;ADDRESS(ROW(AB307),COLUMN(AB307))),
IF(AB249=0,0,SUMIFS('EE Inputs'!$T$9:$T$32,'EE Inputs'!$C$9:$C$32,$G$6,'EE Inputs'!$D$9:$D$32,$C$4,'EE Inputs'!$E$9:$E$32,$B307)))</f>
        <v>0</v>
      </c>
      <c r="AC307" s="704" cm="1">
        <f t="array" aca="1" ref="AC307" ca="1">IF($C$4=Lookups!$D$40,INDIRECT("'Yr1'!"&amp;ADDRESS(ROW(AC307),COLUMN(AC307))),
IF(AC249=0,0,SUMIFS('EE Inputs'!$T$9:$T$32,'EE Inputs'!$C$9:$C$32,$G$6,'EE Inputs'!$D$9:$D$32,$C$4,'EE Inputs'!$E$9:$E$32,$B307)))</f>
        <v>0</v>
      </c>
      <c r="AD307" s="704" cm="1">
        <f t="array" aca="1" ref="AD307" ca="1">IF($C$4=Lookups!$D$40,INDIRECT("'Yr1'!"&amp;ADDRESS(ROW(AD307),COLUMN(AD307))),
IF(AD249=0,0,SUMIFS('EE Inputs'!$T$9:$T$32,'EE Inputs'!$C$9:$C$32,$G$6,'EE Inputs'!$D$9:$D$32,$C$4,'EE Inputs'!$E$9:$E$32,$B307)))</f>
        <v>0</v>
      </c>
      <c r="AE307" s="704" cm="1">
        <f t="array" aca="1" ref="AE307" ca="1">IF($C$4=Lookups!$D$40,INDIRECT("'Yr1'!"&amp;ADDRESS(ROW(AE307),COLUMN(AE307))),
IF(AE249=0,0,SUMIFS('EE Inputs'!$T$9:$T$32,'EE Inputs'!$C$9:$C$32,$G$6,'EE Inputs'!$D$9:$D$32,$C$4,'EE Inputs'!$E$9:$E$32,$B307)))</f>
        <v>0</v>
      </c>
      <c r="AF307" s="704" cm="1">
        <f t="array" aca="1" ref="AF307" ca="1">IF($C$4=Lookups!$D$40,INDIRECT("'Yr1'!"&amp;ADDRESS(ROW(AF307),COLUMN(AF307))),
IF(AF249=0,0,SUMIFS('EE Inputs'!$T$9:$T$32,'EE Inputs'!$C$9:$C$32,$G$6,'EE Inputs'!$D$9:$D$32,$C$4,'EE Inputs'!$E$9:$E$32,$B307)))</f>
        <v>0</v>
      </c>
      <c r="AG307" s="704" cm="1">
        <f t="array" aca="1" ref="AG307" ca="1">IF($C$4=Lookups!$D$40,INDIRECT("'Yr1'!"&amp;ADDRESS(ROW(AG307),COLUMN(AG307))),
IF(AG249=0,0,SUMIFS('EE Inputs'!$T$9:$T$32,'EE Inputs'!$C$9:$C$32,$G$6,'EE Inputs'!$D$9:$D$32,$C$4,'EE Inputs'!$E$9:$E$32,$B307)))</f>
        <v>0</v>
      </c>
      <c r="AH307" s="64"/>
      <c r="AI307" s="64"/>
      <c r="AJ307" s="64"/>
      <c r="AM307" s="645" cm="1">
        <f t="array" aca="1" ref="AM307" ca="1">IF($C$4=Lookups!$D$40,INDIRECT("'Yr1'!"&amp;ADDRESS(ROW(AM307),COLUMN(AM307))),
IF(AM249=0,0,SUMIFS('EE Inputs'!$T$9:$T$32,'EE Inputs'!$C$9:$C$32,$AM$6,'EE Inputs'!$D$9:$D$32,$C$4,'EE Inputs'!$E$9:$E$32,$B307)))</f>
        <v>0</v>
      </c>
      <c r="AN307" s="645" cm="1">
        <f t="array" aca="1" ref="AN307" ca="1">IF($C$4=Lookups!$D$40,INDIRECT("'Yr1'!"&amp;ADDRESS(ROW(AN307),COLUMN(AN307))),
IF(AN249=0,0,SUMIFS('EE Inputs'!$T$9:$T$32,'EE Inputs'!$C$9:$C$32,$AM$6,'EE Inputs'!$D$9:$D$32,$C$4,'EE Inputs'!$E$9:$E$32,$B307)))</f>
        <v>23141.512027417073</v>
      </c>
      <c r="AO307" s="645" cm="1">
        <f t="array" aca="1" ref="AO307" ca="1">IF($C$4=Lookups!$D$40,INDIRECT("'Yr1'!"&amp;ADDRESS(ROW(AO307),COLUMN(AO307))),
IF(AO249=0,0,SUMIFS('EE Inputs'!$T$9:$T$32,'EE Inputs'!$C$9:$C$32,$AM$6,'EE Inputs'!$D$9:$D$32,$C$4,'EE Inputs'!$E$9:$E$32,$B307)))</f>
        <v>23141.512027417073</v>
      </c>
      <c r="AP307" s="645" cm="1">
        <f t="array" aca="1" ref="AP307" ca="1">IF($C$4=Lookups!$D$40,INDIRECT("'Yr1'!"&amp;ADDRESS(ROW(AP307),COLUMN(AP307))),
IF(AP249=0,0,SUMIFS('EE Inputs'!$T$9:$T$32,'EE Inputs'!$C$9:$C$32,$AM$6,'EE Inputs'!$D$9:$D$32,$C$4,'EE Inputs'!$E$9:$E$32,$B307)))</f>
        <v>23141.512027417073</v>
      </c>
      <c r="AQ307" s="645" cm="1">
        <f t="array" aca="1" ref="AQ307" ca="1">IF($C$4=Lookups!$D$40,INDIRECT("'Yr1'!"&amp;ADDRESS(ROW(AQ307),COLUMN(AQ307))),
IF(AQ249=0,0,SUMIFS('EE Inputs'!$T$9:$T$32,'EE Inputs'!$C$9:$C$32,$AM$6,'EE Inputs'!$D$9:$D$32,$C$4,'EE Inputs'!$E$9:$E$32,$B307)))</f>
        <v>23141.512027417073</v>
      </c>
      <c r="AR307" s="645" cm="1">
        <f t="array" aca="1" ref="AR307" ca="1">IF($C$4=Lookups!$D$40,INDIRECT("'Yr1'!"&amp;ADDRESS(ROW(AR307),COLUMN(AR307))),
IF(AR249=0,0,SUMIFS('EE Inputs'!$T$9:$T$32,'EE Inputs'!$C$9:$C$32,$AM$6,'EE Inputs'!$D$9:$D$32,$C$4,'EE Inputs'!$E$9:$E$32,$B307)))</f>
        <v>23141.512027417073</v>
      </c>
      <c r="AS307" s="645" cm="1">
        <f t="array" aca="1" ref="AS307" ca="1">IF($C$4=Lookups!$D$40,INDIRECT("'Yr1'!"&amp;ADDRESS(ROW(AS307),COLUMN(AS307))),
IF(AS249=0,0,SUMIFS('EE Inputs'!$T$9:$T$32,'EE Inputs'!$C$9:$C$32,$AM$6,'EE Inputs'!$D$9:$D$32,$C$4,'EE Inputs'!$E$9:$E$32,$B307)))</f>
        <v>23141.512027417073</v>
      </c>
      <c r="AT307" s="645" cm="1">
        <f t="array" aca="1" ref="AT307" ca="1">IF($C$4=Lookups!$D$40,INDIRECT("'Yr1'!"&amp;ADDRESS(ROW(AT307),COLUMN(AT307))),
IF(AT249=0,0,SUMIFS('EE Inputs'!$T$9:$T$32,'EE Inputs'!$C$9:$C$32,$AM$6,'EE Inputs'!$D$9:$D$32,$C$4,'EE Inputs'!$E$9:$E$32,$B307)))</f>
        <v>23141.512027417073</v>
      </c>
      <c r="AU307" s="645" cm="1">
        <f t="array" aca="1" ref="AU307" ca="1">IF($C$4=Lookups!$D$40,INDIRECT("'Yr1'!"&amp;ADDRESS(ROW(AU307),COLUMN(AU307))),
IF(AU249=0,0,SUMIFS('EE Inputs'!$T$9:$T$32,'EE Inputs'!$C$9:$C$32,$AM$6,'EE Inputs'!$D$9:$D$32,$C$4,'EE Inputs'!$E$9:$E$32,$B307)))</f>
        <v>23141.512027417073</v>
      </c>
      <c r="AV307" s="645" cm="1">
        <f t="array" aca="1" ref="AV307" ca="1">IF($C$4=Lookups!$D$40,INDIRECT("'Yr1'!"&amp;ADDRESS(ROW(AV307),COLUMN(AV307))),
IF(AV249=0,0,SUMIFS('EE Inputs'!$T$9:$T$32,'EE Inputs'!$C$9:$C$32,$AM$6,'EE Inputs'!$D$9:$D$32,$C$4,'EE Inputs'!$E$9:$E$32,$B307)))</f>
        <v>23141.512027417073</v>
      </c>
      <c r="AW307" s="645" cm="1">
        <f t="array" aca="1" ref="AW307" ca="1">IF($C$4=Lookups!$D$40,INDIRECT("'Yr1'!"&amp;ADDRESS(ROW(AW307),COLUMN(AW307))),
IF(AW249=0,0,SUMIFS('EE Inputs'!$T$9:$T$32,'EE Inputs'!$C$9:$C$32,$AM$6,'EE Inputs'!$D$9:$D$32,$C$4,'EE Inputs'!$E$9:$E$32,$B307)))</f>
        <v>23141.512027417073</v>
      </c>
      <c r="AX307" s="645" cm="1">
        <f t="array" aca="1" ref="AX307" ca="1">IF($C$4=Lookups!$D$40,INDIRECT("'Yr1'!"&amp;ADDRESS(ROW(AX307),COLUMN(AX307))),
IF(AX249=0,0,SUMIFS('EE Inputs'!$T$9:$T$32,'EE Inputs'!$C$9:$C$32,$AM$6,'EE Inputs'!$D$9:$D$32,$C$4,'EE Inputs'!$E$9:$E$32,$B307)))</f>
        <v>23141.512027417073</v>
      </c>
      <c r="AY307" s="645" cm="1">
        <f t="array" aca="1" ref="AY307" ca="1">IF($C$4=Lookups!$D$40,INDIRECT("'Yr1'!"&amp;ADDRESS(ROW(AY307),COLUMN(AY307))),
IF(AY249=0,0,SUMIFS('EE Inputs'!$T$9:$T$32,'EE Inputs'!$C$9:$C$32,$AM$6,'EE Inputs'!$D$9:$D$32,$C$4,'EE Inputs'!$E$9:$E$32,$B307)))</f>
        <v>23141.512027417073</v>
      </c>
      <c r="AZ307" s="645" cm="1">
        <f t="array" aca="1" ref="AZ307" ca="1">IF($C$4=Lookups!$D$40,INDIRECT("'Yr1'!"&amp;ADDRESS(ROW(AZ307),COLUMN(AZ307))),
IF(AZ249=0,0,SUMIFS('EE Inputs'!$T$9:$T$32,'EE Inputs'!$C$9:$C$32,$AM$6,'EE Inputs'!$D$9:$D$32,$C$4,'EE Inputs'!$E$9:$E$32,$B307)))</f>
        <v>23141.512027417073</v>
      </c>
      <c r="BA307" s="645" cm="1">
        <f t="array" aca="1" ref="BA307" ca="1">IF($C$4=Lookups!$D$40,INDIRECT("'Yr1'!"&amp;ADDRESS(ROW(BA307),COLUMN(BA307))),
IF(BA249=0,0,SUMIFS('EE Inputs'!$T$9:$T$32,'EE Inputs'!$C$9:$C$32,$AM$6,'EE Inputs'!$D$9:$D$32,$C$4,'EE Inputs'!$E$9:$E$32,$B307)))</f>
        <v>0</v>
      </c>
      <c r="BB307" s="645" cm="1">
        <f t="array" aca="1" ref="BB307" ca="1">IF($C$4=Lookups!$D$40,INDIRECT("'Yr1'!"&amp;ADDRESS(ROW(BB307),COLUMN(BB307))),
IF(BB249=0,0,SUMIFS('EE Inputs'!$T$9:$T$32,'EE Inputs'!$C$9:$C$32,$AM$6,'EE Inputs'!$D$9:$D$32,$C$4,'EE Inputs'!$E$9:$E$32,$B307)))</f>
        <v>0</v>
      </c>
      <c r="BC307" s="645" cm="1">
        <f t="array" aca="1" ref="BC307" ca="1">IF($C$4=Lookups!$D$40,INDIRECT("'Yr1'!"&amp;ADDRESS(ROW(BC307),COLUMN(BC307))),
IF(BC249=0,0,SUMIFS('EE Inputs'!$T$9:$T$32,'EE Inputs'!$C$9:$C$32,$AM$6,'EE Inputs'!$D$9:$D$32,$C$4,'EE Inputs'!$E$9:$E$32,$B307)))</f>
        <v>0</v>
      </c>
      <c r="BD307" s="645" cm="1">
        <f t="array" aca="1" ref="BD307" ca="1">IF($C$4=Lookups!$D$40,INDIRECT("'Yr1'!"&amp;ADDRESS(ROW(BD307),COLUMN(BD307))),
IF(BD249=0,0,SUMIFS('EE Inputs'!$T$9:$T$32,'EE Inputs'!$C$9:$C$32,$AM$6,'EE Inputs'!$D$9:$D$32,$C$4,'EE Inputs'!$E$9:$E$32,$B307)))</f>
        <v>0</v>
      </c>
      <c r="BE307" s="645" cm="1">
        <f t="array" aca="1" ref="BE307" ca="1">IF($C$4=Lookups!$D$40,INDIRECT("'Yr1'!"&amp;ADDRESS(ROW(BE307),COLUMN(BE307))),
IF(BE249=0,0,SUMIFS('EE Inputs'!$T$9:$T$32,'EE Inputs'!$C$9:$C$32,$AM$6,'EE Inputs'!$D$9:$D$32,$C$4,'EE Inputs'!$E$9:$E$32,$B307)))</f>
        <v>0</v>
      </c>
      <c r="BF307" s="645" cm="1">
        <f t="array" aca="1" ref="BF307" ca="1">IF($C$4=Lookups!$D$40,INDIRECT("'Yr1'!"&amp;ADDRESS(ROW(BF307),COLUMN(BF307))),
IF(BF249=0,0,SUMIFS('EE Inputs'!$T$9:$T$32,'EE Inputs'!$C$9:$C$32,$AM$6,'EE Inputs'!$D$9:$D$32,$C$4,'EE Inputs'!$E$9:$E$32,$B307)))</f>
        <v>0</v>
      </c>
      <c r="BG307" s="645" cm="1">
        <f t="array" aca="1" ref="BG307" ca="1">IF($C$4=Lookups!$D$40,INDIRECT("'Yr1'!"&amp;ADDRESS(ROW(BG307),COLUMN(BG307))),
IF(BG249=0,0,SUMIFS('EE Inputs'!$T$9:$T$32,'EE Inputs'!$C$9:$C$32,$AM$6,'EE Inputs'!$D$9:$D$32,$C$4,'EE Inputs'!$E$9:$E$32,$B307)))</f>
        <v>0</v>
      </c>
      <c r="BH307" s="645" cm="1">
        <f t="array" aca="1" ref="BH307" ca="1">IF($C$4=Lookups!$D$40,INDIRECT("'Yr1'!"&amp;ADDRESS(ROW(BH307),COLUMN(BH307))),
IF(BH249=0,0,SUMIFS('EE Inputs'!$T$9:$T$32,'EE Inputs'!$C$9:$C$32,$AM$6,'EE Inputs'!$D$9:$D$32,$C$4,'EE Inputs'!$E$9:$E$32,$B307)))</f>
        <v>0</v>
      </c>
      <c r="BI307" s="645" cm="1">
        <f t="array" aca="1" ref="BI307" ca="1">IF($C$4=Lookups!$D$40,INDIRECT("'Yr1'!"&amp;ADDRESS(ROW(BI307),COLUMN(BI307))),
IF(BI249=0,0,SUMIFS('EE Inputs'!$T$9:$T$32,'EE Inputs'!$C$9:$C$32,$AM$6,'EE Inputs'!$D$9:$D$32,$C$4,'EE Inputs'!$E$9:$E$32,$B307)))</f>
        <v>0</v>
      </c>
      <c r="BJ307" s="645" cm="1">
        <f t="array" aca="1" ref="BJ307" ca="1">IF($C$4=Lookups!$D$40,INDIRECT("'Yr1'!"&amp;ADDRESS(ROW(BJ307),COLUMN(BJ307))),
IF(BJ249=0,0,SUMIFS('EE Inputs'!$T$9:$T$32,'EE Inputs'!$C$9:$C$32,$AM$6,'EE Inputs'!$D$9:$D$32,$C$4,'EE Inputs'!$E$9:$E$32,$B307)))</f>
        <v>0</v>
      </c>
      <c r="BK307" s="645" cm="1">
        <f t="array" aca="1" ref="BK307" ca="1">IF($C$4=Lookups!$D$40,INDIRECT("'Yr1'!"&amp;ADDRESS(ROW(BK307),COLUMN(BK307))),
IF(BK249=0,0,SUMIFS('EE Inputs'!$T$9:$T$32,'EE Inputs'!$C$9:$C$32,$AM$6,'EE Inputs'!$D$9:$D$32,$C$4,'EE Inputs'!$E$9:$E$32,$B307)))</f>
        <v>0</v>
      </c>
      <c r="BL307" s="645" cm="1">
        <f t="array" aca="1" ref="BL307" ca="1">IF($C$4=Lookups!$D$40,INDIRECT("'Yr1'!"&amp;ADDRESS(ROW(BL307),COLUMN(BL307))),
IF(BL249=0,0,SUMIFS('EE Inputs'!$T$9:$T$32,'EE Inputs'!$C$9:$C$32,$AM$6,'EE Inputs'!$D$9:$D$32,$C$4,'EE Inputs'!$E$9:$E$32,$B307)))</f>
        <v>0</v>
      </c>
      <c r="BM307" s="645" cm="1">
        <f t="array" aca="1" ref="BM307" ca="1">IF($C$4=Lookups!$D$40,INDIRECT("'Yr1'!"&amp;ADDRESS(ROW(BM307),COLUMN(BM307))),
IF(BM249=0,0,SUMIFS('EE Inputs'!$T$9:$T$32,'EE Inputs'!$C$9:$C$32,$AM$6,'EE Inputs'!$D$9:$D$32,$C$4,'EE Inputs'!$E$9:$E$32,$B307)))</f>
        <v>0</v>
      </c>
      <c r="BN307" s="71"/>
      <c r="BO307" s="71"/>
      <c r="BP307" s="71"/>
      <c r="BS307" s="76" t="s">
        <v>96</v>
      </c>
      <c r="BT307" s="51" t="s">
        <v>17</v>
      </c>
    </row>
    <row r="308" spans="1:72" x14ac:dyDescent="0.25">
      <c r="B308" s="243" t="str">
        <f t="shared" si="324"/>
        <v>Large C&amp;I</v>
      </c>
      <c r="C308" s="243" t="str">
        <f t="shared" si="324"/>
        <v>Bills</v>
      </c>
      <c r="D308" s="114" t="s">
        <v>111</v>
      </c>
      <c r="E308" s="84"/>
      <c r="F308" s="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49"/>
      <c r="AI308" s="184"/>
      <c r="AJ308" s="49"/>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S308" s="84"/>
      <c r="BT308" s="51" t="s">
        <v>17</v>
      </c>
    </row>
    <row r="309" spans="1:72" x14ac:dyDescent="0.25">
      <c r="B309" s="243" t="str">
        <f t="shared" si="324"/>
        <v>Large C&amp;I</v>
      </c>
      <c r="C309" s="243" t="str">
        <f t="shared" si="324"/>
        <v>Bills</v>
      </c>
      <c r="D309" s="244" t="str">
        <f t="shared" si="324"/>
        <v>Bills after DSM Scenario</v>
      </c>
      <c r="E309" s="84" t="s">
        <v>348</v>
      </c>
      <c r="F309" s="84" t="s">
        <v>32</v>
      </c>
      <c r="G309" s="103">
        <f ca="1">G301+G302*(G294-G293)</f>
        <v>0</v>
      </c>
      <c r="H309" s="103">
        <f ca="1">H301+H302*(H294-H293)</f>
        <v>181483.37678299946</v>
      </c>
      <c r="I309" s="103">
        <f t="shared" ref="I309:AG309" ca="1" si="334">I301+I302*(I294-I293)</f>
        <v>152697.43482920204</v>
      </c>
      <c r="J309" s="103">
        <f t="shared" ca="1" si="334"/>
        <v>152697.43482920204</v>
      </c>
      <c r="K309" s="103">
        <f t="shared" ca="1" si="334"/>
        <v>152697.43482920204</v>
      </c>
      <c r="L309" s="103">
        <f t="shared" ca="1" si="334"/>
        <v>152697.43482920204</v>
      </c>
      <c r="M309" s="103">
        <f t="shared" ca="1" si="334"/>
        <v>152697.43482920204</v>
      </c>
      <c r="N309" s="103">
        <f t="shared" ca="1" si="334"/>
        <v>152697.43482920204</v>
      </c>
      <c r="O309" s="103">
        <f t="shared" ca="1" si="334"/>
        <v>152697.43482920204</v>
      </c>
      <c r="P309" s="103">
        <f t="shared" ca="1" si="334"/>
        <v>152697.43482920204</v>
      </c>
      <c r="Q309" s="103">
        <f t="shared" ca="1" si="334"/>
        <v>152697.43482920204</v>
      </c>
      <c r="R309" s="103">
        <f t="shared" ca="1" si="334"/>
        <v>152697.43482920204</v>
      </c>
      <c r="S309" s="103">
        <f ca="1">S301+S302*(S294-S293)</f>
        <v>152697.43482920204</v>
      </c>
      <c r="T309" s="103">
        <f t="shared" ca="1" si="334"/>
        <v>152697.43482920204</v>
      </c>
      <c r="U309" s="103">
        <f t="shared" ca="1" si="334"/>
        <v>151857.45648293078</v>
      </c>
      <c r="V309" s="103">
        <f t="shared" ca="1" si="334"/>
        <v>151857.45648293078</v>
      </c>
      <c r="W309" s="103">
        <f t="shared" ca="1" si="334"/>
        <v>151857.45648293078</v>
      </c>
      <c r="X309" s="103">
        <f t="shared" ca="1" si="334"/>
        <v>151857.45648293078</v>
      </c>
      <c r="Y309" s="103">
        <f t="shared" ca="1" si="334"/>
        <v>151857.45648293078</v>
      </c>
      <c r="Z309" s="103">
        <f t="shared" ca="1" si="334"/>
        <v>151857.45648293078</v>
      </c>
      <c r="AA309" s="103">
        <f t="shared" ca="1" si="334"/>
        <v>151857.45648293078</v>
      </c>
      <c r="AB309" s="103">
        <f t="shared" ca="1" si="334"/>
        <v>151857.45648293078</v>
      </c>
      <c r="AC309" s="103">
        <f t="shared" ca="1" si="334"/>
        <v>151857.45648293078</v>
      </c>
      <c r="AD309" s="103">
        <f t="shared" ca="1" si="334"/>
        <v>151857.45648293078</v>
      </c>
      <c r="AE309" s="103">
        <f t="shared" ca="1" si="334"/>
        <v>151857.45648293078</v>
      </c>
      <c r="AF309" s="103">
        <f t="shared" ca="1" si="334"/>
        <v>151857.45648293078</v>
      </c>
      <c r="AG309" s="103">
        <f t="shared" ca="1" si="334"/>
        <v>151857.45648293078</v>
      </c>
      <c r="AH309" s="103"/>
      <c r="AI309" s="103"/>
      <c r="AJ309" s="103">
        <f ca="1">IF($C$4=Year1,-PMT(Lookups!$E$17,25,NPV(Lookups!$E$17,G309:AE309),0,1),IF($C$4=Year2,-PMT(Lookups!$F$17,25,NPV(Lookups!$F$17,H309:AF309),0,1),IF($C$4=Year3,-PMT(Lookups!$G$17,25,NPV(Lookups!$G$17,I309:AG309),0,1),-PMT(Lookups!$G$17,27,NPV(Lookups!$G$17,G309:AG309),0,1))))</f>
        <v>151543.29322018984</v>
      </c>
      <c r="AM309" s="149">
        <f ca="1">AM301+AM302*(AM294-AM293)</f>
        <v>0</v>
      </c>
      <c r="AN309" s="149">
        <f t="shared" ref="AN309:BM309" ca="1" si="335">AN301+AN302*(AN294-AN293)</f>
        <v>187373.69979558949</v>
      </c>
      <c r="AO309" s="149">
        <f t="shared" ca="1" si="335"/>
        <v>152830.56945103258</v>
      </c>
      <c r="AP309" s="149">
        <f t="shared" ca="1" si="335"/>
        <v>152830.56945103258</v>
      </c>
      <c r="AQ309" s="149">
        <f t="shared" ca="1" si="335"/>
        <v>152830.56945103258</v>
      </c>
      <c r="AR309" s="149">
        <f t="shared" ca="1" si="335"/>
        <v>152830.56945103258</v>
      </c>
      <c r="AS309" s="149">
        <f t="shared" ca="1" si="335"/>
        <v>152830.56945103258</v>
      </c>
      <c r="AT309" s="149">
        <f t="shared" ca="1" si="335"/>
        <v>152830.56945103258</v>
      </c>
      <c r="AU309" s="149">
        <f t="shared" ca="1" si="335"/>
        <v>152830.56945103258</v>
      </c>
      <c r="AV309" s="149">
        <f t="shared" ca="1" si="335"/>
        <v>152830.56945103258</v>
      </c>
      <c r="AW309" s="149">
        <f t="shared" ca="1" si="335"/>
        <v>152830.56945103258</v>
      </c>
      <c r="AX309" s="149">
        <f t="shared" ca="1" si="335"/>
        <v>152830.56945103258</v>
      </c>
      <c r="AY309" s="149">
        <f t="shared" ca="1" si="335"/>
        <v>152830.56945103258</v>
      </c>
      <c r="AZ309" s="149">
        <f t="shared" ca="1" si="335"/>
        <v>152830.56945103258</v>
      </c>
      <c r="BA309" s="149">
        <f t="shared" ca="1" si="335"/>
        <v>151857.45648293078</v>
      </c>
      <c r="BB309" s="149">
        <f t="shared" ca="1" si="335"/>
        <v>151857.45648293078</v>
      </c>
      <c r="BC309" s="149">
        <f t="shared" ca="1" si="335"/>
        <v>151857.45648293078</v>
      </c>
      <c r="BD309" s="149">
        <f t="shared" ca="1" si="335"/>
        <v>151857.45648293078</v>
      </c>
      <c r="BE309" s="149">
        <f t="shared" ca="1" si="335"/>
        <v>151857.45648293078</v>
      </c>
      <c r="BF309" s="149">
        <f t="shared" ca="1" si="335"/>
        <v>151857.45648293078</v>
      </c>
      <c r="BG309" s="149">
        <f t="shared" ca="1" si="335"/>
        <v>151857.45648293078</v>
      </c>
      <c r="BH309" s="149">
        <f t="shared" ca="1" si="335"/>
        <v>151857.45648293078</v>
      </c>
      <c r="BI309" s="149">
        <f t="shared" ca="1" si="335"/>
        <v>151857.45648293078</v>
      </c>
      <c r="BJ309" s="149">
        <f t="shared" ca="1" si="335"/>
        <v>151857.45648293078</v>
      </c>
      <c r="BK309" s="149">
        <f t="shared" ca="1" si="335"/>
        <v>151857.45648293078</v>
      </c>
      <c r="BL309" s="149">
        <f t="shared" ca="1" si="335"/>
        <v>151857.45648293078</v>
      </c>
      <c r="BM309" s="149">
        <f t="shared" ca="1" si="335"/>
        <v>151857.45648293078</v>
      </c>
      <c r="BN309" s="149"/>
      <c r="BO309" s="149"/>
      <c r="BP309" s="149">
        <f ca="1">IF($C$4=Year1,-PMT(Lookups!$E$17,25,NPV(Lookups!$E$17,AM309:BK309),0,1),IF($C$4=Year2,-PMT(Lookups!$F$17,25,NPV(Lookups!$F$17,AN309:BL309),0,1),IF($C$4=Year3,-PMT(Lookups!$G$17,25,NPV(Lookups!$G$17,AO309:BM309),0,1),-PMT(Lookups!$G$17,27,NPV(Lookups!$G$17,AM309:BM309),0,1))))</f>
        <v>151884.66972729613</v>
      </c>
      <c r="BS309" s="84" t="s">
        <v>239</v>
      </c>
      <c r="BT309" s="51" t="s">
        <v>17</v>
      </c>
    </row>
    <row r="310" spans="1:72" x14ac:dyDescent="0.25">
      <c r="B310" s="243" t="str">
        <f t="shared" si="324"/>
        <v>Large C&amp;I</v>
      </c>
      <c r="C310" s="243" t="str">
        <f t="shared" si="324"/>
        <v>Bills</v>
      </c>
      <c r="D310" s="244" t="str">
        <f t="shared" si="324"/>
        <v>Bills after DSM Scenario</v>
      </c>
      <c r="E310" s="84" t="s">
        <v>349</v>
      </c>
      <c r="F310" s="84" t="s">
        <v>32</v>
      </c>
      <c r="G310" s="103">
        <f ca="1">G301+(G302-G305)*(G294-G293)</f>
        <v>0</v>
      </c>
      <c r="H310" s="103">
        <f ca="1">H301+(H302-H305)*(H294-H293)</f>
        <v>165714.4392767105</v>
      </c>
      <c r="I310" s="103">
        <f t="shared" ref="I310:AG310" ca="1" si="336">I301+(I302-I305)*(I294-I293)</f>
        <v>139555.74385538328</v>
      </c>
      <c r="J310" s="103">
        <f t="shared" ca="1" si="336"/>
        <v>139555.74385538328</v>
      </c>
      <c r="K310" s="103">
        <f t="shared" ca="1" si="336"/>
        <v>139555.74385538328</v>
      </c>
      <c r="L310" s="103">
        <f t="shared" ca="1" si="336"/>
        <v>139555.74385538328</v>
      </c>
      <c r="M310" s="103">
        <f t="shared" ca="1" si="336"/>
        <v>139555.74385538328</v>
      </c>
      <c r="N310" s="103">
        <f t="shared" ca="1" si="336"/>
        <v>139555.74385538328</v>
      </c>
      <c r="O310" s="103">
        <f t="shared" ca="1" si="336"/>
        <v>139555.74385538328</v>
      </c>
      <c r="P310" s="103">
        <f t="shared" ca="1" si="336"/>
        <v>139555.74385538328</v>
      </c>
      <c r="Q310" s="103">
        <f t="shared" ca="1" si="336"/>
        <v>139555.74385538328</v>
      </c>
      <c r="R310" s="103">
        <f t="shared" ca="1" si="336"/>
        <v>139555.74385538328</v>
      </c>
      <c r="S310" s="103">
        <f ca="1">S301+(S302-S305)*(S294-S293)</f>
        <v>139555.74385538328</v>
      </c>
      <c r="T310" s="103">
        <f t="shared" ca="1" si="336"/>
        <v>139555.74385538328</v>
      </c>
      <c r="U310" s="103">
        <f t="shared" ca="1" si="336"/>
        <v>151857.45648293078</v>
      </c>
      <c r="V310" s="103">
        <f t="shared" ca="1" si="336"/>
        <v>151857.45648293078</v>
      </c>
      <c r="W310" s="103">
        <f t="shared" ca="1" si="336"/>
        <v>151857.45648293078</v>
      </c>
      <c r="X310" s="103">
        <f t="shared" ca="1" si="336"/>
        <v>151857.45648293078</v>
      </c>
      <c r="Y310" s="103">
        <f t="shared" ca="1" si="336"/>
        <v>151857.45648293078</v>
      </c>
      <c r="Z310" s="103">
        <f t="shared" ca="1" si="336"/>
        <v>151857.45648293078</v>
      </c>
      <c r="AA310" s="103">
        <f t="shared" ca="1" si="336"/>
        <v>151857.45648293078</v>
      </c>
      <c r="AB310" s="103">
        <f t="shared" ca="1" si="336"/>
        <v>151857.45648293078</v>
      </c>
      <c r="AC310" s="103">
        <f t="shared" ca="1" si="336"/>
        <v>151857.45648293078</v>
      </c>
      <c r="AD310" s="103">
        <f t="shared" ca="1" si="336"/>
        <v>151857.45648293078</v>
      </c>
      <c r="AE310" s="103">
        <f t="shared" ca="1" si="336"/>
        <v>151857.45648293078</v>
      </c>
      <c r="AF310" s="103">
        <f t="shared" ca="1" si="336"/>
        <v>151857.45648293078</v>
      </c>
      <c r="AG310" s="103">
        <f t="shared" ca="1" si="336"/>
        <v>151857.45648293078</v>
      </c>
      <c r="AH310" s="103"/>
      <c r="AI310" s="103"/>
      <c r="AJ310" s="103">
        <f ca="1">IF($C$4=Year1,-PMT(Lookups!$E$17,25,NPV(Lookups!$E$17,G310:AE310),0,1),IF($C$4=Year2,-PMT(Lookups!$F$17,25,NPV(Lookups!$F$17,H310:AF310),0,1),IF($C$4=Year3,-PMT(Lookups!$G$17,25,NPV(Lookups!$G$17,I310:AG310),0,1),-PMT(Lookups!$G$17,27,NPV(Lookups!$G$17,G310:AG310),0,1))))</f>
        <v>144117.83878921511</v>
      </c>
      <c r="AM310" s="149">
        <f ca="1">AM301+(AM302-AM305)*(AM294-AM293)</f>
        <v>0</v>
      </c>
      <c r="AN310" s="149">
        <f t="shared" ref="AN310:BM310" ca="1" si="337">AN301+(AN302-AN305)*(AN294-AN293)</f>
        <v>168737.65660111414</v>
      </c>
      <c r="AO310" s="149">
        <f t="shared" ca="1" si="337"/>
        <v>137797.60721537354</v>
      </c>
      <c r="AP310" s="149">
        <f t="shared" ca="1" si="337"/>
        <v>137797.60721537354</v>
      </c>
      <c r="AQ310" s="149">
        <f t="shared" ca="1" si="337"/>
        <v>137797.60721537354</v>
      </c>
      <c r="AR310" s="149">
        <f t="shared" ca="1" si="337"/>
        <v>137797.60721537354</v>
      </c>
      <c r="AS310" s="149">
        <f t="shared" ca="1" si="337"/>
        <v>137797.60721537354</v>
      </c>
      <c r="AT310" s="149">
        <f t="shared" ca="1" si="337"/>
        <v>137797.60721537354</v>
      </c>
      <c r="AU310" s="149">
        <f t="shared" ca="1" si="337"/>
        <v>137797.60721537354</v>
      </c>
      <c r="AV310" s="149">
        <f t="shared" ca="1" si="337"/>
        <v>137797.60721537354</v>
      </c>
      <c r="AW310" s="149">
        <f t="shared" ca="1" si="337"/>
        <v>137797.60721537354</v>
      </c>
      <c r="AX310" s="149">
        <f t="shared" ca="1" si="337"/>
        <v>137797.60721537354</v>
      </c>
      <c r="AY310" s="149">
        <f t="shared" ca="1" si="337"/>
        <v>137797.60721537354</v>
      </c>
      <c r="AZ310" s="149">
        <f t="shared" ca="1" si="337"/>
        <v>137797.60721537354</v>
      </c>
      <c r="BA310" s="149">
        <f t="shared" ca="1" si="337"/>
        <v>151857.45648293078</v>
      </c>
      <c r="BB310" s="149">
        <f t="shared" ca="1" si="337"/>
        <v>151857.45648293078</v>
      </c>
      <c r="BC310" s="149">
        <f t="shared" ca="1" si="337"/>
        <v>151857.45648293078</v>
      </c>
      <c r="BD310" s="149">
        <f t="shared" ca="1" si="337"/>
        <v>151857.45648293078</v>
      </c>
      <c r="BE310" s="149">
        <f t="shared" ca="1" si="337"/>
        <v>151857.45648293078</v>
      </c>
      <c r="BF310" s="149">
        <f t="shared" ca="1" si="337"/>
        <v>151857.45648293078</v>
      </c>
      <c r="BG310" s="149">
        <f t="shared" ca="1" si="337"/>
        <v>151857.45648293078</v>
      </c>
      <c r="BH310" s="149">
        <f t="shared" ca="1" si="337"/>
        <v>151857.45648293078</v>
      </c>
      <c r="BI310" s="149">
        <f t="shared" ca="1" si="337"/>
        <v>151857.45648293078</v>
      </c>
      <c r="BJ310" s="149">
        <f t="shared" ca="1" si="337"/>
        <v>151857.45648293078</v>
      </c>
      <c r="BK310" s="149">
        <f t="shared" ca="1" si="337"/>
        <v>151857.45648293078</v>
      </c>
      <c r="BL310" s="149">
        <f t="shared" ca="1" si="337"/>
        <v>151857.45648293078</v>
      </c>
      <c r="BM310" s="149">
        <f t="shared" ca="1" si="337"/>
        <v>151857.45648293078</v>
      </c>
      <c r="BN310" s="149"/>
      <c r="BO310" s="149"/>
      <c r="BP310" s="149">
        <f ca="1">IF($C$4=Year1,-PMT(Lookups!$E$17,25,NPV(Lookups!$E$17,AM310:BK310),0,1),IF($C$4=Year2,-PMT(Lookups!$F$17,25,NPV(Lookups!$F$17,AN310:BL310),0,1),IF($C$4=Year3,-PMT(Lookups!$G$17,25,NPV(Lookups!$G$17,AO310:BM310),0,1),-PMT(Lookups!$G$17,27,NPV(Lookups!$G$17,AM310:BM310),0,1))))</f>
        <v>143362.8282248539</v>
      </c>
      <c r="BS310" s="84" t="s">
        <v>240</v>
      </c>
      <c r="BT310" s="51" t="s">
        <v>17</v>
      </c>
    </row>
    <row r="311" spans="1:72" x14ac:dyDescent="0.25">
      <c r="B311" s="243" t="str">
        <f t="shared" si="324"/>
        <v>Large C&amp;I</v>
      </c>
      <c r="C311" s="243" t="str">
        <f t="shared" si="324"/>
        <v>Bills</v>
      </c>
      <c r="D311" s="244" t="str">
        <f t="shared" si="324"/>
        <v>Bills after DSM Scenario</v>
      </c>
      <c r="E311" s="84" t="str">
        <f>'EE Inputs'!$N$15&amp;" Participant Annual Bill"</f>
        <v>Low Savings Participant Annual Bill</v>
      </c>
      <c r="F311" s="84" t="s">
        <v>32</v>
      </c>
      <c r="G311" s="103">
        <f ca="1">G301+(G302-G306)*(G294-G293)</f>
        <v>0</v>
      </c>
      <c r="H311" s="103">
        <f ca="1">H301+(H302-H306)*(H294-H293)</f>
        <v>172844.60394384951</v>
      </c>
      <c r="I311" s="103">
        <f t="shared" ref="I311:AG311" ca="1" si="338">I301+(I302-I306)*(I294-I293)</f>
        <v>145497.95908774194</v>
      </c>
      <c r="J311" s="103">
        <f t="shared" ca="1" si="338"/>
        <v>145497.95908774194</v>
      </c>
      <c r="K311" s="103">
        <f t="shared" ca="1" si="338"/>
        <v>145497.95908774194</v>
      </c>
      <c r="L311" s="103">
        <f t="shared" ca="1" si="338"/>
        <v>145497.95908774194</v>
      </c>
      <c r="M311" s="103">
        <f t="shared" ca="1" si="338"/>
        <v>145497.95908774194</v>
      </c>
      <c r="N311" s="103">
        <f t="shared" ca="1" si="338"/>
        <v>145497.95908774194</v>
      </c>
      <c r="O311" s="103">
        <f t="shared" ca="1" si="338"/>
        <v>145497.95908774194</v>
      </c>
      <c r="P311" s="103">
        <f t="shared" ca="1" si="338"/>
        <v>145497.95908774194</v>
      </c>
      <c r="Q311" s="103">
        <f t="shared" ca="1" si="338"/>
        <v>145497.95908774194</v>
      </c>
      <c r="R311" s="103">
        <f t="shared" ca="1" si="338"/>
        <v>145497.95908774194</v>
      </c>
      <c r="S311" s="103">
        <f t="shared" ca="1" si="338"/>
        <v>145497.95908774194</v>
      </c>
      <c r="T311" s="103">
        <f t="shared" ca="1" si="338"/>
        <v>145497.95908774194</v>
      </c>
      <c r="U311" s="103">
        <f t="shared" ca="1" si="338"/>
        <v>151857.45648293078</v>
      </c>
      <c r="V311" s="103">
        <f t="shared" ca="1" si="338"/>
        <v>151857.45648293078</v>
      </c>
      <c r="W311" s="103">
        <f t="shared" ca="1" si="338"/>
        <v>151857.45648293078</v>
      </c>
      <c r="X311" s="103">
        <f t="shared" ca="1" si="338"/>
        <v>151857.45648293078</v>
      </c>
      <c r="Y311" s="103">
        <f t="shared" ca="1" si="338"/>
        <v>151857.45648293078</v>
      </c>
      <c r="Z311" s="103">
        <f t="shared" ca="1" si="338"/>
        <v>151857.45648293078</v>
      </c>
      <c r="AA311" s="103">
        <f t="shared" ca="1" si="338"/>
        <v>151857.45648293078</v>
      </c>
      <c r="AB311" s="103">
        <f t="shared" ca="1" si="338"/>
        <v>151857.45648293078</v>
      </c>
      <c r="AC311" s="103">
        <f t="shared" ca="1" si="338"/>
        <v>151857.45648293078</v>
      </c>
      <c r="AD311" s="103">
        <f t="shared" ca="1" si="338"/>
        <v>151857.45648293078</v>
      </c>
      <c r="AE311" s="103">
        <f t="shared" ca="1" si="338"/>
        <v>151857.45648293078</v>
      </c>
      <c r="AF311" s="103">
        <f t="shared" ca="1" si="338"/>
        <v>151857.45648293078</v>
      </c>
      <c r="AG311" s="103">
        <f t="shared" ca="1" si="338"/>
        <v>151857.45648293078</v>
      </c>
      <c r="AH311" s="103"/>
      <c r="AI311" s="103"/>
      <c r="AJ311" s="103">
        <f ca="1">IF($C$4=Year1,-PMT(Lookups!$E$17,25,NPV(Lookups!$E$17,G311:AE311),0,1),IF($C$4=Year2,-PMT(Lookups!$F$17,25,NPV(Lookups!$F$17,H311:AF311),0,1),IF($C$4=Year3,-PMT(Lookups!$G$17,25,NPV(Lookups!$G$17,I311:AG311),0,1),-PMT(Lookups!$G$17,27,NPV(Lookups!$G$17,G311:AG311),0,1))))</f>
        <v>147475.37082332151</v>
      </c>
      <c r="AM311" s="149">
        <f ca="1">AM301+(AM302-AM306)*(AM294-AM293)</f>
        <v>0</v>
      </c>
      <c r="AN311" s="149">
        <f t="shared" ref="AN311:BM311" ca="1" si="339">AN301+(AN302-AN306)*(AN294-AN293)</f>
        <v>176653.7530078541</v>
      </c>
      <c r="AO311" s="149">
        <f t="shared" ca="1" si="339"/>
        <v>144183.21048397062</v>
      </c>
      <c r="AP311" s="149">
        <f t="shared" ca="1" si="339"/>
        <v>144183.21048397062</v>
      </c>
      <c r="AQ311" s="149">
        <f t="shared" ca="1" si="339"/>
        <v>144183.21048397062</v>
      </c>
      <c r="AR311" s="149">
        <f t="shared" ca="1" si="339"/>
        <v>144183.21048397062</v>
      </c>
      <c r="AS311" s="149">
        <f t="shared" ca="1" si="339"/>
        <v>144183.21048397062</v>
      </c>
      <c r="AT311" s="149">
        <f t="shared" ca="1" si="339"/>
        <v>144183.21048397062</v>
      </c>
      <c r="AU311" s="149">
        <f t="shared" ca="1" si="339"/>
        <v>144183.21048397062</v>
      </c>
      <c r="AV311" s="149">
        <f t="shared" ca="1" si="339"/>
        <v>144183.21048397062</v>
      </c>
      <c r="AW311" s="149">
        <f t="shared" ca="1" si="339"/>
        <v>144183.21048397062</v>
      </c>
      <c r="AX311" s="149">
        <f t="shared" ca="1" si="339"/>
        <v>144183.21048397062</v>
      </c>
      <c r="AY311" s="149">
        <f t="shared" ca="1" si="339"/>
        <v>144183.21048397062</v>
      </c>
      <c r="AZ311" s="149">
        <f t="shared" ca="1" si="339"/>
        <v>144183.21048397062</v>
      </c>
      <c r="BA311" s="149">
        <f t="shared" ca="1" si="339"/>
        <v>151857.45648293078</v>
      </c>
      <c r="BB311" s="149">
        <f t="shared" ca="1" si="339"/>
        <v>151857.45648293078</v>
      </c>
      <c r="BC311" s="149">
        <f t="shared" ca="1" si="339"/>
        <v>151857.45648293078</v>
      </c>
      <c r="BD311" s="149">
        <f t="shared" ca="1" si="339"/>
        <v>151857.45648293078</v>
      </c>
      <c r="BE311" s="149">
        <f t="shared" ca="1" si="339"/>
        <v>151857.45648293078</v>
      </c>
      <c r="BF311" s="149">
        <f t="shared" ca="1" si="339"/>
        <v>151857.45648293078</v>
      </c>
      <c r="BG311" s="149">
        <f t="shared" ca="1" si="339"/>
        <v>151857.45648293078</v>
      </c>
      <c r="BH311" s="149">
        <f t="shared" ca="1" si="339"/>
        <v>151857.45648293078</v>
      </c>
      <c r="BI311" s="149">
        <f t="shared" ca="1" si="339"/>
        <v>151857.45648293078</v>
      </c>
      <c r="BJ311" s="149">
        <f t="shared" ca="1" si="339"/>
        <v>151857.45648293078</v>
      </c>
      <c r="BK311" s="149">
        <f t="shared" ca="1" si="339"/>
        <v>151857.45648293078</v>
      </c>
      <c r="BL311" s="149">
        <f t="shared" ca="1" si="339"/>
        <v>151857.45648293078</v>
      </c>
      <c r="BM311" s="149">
        <f t="shared" ca="1" si="339"/>
        <v>151857.45648293078</v>
      </c>
      <c r="BN311" s="149"/>
      <c r="BO311" s="149"/>
      <c r="BP311" s="149">
        <f ca="1">IF($C$4=Year1,-PMT(Lookups!$E$17,25,NPV(Lookups!$E$17,AM311:BK311),0,1),IF($C$4=Year2,-PMT(Lookups!$F$17,25,NPV(Lookups!$F$17,AN311:BL311),0,1),IF($C$4=Year3,-PMT(Lookups!$G$17,25,NPV(Lookups!$G$17,AO311:BM311),0,1),-PMT(Lookups!$G$17,27,NPV(Lookups!$G$17,AM311:BM311),0,1))))</f>
        <v>146982.68026062768</v>
      </c>
      <c r="BS311" s="84" t="s">
        <v>240</v>
      </c>
      <c r="BT311" s="51" t="s">
        <v>17</v>
      </c>
    </row>
    <row r="312" spans="1:72" x14ac:dyDescent="0.25">
      <c r="B312" s="243" t="str">
        <f t="shared" ref="B312:D322" si="340">B311</f>
        <v>Large C&amp;I</v>
      </c>
      <c r="C312" s="243" t="str">
        <f t="shared" si="340"/>
        <v>Bills</v>
      </c>
      <c r="D312" s="244" t="str">
        <f t="shared" si="340"/>
        <v>Bills after DSM Scenario</v>
      </c>
      <c r="E312" s="84" t="str">
        <f>'EE Inputs'!$N$16&amp;" Participant Annual Bill"</f>
        <v>High Savings Participant Annual Bill</v>
      </c>
      <c r="F312" s="84" t="s">
        <v>32</v>
      </c>
      <c r="G312" s="103">
        <f ca="1">G301+(G302-G307)*(G294-G293)</f>
        <v>0</v>
      </c>
      <c r="H312" s="103">
        <f ca="1">H301+(H302-H307)*(H294-H293)</f>
        <v>164205.83110469949</v>
      </c>
      <c r="I312" s="103">
        <f t="shared" ref="I312:AG312" ca="1" si="341">I301+(I302-I307)*(I294-I293)</f>
        <v>138298.48334628184</v>
      </c>
      <c r="J312" s="103">
        <f t="shared" ca="1" si="341"/>
        <v>138298.48334628184</v>
      </c>
      <c r="K312" s="103">
        <f t="shared" ca="1" si="341"/>
        <v>138298.48334628184</v>
      </c>
      <c r="L312" s="103">
        <f t="shared" ca="1" si="341"/>
        <v>138298.48334628184</v>
      </c>
      <c r="M312" s="103">
        <f t="shared" ca="1" si="341"/>
        <v>138298.48334628184</v>
      </c>
      <c r="N312" s="103">
        <f t="shared" ca="1" si="341"/>
        <v>138298.48334628184</v>
      </c>
      <c r="O312" s="103">
        <f t="shared" ca="1" si="341"/>
        <v>138298.48334628184</v>
      </c>
      <c r="P312" s="103">
        <f t="shared" ca="1" si="341"/>
        <v>138298.48334628184</v>
      </c>
      <c r="Q312" s="103">
        <f t="shared" ca="1" si="341"/>
        <v>138298.48334628184</v>
      </c>
      <c r="R312" s="103">
        <f t="shared" ca="1" si="341"/>
        <v>138298.48334628184</v>
      </c>
      <c r="S312" s="103">
        <f t="shared" ca="1" si="341"/>
        <v>138298.48334628184</v>
      </c>
      <c r="T312" s="103">
        <f t="shared" ca="1" si="341"/>
        <v>138298.48334628184</v>
      </c>
      <c r="U312" s="103">
        <f t="shared" ca="1" si="341"/>
        <v>151857.45648293078</v>
      </c>
      <c r="V312" s="103">
        <f t="shared" ca="1" si="341"/>
        <v>151857.45648293078</v>
      </c>
      <c r="W312" s="103">
        <f t="shared" ca="1" si="341"/>
        <v>151857.45648293078</v>
      </c>
      <c r="X312" s="103">
        <f t="shared" ca="1" si="341"/>
        <v>151857.45648293078</v>
      </c>
      <c r="Y312" s="103">
        <f t="shared" ca="1" si="341"/>
        <v>151857.45648293078</v>
      </c>
      <c r="Z312" s="103">
        <f t="shared" ca="1" si="341"/>
        <v>151857.45648293078</v>
      </c>
      <c r="AA312" s="103">
        <f t="shared" ca="1" si="341"/>
        <v>151857.45648293078</v>
      </c>
      <c r="AB312" s="103">
        <f t="shared" ca="1" si="341"/>
        <v>151857.45648293078</v>
      </c>
      <c r="AC312" s="103">
        <f t="shared" ca="1" si="341"/>
        <v>151857.45648293078</v>
      </c>
      <c r="AD312" s="103">
        <f t="shared" ca="1" si="341"/>
        <v>151857.45648293078</v>
      </c>
      <c r="AE312" s="103">
        <f t="shared" ca="1" si="341"/>
        <v>151857.45648293078</v>
      </c>
      <c r="AF312" s="103">
        <f t="shared" ca="1" si="341"/>
        <v>151857.45648293078</v>
      </c>
      <c r="AG312" s="103">
        <f t="shared" ca="1" si="341"/>
        <v>151857.45648293078</v>
      </c>
      <c r="AH312" s="103"/>
      <c r="AI312" s="103"/>
      <c r="AJ312" s="103">
        <f ca="1">IF($C$4=Year1,-PMT(Lookups!$E$17,25,NPV(Lookups!$E$17,G312:AE312),0,1),IF($C$4=Year2,-PMT(Lookups!$F$17,25,NPV(Lookups!$F$17,H312:AF312),0,1),IF($C$4=Year3,-PMT(Lookups!$G$17,25,NPV(Lookups!$G$17,I312:AG312),0,1),-PMT(Lookups!$G$17,27,NPV(Lookups!$G$17,G312:AG312),0,1))))</f>
        <v>143407.44842645313</v>
      </c>
      <c r="AM312" s="149">
        <f ca="1">AM301+(AM302-AM307)*(AM294-AM293)</f>
        <v>0</v>
      </c>
      <c r="AN312" s="149">
        <f t="shared" ref="AN312:BM312" ca="1" si="342">AN301+(AN302-AN307)*(AN294-AN293)</f>
        <v>165933.80622011874</v>
      </c>
      <c r="AO312" s="149">
        <f t="shared" ca="1" si="342"/>
        <v>135535.85151690865</v>
      </c>
      <c r="AP312" s="149">
        <f t="shared" ca="1" si="342"/>
        <v>135535.85151690865</v>
      </c>
      <c r="AQ312" s="149">
        <f t="shared" ca="1" si="342"/>
        <v>135535.85151690865</v>
      </c>
      <c r="AR312" s="149">
        <f t="shared" ca="1" si="342"/>
        <v>135535.85151690865</v>
      </c>
      <c r="AS312" s="149">
        <f t="shared" ca="1" si="342"/>
        <v>135535.85151690865</v>
      </c>
      <c r="AT312" s="149">
        <f t="shared" ca="1" si="342"/>
        <v>135535.85151690865</v>
      </c>
      <c r="AU312" s="149">
        <f t="shared" ca="1" si="342"/>
        <v>135535.85151690865</v>
      </c>
      <c r="AV312" s="149">
        <f t="shared" ca="1" si="342"/>
        <v>135535.85151690865</v>
      </c>
      <c r="AW312" s="149">
        <f t="shared" ca="1" si="342"/>
        <v>135535.85151690865</v>
      </c>
      <c r="AX312" s="149">
        <f t="shared" ca="1" si="342"/>
        <v>135535.85151690865</v>
      </c>
      <c r="AY312" s="149">
        <f t="shared" ca="1" si="342"/>
        <v>135535.85151690865</v>
      </c>
      <c r="AZ312" s="149">
        <f t="shared" ca="1" si="342"/>
        <v>135535.85151690865</v>
      </c>
      <c r="BA312" s="149">
        <f t="shared" ca="1" si="342"/>
        <v>151857.45648293078</v>
      </c>
      <c r="BB312" s="149">
        <f t="shared" ca="1" si="342"/>
        <v>151857.45648293078</v>
      </c>
      <c r="BC312" s="149">
        <f t="shared" ca="1" si="342"/>
        <v>151857.45648293078</v>
      </c>
      <c r="BD312" s="149">
        <f t="shared" ca="1" si="342"/>
        <v>151857.45648293078</v>
      </c>
      <c r="BE312" s="149">
        <f t="shared" ca="1" si="342"/>
        <v>151857.45648293078</v>
      </c>
      <c r="BF312" s="149">
        <f t="shared" ca="1" si="342"/>
        <v>151857.45648293078</v>
      </c>
      <c r="BG312" s="149">
        <f t="shared" ca="1" si="342"/>
        <v>151857.45648293078</v>
      </c>
      <c r="BH312" s="149">
        <f t="shared" ca="1" si="342"/>
        <v>151857.45648293078</v>
      </c>
      <c r="BI312" s="149">
        <f t="shared" ca="1" si="342"/>
        <v>151857.45648293078</v>
      </c>
      <c r="BJ312" s="149">
        <f t="shared" ca="1" si="342"/>
        <v>151857.45648293078</v>
      </c>
      <c r="BK312" s="149">
        <f t="shared" ca="1" si="342"/>
        <v>151857.45648293078</v>
      </c>
      <c r="BL312" s="149">
        <f t="shared" ca="1" si="342"/>
        <v>151857.45648293078</v>
      </c>
      <c r="BM312" s="149">
        <f t="shared" ca="1" si="342"/>
        <v>151857.45648293078</v>
      </c>
      <c r="BN312" s="149"/>
      <c r="BO312" s="149"/>
      <c r="BP312" s="149">
        <f ca="1">IF($C$4=Year1,-PMT(Lookups!$E$17,25,NPV(Lookups!$E$17,AM312:BK312),0,1),IF($C$4=Year2,-PMT(Lookups!$F$17,25,NPV(Lookups!$F$17,AN312:BL312),0,1),IF($C$4=Year3,-PMT(Lookups!$G$17,25,NPV(Lookups!$G$17,AO312:BM312),0,1),-PMT(Lookups!$G$17,27,NPV(Lookups!$G$17,AM312:BM312),0,1))))</f>
        <v>142080.69079395928</v>
      </c>
      <c r="BS312" s="84" t="s">
        <v>240</v>
      </c>
      <c r="BT312" s="51" t="s">
        <v>17</v>
      </c>
    </row>
    <row r="313" spans="1:72" x14ac:dyDescent="0.25">
      <c r="B313" s="243" t="str">
        <f t="shared" si="340"/>
        <v>Large C&amp;I</v>
      </c>
      <c r="C313" s="243" t="str">
        <f t="shared" si="340"/>
        <v>Bills</v>
      </c>
      <c r="D313" s="114" t="s">
        <v>115</v>
      </c>
      <c r="E313" s="84"/>
      <c r="F313" s="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49"/>
      <c r="AI313" s="184"/>
      <c r="AJ313" s="49"/>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S313" s="84"/>
      <c r="BT313" s="51" t="s">
        <v>17</v>
      </c>
    </row>
    <row r="314" spans="1:72" x14ac:dyDescent="0.25">
      <c r="B314" s="243" t="str">
        <f t="shared" si="340"/>
        <v>Large C&amp;I</v>
      </c>
      <c r="C314" s="243" t="str">
        <f t="shared" si="340"/>
        <v>Bills</v>
      </c>
      <c r="D314" s="244" t="str">
        <f t="shared" si="340"/>
        <v>Change in Bills</v>
      </c>
      <c r="E314" s="84" t="s">
        <v>348</v>
      </c>
      <c r="F314" s="84" t="s">
        <v>32</v>
      </c>
      <c r="G314" s="103">
        <f ca="1">G309-G303</f>
        <v>0</v>
      </c>
      <c r="H314" s="103">
        <f t="shared" ref="H314:AG314" ca="1" si="343">H309-H303</f>
        <v>29625.920300068683</v>
      </c>
      <c r="I314" s="103">
        <f t="shared" ca="1" si="343"/>
        <v>839.97834627126576</v>
      </c>
      <c r="J314" s="103">
        <f t="shared" ca="1" si="343"/>
        <v>839.97834627126576</v>
      </c>
      <c r="K314" s="103">
        <f t="shared" ca="1" si="343"/>
        <v>839.97834627126576</v>
      </c>
      <c r="L314" s="103">
        <f t="shared" ca="1" si="343"/>
        <v>839.97834627126576</v>
      </c>
      <c r="M314" s="103">
        <f t="shared" ca="1" si="343"/>
        <v>839.97834627126576</v>
      </c>
      <c r="N314" s="103">
        <f t="shared" ca="1" si="343"/>
        <v>839.97834627126576</v>
      </c>
      <c r="O314" s="103">
        <f t="shared" ca="1" si="343"/>
        <v>839.97834627126576</v>
      </c>
      <c r="P314" s="103">
        <f t="shared" ca="1" si="343"/>
        <v>839.97834627126576</v>
      </c>
      <c r="Q314" s="103">
        <f t="shared" ca="1" si="343"/>
        <v>839.97834627126576</v>
      </c>
      <c r="R314" s="103">
        <f t="shared" ca="1" si="343"/>
        <v>839.97834627126576</v>
      </c>
      <c r="S314" s="103">
        <f t="shared" ca="1" si="343"/>
        <v>839.97834627126576</v>
      </c>
      <c r="T314" s="103">
        <f t="shared" ca="1" si="343"/>
        <v>839.97834627126576</v>
      </c>
      <c r="U314" s="103">
        <f t="shared" ca="1" si="343"/>
        <v>0</v>
      </c>
      <c r="V314" s="103">
        <f t="shared" ca="1" si="343"/>
        <v>0</v>
      </c>
      <c r="W314" s="103">
        <f t="shared" ca="1" si="343"/>
        <v>0</v>
      </c>
      <c r="X314" s="103">
        <f t="shared" ca="1" si="343"/>
        <v>0</v>
      </c>
      <c r="Y314" s="103">
        <f t="shared" ca="1" si="343"/>
        <v>0</v>
      </c>
      <c r="Z314" s="103">
        <f t="shared" ca="1" si="343"/>
        <v>0</v>
      </c>
      <c r="AA314" s="103">
        <f t="shared" ca="1" si="343"/>
        <v>0</v>
      </c>
      <c r="AB314" s="103">
        <f t="shared" ca="1" si="343"/>
        <v>0</v>
      </c>
      <c r="AC314" s="103">
        <f t="shared" ca="1" si="343"/>
        <v>0</v>
      </c>
      <c r="AD314" s="103">
        <f t="shared" ca="1" si="343"/>
        <v>0</v>
      </c>
      <c r="AE314" s="103">
        <f t="shared" ca="1" si="343"/>
        <v>0</v>
      </c>
      <c r="AF314" s="103">
        <f t="shared" ca="1" si="343"/>
        <v>0</v>
      </c>
      <c r="AG314" s="103">
        <f t="shared" ca="1" si="343"/>
        <v>0</v>
      </c>
      <c r="AH314" s="103"/>
      <c r="AI314" s="103">
        <f ca="1">NPV(Lookups!$E$17,G314:AG314)</f>
        <v>37761.288173609442</v>
      </c>
      <c r="AJ314" s="103">
        <f ca="1">IF($C$4=Year1,-PMT(Lookups!$E$17,25,NPV(Lookups!$E$17,G314:AE314),0,1),IF($C$4=Year2,-PMT(Lookups!$F$17,25,NPV(Lookups!$F$17,H314:AF314),0,1),IF($C$4=Year3,-PMT(Lookups!$G$17,25,NPV(Lookups!$G$17,I314:AG314),0,1),-PMT(Lookups!$G$17,27,NPV(Lookups!$G$17,G314:AG314),0,1))))</f>
        <v>1803.7518688369864</v>
      </c>
      <c r="AM314" s="149">
        <f ca="1">AM309-AM303</f>
        <v>0</v>
      </c>
      <c r="AN314" s="149">
        <f t="shared" ref="AN314:BM314" ca="1" si="344">AN309-AN303</f>
        <v>35516.243312658713</v>
      </c>
      <c r="AO314" s="149">
        <f t="shared" ca="1" si="344"/>
        <v>973.11296810180647</v>
      </c>
      <c r="AP314" s="149">
        <f t="shared" ca="1" si="344"/>
        <v>973.11296810180647</v>
      </c>
      <c r="AQ314" s="149">
        <f t="shared" ca="1" si="344"/>
        <v>973.11296810180647</v>
      </c>
      <c r="AR314" s="149">
        <f t="shared" ca="1" si="344"/>
        <v>973.11296810180647</v>
      </c>
      <c r="AS314" s="149">
        <f t="shared" ca="1" si="344"/>
        <v>973.11296810180647</v>
      </c>
      <c r="AT314" s="149">
        <f t="shared" ca="1" si="344"/>
        <v>973.11296810180647</v>
      </c>
      <c r="AU314" s="149">
        <f t="shared" ca="1" si="344"/>
        <v>973.11296810180647</v>
      </c>
      <c r="AV314" s="149">
        <f t="shared" ca="1" si="344"/>
        <v>973.11296810180647</v>
      </c>
      <c r="AW314" s="149">
        <f t="shared" ca="1" si="344"/>
        <v>973.11296810180647</v>
      </c>
      <c r="AX314" s="149">
        <f t="shared" ca="1" si="344"/>
        <v>973.11296810180647</v>
      </c>
      <c r="AY314" s="149">
        <f t="shared" ca="1" si="344"/>
        <v>973.11296810180647</v>
      </c>
      <c r="AZ314" s="149">
        <f t="shared" ca="1" si="344"/>
        <v>973.11296810180647</v>
      </c>
      <c r="BA314" s="149">
        <f t="shared" ca="1" si="344"/>
        <v>0</v>
      </c>
      <c r="BB314" s="149">
        <f t="shared" ca="1" si="344"/>
        <v>0</v>
      </c>
      <c r="BC314" s="149">
        <f t="shared" ca="1" si="344"/>
        <v>0</v>
      </c>
      <c r="BD314" s="149">
        <f t="shared" ca="1" si="344"/>
        <v>0</v>
      </c>
      <c r="BE314" s="149">
        <f t="shared" ca="1" si="344"/>
        <v>0</v>
      </c>
      <c r="BF314" s="149">
        <f t="shared" ca="1" si="344"/>
        <v>0</v>
      </c>
      <c r="BG314" s="149">
        <f t="shared" ca="1" si="344"/>
        <v>0</v>
      </c>
      <c r="BH314" s="149">
        <f t="shared" ca="1" si="344"/>
        <v>0</v>
      </c>
      <c r="BI314" s="149">
        <f t="shared" ca="1" si="344"/>
        <v>0</v>
      </c>
      <c r="BJ314" s="149">
        <f t="shared" ca="1" si="344"/>
        <v>0</v>
      </c>
      <c r="BK314" s="149">
        <f t="shared" ca="1" si="344"/>
        <v>0</v>
      </c>
      <c r="BL314" s="149">
        <f t="shared" ca="1" si="344"/>
        <v>0</v>
      </c>
      <c r="BM314" s="149">
        <f t="shared" ca="1" si="344"/>
        <v>0</v>
      </c>
      <c r="BN314" s="149"/>
      <c r="BO314" s="726">
        <f ca="1">NPV(Lookups!$E$17,AM314:BM314)</f>
        <v>44907.956672337787</v>
      </c>
      <c r="BP314" s="149">
        <f ca="1">IF($C$4=Year1,-PMT(Lookups!$E$17,25,NPV(Lookups!$E$17,AM314:BK314),0,1),IF($C$4=Year2,-PMT(Lookups!$F$17,25,NPV(Lookups!$F$17,AN314:BL314),0,1),IF($C$4=Year3,-PMT(Lookups!$G$17,25,NPV(Lookups!$G$17,AO314:BM314),0,1),-PMT(Lookups!$G$17,27,NPV(Lookups!$G$17,AM314:BM314),0,1))))</f>
        <v>2145.1283759432454</v>
      </c>
      <c r="BS314" s="84" t="s">
        <v>241</v>
      </c>
      <c r="BT314" s="51" t="s">
        <v>17</v>
      </c>
    </row>
    <row r="315" spans="1:72" x14ac:dyDescent="0.25">
      <c r="B315" s="243" t="str">
        <f t="shared" si="340"/>
        <v>Large C&amp;I</v>
      </c>
      <c r="C315" s="243" t="str">
        <f t="shared" si="340"/>
        <v>Bills</v>
      </c>
      <c r="D315" s="244" t="str">
        <f t="shared" si="340"/>
        <v>Change in Bills</v>
      </c>
      <c r="E315" s="84" t="s">
        <v>348</v>
      </c>
      <c r="F315" s="84" t="s">
        <v>16</v>
      </c>
      <c r="G315" s="223">
        <f ca="1">IFERROR(G309/G303-1,0)</f>
        <v>0</v>
      </c>
      <c r="H315" s="223">
        <f t="shared" ref="H315:AG315" ca="1" si="345">IFERROR(H309/H303-1,0)</f>
        <v>0.19509032342707999</v>
      </c>
      <c r="I315" s="223">
        <f t="shared" ca="1" si="345"/>
        <v>5.531360564870802E-3</v>
      </c>
      <c r="J315" s="223">
        <f t="shared" ca="1" si="345"/>
        <v>5.531360564870802E-3</v>
      </c>
      <c r="K315" s="223">
        <f t="shared" ca="1" si="345"/>
        <v>5.531360564870802E-3</v>
      </c>
      <c r="L315" s="223">
        <f t="shared" ca="1" si="345"/>
        <v>5.531360564870802E-3</v>
      </c>
      <c r="M315" s="223">
        <f t="shared" ca="1" si="345"/>
        <v>5.531360564870802E-3</v>
      </c>
      <c r="N315" s="223">
        <f t="shared" ca="1" si="345"/>
        <v>5.531360564870802E-3</v>
      </c>
      <c r="O315" s="223">
        <f t="shared" ca="1" si="345"/>
        <v>5.531360564870802E-3</v>
      </c>
      <c r="P315" s="223">
        <f t="shared" ca="1" si="345"/>
        <v>5.531360564870802E-3</v>
      </c>
      <c r="Q315" s="223">
        <f t="shared" ca="1" si="345"/>
        <v>5.531360564870802E-3</v>
      </c>
      <c r="R315" s="223">
        <f t="shared" ca="1" si="345"/>
        <v>5.531360564870802E-3</v>
      </c>
      <c r="S315" s="224">
        <f t="shared" ca="1" si="345"/>
        <v>5.531360564870802E-3</v>
      </c>
      <c r="T315" s="224">
        <f t="shared" ca="1" si="345"/>
        <v>5.531360564870802E-3</v>
      </c>
      <c r="U315" s="224">
        <f t="shared" ca="1" si="345"/>
        <v>0</v>
      </c>
      <c r="V315" s="224">
        <f t="shared" ca="1" si="345"/>
        <v>0</v>
      </c>
      <c r="W315" s="224">
        <f t="shared" ca="1" si="345"/>
        <v>0</v>
      </c>
      <c r="X315" s="224">
        <f t="shared" ca="1" si="345"/>
        <v>0</v>
      </c>
      <c r="Y315" s="224">
        <f t="shared" ca="1" si="345"/>
        <v>0</v>
      </c>
      <c r="Z315" s="224">
        <f t="shared" ca="1" si="345"/>
        <v>0</v>
      </c>
      <c r="AA315" s="224">
        <f t="shared" ca="1" si="345"/>
        <v>0</v>
      </c>
      <c r="AB315" s="224">
        <f t="shared" ca="1" si="345"/>
        <v>0</v>
      </c>
      <c r="AC315" s="224">
        <f t="shared" ca="1" si="345"/>
        <v>0</v>
      </c>
      <c r="AD315" s="224">
        <f t="shared" ca="1" si="345"/>
        <v>0</v>
      </c>
      <c r="AE315" s="224">
        <f t="shared" ca="1" si="345"/>
        <v>0</v>
      </c>
      <c r="AF315" s="224">
        <f t="shared" ca="1" si="345"/>
        <v>0</v>
      </c>
      <c r="AG315" s="224">
        <f t="shared" ca="1" si="345"/>
        <v>0</v>
      </c>
      <c r="AH315" s="224"/>
      <c r="AI315" s="224"/>
      <c r="AJ315" s="224">
        <f ca="1">IFERROR(AJ309/AJ303-1,0)</f>
        <v>1.204592890133549E-2</v>
      </c>
      <c r="AK315" s="212"/>
      <c r="AL315" s="212"/>
      <c r="AM315" s="504">
        <f ca="1">IFERROR(AM309/AM303-1,0)</f>
        <v>0</v>
      </c>
      <c r="AN315" s="504">
        <f t="shared" ref="AN315:BM315" ca="1" si="346">IFERROR(AN309/AN303-1,0)</f>
        <v>0.23387882383405278</v>
      </c>
      <c r="AO315" s="504">
        <f t="shared" ca="1" si="346"/>
        <v>6.4080683994018894E-3</v>
      </c>
      <c r="AP315" s="504">
        <f t="shared" ca="1" si="346"/>
        <v>6.4080683994018894E-3</v>
      </c>
      <c r="AQ315" s="504">
        <f t="shared" ca="1" si="346"/>
        <v>6.4080683994018894E-3</v>
      </c>
      <c r="AR315" s="504">
        <f t="shared" ca="1" si="346"/>
        <v>6.4080683994018894E-3</v>
      </c>
      <c r="AS315" s="504">
        <f t="shared" ca="1" si="346"/>
        <v>6.4080683994018894E-3</v>
      </c>
      <c r="AT315" s="504">
        <f t="shared" ca="1" si="346"/>
        <v>6.4080683994018894E-3</v>
      </c>
      <c r="AU315" s="504">
        <f t="shared" ca="1" si="346"/>
        <v>6.4080683994018894E-3</v>
      </c>
      <c r="AV315" s="504">
        <f t="shared" ca="1" si="346"/>
        <v>6.4080683994018894E-3</v>
      </c>
      <c r="AW315" s="504">
        <f t="shared" ca="1" si="346"/>
        <v>6.4080683994018894E-3</v>
      </c>
      <c r="AX315" s="504">
        <f t="shared" ca="1" si="346"/>
        <v>6.4080683994018894E-3</v>
      </c>
      <c r="AY315" s="504">
        <f t="shared" ca="1" si="346"/>
        <v>6.4080683994018894E-3</v>
      </c>
      <c r="AZ315" s="504">
        <f t="shared" ca="1" si="346"/>
        <v>6.4080683994018894E-3</v>
      </c>
      <c r="BA315" s="504">
        <f t="shared" ca="1" si="346"/>
        <v>0</v>
      </c>
      <c r="BB315" s="504">
        <f t="shared" ca="1" si="346"/>
        <v>0</v>
      </c>
      <c r="BC315" s="504">
        <f t="shared" ca="1" si="346"/>
        <v>0</v>
      </c>
      <c r="BD315" s="504">
        <f t="shared" ca="1" si="346"/>
        <v>0</v>
      </c>
      <c r="BE315" s="504">
        <f t="shared" ca="1" si="346"/>
        <v>0</v>
      </c>
      <c r="BF315" s="504">
        <f t="shared" ca="1" si="346"/>
        <v>0</v>
      </c>
      <c r="BG315" s="504">
        <f t="shared" ca="1" si="346"/>
        <v>0</v>
      </c>
      <c r="BH315" s="504">
        <f t="shared" ca="1" si="346"/>
        <v>0</v>
      </c>
      <c r="BI315" s="504">
        <f t="shared" ca="1" si="346"/>
        <v>0</v>
      </c>
      <c r="BJ315" s="504">
        <f t="shared" ca="1" si="346"/>
        <v>0</v>
      </c>
      <c r="BK315" s="504">
        <f t="shared" ca="1" si="346"/>
        <v>0</v>
      </c>
      <c r="BL315" s="504">
        <f t="shared" ca="1" si="346"/>
        <v>0</v>
      </c>
      <c r="BM315" s="504">
        <f t="shared" ca="1" si="346"/>
        <v>0</v>
      </c>
      <c r="BN315" s="504"/>
      <c r="BO315" s="504"/>
      <c r="BP315" s="504">
        <f ca="1">IFERROR(BP309/BP303-1,0)</f>
        <v>1.4325730909712675E-2</v>
      </c>
      <c r="BS315" s="84" t="s">
        <v>242</v>
      </c>
      <c r="BT315" s="51" t="s">
        <v>17</v>
      </c>
    </row>
    <row r="316" spans="1:72" x14ac:dyDescent="0.25">
      <c r="B316" s="243" t="str">
        <f t="shared" si="340"/>
        <v>Large C&amp;I</v>
      </c>
      <c r="C316" s="243" t="str">
        <f t="shared" si="340"/>
        <v>Bills</v>
      </c>
      <c r="D316" s="244" t="str">
        <f t="shared" si="340"/>
        <v>Change in Bills</v>
      </c>
      <c r="E316" s="84" t="s">
        <v>349</v>
      </c>
      <c r="F316" s="84" t="s">
        <v>32</v>
      </c>
      <c r="G316" s="103">
        <f ca="1">G310-G303</f>
        <v>0</v>
      </c>
      <c r="H316" s="103">
        <f t="shared" ref="H316:AG316" ca="1" si="347">H310-H303</f>
        <v>13856.982793779724</v>
      </c>
      <c r="I316" s="103">
        <f t="shared" ca="1" si="347"/>
        <v>-12301.712627547502</v>
      </c>
      <c r="J316" s="103">
        <f t="shared" ca="1" si="347"/>
        <v>-12301.712627547502</v>
      </c>
      <c r="K316" s="103">
        <f t="shared" ca="1" si="347"/>
        <v>-12301.712627547502</v>
      </c>
      <c r="L316" s="103">
        <f t="shared" ca="1" si="347"/>
        <v>-12301.712627547502</v>
      </c>
      <c r="M316" s="103">
        <f t="shared" ca="1" si="347"/>
        <v>-12301.712627547502</v>
      </c>
      <c r="N316" s="103">
        <f t="shared" ca="1" si="347"/>
        <v>-12301.712627547502</v>
      </c>
      <c r="O316" s="103">
        <f t="shared" ca="1" si="347"/>
        <v>-12301.712627547502</v>
      </c>
      <c r="P316" s="103">
        <f t="shared" ca="1" si="347"/>
        <v>-12301.712627547502</v>
      </c>
      <c r="Q316" s="103">
        <f t="shared" ca="1" si="347"/>
        <v>-12301.712627547502</v>
      </c>
      <c r="R316" s="103">
        <f t="shared" ca="1" si="347"/>
        <v>-12301.712627547502</v>
      </c>
      <c r="S316" s="103">
        <f t="shared" ca="1" si="347"/>
        <v>-12301.712627547502</v>
      </c>
      <c r="T316" s="103">
        <f t="shared" ca="1" si="347"/>
        <v>-12301.712627547502</v>
      </c>
      <c r="U316" s="103">
        <f t="shared" ca="1" si="347"/>
        <v>0</v>
      </c>
      <c r="V316" s="103">
        <f t="shared" ca="1" si="347"/>
        <v>0</v>
      </c>
      <c r="W316" s="103">
        <f t="shared" ca="1" si="347"/>
        <v>0</v>
      </c>
      <c r="X316" s="103">
        <f t="shared" ca="1" si="347"/>
        <v>0</v>
      </c>
      <c r="Y316" s="103">
        <f t="shared" ca="1" si="347"/>
        <v>0</v>
      </c>
      <c r="Z316" s="103">
        <f t="shared" ca="1" si="347"/>
        <v>0</v>
      </c>
      <c r="AA316" s="103">
        <f t="shared" ca="1" si="347"/>
        <v>0</v>
      </c>
      <c r="AB316" s="103">
        <f t="shared" ca="1" si="347"/>
        <v>0</v>
      </c>
      <c r="AC316" s="103">
        <f t="shared" ca="1" si="347"/>
        <v>0</v>
      </c>
      <c r="AD316" s="103">
        <f t="shared" ca="1" si="347"/>
        <v>0</v>
      </c>
      <c r="AE316" s="103">
        <f t="shared" ca="1" si="347"/>
        <v>0</v>
      </c>
      <c r="AF316" s="103">
        <f t="shared" ca="1" si="347"/>
        <v>0</v>
      </c>
      <c r="AG316" s="103">
        <f t="shared" ca="1" si="347"/>
        <v>0</v>
      </c>
      <c r="AH316" s="103"/>
      <c r="AI316" s="103">
        <f ca="1">NPV(Lookups!$E$17,G316:AG316)</f>
        <v>-117689.54152883364</v>
      </c>
      <c r="AJ316" s="103">
        <f ca="1">IF($C$4=Year1,-PMT(Lookups!$E$17,25,NPV(Lookups!$E$17,G316:AE316),0,1),IF($C$4=Year2,-PMT(Lookups!$F$17,25,NPV(Lookups!$F$17,H316:AF316),0,1),IF($C$4=Year3,-PMT(Lookups!$G$17,25,NPV(Lookups!$G$17,I316:AG316),0,1),-PMT(Lookups!$G$17,27,NPV(Lookups!$G$17,G316:AG316),0,1))))</f>
        <v>-5621.7025621377406</v>
      </c>
      <c r="AM316" s="149">
        <f ca="1">AM310-AM303</f>
        <v>0</v>
      </c>
      <c r="AN316" s="149">
        <f t="shared" ref="AN316:BM316" ca="1" si="348">AN310-AN303</f>
        <v>16880.200118183362</v>
      </c>
      <c r="AO316" s="149">
        <f t="shared" ca="1" si="348"/>
        <v>-14059.849267557234</v>
      </c>
      <c r="AP316" s="149">
        <f t="shared" ca="1" si="348"/>
        <v>-14059.849267557234</v>
      </c>
      <c r="AQ316" s="149">
        <f t="shared" ca="1" si="348"/>
        <v>-14059.849267557234</v>
      </c>
      <c r="AR316" s="149">
        <f t="shared" ca="1" si="348"/>
        <v>-14059.849267557234</v>
      </c>
      <c r="AS316" s="149">
        <f t="shared" ca="1" si="348"/>
        <v>-14059.849267557234</v>
      </c>
      <c r="AT316" s="149">
        <f t="shared" ca="1" si="348"/>
        <v>-14059.849267557234</v>
      </c>
      <c r="AU316" s="149">
        <f t="shared" ca="1" si="348"/>
        <v>-14059.849267557234</v>
      </c>
      <c r="AV316" s="149">
        <f t="shared" ca="1" si="348"/>
        <v>-14059.849267557234</v>
      </c>
      <c r="AW316" s="149">
        <f t="shared" ca="1" si="348"/>
        <v>-14059.849267557234</v>
      </c>
      <c r="AX316" s="149">
        <f t="shared" ca="1" si="348"/>
        <v>-14059.849267557234</v>
      </c>
      <c r="AY316" s="149">
        <f t="shared" ca="1" si="348"/>
        <v>-14059.849267557234</v>
      </c>
      <c r="AZ316" s="149">
        <f t="shared" ca="1" si="348"/>
        <v>-14059.849267557234</v>
      </c>
      <c r="BA316" s="149">
        <f t="shared" ca="1" si="348"/>
        <v>0</v>
      </c>
      <c r="BB316" s="149">
        <f t="shared" ca="1" si="348"/>
        <v>0</v>
      </c>
      <c r="BC316" s="149">
        <f t="shared" ca="1" si="348"/>
        <v>0</v>
      </c>
      <c r="BD316" s="149">
        <f t="shared" ca="1" si="348"/>
        <v>0</v>
      </c>
      <c r="BE316" s="149">
        <f t="shared" ca="1" si="348"/>
        <v>0</v>
      </c>
      <c r="BF316" s="149">
        <f t="shared" ca="1" si="348"/>
        <v>0</v>
      </c>
      <c r="BG316" s="149">
        <f t="shared" ca="1" si="348"/>
        <v>0</v>
      </c>
      <c r="BH316" s="149">
        <f t="shared" ca="1" si="348"/>
        <v>0</v>
      </c>
      <c r="BI316" s="149">
        <f t="shared" ca="1" si="348"/>
        <v>0</v>
      </c>
      <c r="BJ316" s="149">
        <f t="shared" ca="1" si="348"/>
        <v>0</v>
      </c>
      <c r="BK316" s="149">
        <f t="shared" ca="1" si="348"/>
        <v>0</v>
      </c>
      <c r="BL316" s="149">
        <f t="shared" ca="1" si="348"/>
        <v>0</v>
      </c>
      <c r="BM316" s="149">
        <f t="shared" ca="1" si="348"/>
        <v>0</v>
      </c>
      <c r="BN316" s="149"/>
      <c r="BO316" s="149">
        <f ca="1">NPV(Lookups!$E$17,AM316:BM316)</f>
        <v>-133495.58003530867</v>
      </c>
      <c r="BP316" s="149">
        <f ca="1">IF($C$4=Year1,-PMT(Lookups!$E$17,25,NPV(Lookups!$E$17,AM316:BK316),0,1),IF($C$4=Year2,-PMT(Lookups!$F$17,25,NPV(Lookups!$F$17,AN316:BL316),0,1),IF($C$4=Year3,-PMT(Lookups!$G$17,25,NPV(Lookups!$G$17,AO316:BM316),0,1),-PMT(Lookups!$G$17,27,NPV(Lookups!$G$17,AM316:BM316),0,1))))</f>
        <v>-6376.7131264989657</v>
      </c>
      <c r="BS316" s="84" t="s">
        <v>241</v>
      </c>
      <c r="BT316" s="51" t="s">
        <v>17</v>
      </c>
    </row>
    <row r="317" spans="1:72" x14ac:dyDescent="0.25">
      <c r="B317" s="243" t="str">
        <f t="shared" si="340"/>
        <v>Large C&amp;I</v>
      </c>
      <c r="C317" s="243" t="str">
        <f t="shared" si="340"/>
        <v>Bills</v>
      </c>
      <c r="D317" s="244" t="str">
        <f t="shared" si="340"/>
        <v>Change in Bills</v>
      </c>
      <c r="E317" s="84" t="s">
        <v>349</v>
      </c>
      <c r="F317" s="84" t="s">
        <v>16</v>
      </c>
      <c r="G317" s="223">
        <f ca="1">IFERROR(G310/G303-1,0)</f>
        <v>0</v>
      </c>
      <c r="H317" s="223">
        <f t="shared" ref="H317:AG317" ca="1" si="349">IFERROR(H310/H303-1,0)</f>
        <v>9.1249933422513863E-2</v>
      </c>
      <c r="I317" s="223">
        <f t="shared" ca="1" si="349"/>
        <v>-8.1008288380822746E-2</v>
      </c>
      <c r="J317" s="223">
        <f t="shared" ca="1" si="349"/>
        <v>-8.1008288380822746E-2</v>
      </c>
      <c r="K317" s="223">
        <f t="shared" ca="1" si="349"/>
        <v>-8.1008288380822746E-2</v>
      </c>
      <c r="L317" s="223">
        <f t="shared" ca="1" si="349"/>
        <v>-8.1008288380822746E-2</v>
      </c>
      <c r="M317" s="223">
        <f t="shared" ca="1" si="349"/>
        <v>-8.1008288380822746E-2</v>
      </c>
      <c r="N317" s="223">
        <f t="shared" ca="1" si="349"/>
        <v>-8.1008288380822746E-2</v>
      </c>
      <c r="O317" s="223">
        <f t="shared" ca="1" si="349"/>
        <v>-8.1008288380822746E-2</v>
      </c>
      <c r="P317" s="223">
        <f t="shared" ca="1" si="349"/>
        <v>-8.1008288380822746E-2</v>
      </c>
      <c r="Q317" s="223">
        <f t="shared" ca="1" si="349"/>
        <v>-8.1008288380822746E-2</v>
      </c>
      <c r="R317" s="223">
        <f t="shared" ca="1" si="349"/>
        <v>-8.1008288380822746E-2</v>
      </c>
      <c r="S317" s="224">
        <f t="shared" ca="1" si="349"/>
        <v>-8.1008288380822746E-2</v>
      </c>
      <c r="T317" s="224">
        <f t="shared" ca="1" si="349"/>
        <v>-8.1008288380822746E-2</v>
      </c>
      <c r="U317" s="224">
        <f t="shared" ca="1" si="349"/>
        <v>0</v>
      </c>
      <c r="V317" s="224">
        <f t="shared" ca="1" si="349"/>
        <v>0</v>
      </c>
      <c r="W317" s="224">
        <f t="shared" ca="1" si="349"/>
        <v>0</v>
      </c>
      <c r="X317" s="224">
        <f t="shared" ca="1" si="349"/>
        <v>0</v>
      </c>
      <c r="Y317" s="224">
        <f t="shared" ca="1" si="349"/>
        <v>0</v>
      </c>
      <c r="Z317" s="224">
        <f t="shared" ca="1" si="349"/>
        <v>0</v>
      </c>
      <c r="AA317" s="224">
        <f t="shared" ca="1" si="349"/>
        <v>0</v>
      </c>
      <c r="AB317" s="224">
        <f t="shared" ca="1" si="349"/>
        <v>0</v>
      </c>
      <c r="AC317" s="224">
        <f t="shared" ca="1" si="349"/>
        <v>0</v>
      </c>
      <c r="AD317" s="224">
        <f t="shared" ca="1" si="349"/>
        <v>0</v>
      </c>
      <c r="AE317" s="224">
        <f t="shared" ca="1" si="349"/>
        <v>0</v>
      </c>
      <c r="AF317" s="224">
        <f t="shared" ca="1" si="349"/>
        <v>0</v>
      </c>
      <c r="AG317" s="224">
        <f t="shared" ca="1" si="349"/>
        <v>0</v>
      </c>
      <c r="AH317" s="224"/>
      <c r="AI317" s="224"/>
      <c r="AJ317" s="224">
        <f ca="1">IFERROR(AJ310/AJ303-1,0)</f>
        <v>-3.7543206766920911E-2</v>
      </c>
      <c r="AK317" s="212"/>
      <c r="AL317" s="212"/>
      <c r="AM317" s="504">
        <f ca="1">IFERROR(AM310/AM303-1,0)</f>
        <v>0</v>
      </c>
      <c r="AN317" s="504">
        <f t="shared" ref="AN317:BM317" ca="1" si="350">IFERROR(AN310/AN303-1,0)</f>
        <v>0.11115819077399558</v>
      </c>
      <c r="AO317" s="504">
        <f t="shared" ca="1" si="350"/>
        <v>-9.2585834065629813E-2</v>
      </c>
      <c r="AP317" s="504">
        <f t="shared" ca="1" si="350"/>
        <v>-9.2585834065629813E-2</v>
      </c>
      <c r="AQ317" s="504">
        <f t="shared" ca="1" si="350"/>
        <v>-9.2585834065629813E-2</v>
      </c>
      <c r="AR317" s="504">
        <f t="shared" ca="1" si="350"/>
        <v>-9.2585834065629813E-2</v>
      </c>
      <c r="AS317" s="504">
        <f t="shared" ca="1" si="350"/>
        <v>-9.2585834065629813E-2</v>
      </c>
      <c r="AT317" s="504">
        <f t="shared" ca="1" si="350"/>
        <v>-9.2585834065629813E-2</v>
      </c>
      <c r="AU317" s="504">
        <f t="shared" ca="1" si="350"/>
        <v>-9.2585834065629813E-2</v>
      </c>
      <c r="AV317" s="504">
        <f t="shared" ca="1" si="350"/>
        <v>-9.2585834065629813E-2</v>
      </c>
      <c r="AW317" s="504">
        <f t="shared" ca="1" si="350"/>
        <v>-9.2585834065629813E-2</v>
      </c>
      <c r="AX317" s="504">
        <f t="shared" ca="1" si="350"/>
        <v>-9.2585834065629813E-2</v>
      </c>
      <c r="AY317" s="504">
        <f t="shared" ca="1" si="350"/>
        <v>-9.2585834065629813E-2</v>
      </c>
      <c r="AZ317" s="504">
        <f t="shared" ca="1" si="350"/>
        <v>-9.2585834065629813E-2</v>
      </c>
      <c r="BA317" s="504">
        <f t="shared" ca="1" si="350"/>
        <v>0</v>
      </c>
      <c r="BB317" s="504">
        <f t="shared" ca="1" si="350"/>
        <v>0</v>
      </c>
      <c r="BC317" s="504">
        <f t="shared" ca="1" si="350"/>
        <v>0</v>
      </c>
      <c r="BD317" s="504">
        <f t="shared" ca="1" si="350"/>
        <v>0</v>
      </c>
      <c r="BE317" s="504">
        <f t="shared" ca="1" si="350"/>
        <v>0</v>
      </c>
      <c r="BF317" s="504">
        <f t="shared" ca="1" si="350"/>
        <v>0</v>
      </c>
      <c r="BG317" s="504">
        <f t="shared" ca="1" si="350"/>
        <v>0</v>
      </c>
      <c r="BH317" s="504">
        <f t="shared" ca="1" si="350"/>
        <v>0</v>
      </c>
      <c r="BI317" s="504">
        <f t="shared" ca="1" si="350"/>
        <v>0</v>
      </c>
      <c r="BJ317" s="504">
        <f t="shared" ca="1" si="350"/>
        <v>0</v>
      </c>
      <c r="BK317" s="504">
        <f t="shared" ca="1" si="350"/>
        <v>0</v>
      </c>
      <c r="BL317" s="504">
        <f t="shared" ca="1" si="350"/>
        <v>0</v>
      </c>
      <c r="BM317" s="504">
        <f t="shared" ca="1" si="350"/>
        <v>0</v>
      </c>
      <c r="BN317" s="504"/>
      <c r="BO317" s="504"/>
      <c r="BP317" s="504">
        <f ca="1">IFERROR(BP310/BP303-1,0)</f>
        <v>-4.2585365688655674E-2</v>
      </c>
      <c r="BS317" s="84" t="s">
        <v>242</v>
      </c>
      <c r="BT317" s="51" t="s">
        <v>17</v>
      </c>
    </row>
    <row r="318" spans="1:72" x14ac:dyDescent="0.25">
      <c r="B318" s="243" t="str">
        <f t="shared" si="340"/>
        <v>Large C&amp;I</v>
      </c>
      <c r="C318" s="243" t="str">
        <f t="shared" si="340"/>
        <v>Bills</v>
      </c>
      <c r="D318" s="244" t="str">
        <f t="shared" si="340"/>
        <v>Change in Bills</v>
      </c>
      <c r="E318" s="84" t="str">
        <f>'EE Inputs'!$N$15&amp;" Participant Annual Bill"</f>
        <v>Low Savings Participant Annual Bill</v>
      </c>
      <c r="F318" s="84" t="s">
        <v>32</v>
      </c>
      <c r="G318" s="103">
        <f ca="1">G311-G303</f>
        <v>0</v>
      </c>
      <c r="H318" s="103">
        <f t="shared" ref="H318:AG318" ca="1" si="351">H311-H303</f>
        <v>20987.147460918728</v>
      </c>
      <c r="I318" s="103">
        <f t="shared" ca="1" si="351"/>
        <v>-6359.4973951888387</v>
      </c>
      <c r="J318" s="103">
        <f t="shared" ca="1" si="351"/>
        <v>-6359.4973951888387</v>
      </c>
      <c r="K318" s="103">
        <f t="shared" ca="1" si="351"/>
        <v>-6359.4973951888387</v>
      </c>
      <c r="L318" s="103">
        <f t="shared" ca="1" si="351"/>
        <v>-6359.4973951888387</v>
      </c>
      <c r="M318" s="103">
        <f t="shared" ca="1" si="351"/>
        <v>-6359.4973951888387</v>
      </c>
      <c r="N318" s="103">
        <f t="shared" ca="1" si="351"/>
        <v>-6359.4973951888387</v>
      </c>
      <c r="O318" s="103">
        <f t="shared" ca="1" si="351"/>
        <v>-6359.4973951888387</v>
      </c>
      <c r="P318" s="103">
        <f t="shared" ca="1" si="351"/>
        <v>-6359.4973951888387</v>
      </c>
      <c r="Q318" s="103">
        <f t="shared" ca="1" si="351"/>
        <v>-6359.4973951888387</v>
      </c>
      <c r="R318" s="103">
        <f t="shared" ca="1" si="351"/>
        <v>-6359.4973951888387</v>
      </c>
      <c r="S318" s="103">
        <f t="shared" ca="1" si="351"/>
        <v>-6359.4973951888387</v>
      </c>
      <c r="T318" s="103">
        <f t="shared" ca="1" si="351"/>
        <v>-6359.4973951888387</v>
      </c>
      <c r="U318" s="103">
        <f t="shared" ca="1" si="351"/>
        <v>0</v>
      </c>
      <c r="V318" s="103">
        <f t="shared" ca="1" si="351"/>
        <v>0</v>
      </c>
      <c r="W318" s="103">
        <f t="shared" ca="1" si="351"/>
        <v>0</v>
      </c>
      <c r="X318" s="103">
        <f t="shared" ca="1" si="351"/>
        <v>0</v>
      </c>
      <c r="Y318" s="103">
        <f t="shared" ca="1" si="351"/>
        <v>0</v>
      </c>
      <c r="Z318" s="103">
        <f t="shared" ca="1" si="351"/>
        <v>0</v>
      </c>
      <c r="AA318" s="103">
        <f t="shared" ca="1" si="351"/>
        <v>0</v>
      </c>
      <c r="AB318" s="103">
        <f t="shared" ca="1" si="351"/>
        <v>0</v>
      </c>
      <c r="AC318" s="103">
        <f t="shared" ca="1" si="351"/>
        <v>0</v>
      </c>
      <c r="AD318" s="103">
        <f t="shared" ca="1" si="351"/>
        <v>0</v>
      </c>
      <c r="AE318" s="103">
        <f t="shared" ca="1" si="351"/>
        <v>0</v>
      </c>
      <c r="AF318" s="103">
        <f t="shared" ca="1" si="351"/>
        <v>0</v>
      </c>
      <c r="AG318" s="103">
        <f t="shared" ca="1" si="351"/>
        <v>0</v>
      </c>
      <c r="AH318" s="103"/>
      <c r="AI318" s="103">
        <f ca="1">NPV(Lookups!$E$17,G318:AG318)</f>
        <v>-47400.087151850159</v>
      </c>
      <c r="AJ318" s="103">
        <f ca="1">IF($C$4=Year1,-PMT(Lookups!$E$17,25,NPV(Lookups!$E$17,G318:AE318),0,1),IF($C$4=Year2,-PMT(Lookups!$F$17,25,NPV(Lookups!$F$17,H318:AF318),0,1),IF($C$4=Year3,-PMT(Lookups!$G$17,25,NPV(Lookups!$G$17,I318:AG318),0,1),-PMT(Lookups!$G$17,27,NPV(Lookups!$G$17,G318:AG318),0,1))))</f>
        <v>-2264.1705280313627</v>
      </c>
      <c r="AM318" s="149">
        <f ca="1">AM311-AM303</f>
        <v>0</v>
      </c>
      <c r="AN318" s="149">
        <f t="shared" ref="AN318:BM318" ca="1" si="352">AN311-AN303</f>
        <v>24796.296524923324</v>
      </c>
      <c r="AO318" s="149">
        <f t="shared" ca="1" si="352"/>
        <v>-7674.245998960163</v>
      </c>
      <c r="AP318" s="149">
        <f t="shared" ca="1" si="352"/>
        <v>-7674.245998960163</v>
      </c>
      <c r="AQ318" s="149">
        <f t="shared" ca="1" si="352"/>
        <v>-7674.245998960163</v>
      </c>
      <c r="AR318" s="149">
        <f t="shared" ca="1" si="352"/>
        <v>-7674.245998960163</v>
      </c>
      <c r="AS318" s="149">
        <f t="shared" ca="1" si="352"/>
        <v>-7674.245998960163</v>
      </c>
      <c r="AT318" s="149">
        <f t="shared" ca="1" si="352"/>
        <v>-7674.245998960163</v>
      </c>
      <c r="AU318" s="149">
        <f t="shared" ca="1" si="352"/>
        <v>-7674.245998960163</v>
      </c>
      <c r="AV318" s="149">
        <f t="shared" ca="1" si="352"/>
        <v>-7674.245998960163</v>
      </c>
      <c r="AW318" s="149">
        <f t="shared" ca="1" si="352"/>
        <v>-7674.245998960163</v>
      </c>
      <c r="AX318" s="149">
        <f t="shared" ca="1" si="352"/>
        <v>-7674.245998960163</v>
      </c>
      <c r="AY318" s="149">
        <f t="shared" ca="1" si="352"/>
        <v>-7674.245998960163</v>
      </c>
      <c r="AZ318" s="149">
        <f t="shared" ca="1" si="352"/>
        <v>-7674.245998960163</v>
      </c>
      <c r="BA318" s="149">
        <f t="shared" ca="1" si="352"/>
        <v>0</v>
      </c>
      <c r="BB318" s="149">
        <f t="shared" ca="1" si="352"/>
        <v>0</v>
      </c>
      <c r="BC318" s="149">
        <f t="shared" ca="1" si="352"/>
        <v>0</v>
      </c>
      <c r="BD318" s="149">
        <f t="shared" ca="1" si="352"/>
        <v>0</v>
      </c>
      <c r="BE318" s="149">
        <f t="shared" ca="1" si="352"/>
        <v>0</v>
      </c>
      <c r="BF318" s="149">
        <f t="shared" ca="1" si="352"/>
        <v>0</v>
      </c>
      <c r="BG318" s="149">
        <f t="shared" ca="1" si="352"/>
        <v>0</v>
      </c>
      <c r="BH318" s="149">
        <f t="shared" ca="1" si="352"/>
        <v>0</v>
      </c>
      <c r="BI318" s="149">
        <f t="shared" ca="1" si="352"/>
        <v>0</v>
      </c>
      <c r="BJ318" s="149">
        <f t="shared" ca="1" si="352"/>
        <v>0</v>
      </c>
      <c r="BK318" s="149">
        <f t="shared" ca="1" si="352"/>
        <v>0</v>
      </c>
      <c r="BL318" s="149">
        <f t="shared" ca="1" si="352"/>
        <v>0</v>
      </c>
      <c r="BM318" s="149">
        <f t="shared" ca="1" si="352"/>
        <v>0</v>
      </c>
      <c r="BN318" s="149"/>
      <c r="BO318" s="149">
        <f ca="1">NPV(Lookups!$E$17,AM318:BM318)</f>
        <v>-57714.493828137594</v>
      </c>
      <c r="BP318" s="149">
        <f ca="1">IF($C$4=Year1,-PMT(Lookups!$E$17,25,NPV(Lookups!$E$17,AM318:BK318),0,1),IF($C$4=Year2,-PMT(Lookups!$F$17,25,NPV(Lookups!$F$17,AN318:BL318),0,1),IF($C$4=Year3,-PMT(Lookups!$G$17,25,NPV(Lookups!$G$17,AO318:BM318),0,1),-PMT(Lookups!$G$17,27,NPV(Lookups!$G$17,AM318:BM318),0,1))))</f>
        <v>-2756.8610907251573</v>
      </c>
      <c r="BS318" s="84" t="s">
        <v>241</v>
      </c>
      <c r="BT318" s="51" t="s">
        <v>17</v>
      </c>
    </row>
    <row r="319" spans="1:72" x14ac:dyDescent="0.25">
      <c r="B319" s="243" t="str">
        <f t="shared" si="340"/>
        <v>Large C&amp;I</v>
      </c>
      <c r="C319" s="243" t="str">
        <f t="shared" si="340"/>
        <v>Bills</v>
      </c>
      <c r="D319" s="244" t="str">
        <f t="shared" si="340"/>
        <v>Change in Bills</v>
      </c>
      <c r="E319" s="84" t="str">
        <f>'EE Inputs'!$N$15&amp;" Participant Annual Bill"</f>
        <v>Low Savings Participant Annual Bill</v>
      </c>
      <c r="F319" s="84" t="s">
        <v>16</v>
      </c>
      <c r="G319" s="223">
        <f ca="1">IFERROR(G311/G303-1,0)</f>
        <v>0</v>
      </c>
      <c r="H319" s="223">
        <f t="shared" ref="H319:AG319" ca="1" si="353">IFERROR(H311/H303-1,0)</f>
        <v>0.13820294338511951</v>
      </c>
      <c r="I319" s="223">
        <f t="shared" ca="1" si="353"/>
        <v>-4.1878071333979361E-2</v>
      </c>
      <c r="J319" s="223">
        <f t="shared" ca="1" si="353"/>
        <v>-4.1878071333979361E-2</v>
      </c>
      <c r="K319" s="223">
        <f t="shared" ca="1" si="353"/>
        <v>-4.1878071333979361E-2</v>
      </c>
      <c r="L319" s="223">
        <f t="shared" ca="1" si="353"/>
        <v>-4.1878071333979361E-2</v>
      </c>
      <c r="M319" s="223">
        <f t="shared" ca="1" si="353"/>
        <v>-4.1878071333979361E-2</v>
      </c>
      <c r="N319" s="223">
        <f t="shared" ca="1" si="353"/>
        <v>-4.1878071333979361E-2</v>
      </c>
      <c r="O319" s="223">
        <f t="shared" ca="1" si="353"/>
        <v>-4.1878071333979361E-2</v>
      </c>
      <c r="P319" s="223">
        <f t="shared" ca="1" si="353"/>
        <v>-4.1878071333979361E-2</v>
      </c>
      <c r="Q319" s="223">
        <f t="shared" ca="1" si="353"/>
        <v>-4.1878071333979361E-2</v>
      </c>
      <c r="R319" s="223">
        <f t="shared" ca="1" si="353"/>
        <v>-4.1878071333979361E-2</v>
      </c>
      <c r="S319" s="224">
        <f t="shared" ca="1" si="353"/>
        <v>-4.1878071333979361E-2</v>
      </c>
      <c r="T319" s="224">
        <f t="shared" ca="1" si="353"/>
        <v>-4.1878071333979361E-2</v>
      </c>
      <c r="U319" s="224">
        <f t="shared" ca="1" si="353"/>
        <v>0</v>
      </c>
      <c r="V319" s="224">
        <f t="shared" ca="1" si="353"/>
        <v>0</v>
      </c>
      <c r="W319" s="224">
        <f t="shared" ca="1" si="353"/>
        <v>0</v>
      </c>
      <c r="X319" s="224">
        <f t="shared" ca="1" si="353"/>
        <v>0</v>
      </c>
      <c r="Y319" s="224">
        <f t="shared" ca="1" si="353"/>
        <v>0</v>
      </c>
      <c r="Z319" s="224">
        <f t="shared" ca="1" si="353"/>
        <v>0</v>
      </c>
      <c r="AA319" s="224">
        <f t="shared" ca="1" si="353"/>
        <v>0</v>
      </c>
      <c r="AB319" s="224">
        <f t="shared" ca="1" si="353"/>
        <v>0</v>
      </c>
      <c r="AC319" s="224">
        <f t="shared" ca="1" si="353"/>
        <v>0</v>
      </c>
      <c r="AD319" s="224">
        <f t="shared" ca="1" si="353"/>
        <v>0</v>
      </c>
      <c r="AE319" s="224">
        <f t="shared" ca="1" si="353"/>
        <v>0</v>
      </c>
      <c r="AF319" s="224">
        <f t="shared" ca="1" si="353"/>
        <v>0</v>
      </c>
      <c r="AG319" s="224">
        <f t="shared" ca="1" si="353"/>
        <v>0</v>
      </c>
      <c r="AH319" s="224"/>
      <c r="AI319" s="224"/>
      <c r="AJ319" s="224">
        <f t="shared" ref="AJ319" ca="1" si="354">IFERROR(AJ311/AJ303-1,0)</f>
        <v>-1.5120725678721136E-2</v>
      </c>
      <c r="AK319" s="212"/>
      <c r="AL319" s="212"/>
      <c r="AM319" s="504">
        <f ca="1">IFERROR(AM311/AM303-1,0)</f>
        <v>0</v>
      </c>
      <c r="AN319" s="504">
        <f t="shared" ref="AN319:BM319" ca="1" si="355">IFERROR(AN311/AN303-1,0)</f>
        <v>0.16328665775928175</v>
      </c>
      <c r="AO319" s="504">
        <f t="shared" ca="1" si="355"/>
        <v>-5.0535852349290256E-2</v>
      </c>
      <c r="AP319" s="504">
        <f t="shared" ca="1" si="355"/>
        <v>-5.0535852349290256E-2</v>
      </c>
      <c r="AQ319" s="504">
        <f t="shared" ca="1" si="355"/>
        <v>-5.0535852349290256E-2</v>
      </c>
      <c r="AR319" s="504">
        <f t="shared" ca="1" si="355"/>
        <v>-5.0535852349290256E-2</v>
      </c>
      <c r="AS319" s="504">
        <f t="shared" ca="1" si="355"/>
        <v>-5.0535852349290256E-2</v>
      </c>
      <c r="AT319" s="504">
        <f t="shared" ca="1" si="355"/>
        <v>-5.0535852349290256E-2</v>
      </c>
      <c r="AU319" s="504">
        <f t="shared" ca="1" si="355"/>
        <v>-5.0535852349290256E-2</v>
      </c>
      <c r="AV319" s="504">
        <f t="shared" ca="1" si="355"/>
        <v>-5.0535852349290256E-2</v>
      </c>
      <c r="AW319" s="504">
        <f t="shared" ca="1" si="355"/>
        <v>-5.0535852349290256E-2</v>
      </c>
      <c r="AX319" s="504">
        <f t="shared" ca="1" si="355"/>
        <v>-5.0535852349290256E-2</v>
      </c>
      <c r="AY319" s="504">
        <f t="shared" ca="1" si="355"/>
        <v>-5.0535852349290256E-2</v>
      </c>
      <c r="AZ319" s="504">
        <f t="shared" ca="1" si="355"/>
        <v>-5.0535852349290256E-2</v>
      </c>
      <c r="BA319" s="504">
        <f t="shared" ca="1" si="355"/>
        <v>0</v>
      </c>
      <c r="BB319" s="504">
        <f t="shared" ca="1" si="355"/>
        <v>0</v>
      </c>
      <c r="BC319" s="504">
        <f t="shared" ca="1" si="355"/>
        <v>0</v>
      </c>
      <c r="BD319" s="504">
        <f t="shared" ca="1" si="355"/>
        <v>0</v>
      </c>
      <c r="BE319" s="504">
        <f t="shared" ca="1" si="355"/>
        <v>0</v>
      </c>
      <c r="BF319" s="504">
        <f t="shared" ca="1" si="355"/>
        <v>0</v>
      </c>
      <c r="BG319" s="504">
        <f t="shared" ca="1" si="355"/>
        <v>0</v>
      </c>
      <c r="BH319" s="504">
        <f t="shared" ca="1" si="355"/>
        <v>0</v>
      </c>
      <c r="BI319" s="504">
        <f t="shared" ca="1" si="355"/>
        <v>0</v>
      </c>
      <c r="BJ319" s="504">
        <f t="shared" ca="1" si="355"/>
        <v>0</v>
      </c>
      <c r="BK319" s="504">
        <f t="shared" ca="1" si="355"/>
        <v>0</v>
      </c>
      <c r="BL319" s="504">
        <f t="shared" ca="1" si="355"/>
        <v>0</v>
      </c>
      <c r="BM319" s="504">
        <f t="shared" ca="1" si="355"/>
        <v>0</v>
      </c>
      <c r="BN319" s="504"/>
      <c r="BO319" s="504"/>
      <c r="BP319" s="504">
        <f t="shared" ref="BP319" ca="1" si="356">IFERROR(BP311/BP303-1,0)</f>
        <v>-1.841104270685856E-2</v>
      </c>
      <c r="BS319" s="84" t="s">
        <v>242</v>
      </c>
      <c r="BT319" s="51" t="s">
        <v>17</v>
      </c>
    </row>
    <row r="320" spans="1:72" x14ac:dyDescent="0.25">
      <c r="B320" s="243" t="str">
        <f t="shared" si="340"/>
        <v>Large C&amp;I</v>
      </c>
      <c r="C320" s="243" t="str">
        <f t="shared" si="340"/>
        <v>Bills</v>
      </c>
      <c r="D320" s="244" t="str">
        <f t="shared" si="340"/>
        <v>Change in Bills</v>
      </c>
      <c r="E320" s="84" t="str">
        <f>'EE Inputs'!$N$16&amp;" Participant Annual Bill"</f>
        <v>High Savings Participant Annual Bill</v>
      </c>
      <c r="F320" s="84" t="s">
        <v>32</v>
      </c>
      <c r="G320" s="103">
        <f ca="1">G312-G303</f>
        <v>0</v>
      </c>
      <c r="H320" s="103">
        <f t="shared" ref="H320:AG320" ca="1" si="357">H312-H303</f>
        <v>12348.374621768715</v>
      </c>
      <c r="I320" s="103">
        <f t="shared" ca="1" si="357"/>
        <v>-13558.973136648943</v>
      </c>
      <c r="J320" s="103">
        <f t="shared" ca="1" si="357"/>
        <v>-13558.973136648943</v>
      </c>
      <c r="K320" s="103">
        <f t="shared" ca="1" si="357"/>
        <v>-13558.973136648943</v>
      </c>
      <c r="L320" s="103">
        <f t="shared" ca="1" si="357"/>
        <v>-13558.973136648943</v>
      </c>
      <c r="M320" s="103">
        <f t="shared" ca="1" si="357"/>
        <v>-13558.973136648943</v>
      </c>
      <c r="N320" s="103">
        <f t="shared" ca="1" si="357"/>
        <v>-13558.973136648943</v>
      </c>
      <c r="O320" s="103">
        <f t="shared" ca="1" si="357"/>
        <v>-13558.973136648943</v>
      </c>
      <c r="P320" s="103">
        <f t="shared" ca="1" si="357"/>
        <v>-13558.973136648943</v>
      </c>
      <c r="Q320" s="103">
        <f t="shared" ca="1" si="357"/>
        <v>-13558.973136648943</v>
      </c>
      <c r="R320" s="103">
        <f t="shared" ca="1" si="357"/>
        <v>-13558.973136648943</v>
      </c>
      <c r="S320" s="103">
        <f t="shared" ca="1" si="357"/>
        <v>-13558.973136648943</v>
      </c>
      <c r="T320" s="103">
        <f t="shared" ca="1" si="357"/>
        <v>-13558.973136648943</v>
      </c>
      <c r="U320" s="103">
        <f t="shared" ca="1" si="357"/>
        <v>0</v>
      </c>
      <c r="V320" s="103">
        <f t="shared" ca="1" si="357"/>
        <v>0</v>
      </c>
      <c r="W320" s="103">
        <f t="shared" ca="1" si="357"/>
        <v>0</v>
      </c>
      <c r="X320" s="103">
        <f t="shared" ca="1" si="357"/>
        <v>0</v>
      </c>
      <c r="Y320" s="103">
        <f t="shared" ca="1" si="357"/>
        <v>0</v>
      </c>
      <c r="Z320" s="103">
        <f t="shared" ca="1" si="357"/>
        <v>0</v>
      </c>
      <c r="AA320" s="103">
        <f t="shared" ca="1" si="357"/>
        <v>0</v>
      </c>
      <c r="AB320" s="103">
        <f t="shared" ca="1" si="357"/>
        <v>0</v>
      </c>
      <c r="AC320" s="103">
        <f t="shared" ca="1" si="357"/>
        <v>0</v>
      </c>
      <c r="AD320" s="103">
        <f t="shared" ca="1" si="357"/>
        <v>0</v>
      </c>
      <c r="AE320" s="103">
        <f t="shared" ca="1" si="357"/>
        <v>0</v>
      </c>
      <c r="AF320" s="103">
        <f t="shared" ca="1" si="357"/>
        <v>0</v>
      </c>
      <c r="AG320" s="103">
        <f t="shared" ca="1" si="357"/>
        <v>0</v>
      </c>
      <c r="AH320" s="103"/>
      <c r="AI320" s="103">
        <f ca="1">NPV(Lookups!$E$17,G320:AG320)</f>
        <v>-132561.46247730983</v>
      </c>
      <c r="AJ320" s="103">
        <f ca="1">IF($C$4=Year1,-PMT(Lookups!$E$17,25,NPV(Lookups!$E$17,G320:AE320),0,1),IF($C$4=Year2,-PMT(Lookups!$F$17,25,NPV(Lookups!$F$17,H320:AF320),0,1),IF($C$4=Year3,-PMT(Lookups!$G$17,25,NPV(Lookups!$G$17,I320:AG320),0,1),-PMT(Lookups!$G$17,27,NPV(Lookups!$G$17,G320:AG320),0,1))))</f>
        <v>-6332.0929248997145</v>
      </c>
      <c r="AM320" s="149">
        <f ca="1">AM312-AM303</f>
        <v>0</v>
      </c>
      <c r="AN320" s="149">
        <f t="shared" ref="AN320:BM320" ca="1" si="358">AN312-AN303</f>
        <v>14076.349737187964</v>
      </c>
      <c r="AO320" s="149">
        <f t="shared" ca="1" si="358"/>
        <v>-16321.604966022132</v>
      </c>
      <c r="AP320" s="149">
        <f t="shared" ca="1" si="358"/>
        <v>-16321.604966022132</v>
      </c>
      <c r="AQ320" s="149">
        <f t="shared" ca="1" si="358"/>
        <v>-16321.604966022132</v>
      </c>
      <c r="AR320" s="149">
        <f t="shared" ca="1" si="358"/>
        <v>-16321.604966022132</v>
      </c>
      <c r="AS320" s="149">
        <f t="shared" ca="1" si="358"/>
        <v>-16321.604966022132</v>
      </c>
      <c r="AT320" s="149">
        <f t="shared" ca="1" si="358"/>
        <v>-16321.604966022132</v>
      </c>
      <c r="AU320" s="149">
        <f t="shared" ca="1" si="358"/>
        <v>-16321.604966022132</v>
      </c>
      <c r="AV320" s="149">
        <f t="shared" ca="1" si="358"/>
        <v>-16321.604966022132</v>
      </c>
      <c r="AW320" s="149">
        <f t="shared" ca="1" si="358"/>
        <v>-16321.604966022132</v>
      </c>
      <c r="AX320" s="149">
        <f t="shared" ca="1" si="358"/>
        <v>-16321.604966022132</v>
      </c>
      <c r="AY320" s="149">
        <f t="shared" ca="1" si="358"/>
        <v>-16321.604966022132</v>
      </c>
      <c r="AZ320" s="149">
        <f t="shared" ca="1" si="358"/>
        <v>-16321.604966022132</v>
      </c>
      <c r="BA320" s="149">
        <f t="shared" ca="1" si="358"/>
        <v>0</v>
      </c>
      <c r="BB320" s="149">
        <f t="shared" ca="1" si="358"/>
        <v>0</v>
      </c>
      <c r="BC320" s="149">
        <f t="shared" ca="1" si="358"/>
        <v>0</v>
      </c>
      <c r="BD320" s="149">
        <f t="shared" ca="1" si="358"/>
        <v>0</v>
      </c>
      <c r="BE320" s="149">
        <f t="shared" ca="1" si="358"/>
        <v>0</v>
      </c>
      <c r="BF320" s="149">
        <f t="shared" ca="1" si="358"/>
        <v>0</v>
      </c>
      <c r="BG320" s="149">
        <f t="shared" ca="1" si="358"/>
        <v>0</v>
      </c>
      <c r="BH320" s="149">
        <f t="shared" ca="1" si="358"/>
        <v>0</v>
      </c>
      <c r="BI320" s="149">
        <f t="shared" ca="1" si="358"/>
        <v>0</v>
      </c>
      <c r="BJ320" s="149">
        <f t="shared" ca="1" si="358"/>
        <v>0</v>
      </c>
      <c r="BK320" s="149">
        <f t="shared" ca="1" si="358"/>
        <v>0</v>
      </c>
      <c r="BL320" s="149">
        <f t="shared" ca="1" si="358"/>
        <v>0</v>
      </c>
      <c r="BM320" s="149">
        <f t="shared" ca="1" si="358"/>
        <v>0</v>
      </c>
      <c r="BN320" s="149"/>
      <c r="BO320" s="149">
        <f ca="1">NPV(Lookups!$E$17,AM320:BM320)</f>
        <v>-160336.94432861297</v>
      </c>
      <c r="BP320" s="149">
        <f ca="1">IF($C$4=Year1,-PMT(Lookups!$E$17,25,NPV(Lookups!$E$17,AM320:BK320),0,1),IF($C$4=Year2,-PMT(Lookups!$F$17,25,NPV(Lookups!$F$17,AN320:BL320),0,1),IF($C$4=Year3,-PMT(Lookups!$G$17,25,NPV(Lookups!$G$17,AO320:BM320),0,1),-PMT(Lookups!$G$17,27,NPV(Lookups!$G$17,AM320:BM320),0,1))))</f>
        <v>-7658.8505573935572</v>
      </c>
      <c r="BS320" s="84" t="s">
        <v>241</v>
      </c>
      <c r="BT320" s="51" t="s">
        <v>17</v>
      </c>
    </row>
    <row r="321" spans="1:72" x14ac:dyDescent="0.25">
      <c r="B321" s="243" t="str">
        <f t="shared" si="340"/>
        <v>Large C&amp;I</v>
      </c>
      <c r="C321" s="243" t="str">
        <f t="shared" si="340"/>
        <v>Bills</v>
      </c>
      <c r="D321" s="244" t="str">
        <f t="shared" si="340"/>
        <v>Change in Bills</v>
      </c>
      <c r="E321" s="84" t="str">
        <f>'EE Inputs'!$N$16&amp;" Participant Annual Bill"</f>
        <v>High Savings Participant Annual Bill</v>
      </c>
      <c r="F321" s="84" t="s">
        <v>16</v>
      </c>
      <c r="G321" s="223">
        <f ca="1">IFERROR(G312/G303-1,0)</f>
        <v>0</v>
      </c>
      <c r="H321" s="223">
        <f t="shared" ref="H321:AG321" ca="1" si="359">IFERROR(H312/H303-1,0)</f>
        <v>8.1315563343158592E-2</v>
      </c>
      <c r="I321" s="223">
        <f t="shared" ca="1" si="359"/>
        <v>-8.9287503232829524E-2</v>
      </c>
      <c r="J321" s="223">
        <f t="shared" ca="1" si="359"/>
        <v>-8.9287503232829524E-2</v>
      </c>
      <c r="K321" s="223">
        <f t="shared" ca="1" si="359"/>
        <v>-8.9287503232829524E-2</v>
      </c>
      <c r="L321" s="223">
        <f t="shared" ca="1" si="359"/>
        <v>-8.9287503232829524E-2</v>
      </c>
      <c r="M321" s="223">
        <f t="shared" ca="1" si="359"/>
        <v>-8.9287503232829524E-2</v>
      </c>
      <c r="N321" s="223">
        <f t="shared" ca="1" si="359"/>
        <v>-8.9287503232829524E-2</v>
      </c>
      <c r="O321" s="223">
        <f t="shared" ca="1" si="359"/>
        <v>-8.9287503232829524E-2</v>
      </c>
      <c r="P321" s="223">
        <f t="shared" ca="1" si="359"/>
        <v>-8.9287503232829524E-2</v>
      </c>
      <c r="Q321" s="223">
        <f t="shared" ca="1" si="359"/>
        <v>-8.9287503232829524E-2</v>
      </c>
      <c r="R321" s="223">
        <f t="shared" ca="1" si="359"/>
        <v>-8.9287503232829524E-2</v>
      </c>
      <c r="S321" s="224">
        <f t="shared" ca="1" si="359"/>
        <v>-8.9287503232829524E-2</v>
      </c>
      <c r="T321" s="224">
        <f t="shared" ca="1" si="359"/>
        <v>-8.9287503232829524E-2</v>
      </c>
      <c r="U321" s="224">
        <f t="shared" ca="1" si="359"/>
        <v>0</v>
      </c>
      <c r="V321" s="224">
        <f t="shared" ca="1" si="359"/>
        <v>0</v>
      </c>
      <c r="W321" s="224">
        <f t="shared" ca="1" si="359"/>
        <v>0</v>
      </c>
      <c r="X321" s="224">
        <f t="shared" ca="1" si="359"/>
        <v>0</v>
      </c>
      <c r="Y321" s="224">
        <f t="shared" ca="1" si="359"/>
        <v>0</v>
      </c>
      <c r="Z321" s="224">
        <f t="shared" ca="1" si="359"/>
        <v>0</v>
      </c>
      <c r="AA321" s="224">
        <f t="shared" ca="1" si="359"/>
        <v>0</v>
      </c>
      <c r="AB321" s="224">
        <f t="shared" ca="1" si="359"/>
        <v>0</v>
      </c>
      <c r="AC321" s="224">
        <f t="shared" ca="1" si="359"/>
        <v>0</v>
      </c>
      <c r="AD321" s="224">
        <f t="shared" ca="1" si="359"/>
        <v>0</v>
      </c>
      <c r="AE321" s="224">
        <f t="shared" ca="1" si="359"/>
        <v>0</v>
      </c>
      <c r="AF321" s="224">
        <f t="shared" ca="1" si="359"/>
        <v>0</v>
      </c>
      <c r="AG321" s="224">
        <f t="shared" ca="1" si="359"/>
        <v>0</v>
      </c>
      <c r="AH321" s="224"/>
      <c r="AI321" s="224"/>
      <c r="AJ321" s="224">
        <f t="shared" ref="AJ321" ca="1" si="360">IFERROR(AJ312/AJ303-1,0)</f>
        <v>-4.2287380258778318E-2</v>
      </c>
      <c r="AK321" s="212"/>
      <c r="AL321" s="212"/>
      <c r="AM321" s="504">
        <f ca="1">IFERROR(AM312/AM303-1,0)</f>
        <v>0</v>
      </c>
      <c r="AN321" s="504">
        <f t="shared" ref="AN321:BM321" ca="1" si="361">IFERROR(AN312/AN303-1,0)</f>
        <v>9.2694491684510716E-2</v>
      </c>
      <c r="AO321" s="504">
        <f t="shared" ca="1" si="361"/>
        <v>-0.1074797730979824</v>
      </c>
      <c r="AP321" s="504">
        <f t="shared" ca="1" si="361"/>
        <v>-0.1074797730979824</v>
      </c>
      <c r="AQ321" s="504">
        <f t="shared" ca="1" si="361"/>
        <v>-0.1074797730979824</v>
      </c>
      <c r="AR321" s="504">
        <f t="shared" ca="1" si="361"/>
        <v>-0.1074797730979824</v>
      </c>
      <c r="AS321" s="504">
        <f t="shared" ca="1" si="361"/>
        <v>-0.1074797730979824</v>
      </c>
      <c r="AT321" s="504">
        <f t="shared" ca="1" si="361"/>
        <v>-0.1074797730979824</v>
      </c>
      <c r="AU321" s="504">
        <f t="shared" ca="1" si="361"/>
        <v>-0.1074797730979824</v>
      </c>
      <c r="AV321" s="504">
        <f t="shared" ca="1" si="361"/>
        <v>-0.1074797730979824</v>
      </c>
      <c r="AW321" s="504">
        <f t="shared" ca="1" si="361"/>
        <v>-0.1074797730979824</v>
      </c>
      <c r="AX321" s="504">
        <f t="shared" ca="1" si="361"/>
        <v>-0.1074797730979824</v>
      </c>
      <c r="AY321" s="504">
        <f t="shared" ca="1" si="361"/>
        <v>-0.1074797730979824</v>
      </c>
      <c r="AZ321" s="504">
        <f t="shared" ca="1" si="361"/>
        <v>-0.1074797730979824</v>
      </c>
      <c r="BA321" s="504">
        <f t="shared" ca="1" si="361"/>
        <v>0</v>
      </c>
      <c r="BB321" s="504">
        <f t="shared" ca="1" si="361"/>
        <v>0</v>
      </c>
      <c r="BC321" s="504">
        <f t="shared" ca="1" si="361"/>
        <v>0</v>
      </c>
      <c r="BD321" s="504">
        <f t="shared" ca="1" si="361"/>
        <v>0</v>
      </c>
      <c r="BE321" s="504">
        <f t="shared" ca="1" si="361"/>
        <v>0</v>
      </c>
      <c r="BF321" s="504">
        <f t="shared" ca="1" si="361"/>
        <v>0</v>
      </c>
      <c r="BG321" s="504">
        <f t="shared" ca="1" si="361"/>
        <v>0</v>
      </c>
      <c r="BH321" s="504">
        <f t="shared" ca="1" si="361"/>
        <v>0</v>
      </c>
      <c r="BI321" s="504">
        <f t="shared" ca="1" si="361"/>
        <v>0</v>
      </c>
      <c r="BJ321" s="504">
        <f t="shared" ca="1" si="361"/>
        <v>0</v>
      </c>
      <c r="BK321" s="504">
        <f t="shared" ca="1" si="361"/>
        <v>0</v>
      </c>
      <c r="BL321" s="504">
        <f t="shared" ca="1" si="361"/>
        <v>0</v>
      </c>
      <c r="BM321" s="504">
        <f t="shared" ca="1" si="361"/>
        <v>0</v>
      </c>
      <c r="BN321" s="504"/>
      <c r="BO321" s="504"/>
      <c r="BP321" s="504">
        <f t="shared" ref="BP321" ca="1" si="362">IFERROR(BP312/BP303-1,0)</f>
        <v>-5.1147816323429462E-2</v>
      </c>
      <c r="BS321" s="84" t="s">
        <v>242</v>
      </c>
      <c r="BT321" s="51" t="s">
        <v>17</v>
      </c>
    </row>
    <row r="322" spans="1:72" x14ac:dyDescent="0.25">
      <c r="B322" s="243" t="str">
        <f t="shared" si="340"/>
        <v>Large C&amp;I</v>
      </c>
      <c r="C322" s="243" t="str">
        <f t="shared" si="340"/>
        <v>Bills</v>
      </c>
      <c r="D322" s="244" t="str">
        <f t="shared" si="340"/>
        <v>Change in Bills</v>
      </c>
      <c r="E322" s="84" t="s">
        <v>17</v>
      </c>
      <c r="F322" s="84"/>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S322" s="84"/>
      <c r="BT322" s="51" t="s">
        <v>17</v>
      </c>
    </row>
    <row r="323" spans="1:72" x14ac:dyDescent="0.25">
      <c r="A323" s="52" t="s">
        <v>17</v>
      </c>
      <c r="B323" t="s">
        <v>17</v>
      </c>
      <c r="BT323" s="51" t="s">
        <v>17</v>
      </c>
    </row>
    <row r="324" spans="1:72" x14ac:dyDescent="0.25">
      <c r="A324" s="52" t="s">
        <v>17</v>
      </c>
      <c r="B324" t="s">
        <v>17</v>
      </c>
      <c r="BT324" s="51" t="s">
        <v>17</v>
      </c>
    </row>
    <row r="325" spans="1:72" s="51" customFormat="1" ht="23.25" x14ac:dyDescent="0.25">
      <c r="A325" s="52" t="s">
        <v>17</v>
      </c>
      <c r="B325" s="195" t="s">
        <v>271</v>
      </c>
      <c r="C325" s="196"/>
      <c r="D325" s="196"/>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51" t="s">
        <v>17</v>
      </c>
    </row>
    <row r="326" spans="1:72" s="5" customFormat="1" ht="15.75" x14ac:dyDescent="0.25">
      <c r="A326" s="52" t="s">
        <v>17</v>
      </c>
      <c r="B326" s="241" t="str">
        <f t="shared" ref="B326:C329" si="363">B325</f>
        <v>Portfolio Total</v>
      </c>
      <c r="C326" s="63" t="s">
        <v>124</v>
      </c>
      <c r="D326" s="61"/>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M326" s="63"/>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S326" s="62"/>
      <c r="BT326" s="51" t="s">
        <v>17</v>
      </c>
    </row>
    <row r="327" spans="1:72" x14ac:dyDescent="0.25">
      <c r="A327" s="52" t="s">
        <v>17</v>
      </c>
      <c r="B327" s="243" t="str">
        <f t="shared" si="363"/>
        <v>Portfolio Total</v>
      </c>
      <c r="C327" s="243" t="str">
        <f t="shared" si="363"/>
        <v>Revenue Requirements</v>
      </c>
      <c r="D327" s="114" t="str">
        <f>"Revenue Requirement before DSM ("&amp;Lookups!$D$22&amp;" Scenario)"</f>
        <v>Revenue Requirement before DSM (No EE Scenario)</v>
      </c>
      <c r="E327" s="84"/>
      <c r="F327" s="84"/>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S327" s="84"/>
      <c r="BT327" s="51" t="s">
        <v>17</v>
      </c>
    </row>
    <row r="328" spans="1:72" x14ac:dyDescent="0.25">
      <c r="A328" s="52" t="s">
        <v>17</v>
      </c>
      <c r="B328" s="243" t="str">
        <f t="shared" si="363"/>
        <v>Portfolio Total</v>
      </c>
      <c r="C328" s="243" t="str">
        <f t="shared" si="363"/>
        <v>Revenue Requirements</v>
      </c>
      <c r="D328" s="244" t="str">
        <f>D327</f>
        <v>Revenue Requirement before DSM (No EE Scenario)</v>
      </c>
      <c r="E328" s="84" t="s">
        <v>26</v>
      </c>
      <c r="F328" s="84" t="s">
        <v>32</v>
      </c>
      <c r="G328" s="65">
        <f t="shared" ref="G328:V330" si="364">SUMIFS(G$9:G$322,$D$9:$D$322,$D328,$E$9:$E$322,$E328)</f>
        <v>0</v>
      </c>
      <c r="H328" s="65">
        <f t="shared" si="364"/>
        <v>43337415.643864036</v>
      </c>
      <c r="I328" s="65">
        <f t="shared" si="364"/>
        <v>43337415.643864036</v>
      </c>
      <c r="J328" s="65">
        <f t="shared" si="364"/>
        <v>43337415.643864036</v>
      </c>
      <c r="K328" s="65">
        <f t="shared" si="364"/>
        <v>43337415.643864036</v>
      </c>
      <c r="L328" s="65">
        <f t="shared" si="364"/>
        <v>43337415.643864036</v>
      </c>
      <c r="M328" s="65">
        <f t="shared" si="364"/>
        <v>43337415.643864036</v>
      </c>
      <c r="N328" s="65">
        <f t="shared" si="364"/>
        <v>43337415.643864036</v>
      </c>
      <c r="O328" s="65">
        <f t="shared" si="364"/>
        <v>43337415.643864036</v>
      </c>
      <c r="P328" s="65">
        <f t="shared" si="364"/>
        <v>43337415.643864036</v>
      </c>
      <c r="Q328" s="65">
        <f t="shared" si="364"/>
        <v>43337415.643864036</v>
      </c>
      <c r="R328" s="65">
        <f t="shared" si="364"/>
        <v>43337415.643864036</v>
      </c>
      <c r="S328" s="65">
        <f t="shared" si="364"/>
        <v>43337415.643864036</v>
      </c>
      <c r="T328" s="65">
        <f t="shared" si="364"/>
        <v>43337415.643864036</v>
      </c>
      <c r="U328" s="65">
        <f t="shared" si="364"/>
        <v>43337415.643864036</v>
      </c>
      <c r="V328" s="65">
        <f t="shared" si="364"/>
        <v>43337415.643864036</v>
      </c>
      <c r="W328" s="65">
        <f t="shared" ref="W328:AG330" si="365">SUMIFS(W$9:W$322,$D$9:$D$322,$D328,$E$9:$E$322,$E328)</f>
        <v>43337415.643864036</v>
      </c>
      <c r="X328" s="65">
        <f t="shared" si="365"/>
        <v>43337415.643864036</v>
      </c>
      <c r="Y328" s="65">
        <f t="shared" si="365"/>
        <v>43337415.643864036</v>
      </c>
      <c r="Z328" s="65">
        <f t="shared" si="365"/>
        <v>43337415.643864036</v>
      </c>
      <c r="AA328" s="65">
        <f t="shared" si="365"/>
        <v>43337415.643864036</v>
      </c>
      <c r="AB328" s="65">
        <f t="shared" si="365"/>
        <v>43337415.643864036</v>
      </c>
      <c r="AC328" s="65">
        <f t="shared" si="365"/>
        <v>43337415.643864036</v>
      </c>
      <c r="AD328" s="65">
        <f t="shared" si="365"/>
        <v>43337415.643864036</v>
      </c>
      <c r="AE328" s="65">
        <f t="shared" si="365"/>
        <v>43337415.643864036</v>
      </c>
      <c r="AF328" s="65">
        <f t="shared" si="365"/>
        <v>43337415.643864036</v>
      </c>
      <c r="AG328" s="65">
        <f t="shared" si="365"/>
        <v>43337415.643864036</v>
      </c>
      <c r="AH328" s="65"/>
      <c r="AI328" s="65">
        <f>NPV(Lookups!$E$17,G328:AG328)</f>
        <v>924269408.70874739</v>
      </c>
      <c r="AJ328" s="65">
        <f>IF($C$4=Year1,-PMT(Lookups!$E$17,25,NPV(Lookups!$E$17,G328:AE328),0,1),IF($C$4=Year2,-PMT(Lookups!$F$17,25,NPV(Lookups!$F$17,H328:AF328),0,1),IF($C$4=Year3,-PMT(Lookups!$G$17,25,NPV(Lookups!$G$17,I328:AG328),0,1),-PMT(Lookups!$G$17,27,NPV(Lookups!$G$17,G328:AG328),0,1))))</f>
        <v>42733000.355465345</v>
      </c>
      <c r="AM328" s="72">
        <f t="shared" ref="AM328:BB330" si="366">SUMIFS(AM$9:AM$322,$D$9:$D$322,$D328,$E$9:$E$322,$E328)</f>
        <v>0</v>
      </c>
      <c r="AN328" s="72">
        <f t="shared" si="366"/>
        <v>43337415.643864036</v>
      </c>
      <c r="AO328" s="72">
        <f t="shared" si="366"/>
        <v>43337415.643864036</v>
      </c>
      <c r="AP328" s="72">
        <f t="shared" si="366"/>
        <v>43337415.643864036</v>
      </c>
      <c r="AQ328" s="72">
        <f t="shared" si="366"/>
        <v>43337415.643864036</v>
      </c>
      <c r="AR328" s="72">
        <f t="shared" si="366"/>
        <v>43337415.643864036</v>
      </c>
      <c r="AS328" s="72">
        <f t="shared" si="366"/>
        <v>43337415.643864036</v>
      </c>
      <c r="AT328" s="72">
        <f t="shared" si="366"/>
        <v>43337415.643864036</v>
      </c>
      <c r="AU328" s="72">
        <f t="shared" si="366"/>
        <v>43337415.643864036</v>
      </c>
      <c r="AV328" s="72">
        <f t="shared" si="366"/>
        <v>43337415.643864036</v>
      </c>
      <c r="AW328" s="72">
        <f t="shared" si="366"/>
        <v>43337415.643864036</v>
      </c>
      <c r="AX328" s="72">
        <f t="shared" si="366"/>
        <v>43337415.643864036</v>
      </c>
      <c r="AY328" s="72">
        <f t="shared" si="366"/>
        <v>43337415.643864036</v>
      </c>
      <c r="AZ328" s="72">
        <f t="shared" si="366"/>
        <v>43337415.643864036</v>
      </c>
      <c r="BA328" s="72">
        <f t="shared" si="366"/>
        <v>43337415.643864036</v>
      </c>
      <c r="BB328" s="72">
        <f t="shared" si="366"/>
        <v>43337415.643864036</v>
      </c>
      <c r="BC328" s="72">
        <f t="shared" ref="BC328:BM330" si="367">SUMIFS(BC$9:BC$322,$D$9:$D$322,$D328,$E$9:$E$322,$E328)</f>
        <v>43337415.643864036</v>
      </c>
      <c r="BD328" s="72">
        <f t="shared" si="367"/>
        <v>43337415.643864036</v>
      </c>
      <c r="BE328" s="72">
        <f t="shared" si="367"/>
        <v>43337415.643864036</v>
      </c>
      <c r="BF328" s="72">
        <f t="shared" si="367"/>
        <v>43337415.643864036</v>
      </c>
      <c r="BG328" s="72">
        <f t="shared" si="367"/>
        <v>43337415.643864036</v>
      </c>
      <c r="BH328" s="72">
        <f t="shared" si="367"/>
        <v>43337415.643864036</v>
      </c>
      <c r="BI328" s="72">
        <f t="shared" si="367"/>
        <v>43337415.643864036</v>
      </c>
      <c r="BJ328" s="72">
        <f t="shared" si="367"/>
        <v>43337415.643864036</v>
      </c>
      <c r="BK328" s="72">
        <f t="shared" si="367"/>
        <v>43337415.643864036</v>
      </c>
      <c r="BL328" s="72">
        <f t="shared" si="367"/>
        <v>43337415.643864036</v>
      </c>
      <c r="BM328" s="72">
        <f t="shared" si="367"/>
        <v>43337415.643864036</v>
      </c>
      <c r="BN328" s="72"/>
      <c r="BO328" s="72">
        <f>NPV(Lookups!$E$17,AM328:BM328)</f>
        <v>924269408.70874739</v>
      </c>
      <c r="BP328" s="72">
        <f>IF($C$4=Year1,-PMT(Lookups!$E$17,25,NPV(Lookups!$E$17,AM328:BK328),0,1),IF($C$4=Year2,-PMT(Lookups!$F$17,25,NPV(Lookups!$F$17,AN328:BL328),0,1),IF($C$4=Year3,-PMT(Lookups!$G$17,25,NPV(Lookups!$G$17,AO328:BM328),0,1),-PMT(Lookups!$G$17,27,NPV(Lookups!$G$17,AM328:BM328),0,1))))</f>
        <v>42733000.355465345</v>
      </c>
      <c r="BS328" s="84" t="str">
        <f>"No EE Scenario "&amp;E328&amp;" rate multiplied by No EE Scenario sales."</f>
        <v>No EE Scenario Distribution rate multiplied by No EE Scenario sales.</v>
      </c>
      <c r="BT328" s="51" t="s">
        <v>17</v>
      </c>
    </row>
    <row r="329" spans="1:72" x14ac:dyDescent="0.25">
      <c r="A329" s="52" t="s">
        <v>17</v>
      </c>
      <c r="B329" s="243" t="str">
        <f t="shared" si="363"/>
        <v>Portfolio Total</v>
      </c>
      <c r="C329" s="243" t="str">
        <f t="shared" si="363"/>
        <v>Revenue Requirements</v>
      </c>
      <c r="D329" s="244" t="str">
        <f>D328</f>
        <v>Revenue Requirement before DSM (No EE Scenario)</v>
      </c>
      <c r="E329" s="84" t="s">
        <v>407</v>
      </c>
      <c r="F329" s="84" t="s">
        <v>32</v>
      </c>
      <c r="G329" s="65">
        <f t="shared" si="364"/>
        <v>0</v>
      </c>
      <c r="H329" s="65">
        <f t="shared" si="364"/>
        <v>-1915965.2564594061</v>
      </c>
      <c r="I329" s="65">
        <f t="shared" si="364"/>
        <v>-1915965.2564594061</v>
      </c>
      <c r="J329" s="65">
        <f t="shared" si="364"/>
        <v>-1915965.2564594061</v>
      </c>
      <c r="K329" s="65">
        <f t="shared" si="364"/>
        <v>-1915965.2564594061</v>
      </c>
      <c r="L329" s="65">
        <f t="shared" si="364"/>
        <v>-1915965.2564594061</v>
      </c>
      <c r="M329" s="65">
        <f t="shared" si="364"/>
        <v>-1915965.2564594061</v>
      </c>
      <c r="N329" s="65">
        <f t="shared" si="364"/>
        <v>-1915965.2564594061</v>
      </c>
      <c r="O329" s="65">
        <f t="shared" si="364"/>
        <v>-1915965.2564594061</v>
      </c>
      <c r="P329" s="65">
        <f t="shared" si="364"/>
        <v>-1915965.2564594061</v>
      </c>
      <c r="Q329" s="65">
        <f t="shared" si="364"/>
        <v>-1915965.2564594061</v>
      </c>
      <c r="R329" s="65">
        <f t="shared" si="364"/>
        <v>-1915965.2564594061</v>
      </c>
      <c r="S329" s="65">
        <f t="shared" si="364"/>
        <v>-1915965.2564594061</v>
      </c>
      <c r="T329" s="65">
        <f t="shared" si="364"/>
        <v>-1915965.2564594061</v>
      </c>
      <c r="U329" s="65">
        <f t="shared" si="364"/>
        <v>-1915965.2564594061</v>
      </c>
      <c r="V329" s="65">
        <f t="shared" si="364"/>
        <v>-1915965.2564594061</v>
      </c>
      <c r="W329" s="65">
        <f t="shared" si="365"/>
        <v>-1915965.2564594061</v>
      </c>
      <c r="X329" s="65">
        <f t="shared" si="365"/>
        <v>-1915965.2564594061</v>
      </c>
      <c r="Y329" s="65">
        <f t="shared" si="365"/>
        <v>-1915965.2564594061</v>
      </c>
      <c r="Z329" s="65">
        <f t="shared" si="365"/>
        <v>-1915965.2564594061</v>
      </c>
      <c r="AA329" s="65">
        <f t="shared" si="365"/>
        <v>-1915965.2564594061</v>
      </c>
      <c r="AB329" s="65">
        <f t="shared" si="365"/>
        <v>-1915965.2564594061</v>
      </c>
      <c r="AC329" s="65">
        <f t="shared" si="365"/>
        <v>-1915965.2564594061</v>
      </c>
      <c r="AD329" s="65">
        <f t="shared" si="365"/>
        <v>-1915965.2564594061</v>
      </c>
      <c r="AE329" s="65">
        <f t="shared" si="365"/>
        <v>-1915965.2564594061</v>
      </c>
      <c r="AF329" s="65">
        <f t="shared" si="365"/>
        <v>-1915965.2564594061</v>
      </c>
      <c r="AG329" s="65">
        <f t="shared" si="365"/>
        <v>-1915965.2564594061</v>
      </c>
      <c r="AH329" s="65"/>
      <c r="AI329" s="65">
        <f>NPV(Lookups!$E$17,G329:AG329)</f>
        <v>-40862336.814146616</v>
      </c>
      <c r="AJ329" s="65">
        <f>IF($C$4=Year1,-PMT(Lookups!$E$17,25,NPV(Lookups!$E$17,G329:AE329),0,1),IF($C$4=Year2,-PMT(Lookups!$F$17,25,NPV(Lookups!$F$17,H329:AF329),0,1),IF($C$4=Year3,-PMT(Lookups!$G$17,25,NPV(Lookups!$G$17,I329:AG329),0,1),-PMT(Lookups!$G$17,27,NPV(Lookups!$G$17,G329:AG329),0,1))))</f>
        <v>-1889243.8039722238</v>
      </c>
      <c r="AM329" s="72">
        <f t="shared" si="366"/>
        <v>0</v>
      </c>
      <c r="AN329" s="72">
        <f t="shared" si="366"/>
        <v>-1915965.2564594061</v>
      </c>
      <c r="AO329" s="72">
        <f t="shared" si="366"/>
        <v>-1915965.2564594061</v>
      </c>
      <c r="AP329" s="72">
        <f t="shared" si="366"/>
        <v>-1915965.2564594061</v>
      </c>
      <c r="AQ329" s="72">
        <f t="shared" si="366"/>
        <v>-1915965.2564594061</v>
      </c>
      <c r="AR329" s="72">
        <f t="shared" si="366"/>
        <v>-1915965.2564594061</v>
      </c>
      <c r="AS329" s="72">
        <f t="shared" si="366"/>
        <v>-1915965.2564594061</v>
      </c>
      <c r="AT329" s="72">
        <f t="shared" si="366"/>
        <v>-1915965.2564594061</v>
      </c>
      <c r="AU329" s="72">
        <f t="shared" si="366"/>
        <v>-1915965.2564594061</v>
      </c>
      <c r="AV329" s="72">
        <f t="shared" si="366"/>
        <v>-1915965.2564594061</v>
      </c>
      <c r="AW329" s="72">
        <f t="shared" si="366"/>
        <v>-1915965.2564594061</v>
      </c>
      <c r="AX329" s="72">
        <f t="shared" si="366"/>
        <v>-1915965.2564594061</v>
      </c>
      <c r="AY329" s="72">
        <f t="shared" si="366"/>
        <v>-1915965.2564594061</v>
      </c>
      <c r="AZ329" s="72">
        <f t="shared" si="366"/>
        <v>-1915965.2564594061</v>
      </c>
      <c r="BA329" s="72">
        <f t="shared" si="366"/>
        <v>-1915965.2564594061</v>
      </c>
      <c r="BB329" s="72">
        <f t="shared" si="366"/>
        <v>-1915965.2564594061</v>
      </c>
      <c r="BC329" s="72">
        <f t="shared" si="367"/>
        <v>-1915965.2564594061</v>
      </c>
      <c r="BD329" s="72">
        <f t="shared" si="367"/>
        <v>-1915965.2564594061</v>
      </c>
      <c r="BE329" s="72">
        <f t="shared" si="367"/>
        <v>-1915965.2564594061</v>
      </c>
      <c r="BF329" s="72">
        <f t="shared" si="367"/>
        <v>-1915965.2564594061</v>
      </c>
      <c r="BG329" s="72">
        <f t="shared" si="367"/>
        <v>-1915965.2564594061</v>
      </c>
      <c r="BH329" s="72">
        <f t="shared" si="367"/>
        <v>-1915965.2564594061</v>
      </c>
      <c r="BI329" s="72">
        <f t="shared" si="367"/>
        <v>-1915965.2564594061</v>
      </c>
      <c r="BJ329" s="72">
        <f t="shared" si="367"/>
        <v>-1915965.2564594061</v>
      </c>
      <c r="BK329" s="72">
        <f t="shared" si="367"/>
        <v>-1915965.2564594061</v>
      </c>
      <c r="BL329" s="72">
        <f t="shared" si="367"/>
        <v>-1915965.2564594061</v>
      </c>
      <c r="BM329" s="72">
        <f t="shared" si="367"/>
        <v>-1915965.2564594061</v>
      </c>
      <c r="BN329" s="72"/>
      <c r="BO329" s="72">
        <f>NPV(Lookups!$E$17,AM329:BM329)</f>
        <v>-40862336.814146616</v>
      </c>
      <c r="BP329" s="72">
        <f>IF($C$4=Year1,-PMT(Lookups!$E$17,25,NPV(Lookups!$E$17,AM329:BK329),0,1),IF($C$4=Year2,-PMT(Lookups!$F$17,25,NPV(Lookups!$F$17,AN329:BL329),0,1),IF($C$4=Year3,-PMT(Lookups!$G$17,25,NPV(Lookups!$G$17,AO329:BM329),0,1),-PMT(Lookups!$G$17,27,NPV(Lookups!$G$17,AM329:BM329),0,1))))</f>
        <v>-1889243.8039722238</v>
      </c>
      <c r="BS329" s="84" t="str">
        <f>"No EE Scenario "&amp;E329&amp;" rate multiplied by No EE Scenario sales."</f>
        <v>No EE Scenario LDAC, Non-EE rate multiplied by No EE Scenario sales.</v>
      </c>
      <c r="BT329" s="51" t="s">
        <v>17</v>
      </c>
    </row>
    <row r="330" spans="1:72" x14ac:dyDescent="0.25">
      <c r="A330" s="52" t="s">
        <v>17</v>
      </c>
      <c r="B330" s="243" t="str">
        <f>B328</f>
        <v>Portfolio Total</v>
      </c>
      <c r="C330" s="243" t="str">
        <f>C328</f>
        <v>Revenue Requirements</v>
      </c>
      <c r="D330" s="244" t="str">
        <f>D328</f>
        <v>Revenue Requirement before DSM (No EE Scenario)</v>
      </c>
      <c r="E330" s="84" t="s">
        <v>197</v>
      </c>
      <c r="F330" s="84" t="s">
        <v>32</v>
      </c>
      <c r="G330" s="65">
        <f t="shared" si="364"/>
        <v>0</v>
      </c>
      <c r="H330" s="65">
        <f t="shared" si="364"/>
        <v>59392410.029498205</v>
      </c>
      <c r="I330" s="65">
        <f t="shared" si="364"/>
        <v>59392410.029498205</v>
      </c>
      <c r="J330" s="65">
        <f t="shared" si="364"/>
        <v>59392410.029498205</v>
      </c>
      <c r="K330" s="65">
        <f t="shared" si="364"/>
        <v>59392410.029498205</v>
      </c>
      <c r="L330" s="65">
        <f t="shared" si="364"/>
        <v>59392410.029498205</v>
      </c>
      <c r="M330" s="65">
        <f t="shared" si="364"/>
        <v>59392410.029498205</v>
      </c>
      <c r="N330" s="65">
        <f t="shared" si="364"/>
        <v>59392410.029498205</v>
      </c>
      <c r="O330" s="65">
        <f t="shared" si="364"/>
        <v>59392410.029498205</v>
      </c>
      <c r="P330" s="65">
        <f t="shared" si="364"/>
        <v>59392410.029498205</v>
      </c>
      <c r="Q330" s="65">
        <f t="shared" si="364"/>
        <v>59392410.029498205</v>
      </c>
      <c r="R330" s="65">
        <f t="shared" si="364"/>
        <v>59392410.029498205</v>
      </c>
      <c r="S330" s="65">
        <f t="shared" si="364"/>
        <v>59392410.029498205</v>
      </c>
      <c r="T330" s="65">
        <f t="shared" si="364"/>
        <v>59392410.029498205</v>
      </c>
      <c r="U330" s="65">
        <f t="shared" si="364"/>
        <v>59392410.029498205</v>
      </c>
      <c r="V330" s="65">
        <f t="shared" si="364"/>
        <v>59392410.029498205</v>
      </c>
      <c r="W330" s="65">
        <f t="shared" si="365"/>
        <v>59392410.029498205</v>
      </c>
      <c r="X330" s="65">
        <f t="shared" si="365"/>
        <v>59392410.029498205</v>
      </c>
      <c r="Y330" s="65">
        <f t="shared" si="365"/>
        <v>59392410.029498205</v>
      </c>
      <c r="Z330" s="65">
        <f t="shared" si="365"/>
        <v>59392410.029498205</v>
      </c>
      <c r="AA330" s="65">
        <f t="shared" si="365"/>
        <v>59392410.029498205</v>
      </c>
      <c r="AB330" s="65">
        <f t="shared" si="365"/>
        <v>59392410.029498205</v>
      </c>
      <c r="AC330" s="65">
        <f t="shared" si="365"/>
        <v>59392410.029498205</v>
      </c>
      <c r="AD330" s="65">
        <f t="shared" si="365"/>
        <v>59392410.029498205</v>
      </c>
      <c r="AE330" s="65">
        <f t="shared" si="365"/>
        <v>59392410.029498205</v>
      </c>
      <c r="AF330" s="65">
        <f t="shared" si="365"/>
        <v>59392410.029498205</v>
      </c>
      <c r="AG330" s="65">
        <f t="shared" si="365"/>
        <v>59392410.029498205</v>
      </c>
      <c r="AH330" s="65"/>
      <c r="AI330" s="65">
        <f>NPV(Lookups!$E$17,G330:AG330)</f>
        <v>1266678847.4620099</v>
      </c>
      <c r="AJ330" s="65">
        <f>IF($C$4=Year1,-PMT(Lookups!$E$17,25,NPV(Lookups!$E$17,G330:AE330),0,1),IF($C$4=Year2,-PMT(Lookups!$F$17,25,NPV(Lookups!$F$17,H330:AF330),0,1),IF($C$4=Year3,-PMT(Lookups!$G$17,25,NPV(Lookups!$G$17,I330:AG330),0,1),-PMT(Lookups!$G$17,27,NPV(Lookups!$G$17,G330:AG330),0,1))))</f>
        <v>58564080.049425758</v>
      </c>
      <c r="AM330" s="72">
        <f t="shared" si="366"/>
        <v>0</v>
      </c>
      <c r="AN330" s="72">
        <f t="shared" si="366"/>
        <v>59392410.029498205</v>
      </c>
      <c r="AO330" s="72">
        <f t="shared" si="366"/>
        <v>59392410.029498205</v>
      </c>
      <c r="AP330" s="72">
        <f t="shared" si="366"/>
        <v>59392410.029498205</v>
      </c>
      <c r="AQ330" s="72">
        <f t="shared" si="366"/>
        <v>59392410.029498205</v>
      </c>
      <c r="AR330" s="72">
        <f t="shared" si="366"/>
        <v>59392410.029498205</v>
      </c>
      <c r="AS330" s="72">
        <f t="shared" si="366"/>
        <v>59392410.029498205</v>
      </c>
      <c r="AT330" s="72">
        <f t="shared" si="366"/>
        <v>59392410.029498205</v>
      </c>
      <c r="AU330" s="72">
        <f t="shared" si="366"/>
        <v>59392410.029498205</v>
      </c>
      <c r="AV330" s="72">
        <f t="shared" si="366"/>
        <v>59392410.029498205</v>
      </c>
      <c r="AW330" s="72">
        <f t="shared" si="366"/>
        <v>59392410.029498205</v>
      </c>
      <c r="AX330" s="72">
        <f t="shared" si="366"/>
        <v>59392410.029498205</v>
      </c>
      <c r="AY330" s="72">
        <f t="shared" si="366"/>
        <v>59392410.029498205</v>
      </c>
      <c r="AZ330" s="72">
        <f t="shared" si="366"/>
        <v>59392410.029498205</v>
      </c>
      <c r="BA330" s="72">
        <f t="shared" si="366"/>
        <v>59392410.029498205</v>
      </c>
      <c r="BB330" s="72">
        <f t="shared" si="366"/>
        <v>59392410.029498205</v>
      </c>
      <c r="BC330" s="72">
        <f t="shared" si="367"/>
        <v>59392410.029498205</v>
      </c>
      <c r="BD330" s="72">
        <f t="shared" si="367"/>
        <v>59392410.029498205</v>
      </c>
      <c r="BE330" s="72">
        <f t="shared" si="367"/>
        <v>59392410.029498205</v>
      </c>
      <c r="BF330" s="72">
        <f t="shared" si="367"/>
        <v>59392410.029498205</v>
      </c>
      <c r="BG330" s="72">
        <f t="shared" si="367"/>
        <v>59392410.029498205</v>
      </c>
      <c r="BH330" s="72">
        <f t="shared" si="367"/>
        <v>59392410.029498205</v>
      </c>
      <c r="BI330" s="72">
        <f t="shared" si="367"/>
        <v>59392410.029498205</v>
      </c>
      <c r="BJ330" s="72">
        <f t="shared" si="367"/>
        <v>59392410.029498205</v>
      </c>
      <c r="BK330" s="72">
        <f t="shared" si="367"/>
        <v>59392410.029498205</v>
      </c>
      <c r="BL330" s="72">
        <f t="shared" si="367"/>
        <v>59392410.029498205</v>
      </c>
      <c r="BM330" s="72">
        <f t="shared" si="367"/>
        <v>59392410.029498205</v>
      </c>
      <c r="BN330" s="72"/>
      <c r="BO330" s="72">
        <f>NPV(Lookups!$E$17,AM330:BM330)</f>
        <v>1266678847.4620099</v>
      </c>
      <c r="BP330" s="72">
        <f>IF($C$4=Year1,-PMT(Lookups!$E$17,25,NPV(Lookups!$E$17,AM330:BK330),0,1),IF($C$4=Year2,-PMT(Lookups!$F$17,25,NPV(Lookups!$F$17,AN330:BL330),0,1),IF($C$4=Year3,-PMT(Lookups!$G$17,25,NPV(Lookups!$G$17,AO330:BM330),0,1),-PMT(Lookups!$G$17,27,NPV(Lookups!$G$17,AM330:BM330),0,1))))</f>
        <v>58564080.049425758</v>
      </c>
      <c r="BS330" s="84" t="str">
        <f>"No EE Scenario "&amp;E330&amp;" rate multiplied by No EE Scenario sales."</f>
        <v>No EE Scenario Cost of Gas rate multiplied by No EE Scenario sales.</v>
      </c>
      <c r="BT330" s="51" t="s">
        <v>17</v>
      </c>
    </row>
    <row r="331" spans="1:72" x14ac:dyDescent="0.25">
      <c r="A331" s="52" t="s">
        <v>17</v>
      </c>
      <c r="B331" s="243" t="str">
        <f t="shared" ref="B331:C333" si="368">B329</f>
        <v>Portfolio Total</v>
      </c>
      <c r="C331" s="243" t="str">
        <f t="shared" si="368"/>
        <v>Revenue Requirements</v>
      </c>
      <c r="D331" s="244" t="str">
        <f>D329</f>
        <v>Revenue Requirement before DSM (No EE Scenario)</v>
      </c>
      <c r="E331" s="84" t="s">
        <v>272</v>
      </c>
      <c r="F331" s="84" t="s">
        <v>32</v>
      </c>
      <c r="G331" s="65">
        <f>SUM(G328:G330)</f>
        <v>0</v>
      </c>
      <c r="H331" s="65">
        <f t="shared" ref="H331:AG331" si="369">SUM(H328:H330)</f>
        <v>100813860.41690284</v>
      </c>
      <c r="I331" s="65">
        <f t="shared" si="369"/>
        <v>100813860.41690284</v>
      </c>
      <c r="J331" s="65">
        <f t="shared" si="369"/>
        <v>100813860.41690284</v>
      </c>
      <c r="K331" s="65">
        <f t="shared" si="369"/>
        <v>100813860.41690284</v>
      </c>
      <c r="L331" s="65">
        <f t="shared" si="369"/>
        <v>100813860.41690284</v>
      </c>
      <c r="M331" s="65">
        <f t="shared" si="369"/>
        <v>100813860.41690284</v>
      </c>
      <c r="N331" s="65">
        <f t="shared" si="369"/>
        <v>100813860.41690284</v>
      </c>
      <c r="O331" s="65">
        <f t="shared" si="369"/>
        <v>100813860.41690284</v>
      </c>
      <c r="P331" s="65">
        <f t="shared" si="369"/>
        <v>100813860.41690284</v>
      </c>
      <c r="Q331" s="65">
        <f t="shared" si="369"/>
        <v>100813860.41690284</v>
      </c>
      <c r="R331" s="65">
        <f t="shared" si="369"/>
        <v>100813860.41690284</v>
      </c>
      <c r="S331" s="65">
        <f t="shared" si="369"/>
        <v>100813860.41690284</v>
      </c>
      <c r="T331" s="65">
        <f t="shared" si="369"/>
        <v>100813860.41690284</v>
      </c>
      <c r="U331" s="65">
        <f t="shared" si="369"/>
        <v>100813860.41690284</v>
      </c>
      <c r="V331" s="65">
        <f t="shared" si="369"/>
        <v>100813860.41690284</v>
      </c>
      <c r="W331" s="65">
        <f t="shared" si="369"/>
        <v>100813860.41690284</v>
      </c>
      <c r="X331" s="65">
        <f t="shared" si="369"/>
        <v>100813860.41690284</v>
      </c>
      <c r="Y331" s="65">
        <f t="shared" si="369"/>
        <v>100813860.41690284</v>
      </c>
      <c r="Z331" s="65">
        <f t="shared" si="369"/>
        <v>100813860.41690284</v>
      </c>
      <c r="AA331" s="65">
        <f t="shared" si="369"/>
        <v>100813860.41690284</v>
      </c>
      <c r="AB331" s="65">
        <f t="shared" si="369"/>
        <v>100813860.41690284</v>
      </c>
      <c r="AC331" s="65">
        <f t="shared" si="369"/>
        <v>100813860.41690284</v>
      </c>
      <c r="AD331" s="65">
        <f t="shared" si="369"/>
        <v>100813860.41690284</v>
      </c>
      <c r="AE331" s="65">
        <f t="shared" si="369"/>
        <v>100813860.41690284</v>
      </c>
      <c r="AF331" s="65">
        <f t="shared" si="369"/>
        <v>100813860.41690284</v>
      </c>
      <c r="AG331" s="65">
        <f t="shared" si="369"/>
        <v>100813860.41690284</v>
      </c>
      <c r="AH331" s="65"/>
      <c r="AI331" s="65">
        <f>NPV(Lookups!$E$17,G331:AG331)</f>
        <v>2150085919.3566113</v>
      </c>
      <c r="AJ331" s="65">
        <f>IF($C$4=Year1,-PMT(Lookups!$E$17,25,NPV(Lookups!$E$17,G331:AE331),0,1),IF($C$4=Year2,-PMT(Lookups!$F$17,25,NPV(Lookups!$F$17,H331:AF331),0,1),IF($C$4=Year3,-PMT(Lookups!$G$17,25,NPV(Lookups!$G$17,I331:AG331),0,1),-PMT(Lookups!$G$17,27,NPV(Lookups!$G$17,G331:AG331),0,1))))</f>
        <v>99407836.600918919</v>
      </c>
      <c r="AM331" s="72">
        <f>SUM(AM328:AM330)</f>
        <v>0</v>
      </c>
      <c r="AN331" s="72">
        <f t="shared" ref="AN331:BM331" si="370">SUM(AN328:AN330)</f>
        <v>100813860.41690284</v>
      </c>
      <c r="AO331" s="72">
        <f t="shared" si="370"/>
        <v>100813860.41690284</v>
      </c>
      <c r="AP331" s="72">
        <f t="shared" si="370"/>
        <v>100813860.41690284</v>
      </c>
      <c r="AQ331" s="72">
        <f t="shared" si="370"/>
        <v>100813860.41690284</v>
      </c>
      <c r="AR331" s="72">
        <f t="shared" si="370"/>
        <v>100813860.41690284</v>
      </c>
      <c r="AS331" s="72">
        <f t="shared" si="370"/>
        <v>100813860.41690284</v>
      </c>
      <c r="AT331" s="72">
        <f t="shared" si="370"/>
        <v>100813860.41690284</v>
      </c>
      <c r="AU331" s="72">
        <f t="shared" si="370"/>
        <v>100813860.41690284</v>
      </c>
      <c r="AV331" s="72">
        <f t="shared" si="370"/>
        <v>100813860.41690284</v>
      </c>
      <c r="AW331" s="72">
        <f t="shared" si="370"/>
        <v>100813860.41690284</v>
      </c>
      <c r="AX331" s="72">
        <f t="shared" si="370"/>
        <v>100813860.41690284</v>
      </c>
      <c r="AY331" s="72">
        <f t="shared" si="370"/>
        <v>100813860.41690284</v>
      </c>
      <c r="AZ331" s="72">
        <f t="shared" si="370"/>
        <v>100813860.41690284</v>
      </c>
      <c r="BA331" s="72">
        <f t="shared" si="370"/>
        <v>100813860.41690284</v>
      </c>
      <c r="BB331" s="72">
        <f t="shared" si="370"/>
        <v>100813860.41690284</v>
      </c>
      <c r="BC331" s="72">
        <f t="shared" si="370"/>
        <v>100813860.41690284</v>
      </c>
      <c r="BD331" s="72">
        <f t="shared" si="370"/>
        <v>100813860.41690284</v>
      </c>
      <c r="BE331" s="72">
        <f t="shared" si="370"/>
        <v>100813860.41690284</v>
      </c>
      <c r="BF331" s="72">
        <f t="shared" si="370"/>
        <v>100813860.41690284</v>
      </c>
      <c r="BG331" s="72">
        <f t="shared" si="370"/>
        <v>100813860.41690284</v>
      </c>
      <c r="BH331" s="72">
        <f t="shared" si="370"/>
        <v>100813860.41690284</v>
      </c>
      <c r="BI331" s="72">
        <f t="shared" si="370"/>
        <v>100813860.41690284</v>
      </c>
      <c r="BJ331" s="72">
        <f t="shared" si="370"/>
        <v>100813860.41690284</v>
      </c>
      <c r="BK331" s="72">
        <f t="shared" si="370"/>
        <v>100813860.41690284</v>
      </c>
      <c r="BL331" s="72">
        <f t="shared" si="370"/>
        <v>100813860.41690284</v>
      </c>
      <c r="BM331" s="72">
        <f t="shared" si="370"/>
        <v>100813860.41690284</v>
      </c>
      <c r="BN331" s="72"/>
      <c r="BO331" s="72">
        <f>NPV(Lookups!$E$17,AM331:BM331)</f>
        <v>2150085919.3566113</v>
      </c>
      <c r="BP331" s="72">
        <f>IF($C$4=Year1,-PMT(Lookups!$E$17,25,NPV(Lookups!$E$17,AM331:BK331),0,1),IF($C$4=Year2,-PMT(Lookups!$F$17,25,NPV(Lookups!$F$17,AN331:BL331),0,1),IF($C$4=Year3,-PMT(Lookups!$G$17,25,NPV(Lookups!$G$17,AO331:BM331),0,1),-PMT(Lookups!$G$17,27,NPV(Lookups!$G$17,AM331:BM331),0,1))))</f>
        <v>99407836.600918919</v>
      </c>
      <c r="BS331" s="84"/>
      <c r="BT331" s="51" t="s">
        <v>17</v>
      </c>
    </row>
    <row r="332" spans="1:72" x14ac:dyDescent="0.25">
      <c r="A332" s="52" t="s">
        <v>17</v>
      </c>
      <c r="B332" s="243" t="str">
        <f t="shared" si="368"/>
        <v>Portfolio Total</v>
      </c>
      <c r="C332" s="243" t="str">
        <f t="shared" si="368"/>
        <v>Revenue Requirements</v>
      </c>
      <c r="D332" s="114" t="s">
        <v>24</v>
      </c>
      <c r="E332" s="84"/>
      <c r="F332" s="84"/>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S332" s="84"/>
      <c r="BT332" s="51" t="s">
        <v>17</v>
      </c>
    </row>
    <row r="333" spans="1:72" x14ac:dyDescent="0.25">
      <c r="A333" s="52" t="s">
        <v>17</v>
      </c>
      <c r="B333" s="243" t="str">
        <f t="shared" si="368"/>
        <v>Portfolio Total</v>
      </c>
      <c r="C333" s="243" t="str">
        <f t="shared" si="368"/>
        <v>Revenue Requirements</v>
      </c>
      <c r="D333" s="244" t="str">
        <f>D332</f>
        <v>Avoided Costs</v>
      </c>
      <c r="E333" s="84" t="s">
        <v>45</v>
      </c>
      <c r="F333" s="84" t="s">
        <v>32</v>
      </c>
      <c r="G333" s="65">
        <f t="shared" ref="G333:V335" ca="1" si="371">SUMIFS(G$9:G$322,$D$9:$D$322,$D333,$E$9:$E$322,$E333)</f>
        <v>0</v>
      </c>
      <c r="H333" s="65">
        <f t="shared" ca="1" si="371"/>
        <v>1233095.8700875428</v>
      </c>
      <c r="I333" s="65">
        <f t="shared" ca="1" si="371"/>
        <v>1233095.8700875428</v>
      </c>
      <c r="J333" s="65">
        <f t="shared" ca="1" si="371"/>
        <v>1233095.8700875428</v>
      </c>
      <c r="K333" s="65">
        <f t="shared" ca="1" si="371"/>
        <v>1233095.8700875428</v>
      </c>
      <c r="L333" s="65">
        <f t="shared" ca="1" si="371"/>
        <v>1233095.8700875428</v>
      </c>
      <c r="M333" s="65">
        <f t="shared" ca="1" si="371"/>
        <v>1233095.8700875428</v>
      </c>
      <c r="N333" s="65">
        <f t="shared" ca="1" si="371"/>
        <v>1233095.8700875428</v>
      </c>
      <c r="O333" s="65">
        <f t="shared" ca="1" si="371"/>
        <v>1233095.8700875428</v>
      </c>
      <c r="P333" s="65">
        <f t="shared" ca="1" si="371"/>
        <v>1233095.8700875428</v>
      </c>
      <c r="Q333" s="65">
        <f t="shared" ca="1" si="371"/>
        <v>1233095.8700875428</v>
      </c>
      <c r="R333" s="65">
        <f t="shared" ca="1" si="371"/>
        <v>1233095.8700875428</v>
      </c>
      <c r="S333" s="65">
        <f t="shared" ca="1" si="371"/>
        <v>1233095.8700875428</v>
      </c>
      <c r="T333" s="65">
        <f t="shared" ca="1" si="371"/>
        <v>1233095.8700875428</v>
      </c>
      <c r="U333" s="65">
        <f t="shared" ca="1" si="371"/>
        <v>577678.21082184894</v>
      </c>
      <c r="V333" s="65">
        <f t="shared" ca="1" si="371"/>
        <v>577678.21082184894</v>
      </c>
      <c r="W333" s="65">
        <f t="shared" ref="W333:AG335" ca="1" si="372">SUMIFS(W$9:W$322,$D$9:$D$322,$D333,$E$9:$E$322,$E333)</f>
        <v>296847.41680580005</v>
      </c>
      <c r="X333" s="65">
        <f t="shared" ca="1" si="372"/>
        <v>66883.004861699694</v>
      </c>
      <c r="Y333" s="65">
        <f t="shared" ca="1" si="372"/>
        <v>66883.004861699694</v>
      </c>
      <c r="Z333" s="65">
        <f t="shared" ca="1" si="372"/>
        <v>66883.004861699694</v>
      </c>
      <c r="AA333" s="65">
        <f t="shared" ca="1" si="372"/>
        <v>66883.004861699694</v>
      </c>
      <c r="AB333" s="65">
        <f t="shared" ca="1" si="372"/>
        <v>0</v>
      </c>
      <c r="AC333" s="65">
        <f t="shared" ca="1" si="372"/>
        <v>0</v>
      </c>
      <c r="AD333" s="65">
        <f t="shared" ca="1" si="372"/>
        <v>0</v>
      </c>
      <c r="AE333" s="65">
        <f t="shared" ca="1" si="372"/>
        <v>0</v>
      </c>
      <c r="AF333" s="65">
        <f t="shared" ca="1" si="372"/>
        <v>0</v>
      </c>
      <c r="AG333" s="65">
        <f t="shared" ca="1" si="372"/>
        <v>0</v>
      </c>
      <c r="AH333" s="65"/>
      <c r="AI333" s="65">
        <f ca="1">NPV(Lookups!$E$17,G333:AG333)</f>
        <v>15713010.94598864</v>
      </c>
      <c r="AJ333" s="65">
        <f ca="1">IF($C$4=Year1,-PMT(Lookups!$E$17,25,NPV(Lookups!$E$17,G333:AE333),0,1),IF($C$4=Year2,-PMT(Lookups!$F$17,25,NPV(Lookups!$F$17,H333:AF333),0,1),IF($C$4=Year3,-PMT(Lookups!$G$17,25,NPV(Lookups!$G$17,I333:AG333),0,1),-PMT(Lookups!$G$17,27,NPV(Lookups!$G$17,G333:AG333),0,1))))</f>
        <v>750566.89614447288</v>
      </c>
      <c r="AM333" s="72">
        <f t="shared" ref="AM333:BB335" ca="1" si="373">SUMIFS(AM$9:AM$322,$D$9:$D$322,$D333,$E$9:$E$322,$E333)</f>
        <v>0</v>
      </c>
      <c r="AN333" s="72">
        <f t="shared" ca="1" si="373"/>
        <v>1409252.4218780305</v>
      </c>
      <c r="AO333" s="72">
        <f t="shared" ca="1" si="373"/>
        <v>1409252.4218780305</v>
      </c>
      <c r="AP333" s="72">
        <f t="shared" ca="1" si="373"/>
        <v>1409252.4218780305</v>
      </c>
      <c r="AQ333" s="72">
        <f t="shared" ca="1" si="373"/>
        <v>1409252.4218780305</v>
      </c>
      <c r="AR333" s="72">
        <f t="shared" ca="1" si="373"/>
        <v>1409252.4218780305</v>
      </c>
      <c r="AS333" s="72">
        <f t="shared" ca="1" si="373"/>
        <v>1409252.4218780305</v>
      </c>
      <c r="AT333" s="72">
        <f t="shared" ca="1" si="373"/>
        <v>1409252.4218780305</v>
      </c>
      <c r="AU333" s="72">
        <f t="shared" ca="1" si="373"/>
        <v>1409252.4218780305</v>
      </c>
      <c r="AV333" s="72">
        <f t="shared" ca="1" si="373"/>
        <v>1409252.4218780305</v>
      </c>
      <c r="AW333" s="72">
        <f t="shared" ca="1" si="373"/>
        <v>1409252.4218780305</v>
      </c>
      <c r="AX333" s="72">
        <f t="shared" ca="1" si="373"/>
        <v>1409252.4218780305</v>
      </c>
      <c r="AY333" s="72">
        <f t="shared" ca="1" si="373"/>
        <v>1409252.4218780305</v>
      </c>
      <c r="AZ333" s="72">
        <f t="shared" ca="1" si="373"/>
        <v>1409252.4218780305</v>
      </c>
      <c r="BA333" s="72">
        <f t="shared" ca="1" si="373"/>
        <v>660203.66942765808</v>
      </c>
      <c r="BB333" s="72">
        <f t="shared" ca="1" si="373"/>
        <v>660203.66942765808</v>
      </c>
      <c r="BC333" s="72">
        <f t="shared" ref="BC333:BM335" ca="1" si="374">SUMIFS(BC$9:BC$322,$D$9:$D$322,$D333,$E$9:$E$322,$E333)</f>
        <v>339254.19055733865</v>
      </c>
      <c r="BD333" s="72">
        <f t="shared" ca="1" si="374"/>
        <v>76437.719795001467</v>
      </c>
      <c r="BE333" s="72">
        <f t="shared" ca="1" si="374"/>
        <v>76437.719795001467</v>
      </c>
      <c r="BF333" s="72">
        <f t="shared" ca="1" si="374"/>
        <v>76437.719795001467</v>
      </c>
      <c r="BG333" s="72">
        <f t="shared" ca="1" si="374"/>
        <v>76437.719795001467</v>
      </c>
      <c r="BH333" s="72">
        <f t="shared" ca="1" si="374"/>
        <v>0</v>
      </c>
      <c r="BI333" s="72">
        <f t="shared" ca="1" si="374"/>
        <v>0</v>
      </c>
      <c r="BJ333" s="72">
        <f t="shared" ca="1" si="374"/>
        <v>0</v>
      </c>
      <c r="BK333" s="72">
        <f t="shared" ca="1" si="374"/>
        <v>0</v>
      </c>
      <c r="BL333" s="72">
        <f t="shared" ca="1" si="374"/>
        <v>0</v>
      </c>
      <c r="BM333" s="72">
        <f t="shared" ca="1" si="374"/>
        <v>0</v>
      </c>
      <c r="BN333" s="72"/>
      <c r="BO333" s="72">
        <f ca="1">NPV(Lookups!$E$17,AM333:BM333)</f>
        <v>17957726.782522451</v>
      </c>
      <c r="BP333" s="72">
        <f ca="1">IF($C$4=Year1,-PMT(Lookups!$E$17,25,NPV(Lookups!$E$17,AM333:BK333),0,1),IF($C$4=Year2,-PMT(Lookups!$F$17,25,NPV(Lookups!$F$17,AN333:BL333),0,1),IF($C$4=Year3,-PMT(Lookups!$G$17,25,NPV(Lookups!$G$17,AO333:BM333),0,1),-PMT(Lookups!$G$17,27,NPV(Lookups!$G$17,AM333:BM333),0,1))))</f>
        <v>857790.7378349565</v>
      </c>
      <c r="BS333" s="84" t="str">
        <f>"Avoided "&amp;E333&amp;" costs."</f>
        <v>Avoided Gas costs.</v>
      </c>
      <c r="BT333" s="51" t="s">
        <v>17</v>
      </c>
    </row>
    <row r="334" spans="1:72" x14ac:dyDescent="0.25">
      <c r="B334" s="243" t="str">
        <f t="shared" ref="B334:C334" si="375">B333</f>
        <v>Portfolio Total</v>
      </c>
      <c r="C334" s="243" t="str">
        <f t="shared" si="375"/>
        <v>Revenue Requirements</v>
      </c>
      <c r="D334" s="244" t="str">
        <f>D333</f>
        <v>Avoided Costs</v>
      </c>
      <c r="E334" s="84" t="s">
        <v>412</v>
      </c>
      <c r="F334" s="84" t="s">
        <v>32</v>
      </c>
      <c r="G334" s="65">
        <f t="shared" ca="1" si="371"/>
        <v>0</v>
      </c>
      <c r="H334" s="65">
        <f t="shared" ca="1" si="371"/>
        <v>78708.247026864425</v>
      </c>
      <c r="I334" s="65">
        <f t="shared" ca="1" si="371"/>
        <v>78708.247026864425</v>
      </c>
      <c r="J334" s="65">
        <f t="shared" ca="1" si="371"/>
        <v>78708.247026864425</v>
      </c>
      <c r="K334" s="65">
        <f t="shared" ca="1" si="371"/>
        <v>78708.247026864425</v>
      </c>
      <c r="L334" s="65">
        <f t="shared" ca="1" si="371"/>
        <v>78708.247026864425</v>
      </c>
      <c r="M334" s="65">
        <f t="shared" ca="1" si="371"/>
        <v>78708.247026864425</v>
      </c>
      <c r="N334" s="65">
        <f t="shared" ca="1" si="371"/>
        <v>78708.247026864425</v>
      </c>
      <c r="O334" s="65">
        <f t="shared" ca="1" si="371"/>
        <v>78708.247026864425</v>
      </c>
      <c r="P334" s="65">
        <f t="shared" ca="1" si="371"/>
        <v>78708.247026864425</v>
      </c>
      <c r="Q334" s="65">
        <f t="shared" ca="1" si="371"/>
        <v>78708.247026864425</v>
      </c>
      <c r="R334" s="65">
        <f t="shared" ca="1" si="371"/>
        <v>78708.247026864425</v>
      </c>
      <c r="S334" s="65">
        <f t="shared" ca="1" si="371"/>
        <v>78708.247026864425</v>
      </c>
      <c r="T334" s="65">
        <f t="shared" ca="1" si="371"/>
        <v>78708.247026864425</v>
      </c>
      <c r="U334" s="65">
        <f t="shared" ca="1" si="371"/>
        <v>36873.077286500993</v>
      </c>
      <c r="V334" s="65">
        <f t="shared" ca="1" si="371"/>
        <v>36873.077286500993</v>
      </c>
      <c r="W334" s="65">
        <f t="shared" ca="1" si="372"/>
        <v>18947.70745568936</v>
      </c>
      <c r="X334" s="65">
        <f t="shared" ca="1" si="372"/>
        <v>4269.1279698957251</v>
      </c>
      <c r="Y334" s="65">
        <f t="shared" ca="1" si="372"/>
        <v>4269.1279698957251</v>
      </c>
      <c r="Z334" s="65">
        <f t="shared" ca="1" si="372"/>
        <v>4269.1279698957251</v>
      </c>
      <c r="AA334" s="65">
        <f t="shared" ca="1" si="372"/>
        <v>4269.1279698957251</v>
      </c>
      <c r="AB334" s="65">
        <f t="shared" ca="1" si="372"/>
        <v>0</v>
      </c>
      <c r="AC334" s="65">
        <f t="shared" ca="1" si="372"/>
        <v>0</v>
      </c>
      <c r="AD334" s="65">
        <f t="shared" ca="1" si="372"/>
        <v>0</v>
      </c>
      <c r="AE334" s="65">
        <f t="shared" ca="1" si="372"/>
        <v>0</v>
      </c>
      <c r="AF334" s="65">
        <f t="shared" ca="1" si="372"/>
        <v>0</v>
      </c>
      <c r="AG334" s="65">
        <f t="shared" ca="1" si="372"/>
        <v>0</v>
      </c>
      <c r="AH334" s="65"/>
      <c r="AI334" s="65">
        <f ca="1">NPV(Lookups!$E$17,G334:AG334)</f>
        <v>1002958.1454886363</v>
      </c>
      <c r="AJ334" s="65">
        <f ca="1">IF($C$4=Year1,-PMT(Lookups!$E$17,25,NPV(Lookups!$E$17,G334:AE334),0,1),IF($C$4=Year2,-PMT(Lookups!$F$17,25,NPV(Lookups!$F$17,H334:AF334),0,1),IF($C$4=Year3,-PMT(Lookups!$G$17,25,NPV(Lookups!$G$17,I334:AG334),0,1),-PMT(Lookups!$G$17,27,NPV(Lookups!$G$17,G334:AG334),0,1))))</f>
        <v>47908.525285817414</v>
      </c>
      <c r="AM334" s="72">
        <f t="shared" ca="1" si="373"/>
        <v>0</v>
      </c>
      <c r="AN334" s="72">
        <f t="shared" ca="1" si="373"/>
        <v>89952.282247533862</v>
      </c>
      <c r="AO334" s="72">
        <f t="shared" ca="1" si="373"/>
        <v>89952.282247533862</v>
      </c>
      <c r="AP334" s="72">
        <f t="shared" ca="1" si="373"/>
        <v>89952.282247533862</v>
      </c>
      <c r="AQ334" s="72">
        <f t="shared" ca="1" si="373"/>
        <v>89952.282247533862</v>
      </c>
      <c r="AR334" s="72">
        <f t="shared" ca="1" si="373"/>
        <v>89952.282247533862</v>
      </c>
      <c r="AS334" s="72">
        <f t="shared" ca="1" si="373"/>
        <v>89952.282247533862</v>
      </c>
      <c r="AT334" s="72">
        <f t="shared" ca="1" si="373"/>
        <v>89952.282247533862</v>
      </c>
      <c r="AU334" s="72">
        <f t="shared" ca="1" si="373"/>
        <v>89952.282247533862</v>
      </c>
      <c r="AV334" s="72">
        <f t="shared" ca="1" si="373"/>
        <v>89952.282247533862</v>
      </c>
      <c r="AW334" s="72">
        <f t="shared" ca="1" si="373"/>
        <v>89952.282247533862</v>
      </c>
      <c r="AX334" s="72">
        <f t="shared" ca="1" si="373"/>
        <v>89952.282247533862</v>
      </c>
      <c r="AY334" s="72">
        <f t="shared" ca="1" si="373"/>
        <v>89952.282247533862</v>
      </c>
      <c r="AZ334" s="72">
        <f t="shared" ca="1" si="373"/>
        <v>89952.282247533862</v>
      </c>
      <c r="BA334" s="72">
        <f t="shared" ca="1" si="373"/>
        <v>42140.659750701576</v>
      </c>
      <c r="BB334" s="72">
        <f t="shared" ca="1" si="373"/>
        <v>42140.659750701576</v>
      </c>
      <c r="BC334" s="72">
        <f t="shared" ca="1" si="374"/>
        <v>21654.522801532254</v>
      </c>
      <c r="BD334" s="72">
        <f t="shared" ca="1" si="374"/>
        <v>4879.0033911703058</v>
      </c>
      <c r="BE334" s="72">
        <f t="shared" ca="1" si="374"/>
        <v>4879.0033911703058</v>
      </c>
      <c r="BF334" s="72">
        <f t="shared" ca="1" si="374"/>
        <v>4879.0033911703058</v>
      </c>
      <c r="BG334" s="72">
        <f t="shared" ca="1" si="374"/>
        <v>4879.0033911703058</v>
      </c>
      <c r="BH334" s="72">
        <f t="shared" ca="1" si="374"/>
        <v>0</v>
      </c>
      <c r="BI334" s="72">
        <f t="shared" ca="1" si="374"/>
        <v>0</v>
      </c>
      <c r="BJ334" s="72">
        <f t="shared" ca="1" si="374"/>
        <v>0</v>
      </c>
      <c r="BK334" s="72">
        <f t="shared" ca="1" si="374"/>
        <v>0</v>
      </c>
      <c r="BL334" s="72">
        <f t="shared" ca="1" si="374"/>
        <v>0</v>
      </c>
      <c r="BM334" s="72">
        <f t="shared" ca="1" si="374"/>
        <v>0</v>
      </c>
      <c r="BN334" s="72"/>
      <c r="BO334" s="72">
        <f ca="1">NPV(Lookups!$E$17,AM334:BM334)</f>
        <v>1146237.8797354749</v>
      </c>
      <c r="BP334" s="72">
        <f ca="1">IF($C$4=Year1,-PMT(Lookups!$E$17,25,NPV(Lookups!$E$17,AM334:BK334),0,1),IF($C$4=Year2,-PMT(Lookups!$F$17,25,NPV(Lookups!$F$17,AN334:BL334),0,1),IF($C$4=Year3,-PMT(Lookups!$G$17,25,NPV(Lookups!$G$17,AO334:BM334),0,1),-PMT(Lookups!$G$17,27,NPV(Lookups!$G$17,AM334:BM334),0,1))))</f>
        <v>54752.600287337635</v>
      </c>
      <c r="BS334" s="84" t="str">
        <f>"Avoided "&amp;E334&amp;" costs."</f>
        <v>Avoided Gas, Retail Margin costs.</v>
      </c>
      <c r="BT334" s="51"/>
    </row>
    <row r="335" spans="1:72" x14ac:dyDescent="0.25">
      <c r="A335" s="52" t="s">
        <v>17</v>
      </c>
      <c r="B335" s="243" t="str">
        <f t="shared" ref="B335:C336" si="376">B332</f>
        <v>Portfolio Total</v>
      </c>
      <c r="C335" s="243" t="str">
        <f t="shared" si="376"/>
        <v>Revenue Requirements</v>
      </c>
      <c r="D335" s="244" t="str">
        <f>D333</f>
        <v>Avoided Costs</v>
      </c>
      <c r="E335" s="86" t="s">
        <v>175</v>
      </c>
      <c r="F335" s="84" t="s">
        <v>32</v>
      </c>
      <c r="G335" s="65">
        <f t="shared" ca="1" si="371"/>
        <v>0</v>
      </c>
      <c r="H335" s="65">
        <f t="shared" ca="1" si="371"/>
        <v>55269.669509096071</v>
      </c>
      <c r="I335" s="65">
        <f t="shared" ca="1" si="371"/>
        <v>55269.669509096071</v>
      </c>
      <c r="J335" s="65">
        <f t="shared" ca="1" si="371"/>
        <v>55269.669509096071</v>
      </c>
      <c r="K335" s="65">
        <f t="shared" ca="1" si="371"/>
        <v>55269.669509096071</v>
      </c>
      <c r="L335" s="65">
        <f t="shared" ca="1" si="371"/>
        <v>55269.669509096071</v>
      </c>
      <c r="M335" s="65">
        <f t="shared" ca="1" si="371"/>
        <v>55269.669509096071</v>
      </c>
      <c r="N335" s="65">
        <f t="shared" ca="1" si="371"/>
        <v>55269.669509096071</v>
      </c>
      <c r="O335" s="65">
        <f t="shared" ca="1" si="371"/>
        <v>55269.669509096071</v>
      </c>
      <c r="P335" s="65">
        <f t="shared" ca="1" si="371"/>
        <v>55269.669509096071</v>
      </c>
      <c r="Q335" s="65">
        <f t="shared" ca="1" si="371"/>
        <v>55269.669509096071</v>
      </c>
      <c r="R335" s="65">
        <f t="shared" ca="1" si="371"/>
        <v>55269.669509096071</v>
      </c>
      <c r="S335" s="65">
        <f t="shared" ca="1" si="371"/>
        <v>55269.669509096071</v>
      </c>
      <c r="T335" s="65">
        <f t="shared" ca="1" si="371"/>
        <v>55269.669509096071</v>
      </c>
      <c r="U335" s="65">
        <f t="shared" ca="1" si="371"/>
        <v>22014.80055374117</v>
      </c>
      <c r="V335" s="65">
        <f t="shared" ca="1" si="371"/>
        <v>22014.80055374117</v>
      </c>
      <c r="W335" s="65">
        <f t="shared" ca="1" si="372"/>
        <v>10902.230983203646</v>
      </c>
      <c r="X335" s="65">
        <f t="shared" ca="1" si="372"/>
        <v>2284.1908439408512</v>
      </c>
      <c r="Y335" s="65">
        <f t="shared" ca="1" si="372"/>
        <v>2284.1908439408512</v>
      </c>
      <c r="Z335" s="65">
        <f t="shared" ca="1" si="372"/>
        <v>2284.1908439408512</v>
      </c>
      <c r="AA335" s="65">
        <f t="shared" ca="1" si="372"/>
        <v>2284.1908439408512</v>
      </c>
      <c r="AB335" s="65">
        <f t="shared" ca="1" si="372"/>
        <v>0</v>
      </c>
      <c r="AC335" s="65">
        <f t="shared" ca="1" si="372"/>
        <v>0</v>
      </c>
      <c r="AD335" s="65">
        <f t="shared" ca="1" si="372"/>
        <v>0</v>
      </c>
      <c r="AE335" s="65">
        <f t="shared" ca="1" si="372"/>
        <v>0</v>
      </c>
      <c r="AF335" s="65">
        <f t="shared" ca="1" si="372"/>
        <v>0</v>
      </c>
      <c r="AG335" s="65">
        <f t="shared" ca="1" si="372"/>
        <v>0</v>
      </c>
      <c r="AH335" s="65"/>
      <c r="AI335" s="65">
        <f ca="1">NPV(Lookups!$E$17,G335:AG335)</f>
        <v>693984.51090248814</v>
      </c>
      <c r="AJ335" s="65">
        <f ca="1">IF($C$4=Year1,-PMT(Lookups!$E$17,25,NPV(Lookups!$E$17,G335:AE335),0,1),IF($C$4=Year2,-PMT(Lookups!$F$17,25,NPV(Lookups!$F$17,H335:AF335),0,1),IF($C$4=Year3,-PMT(Lookups!$G$17,25,NPV(Lookups!$G$17,I335:AG335),0,1),-PMT(Lookups!$G$17,27,NPV(Lookups!$G$17,G335:AG335),0,1))))</f>
        <v>33149.712815123821</v>
      </c>
      <c r="AM335" s="72">
        <f t="shared" ca="1" si="373"/>
        <v>0</v>
      </c>
      <c r="AN335" s="72">
        <f t="shared" ca="1" si="373"/>
        <v>63165.336528315493</v>
      </c>
      <c r="AO335" s="72">
        <f t="shared" ca="1" si="373"/>
        <v>63165.336528315493</v>
      </c>
      <c r="AP335" s="72">
        <f t="shared" ca="1" si="373"/>
        <v>63165.336528315493</v>
      </c>
      <c r="AQ335" s="72">
        <f t="shared" ca="1" si="373"/>
        <v>63165.336528315493</v>
      </c>
      <c r="AR335" s="72">
        <f t="shared" ca="1" si="373"/>
        <v>63165.336528315493</v>
      </c>
      <c r="AS335" s="72">
        <f t="shared" ca="1" si="373"/>
        <v>63165.336528315493</v>
      </c>
      <c r="AT335" s="72">
        <f t="shared" ca="1" si="373"/>
        <v>63165.336528315493</v>
      </c>
      <c r="AU335" s="72">
        <f t="shared" ca="1" si="373"/>
        <v>63165.336528315493</v>
      </c>
      <c r="AV335" s="72">
        <f t="shared" ca="1" si="373"/>
        <v>63165.336528315493</v>
      </c>
      <c r="AW335" s="72">
        <f t="shared" ca="1" si="373"/>
        <v>63165.336528315493</v>
      </c>
      <c r="AX335" s="72">
        <f t="shared" ca="1" si="373"/>
        <v>63165.336528315493</v>
      </c>
      <c r="AY335" s="72">
        <f t="shared" ca="1" si="373"/>
        <v>63165.336528315493</v>
      </c>
      <c r="AZ335" s="72">
        <f t="shared" ca="1" si="373"/>
        <v>63165.336528315493</v>
      </c>
      <c r="BA335" s="72">
        <f t="shared" ca="1" si="373"/>
        <v>25159.772058452214</v>
      </c>
      <c r="BB335" s="72">
        <f t="shared" ca="1" si="373"/>
        <v>25159.772058452214</v>
      </c>
      <c r="BC335" s="72">
        <f t="shared" ca="1" si="374"/>
        <v>12459.69254947085</v>
      </c>
      <c r="BD335" s="72">
        <f t="shared" ca="1" si="374"/>
        <v>2610.5038200435547</v>
      </c>
      <c r="BE335" s="72">
        <f t="shared" ca="1" si="374"/>
        <v>2610.5038200435547</v>
      </c>
      <c r="BF335" s="72">
        <f t="shared" ca="1" si="374"/>
        <v>2610.5038200435547</v>
      </c>
      <c r="BG335" s="72">
        <f t="shared" ca="1" si="374"/>
        <v>2610.5038200435547</v>
      </c>
      <c r="BH335" s="72">
        <f t="shared" ca="1" si="374"/>
        <v>0</v>
      </c>
      <c r="BI335" s="72">
        <f t="shared" ca="1" si="374"/>
        <v>0</v>
      </c>
      <c r="BJ335" s="72">
        <f t="shared" ca="1" si="374"/>
        <v>0</v>
      </c>
      <c r="BK335" s="72">
        <f t="shared" ca="1" si="374"/>
        <v>0</v>
      </c>
      <c r="BL335" s="72">
        <f t="shared" ca="1" si="374"/>
        <v>0</v>
      </c>
      <c r="BM335" s="72">
        <f t="shared" ca="1" si="374"/>
        <v>0</v>
      </c>
      <c r="BN335" s="72"/>
      <c r="BO335" s="72">
        <f ca="1">NPV(Lookups!$E$17,AM335:BM335)</f>
        <v>793125.15468276199</v>
      </c>
      <c r="BP335" s="72">
        <f ca="1">IF($C$4=Year1,-PMT(Lookups!$E$17,25,NPV(Lookups!$E$17,AM335:BK335),0,1),IF($C$4=Year2,-PMT(Lookups!$F$17,25,NPV(Lookups!$F$17,AN335:BL335),0,1),IF($C$4=Year3,-PMT(Lookups!$G$17,25,NPV(Lookups!$G$17,AO335:BM335),0,1),-PMT(Lookups!$G$17,27,NPV(Lookups!$G$17,AM335:BM335),0,1))))</f>
        <v>37885.386044125269</v>
      </c>
      <c r="BS335" s="84" t="str">
        <f>"Avoided "&amp;E335&amp;" costs."</f>
        <v>Avoided Gas DRIPE costs.</v>
      </c>
      <c r="BT335" s="51" t="s">
        <v>17</v>
      </c>
    </row>
    <row r="336" spans="1:72" x14ac:dyDescent="0.25">
      <c r="A336" s="52" t="s">
        <v>17</v>
      </c>
      <c r="B336" s="243" t="str">
        <f t="shared" si="376"/>
        <v>Portfolio Total</v>
      </c>
      <c r="C336" s="243" t="str">
        <f t="shared" si="376"/>
        <v>Revenue Requirements</v>
      </c>
      <c r="D336" s="114" t="s">
        <v>165</v>
      </c>
      <c r="E336" s="84"/>
      <c r="F336" s="84"/>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S336" s="84"/>
      <c r="BT336" s="51" t="s">
        <v>17</v>
      </c>
    </row>
    <row r="337" spans="1:72" x14ac:dyDescent="0.25">
      <c r="A337" s="52" t="s">
        <v>17</v>
      </c>
      <c r="B337" s="243" t="str">
        <f t="shared" ref="B337:C337" si="377">B335</f>
        <v>Portfolio Total</v>
      </c>
      <c r="C337" s="243" t="str">
        <f t="shared" si="377"/>
        <v>Revenue Requirements</v>
      </c>
      <c r="D337" s="244" t="str">
        <f>D336</f>
        <v>Increased Costs and Cost Shifting</v>
      </c>
      <c r="E337" s="84" t="s">
        <v>406</v>
      </c>
      <c r="F337" s="84" t="s">
        <v>32</v>
      </c>
      <c r="G337" s="65">
        <f t="shared" ref="G337:AG337" ca="1" si="378">SUMIFS(G$9:G$322,$D$9:$D$322,$D337,$E$9:$E$322,$E337)</f>
        <v>0</v>
      </c>
      <c r="H337" s="65">
        <f t="shared" ca="1" si="378"/>
        <v>8850634.3129756711</v>
      </c>
      <c r="I337" s="65">
        <f t="shared" ca="1" si="378"/>
        <v>0</v>
      </c>
      <c r="J337" s="65">
        <f t="shared" ca="1" si="378"/>
        <v>0</v>
      </c>
      <c r="K337" s="65">
        <f t="shared" ca="1" si="378"/>
        <v>0</v>
      </c>
      <c r="L337" s="65">
        <f t="shared" ca="1" si="378"/>
        <v>0</v>
      </c>
      <c r="M337" s="65">
        <f t="shared" ca="1" si="378"/>
        <v>0</v>
      </c>
      <c r="N337" s="65">
        <f t="shared" ca="1" si="378"/>
        <v>0</v>
      </c>
      <c r="O337" s="65">
        <f t="shared" ca="1" si="378"/>
        <v>0</v>
      </c>
      <c r="P337" s="65">
        <f t="shared" ca="1" si="378"/>
        <v>0</v>
      </c>
      <c r="Q337" s="65">
        <f t="shared" ca="1" si="378"/>
        <v>0</v>
      </c>
      <c r="R337" s="65">
        <f t="shared" ca="1" si="378"/>
        <v>0</v>
      </c>
      <c r="S337" s="65">
        <f t="shared" ca="1" si="378"/>
        <v>0</v>
      </c>
      <c r="T337" s="65">
        <f t="shared" ca="1" si="378"/>
        <v>0</v>
      </c>
      <c r="U337" s="65">
        <f t="shared" ca="1" si="378"/>
        <v>0</v>
      </c>
      <c r="V337" s="65">
        <f t="shared" ca="1" si="378"/>
        <v>0</v>
      </c>
      <c r="W337" s="65">
        <f t="shared" ca="1" si="378"/>
        <v>0</v>
      </c>
      <c r="X337" s="65">
        <f t="shared" ca="1" si="378"/>
        <v>0</v>
      </c>
      <c r="Y337" s="65">
        <f t="shared" ca="1" si="378"/>
        <v>0</v>
      </c>
      <c r="Z337" s="65">
        <f t="shared" ca="1" si="378"/>
        <v>0</v>
      </c>
      <c r="AA337" s="65">
        <f t="shared" ca="1" si="378"/>
        <v>0</v>
      </c>
      <c r="AB337" s="65">
        <f t="shared" ca="1" si="378"/>
        <v>0</v>
      </c>
      <c r="AC337" s="65">
        <f t="shared" ca="1" si="378"/>
        <v>0</v>
      </c>
      <c r="AD337" s="65">
        <f t="shared" ca="1" si="378"/>
        <v>0</v>
      </c>
      <c r="AE337" s="65">
        <f t="shared" ca="1" si="378"/>
        <v>0</v>
      </c>
      <c r="AF337" s="65">
        <f t="shared" ca="1" si="378"/>
        <v>0</v>
      </c>
      <c r="AG337" s="65">
        <f t="shared" ca="1" si="378"/>
        <v>0</v>
      </c>
      <c r="AH337" s="49"/>
      <c r="AI337" s="65">
        <f ca="1">NPV(Lookups!$E$17,G337:AG337)</f>
        <v>8605481.0254268125</v>
      </c>
      <c r="AJ337" s="65">
        <f ca="1">IF($C$4=Year1,-PMT(Lookups!$E$17,25,NPV(Lookups!$E$17,G337:AE337),0,1),IF($C$4=Year2,-PMT(Lookups!$F$17,25,NPV(Lookups!$F$17,H337:AF337),0,1),IF($C$4=Year3,-PMT(Lookups!$G$17,25,NPV(Lookups!$G$17,I337:AG337),0,1),-PMT(Lookups!$G$17,27,NPV(Lookups!$G$17,G337:AG337),0,1))))</f>
        <v>411059.93022512773</v>
      </c>
      <c r="AM337" s="71">
        <f t="shared" ref="AM337:BM337" ca="1" si="379">SUMIFS(AM$9:AM$322,$D$9:$D$322,$D337,$E$9:$E$322,$E337)</f>
        <v>0</v>
      </c>
      <c r="AN337" s="71">
        <f t="shared" ca="1" si="379"/>
        <v>10581234.865064761</v>
      </c>
      <c r="AO337" s="71">
        <f t="shared" ca="1" si="379"/>
        <v>0</v>
      </c>
      <c r="AP337" s="71">
        <f t="shared" ca="1" si="379"/>
        <v>0</v>
      </c>
      <c r="AQ337" s="71">
        <f t="shared" ca="1" si="379"/>
        <v>0</v>
      </c>
      <c r="AR337" s="71">
        <f t="shared" ca="1" si="379"/>
        <v>0</v>
      </c>
      <c r="AS337" s="71">
        <f t="shared" ca="1" si="379"/>
        <v>0</v>
      </c>
      <c r="AT337" s="71">
        <f t="shared" ca="1" si="379"/>
        <v>0</v>
      </c>
      <c r="AU337" s="71">
        <f t="shared" ca="1" si="379"/>
        <v>0</v>
      </c>
      <c r="AV337" s="71">
        <f t="shared" ca="1" si="379"/>
        <v>0</v>
      </c>
      <c r="AW337" s="71">
        <f t="shared" ca="1" si="379"/>
        <v>0</v>
      </c>
      <c r="AX337" s="71">
        <f t="shared" ca="1" si="379"/>
        <v>0</v>
      </c>
      <c r="AY337" s="71">
        <f t="shared" ca="1" si="379"/>
        <v>0</v>
      </c>
      <c r="AZ337" s="71">
        <f t="shared" ca="1" si="379"/>
        <v>0</v>
      </c>
      <c r="BA337" s="71">
        <f t="shared" ca="1" si="379"/>
        <v>0</v>
      </c>
      <c r="BB337" s="71">
        <f t="shared" ca="1" si="379"/>
        <v>0</v>
      </c>
      <c r="BC337" s="71">
        <f t="shared" ca="1" si="379"/>
        <v>0</v>
      </c>
      <c r="BD337" s="71">
        <f t="shared" ca="1" si="379"/>
        <v>0</v>
      </c>
      <c r="BE337" s="71">
        <f t="shared" ca="1" si="379"/>
        <v>0</v>
      </c>
      <c r="BF337" s="71">
        <f t="shared" ca="1" si="379"/>
        <v>0</v>
      </c>
      <c r="BG337" s="71">
        <f t="shared" ca="1" si="379"/>
        <v>0</v>
      </c>
      <c r="BH337" s="71">
        <f t="shared" ca="1" si="379"/>
        <v>0</v>
      </c>
      <c r="BI337" s="71">
        <f t="shared" ca="1" si="379"/>
        <v>0</v>
      </c>
      <c r="BJ337" s="71">
        <f t="shared" ca="1" si="379"/>
        <v>0</v>
      </c>
      <c r="BK337" s="71">
        <f t="shared" ca="1" si="379"/>
        <v>0</v>
      </c>
      <c r="BL337" s="71">
        <f t="shared" ca="1" si="379"/>
        <v>0</v>
      </c>
      <c r="BM337" s="71">
        <f t="shared" ca="1" si="379"/>
        <v>0</v>
      </c>
      <c r="BN337" s="71"/>
      <c r="BO337" s="71">
        <f ca="1">NPV(Lookups!$E$17,AM337:BM337)</f>
        <v>10288145.757350279</v>
      </c>
      <c r="BP337" s="72">
        <f ca="1">IF($C$4=Year1,-PMT(Lookups!$E$17,25,NPV(Lookups!$E$17,AM337:BK337),0,1),IF($C$4=Year2,-PMT(Lookups!$F$17,25,NPV(Lookups!$F$17,AN337:BL337),0,1),IF($C$4=Year3,-PMT(Lookups!$G$17,25,NPV(Lookups!$G$17,AO337:BM337),0,1),-PMT(Lookups!$G$17,27,NPV(Lookups!$G$17,AM337:BM337),0,1))))</f>
        <v>491436.15152560256</v>
      </c>
      <c r="BS337" s="84" t="s">
        <v>404</v>
      </c>
      <c r="BT337" s="51" t="s">
        <v>17</v>
      </c>
    </row>
    <row r="338" spans="1:72" x14ac:dyDescent="0.25">
      <c r="A338" s="52" t="s">
        <v>17</v>
      </c>
      <c r="B338" s="243" t="str">
        <f>B336</f>
        <v>Portfolio Total</v>
      </c>
      <c r="C338" s="243" t="str">
        <f>C336</f>
        <v>Revenue Requirements</v>
      </c>
      <c r="D338" s="114" t="s">
        <v>125</v>
      </c>
      <c r="E338" s="84"/>
      <c r="F338" s="84"/>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S338" s="84"/>
      <c r="BT338" s="51" t="s">
        <v>17</v>
      </c>
    </row>
    <row r="339" spans="1:72" x14ac:dyDescent="0.25">
      <c r="A339" s="1"/>
      <c r="B339" s="243" t="str">
        <f t="shared" ref="B339:C340" si="380">B338</f>
        <v>Portfolio Total</v>
      </c>
      <c r="C339" s="243" t="str">
        <f t="shared" si="380"/>
        <v>Revenue Requirements</v>
      </c>
      <c r="D339" s="244" t="str">
        <f>D338</f>
        <v>Revenue Requirement after DSM Scenario</v>
      </c>
      <c r="E339" s="84" t="s">
        <v>26</v>
      </c>
      <c r="F339" s="84" t="s">
        <v>32</v>
      </c>
      <c r="G339" s="64">
        <f ca="1">G328-G334</f>
        <v>0</v>
      </c>
      <c r="H339" s="64">
        <f ca="1">H328-H334</f>
        <v>43258707.396837175</v>
      </c>
      <c r="I339" s="64">
        <f t="shared" ref="I339:AG339" ca="1" si="381">I328-I334</f>
        <v>43258707.396837175</v>
      </c>
      <c r="J339" s="64">
        <f t="shared" ca="1" si="381"/>
        <v>43258707.396837175</v>
      </c>
      <c r="K339" s="64">
        <f t="shared" ca="1" si="381"/>
        <v>43258707.396837175</v>
      </c>
      <c r="L339" s="64">
        <f t="shared" ca="1" si="381"/>
        <v>43258707.396837175</v>
      </c>
      <c r="M339" s="64">
        <f t="shared" ca="1" si="381"/>
        <v>43258707.396837175</v>
      </c>
      <c r="N339" s="64">
        <f t="shared" ca="1" si="381"/>
        <v>43258707.396837175</v>
      </c>
      <c r="O339" s="64">
        <f t="shared" ca="1" si="381"/>
        <v>43258707.396837175</v>
      </c>
      <c r="P339" s="64">
        <f t="shared" ca="1" si="381"/>
        <v>43258707.396837175</v>
      </c>
      <c r="Q339" s="64">
        <f t="shared" ca="1" si="381"/>
        <v>43258707.396837175</v>
      </c>
      <c r="R339" s="64">
        <f t="shared" ca="1" si="381"/>
        <v>43258707.396837175</v>
      </c>
      <c r="S339" s="64">
        <f t="shared" ca="1" si="381"/>
        <v>43258707.396837175</v>
      </c>
      <c r="T339" s="64">
        <f t="shared" ca="1" si="381"/>
        <v>43258707.396837175</v>
      </c>
      <c r="U339" s="64">
        <f t="shared" ca="1" si="381"/>
        <v>43300542.566577531</v>
      </c>
      <c r="V339" s="64">
        <f t="shared" ca="1" si="381"/>
        <v>43300542.566577531</v>
      </c>
      <c r="W339" s="64">
        <f t="shared" ca="1" si="381"/>
        <v>43318467.936408348</v>
      </c>
      <c r="X339" s="64">
        <f t="shared" ca="1" si="381"/>
        <v>43333146.515894137</v>
      </c>
      <c r="Y339" s="64">
        <f t="shared" ca="1" si="381"/>
        <v>43333146.515894137</v>
      </c>
      <c r="Z339" s="64">
        <f t="shared" ca="1" si="381"/>
        <v>43333146.515894137</v>
      </c>
      <c r="AA339" s="64">
        <f t="shared" ca="1" si="381"/>
        <v>43333146.515894137</v>
      </c>
      <c r="AB339" s="64">
        <f t="shared" ca="1" si="381"/>
        <v>43337415.643864036</v>
      </c>
      <c r="AC339" s="64">
        <f t="shared" ca="1" si="381"/>
        <v>43337415.643864036</v>
      </c>
      <c r="AD339" s="64">
        <f t="shared" ca="1" si="381"/>
        <v>43337415.643864036</v>
      </c>
      <c r="AE339" s="64">
        <f t="shared" ca="1" si="381"/>
        <v>43337415.643864036</v>
      </c>
      <c r="AF339" s="64">
        <f t="shared" ca="1" si="381"/>
        <v>43337415.643864036</v>
      </c>
      <c r="AG339" s="64">
        <f t="shared" ca="1" si="381"/>
        <v>43337415.643864036</v>
      </c>
      <c r="AH339" s="64"/>
      <c r="AI339" s="64">
        <f ca="1">NPV(Lookups!$E$17,G339:AG339)</f>
        <v>923266450.56325889</v>
      </c>
      <c r="AJ339" s="65">
        <f ca="1">IF($C$4=Year1,-PMT(Lookups!$E$17,25,NPV(Lookups!$E$17,G339:AE339),0,1),IF($C$4=Year2,-PMT(Lookups!$F$17,25,NPV(Lookups!$F$17,H339:AF339),0,1),IF($C$4=Year3,-PMT(Lookups!$G$17,25,NPV(Lookups!$G$17,I339:AG339),0,1),-PMT(Lookups!$G$17,27,NPV(Lookups!$G$17,G339:AG339),0,1))))</f>
        <v>42685091.830179542</v>
      </c>
      <c r="AM339" s="71">
        <f t="shared" ref="AM339:BM339" ca="1" si="382">AM328-AM334</f>
        <v>0</v>
      </c>
      <c r="AN339" s="71">
        <f t="shared" ca="1" si="382"/>
        <v>43247463.3616165</v>
      </c>
      <c r="AO339" s="71">
        <f t="shared" ca="1" si="382"/>
        <v>43247463.3616165</v>
      </c>
      <c r="AP339" s="71">
        <f t="shared" ca="1" si="382"/>
        <v>43247463.3616165</v>
      </c>
      <c r="AQ339" s="71">
        <f t="shared" ca="1" si="382"/>
        <v>43247463.3616165</v>
      </c>
      <c r="AR339" s="71">
        <f t="shared" ca="1" si="382"/>
        <v>43247463.3616165</v>
      </c>
      <c r="AS339" s="71">
        <f t="shared" ca="1" si="382"/>
        <v>43247463.3616165</v>
      </c>
      <c r="AT339" s="71">
        <f t="shared" ca="1" si="382"/>
        <v>43247463.3616165</v>
      </c>
      <c r="AU339" s="71">
        <f t="shared" ca="1" si="382"/>
        <v>43247463.3616165</v>
      </c>
      <c r="AV339" s="71">
        <f t="shared" ca="1" si="382"/>
        <v>43247463.3616165</v>
      </c>
      <c r="AW339" s="71">
        <f t="shared" ca="1" si="382"/>
        <v>43247463.3616165</v>
      </c>
      <c r="AX339" s="71">
        <f t="shared" ca="1" si="382"/>
        <v>43247463.3616165</v>
      </c>
      <c r="AY339" s="71">
        <f t="shared" ca="1" si="382"/>
        <v>43247463.3616165</v>
      </c>
      <c r="AZ339" s="71">
        <f t="shared" ca="1" si="382"/>
        <v>43247463.3616165</v>
      </c>
      <c r="BA339" s="71">
        <f t="shared" ca="1" si="382"/>
        <v>43295274.984113336</v>
      </c>
      <c r="BB339" s="71">
        <f t="shared" ca="1" si="382"/>
        <v>43295274.984113336</v>
      </c>
      <c r="BC339" s="71">
        <f t="shared" ca="1" si="382"/>
        <v>43315761.121062502</v>
      </c>
      <c r="BD339" s="71">
        <f t="shared" ca="1" si="382"/>
        <v>43332536.640472867</v>
      </c>
      <c r="BE339" s="71">
        <f t="shared" ca="1" si="382"/>
        <v>43332536.640472867</v>
      </c>
      <c r="BF339" s="71">
        <f t="shared" ca="1" si="382"/>
        <v>43332536.640472867</v>
      </c>
      <c r="BG339" s="71">
        <f t="shared" ca="1" si="382"/>
        <v>43332536.640472867</v>
      </c>
      <c r="BH339" s="71">
        <f t="shared" ca="1" si="382"/>
        <v>43337415.643864036</v>
      </c>
      <c r="BI339" s="71">
        <f t="shared" ca="1" si="382"/>
        <v>43337415.643864036</v>
      </c>
      <c r="BJ339" s="71">
        <f t="shared" ca="1" si="382"/>
        <v>43337415.643864036</v>
      </c>
      <c r="BK339" s="71">
        <f t="shared" ca="1" si="382"/>
        <v>43337415.643864036</v>
      </c>
      <c r="BL339" s="71">
        <f t="shared" ca="1" si="382"/>
        <v>43337415.643864036</v>
      </c>
      <c r="BM339" s="71">
        <f t="shared" ca="1" si="382"/>
        <v>43337415.643864036</v>
      </c>
      <c r="BN339" s="71"/>
      <c r="BO339" s="71">
        <f ca="1">NPV(Lookups!$E$17,AM339:BM339)</f>
        <v>923123170.82901192</v>
      </c>
      <c r="BP339" s="71">
        <f ca="1">IF($C$4=Year1,-PMT(Lookups!$E$17,25,NPV(Lookups!$E$17,AM339:BK339),0,1),IF($C$4=Year2,-PMT(Lookups!$F$17,25,NPV(Lookups!$F$17,AN339:BL339),0,1),IF($C$4=Year3,-PMT(Lookups!$G$17,25,NPV(Lookups!$G$17,AO339:BM339),0,1),-PMT(Lookups!$G$17,27,NPV(Lookups!$G$17,AM339:BM339),0,1))))</f>
        <v>42678247.755178012</v>
      </c>
      <c r="BS339" s="84" t="s">
        <v>229</v>
      </c>
      <c r="BT339" s="51" t="s">
        <v>17</v>
      </c>
    </row>
    <row r="340" spans="1:72" x14ac:dyDescent="0.25">
      <c r="A340" s="1"/>
      <c r="B340" s="243" t="str">
        <f t="shared" si="380"/>
        <v>Portfolio Total</v>
      </c>
      <c r="C340" s="243" t="str">
        <f t="shared" si="380"/>
        <v>Revenue Requirements</v>
      </c>
      <c r="D340" s="244" t="str">
        <f>D339</f>
        <v>Revenue Requirement after DSM Scenario</v>
      </c>
      <c r="E340" s="84" t="s">
        <v>407</v>
      </c>
      <c r="F340" s="84" t="s">
        <v>32</v>
      </c>
      <c r="G340" s="64">
        <f>G329</f>
        <v>0</v>
      </c>
      <c r="H340" s="64">
        <f t="shared" ref="H340:AG340" si="383">H329</f>
        <v>-1915965.2564594061</v>
      </c>
      <c r="I340" s="64">
        <f t="shared" si="383"/>
        <v>-1915965.2564594061</v>
      </c>
      <c r="J340" s="64">
        <f t="shared" si="383"/>
        <v>-1915965.2564594061</v>
      </c>
      <c r="K340" s="64">
        <f t="shared" si="383"/>
        <v>-1915965.2564594061</v>
      </c>
      <c r="L340" s="64">
        <f t="shared" si="383"/>
        <v>-1915965.2564594061</v>
      </c>
      <c r="M340" s="64">
        <f t="shared" si="383"/>
        <v>-1915965.2564594061</v>
      </c>
      <c r="N340" s="64">
        <f t="shared" si="383"/>
        <v>-1915965.2564594061</v>
      </c>
      <c r="O340" s="64">
        <f t="shared" si="383"/>
        <v>-1915965.2564594061</v>
      </c>
      <c r="P340" s="64">
        <f t="shared" si="383"/>
        <v>-1915965.2564594061</v>
      </c>
      <c r="Q340" s="64">
        <f t="shared" si="383"/>
        <v>-1915965.2564594061</v>
      </c>
      <c r="R340" s="64">
        <f t="shared" si="383"/>
        <v>-1915965.2564594061</v>
      </c>
      <c r="S340" s="64">
        <f t="shared" si="383"/>
        <v>-1915965.2564594061</v>
      </c>
      <c r="T340" s="64">
        <f t="shared" si="383"/>
        <v>-1915965.2564594061</v>
      </c>
      <c r="U340" s="64">
        <f t="shared" si="383"/>
        <v>-1915965.2564594061</v>
      </c>
      <c r="V340" s="64">
        <f t="shared" si="383"/>
        <v>-1915965.2564594061</v>
      </c>
      <c r="W340" s="64">
        <f t="shared" si="383"/>
        <v>-1915965.2564594061</v>
      </c>
      <c r="X340" s="64">
        <f t="shared" si="383"/>
        <v>-1915965.2564594061</v>
      </c>
      <c r="Y340" s="64">
        <f t="shared" si="383"/>
        <v>-1915965.2564594061</v>
      </c>
      <c r="Z340" s="64">
        <f t="shared" si="383"/>
        <v>-1915965.2564594061</v>
      </c>
      <c r="AA340" s="64">
        <f t="shared" si="383"/>
        <v>-1915965.2564594061</v>
      </c>
      <c r="AB340" s="64">
        <f t="shared" si="383"/>
        <v>-1915965.2564594061</v>
      </c>
      <c r="AC340" s="64">
        <f t="shared" si="383"/>
        <v>-1915965.2564594061</v>
      </c>
      <c r="AD340" s="64">
        <f t="shared" si="383"/>
        <v>-1915965.2564594061</v>
      </c>
      <c r="AE340" s="64">
        <f t="shared" si="383"/>
        <v>-1915965.2564594061</v>
      </c>
      <c r="AF340" s="64">
        <f t="shared" si="383"/>
        <v>-1915965.2564594061</v>
      </c>
      <c r="AG340" s="64">
        <f t="shared" si="383"/>
        <v>-1915965.2564594061</v>
      </c>
      <c r="AH340" s="64"/>
      <c r="AI340" s="64">
        <f>NPV(Lookups!$E$17,G340:AG340)</f>
        <v>-40862336.814146616</v>
      </c>
      <c r="AJ340" s="65">
        <f>IF($C$4=Year1,-PMT(Lookups!$E$17,25,NPV(Lookups!$E$17,G340:AE340),0,1),IF($C$4=Year2,-PMT(Lookups!$F$17,25,NPV(Lookups!$F$17,H340:AF340),0,1),IF($C$4=Year3,-PMT(Lookups!$G$17,25,NPV(Lookups!$G$17,I340:AG340),0,1),-PMT(Lookups!$G$17,27,NPV(Lookups!$G$17,G340:AG340),0,1))))</f>
        <v>-1889243.8039722238</v>
      </c>
      <c r="AM340" s="71">
        <f t="shared" ref="AM340:BM340" si="384">AM329</f>
        <v>0</v>
      </c>
      <c r="AN340" s="71">
        <f t="shared" si="384"/>
        <v>-1915965.2564594061</v>
      </c>
      <c r="AO340" s="71">
        <f t="shared" si="384"/>
        <v>-1915965.2564594061</v>
      </c>
      <c r="AP340" s="71">
        <f t="shared" si="384"/>
        <v>-1915965.2564594061</v>
      </c>
      <c r="AQ340" s="71">
        <f t="shared" si="384"/>
        <v>-1915965.2564594061</v>
      </c>
      <c r="AR340" s="71">
        <f t="shared" si="384"/>
        <v>-1915965.2564594061</v>
      </c>
      <c r="AS340" s="71">
        <f t="shared" si="384"/>
        <v>-1915965.2564594061</v>
      </c>
      <c r="AT340" s="71">
        <f t="shared" si="384"/>
        <v>-1915965.2564594061</v>
      </c>
      <c r="AU340" s="71">
        <f t="shared" si="384"/>
        <v>-1915965.2564594061</v>
      </c>
      <c r="AV340" s="71">
        <f t="shared" si="384"/>
        <v>-1915965.2564594061</v>
      </c>
      <c r="AW340" s="71">
        <f t="shared" si="384"/>
        <v>-1915965.2564594061</v>
      </c>
      <c r="AX340" s="71">
        <f t="shared" si="384"/>
        <v>-1915965.2564594061</v>
      </c>
      <c r="AY340" s="71">
        <f t="shared" si="384"/>
        <v>-1915965.2564594061</v>
      </c>
      <c r="AZ340" s="71">
        <f t="shared" si="384"/>
        <v>-1915965.2564594061</v>
      </c>
      <c r="BA340" s="71">
        <f t="shared" si="384"/>
        <v>-1915965.2564594061</v>
      </c>
      <c r="BB340" s="71">
        <f t="shared" si="384"/>
        <v>-1915965.2564594061</v>
      </c>
      <c r="BC340" s="71">
        <f t="shared" si="384"/>
        <v>-1915965.2564594061</v>
      </c>
      <c r="BD340" s="71">
        <f t="shared" si="384"/>
        <v>-1915965.2564594061</v>
      </c>
      <c r="BE340" s="71">
        <f t="shared" si="384"/>
        <v>-1915965.2564594061</v>
      </c>
      <c r="BF340" s="71">
        <f t="shared" si="384"/>
        <v>-1915965.2564594061</v>
      </c>
      <c r="BG340" s="71">
        <f t="shared" si="384"/>
        <v>-1915965.2564594061</v>
      </c>
      <c r="BH340" s="71">
        <f t="shared" si="384"/>
        <v>-1915965.2564594061</v>
      </c>
      <c r="BI340" s="71">
        <f t="shared" si="384"/>
        <v>-1915965.2564594061</v>
      </c>
      <c r="BJ340" s="71">
        <f t="shared" si="384"/>
        <v>-1915965.2564594061</v>
      </c>
      <c r="BK340" s="71">
        <f t="shared" si="384"/>
        <v>-1915965.2564594061</v>
      </c>
      <c r="BL340" s="71">
        <f t="shared" si="384"/>
        <v>-1915965.2564594061</v>
      </c>
      <c r="BM340" s="71">
        <f t="shared" si="384"/>
        <v>-1915965.2564594061</v>
      </c>
      <c r="BN340" s="71"/>
      <c r="BO340" s="71">
        <f>NPV(Lookups!$E$17,AM340:BM340)</f>
        <v>-40862336.814146616</v>
      </c>
      <c r="BP340" s="71">
        <f>IF($C$4=Year1,-PMT(Lookups!$E$17,25,NPV(Lookups!$E$17,AM340:BK340),0,1),IF($C$4=Year2,-PMT(Lookups!$F$17,25,NPV(Lookups!$F$17,AN340:BL340),0,1),IF($C$4=Year3,-PMT(Lookups!$G$17,25,NPV(Lookups!$G$17,AO340:BM340),0,1),-PMT(Lookups!$G$17,27,NPV(Lookups!$G$17,AM340:BM340),0,1))))</f>
        <v>-1889243.8039722238</v>
      </c>
      <c r="BS340" s="84" t="s">
        <v>230</v>
      </c>
      <c r="BT340" s="51" t="s">
        <v>17</v>
      </c>
    </row>
    <row r="341" spans="1:72" x14ac:dyDescent="0.25">
      <c r="A341" s="1"/>
      <c r="B341" s="243" t="str">
        <f>B339</f>
        <v>Portfolio Total</v>
      </c>
      <c r="C341" s="243" t="str">
        <f>C339</f>
        <v>Revenue Requirements</v>
      </c>
      <c r="D341" s="244" t="str">
        <f>D339</f>
        <v>Revenue Requirement after DSM Scenario</v>
      </c>
      <c r="E341" s="84" t="s">
        <v>197</v>
      </c>
      <c r="F341" s="84" t="s">
        <v>32</v>
      </c>
      <c r="G341" s="64">
        <f ca="1">G330-G333-G335</f>
        <v>0</v>
      </c>
      <c r="H341" s="64">
        <f t="shared" ref="H341:AG341" ca="1" si="385">H330-H333-H335</f>
        <v>58104044.489901565</v>
      </c>
      <c r="I341" s="64">
        <f t="shared" ca="1" si="385"/>
        <v>58104044.489901565</v>
      </c>
      <c r="J341" s="64">
        <f t="shared" ca="1" si="385"/>
        <v>58104044.489901565</v>
      </c>
      <c r="K341" s="64">
        <f t="shared" ca="1" si="385"/>
        <v>58104044.489901565</v>
      </c>
      <c r="L341" s="64">
        <f t="shared" ca="1" si="385"/>
        <v>58104044.489901565</v>
      </c>
      <c r="M341" s="64">
        <f t="shared" ca="1" si="385"/>
        <v>58104044.489901565</v>
      </c>
      <c r="N341" s="64">
        <f t="shared" ca="1" si="385"/>
        <v>58104044.489901565</v>
      </c>
      <c r="O341" s="64">
        <f t="shared" ca="1" si="385"/>
        <v>58104044.489901565</v>
      </c>
      <c r="P341" s="64">
        <f t="shared" ca="1" si="385"/>
        <v>58104044.489901565</v>
      </c>
      <c r="Q341" s="64">
        <f t="shared" ca="1" si="385"/>
        <v>58104044.489901565</v>
      </c>
      <c r="R341" s="64">
        <f t="shared" ca="1" si="385"/>
        <v>58104044.489901565</v>
      </c>
      <c r="S341" s="64">
        <f t="shared" ca="1" si="385"/>
        <v>58104044.489901565</v>
      </c>
      <c r="T341" s="64">
        <f t="shared" ca="1" si="385"/>
        <v>58104044.489901565</v>
      </c>
      <c r="U341" s="64">
        <f t="shared" ca="1" si="385"/>
        <v>58792717.018122613</v>
      </c>
      <c r="V341" s="64">
        <f t="shared" ca="1" si="385"/>
        <v>58792717.018122613</v>
      </c>
      <c r="W341" s="64">
        <f t="shared" ca="1" si="385"/>
        <v>59084660.381709196</v>
      </c>
      <c r="X341" s="64">
        <f t="shared" ca="1" si="385"/>
        <v>59323242.833792567</v>
      </c>
      <c r="Y341" s="64">
        <f t="shared" ca="1" si="385"/>
        <v>59323242.833792567</v>
      </c>
      <c r="Z341" s="64">
        <f t="shared" ca="1" si="385"/>
        <v>59323242.833792567</v>
      </c>
      <c r="AA341" s="64">
        <f t="shared" ca="1" si="385"/>
        <v>59323242.833792567</v>
      </c>
      <c r="AB341" s="64">
        <f t="shared" ca="1" si="385"/>
        <v>59392410.029498205</v>
      </c>
      <c r="AC341" s="64">
        <f t="shared" ca="1" si="385"/>
        <v>59392410.029498205</v>
      </c>
      <c r="AD341" s="64">
        <f t="shared" ca="1" si="385"/>
        <v>59392410.029498205</v>
      </c>
      <c r="AE341" s="64">
        <f t="shared" ca="1" si="385"/>
        <v>59392410.029498205</v>
      </c>
      <c r="AF341" s="64">
        <f t="shared" ca="1" si="385"/>
        <v>59392410.029498205</v>
      </c>
      <c r="AG341" s="64">
        <f t="shared" ca="1" si="385"/>
        <v>59392410.029498205</v>
      </c>
      <c r="AH341" s="64"/>
      <c r="AI341" s="64">
        <f ca="1">NPV(Lookups!$E$17,G341:AG341)</f>
        <v>1250271852.0051188</v>
      </c>
      <c r="AJ341" s="65">
        <f ca="1">IF($C$4=Year1,-PMT(Lookups!$E$17,25,NPV(Lookups!$E$17,G341:AE341),0,1),IF($C$4=Year2,-PMT(Lookups!$F$17,25,NPV(Lookups!$F$17,H341:AF341),0,1),IF($C$4=Year3,-PMT(Lookups!$G$17,25,NPV(Lookups!$G$17,I341:AG341),0,1),-PMT(Lookups!$G$17,27,NPV(Lookups!$G$17,G341:AG341),0,1))))</f>
        <v>57780363.44046618</v>
      </c>
      <c r="AM341" s="71">
        <f t="shared" ref="AM341:BM341" ca="1" si="386">AM330-AM333-AM335</f>
        <v>0</v>
      </c>
      <c r="AN341" s="71">
        <f t="shared" ca="1" si="386"/>
        <v>57919992.271091856</v>
      </c>
      <c r="AO341" s="71">
        <f t="shared" ca="1" si="386"/>
        <v>57919992.271091856</v>
      </c>
      <c r="AP341" s="71">
        <f t="shared" ca="1" si="386"/>
        <v>57919992.271091856</v>
      </c>
      <c r="AQ341" s="71">
        <f t="shared" ca="1" si="386"/>
        <v>57919992.271091856</v>
      </c>
      <c r="AR341" s="71">
        <f t="shared" ca="1" si="386"/>
        <v>57919992.271091856</v>
      </c>
      <c r="AS341" s="71">
        <f t="shared" ca="1" si="386"/>
        <v>57919992.271091856</v>
      </c>
      <c r="AT341" s="71">
        <f t="shared" ca="1" si="386"/>
        <v>57919992.271091856</v>
      </c>
      <c r="AU341" s="71">
        <f t="shared" ca="1" si="386"/>
        <v>57919992.271091856</v>
      </c>
      <c r="AV341" s="71">
        <f t="shared" ca="1" si="386"/>
        <v>57919992.271091856</v>
      </c>
      <c r="AW341" s="71">
        <f t="shared" ca="1" si="386"/>
        <v>57919992.271091856</v>
      </c>
      <c r="AX341" s="71">
        <f t="shared" ca="1" si="386"/>
        <v>57919992.271091856</v>
      </c>
      <c r="AY341" s="71">
        <f t="shared" ca="1" si="386"/>
        <v>57919992.271091856</v>
      </c>
      <c r="AZ341" s="71">
        <f t="shared" ca="1" si="386"/>
        <v>57919992.271091856</v>
      </c>
      <c r="BA341" s="71">
        <f t="shared" ca="1" si="386"/>
        <v>58707046.588012099</v>
      </c>
      <c r="BB341" s="71">
        <f t="shared" ca="1" si="386"/>
        <v>58707046.588012099</v>
      </c>
      <c r="BC341" s="71">
        <f t="shared" ca="1" si="386"/>
        <v>59040696.146391392</v>
      </c>
      <c r="BD341" s="71">
        <f t="shared" ca="1" si="386"/>
        <v>59313361.805883154</v>
      </c>
      <c r="BE341" s="71">
        <f t="shared" ca="1" si="386"/>
        <v>59313361.805883154</v>
      </c>
      <c r="BF341" s="71">
        <f t="shared" ca="1" si="386"/>
        <v>59313361.805883154</v>
      </c>
      <c r="BG341" s="71">
        <f t="shared" ca="1" si="386"/>
        <v>59313361.805883154</v>
      </c>
      <c r="BH341" s="71">
        <f t="shared" ca="1" si="386"/>
        <v>59392410.029498205</v>
      </c>
      <c r="BI341" s="71">
        <f t="shared" ca="1" si="386"/>
        <v>59392410.029498205</v>
      </c>
      <c r="BJ341" s="71">
        <f t="shared" ca="1" si="386"/>
        <v>59392410.029498205</v>
      </c>
      <c r="BK341" s="71">
        <f t="shared" ca="1" si="386"/>
        <v>59392410.029498205</v>
      </c>
      <c r="BL341" s="71">
        <f t="shared" ca="1" si="386"/>
        <v>59392410.029498205</v>
      </c>
      <c r="BM341" s="71">
        <f t="shared" ca="1" si="386"/>
        <v>59392410.029498205</v>
      </c>
      <c r="BN341" s="71"/>
      <c r="BO341" s="71">
        <f ca="1">NPV(Lookups!$E$17,AM341:BM341)</f>
        <v>1247927995.5248046</v>
      </c>
      <c r="BP341" s="71">
        <f ca="1">IF($C$4=Year1,-PMT(Lookups!$E$17,25,NPV(Lookups!$E$17,AM341:BK341),0,1),IF($C$4=Year2,-PMT(Lookups!$F$17,25,NPV(Lookups!$F$17,AN341:BL341),0,1),IF($C$4=Year3,-PMT(Lookups!$G$17,25,NPV(Lookups!$G$17,AO341:BM341),0,1),-PMT(Lookups!$G$17,27,NPV(Lookups!$G$17,AM341:BM341),0,1))))</f>
        <v>57668403.925546691</v>
      </c>
      <c r="BS341" s="84" t="s">
        <v>231</v>
      </c>
      <c r="BT341" s="51" t="s">
        <v>17</v>
      </c>
    </row>
    <row r="342" spans="1:72" x14ac:dyDescent="0.25">
      <c r="A342" s="52" t="s">
        <v>17</v>
      </c>
      <c r="B342" s="243" t="str">
        <f t="shared" ref="B342:C346" si="387">B340</f>
        <v>Portfolio Total</v>
      </c>
      <c r="C342" s="243" t="str">
        <f t="shared" si="387"/>
        <v>Revenue Requirements</v>
      </c>
      <c r="D342" s="244" t="str">
        <f t="shared" ref="D342:D346" si="388">D341</f>
        <v>Revenue Requirement after DSM Scenario</v>
      </c>
      <c r="E342" s="84" t="s">
        <v>272</v>
      </c>
      <c r="F342" s="84" t="s">
        <v>32</v>
      </c>
      <c r="G342" s="64">
        <f ca="1">SUM(G339:G341)</f>
        <v>0</v>
      </c>
      <c r="H342" s="64">
        <f ca="1">SUM(H339:H341)</f>
        <v>99446786.630279332</v>
      </c>
      <c r="I342" s="64">
        <f t="shared" ref="I342:AG342" ca="1" si="389">SUM(I339:I341)</f>
        <v>99446786.630279332</v>
      </c>
      <c r="J342" s="64">
        <f t="shared" ca="1" si="389"/>
        <v>99446786.630279332</v>
      </c>
      <c r="K342" s="64">
        <f t="shared" ca="1" si="389"/>
        <v>99446786.630279332</v>
      </c>
      <c r="L342" s="64">
        <f t="shared" ca="1" si="389"/>
        <v>99446786.630279332</v>
      </c>
      <c r="M342" s="64">
        <f t="shared" ca="1" si="389"/>
        <v>99446786.630279332</v>
      </c>
      <c r="N342" s="64">
        <f t="shared" ca="1" si="389"/>
        <v>99446786.630279332</v>
      </c>
      <c r="O342" s="64">
        <f t="shared" ca="1" si="389"/>
        <v>99446786.630279332</v>
      </c>
      <c r="P342" s="64">
        <f t="shared" ca="1" si="389"/>
        <v>99446786.630279332</v>
      </c>
      <c r="Q342" s="64">
        <f t="shared" ca="1" si="389"/>
        <v>99446786.630279332</v>
      </c>
      <c r="R342" s="64">
        <f t="shared" ca="1" si="389"/>
        <v>99446786.630279332</v>
      </c>
      <c r="S342" s="64">
        <f t="shared" ca="1" si="389"/>
        <v>99446786.630279332</v>
      </c>
      <c r="T342" s="64">
        <f t="shared" ca="1" si="389"/>
        <v>99446786.630279332</v>
      </c>
      <c r="U342" s="64">
        <f t="shared" ca="1" si="389"/>
        <v>100177294.32824074</v>
      </c>
      <c r="V342" s="64">
        <f t="shared" ca="1" si="389"/>
        <v>100177294.32824074</v>
      </c>
      <c r="W342" s="64">
        <f t="shared" ca="1" si="389"/>
        <v>100487163.06165814</v>
      </c>
      <c r="X342" s="64">
        <f t="shared" ca="1" si="389"/>
        <v>100740424.0932273</v>
      </c>
      <c r="Y342" s="64">
        <f t="shared" ca="1" si="389"/>
        <v>100740424.0932273</v>
      </c>
      <c r="Z342" s="64">
        <f t="shared" ca="1" si="389"/>
        <v>100740424.0932273</v>
      </c>
      <c r="AA342" s="64">
        <f t="shared" ca="1" si="389"/>
        <v>100740424.0932273</v>
      </c>
      <c r="AB342" s="64">
        <f t="shared" ca="1" si="389"/>
        <v>100813860.41690284</v>
      </c>
      <c r="AC342" s="64">
        <f t="shared" ca="1" si="389"/>
        <v>100813860.41690284</v>
      </c>
      <c r="AD342" s="64">
        <f t="shared" ca="1" si="389"/>
        <v>100813860.41690284</v>
      </c>
      <c r="AE342" s="64">
        <f t="shared" ca="1" si="389"/>
        <v>100813860.41690284</v>
      </c>
      <c r="AF342" s="64">
        <f t="shared" ca="1" si="389"/>
        <v>100813860.41690284</v>
      </c>
      <c r="AG342" s="64">
        <f t="shared" ca="1" si="389"/>
        <v>100813860.41690284</v>
      </c>
      <c r="AH342" s="64"/>
      <c r="AI342" s="64">
        <f ca="1">NPV(Lookups!$E$17,G342:AG342)</f>
        <v>2132675965.7542315</v>
      </c>
      <c r="AJ342" s="65">
        <f ca="1">IF($C$4=Year1,-PMT(Lookups!$E$17,25,NPV(Lookups!$E$17,G342:AE342),0,1),IF($C$4=Year2,-PMT(Lookups!$F$17,25,NPV(Lookups!$F$17,H342:AF342),0,1),IF($C$4=Year3,-PMT(Lookups!$G$17,25,NPV(Lookups!$G$17,I342:AG342),0,1),-PMT(Lookups!$G$17,27,NPV(Lookups!$G$17,G342:AG342),0,1))))</f>
        <v>98576211.466673493</v>
      </c>
      <c r="AM342" s="71">
        <f t="shared" ref="AM342:BM342" ca="1" si="390">SUM(AM339:AM341)</f>
        <v>0</v>
      </c>
      <c r="AN342" s="71">
        <f t="shared" ca="1" si="390"/>
        <v>99251490.376248956</v>
      </c>
      <c r="AO342" s="71">
        <f t="shared" ca="1" si="390"/>
        <v>99251490.376248956</v>
      </c>
      <c r="AP342" s="71">
        <f t="shared" ca="1" si="390"/>
        <v>99251490.376248956</v>
      </c>
      <c r="AQ342" s="71">
        <f t="shared" ca="1" si="390"/>
        <v>99251490.376248956</v>
      </c>
      <c r="AR342" s="71">
        <f t="shared" ca="1" si="390"/>
        <v>99251490.376248956</v>
      </c>
      <c r="AS342" s="71">
        <f t="shared" ca="1" si="390"/>
        <v>99251490.376248956</v>
      </c>
      <c r="AT342" s="71">
        <f t="shared" ca="1" si="390"/>
        <v>99251490.376248956</v>
      </c>
      <c r="AU342" s="71">
        <f t="shared" ca="1" si="390"/>
        <v>99251490.376248956</v>
      </c>
      <c r="AV342" s="71">
        <f t="shared" ca="1" si="390"/>
        <v>99251490.376248956</v>
      </c>
      <c r="AW342" s="71">
        <f t="shared" ca="1" si="390"/>
        <v>99251490.376248956</v>
      </c>
      <c r="AX342" s="71">
        <f t="shared" ca="1" si="390"/>
        <v>99251490.376248956</v>
      </c>
      <c r="AY342" s="71">
        <f t="shared" ca="1" si="390"/>
        <v>99251490.376248956</v>
      </c>
      <c r="AZ342" s="71">
        <f t="shared" ca="1" si="390"/>
        <v>99251490.376248956</v>
      </c>
      <c r="BA342" s="71">
        <f t="shared" ca="1" si="390"/>
        <v>100086356.31566602</v>
      </c>
      <c r="BB342" s="71">
        <f t="shared" ca="1" si="390"/>
        <v>100086356.31566602</v>
      </c>
      <c r="BC342" s="71">
        <f t="shared" ca="1" si="390"/>
        <v>100440492.01099449</v>
      </c>
      <c r="BD342" s="71">
        <f t="shared" ca="1" si="390"/>
        <v>100729933.18989661</v>
      </c>
      <c r="BE342" s="71">
        <f t="shared" ca="1" si="390"/>
        <v>100729933.18989661</v>
      </c>
      <c r="BF342" s="71">
        <f t="shared" ca="1" si="390"/>
        <v>100729933.18989661</v>
      </c>
      <c r="BG342" s="71">
        <f t="shared" ca="1" si="390"/>
        <v>100729933.18989661</v>
      </c>
      <c r="BH342" s="71">
        <f t="shared" ca="1" si="390"/>
        <v>100813860.41690284</v>
      </c>
      <c r="BI342" s="71">
        <f t="shared" ca="1" si="390"/>
        <v>100813860.41690284</v>
      </c>
      <c r="BJ342" s="71">
        <f t="shared" ca="1" si="390"/>
        <v>100813860.41690284</v>
      </c>
      <c r="BK342" s="71">
        <f t="shared" ca="1" si="390"/>
        <v>100813860.41690284</v>
      </c>
      <c r="BL342" s="71">
        <f t="shared" ca="1" si="390"/>
        <v>100813860.41690284</v>
      </c>
      <c r="BM342" s="71">
        <f t="shared" ca="1" si="390"/>
        <v>100813860.41690284</v>
      </c>
      <c r="BN342" s="71"/>
      <c r="BO342" s="71">
        <f ca="1">NPV(Lookups!$E$17,AM342:BM342)</f>
        <v>2130188829.5396702</v>
      </c>
      <c r="BP342" s="71">
        <f ca="1">IF($C$4=Year1,-PMT(Lookups!$E$17,25,NPV(Lookups!$E$17,AM342:BK342),0,1),IF($C$4=Year2,-PMT(Lookups!$F$17,25,NPV(Lookups!$F$17,AN342:BL342),0,1),IF($C$4=Year3,-PMT(Lookups!$G$17,25,NPV(Lookups!$G$17,AO342:BM342),0,1),-PMT(Lookups!$G$17,27,NPV(Lookups!$G$17,AM342:BM342),0,1))))</f>
        <v>98457407.876752496</v>
      </c>
      <c r="BS342" s="84"/>
      <c r="BT342" s="51" t="s">
        <v>17</v>
      </c>
    </row>
    <row r="343" spans="1:72" x14ac:dyDescent="0.25">
      <c r="A343" s="52" t="s">
        <v>17</v>
      </c>
      <c r="B343" s="243" t="str">
        <f t="shared" si="387"/>
        <v>Portfolio Total</v>
      </c>
      <c r="C343" s="243" t="str">
        <f t="shared" si="387"/>
        <v>Revenue Requirements</v>
      </c>
      <c r="D343" s="114" t="s">
        <v>273</v>
      </c>
      <c r="E343" s="84"/>
      <c r="F343" s="8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S343" s="84"/>
      <c r="BT343" s="51" t="s">
        <v>17</v>
      </c>
    </row>
    <row r="344" spans="1:72" x14ac:dyDescent="0.25">
      <c r="A344" s="52" t="s">
        <v>17</v>
      </c>
      <c r="B344" s="243" t="str">
        <f t="shared" si="387"/>
        <v>Portfolio Total</v>
      </c>
      <c r="C344" s="243" t="str">
        <f t="shared" si="387"/>
        <v>Revenue Requirements</v>
      </c>
      <c r="D344" s="244" t="str">
        <f t="shared" ref="D344:D345" si="391">D343</f>
        <v>Change in Revenue</v>
      </c>
      <c r="E344" s="84" t="s">
        <v>273</v>
      </c>
      <c r="F344" s="84" t="s">
        <v>32</v>
      </c>
      <c r="G344" s="64">
        <f ca="1">G342-G331</f>
        <v>0</v>
      </c>
      <c r="H344" s="64">
        <f t="shared" ref="H344:AG344" ca="1" si="392">H342-H331</f>
        <v>-1367073.7866235077</v>
      </c>
      <c r="I344" s="64">
        <f t="shared" ca="1" si="392"/>
        <v>-1367073.7866235077</v>
      </c>
      <c r="J344" s="64">
        <f t="shared" ca="1" si="392"/>
        <v>-1367073.7866235077</v>
      </c>
      <c r="K344" s="64">
        <f t="shared" ca="1" si="392"/>
        <v>-1367073.7866235077</v>
      </c>
      <c r="L344" s="64">
        <f t="shared" ca="1" si="392"/>
        <v>-1367073.7866235077</v>
      </c>
      <c r="M344" s="64">
        <f t="shared" ca="1" si="392"/>
        <v>-1367073.7866235077</v>
      </c>
      <c r="N344" s="64">
        <f t="shared" ca="1" si="392"/>
        <v>-1367073.7866235077</v>
      </c>
      <c r="O344" s="64">
        <f t="shared" ca="1" si="392"/>
        <v>-1367073.7866235077</v>
      </c>
      <c r="P344" s="64">
        <f t="shared" ca="1" si="392"/>
        <v>-1367073.7866235077</v>
      </c>
      <c r="Q344" s="64">
        <f t="shared" ca="1" si="392"/>
        <v>-1367073.7866235077</v>
      </c>
      <c r="R344" s="64">
        <f t="shared" ca="1" si="392"/>
        <v>-1367073.7866235077</v>
      </c>
      <c r="S344" s="64">
        <f t="shared" ca="1" si="392"/>
        <v>-1367073.7866235077</v>
      </c>
      <c r="T344" s="64">
        <f t="shared" ca="1" si="392"/>
        <v>-1367073.7866235077</v>
      </c>
      <c r="U344" s="64">
        <f t="shared" ca="1" si="392"/>
        <v>-636566.08866210282</v>
      </c>
      <c r="V344" s="64">
        <f t="shared" ca="1" si="392"/>
        <v>-636566.08866210282</v>
      </c>
      <c r="W344" s="64">
        <f t="shared" ca="1" si="392"/>
        <v>-326697.35524469614</v>
      </c>
      <c r="X344" s="64">
        <f t="shared" ca="1" si="392"/>
        <v>-73436.32367554307</v>
      </c>
      <c r="Y344" s="64">
        <f t="shared" ca="1" si="392"/>
        <v>-73436.32367554307</v>
      </c>
      <c r="Z344" s="64">
        <f t="shared" ca="1" si="392"/>
        <v>-73436.32367554307</v>
      </c>
      <c r="AA344" s="64">
        <f t="shared" ca="1" si="392"/>
        <v>-73436.32367554307</v>
      </c>
      <c r="AB344" s="64">
        <f t="shared" ca="1" si="392"/>
        <v>0</v>
      </c>
      <c r="AC344" s="64">
        <f t="shared" ca="1" si="392"/>
        <v>0</v>
      </c>
      <c r="AD344" s="64">
        <f t="shared" ca="1" si="392"/>
        <v>0</v>
      </c>
      <c r="AE344" s="64">
        <f t="shared" ca="1" si="392"/>
        <v>0</v>
      </c>
      <c r="AF344" s="64">
        <f t="shared" ca="1" si="392"/>
        <v>0</v>
      </c>
      <c r="AG344" s="64">
        <f t="shared" ca="1" si="392"/>
        <v>0</v>
      </c>
      <c r="AH344" s="64"/>
      <c r="AI344" s="64">
        <f ca="1">NPV(Lookups!$E$17,G344:AG344)</f>
        <v>-17409953.602379855</v>
      </c>
      <c r="AJ344" s="65">
        <f ca="1">IF($C$4=Year1,-PMT(Lookups!$E$17,25,NPV(Lookups!$E$17,G344:AE344),0,1),IF($C$4=Year2,-PMT(Lookups!$F$17,25,NPV(Lookups!$F$17,H344:AF344),0,1),IF($C$4=Year3,-PMT(Lookups!$G$17,25,NPV(Lookups!$G$17,I344:AG344),0,1),-PMT(Lookups!$G$17,27,NPV(Lookups!$G$17,G344:AG344),0,1))))</f>
        <v>-831625.13424541848</v>
      </c>
      <c r="AM344" s="71">
        <f ca="1">AM342-AM331</f>
        <v>0</v>
      </c>
      <c r="AN344" s="71">
        <f t="shared" ref="AN344:BM344" ca="1" si="393">AN342-AN331</f>
        <v>-1562370.0406538844</v>
      </c>
      <c r="AO344" s="71">
        <f t="shared" ca="1" si="393"/>
        <v>-1562370.0406538844</v>
      </c>
      <c r="AP344" s="71">
        <f t="shared" ca="1" si="393"/>
        <v>-1562370.0406538844</v>
      </c>
      <c r="AQ344" s="71">
        <f t="shared" ca="1" si="393"/>
        <v>-1562370.0406538844</v>
      </c>
      <c r="AR344" s="71">
        <f t="shared" ca="1" si="393"/>
        <v>-1562370.0406538844</v>
      </c>
      <c r="AS344" s="71">
        <f t="shared" ca="1" si="393"/>
        <v>-1562370.0406538844</v>
      </c>
      <c r="AT344" s="71">
        <f t="shared" ca="1" si="393"/>
        <v>-1562370.0406538844</v>
      </c>
      <c r="AU344" s="71">
        <f t="shared" ca="1" si="393"/>
        <v>-1562370.0406538844</v>
      </c>
      <c r="AV344" s="71">
        <f t="shared" ca="1" si="393"/>
        <v>-1562370.0406538844</v>
      </c>
      <c r="AW344" s="71">
        <f t="shared" ca="1" si="393"/>
        <v>-1562370.0406538844</v>
      </c>
      <c r="AX344" s="71">
        <f t="shared" ca="1" si="393"/>
        <v>-1562370.0406538844</v>
      </c>
      <c r="AY344" s="71">
        <f t="shared" ca="1" si="393"/>
        <v>-1562370.0406538844</v>
      </c>
      <c r="AZ344" s="71">
        <f t="shared" ca="1" si="393"/>
        <v>-1562370.0406538844</v>
      </c>
      <c r="BA344" s="71">
        <f t="shared" ca="1" si="393"/>
        <v>-727504.10123682022</v>
      </c>
      <c r="BB344" s="71">
        <f t="shared" ca="1" si="393"/>
        <v>-727504.10123682022</v>
      </c>
      <c r="BC344" s="71">
        <f t="shared" ca="1" si="393"/>
        <v>-373368.40590834618</v>
      </c>
      <c r="BD344" s="71">
        <f t="shared" ca="1" si="393"/>
        <v>-83927.227006226778</v>
      </c>
      <c r="BE344" s="71">
        <f t="shared" ca="1" si="393"/>
        <v>-83927.227006226778</v>
      </c>
      <c r="BF344" s="71">
        <f t="shared" ca="1" si="393"/>
        <v>-83927.227006226778</v>
      </c>
      <c r="BG344" s="71">
        <f t="shared" ca="1" si="393"/>
        <v>-83927.227006226778</v>
      </c>
      <c r="BH344" s="71">
        <f t="shared" ca="1" si="393"/>
        <v>0</v>
      </c>
      <c r="BI344" s="71">
        <f t="shared" ca="1" si="393"/>
        <v>0</v>
      </c>
      <c r="BJ344" s="71">
        <f t="shared" ca="1" si="393"/>
        <v>0</v>
      </c>
      <c r="BK344" s="71">
        <f t="shared" ca="1" si="393"/>
        <v>0</v>
      </c>
      <c r="BL344" s="71">
        <f t="shared" ca="1" si="393"/>
        <v>0</v>
      </c>
      <c r="BM344" s="71">
        <f t="shared" ca="1" si="393"/>
        <v>0</v>
      </c>
      <c r="BN344" s="71"/>
      <c r="BO344" s="71">
        <f ca="1">NPV(Lookups!$E$17,AM344:BM344)</f>
        <v>-19897089.816940784</v>
      </c>
      <c r="BP344" s="71">
        <f ca="1">IF($C$4=Year1,-PMT(Lookups!$E$17,25,NPV(Lookups!$E$17,AM344:BK344),0,1),IF($C$4=Year2,-PMT(Lookups!$F$17,25,NPV(Lookups!$F$17,AN344:BL344),0,1),IF($C$4=Year3,-PMT(Lookups!$G$17,25,NPV(Lookups!$G$17,AO344:BM344),0,1),-PMT(Lookups!$G$17,27,NPV(Lookups!$G$17,AM344:BM344),0,1))))</f>
        <v>-950428.72416642413</v>
      </c>
      <c r="BS344" s="84"/>
      <c r="BT344" s="51" t="s">
        <v>17</v>
      </c>
    </row>
    <row r="345" spans="1:72" x14ac:dyDescent="0.25">
      <c r="A345" s="52" t="s">
        <v>17</v>
      </c>
      <c r="B345" s="243" t="str">
        <f t="shared" si="387"/>
        <v>Portfolio Total</v>
      </c>
      <c r="C345" s="243" t="str">
        <f t="shared" si="387"/>
        <v>Revenue Requirements</v>
      </c>
      <c r="D345" s="244" t="str">
        <f t="shared" si="391"/>
        <v>Change in Revenue</v>
      </c>
      <c r="E345" s="84" t="s">
        <v>273</v>
      </c>
      <c r="F345" s="84" t="s">
        <v>16</v>
      </c>
      <c r="G345" s="224">
        <f ca="1">IFERROR(G342/G331-1,0)</f>
        <v>0</v>
      </c>
      <c r="H345" s="224">
        <f t="shared" ref="H345:AI345" ca="1" si="394">IFERROR(H342/H331-1,0)</f>
        <v>-1.3560375338967812E-2</v>
      </c>
      <c r="I345" s="224">
        <f t="shared" ca="1" si="394"/>
        <v>-1.3560375338967812E-2</v>
      </c>
      <c r="J345" s="224">
        <f t="shared" ca="1" si="394"/>
        <v>-1.3560375338967812E-2</v>
      </c>
      <c r="K345" s="224">
        <f t="shared" ca="1" si="394"/>
        <v>-1.3560375338967812E-2</v>
      </c>
      <c r="L345" s="224">
        <f t="shared" ca="1" si="394"/>
        <v>-1.3560375338967812E-2</v>
      </c>
      <c r="M345" s="224">
        <f t="shared" ca="1" si="394"/>
        <v>-1.3560375338967812E-2</v>
      </c>
      <c r="N345" s="224">
        <f t="shared" ca="1" si="394"/>
        <v>-1.3560375338967812E-2</v>
      </c>
      <c r="O345" s="224">
        <f t="shared" ca="1" si="394"/>
        <v>-1.3560375338967812E-2</v>
      </c>
      <c r="P345" s="224">
        <f t="shared" ca="1" si="394"/>
        <v>-1.3560375338967812E-2</v>
      </c>
      <c r="Q345" s="224">
        <f t="shared" ca="1" si="394"/>
        <v>-1.3560375338967812E-2</v>
      </c>
      <c r="R345" s="224">
        <f t="shared" ca="1" si="394"/>
        <v>-1.3560375338967812E-2</v>
      </c>
      <c r="S345" s="224">
        <f t="shared" ca="1" si="394"/>
        <v>-1.3560375338967812E-2</v>
      </c>
      <c r="T345" s="224">
        <f t="shared" ca="1" si="394"/>
        <v>-1.3560375338967812E-2</v>
      </c>
      <c r="U345" s="224">
        <f t="shared" ca="1" si="394"/>
        <v>-6.3142715300223973E-3</v>
      </c>
      <c r="V345" s="224">
        <f t="shared" ca="1" si="394"/>
        <v>-6.3142715300223973E-3</v>
      </c>
      <c r="W345" s="224">
        <f t="shared" ca="1" si="394"/>
        <v>-3.2405995950723909E-3</v>
      </c>
      <c r="X345" s="224">
        <f t="shared" ca="1" si="394"/>
        <v>-7.284347943016245E-4</v>
      </c>
      <c r="Y345" s="224">
        <f t="shared" ca="1" si="394"/>
        <v>-7.284347943016245E-4</v>
      </c>
      <c r="Z345" s="224">
        <f t="shared" ca="1" si="394"/>
        <v>-7.284347943016245E-4</v>
      </c>
      <c r="AA345" s="224">
        <f t="shared" ca="1" si="394"/>
        <v>-7.284347943016245E-4</v>
      </c>
      <c r="AB345" s="224">
        <f t="shared" ca="1" si="394"/>
        <v>0</v>
      </c>
      <c r="AC345" s="224">
        <f t="shared" ca="1" si="394"/>
        <v>0</v>
      </c>
      <c r="AD345" s="224">
        <f t="shared" ca="1" si="394"/>
        <v>0</v>
      </c>
      <c r="AE345" s="224">
        <f t="shared" ca="1" si="394"/>
        <v>0</v>
      </c>
      <c r="AF345" s="224">
        <f t="shared" ca="1" si="394"/>
        <v>0</v>
      </c>
      <c r="AG345" s="224">
        <f t="shared" ca="1" si="394"/>
        <v>0</v>
      </c>
      <c r="AH345" s="224">
        <f t="shared" si="394"/>
        <v>0</v>
      </c>
      <c r="AI345" s="224">
        <f t="shared" ca="1" si="394"/>
        <v>-8.0973292488653037E-3</v>
      </c>
      <c r="AJ345" s="224">
        <f ca="1">IFERROR(AJ342/AJ331-1,0)</f>
        <v>-8.3657904917904258E-3</v>
      </c>
      <c r="AK345" s="212"/>
      <c r="AL345" s="212"/>
      <c r="AM345" s="504">
        <f ca="1">IFERROR(AM342/AM331-1,0)</f>
        <v>0</v>
      </c>
      <c r="AN345" s="504">
        <f t="shared" ref="AN345:BM345" ca="1" si="395">IFERROR(AN342/AN331-1,0)</f>
        <v>-1.5497571804044652E-2</v>
      </c>
      <c r="AO345" s="504">
        <f t="shared" ca="1" si="395"/>
        <v>-1.5497571804044652E-2</v>
      </c>
      <c r="AP345" s="504">
        <f t="shared" ca="1" si="395"/>
        <v>-1.5497571804044652E-2</v>
      </c>
      <c r="AQ345" s="504">
        <f t="shared" ca="1" si="395"/>
        <v>-1.5497571804044652E-2</v>
      </c>
      <c r="AR345" s="504">
        <f t="shared" ca="1" si="395"/>
        <v>-1.5497571804044652E-2</v>
      </c>
      <c r="AS345" s="504">
        <f t="shared" ca="1" si="395"/>
        <v>-1.5497571804044652E-2</v>
      </c>
      <c r="AT345" s="504">
        <f t="shared" ca="1" si="395"/>
        <v>-1.5497571804044652E-2</v>
      </c>
      <c r="AU345" s="504">
        <f t="shared" ca="1" si="395"/>
        <v>-1.5497571804044652E-2</v>
      </c>
      <c r="AV345" s="504">
        <f t="shared" ca="1" si="395"/>
        <v>-1.5497571804044652E-2</v>
      </c>
      <c r="AW345" s="504">
        <f t="shared" ca="1" si="395"/>
        <v>-1.5497571804044652E-2</v>
      </c>
      <c r="AX345" s="504">
        <f t="shared" ca="1" si="395"/>
        <v>-1.5497571804044652E-2</v>
      </c>
      <c r="AY345" s="504">
        <f t="shared" ca="1" si="395"/>
        <v>-1.5497571804044652E-2</v>
      </c>
      <c r="AZ345" s="504">
        <f t="shared" ca="1" si="395"/>
        <v>-1.5497571804044652E-2</v>
      </c>
      <c r="BA345" s="504">
        <f t="shared" ca="1" si="395"/>
        <v>-7.2163103191199562E-3</v>
      </c>
      <c r="BB345" s="504">
        <f t="shared" ca="1" si="395"/>
        <v>-7.2163103191199562E-3</v>
      </c>
      <c r="BC345" s="504">
        <f t="shared" ca="1" si="395"/>
        <v>-3.7035423935194434E-3</v>
      </c>
      <c r="BD345" s="504">
        <f t="shared" ca="1" si="395"/>
        <v>-8.3249690726217018E-4</v>
      </c>
      <c r="BE345" s="504">
        <f t="shared" ca="1" si="395"/>
        <v>-8.3249690726217018E-4</v>
      </c>
      <c r="BF345" s="504">
        <f t="shared" ca="1" si="395"/>
        <v>-8.3249690726217018E-4</v>
      </c>
      <c r="BG345" s="504">
        <f t="shared" ca="1" si="395"/>
        <v>-8.3249690726217018E-4</v>
      </c>
      <c r="BH345" s="504">
        <f t="shared" ca="1" si="395"/>
        <v>0</v>
      </c>
      <c r="BI345" s="504">
        <f t="shared" ca="1" si="395"/>
        <v>0</v>
      </c>
      <c r="BJ345" s="504">
        <f t="shared" ca="1" si="395"/>
        <v>0</v>
      </c>
      <c r="BK345" s="504">
        <f t="shared" ca="1" si="395"/>
        <v>0</v>
      </c>
      <c r="BL345" s="504">
        <f t="shared" ca="1" si="395"/>
        <v>0</v>
      </c>
      <c r="BM345" s="504">
        <f t="shared" ca="1" si="395"/>
        <v>0</v>
      </c>
      <c r="BN345" s="504"/>
      <c r="BO345" s="504">
        <f ca="1">IFERROR(BO342/BO331-1,0)</f>
        <v>-9.2540905634576065E-3</v>
      </c>
      <c r="BP345" s="504">
        <f ca="1">IFERROR(BP342/BP331-1,0)</f>
        <v>-9.5609034122933201E-3</v>
      </c>
      <c r="BS345" s="84"/>
      <c r="BT345" s="51" t="s">
        <v>17</v>
      </c>
    </row>
    <row r="346" spans="1:72" x14ac:dyDescent="0.25">
      <c r="A346" s="52" t="s">
        <v>17</v>
      </c>
      <c r="B346" s="243" t="str">
        <f t="shared" si="387"/>
        <v>Portfolio Total</v>
      </c>
      <c r="C346" s="243" t="str">
        <f t="shared" si="387"/>
        <v>Revenue Requirements</v>
      </c>
      <c r="D346" s="244" t="str">
        <f t="shared" si="388"/>
        <v>Change in Revenue</v>
      </c>
      <c r="E346" s="84" t="s">
        <v>17</v>
      </c>
      <c r="F346" s="84"/>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S346" s="84"/>
      <c r="BT346" s="51" t="s">
        <v>17</v>
      </c>
    </row>
    <row r="348" spans="1:72" x14ac:dyDescent="0.25">
      <c r="H348" s="22"/>
    </row>
  </sheetData>
  <autoFilter ref="A8:BT346" xr:uid="{00000000-0009-0000-0000-000007000000}"/>
  <pageMargins left="0.7" right="0.7" top="0.75" bottom="0.75" header="0.3" footer="0.3"/>
  <pageSetup scale="18" fitToWidth="2" fitToHeight="4" orientation="landscape" horizontalDpi="300" verticalDpi="300" r:id="rId1"/>
  <colBreaks count="2" manualBreakCount="2">
    <brk id="38" min="1" max="517" man="1"/>
    <brk id="70" min="1" max="517"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8FFFDFD-14DE-471C-8C23-DE81C61A602F}">
          <x14:formula1>
            <xm:f>Lookups!$D$37:$D$40</xm:f>
          </x14:formula1>
          <xm:sqref>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36</vt:i4>
      </vt:variant>
    </vt:vector>
  </HeadingPairs>
  <TitlesOfParts>
    <vt:vector size="56" baseType="lpstr">
      <vt:lpstr>Instructions</vt:lpstr>
      <vt:lpstr>Overview</vt:lpstr>
      <vt:lpstr>Utility rates</vt:lpstr>
      <vt:lpstr>Lookups</vt:lpstr>
      <vt:lpstr>EE Inputs</vt:lpstr>
      <vt:lpstr>R&amp;B Inputs</vt:lpstr>
      <vt:lpstr>Multi-Year Inputs</vt:lpstr>
      <vt:lpstr>Yr1</vt:lpstr>
      <vt:lpstr>Yr2</vt:lpstr>
      <vt:lpstr>Yr3</vt:lpstr>
      <vt:lpstr>YrAll</vt:lpstr>
      <vt:lpstr>Output Summary</vt:lpstr>
      <vt:lpstr>Rates_Res</vt:lpstr>
      <vt:lpstr>Rates_LI</vt:lpstr>
      <vt:lpstr>Rates_Small</vt:lpstr>
      <vt:lpstr>Rates_Large</vt:lpstr>
      <vt:lpstr>Bills_Res</vt:lpstr>
      <vt:lpstr>Bills_LI</vt:lpstr>
      <vt:lpstr>Bills_Small</vt:lpstr>
      <vt:lpstr>Bills_Large</vt:lpstr>
      <vt:lpstr>Bills_Large!Print_Area</vt:lpstr>
      <vt:lpstr>Bills_LI!Print_Area</vt:lpstr>
      <vt:lpstr>Bills_Res!Print_Area</vt:lpstr>
      <vt:lpstr>Bills_Small!Print_Area</vt:lpstr>
      <vt:lpstr>'EE Inputs'!Print_Area</vt:lpstr>
      <vt:lpstr>Instructions!Print_Area</vt:lpstr>
      <vt:lpstr>Lookups!Print_Area</vt:lpstr>
      <vt:lpstr>'Output Summary'!Print_Area</vt:lpstr>
      <vt:lpstr>Overview!Print_Area</vt:lpstr>
      <vt:lpstr>'R&amp;B Inputs'!Print_Area</vt:lpstr>
      <vt:lpstr>Rates_Large!Print_Area</vt:lpstr>
      <vt:lpstr>Rates_LI!Print_Area</vt:lpstr>
      <vt:lpstr>Rates_Res!Print_Area</vt:lpstr>
      <vt:lpstr>Rates_Small!Print_Area</vt:lpstr>
      <vt:lpstr>'Utility rates'!Print_Area</vt:lpstr>
      <vt:lpstr>'Yr1'!Print_Area</vt:lpstr>
      <vt:lpstr>'Yr2'!Print_Area</vt:lpstr>
      <vt:lpstr>'Yr3'!Print_Area</vt:lpstr>
      <vt:lpstr>YrAll!Print_Area</vt:lpstr>
      <vt:lpstr>Bills_Large!Print_Titles</vt:lpstr>
      <vt:lpstr>Bills_LI!Print_Titles</vt:lpstr>
      <vt:lpstr>Bills_Res!Print_Titles</vt:lpstr>
      <vt:lpstr>Bills_Small!Print_Titles</vt:lpstr>
      <vt:lpstr>Lookups!Print_Titles</vt:lpstr>
      <vt:lpstr>'R&amp;B Inputs'!Print_Titles</vt:lpstr>
      <vt:lpstr>Rates_Large!Print_Titles</vt:lpstr>
      <vt:lpstr>Rates_LI!Print_Titles</vt:lpstr>
      <vt:lpstr>Rates_Res!Print_Titles</vt:lpstr>
      <vt:lpstr>Rates_Small!Print_Titles</vt:lpstr>
      <vt:lpstr>'Yr1'!Print_Titles</vt:lpstr>
      <vt:lpstr>'Yr2'!Print_Titles</vt:lpstr>
      <vt:lpstr>'Yr3'!Print_Titles</vt:lpstr>
      <vt:lpstr>YrAll!Print_Titles</vt:lpstr>
      <vt:lpstr>Year1</vt:lpstr>
      <vt:lpstr>Year2</vt:lpstr>
      <vt:lpstr>Year3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Malone</dc:creator>
  <cp:lastModifiedBy>Kenji Takahashi</cp:lastModifiedBy>
  <cp:lastPrinted>2020-03-19T00:33:05Z</cp:lastPrinted>
  <dcterms:created xsi:type="dcterms:W3CDTF">2015-06-05T18:17:20Z</dcterms:created>
  <dcterms:modified xsi:type="dcterms:W3CDTF">2020-08-28T20:12:51Z</dcterms:modified>
</cp:coreProperties>
</file>